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mcand\Documents\GitHub\proyecto-grafica\entrega02\fresno_datebase_01\datos_limpios\"/>
    </mc:Choice>
  </mc:AlternateContent>
  <xr:revisionPtr revIDLastSave="0" documentId="13_ncr:1_{3DBEEFB7-A9CB-45B8-BA35-D8257FD0403B}" xr6:coauthVersionLast="47" xr6:coauthVersionMax="47" xr10:uidLastSave="{00000000-0000-0000-0000-000000000000}"/>
  <bookViews>
    <workbookView xWindow="-110" yWindow="-110" windowWidth="19420" windowHeight="10420" xr2:uid="{00000000-000D-0000-FFFF-FFFF00000000}"/>
  </bookViews>
  <sheets>
    <sheet name="Incident" sheetId="2" r:id="rId1"/>
    <sheet name="Shooter" sheetId="3" r:id="rId2"/>
    <sheet name="Victim" sheetId="4" r:id="rId3"/>
    <sheet name="Weapon" sheetId="5" r:id="rId4"/>
  </sheets>
  <definedNames>
    <definedName name="_xlnm._FilterDatabase" localSheetId="0" hidden="1">Incident!$A$1:$AH$2660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55" i="2" l="1"/>
  <c r="B1327" i="5"/>
  <c r="A1327" i="5"/>
  <c r="C1326" i="5"/>
  <c r="B1326" i="5"/>
  <c r="A1326" i="5"/>
  <c r="C1325" i="5"/>
  <c r="B1325" i="5"/>
  <c r="A1325" i="5"/>
  <c r="C1324" i="5"/>
  <c r="B1324" i="5"/>
  <c r="A1324" i="5"/>
  <c r="B1323" i="5"/>
  <c r="A1323" i="5"/>
  <c r="C1322" i="5"/>
  <c r="B1322" i="5"/>
  <c r="A1322" i="5"/>
  <c r="C1321" i="5"/>
  <c r="B1321" i="5"/>
  <c r="A1321" i="5"/>
  <c r="C1320" i="5"/>
  <c r="B1320" i="5"/>
  <c r="A1320" i="5"/>
  <c r="B1319" i="5"/>
  <c r="A1319" i="5"/>
  <c r="D1318" i="5"/>
  <c r="C1318" i="5"/>
  <c r="B1318" i="5"/>
  <c r="A1318" i="5"/>
  <c r="C1317" i="5"/>
  <c r="B1317" i="5"/>
  <c r="A1317" i="5"/>
  <c r="C1316" i="5"/>
  <c r="B1316" i="5"/>
  <c r="A1316" i="5"/>
  <c r="C1315" i="5"/>
  <c r="B1315" i="5"/>
  <c r="A1315" i="5"/>
  <c r="C1314" i="5"/>
  <c r="B1314" i="5"/>
  <c r="A1314" i="5"/>
  <c r="C1313" i="5"/>
  <c r="B1313" i="5"/>
  <c r="A1313" i="5"/>
  <c r="C1312" i="5"/>
  <c r="B1312" i="5"/>
  <c r="A1312" i="5"/>
  <c r="C1311" i="5"/>
  <c r="B1311" i="5"/>
  <c r="A1311" i="5"/>
  <c r="C1310" i="5"/>
  <c r="B1310" i="5"/>
  <c r="A1310" i="5"/>
  <c r="C1309" i="5"/>
  <c r="B1309" i="5"/>
  <c r="A1309" i="5"/>
  <c r="C1308" i="5"/>
  <c r="B1308" i="5"/>
  <c r="A1308" i="5"/>
  <c r="B1307" i="5"/>
  <c r="A1307" i="5"/>
  <c r="C1306" i="5"/>
  <c r="B1306" i="5"/>
  <c r="A1306" i="5"/>
  <c r="C1305" i="5"/>
  <c r="B1305" i="5"/>
  <c r="A1305" i="5"/>
  <c r="C1304" i="5"/>
  <c r="B1304" i="5"/>
  <c r="A1304" i="5"/>
  <c r="C1303" i="5"/>
  <c r="B1303" i="5"/>
  <c r="A1303" i="5"/>
  <c r="C1302" i="5"/>
  <c r="B1302" i="5"/>
  <c r="A1302" i="5"/>
  <c r="B1301" i="5"/>
  <c r="A1301" i="5"/>
  <c r="C1300" i="5"/>
  <c r="B1300" i="5"/>
  <c r="A1300" i="5"/>
  <c r="C1299" i="5"/>
  <c r="B1299" i="5"/>
  <c r="A1299" i="5"/>
  <c r="C1298" i="5"/>
  <c r="B1298" i="5"/>
  <c r="A1298" i="5"/>
  <c r="C1297" i="5"/>
  <c r="B1297" i="5"/>
  <c r="A1297" i="5"/>
  <c r="C1296" i="5"/>
  <c r="B1296" i="5"/>
  <c r="A1296" i="5"/>
  <c r="C1295" i="5"/>
  <c r="B1295" i="5"/>
  <c r="A1295" i="5"/>
  <c r="C1294" i="5"/>
  <c r="B1294" i="5"/>
  <c r="A1294" i="5"/>
  <c r="C1293" i="5"/>
  <c r="B1293" i="5"/>
  <c r="A1293" i="5"/>
  <c r="B1292" i="5"/>
  <c r="A1292" i="5"/>
  <c r="B1291" i="5"/>
  <c r="A1291" i="5"/>
  <c r="B1290" i="5"/>
  <c r="A1290" i="5"/>
  <c r="C1289" i="5"/>
  <c r="B1289" i="5"/>
  <c r="A1289" i="5"/>
  <c r="C1288" i="5"/>
  <c r="B1288" i="5"/>
  <c r="A1288" i="5"/>
  <c r="C1287" i="5"/>
  <c r="B1287" i="5"/>
  <c r="A1287" i="5"/>
  <c r="C1286" i="5"/>
  <c r="B1286" i="5"/>
  <c r="A1286" i="5"/>
  <c r="C1285" i="5"/>
  <c r="B1285" i="5"/>
  <c r="A1285" i="5"/>
  <c r="D1284" i="5"/>
  <c r="C1284" i="5"/>
  <c r="B1284" i="5"/>
  <c r="A1284" i="5"/>
  <c r="D1283" i="5"/>
  <c r="C1283" i="5"/>
  <c r="B1283" i="5"/>
  <c r="A1283" i="5"/>
  <c r="B1282" i="5"/>
  <c r="A1282" i="5"/>
  <c r="D1281" i="5"/>
  <c r="C1281" i="5"/>
  <c r="B1281" i="5"/>
  <c r="A1281" i="5"/>
  <c r="D1280" i="5"/>
  <c r="C1280" i="5"/>
  <c r="B1280" i="5"/>
  <c r="A1280" i="5"/>
  <c r="B1279" i="5"/>
  <c r="A1279" i="5"/>
  <c r="B1278" i="5"/>
  <c r="A1278" i="5"/>
  <c r="B1277" i="5"/>
  <c r="A1277" i="5"/>
  <c r="B1276" i="5"/>
  <c r="A1276" i="5"/>
  <c r="C1275" i="5"/>
  <c r="B1275" i="5"/>
  <c r="A1275" i="5"/>
  <c r="C1274" i="5"/>
  <c r="B1274" i="5"/>
  <c r="A1274" i="5"/>
  <c r="B1273" i="5"/>
  <c r="A1273" i="5"/>
  <c r="C1272" i="5"/>
  <c r="B1272" i="5"/>
  <c r="A1272" i="5"/>
  <c r="B1271" i="5"/>
  <c r="A1271" i="5"/>
  <c r="C1270" i="5"/>
  <c r="B1270" i="5"/>
  <c r="A1270" i="5"/>
  <c r="B1269" i="5"/>
  <c r="A1269" i="5"/>
  <c r="B1268" i="5"/>
  <c r="A1268" i="5"/>
  <c r="B1267" i="5"/>
  <c r="A1267" i="5"/>
  <c r="B1266" i="5"/>
  <c r="A1266" i="5"/>
  <c r="C1265" i="5"/>
  <c r="B1265" i="5"/>
  <c r="A1265" i="5"/>
  <c r="C1264" i="5"/>
  <c r="B1264" i="5"/>
  <c r="A1264" i="5"/>
  <c r="C1263" i="5"/>
  <c r="B1263" i="5"/>
  <c r="A1263" i="5"/>
  <c r="C1262" i="5"/>
  <c r="B1262" i="5"/>
  <c r="A1262" i="5"/>
  <c r="C1261" i="5"/>
  <c r="B1261" i="5"/>
  <c r="A1261" i="5"/>
  <c r="C1260" i="5"/>
  <c r="B1260" i="5"/>
  <c r="A1260" i="5"/>
  <c r="C1259" i="5"/>
  <c r="B1259" i="5"/>
  <c r="A1259" i="5"/>
  <c r="A1258" i="5"/>
  <c r="C1257" i="5"/>
  <c r="B1257" i="5"/>
  <c r="A1257" i="5"/>
  <c r="C1256" i="5"/>
  <c r="B1256" i="5"/>
  <c r="A1256" i="5"/>
  <c r="C1255" i="5"/>
  <c r="B1255" i="5"/>
  <c r="A1255" i="5"/>
  <c r="C1254" i="5"/>
  <c r="B1254" i="5"/>
  <c r="A1254" i="5"/>
  <c r="C1253" i="5"/>
  <c r="B1253" i="5"/>
  <c r="A1253" i="5"/>
  <c r="B1252" i="5"/>
  <c r="A1252" i="5"/>
  <c r="C1251" i="5"/>
  <c r="B1251" i="5"/>
  <c r="A1251" i="5"/>
  <c r="C1250" i="5"/>
  <c r="B1250" i="5"/>
  <c r="A1250" i="5"/>
  <c r="B1249" i="5"/>
  <c r="A1249" i="5"/>
  <c r="C1248" i="5"/>
  <c r="B1248" i="5"/>
  <c r="A1248" i="5"/>
  <c r="C1247" i="5"/>
  <c r="B1247" i="5"/>
  <c r="A1247" i="5"/>
  <c r="C1246" i="5"/>
  <c r="B1246" i="5"/>
  <c r="A1246" i="5"/>
  <c r="C1245" i="5"/>
  <c r="B1245" i="5"/>
  <c r="A1245" i="5"/>
  <c r="C1244" i="5"/>
  <c r="B1244" i="5"/>
  <c r="A1244" i="5"/>
  <c r="B1243" i="5"/>
  <c r="A1243" i="5"/>
  <c r="C1242" i="5"/>
  <c r="B1242" i="5"/>
  <c r="A1242" i="5"/>
  <c r="C1241" i="5"/>
  <c r="B1241" i="5"/>
  <c r="A1241" i="5"/>
  <c r="C1240" i="5"/>
  <c r="B1240" i="5"/>
  <c r="A1240" i="5"/>
  <c r="C1239" i="5"/>
  <c r="B1239" i="5"/>
  <c r="A1239" i="5"/>
  <c r="C1238" i="5"/>
  <c r="B1238" i="5"/>
  <c r="A1238" i="5"/>
  <c r="C1237" i="5"/>
  <c r="B1237" i="5"/>
  <c r="A1237" i="5"/>
  <c r="C1236" i="5"/>
  <c r="B1236" i="5"/>
  <c r="A1236" i="5"/>
  <c r="C1235" i="5"/>
  <c r="B1235" i="5"/>
  <c r="A1235" i="5"/>
  <c r="C1234" i="5"/>
  <c r="B1234" i="5"/>
  <c r="A1234" i="5"/>
  <c r="C1233" i="5"/>
  <c r="B1233" i="5"/>
  <c r="A1233" i="5"/>
  <c r="C1232" i="5"/>
  <c r="B1232" i="5"/>
  <c r="A1232" i="5"/>
  <c r="C1231" i="5"/>
  <c r="B1231" i="5"/>
  <c r="A1231" i="5"/>
  <c r="B1230" i="5"/>
  <c r="A1230" i="5"/>
  <c r="B1229" i="5"/>
  <c r="A1229" i="5"/>
  <c r="C1228" i="5"/>
  <c r="B1228" i="5"/>
  <c r="A1228" i="5"/>
  <c r="C1227" i="5"/>
  <c r="B1227" i="5"/>
  <c r="A1227" i="5"/>
  <c r="C1226" i="5"/>
  <c r="B1226" i="5"/>
  <c r="A1226" i="5"/>
  <c r="B1225" i="5"/>
  <c r="A1225" i="5"/>
  <c r="B1224" i="5"/>
  <c r="A1224" i="5"/>
  <c r="C1223" i="5"/>
  <c r="B1223" i="5"/>
  <c r="A1223" i="5"/>
  <c r="C1222" i="5"/>
  <c r="B1222" i="5"/>
  <c r="A1222" i="5"/>
  <c r="C1221" i="5"/>
  <c r="B1221" i="5"/>
  <c r="A1221" i="5"/>
  <c r="B1220" i="5"/>
  <c r="A1220" i="5"/>
  <c r="C1219" i="5"/>
  <c r="B1219" i="5"/>
  <c r="A1219" i="5"/>
  <c r="C1218" i="5"/>
  <c r="B1218" i="5"/>
  <c r="A1218" i="5"/>
  <c r="C1217" i="5"/>
  <c r="B1217" i="5"/>
  <c r="A1217" i="5"/>
  <c r="C1216" i="5"/>
  <c r="B1216" i="5"/>
  <c r="A1216" i="5"/>
  <c r="C1215" i="5"/>
  <c r="B1215" i="5"/>
  <c r="A1215" i="5"/>
  <c r="C1214" i="5"/>
  <c r="B1214" i="5"/>
  <c r="A1214" i="5"/>
  <c r="C1213" i="5"/>
  <c r="B1213" i="5"/>
  <c r="A1213" i="5"/>
  <c r="B1212" i="5"/>
  <c r="A1212" i="5"/>
  <c r="C1211" i="5"/>
  <c r="B1211" i="5"/>
  <c r="A1211" i="5"/>
  <c r="C1210" i="5"/>
  <c r="B1210" i="5"/>
  <c r="A1210" i="5"/>
  <c r="D1209" i="5"/>
  <c r="C1209" i="5"/>
  <c r="B1209" i="5"/>
  <c r="A1209" i="5"/>
  <c r="D1208" i="5"/>
  <c r="C1208" i="5"/>
  <c r="B1208" i="5"/>
  <c r="A1208" i="5"/>
  <c r="C1207" i="5"/>
  <c r="B1207" i="5"/>
  <c r="A1207" i="5"/>
  <c r="C1206" i="5"/>
  <c r="B1206" i="5"/>
  <c r="A1206" i="5"/>
  <c r="B1205" i="5"/>
  <c r="A1205" i="5"/>
  <c r="C1204" i="5"/>
  <c r="B1204" i="5"/>
  <c r="A1204" i="5"/>
  <c r="C1203" i="5"/>
  <c r="B1203" i="5"/>
  <c r="A1203" i="5"/>
  <c r="C1202" i="5"/>
  <c r="B1202" i="5"/>
  <c r="A1202" i="5"/>
  <c r="B1201" i="5"/>
  <c r="A1201" i="5"/>
  <c r="C1200" i="5"/>
  <c r="B1200" i="5"/>
  <c r="A1200" i="5"/>
  <c r="B1199" i="5"/>
  <c r="A1199" i="5"/>
  <c r="C1198" i="5"/>
  <c r="B1198" i="5"/>
  <c r="A1198" i="5"/>
  <c r="C1197" i="5"/>
  <c r="B1197" i="5"/>
  <c r="A1197" i="5"/>
  <c r="D1196" i="5"/>
  <c r="B1196" i="5"/>
  <c r="A1196" i="5"/>
  <c r="C1195" i="5"/>
  <c r="B1195" i="5"/>
  <c r="A1195" i="5"/>
  <c r="C1194" i="5"/>
  <c r="B1194" i="5"/>
  <c r="A1194" i="5"/>
  <c r="C1193" i="5"/>
  <c r="B1193" i="5"/>
  <c r="A1193" i="5"/>
  <c r="C1192" i="5"/>
  <c r="B1192" i="5"/>
  <c r="A1192" i="5"/>
  <c r="C1191" i="5"/>
  <c r="B1191" i="5"/>
  <c r="A1191" i="5"/>
  <c r="C1190" i="5"/>
  <c r="B1190" i="5"/>
  <c r="A1190" i="5"/>
  <c r="C1189" i="5"/>
  <c r="B1189" i="5"/>
  <c r="A1189" i="5"/>
  <c r="C1188" i="5"/>
  <c r="B1188" i="5"/>
  <c r="A1188" i="5"/>
  <c r="C1187" i="5"/>
  <c r="B1187" i="5"/>
  <c r="A1187" i="5"/>
  <c r="C1186" i="5"/>
  <c r="B1186" i="5"/>
  <c r="A1186" i="5"/>
  <c r="C1185" i="5"/>
  <c r="B1185" i="5"/>
  <c r="A1185" i="5"/>
  <c r="C1184" i="5"/>
  <c r="B1184" i="5"/>
  <c r="A1184" i="5"/>
  <c r="C1183" i="5"/>
  <c r="B1183" i="5"/>
  <c r="A1183" i="5"/>
  <c r="C1182" i="5"/>
  <c r="B1182" i="5"/>
  <c r="A1182" i="5"/>
  <c r="C1181" i="5"/>
  <c r="B1181" i="5"/>
  <c r="A1181" i="5"/>
  <c r="C1180" i="5"/>
  <c r="B1180" i="5"/>
  <c r="A1180" i="5"/>
  <c r="B1179" i="5"/>
  <c r="A1179" i="5"/>
  <c r="C1178" i="5"/>
  <c r="B1178" i="5"/>
  <c r="A1178" i="5"/>
  <c r="B1177" i="5"/>
  <c r="A1177" i="5"/>
  <c r="C1176" i="5"/>
  <c r="B1176" i="5"/>
  <c r="A1176" i="5"/>
  <c r="C1175" i="5"/>
  <c r="B1175" i="5"/>
  <c r="A1175" i="5"/>
  <c r="C1174" i="5"/>
  <c r="B1174" i="5"/>
  <c r="A1174" i="5"/>
  <c r="C1173" i="5"/>
  <c r="B1173" i="5"/>
  <c r="A1173" i="5"/>
  <c r="C1172" i="5"/>
  <c r="B1172" i="5"/>
  <c r="A1172" i="5"/>
  <c r="C1171" i="5"/>
  <c r="B1171" i="5"/>
  <c r="A1171" i="5"/>
  <c r="C1170" i="5"/>
  <c r="B1170" i="5"/>
  <c r="A1170" i="5"/>
  <c r="C1169" i="5"/>
  <c r="B1169" i="5"/>
  <c r="A1169" i="5"/>
  <c r="C1168" i="5"/>
  <c r="B1168" i="5"/>
  <c r="A1168" i="5"/>
  <c r="C1167" i="5"/>
  <c r="B1167" i="5"/>
  <c r="A1167" i="5"/>
  <c r="C1166" i="5"/>
  <c r="B1166" i="5"/>
  <c r="A1166" i="5"/>
  <c r="B1165" i="5"/>
  <c r="A1165" i="5"/>
  <c r="C1164" i="5"/>
  <c r="B1164" i="5"/>
  <c r="A1164" i="5"/>
  <c r="C1163" i="5"/>
  <c r="B1163" i="5"/>
  <c r="A1163" i="5"/>
  <c r="C1162" i="5"/>
  <c r="B1162" i="5"/>
  <c r="A1162" i="5"/>
  <c r="C1161" i="5"/>
  <c r="B1161" i="5"/>
  <c r="A1161" i="5"/>
  <c r="C1160" i="5"/>
  <c r="B1160" i="5"/>
  <c r="A1160" i="5"/>
  <c r="C1159" i="5"/>
  <c r="B1159" i="5"/>
  <c r="A1159" i="5"/>
  <c r="C1158" i="5"/>
  <c r="B1158" i="5"/>
  <c r="A1158" i="5"/>
  <c r="C1157" i="5"/>
  <c r="B1157" i="5"/>
  <c r="A1157" i="5"/>
  <c r="C1156" i="5"/>
  <c r="B1156" i="5"/>
  <c r="A1156" i="5"/>
  <c r="C1155" i="5"/>
  <c r="B1155" i="5"/>
  <c r="A1155" i="5"/>
  <c r="B1154" i="5"/>
  <c r="A1154" i="5"/>
  <c r="C1153" i="5"/>
  <c r="B1153" i="5"/>
  <c r="A1153" i="5"/>
  <c r="C1152" i="5"/>
  <c r="B1152" i="5"/>
  <c r="A1152" i="5"/>
  <c r="B1151" i="5"/>
  <c r="A1151" i="5"/>
  <c r="C1150" i="5"/>
  <c r="B1150" i="5"/>
  <c r="A1150" i="5"/>
  <c r="C1149" i="5"/>
  <c r="B1149" i="5"/>
  <c r="A1149" i="5"/>
  <c r="C1148" i="5"/>
  <c r="B1148" i="5"/>
  <c r="A1148" i="5"/>
  <c r="B1147" i="5"/>
  <c r="A1147" i="5"/>
  <c r="C1146" i="5"/>
  <c r="B1146" i="5"/>
  <c r="A1146" i="5"/>
  <c r="B1145" i="5"/>
  <c r="A1145" i="5"/>
  <c r="C1144" i="5"/>
  <c r="B1144" i="5"/>
  <c r="A1144" i="5"/>
  <c r="B1143" i="5"/>
  <c r="A1143" i="5"/>
  <c r="C1142" i="5"/>
  <c r="B1142" i="5"/>
  <c r="A1142" i="5"/>
  <c r="C1141" i="5"/>
  <c r="B1141" i="5"/>
  <c r="A1141" i="5"/>
  <c r="C1140" i="5"/>
  <c r="B1140" i="5"/>
  <c r="A1140" i="5"/>
  <c r="C1139" i="5"/>
  <c r="B1139" i="5"/>
  <c r="A1139" i="5"/>
  <c r="B1138" i="5"/>
  <c r="A1138" i="5"/>
  <c r="B1137" i="5"/>
  <c r="A1137" i="5"/>
  <c r="C1136" i="5"/>
  <c r="B1136" i="5"/>
  <c r="A1136" i="5"/>
  <c r="B1135" i="5"/>
  <c r="A1135" i="5"/>
  <c r="C1134" i="5"/>
  <c r="B1134" i="5"/>
  <c r="A1134" i="5"/>
  <c r="B1133" i="5"/>
  <c r="A1133" i="5"/>
  <c r="C1132" i="5"/>
  <c r="B1132" i="5"/>
  <c r="A1132" i="5"/>
  <c r="C1131" i="5"/>
  <c r="B1131" i="5"/>
  <c r="A1131" i="5"/>
  <c r="C1130" i="5"/>
  <c r="B1130" i="5"/>
  <c r="A1130" i="5"/>
  <c r="B1129" i="5"/>
  <c r="A1129" i="5"/>
  <c r="C1128" i="5"/>
  <c r="B1128" i="5"/>
  <c r="A1128" i="5"/>
  <c r="D1127" i="5"/>
  <c r="B1127" i="5"/>
  <c r="A1127" i="5"/>
  <c r="C1126" i="5"/>
  <c r="B1126" i="5"/>
  <c r="A1126" i="5"/>
  <c r="B1125" i="5"/>
  <c r="A1125" i="5"/>
  <c r="C1124" i="5"/>
  <c r="B1124" i="5"/>
  <c r="A1124" i="5"/>
  <c r="C1123" i="5"/>
  <c r="B1123" i="5"/>
  <c r="A1123" i="5"/>
  <c r="C1122" i="5"/>
  <c r="B1122" i="5"/>
  <c r="A1122" i="5"/>
  <c r="B1121" i="5"/>
  <c r="A1121" i="5"/>
  <c r="C1120" i="5"/>
  <c r="B1120" i="5"/>
  <c r="A1120" i="5"/>
  <c r="C1119" i="5"/>
  <c r="B1119" i="5"/>
  <c r="A1119" i="5"/>
  <c r="C1118" i="5"/>
  <c r="B1118" i="5"/>
  <c r="A1118" i="5"/>
  <c r="C1117" i="5"/>
  <c r="B1117" i="5"/>
  <c r="A1117" i="5"/>
  <c r="B1116" i="5"/>
  <c r="A1116" i="5"/>
  <c r="C1115" i="5"/>
  <c r="B1115" i="5"/>
  <c r="A1115" i="5"/>
  <c r="C1114" i="5"/>
  <c r="B1114" i="5"/>
  <c r="A1114" i="5"/>
  <c r="C1113" i="5"/>
  <c r="B1113" i="5"/>
  <c r="A1113" i="5"/>
  <c r="B1112" i="5"/>
  <c r="A1112" i="5"/>
  <c r="B1111" i="5"/>
  <c r="A1111" i="5"/>
  <c r="C1110" i="5"/>
  <c r="B1110" i="5"/>
  <c r="A1110" i="5"/>
  <c r="C1109" i="5"/>
  <c r="B1109" i="5"/>
  <c r="A1109" i="5"/>
  <c r="C1108" i="5"/>
  <c r="B1108" i="5"/>
  <c r="A1108" i="5"/>
  <c r="C1107" i="5"/>
  <c r="B1107" i="5"/>
  <c r="A1107" i="5"/>
  <c r="C1106" i="5"/>
  <c r="B1106" i="5"/>
  <c r="A1106" i="5"/>
  <c r="C1105" i="5"/>
  <c r="B1105" i="5"/>
  <c r="A1105" i="5"/>
  <c r="C1104" i="5"/>
  <c r="B1104" i="5"/>
  <c r="A1104" i="5"/>
  <c r="C1103" i="5"/>
  <c r="B1103" i="5"/>
  <c r="A1103" i="5"/>
  <c r="C1102" i="5"/>
  <c r="B1102" i="5"/>
  <c r="A1102" i="5"/>
  <c r="C1101" i="5"/>
  <c r="B1101" i="5"/>
  <c r="A1101" i="5"/>
  <c r="C1100" i="5"/>
  <c r="B1100" i="5"/>
  <c r="A1100" i="5"/>
  <c r="C1099" i="5"/>
  <c r="B1099" i="5"/>
  <c r="A1099" i="5"/>
  <c r="C1098" i="5"/>
  <c r="B1098" i="5"/>
  <c r="A1098" i="5"/>
  <c r="C1097" i="5"/>
  <c r="B1097" i="5"/>
  <c r="A1097" i="5"/>
  <c r="B1096" i="5"/>
  <c r="A1096" i="5"/>
  <c r="C1095" i="5"/>
  <c r="B1095" i="5"/>
  <c r="A1095" i="5"/>
  <c r="C1094" i="5"/>
  <c r="B1094" i="5"/>
  <c r="A1094" i="5"/>
  <c r="C1093" i="5"/>
  <c r="B1093" i="5"/>
  <c r="A1093" i="5"/>
  <c r="C1092" i="5"/>
  <c r="B1092" i="5"/>
  <c r="A1092" i="5"/>
  <c r="C1091" i="5"/>
  <c r="B1091" i="5"/>
  <c r="A1091" i="5"/>
  <c r="B1090" i="5"/>
  <c r="A1090" i="5"/>
  <c r="C1089" i="5"/>
  <c r="B1089" i="5"/>
  <c r="A1089" i="5"/>
  <c r="B1088" i="5"/>
  <c r="A1088" i="5"/>
  <c r="C1087" i="5"/>
  <c r="B1087" i="5"/>
  <c r="A1087" i="5"/>
  <c r="C1086" i="5"/>
  <c r="B1086" i="5"/>
  <c r="A1086" i="5"/>
  <c r="C1085" i="5"/>
  <c r="B1085" i="5"/>
  <c r="A1085" i="5"/>
  <c r="C1084" i="5"/>
  <c r="B1084" i="5"/>
  <c r="A1084" i="5"/>
  <c r="C1083" i="5"/>
  <c r="B1083" i="5"/>
  <c r="A1083" i="5"/>
  <c r="C1082" i="5"/>
  <c r="B1082" i="5"/>
  <c r="A1082" i="5"/>
  <c r="C1081" i="5"/>
  <c r="B1081" i="5"/>
  <c r="A1081" i="5"/>
  <c r="B1080" i="5"/>
  <c r="A1080" i="5"/>
  <c r="C1079" i="5"/>
  <c r="B1079" i="5"/>
  <c r="A1079" i="5"/>
  <c r="C1078" i="5"/>
  <c r="B1078" i="5"/>
  <c r="A1078" i="5"/>
  <c r="C1077" i="5"/>
  <c r="B1077" i="5"/>
  <c r="A1077" i="5"/>
  <c r="C1076" i="5"/>
  <c r="B1076" i="5"/>
  <c r="A1076" i="5"/>
  <c r="C1075" i="5"/>
  <c r="B1075" i="5"/>
  <c r="A1075" i="5"/>
  <c r="C1074" i="5"/>
  <c r="B1074" i="5"/>
  <c r="A1074" i="5"/>
  <c r="C1073" i="5"/>
  <c r="B1073" i="5"/>
  <c r="A1073" i="5"/>
  <c r="C1072" i="5"/>
  <c r="B1072" i="5"/>
  <c r="A1072" i="5"/>
  <c r="C1071" i="5"/>
  <c r="B1071" i="5"/>
  <c r="A1071" i="5"/>
  <c r="C1070" i="5"/>
  <c r="B1070" i="5"/>
  <c r="A1070" i="5"/>
  <c r="C1069" i="5"/>
  <c r="B1069" i="5"/>
  <c r="A1069" i="5"/>
  <c r="C1068" i="5"/>
  <c r="B1068" i="5"/>
  <c r="A1068" i="5"/>
  <c r="C1067" i="5"/>
  <c r="B1067" i="5"/>
  <c r="A1067" i="5"/>
  <c r="C1066" i="5"/>
  <c r="B1066" i="5"/>
  <c r="A1066" i="5"/>
  <c r="B1065" i="5"/>
  <c r="A1065" i="5"/>
  <c r="B1064" i="5"/>
  <c r="A1064" i="5"/>
  <c r="D1063" i="5"/>
  <c r="B1063" i="5"/>
  <c r="A1063" i="5"/>
  <c r="C1062" i="5"/>
  <c r="B1062" i="5"/>
  <c r="A1062" i="5"/>
  <c r="C1061" i="5"/>
  <c r="B1061" i="5"/>
  <c r="A1061" i="5"/>
  <c r="C1060" i="5"/>
  <c r="B1060" i="5"/>
  <c r="A1060" i="5"/>
  <c r="C1059" i="5"/>
  <c r="B1059" i="5"/>
  <c r="A1059" i="5"/>
  <c r="C1058" i="5"/>
  <c r="B1058" i="5"/>
  <c r="A1058" i="5"/>
  <c r="C1057" i="5"/>
  <c r="B1057" i="5"/>
  <c r="A1057" i="5"/>
  <c r="C1056" i="5"/>
  <c r="B1056" i="5"/>
  <c r="A1056" i="5"/>
  <c r="C1055" i="5"/>
  <c r="B1055" i="5"/>
  <c r="A1055" i="5"/>
  <c r="C1054" i="5"/>
  <c r="B1054" i="5"/>
  <c r="A1054" i="5"/>
  <c r="D1053" i="5"/>
  <c r="B1053" i="5"/>
  <c r="A1053" i="5"/>
  <c r="B1052" i="5"/>
  <c r="A1052" i="5"/>
  <c r="C1051" i="5"/>
  <c r="B1051" i="5"/>
  <c r="A1051" i="5"/>
  <c r="C1050" i="5"/>
  <c r="B1050" i="5"/>
  <c r="A1050" i="5"/>
  <c r="B1049" i="5"/>
  <c r="A1049" i="5"/>
  <c r="C1048" i="5"/>
  <c r="B1048" i="5"/>
  <c r="A1048" i="5"/>
  <c r="C1047" i="5"/>
  <c r="B1047" i="5"/>
  <c r="A1047" i="5"/>
  <c r="B1046" i="5"/>
  <c r="A1046" i="5"/>
  <c r="B1045" i="5"/>
  <c r="A1045" i="5"/>
  <c r="D1044" i="5"/>
  <c r="C1044" i="5"/>
  <c r="B1044" i="5"/>
  <c r="A1044" i="5"/>
  <c r="C1043" i="5"/>
  <c r="B1043" i="5"/>
  <c r="A1043" i="5"/>
  <c r="C1042" i="5"/>
  <c r="B1042" i="5"/>
  <c r="A1042" i="5"/>
  <c r="C1041" i="5"/>
  <c r="B1041" i="5"/>
  <c r="A1041" i="5"/>
  <c r="B1040" i="5"/>
  <c r="A1040" i="5"/>
  <c r="B1039" i="5"/>
  <c r="A1039" i="5"/>
  <c r="B1038" i="5"/>
  <c r="A1038" i="5"/>
  <c r="B1037" i="5"/>
  <c r="A1037" i="5"/>
  <c r="B1036" i="5"/>
  <c r="A1036" i="5"/>
  <c r="B1035" i="5"/>
  <c r="A1035" i="5"/>
  <c r="B1034" i="5"/>
  <c r="A1034" i="5"/>
  <c r="B1033" i="5"/>
  <c r="A1033" i="5"/>
  <c r="D1032" i="5"/>
  <c r="C1032" i="5"/>
  <c r="B1032" i="5"/>
  <c r="A1032" i="5"/>
  <c r="B1031" i="5"/>
  <c r="A1031" i="5"/>
  <c r="B1030" i="5"/>
  <c r="A1030" i="5"/>
  <c r="D1029" i="5"/>
  <c r="C1029" i="5"/>
  <c r="B1029" i="5"/>
  <c r="A1029" i="5"/>
  <c r="B1028" i="5"/>
  <c r="A1028" i="5"/>
  <c r="D1027" i="5"/>
  <c r="B1027" i="5"/>
  <c r="A1027" i="5"/>
  <c r="B1026" i="5"/>
  <c r="A1026" i="5"/>
  <c r="C1025" i="5"/>
  <c r="B1025" i="5"/>
  <c r="A1025" i="5"/>
  <c r="B1024" i="5"/>
  <c r="A1024" i="5"/>
  <c r="C1023" i="5"/>
  <c r="B1023" i="5"/>
  <c r="A1023" i="5"/>
  <c r="B1022" i="5"/>
  <c r="A1022" i="5"/>
  <c r="C1021" i="5"/>
  <c r="B1021" i="5"/>
  <c r="A1021" i="5"/>
  <c r="B1020" i="5"/>
  <c r="A1020" i="5"/>
  <c r="B1019" i="5"/>
  <c r="A1019" i="5"/>
  <c r="B1018" i="5"/>
  <c r="A1018" i="5"/>
  <c r="C1017" i="5"/>
  <c r="B1017" i="5"/>
  <c r="A1017" i="5"/>
  <c r="B1016" i="5"/>
  <c r="A1016" i="5"/>
  <c r="C1015" i="5"/>
  <c r="B1015" i="5"/>
  <c r="A1015" i="5"/>
  <c r="C1014" i="5"/>
  <c r="B1014" i="5"/>
  <c r="A1014" i="5"/>
  <c r="C1013" i="5"/>
  <c r="B1013" i="5"/>
  <c r="A1013" i="5"/>
  <c r="B1012" i="5"/>
  <c r="A1012" i="5"/>
  <c r="C1011" i="5"/>
  <c r="B1011" i="5"/>
  <c r="A1011" i="5"/>
  <c r="B1010" i="5"/>
  <c r="A1010" i="5"/>
  <c r="B1009" i="5"/>
  <c r="A1009" i="5"/>
  <c r="B1008" i="5"/>
  <c r="A1008" i="5"/>
  <c r="B1007" i="5"/>
  <c r="A1007" i="5"/>
  <c r="B1006" i="5"/>
  <c r="A1006" i="5"/>
  <c r="B1005" i="5"/>
  <c r="A1005" i="5"/>
  <c r="B1004" i="5"/>
  <c r="A1004" i="5"/>
  <c r="A1003" i="5"/>
  <c r="A1002" i="5"/>
  <c r="B1001" i="5"/>
  <c r="A1001" i="5"/>
  <c r="B1000" i="5"/>
  <c r="A1000" i="5"/>
  <c r="D999" i="5"/>
  <c r="C999" i="5"/>
  <c r="B999" i="5"/>
  <c r="A999" i="5"/>
  <c r="B998" i="5"/>
  <c r="A998" i="5"/>
  <c r="B997" i="5"/>
  <c r="A997" i="5"/>
  <c r="A996" i="5"/>
  <c r="A995" i="5"/>
  <c r="A994" i="5"/>
  <c r="A993" i="5"/>
  <c r="A992" i="5"/>
  <c r="A991" i="5"/>
  <c r="C990" i="5"/>
  <c r="B990" i="5"/>
  <c r="A990" i="5"/>
  <c r="A989" i="5"/>
  <c r="A988" i="5"/>
  <c r="A987" i="5"/>
  <c r="B986" i="5"/>
  <c r="A986" i="5"/>
  <c r="B985" i="5"/>
  <c r="A985" i="5"/>
  <c r="C984" i="5"/>
  <c r="B984" i="5"/>
  <c r="A984" i="5"/>
  <c r="B983" i="5"/>
  <c r="A983" i="5"/>
  <c r="A982" i="5"/>
  <c r="B981" i="5"/>
  <c r="A981" i="5"/>
  <c r="A980" i="5"/>
  <c r="B979" i="5"/>
  <c r="A979" i="5"/>
  <c r="B978" i="5"/>
  <c r="A978" i="5"/>
  <c r="B977" i="5"/>
  <c r="A977" i="5"/>
  <c r="C976" i="5"/>
  <c r="B976" i="5"/>
  <c r="A976" i="5"/>
  <c r="B975" i="5"/>
  <c r="A975" i="5"/>
  <c r="B974" i="5"/>
  <c r="A974" i="5"/>
  <c r="A973" i="5"/>
  <c r="B972" i="5"/>
  <c r="A972" i="5"/>
  <c r="C971" i="5"/>
  <c r="B971" i="5"/>
  <c r="A971" i="5"/>
  <c r="D970" i="5"/>
  <c r="C970" i="5"/>
  <c r="B970" i="5"/>
  <c r="A970" i="5"/>
  <c r="D969" i="5"/>
  <c r="B969" i="5"/>
  <c r="A969" i="5"/>
  <c r="C968" i="5"/>
  <c r="B968" i="5"/>
  <c r="A968" i="5"/>
  <c r="B967" i="5"/>
  <c r="A967" i="5"/>
  <c r="B966" i="5"/>
  <c r="A966" i="5"/>
  <c r="A965" i="5"/>
  <c r="B964" i="5"/>
  <c r="A964" i="5"/>
  <c r="B963" i="5"/>
  <c r="A963" i="5"/>
  <c r="B962" i="5"/>
  <c r="A962" i="5"/>
  <c r="B961" i="5"/>
  <c r="A961" i="5"/>
  <c r="B960" i="5"/>
  <c r="A960" i="5"/>
  <c r="B959" i="5"/>
  <c r="A959" i="5"/>
  <c r="B958" i="5"/>
  <c r="A958" i="5"/>
  <c r="B957" i="5"/>
  <c r="A957" i="5"/>
  <c r="B956" i="5"/>
  <c r="A956" i="5"/>
  <c r="B955" i="5"/>
  <c r="A955" i="5"/>
  <c r="B954" i="5"/>
  <c r="A954" i="5"/>
  <c r="B953" i="5"/>
  <c r="A953" i="5"/>
  <c r="B952" i="5"/>
  <c r="A952" i="5"/>
  <c r="B951" i="5"/>
  <c r="A951" i="5"/>
  <c r="D950" i="5"/>
  <c r="B950" i="5"/>
  <c r="A950" i="5"/>
  <c r="C949" i="5"/>
  <c r="B949" i="5"/>
  <c r="A949" i="5"/>
  <c r="B948" i="5"/>
  <c r="A948" i="5"/>
  <c r="B947" i="5"/>
  <c r="A947" i="5"/>
  <c r="D946" i="5"/>
  <c r="B946" i="5"/>
  <c r="A946" i="5"/>
  <c r="B945" i="5"/>
  <c r="A945" i="5"/>
  <c r="C944" i="5"/>
  <c r="B944" i="5"/>
  <c r="A944" i="5"/>
  <c r="D943" i="5"/>
  <c r="B943" i="5"/>
  <c r="A943" i="5"/>
  <c r="B942" i="5"/>
  <c r="A942" i="5"/>
  <c r="B941" i="5"/>
  <c r="A941" i="5"/>
  <c r="B940" i="5"/>
  <c r="A940" i="5"/>
  <c r="A939" i="5"/>
  <c r="B938" i="5"/>
  <c r="A938" i="5"/>
  <c r="B937" i="5"/>
  <c r="A937" i="5"/>
  <c r="B936" i="5"/>
  <c r="A936" i="5"/>
  <c r="D935" i="5"/>
  <c r="C935" i="5"/>
  <c r="B935" i="5"/>
  <c r="A935" i="5"/>
  <c r="B934" i="5"/>
  <c r="A934" i="5"/>
  <c r="A933" i="5"/>
  <c r="B932" i="5"/>
  <c r="A932" i="5"/>
  <c r="D931" i="5"/>
  <c r="C931" i="5"/>
  <c r="B931" i="5"/>
  <c r="A931" i="5"/>
  <c r="B930" i="5"/>
  <c r="A930" i="5"/>
  <c r="B929" i="5"/>
  <c r="A929" i="5"/>
  <c r="B928" i="5"/>
  <c r="A928" i="5"/>
  <c r="C927" i="5"/>
  <c r="B927" i="5"/>
  <c r="A927" i="5"/>
  <c r="A926" i="5"/>
  <c r="A925" i="5"/>
  <c r="A924" i="5"/>
  <c r="B923" i="5"/>
  <c r="A923" i="5"/>
  <c r="B922" i="5"/>
  <c r="A922" i="5"/>
  <c r="B921" i="5"/>
  <c r="A921" i="5"/>
  <c r="D920" i="5"/>
  <c r="C920" i="5"/>
  <c r="B920" i="5"/>
  <c r="A920" i="5"/>
  <c r="A919" i="5"/>
  <c r="B918" i="5"/>
  <c r="A918" i="5"/>
  <c r="A917" i="5"/>
  <c r="B916" i="5"/>
  <c r="A916" i="5"/>
  <c r="A915" i="5"/>
  <c r="B914" i="5"/>
  <c r="A914" i="5"/>
  <c r="B913" i="5"/>
  <c r="A913" i="5"/>
  <c r="A912" i="5"/>
  <c r="B911" i="5"/>
  <c r="A911" i="5"/>
  <c r="C910" i="5"/>
  <c r="B910" i="5"/>
  <c r="A910" i="5"/>
  <c r="B909" i="5"/>
  <c r="A909" i="5"/>
  <c r="B908" i="5"/>
  <c r="A908" i="5"/>
  <c r="A907" i="5"/>
  <c r="C906" i="5"/>
  <c r="B906" i="5"/>
  <c r="A906" i="5"/>
  <c r="B905" i="5"/>
  <c r="A905" i="5"/>
  <c r="B904" i="5"/>
  <c r="A904" i="5"/>
  <c r="B903" i="5"/>
  <c r="A903" i="5"/>
  <c r="B902" i="5"/>
  <c r="A902" i="5"/>
  <c r="A901" i="5"/>
  <c r="B900" i="5"/>
  <c r="A900" i="5"/>
  <c r="B899" i="5"/>
  <c r="A899" i="5"/>
  <c r="B898" i="5"/>
  <c r="A898" i="5"/>
  <c r="B897" i="5"/>
  <c r="A897" i="5"/>
  <c r="B896" i="5"/>
  <c r="A896" i="5"/>
  <c r="B895" i="5"/>
  <c r="A895" i="5"/>
  <c r="B894" i="5"/>
  <c r="A894" i="5"/>
  <c r="B893" i="5"/>
  <c r="A893" i="5"/>
  <c r="C892" i="5"/>
  <c r="B892" i="5"/>
  <c r="A892" i="5"/>
  <c r="B891" i="5"/>
  <c r="A891" i="5"/>
  <c r="B890" i="5"/>
  <c r="A890" i="5"/>
  <c r="B889" i="5"/>
  <c r="A889" i="5"/>
  <c r="B888" i="5"/>
  <c r="A888" i="5"/>
  <c r="B887" i="5"/>
  <c r="A887" i="5"/>
  <c r="B886" i="5"/>
  <c r="A886" i="5"/>
  <c r="B885" i="5"/>
  <c r="A885" i="5"/>
  <c r="B884" i="5"/>
  <c r="A884" i="5"/>
  <c r="B883" i="5"/>
  <c r="A883" i="5"/>
  <c r="B882" i="5"/>
  <c r="A882" i="5"/>
  <c r="B881" i="5"/>
  <c r="A881" i="5"/>
  <c r="B880" i="5"/>
  <c r="A880" i="5"/>
  <c r="B879" i="5"/>
  <c r="A879" i="5"/>
  <c r="B878" i="5"/>
  <c r="A878" i="5"/>
  <c r="B877" i="5"/>
  <c r="A877" i="5"/>
  <c r="B876" i="5"/>
  <c r="A876" i="5"/>
  <c r="B875" i="5"/>
  <c r="A875" i="5"/>
  <c r="C874" i="5"/>
  <c r="B874" i="5"/>
  <c r="A874" i="5"/>
  <c r="B873" i="5"/>
  <c r="A873" i="5"/>
  <c r="B872" i="5"/>
  <c r="A872" i="5"/>
  <c r="B871" i="5"/>
  <c r="A871" i="5"/>
  <c r="B870" i="5"/>
  <c r="A870" i="5"/>
  <c r="B869" i="5"/>
  <c r="A869" i="5"/>
  <c r="B868" i="5"/>
  <c r="A868" i="5"/>
  <c r="A867" i="5"/>
  <c r="C866" i="5"/>
  <c r="B866" i="5"/>
  <c r="A866" i="5"/>
  <c r="B865" i="5"/>
  <c r="A865" i="5"/>
  <c r="B864" i="5"/>
  <c r="A864" i="5"/>
  <c r="B863" i="5"/>
  <c r="A863" i="5"/>
  <c r="B862" i="5"/>
  <c r="A862" i="5"/>
  <c r="B861" i="5"/>
  <c r="A861" i="5"/>
  <c r="B860" i="5"/>
  <c r="A860" i="5"/>
  <c r="D859" i="5"/>
  <c r="B859" i="5"/>
  <c r="A859" i="5"/>
  <c r="C858" i="5"/>
  <c r="B858" i="5"/>
  <c r="A858" i="5"/>
  <c r="B857" i="5"/>
  <c r="A857" i="5"/>
  <c r="B856" i="5"/>
  <c r="A856" i="5"/>
  <c r="B855" i="5"/>
  <c r="A855" i="5"/>
  <c r="B854" i="5"/>
  <c r="A854" i="5"/>
  <c r="B853" i="5"/>
  <c r="A853" i="5"/>
  <c r="B852" i="5"/>
  <c r="A852" i="5"/>
  <c r="B851" i="5"/>
  <c r="A851" i="5"/>
  <c r="B850" i="5"/>
  <c r="A850" i="5"/>
  <c r="B849" i="5"/>
  <c r="A849" i="5"/>
  <c r="B848" i="5"/>
  <c r="A848" i="5"/>
  <c r="C847" i="5"/>
  <c r="B847" i="5"/>
  <c r="A847" i="5"/>
  <c r="B846" i="5"/>
  <c r="A846" i="5"/>
  <c r="B845" i="5"/>
  <c r="A845" i="5"/>
  <c r="C844" i="5"/>
  <c r="B844" i="5"/>
  <c r="A844" i="5"/>
  <c r="B843" i="5"/>
  <c r="A843" i="5"/>
  <c r="A842" i="5"/>
  <c r="B841" i="5"/>
  <c r="A841" i="5"/>
  <c r="B840" i="5"/>
  <c r="A840" i="5"/>
  <c r="A839" i="5"/>
  <c r="B838" i="5"/>
  <c r="A838" i="5"/>
  <c r="B837" i="5"/>
  <c r="A837" i="5"/>
  <c r="B836" i="5"/>
  <c r="A836" i="5"/>
  <c r="B835" i="5"/>
  <c r="A835" i="5"/>
  <c r="C834" i="5"/>
  <c r="B834" i="5"/>
  <c r="A834" i="5"/>
  <c r="B833" i="5"/>
  <c r="A833" i="5"/>
  <c r="B832" i="5"/>
  <c r="A832" i="5"/>
  <c r="B831" i="5"/>
  <c r="A831" i="5"/>
  <c r="B830" i="5"/>
  <c r="A830" i="5"/>
  <c r="B829" i="5"/>
  <c r="A829" i="5"/>
  <c r="B828" i="5"/>
  <c r="A828" i="5"/>
  <c r="B827" i="5"/>
  <c r="A827" i="5"/>
  <c r="B826" i="5"/>
  <c r="A826" i="5"/>
  <c r="B825" i="5"/>
  <c r="A825" i="5"/>
  <c r="B824" i="5"/>
  <c r="A824" i="5"/>
  <c r="B823" i="5"/>
  <c r="A823" i="5"/>
  <c r="C822" i="5"/>
  <c r="B822" i="5"/>
  <c r="A822" i="5"/>
  <c r="B821" i="5"/>
  <c r="A821" i="5"/>
  <c r="B820" i="5"/>
  <c r="A820" i="5"/>
  <c r="B819" i="5"/>
  <c r="A819" i="5"/>
  <c r="B818" i="5"/>
  <c r="A818" i="5"/>
  <c r="D817" i="5"/>
  <c r="C817" i="5"/>
  <c r="B817" i="5"/>
  <c r="A817" i="5"/>
  <c r="B816" i="5"/>
  <c r="A816" i="5"/>
  <c r="A815" i="5"/>
  <c r="C814" i="5"/>
  <c r="B814" i="5"/>
  <c r="A814" i="5"/>
  <c r="A813" i="5"/>
  <c r="B812" i="5"/>
  <c r="A812" i="5"/>
  <c r="A811" i="5"/>
  <c r="C810" i="5"/>
  <c r="B810" i="5"/>
  <c r="A810" i="5"/>
  <c r="B809" i="5"/>
  <c r="A809" i="5"/>
  <c r="D808" i="5"/>
  <c r="C808" i="5"/>
  <c r="B808" i="5"/>
  <c r="A808" i="5"/>
  <c r="A807" i="5"/>
  <c r="C806" i="5"/>
  <c r="B806" i="5"/>
  <c r="A806" i="5"/>
  <c r="A805" i="5"/>
  <c r="B804" i="5"/>
  <c r="A804" i="5"/>
  <c r="C803" i="5"/>
  <c r="B803" i="5"/>
  <c r="A803" i="5"/>
  <c r="D802" i="5"/>
  <c r="C802" i="5"/>
  <c r="B802" i="5"/>
  <c r="A802" i="5"/>
  <c r="B801" i="5"/>
  <c r="A801" i="5"/>
  <c r="A800" i="5"/>
  <c r="B799" i="5"/>
  <c r="A799" i="5"/>
  <c r="B798" i="5"/>
  <c r="A798" i="5"/>
  <c r="B797" i="5"/>
  <c r="A797" i="5"/>
  <c r="B796" i="5"/>
  <c r="A796" i="5"/>
  <c r="B795" i="5"/>
  <c r="A795" i="5"/>
  <c r="B794" i="5"/>
  <c r="A794" i="5"/>
  <c r="D793" i="5"/>
  <c r="C793" i="5"/>
  <c r="B793" i="5"/>
  <c r="A793" i="5"/>
  <c r="B792" i="5"/>
  <c r="A792" i="5"/>
  <c r="B791" i="5"/>
  <c r="A791" i="5"/>
  <c r="B790" i="5"/>
  <c r="A790" i="5"/>
  <c r="A789" i="5"/>
  <c r="C788" i="5"/>
  <c r="B788" i="5"/>
  <c r="A788" i="5"/>
  <c r="A787" i="5"/>
  <c r="B786" i="5"/>
  <c r="A786" i="5"/>
  <c r="B785" i="5"/>
  <c r="A785" i="5"/>
  <c r="A784" i="5"/>
  <c r="B783" i="5"/>
  <c r="A783" i="5"/>
  <c r="A782" i="5"/>
  <c r="A781" i="5"/>
  <c r="B780" i="5"/>
  <c r="A780" i="5"/>
  <c r="B779" i="5"/>
  <c r="A779" i="5"/>
  <c r="B778" i="5"/>
  <c r="A778" i="5"/>
  <c r="C777" i="5"/>
  <c r="B777" i="5"/>
  <c r="A777" i="5"/>
  <c r="D776" i="5"/>
  <c r="C776" i="5"/>
  <c r="B776" i="5"/>
  <c r="A776" i="5"/>
  <c r="B775" i="5"/>
  <c r="A775" i="5"/>
  <c r="B774" i="5"/>
  <c r="A774" i="5"/>
  <c r="B773" i="5"/>
  <c r="A773" i="5"/>
  <c r="B772" i="5"/>
  <c r="A772" i="5"/>
  <c r="D771" i="5"/>
  <c r="B771" i="5"/>
  <c r="A771" i="5"/>
  <c r="B770" i="5"/>
  <c r="A770" i="5"/>
  <c r="D769" i="5"/>
  <c r="B769" i="5"/>
  <c r="A769" i="5"/>
  <c r="A768" i="5"/>
  <c r="B767" i="5"/>
  <c r="A767" i="5"/>
  <c r="B766" i="5"/>
  <c r="A766" i="5"/>
  <c r="A765" i="5"/>
  <c r="B764" i="5"/>
  <c r="A764" i="5"/>
  <c r="B763" i="5"/>
  <c r="A763" i="5"/>
  <c r="B762" i="5"/>
  <c r="A762" i="5"/>
  <c r="B761" i="5"/>
  <c r="A761" i="5"/>
  <c r="B760" i="5"/>
  <c r="A760" i="5"/>
  <c r="B759" i="5"/>
  <c r="A759" i="5"/>
  <c r="B758" i="5"/>
  <c r="A758" i="5"/>
  <c r="B757" i="5"/>
  <c r="A757" i="5"/>
  <c r="B756" i="5"/>
  <c r="A756" i="5"/>
  <c r="B755" i="5"/>
  <c r="A755" i="5"/>
  <c r="D754" i="5"/>
  <c r="B754" i="5"/>
  <c r="A754" i="5"/>
  <c r="B753" i="5"/>
  <c r="A753" i="5"/>
  <c r="A752" i="5"/>
  <c r="C751" i="5"/>
  <c r="B751" i="5"/>
  <c r="A751" i="5"/>
  <c r="B750" i="5"/>
  <c r="A750" i="5"/>
  <c r="B749" i="5"/>
  <c r="A749" i="5"/>
  <c r="A748" i="5"/>
  <c r="D747" i="5"/>
  <c r="C747" i="5"/>
  <c r="B747" i="5"/>
  <c r="A747" i="5"/>
  <c r="B746" i="5"/>
  <c r="A746" i="5"/>
  <c r="B745" i="5"/>
  <c r="A745" i="5"/>
  <c r="C744" i="5"/>
  <c r="B744" i="5"/>
  <c r="A744" i="5"/>
  <c r="B743" i="5"/>
  <c r="A743" i="5"/>
  <c r="B742" i="5"/>
  <c r="A742" i="5"/>
  <c r="A741" i="5"/>
  <c r="D740" i="5"/>
  <c r="C740" i="5"/>
  <c r="B740" i="5"/>
  <c r="A740" i="5"/>
  <c r="D739" i="5"/>
  <c r="B739" i="5"/>
  <c r="A739" i="5"/>
  <c r="A738" i="5"/>
  <c r="B737" i="5"/>
  <c r="A737" i="5"/>
  <c r="B736" i="5"/>
  <c r="A736" i="5"/>
  <c r="B735" i="5"/>
  <c r="A735" i="5"/>
  <c r="B734" i="5"/>
  <c r="A734" i="5"/>
  <c r="B733" i="5"/>
  <c r="A733" i="5"/>
  <c r="A732" i="5"/>
  <c r="B731" i="5"/>
  <c r="A731" i="5"/>
  <c r="B730" i="5"/>
  <c r="A730" i="5"/>
  <c r="A729" i="5"/>
  <c r="A728" i="5"/>
  <c r="B727" i="5"/>
  <c r="A727" i="5"/>
  <c r="B726" i="5"/>
  <c r="A726" i="5"/>
  <c r="B725" i="5"/>
  <c r="A725" i="5"/>
  <c r="B724" i="5"/>
  <c r="A724" i="5"/>
  <c r="A723" i="5"/>
  <c r="B722" i="5"/>
  <c r="A722" i="5"/>
  <c r="B721" i="5"/>
  <c r="A721" i="5"/>
  <c r="B720" i="5"/>
  <c r="A720" i="5"/>
  <c r="B719" i="5"/>
  <c r="A719" i="5"/>
  <c r="D718" i="5"/>
  <c r="C718" i="5"/>
  <c r="B718" i="5"/>
  <c r="A718" i="5"/>
  <c r="A717" i="5"/>
  <c r="A716" i="5"/>
  <c r="B715" i="5"/>
  <c r="A715" i="5"/>
  <c r="B714" i="5"/>
  <c r="A714" i="5"/>
  <c r="C713" i="5"/>
  <c r="B713" i="5"/>
  <c r="A713" i="5"/>
  <c r="B712" i="5"/>
  <c r="A712" i="5"/>
  <c r="B711" i="5"/>
  <c r="A711" i="5"/>
  <c r="B710" i="5"/>
  <c r="A710" i="5"/>
  <c r="D709" i="5"/>
  <c r="B709" i="5"/>
  <c r="A709" i="5"/>
  <c r="B708" i="5"/>
  <c r="A708" i="5"/>
  <c r="B707" i="5"/>
  <c r="A707" i="5"/>
  <c r="B706" i="5"/>
  <c r="A706" i="5"/>
  <c r="B705" i="5"/>
  <c r="A705" i="5"/>
  <c r="D704" i="5"/>
  <c r="B704" i="5"/>
  <c r="A704" i="5"/>
  <c r="D703" i="5"/>
  <c r="B703" i="5"/>
  <c r="A703" i="5"/>
  <c r="D702" i="5"/>
  <c r="B702" i="5"/>
  <c r="A702" i="5"/>
  <c r="D701" i="5"/>
  <c r="B701" i="5"/>
  <c r="A701" i="5"/>
  <c r="B700" i="5"/>
  <c r="A700" i="5"/>
  <c r="D699" i="5"/>
  <c r="B699" i="5"/>
  <c r="A699" i="5"/>
  <c r="B698" i="5"/>
  <c r="A698" i="5"/>
  <c r="B697" i="5"/>
  <c r="A697" i="5"/>
  <c r="B696" i="5"/>
  <c r="A696" i="5"/>
  <c r="B695" i="5"/>
  <c r="A695" i="5"/>
  <c r="A694" i="5"/>
  <c r="B693" i="5"/>
  <c r="A693" i="5"/>
  <c r="A692" i="5"/>
  <c r="A691" i="5"/>
  <c r="B690" i="5"/>
  <c r="A690" i="5"/>
  <c r="B689" i="5"/>
  <c r="A689" i="5"/>
  <c r="D688" i="5"/>
  <c r="B688" i="5"/>
  <c r="A688" i="5"/>
  <c r="B687" i="5"/>
  <c r="A687" i="5"/>
  <c r="B686" i="5"/>
  <c r="A686" i="5"/>
  <c r="B685" i="5"/>
  <c r="A685" i="5"/>
  <c r="B684" i="5"/>
  <c r="A684" i="5"/>
  <c r="D683" i="5"/>
  <c r="C683" i="5"/>
  <c r="B683" i="5"/>
  <c r="A683" i="5"/>
  <c r="D682" i="5"/>
  <c r="C682" i="5"/>
  <c r="B682" i="5"/>
  <c r="A682" i="5"/>
  <c r="B681" i="5"/>
  <c r="A681" i="5"/>
  <c r="B680" i="5"/>
  <c r="A680" i="5"/>
  <c r="C679" i="5"/>
  <c r="B679" i="5"/>
  <c r="A679" i="5"/>
  <c r="A678" i="5"/>
  <c r="D677" i="5"/>
  <c r="C677" i="5"/>
  <c r="B677" i="5"/>
  <c r="A677" i="5"/>
  <c r="B676" i="5"/>
  <c r="A676" i="5"/>
  <c r="B675" i="5"/>
  <c r="A675" i="5"/>
  <c r="D674" i="5"/>
  <c r="B674" i="5"/>
  <c r="A674" i="5"/>
  <c r="B673" i="5"/>
  <c r="A673" i="5"/>
  <c r="D672" i="5"/>
  <c r="C672" i="5"/>
  <c r="B672" i="5"/>
  <c r="A672" i="5"/>
  <c r="D671" i="5"/>
  <c r="C671" i="5"/>
  <c r="B671" i="5"/>
  <c r="A671" i="5"/>
  <c r="B670" i="5"/>
  <c r="A670" i="5"/>
  <c r="B669" i="5"/>
  <c r="A669" i="5"/>
  <c r="B668" i="5"/>
  <c r="A668" i="5"/>
  <c r="C667" i="5"/>
  <c r="B667" i="5"/>
  <c r="A667" i="5"/>
  <c r="B666" i="5"/>
  <c r="A666" i="5"/>
  <c r="B665" i="5"/>
  <c r="A665" i="5"/>
  <c r="B664" i="5"/>
  <c r="A664" i="5"/>
  <c r="B663" i="5"/>
  <c r="A663" i="5"/>
  <c r="B662" i="5"/>
  <c r="A662" i="5"/>
  <c r="C661" i="5"/>
  <c r="B661" i="5"/>
  <c r="A661" i="5"/>
  <c r="B660" i="5"/>
  <c r="A660" i="5"/>
  <c r="C659" i="5"/>
  <c r="B659" i="5"/>
  <c r="A659" i="5"/>
  <c r="C658" i="5"/>
  <c r="B658" i="5"/>
  <c r="A658" i="5"/>
  <c r="B657" i="5"/>
  <c r="A657" i="5"/>
  <c r="B656" i="5"/>
  <c r="A656" i="5"/>
  <c r="C655" i="5"/>
  <c r="B655" i="5"/>
  <c r="A655" i="5"/>
  <c r="D654" i="5"/>
  <c r="C654" i="5"/>
  <c r="B654" i="5"/>
  <c r="A654" i="5"/>
  <c r="B653" i="5"/>
  <c r="A653" i="5"/>
  <c r="B652" i="5"/>
  <c r="A652" i="5"/>
  <c r="C651" i="5"/>
  <c r="B651" i="5"/>
  <c r="A651" i="5"/>
  <c r="B650" i="5"/>
  <c r="A650" i="5"/>
  <c r="B649" i="5"/>
  <c r="A649" i="5"/>
  <c r="D648" i="5"/>
  <c r="B648" i="5"/>
  <c r="A648" i="5"/>
  <c r="B647" i="5"/>
  <c r="A647" i="5"/>
  <c r="B646" i="5"/>
  <c r="A646" i="5"/>
  <c r="B645" i="5"/>
  <c r="A645" i="5"/>
  <c r="C644" i="5"/>
  <c r="B644" i="5"/>
  <c r="A644" i="5"/>
  <c r="B643" i="5"/>
  <c r="A643" i="5"/>
  <c r="B642" i="5"/>
  <c r="A642" i="5"/>
  <c r="C641" i="5"/>
  <c r="B641" i="5"/>
  <c r="A641" i="5"/>
  <c r="C640" i="5"/>
  <c r="B640" i="5"/>
  <c r="A640" i="5"/>
  <c r="B639" i="5"/>
  <c r="A639" i="5"/>
  <c r="B638" i="5"/>
  <c r="A638" i="5"/>
  <c r="B637" i="5"/>
  <c r="A637" i="5"/>
  <c r="A636" i="5"/>
  <c r="C635" i="5"/>
  <c r="B635" i="5"/>
  <c r="A635" i="5"/>
  <c r="B634" i="5"/>
  <c r="A634" i="5"/>
  <c r="B633" i="5"/>
  <c r="A633" i="5"/>
  <c r="B632" i="5"/>
  <c r="A632" i="5"/>
  <c r="A631" i="5"/>
  <c r="B630" i="5"/>
  <c r="A630" i="5"/>
  <c r="A629" i="5"/>
  <c r="C628" i="5"/>
  <c r="B628" i="5"/>
  <c r="A628" i="5"/>
  <c r="A627" i="5"/>
  <c r="C626" i="5"/>
  <c r="B626" i="5"/>
  <c r="A626" i="5"/>
  <c r="C625" i="5"/>
  <c r="B625" i="5"/>
  <c r="A625" i="5"/>
  <c r="B624" i="5"/>
  <c r="A624" i="5"/>
  <c r="A623" i="5"/>
  <c r="B622" i="5"/>
  <c r="A622" i="5"/>
  <c r="B621" i="5"/>
  <c r="A621" i="5"/>
  <c r="B620" i="5"/>
  <c r="A620" i="5"/>
  <c r="B619" i="5"/>
  <c r="A619" i="5"/>
  <c r="A618" i="5"/>
  <c r="A617" i="5"/>
  <c r="A616" i="5"/>
  <c r="B615" i="5"/>
  <c r="A615" i="5"/>
  <c r="C614" i="5"/>
  <c r="B614" i="5"/>
  <c r="A614" i="5"/>
  <c r="A613" i="5"/>
  <c r="B612" i="5"/>
  <c r="A612" i="5"/>
  <c r="B611" i="5"/>
  <c r="A611" i="5"/>
  <c r="B610" i="5"/>
  <c r="A610" i="5"/>
  <c r="B609" i="5"/>
  <c r="A609" i="5"/>
  <c r="B608" i="5"/>
  <c r="A608" i="5"/>
  <c r="A607" i="5"/>
  <c r="A606" i="5"/>
  <c r="B605" i="5"/>
  <c r="A605" i="5"/>
  <c r="B604" i="5"/>
  <c r="A604" i="5"/>
  <c r="B603" i="5"/>
  <c r="A603" i="5"/>
  <c r="B602" i="5"/>
  <c r="A602" i="5"/>
  <c r="B601" i="5"/>
  <c r="A601" i="5"/>
  <c r="B600" i="5"/>
  <c r="A600" i="5"/>
  <c r="B599" i="5"/>
  <c r="A599" i="5"/>
  <c r="B598" i="5"/>
  <c r="A598" i="5"/>
  <c r="A597" i="5"/>
  <c r="C596" i="5"/>
  <c r="B596" i="5"/>
  <c r="A596" i="5"/>
  <c r="B595" i="5"/>
  <c r="A595" i="5"/>
  <c r="B594" i="5"/>
  <c r="A594" i="5"/>
  <c r="A593" i="5"/>
  <c r="A592" i="5"/>
  <c r="B591" i="5"/>
  <c r="A591" i="5"/>
  <c r="B590" i="5"/>
  <c r="A590" i="5"/>
  <c r="B589" i="5"/>
  <c r="A589" i="5"/>
  <c r="B588" i="5"/>
  <c r="A588" i="5"/>
  <c r="B587" i="5"/>
  <c r="A587" i="5"/>
  <c r="A586" i="5"/>
  <c r="B585" i="5"/>
  <c r="A585" i="5"/>
  <c r="B584" i="5"/>
  <c r="A584" i="5"/>
  <c r="A583" i="5"/>
  <c r="B582" i="5"/>
  <c r="A582" i="5"/>
  <c r="B581" i="5"/>
  <c r="A581" i="5"/>
  <c r="B580" i="5"/>
  <c r="A580" i="5"/>
  <c r="B579" i="5"/>
  <c r="A579" i="5"/>
  <c r="B578" i="5"/>
  <c r="A578" i="5"/>
  <c r="B577" i="5"/>
  <c r="A577" i="5"/>
  <c r="A576" i="5"/>
  <c r="B575" i="5"/>
  <c r="A575" i="5"/>
  <c r="C574" i="5"/>
  <c r="B574" i="5"/>
  <c r="A574" i="5"/>
  <c r="A573" i="5"/>
  <c r="B572" i="5"/>
  <c r="A572" i="5"/>
  <c r="B571" i="5"/>
  <c r="A571" i="5"/>
  <c r="B570" i="5"/>
  <c r="A570" i="5"/>
  <c r="A569" i="5"/>
  <c r="D568" i="5"/>
  <c r="C568" i="5"/>
  <c r="B568" i="5"/>
  <c r="A568" i="5"/>
  <c r="B567" i="5"/>
  <c r="A567" i="5"/>
  <c r="B566" i="5"/>
  <c r="A566" i="5"/>
  <c r="C565" i="5"/>
  <c r="B565" i="5"/>
  <c r="A565" i="5"/>
  <c r="B564" i="5"/>
  <c r="A564" i="5"/>
  <c r="B563" i="5"/>
  <c r="A563" i="5"/>
  <c r="B562" i="5"/>
  <c r="A562" i="5"/>
  <c r="D561" i="5"/>
  <c r="B561" i="5"/>
  <c r="A561" i="5"/>
  <c r="B560" i="5"/>
  <c r="A560" i="5"/>
  <c r="B559" i="5"/>
  <c r="A559" i="5"/>
  <c r="B558" i="5"/>
  <c r="A558" i="5"/>
  <c r="B557" i="5"/>
  <c r="A557" i="5"/>
  <c r="B556" i="5"/>
  <c r="A556" i="5"/>
  <c r="B555" i="5"/>
  <c r="A555" i="5"/>
  <c r="C554" i="5"/>
  <c r="B554" i="5"/>
  <c r="A554" i="5"/>
  <c r="D553" i="5"/>
  <c r="B553" i="5"/>
  <c r="A553" i="5"/>
  <c r="D552" i="5"/>
  <c r="B552" i="5"/>
  <c r="A552" i="5"/>
  <c r="B551" i="5"/>
  <c r="A551" i="5"/>
  <c r="A550" i="5"/>
  <c r="A549" i="5"/>
  <c r="B548" i="5"/>
  <c r="A548" i="5"/>
  <c r="B547" i="5"/>
  <c r="A547" i="5"/>
  <c r="A546" i="5"/>
  <c r="A545" i="5"/>
  <c r="B544" i="5"/>
  <c r="A544" i="5"/>
  <c r="C543" i="5"/>
  <c r="B543" i="5"/>
  <c r="A543" i="5"/>
  <c r="C542" i="5"/>
  <c r="B542" i="5"/>
  <c r="A542" i="5"/>
  <c r="B541" i="5"/>
  <c r="A541" i="5"/>
  <c r="B540" i="5"/>
  <c r="A540" i="5"/>
  <c r="A539" i="5"/>
  <c r="C538" i="5"/>
  <c r="B538" i="5"/>
  <c r="A538" i="5"/>
  <c r="B537" i="5"/>
  <c r="A537" i="5"/>
  <c r="D536" i="5"/>
  <c r="B536" i="5"/>
  <c r="A536" i="5"/>
  <c r="B535" i="5"/>
  <c r="A535" i="5"/>
  <c r="B534" i="5"/>
  <c r="A534" i="5"/>
  <c r="B533" i="5"/>
  <c r="A533" i="5"/>
  <c r="B532" i="5"/>
  <c r="A532" i="5"/>
  <c r="B531" i="5"/>
  <c r="A531" i="5"/>
  <c r="B530" i="5"/>
  <c r="A530" i="5"/>
  <c r="B529" i="5"/>
  <c r="A529" i="5"/>
  <c r="A528" i="5"/>
  <c r="B527" i="5"/>
  <c r="A527" i="5"/>
  <c r="B526" i="5"/>
  <c r="A526" i="5"/>
  <c r="B525" i="5"/>
  <c r="A525" i="5"/>
  <c r="B524" i="5"/>
  <c r="A524" i="5"/>
  <c r="B523" i="5"/>
  <c r="A523" i="5"/>
  <c r="B522" i="5"/>
  <c r="A522" i="5"/>
  <c r="B521" i="5"/>
  <c r="A521" i="5"/>
  <c r="A520" i="5"/>
  <c r="B519" i="5"/>
  <c r="A519" i="5"/>
  <c r="B518" i="5"/>
  <c r="A518" i="5"/>
  <c r="B517" i="5"/>
  <c r="A517" i="5"/>
  <c r="B516" i="5"/>
  <c r="A516" i="5"/>
  <c r="B515" i="5"/>
  <c r="A515" i="5"/>
  <c r="B514" i="5"/>
  <c r="A514" i="5"/>
  <c r="B513" i="5"/>
  <c r="A513" i="5"/>
  <c r="B512" i="5"/>
  <c r="A512" i="5"/>
  <c r="B511" i="5"/>
  <c r="A511" i="5"/>
  <c r="B510" i="5"/>
  <c r="A510" i="5"/>
  <c r="B509" i="5"/>
  <c r="A509" i="5"/>
  <c r="B508" i="5"/>
  <c r="A508" i="5"/>
  <c r="B507" i="5"/>
  <c r="A507" i="5"/>
  <c r="B506" i="5"/>
  <c r="A506" i="5"/>
  <c r="B505" i="5"/>
  <c r="A505" i="5"/>
  <c r="B504" i="5"/>
  <c r="A504" i="5"/>
  <c r="B503" i="5"/>
  <c r="A503" i="5"/>
  <c r="B502" i="5"/>
  <c r="A502" i="5"/>
  <c r="D501" i="5"/>
  <c r="B501" i="5"/>
  <c r="A501" i="5"/>
  <c r="B500" i="5"/>
  <c r="A500" i="5"/>
  <c r="B499" i="5"/>
  <c r="A499" i="5"/>
  <c r="A498" i="5"/>
  <c r="B497" i="5"/>
  <c r="A497" i="5"/>
  <c r="D496" i="5"/>
  <c r="C496" i="5"/>
  <c r="B496" i="5"/>
  <c r="A496" i="5"/>
  <c r="A495" i="5"/>
  <c r="A494" i="5"/>
  <c r="A493" i="5"/>
  <c r="B492" i="5"/>
  <c r="A492" i="5"/>
  <c r="C491" i="5"/>
  <c r="B491" i="5"/>
  <c r="A491" i="5"/>
  <c r="B490" i="5"/>
  <c r="A490" i="5"/>
  <c r="C489" i="5"/>
  <c r="B489" i="5"/>
  <c r="A489" i="5"/>
  <c r="A488" i="5"/>
  <c r="A487" i="5"/>
  <c r="D486" i="5"/>
  <c r="C486" i="5"/>
  <c r="B486" i="5"/>
  <c r="A486" i="5"/>
  <c r="B485" i="5"/>
  <c r="A485" i="5"/>
  <c r="B484" i="5"/>
  <c r="A484" i="5"/>
  <c r="B483" i="5"/>
  <c r="A483" i="5"/>
  <c r="B482" i="5"/>
  <c r="A482" i="5"/>
  <c r="D481" i="5"/>
  <c r="C481" i="5"/>
  <c r="B481" i="5"/>
  <c r="A481" i="5"/>
  <c r="B480" i="5"/>
  <c r="A480" i="5"/>
  <c r="B479" i="5"/>
  <c r="A479" i="5"/>
  <c r="B478" i="5"/>
  <c r="A478" i="5"/>
  <c r="B477" i="5"/>
  <c r="A477" i="5"/>
  <c r="B476" i="5"/>
  <c r="A476" i="5"/>
  <c r="A475" i="5"/>
  <c r="B474" i="5"/>
  <c r="A474" i="5"/>
  <c r="D473" i="5"/>
  <c r="C473" i="5"/>
  <c r="B473" i="5"/>
  <c r="A473" i="5"/>
  <c r="B472" i="5"/>
  <c r="A472" i="5"/>
  <c r="C471" i="5"/>
  <c r="B471" i="5"/>
  <c r="A471" i="5"/>
  <c r="B470" i="5"/>
  <c r="A470" i="5"/>
  <c r="B469" i="5"/>
  <c r="A469" i="5"/>
  <c r="B468" i="5"/>
  <c r="A468" i="5"/>
  <c r="B467" i="5"/>
  <c r="A467" i="5"/>
  <c r="B466" i="5"/>
  <c r="A466" i="5"/>
  <c r="A465" i="5"/>
  <c r="C464" i="5"/>
  <c r="B464" i="5"/>
  <c r="A464" i="5"/>
  <c r="B463" i="5"/>
  <c r="A463" i="5"/>
  <c r="B462" i="5"/>
  <c r="A462" i="5"/>
  <c r="A461" i="5"/>
  <c r="B460" i="5"/>
  <c r="A460" i="5"/>
  <c r="B459" i="5"/>
  <c r="A459" i="5"/>
  <c r="A458" i="5"/>
  <c r="B457" i="5"/>
  <c r="A457" i="5"/>
  <c r="B456" i="5"/>
  <c r="A456" i="5"/>
  <c r="C455" i="5"/>
  <c r="B455" i="5"/>
  <c r="A455" i="5"/>
  <c r="B454" i="5"/>
  <c r="A454" i="5"/>
  <c r="A453" i="5"/>
  <c r="B452" i="5"/>
  <c r="A452" i="5"/>
  <c r="A451" i="5"/>
  <c r="B450" i="5"/>
  <c r="A450" i="5"/>
  <c r="B449" i="5"/>
  <c r="A449" i="5"/>
  <c r="B448" i="5"/>
  <c r="A448" i="5"/>
  <c r="A447" i="5"/>
  <c r="A446" i="5"/>
  <c r="B445" i="5"/>
  <c r="A445" i="5"/>
  <c r="B444" i="5"/>
  <c r="A444" i="5"/>
  <c r="B443" i="5"/>
  <c r="A443" i="5"/>
  <c r="B442" i="5"/>
  <c r="A442" i="5"/>
  <c r="A441" i="5"/>
  <c r="B440" i="5"/>
  <c r="A440" i="5"/>
  <c r="B439" i="5"/>
  <c r="A439" i="5"/>
  <c r="B438" i="5"/>
  <c r="A438" i="5"/>
  <c r="C437" i="5"/>
  <c r="B437" i="5"/>
  <c r="A437" i="5"/>
  <c r="B436" i="5"/>
  <c r="A436" i="5"/>
  <c r="B435" i="5"/>
  <c r="A435" i="5"/>
  <c r="B434" i="5"/>
  <c r="A434" i="5"/>
  <c r="B433" i="5"/>
  <c r="A433" i="5"/>
  <c r="C432" i="5"/>
  <c r="B432" i="5"/>
  <c r="A432" i="5"/>
  <c r="A431" i="5"/>
  <c r="A430" i="5"/>
  <c r="D429" i="5"/>
  <c r="B429" i="5"/>
  <c r="A429" i="5"/>
  <c r="B428" i="5"/>
  <c r="A428" i="5"/>
  <c r="C427" i="5"/>
  <c r="B427" i="5"/>
  <c r="A427" i="5"/>
  <c r="A426" i="5"/>
  <c r="C425" i="5"/>
  <c r="B425" i="5"/>
  <c r="A425" i="5"/>
  <c r="D424" i="5"/>
  <c r="C424" i="5"/>
  <c r="B424" i="5"/>
  <c r="A424" i="5"/>
  <c r="B423" i="5"/>
  <c r="A423" i="5"/>
  <c r="B422" i="5"/>
  <c r="A422" i="5"/>
  <c r="B421" i="5"/>
  <c r="A421" i="5"/>
  <c r="B420" i="5"/>
  <c r="A420" i="5"/>
  <c r="B419" i="5"/>
  <c r="A419" i="5"/>
  <c r="A418" i="5"/>
  <c r="C417" i="5"/>
  <c r="B417" i="5"/>
  <c r="A417" i="5"/>
  <c r="C416" i="5"/>
  <c r="B416" i="5"/>
  <c r="A416" i="5"/>
  <c r="A415" i="5"/>
  <c r="A414" i="5"/>
  <c r="B413" i="5"/>
  <c r="A413" i="5"/>
  <c r="D412" i="5"/>
  <c r="B412" i="5"/>
  <c r="A412" i="5"/>
  <c r="B411" i="5"/>
  <c r="A411" i="5"/>
  <c r="B410" i="5"/>
  <c r="A410" i="5"/>
  <c r="B409" i="5"/>
  <c r="A409" i="5"/>
  <c r="A408" i="5"/>
  <c r="B407" i="5"/>
  <c r="A407" i="5"/>
  <c r="D406" i="5"/>
  <c r="B406" i="5"/>
  <c r="A406" i="5"/>
  <c r="B405" i="5"/>
  <c r="A405" i="5"/>
  <c r="B404" i="5"/>
  <c r="A404" i="5"/>
  <c r="B403" i="5"/>
  <c r="A403" i="5"/>
  <c r="B402" i="5"/>
  <c r="A402" i="5"/>
  <c r="B401" i="5"/>
  <c r="A401" i="5"/>
  <c r="B400" i="5"/>
  <c r="A400" i="5"/>
  <c r="C399" i="5"/>
  <c r="B399" i="5"/>
  <c r="A399" i="5"/>
  <c r="A398" i="5"/>
  <c r="A397" i="5"/>
  <c r="A396" i="5"/>
  <c r="B395" i="5"/>
  <c r="A395" i="5"/>
  <c r="B394" i="5"/>
  <c r="A394" i="5"/>
  <c r="B393" i="5"/>
  <c r="A393" i="5"/>
  <c r="A392" i="5"/>
  <c r="B391" i="5"/>
  <c r="A391" i="5"/>
  <c r="B390" i="5"/>
  <c r="A390" i="5"/>
  <c r="B389" i="5"/>
  <c r="A389" i="5"/>
  <c r="A388" i="5"/>
  <c r="B387" i="5"/>
  <c r="A387" i="5"/>
  <c r="A386" i="5"/>
  <c r="C385" i="5"/>
  <c r="A385" i="5"/>
  <c r="B384" i="5"/>
  <c r="A384" i="5"/>
  <c r="A383" i="5"/>
  <c r="A382" i="5"/>
  <c r="B381" i="5"/>
  <c r="A381" i="5"/>
  <c r="B380" i="5"/>
  <c r="A380" i="5"/>
  <c r="C379" i="5"/>
  <c r="B379" i="5"/>
  <c r="A379" i="5"/>
  <c r="C378" i="5"/>
  <c r="B378" i="5"/>
  <c r="A378" i="5"/>
  <c r="B377" i="5"/>
  <c r="A377" i="5"/>
  <c r="B376" i="5"/>
  <c r="A376" i="5"/>
  <c r="B375" i="5"/>
  <c r="A375" i="5"/>
  <c r="A374" i="5"/>
  <c r="B373" i="5"/>
  <c r="A373" i="5"/>
  <c r="B372" i="5"/>
  <c r="A372" i="5"/>
  <c r="B371" i="5"/>
  <c r="A371" i="5"/>
  <c r="A370" i="5"/>
  <c r="B369" i="5"/>
  <c r="A369" i="5"/>
  <c r="B368" i="5"/>
  <c r="A368" i="5"/>
  <c r="B367" i="5"/>
  <c r="A367" i="5"/>
  <c r="B366" i="5"/>
  <c r="A366" i="5"/>
  <c r="B365" i="5"/>
  <c r="A365" i="5"/>
  <c r="D364" i="5"/>
  <c r="C364" i="5"/>
  <c r="B364" i="5"/>
  <c r="A364" i="5"/>
  <c r="A363" i="5"/>
  <c r="B362" i="5"/>
  <c r="A362" i="5"/>
  <c r="B361" i="5"/>
  <c r="A361" i="5"/>
  <c r="B360" i="5"/>
  <c r="A360" i="5"/>
  <c r="B359" i="5"/>
  <c r="A359" i="5"/>
  <c r="D358" i="5"/>
  <c r="B358" i="5"/>
  <c r="A358" i="5"/>
  <c r="B357" i="5"/>
  <c r="A357" i="5"/>
  <c r="B356" i="5"/>
  <c r="A356" i="5"/>
  <c r="B355" i="5"/>
  <c r="A355" i="5"/>
  <c r="B354" i="5"/>
  <c r="A354" i="5"/>
  <c r="B353" i="5"/>
  <c r="A353" i="5"/>
  <c r="B352" i="5"/>
  <c r="A352" i="5"/>
  <c r="B351" i="5"/>
  <c r="A351" i="5"/>
  <c r="B350" i="5"/>
  <c r="A350" i="5"/>
  <c r="B349" i="5"/>
  <c r="A349" i="5"/>
  <c r="D348" i="5"/>
  <c r="B348" i="5"/>
  <c r="A348" i="5"/>
  <c r="D347" i="5"/>
  <c r="B347" i="5"/>
  <c r="A347" i="5"/>
  <c r="D346" i="5"/>
  <c r="B346" i="5"/>
  <c r="A346" i="5"/>
  <c r="A345" i="5"/>
  <c r="B344" i="5"/>
  <c r="A344" i="5"/>
  <c r="B343" i="5"/>
  <c r="A343" i="5"/>
  <c r="D342" i="5"/>
  <c r="B342" i="5"/>
  <c r="A342" i="5"/>
  <c r="A341" i="5"/>
  <c r="B340" i="5"/>
  <c r="A340" i="5"/>
  <c r="A339" i="5"/>
  <c r="A338" i="5"/>
  <c r="B337" i="5"/>
  <c r="A337" i="5"/>
  <c r="A336" i="5"/>
  <c r="D335" i="5"/>
  <c r="B335" i="5"/>
  <c r="A335" i="5"/>
  <c r="A334" i="5"/>
  <c r="B333" i="5"/>
  <c r="A333" i="5"/>
  <c r="B332" i="5"/>
  <c r="A332" i="5"/>
  <c r="B331" i="5"/>
  <c r="A331" i="5"/>
  <c r="B330" i="5"/>
  <c r="A330" i="5"/>
  <c r="B329" i="5"/>
  <c r="A329" i="5"/>
  <c r="B328" i="5"/>
  <c r="A328" i="5"/>
  <c r="A327" i="5"/>
  <c r="D326" i="5"/>
  <c r="B326" i="5"/>
  <c r="A326" i="5"/>
  <c r="A325" i="5"/>
  <c r="A324" i="5"/>
  <c r="B323" i="5"/>
  <c r="A323" i="5"/>
  <c r="B322" i="5"/>
  <c r="A322" i="5"/>
  <c r="B321" i="5"/>
  <c r="A321" i="5"/>
  <c r="B320" i="5"/>
  <c r="A320" i="5"/>
  <c r="A319" i="5"/>
  <c r="B318" i="5"/>
  <c r="A318" i="5"/>
  <c r="B317" i="5"/>
  <c r="A317" i="5"/>
  <c r="C316" i="5"/>
  <c r="B316" i="5"/>
  <c r="A316" i="5"/>
  <c r="B315" i="5"/>
  <c r="A315" i="5"/>
  <c r="A314" i="5"/>
  <c r="B313" i="5"/>
  <c r="A313" i="5"/>
  <c r="B312" i="5"/>
  <c r="A312" i="5"/>
  <c r="B311" i="5"/>
  <c r="A311" i="5"/>
  <c r="B310" i="5"/>
  <c r="A310" i="5"/>
  <c r="B309" i="5"/>
  <c r="A309" i="5"/>
  <c r="B308" i="5"/>
  <c r="A308" i="5"/>
  <c r="B307" i="5"/>
  <c r="A307" i="5"/>
  <c r="B306" i="5"/>
  <c r="A306" i="5"/>
  <c r="B305" i="5"/>
  <c r="A305" i="5"/>
  <c r="A304" i="5"/>
  <c r="B303" i="5"/>
  <c r="A303" i="5"/>
  <c r="B302" i="5"/>
  <c r="A302" i="5"/>
  <c r="B301" i="5"/>
  <c r="A301" i="5"/>
  <c r="B300" i="5"/>
  <c r="A300" i="5"/>
  <c r="B299" i="5"/>
  <c r="A299" i="5"/>
  <c r="B298" i="5"/>
  <c r="A298" i="5"/>
  <c r="B297" i="5"/>
  <c r="A297" i="5"/>
  <c r="B296" i="5"/>
  <c r="A296" i="5"/>
  <c r="B295" i="5"/>
  <c r="A295" i="5"/>
  <c r="B294" i="5"/>
  <c r="A294" i="5"/>
  <c r="D293" i="5"/>
  <c r="B293" i="5"/>
  <c r="A293" i="5"/>
  <c r="D292" i="5"/>
  <c r="B292" i="5"/>
  <c r="A292" i="5"/>
  <c r="D291" i="5"/>
  <c r="B291" i="5"/>
  <c r="A291" i="5"/>
  <c r="B290" i="5"/>
  <c r="A290" i="5"/>
  <c r="B289" i="5"/>
  <c r="A289" i="5"/>
  <c r="B288" i="5"/>
  <c r="A288" i="5"/>
  <c r="B287" i="5"/>
  <c r="A287" i="5"/>
  <c r="B286" i="5"/>
  <c r="A286" i="5"/>
  <c r="B285" i="5"/>
  <c r="A285" i="5"/>
  <c r="B284" i="5"/>
  <c r="A284" i="5"/>
  <c r="A283" i="5"/>
  <c r="D282" i="5"/>
  <c r="C282" i="5"/>
  <c r="B282" i="5"/>
  <c r="A282" i="5"/>
  <c r="D281" i="5"/>
  <c r="B281" i="5"/>
  <c r="A281" i="5"/>
  <c r="B280" i="5"/>
  <c r="A280" i="5"/>
  <c r="C279" i="5"/>
  <c r="A279" i="5"/>
  <c r="B278" i="5"/>
  <c r="A278" i="5"/>
  <c r="C277" i="5"/>
  <c r="B277" i="5"/>
  <c r="A277" i="5"/>
  <c r="C276" i="5"/>
  <c r="B276" i="5"/>
  <c r="A276" i="5"/>
  <c r="B275" i="5"/>
  <c r="A275" i="5"/>
  <c r="D274" i="5"/>
  <c r="C274" i="5"/>
  <c r="B274" i="5"/>
  <c r="A274" i="5"/>
  <c r="B273" i="5"/>
  <c r="A273" i="5"/>
  <c r="B272" i="5"/>
  <c r="A272" i="5"/>
  <c r="B271" i="5"/>
  <c r="A271" i="5"/>
  <c r="A270" i="5"/>
  <c r="A269" i="5"/>
  <c r="B268" i="5"/>
  <c r="A268" i="5"/>
  <c r="B267" i="5"/>
  <c r="A267" i="5"/>
  <c r="B266" i="5"/>
  <c r="A266" i="5"/>
  <c r="B265" i="5"/>
  <c r="A265" i="5"/>
  <c r="B264" i="5"/>
  <c r="A264" i="5"/>
  <c r="C263" i="5"/>
  <c r="B263" i="5"/>
  <c r="A263" i="5"/>
  <c r="B262" i="5"/>
  <c r="A262" i="5"/>
  <c r="D261" i="5"/>
  <c r="B261" i="5"/>
  <c r="A261" i="5"/>
  <c r="A260" i="5"/>
  <c r="B259" i="5"/>
  <c r="A259" i="5"/>
  <c r="A258" i="5"/>
  <c r="B257" i="5"/>
  <c r="A257" i="5"/>
  <c r="B256" i="5"/>
  <c r="A256" i="5"/>
  <c r="B255" i="5"/>
  <c r="A255" i="5"/>
  <c r="A254" i="5"/>
  <c r="B253" i="5"/>
  <c r="A253" i="5"/>
  <c r="D252" i="5"/>
  <c r="C252" i="5"/>
  <c r="B252" i="5"/>
  <c r="A252" i="5"/>
  <c r="A251" i="5"/>
  <c r="B250" i="5"/>
  <c r="A250" i="5"/>
  <c r="B249" i="5"/>
  <c r="A249" i="5"/>
  <c r="B248" i="5"/>
  <c r="A248" i="5"/>
  <c r="B247" i="5"/>
  <c r="A247" i="5"/>
  <c r="B246" i="5"/>
  <c r="A246" i="5"/>
  <c r="B245" i="5"/>
  <c r="A245" i="5"/>
  <c r="B244" i="5"/>
  <c r="A244" i="5"/>
  <c r="B243" i="5"/>
  <c r="A243" i="5"/>
  <c r="A242" i="5"/>
  <c r="B241" i="5"/>
  <c r="A241" i="5"/>
  <c r="B240" i="5"/>
  <c r="A240" i="5"/>
  <c r="B239" i="5"/>
  <c r="A239" i="5"/>
  <c r="A238" i="5"/>
  <c r="B237" i="5"/>
  <c r="A237" i="5"/>
  <c r="B236" i="5"/>
  <c r="A236" i="5"/>
  <c r="B235" i="5"/>
  <c r="A235" i="5"/>
  <c r="B234" i="5"/>
  <c r="A234" i="5"/>
  <c r="B233" i="5"/>
  <c r="A233" i="5"/>
  <c r="B232" i="5"/>
  <c r="A232" i="5"/>
  <c r="B231" i="5"/>
  <c r="A231" i="5"/>
  <c r="B230" i="5"/>
  <c r="A230" i="5"/>
  <c r="B229" i="5"/>
  <c r="A229" i="5"/>
  <c r="C228" i="5"/>
  <c r="B228" i="5"/>
  <c r="A228" i="5"/>
  <c r="B227" i="5"/>
  <c r="A227" i="5"/>
  <c r="B226" i="5"/>
  <c r="A226" i="5"/>
  <c r="C225" i="5"/>
  <c r="B225" i="5"/>
  <c r="A225" i="5"/>
  <c r="A224" i="5"/>
  <c r="A223" i="5"/>
  <c r="A222" i="5"/>
  <c r="B221" i="5"/>
  <c r="A221" i="5"/>
  <c r="B220" i="5"/>
  <c r="A220" i="5"/>
  <c r="B219" i="5"/>
  <c r="A219" i="5"/>
  <c r="A218" i="5"/>
  <c r="B217" i="5"/>
  <c r="A217" i="5"/>
  <c r="B216" i="5"/>
  <c r="A216" i="5"/>
  <c r="A215" i="5"/>
  <c r="B214" i="5"/>
  <c r="A214" i="5"/>
  <c r="C213" i="5"/>
  <c r="B213" i="5"/>
  <c r="A213" i="5"/>
  <c r="C212" i="5"/>
  <c r="B212" i="5"/>
  <c r="A212" i="5"/>
  <c r="B211" i="5"/>
  <c r="A211" i="5"/>
  <c r="B210" i="5"/>
  <c r="A210" i="5"/>
  <c r="B209" i="5"/>
  <c r="A209" i="5"/>
  <c r="B208" i="5"/>
  <c r="A208" i="5"/>
  <c r="B207" i="5"/>
  <c r="A207" i="5"/>
  <c r="B206" i="5"/>
  <c r="A206" i="5"/>
  <c r="B205" i="5"/>
  <c r="A205" i="5"/>
  <c r="B204" i="5"/>
  <c r="A204" i="5"/>
  <c r="B203" i="5"/>
  <c r="A203" i="5"/>
  <c r="B202" i="5"/>
  <c r="A202" i="5"/>
  <c r="B201" i="5"/>
  <c r="A201" i="5"/>
  <c r="A200" i="5"/>
  <c r="B199" i="5"/>
  <c r="A199" i="5"/>
  <c r="B198" i="5"/>
  <c r="A198" i="5"/>
  <c r="D197" i="5"/>
  <c r="B197" i="5"/>
  <c r="A197" i="5"/>
  <c r="B196" i="5"/>
  <c r="A196" i="5"/>
  <c r="B195" i="5"/>
  <c r="A195" i="5"/>
  <c r="B194" i="5"/>
  <c r="A194" i="5"/>
  <c r="B193" i="5"/>
  <c r="A193" i="5"/>
  <c r="B192" i="5"/>
  <c r="A192" i="5"/>
  <c r="A191" i="5"/>
  <c r="A190" i="5"/>
  <c r="C189" i="5"/>
  <c r="B189" i="5"/>
  <c r="A189" i="5"/>
  <c r="A188" i="5"/>
  <c r="B187" i="5"/>
  <c r="A187" i="5"/>
  <c r="B186" i="5"/>
  <c r="A186" i="5"/>
  <c r="B185" i="5"/>
  <c r="A185" i="5"/>
  <c r="B184" i="5"/>
  <c r="A184" i="5"/>
  <c r="B183" i="5"/>
  <c r="A183" i="5"/>
  <c r="B182" i="5"/>
  <c r="A182" i="5"/>
  <c r="B181" i="5"/>
  <c r="A181" i="5"/>
  <c r="B180" i="5"/>
  <c r="A180" i="5"/>
  <c r="A179" i="5"/>
  <c r="D178" i="5"/>
  <c r="B178" i="5"/>
  <c r="A178" i="5"/>
  <c r="B177" i="5"/>
  <c r="A177" i="5"/>
  <c r="B176" i="5"/>
  <c r="A176" i="5"/>
  <c r="C175" i="5"/>
  <c r="B175" i="5"/>
  <c r="A175" i="5"/>
  <c r="B174" i="5"/>
  <c r="A174" i="5"/>
  <c r="A173" i="5"/>
  <c r="B172" i="5"/>
  <c r="A172" i="5"/>
  <c r="B171" i="5"/>
  <c r="A171" i="5"/>
  <c r="B170" i="5"/>
  <c r="A170" i="5"/>
  <c r="B169" i="5"/>
  <c r="A169" i="5"/>
  <c r="D168" i="5"/>
  <c r="C168"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B152" i="5"/>
  <c r="A152" i="5"/>
  <c r="B151" i="5"/>
  <c r="A151" i="5"/>
  <c r="B150" i="5"/>
  <c r="A150" i="5"/>
  <c r="B149" i="5"/>
  <c r="A149" i="5"/>
  <c r="B148" i="5"/>
  <c r="A148" i="5"/>
  <c r="D147" i="5"/>
  <c r="C147" i="5"/>
  <c r="B147" i="5"/>
  <c r="A147" i="5"/>
  <c r="B146" i="5"/>
  <c r="A146" i="5"/>
  <c r="B145" i="5"/>
  <c r="A145" i="5"/>
  <c r="B144" i="5"/>
  <c r="A144" i="5"/>
  <c r="A143" i="5"/>
  <c r="C142" i="5"/>
  <c r="B142" i="5"/>
  <c r="A142" i="5"/>
  <c r="B141" i="5"/>
  <c r="A141" i="5"/>
  <c r="B140" i="5"/>
  <c r="A140" i="5"/>
  <c r="B139" i="5"/>
  <c r="A139" i="5"/>
  <c r="B138" i="5"/>
  <c r="A138" i="5"/>
  <c r="C137" i="5"/>
  <c r="B137" i="5"/>
  <c r="A137" i="5"/>
  <c r="B136" i="5"/>
  <c r="A136" i="5"/>
  <c r="B135" i="5"/>
  <c r="A135" i="5"/>
  <c r="C134" i="5"/>
  <c r="B134" i="5"/>
  <c r="A134" i="5"/>
  <c r="B133" i="5"/>
  <c r="A133" i="5"/>
  <c r="B132" i="5"/>
  <c r="A132" i="5"/>
  <c r="B131" i="5"/>
  <c r="A131" i="5"/>
  <c r="B130" i="5"/>
  <c r="A130" i="5"/>
  <c r="B129" i="5"/>
  <c r="A129" i="5"/>
  <c r="B128" i="5"/>
  <c r="A128" i="5"/>
  <c r="B127" i="5"/>
  <c r="A127" i="5"/>
  <c r="B126" i="5"/>
  <c r="A126" i="5"/>
  <c r="C125" i="5"/>
  <c r="B125" i="5"/>
  <c r="A125" i="5"/>
  <c r="B124" i="5"/>
  <c r="A124" i="5"/>
  <c r="A123" i="5"/>
  <c r="B122" i="5"/>
  <c r="A122" i="5"/>
  <c r="D121" i="5"/>
  <c r="C121" i="5"/>
  <c r="B121" i="5"/>
  <c r="A121" i="5"/>
  <c r="B120" i="5"/>
  <c r="A120" i="5"/>
  <c r="B119" i="5"/>
  <c r="A119" i="5"/>
  <c r="B118" i="5"/>
  <c r="A118" i="5"/>
  <c r="B117" i="5"/>
  <c r="A117" i="5"/>
  <c r="B116" i="5"/>
  <c r="A116" i="5"/>
  <c r="B115" i="5"/>
  <c r="A115" i="5"/>
  <c r="B114" i="5"/>
  <c r="A114" i="5"/>
  <c r="B113" i="5"/>
  <c r="A113" i="5"/>
  <c r="B112" i="5"/>
  <c r="A112" i="5"/>
  <c r="D111" i="5"/>
  <c r="C111" i="5"/>
  <c r="B111" i="5"/>
  <c r="A111" i="5"/>
  <c r="B110" i="5"/>
  <c r="A110" i="5"/>
  <c r="B109" i="5"/>
  <c r="A109" i="5"/>
  <c r="A108" i="5"/>
  <c r="D107" i="5"/>
  <c r="B107" i="5"/>
  <c r="A107" i="5"/>
  <c r="B106" i="5"/>
  <c r="A106" i="5"/>
  <c r="C105" i="5"/>
  <c r="B105" i="5"/>
  <c r="A105" i="5"/>
  <c r="B104" i="5"/>
  <c r="A104" i="5"/>
  <c r="B103" i="5"/>
  <c r="A103" i="5"/>
  <c r="B102" i="5"/>
  <c r="A102" i="5"/>
  <c r="B101" i="5"/>
  <c r="A101" i="5"/>
  <c r="B100" i="5"/>
  <c r="A100" i="5"/>
  <c r="B99" i="5"/>
  <c r="A99" i="5"/>
  <c r="B98" i="5"/>
  <c r="A98" i="5"/>
  <c r="D97" i="5"/>
  <c r="C97" i="5"/>
  <c r="B97" i="5"/>
  <c r="A97" i="5"/>
  <c r="C96" i="5"/>
  <c r="B96" i="5"/>
  <c r="A96" i="5"/>
  <c r="B95" i="5"/>
  <c r="A95" i="5"/>
  <c r="B94" i="5"/>
  <c r="A94" i="5"/>
  <c r="B93" i="5"/>
  <c r="A93" i="5"/>
  <c r="B92" i="5"/>
  <c r="A92" i="5"/>
  <c r="C91" i="5"/>
  <c r="B91" i="5"/>
  <c r="A91" i="5"/>
  <c r="D90" i="5"/>
  <c r="C90" i="5"/>
  <c r="B90" i="5"/>
  <c r="A90" i="5"/>
  <c r="B89" i="5"/>
  <c r="A89" i="5"/>
  <c r="A88" i="5"/>
  <c r="D87" i="5"/>
  <c r="B87" i="5"/>
  <c r="A87" i="5"/>
  <c r="C86" i="5"/>
  <c r="B86" i="5"/>
  <c r="A86" i="5"/>
  <c r="A85" i="5"/>
  <c r="B84" i="5"/>
  <c r="A84" i="5"/>
  <c r="B83" i="5"/>
  <c r="A83" i="5"/>
  <c r="B82" i="5"/>
  <c r="A82" i="5"/>
  <c r="B81" i="5"/>
  <c r="A81" i="5"/>
  <c r="B80" i="5"/>
  <c r="A80" i="5"/>
  <c r="B79" i="5"/>
  <c r="A79" i="5"/>
  <c r="B78" i="5"/>
  <c r="A78" i="5"/>
  <c r="B77" i="5"/>
  <c r="A77" i="5"/>
  <c r="B76" i="5"/>
  <c r="A76" i="5"/>
  <c r="B75" i="5"/>
  <c r="A75" i="5"/>
  <c r="B74" i="5"/>
  <c r="A74" i="5"/>
  <c r="D73" i="5"/>
  <c r="B73" i="5"/>
  <c r="A73" i="5"/>
  <c r="B72" i="5"/>
  <c r="A72" i="5"/>
  <c r="B71" i="5"/>
  <c r="A71" i="5"/>
  <c r="B70" i="5"/>
  <c r="A70" i="5"/>
  <c r="B69" i="5"/>
  <c r="A69" i="5"/>
  <c r="B68" i="5"/>
  <c r="A68" i="5"/>
  <c r="C67" i="5"/>
  <c r="B67" i="5"/>
  <c r="A67" i="5"/>
  <c r="B66" i="5"/>
  <c r="A66" i="5"/>
  <c r="B65" i="5"/>
  <c r="A65" i="5"/>
  <c r="B64" i="5"/>
  <c r="A64" i="5"/>
  <c r="B63" i="5"/>
  <c r="A63" i="5"/>
  <c r="B62" i="5"/>
  <c r="A62" i="5"/>
  <c r="B61" i="5"/>
  <c r="A61" i="5"/>
  <c r="B60" i="5"/>
  <c r="A60" i="5"/>
  <c r="D59" i="5"/>
  <c r="C59" i="5"/>
  <c r="B59" i="5"/>
  <c r="A59" i="5"/>
  <c r="B58" i="5"/>
  <c r="A58" i="5"/>
  <c r="B57" i="5"/>
  <c r="A57" i="5"/>
  <c r="B56" i="5"/>
  <c r="A56" i="5"/>
  <c r="B55" i="5"/>
  <c r="A55" i="5"/>
  <c r="A54" i="5"/>
  <c r="A53" i="5"/>
  <c r="A52" i="5"/>
  <c r="B51" i="5"/>
  <c r="A51" i="5"/>
  <c r="B50" i="5"/>
  <c r="A50" i="5"/>
  <c r="B49" i="5"/>
  <c r="A49" i="5"/>
  <c r="B48" i="5"/>
  <c r="A48" i="5"/>
  <c r="A47" i="5"/>
  <c r="A46" i="5"/>
  <c r="A45" i="5"/>
  <c r="A44" i="5"/>
  <c r="B43" i="5"/>
  <c r="A43" i="5"/>
  <c r="B42" i="5"/>
  <c r="A42" i="5"/>
  <c r="A41" i="5"/>
  <c r="D40" i="5"/>
  <c r="C40" i="5"/>
  <c r="B40" i="5"/>
  <c r="A40" i="5"/>
  <c r="D39" i="5"/>
  <c r="C39" i="5"/>
  <c r="B39" i="5"/>
  <c r="A39" i="5"/>
  <c r="D38" i="5"/>
  <c r="C38" i="5"/>
  <c r="B38" i="5"/>
  <c r="A38" i="5"/>
  <c r="B37" i="5"/>
  <c r="A37" i="5"/>
  <c r="B36" i="5"/>
  <c r="A36" i="5"/>
  <c r="A35" i="5"/>
  <c r="C34" i="5"/>
  <c r="B34" i="5"/>
  <c r="A34" i="5"/>
  <c r="B33" i="5"/>
  <c r="A33" i="5"/>
  <c r="B32" i="5"/>
  <c r="A32" i="5"/>
  <c r="B31" i="5"/>
  <c r="A31" i="5"/>
  <c r="B30" i="5"/>
  <c r="A30" i="5"/>
  <c r="B29" i="5"/>
  <c r="A29" i="5"/>
  <c r="B28" i="5"/>
  <c r="A28" i="5"/>
  <c r="B27" i="5"/>
  <c r="A27" i="5"/>
  <c r="B26" i="5"/>
  <c r="A26" i="5"/>
  <c r="B25" i="5"/>
  <c r="A25" i="5"/>
  <c r="B24" i="5"/>
  <c r="A24" i="5"/>
  <c r="D23" i="5"/>
  <c r="B23" i="5"/>
  <c r="A23" i="5"/>
  <c r="B22" i="5"/>
  <c r="A22" i="5"/>
  <c r="B21" i="5"/>
  <c r="A21" i="5"/>
  <c r="B20" i="5"/>
  <c r="A20" i="5"/>
  <c r="B19" i="5"/>
  <c r="A19" i="5"/>
  <c r="B18" i="5"/>
  <c r="A18" i="5"/>
  <c r="B17" i="5"/>
  <c r="A17" i="5"/>
  <c r="B16" i="5"/>
  <c r="A16" i="5"/>
  <c r="B15" i="5"/>
  <c r="A15" i="5"/>
  <c r="B14" i="5"/>
  <c r="A14" i="5"/>
  <c r="B13" i="5"/>
  <c r="A13" i="5"/>
  <c r="B12" i="5"/>
  <c r="A12" i="5"/>
  <c r="B11" i="5"/>
  <c r="A11" i="5"/>
  <c r="D10" i="5"/>
  <c r="B10" i="5"/>
  <c r="A10" i="5"/>
  <c r="A9" i="5"/>
  <c r="B8" i="5"/>
  <c r="A8" i="5"/>
  <c r="B7" i="5"/>
  <c r="A7" i="5"/>
  <c r="B6" i="5"/>
  <c r="A6" i="5"/>
  <c r="B5" i="5"/>
  <c r="A5" i="5"/>
  <c r="D4" i="5"/>
  <c r="B4" i="5"/>
  <c r="A4" i="5"/>
  <c r="B3" i="5"/>
  <c r="A3" i="5"/>
  <c r="B2" i="5"/>
  <c r="A2" i="5"/>
  <c r="D1" i="5"/>
  <c r="C1" i="5"/>
  <c r="B1" i="5"/>
  <c r="A1" i="5"/>
  <c r="B1391" i="4"/>
  <c r="A1391" i="4"/>
  <c r="B1390" i="4"/>
  <c r="A1390" i="4"/>
  <c r="E1389" i="4"/>
  <c r="D1389" i="4"/>
  <c r="C1389" i="4"/>
  <c r="B1389" i="4"/>
  <c r="A1389" i="4"/>
  <c r="F1388" i="4"/>
  <c r="E1388" i="4"/>
  <c r="D1388" i="4"/>
  <c r="C1388" i="4"/>
  <c r="B1388" i="4"/>
  <c r="A1388" i="4"/>
  <c r="B1387" i="4"/>
  <c r="A1387" i="4"/>
  <c r="E1386" i="4"/>
  <c r="D1386" i="4"/>
  <c r="C1386" i="4"/>
  <c r="B1386" i="4"/>
  <c r="A1386" i="4"/>
  <c r="E1385" i="4"/>
  <c r="D1385" i="4"/>
  <c r="C1385" i="4"/>
  <c r="B1385" i="4"/>
  <c r="A1385" i="4"/>
  <c r="E1384" i="4"/>
  <c r="D1384" i="4"/>
  <c r="C1384" i="4"/>
  <c r="B1384" i="4"/>
  <c r="A1384" i="4"/>
  <c r="E1383" i="4"/>
  <c r="D1383" i="4"/>
  <c r="C1383" i="4"/>
  <c r="B1383" i="4"/>
  <c r="A1383" i="4"/>
  <c r="E1382" i="4"/>
  <c r="D1382" i="4"/>
  <c r="C1382" i="4"/>
  <c r="B1382" i="4"/>
  <c r="A1382" i="4"/>
  <c r="E1381" i="4"/>
  <c r="D1381" i="4"/>
  <c r="C1381" i="4"/>
  <c r="B1381" i="4"/>
  <c r="A1381" i="4"/>
  <c r="E1380" i="4"/>
  <c r="D1380" i="4"/>
  <c r="C1380" i="4"/>
  <c r="B1380" i="4"/>
  <c r="A1380" i="4"/>
  <c r="E1379" i="4"/>
  <c r="D1379" i="4"/>
  <c r="C1379" i="4"/>
  <c r="B1379" i="4"/>
  <c r="A1379" i="4"/>
  <c r="E1378" i="4"/>
  <c r="D1378" i="4"/>
  <c r="C1378" i="4"/>
  <c r="B1378" i="4"/>
  <c r="A1378" i="4"/>
  <c r="E1377" i="4"/>
  <c r="D1377" i="4"/>
  <c r="C1377" i="4"/>
  <c r="B1377" i="4"/>
  <c r="A1377" i="4"/>
  <c r="E1376" i="4"/>
  <c r="D1376" i="4"/>
  <c r="C1376" i="4"/>
  <c r="B1376" i="4"/>
  <c r="A1376" i="4"/>
  <c r="E1375" i="4"/>
  <c r="D1375" i="4"/>
  <c r="C1375" i="4"/>
  <c r="B1375" i="4"/>
  <c r="A1375" i="4"/>
  <c r="E1374" i="4"/>
  <c r="D1374" i="4"/>
  <c r="C1374" i="4"/>
  <c r="B1374" i="4"/>
  <c r="A1374" i="4"/>
  <c r="E1373" i="4"/>
  <c r="D1373" i="4"/>
  <c r="C1373" i="4"/>
  <c r="B1373" i="4"/>
  <c r="A1373" i="4"/>
  <c r="E1372" i="4"/>
  <c r="D1372" i="4"/>
  <c r="C1372" i="4"/>
  <c r="B1372" i="4"/>
  <c r="A1372" i="4"/>
  <c r="E1371" i="4"/>
  <c r="D1371" i="4"/>
  <c r="C1371" i="4"/>
  <c r="B1371" i="4"/>
  <c r="A1371" i="4"/>
  <c r="E1370" i="4"/>
  <c r="D1370" i="4"/>
  <c r="C1370" i="4"/>
  <c r="B1370" i="4"/>
  <c r="A1370" i="4"/>
  <c r="E1369" i="4"/>
  <c r="D1369" i="4"/>
  <c r="C1369" i="4"/>
  <c r="B1369" i="4"/>
  <c r="A1369" i="4"/>
  <c r="E1368" i="4"/>
  <c r="D1368" i="4"/>
  <c r="C1368" i="4"/>
  <c r="B1368" i="4"/>
  <c r="A1368" i="4"/>
  <c r="E1367" i="4"/>
  <c r="D1367" i="4"/>
  <c r="C1367" i="4"/>
  <c r="B1367" i="4"/>
  <c r="A1367" i="4"/>
  <c r="E1366" i="4"/>
  <c r="D1366" i="4"/>
  <c r="C1366" i="4"/>
  <c r="B1366" i="4"/>
  <c r="A1366" i="4"/>
  <c r="B1365" i="4"/>
  <c r="A1365" i="4"/>
  <c r="B1364" i="4"/>
  <c r="A1364" i="4"/>
  <c r="E1363" i="4"/>
  <c r="D1363" i="4"/>
  <c r="C1363" i="4"/>
  <c r="B1363" i="4"/>
  <c r="A1363" i="4"/>
  <c r="E1362" i="4"/>
  <c r="D1362" i="4"/>
  <c r="B1362" i="4"/>
  <c r="A1362" i="4"/>
  <c r="E1361" i="4"/>
  <c r="D1361" i="4"/>
  <c r="C1361" i="4"/>
  <c r="B1361" i="4"/>
  <c r="A1361" i="4"/>
  <c r="E1360" i="4"/>
  <c r="D1360" i="4"/>
  <c r="C1360" i="4"/>
  <c r="B1360" i="4"/>
  <c r="A1360" i="4"/>
  <c r="E1359" i="4"/>
  <c r="D1359" i="4"/>
  <c r="B1359" i="4"/>
  <c r="A1359" i="4"/>
  <c r="E1358" i="4"/>
  <c r="D1358" i="4"/>
  <c r="B1358" i="4"/>
  <c r="A1358" i="4"/>
  <c r="E1357" i="4"/>
  <c r="D1357" i="4"/>
  <c r="C1357" i="4"/>
  <c r="B1357" i="4"/>
  <c r="A1357" i="4"/>
  <c r="B1356" i="4"/>
  <c r="A1356" i="4"/>
  <c r="B1355" i="4"/>
  <c r="A1355" i="4"/>
  <c r="F1354" i="4"/>
  <c r="E1354" i="4"/>
  <c r="D1354" i="4"/>
  <c r="C1354" i="4"/>
  <c r="B1354" i="4"/>
  <c r="A1354" i="4"/>
  <c r="E1353" i="4"/>
  <c r="D1353" i="4"/>
  <c r="C1353" i="4"/>
  <c r="B1353" i="4"/>
  <c r="A1353" i="4"/>
  <c r="E1352" i="4"/>
  <c r="D1352" i="4"/>
  <c r="C1352" i="4"/>
  <c r="B1352" i="4"/>
  <c r="A1352" i="4"/>
  <c r="E1351" i="4"/>
  <c r="D1351" i="4"/>
  <c r="C1351" i="4"/>
  <c r="B1351" i="4"/>
  <c r="A1351" i="4"/>
  <c r="E1350" i="4"/>
  <c r="D1350" i="4"/>
  <c r="C1350" i="4"/>
  <c r="B1350" i="4"/>
  <c r="A1350" i="4"/>
  <c r="E1349" i="4"/>
  <c r="D1349" i="4"/>
  <c r="C1349" i="4"/>
  <c r="B1349" i="4"/>
  <c r="A1349" i="4"/>
  <c r="E1348" i="4"/>
  <c r="D1348" i="4"/>
  <c r="C1348" i="4"/>
  <c r="B1348" i="4"/>
  <c r="A1348" i="4"/>
  <c r="E1347" i="4"/>
  <c r="D1347" i="4"/>
  <c r="C1347" i="4"/>
  <c r="B1347" i="4"/>
  <c r="A1347" i="4"/>
  <c r="E1346" i="4"/>
  <c r="D1346" i="4"/>
  <c r="C1346" i="4"/>
  <c r="B1346" i="4"/>
  <c r="A1346" i="4"/>
  <c r="E1345" i="4"/>
  <c r="D1345" i="4"/>
  <c r="C1345" i="4"/>
  <c r="B1345" i="4"/>
  <c r="A1345" i="4"/>
  <c r="E1344" i="4"/>
  <c r="D1344" i="4"/>
  <c r="C1344" i="4"/>
  <c r="B1344" i="4"/>
  <c r="A1344" i="4"/>
  <c r="E1343" i="4"/>
  <c r="D1343" i="4"/>
  <c r="C1343" i="4"/>
  <c r="B1343" i="4"/>
  <c r="A1343" i="4"/>
  <c r="E1342" i="4"/>
  <c r="D1342" i="4"/>
  <c r="C1342" i="4"/>
  <c r="B1342" i="4"/>
  <c r="A1342" i="4"/>
  <c r="E1341" i="4"/>
  <c r="D1341" i="4"/>
  <c r="C1341" i="4"/>
  <c r="B1341" i="4"/>
  <c r="A1341" i="4"/>
  <c r="E1340" i="4"/>
  <c r="D1340" i="4"/>
  <c r="C1340" i="4"/>
  <c r="B1340" i="4"/>
  <c r="A1340" i="4"/>
  <c r="E1339" i="4"/>
  <c r="D1339" i="4"/>
  <c r="C1339" i="4"/>
  <c r="B1339" i="4"/>
  <c r="A1339" i="4"/>
  <c r="E1338" i="4"/>
  <c r="D1338" i="4"/>
  <c r="C1338" i="4"/>
  <c r="B1338" i="4"/>
  <c r="A1338" i="4"/>
  <c r="E1337" i="4"/>
  <c r="D1337" i="4"/>
  <c r="C1337" i="4"/>
  <c r="B1337" i="4"/>
  <c r="A1337" i="4"/>
  <c r="E1336" i="4"/>
  <c r="D1336" i="4"/>
  <c r="B1336" i="4"/>
  <c r="A1336" i="4"/>
  <c r="E1335" i="4"/>
  <c r="D1335" i="4"/>
  <c r="C1335" i="4"/>
  <c r="B1335" i="4"/>
  <c r="A1335" i="4"/>
  <c r="E1334" i="4"/>
  <c r="D1334" i="4"/>
  <c r="C1334" i="4"/>
  <c r="B1334" i="4"/>
  <c r="A1334" i="4"/>
  <c r="E1333" i="4"/>
  <c r="D1333" i="4"/>
  <c r="C1333" i="4"/>
  <c r="B1333" i="4"/>
  <c r="A1333" i="4"/>
  <c r="E1332" i="4"/>
  <c r="D1332" i="4"/>
  <c r="C1332" i="4"/>
  <c r="B1332" i="4"/>
  <c r="A1332" i="4"/>
  <c r="E1331" i="4"/>
  <c r="D1331" i="4"/>
  <c r="C1331" i="4"/>
  <c r="B1331" i="4"/>
  <c r="A1331" i="4"/>
  <c r="E1330" i="4"/>
  <c r="D1330" i="4"/>
  <c r="C1330" i="4"/>
  <c r="B1330" i="4"/>
  <c r="A1330" i="4"/>
  <c r="E1329" i="4"/>
  <c r="D1329" i="4"/>
  <c r="C1329" i="4"/>
  <c r="B1329" i="4"/>
  <c r="A1329" i="4"/>
  <c r="E1328" i="4"/>
  <c r="D1328" i="4"/>
  <c r="C1328" i="4"/>
  <c r="B1328" i="4"/>
  <c r="A1328" i="4"/>
  <c r="E1327" i="4"/>
  <c r="D1327" i="4"/>
  <c r="C1327" i="4"/>
  <c r="B1327" i="4"/>
  <c r="A1327" i="4"/>
  <c r="E1326" i="4"/>
  <c r="D1326" i="4"/>
  <c r="C1326" i="4"/>
  <c r="B1326" i="4"/>
  <c r="A1326" i="4"/>
  <c r="E1325" i="4"/>
  <c r="D1325" i="4"/>
  <c r="C1325" i="4"/>
  <c r="B1325" i="4"/>
  <c r="A1325" i="4"/>
  <c r="E1324" i="4"/>
  <c r="D1324" i="4"/>
  <c r="C1324" i="4"/>
  <c r="B1324" i="4"/>
  <c r="A1324" i="4"/>
  <c r="E1323" i="4"/>
  <c r="D1323" i="4"/>
  <c r="C1323" i="4"/>
  <c r="B1323" i="4"/>
  <c r="A1323" i="4"/>
  <c r="E1322" i="4"/>
  <c r="D1322" i="4"/>
  <c r="C1322" i="4"/>
  <c r="B1322" i="4"/>
  <c r="A1322" i="4"/>
  <c r="E1321" i="4"/>
  <c r="D1321" i="4"/>
  <c r="C1321" i="4"/>
  <c r="B1321" i="4"/>
  <c r="A1321" i="4"/>
  <c r="E1320" i="4"/>
  <c r="D1320" i="4"/>
  <c r="C1320" i="4"/>
  <c r="B1320" i="4"/>
  <c r="A1320" i="4"/>
  <c r="B1319" i="4"/>
  <c r="A1319" i="4"/>
  <c r="E1318" i="4"/>
  <c r="D1318" i="4"/>
  <c r="C1318" i="4"/>
  <c r="B1318" i="4"/>
  <c r="A1318" i="4"/>
  <c r="B1317" i="4"/>
  <c r="A1317" i="4"/>
  <c r="B1316" i="4"/>
  <c r="A1316" i="4"/>
  <c r="B1315" i="4"/>
  <c r="A1315" i="4"/>
  <c r="F1314" i="4"/>
  <c r="E1314" i="4"/>
  <c r="D1314" i="4"/>
  <c r="C1314" i="4"/>
  <c r="B1314" i="4"/>
  <c r="A1314" i="4"/>
  <c r="E1313" i="4"/>
  <c r="D1313" i="4"/>
  <c r="C1313" i="4"/>
  <c r="B1313" i="4"/>
  <c r="A1313" i="4"/>
  <c r="E1312" i="4"/>
  <c r="D1312" i="4"/>
  <c r="B1312" i="4"/>
  <c r="A1312" i="4"/>
  <c r="E1311" i="4"/>
  <c r="D1311" i="4"/>
  <c r="B1311" i="4"/>
  <c r="A1311" i="4"/>
  <c r="E1310" i="4"/>
  <c r="D1310" i="4"/>
  <c r="B1310" i="4"/>
  <c r="A1310" i="4"/>
  <c r="B1309" i="4"/>
  <c r="A1309" i="4"/>
  <c r="B1308" i="4"/>
  <c r="A1308" i="4"/>
  <c r="E1307" i="4"/>
  <c r="D1307" i="4"/>
  <c r="C1307" i="4"/>
  <c r="B1307" i="4"/>
  <c r="A1307" i="4"/>
  <c r="F1306" i="4"/>
  <c r="E1306" i="4"/>
  <c r="D1306" i="4"/>
  <c r="C1306" i="4"/>
  <c r="B1306" i="4"/>
  <c r="A1306" i="4"/>
  <c r="F1305" i="4"/>
  <c r="E1305" i="4"/>
  <c r="D1305" i="4"/>
  <c r="C1305" i="4"/>
  <c r="B1305" i="4"/>
  <c r="A1305" i="4"/>
  <c r="B1304" i="4"/>
  <c r="A1304" i="4"/>
  <c r="F1303" i="4"/>
  <c r="E1303" i="4"/>
  <c r="D1303" i="4"/>
  <c r="C1303" i="4"/>
  <c r="B1303" i="4"/>
  <c r="A1303" i="4"/>
  <c r="E1302" i="4"/>
  <c r="D1302" i="4"/>
  <c r="C1302" i="4"/>
  <c r="B1302" i="4"/>
  <c r="A1302" i="4"/>
  <c r="E1301" i="4"/>
  <c r="D1301" i="4"/>
  <c r="C1301" i="4"/>
  <c r="B1301" i="4"/>
  <c r="A1301" i="4"/>
  <c r="B1300" i="4"/>
  <c r="A1300" i="4"/>
  <c r="E1299" i="4"/>
  <c r="D1299" i="4"/>
  <c r="C1299" i="4"/>
  <c r="B1299" i="4"/>
  <c r="A1299" i="4"/>
  <c r="B1298" i="4"/>
  <c r="A1298" i="4"/>
  <c r="E1297" i="4"/>
  <c r="D1297" i="4"/>
  <c r="C1297" i="4"/>
  <c r="B1297" i="4"/>
  <c r="A1297" i="4"/>
  <c r="E1296" i="4"/>
  <c r="D1296" i="4"/>
  <c r="C1296" i="4"/>
  <c r="B1296" i="4"/>
  <c r="A1296" i="4"/>
  <c r="B1295" i="4"/>
  <c r="A1295" i="4"/>
  <c r="B1294" i="4"/>
  <c r="A1294" i="4"/>
  <c r="E1293" i="4"/>
  <c r="D1293" i="4"/>
  <c r="C1293" i="4"/>
  <c r="B1293" i="4"/>
  <c r="A1293" i="4"/>
  <c r="D1292" i="4"/>
  <c r="C1292" i="4"/>
  <c r="B1292" i="4"/>
  <c r="A1292" i="4"/>
  <c r="E1291" i="4"/>
  <c r="D1291" i="4"/>
  <c r="B1291" i="4"/>
  <c r="A1291" i="4"/>
  <c r="E1290" i="4"/>
  <c r="D1290" i="4"/>
  <c r="B1290" i="4"/>
  <c r="A1290" i="4"/>
  <c r="E1289" i="4"/>
  <c r="D1289" i="4"/>
  <c r="C1289" i="4"/>
  <c r="B1289" i="4"/>
  <c r="A1289" i="4"/>
  <c r="E1288" i="4"/>
  <c r="D1288" i="4"/>
  <c r="C1288" i="4"/>
  <c r="B1288" i="4"/>
  <c r="A1288" i="4"/>
  <c r="E1287" i="4"/>
  <c r="D1287" i="4"/>
  <c r="C1287" i="4"/>
  <c r="B1287" i="4"/>
  <c r="A1287" i="4"/>
  <c r="E1286" i="4"/>
  <c r="D1286" i="4"/>
  <c r="B1286" i="4"/>
  <c r="A1286" i="4"/>
  <c r="E1285" i="4"/>
  <c r="D1285" i="4"/>
  <c r="B1285" i="4"/>
  <c r="A1285" i="4"/>
  <c r="E1284" i="4"/>
  <c r="D1284" i="4"/>
  <c r="C1284" i="4"/>
  <c r="B1284" i="4"/>
  <c r="A1284" i="4"/>
  <c r="E1283" i="4"/>
  <c r="D1283" i="4"/>
  <c r="B1283" i="4"/>
  <c r="A1283" i="4"/>
  <c r="E1282" i="4"/>
  <c r="D1282" i="4"/>
  <c r="B1282" i="4"/>
  <c r="A1282" i="4"/>
  <c r="E1281" i="4"/>
  <c r="D1281" i="4"/>
  <c r="B1281" i="4"/>
  <c r="A1281" i="4"/>
  <c r="E1280" i="4"/>
  <c r="D1280" i="4"/>
  <c r="C1280" i="4"/>
  <c r="B1280" i="4"/>
  <c r="A1280" i="4"/>
  <c r="E1279" i="4"/>
  <c r="D1279" i="4"/>
  <c r="B1279" i="4"/>
  <c r="A1279" i="4"/>
  <c r="E1278" i="4"/>
  <c r="D1278" i="4"/>
  <c r="B1278" i="4"/>
  <c r="A1278" i="4"/>
  <c r="E1277" i="4"/>
  <c r="D1277" i="4"/>
  <c r="B1277" i="4"/>
  <c r="A1277" i="4"/>
  <c r="E1276" i="4"/>
  <c r="D1276" i="4"/>
  <c r="C1276" i="4"/>
  <c r="B1276" i="4"/>
  <c r="A1276" i="4"/>
  <c r="E1275" i="4"/>
  <c r="D1275" i="4"/>
  <c r="B1275" i="4"/>
  <c r="A1275" i="4"/>
  <c r="E1274" i="4"/>
  <c r="D1274" i="4"/>
  <c r="B1274" i="4"/>
  <c r="A1274" i="4"/>
  <c r="E1273" i="4"/>
  <c r="D1273" i="4"/>
  <c r="B1273" i="4"/>
  <c r="A1273" i="4"/>
  <c r="E1272" i="4"/>
  <c r="D1272" i="4"/>
  <c r="C1272" i="4"/>
  <c r="B1272" i="4"/>
  <c r="A1272" i="4"/>
  <c r="E1271" i="4"/>
  <c r="D1271" i="4"/>
  <c r="C1271" i="4"/>
  <c r="B1271" i="4"/>
  <c r="A1271" i="4"/>
  <c r="E1270" i="4"/>
  <c r="D1270" i="4"/>
  <c r="B1270" i="4"/>
  <c r="A1270" i="4"/>
  <c r="E1269" i="4"/>
  <c r="D1269" i="4"/>
  <c r="C1269" i="4"/>
  <c r="B1269" i="4"/>
  <c r="A1269" i="4"/>
  <c r="E1268" i="4"/>
  <c r="D1268" i="4"/>
  <c r="C1268" i="4"/>
  <c r="B1268" i="4"/>
  <c r="A1268" i="4"/>
  <c r="E1267" i="4"/>
  <c r="D1267" i="4"/>
  <c r="C1267" i="4"/>
  <c r="B1267" i="4"/>
  <c r="A1267" i="4"/>
  <c r="E1266" i="4"/>
  <c r="D1266" i="4"/>
  <c r="C1266" i="4"/>
  <c r="B1266" i="4"/>
  <c r="A1266" i="4"/>
  <c r="E1265" i="4"/>
  <c r="D1265" i="4"/>
  <c r="C1265" i="4"/>
  <c r="B1265" i="4"/>
  <c r="A1265" i="4"/>
  <c r="E1264" i="4"/>
  <c r="D1264" i="4"/>
  <c r="B1264" i="4"/>
  <c r="A1264" i="4"/>
  <c r="E1263" i="4"/>
  <c r="D1263" i="4"/>
  <c r="C1263" i="4"/>
  <c r="B1263" i="4"/>
  <c r="A1263" i="4"/>
  <c r="F1262" i="4"/>
  <c r="E1262" i="4"/>
  <c r="D1262" i="4"/>
  <c r="C1262" i="4"/>
  <c r="B1262" i="4"/>
  <c r="A1262" i="4"/>
  <c r="F1261" i="4"/>
  <c r="E1261" i="4"/>
  <c r="D1261" i="4"/>
  <c r="C1261" i="4"/>
  <c r="B1261" i="4"/>
  <c r="A1261" i="4"/>
  <c r="E1260" i="4"/>
  <c r="D1260" i="4"/>
  <c r="C1260" i="4"/>
  <c r="B1260" i="4"/>
  <c r="A1260" i="4"/>
  <c r="E1259" i="4"/>
  <c r="D1259" i="4"/>
  <c r="C1259" i="4"/>
  <c r="B1259" i="4"/>
  <c r="A1259" i="4"/>
  <c r="E1258" i="4"/>
  <c r="D1258" i="4"/>
  <c r="C1258" i="4"/>
  <c r="B1258" i="4"/>
  <c r="A1258" i="4"/>
  <c r="E1257" i="4"/>
  <c r="D1257" i="4"/>
  <c r="C1257" i="4"/>
  <c r="B1257" i="4"/>
  <c r="A1257" i="4"/>
  <c r="E1256" i="4"/>
  <c r="D1256" i="4"/>
  <c r="C1256" i="4"/>
  <c r="B1256" i="4"/>
  <c r="A1256" i="4"/>
  <c r="E1255" i="4"/>
  <c r="D1255" i="4"/>
  <c r="C1255" i="4"/>
  <c r="B1255" i="4"/>
  <c r="A1255" i="4"/>
  <c r="E1254" i="4"/>
  <c r="D1254" i="4"/>
  <c r="C1254" i="4"/>
  <c r="B1254" i="4"/>
  <c r="A1254" i="4"/>
  <c r="E1253" i="4"/>
  <c r="D1253" i="4"/>
  <c r="C1253" i="4"/>
  <c r="B1253" i="4"/>
  <c r="A1253" i="4"/>
  <c r="E1252" i="4"/>
  <c r="D1252" i="4"/>
  <c r="C1252" i="4"/>
  <c r="B1252" i="4"/>
  <c r="A1252" i="4"/>
  <c r="E1251" i="4"/>
  <c r="D1251" i="4"/>
  <c r="C1251" i="4"/>
  <c r="B1251" i="4"/>
  <c r="A1251" i="4"/>
  <c r="F1250" i="4"/>
  <c r="E1250" i="4"/>
  <c r="C1250" i="4"/>
  <c r="B1250" i="4"/>
  <c r="A1250" i="4"/>
  <c r="B1249" i="4"/>
  <c r="A1249" i="4"/>
  <c r="F1248" i="4"/>
  <c r="E1248" i="4"/>
  <c r="D1248" i="4"/>
  <c r="C1248" i="4"/>
  <c r="B1248" i="4"/>
  <c r="A1248" i="4"/>
  <c r="E1247" i="4"/>
  <c r="C1247" i="4"/>
  <c r="B1247" i="4"/>
  <c r="A1247" i="4"/>
  <c r="F1246" i="4"/>
  <c r="E1246" i="4"/>
  <c r="D1246" i="4"/>
  <c r="C1246" i="4"/>
  <c r="B1246" i="4"/>
  <c r="A1246" i="4"/>
  <c r="E1245" i="4"/>
  <c r="D1245" i="4"/>
  <c r="C1245" i="4"/>
  <c r="B1245" i="4"/>
  <c r="A1245" i="4"/>
  <c r="E1244" i="4"/>
  <c r="D1244" i="4"/>
  <c r="C1244" i="4"/>
  <c r="B1244" i="4"/>
  <c r="A1244" i="4"/>
  <c r="E1243" i="4"/>
  <c r="D1243" i="4"/>
  <c r="C1243" i="4"/>
  <c r="B1243" i="4"/>
  <c r="A1243" i="4"/>
  <c r="B1242" i="4"/>
  <c r="A1242" i="4"/>
  <c r="E1241" i="4"/>
  <c r="D1241" i="4"/>
  <c r="C1241" i="4"/>
  <c r="B1241" i="4"/>
  <c r="A1241" i="4"/>
  <c r="E1240" i="4"/>
  <c r="D1240" i="4"/>
  <c r="C1240" i="4"/>
  <c r="B1240" i="4"/>
  <c r="A1240" i="4"/>
  <c r="E1239" i="4"/>
  <c r="D1239" i="4"/>
  <c r="C1239" i="4"/>
  <c r="B1239" i="4"/>
  <c r="A1239" i="4"/>
  <c r="E1238" i="4"/>
  <c r="D1238" i="4"/>
  <c r="C1238" i="4"/>
  <c r="B1238" i="4"/>
  <c r="A1238" i="4"/>
  <c r="E1237" i="4"/>
  <c r="D1237" i="4"/>
  <c r="C1237" i="4"/>
  <c r="B1237" i="4"/>
  <c r="A1237" i="4"/>
  <c r="E1236" i="4"/>
  <c r="D1236" i="4"/>
  <c r="C1236" i="4"/>
  <c r="B1236" i="4"/>
  <c r="A1236" i="4"/>
  <c r="E1235" i="4"/>
  <c r="D1235" i="4"/>
  <c r="C1235" i="4"/>
  <c r="B1235" i="4"/>
  <c r="A1235" i="4"/>
  <c r="E1234" i="4"/>
  <c r="D1234" i="4"/>
  <c r="C1234" i="4"/>
  <c r="B1234" i="4"/>
  <c r="A1234" i="4"/>
  <c r="E1233" i="4"/>
  <c r="D1233" i="4"/>
  <c r="C1233" i="4"/>
  <c r="B1233" i="4"/>
  <c r="A1233" i="4"/>
  <c r="E1232" i="4"/>
  <c r="D1232" i="4"/>
  <c r="C1232" i="4"/>
  <c r="B1232" i="4"/>
  <c r="A1232" i="4"/>
  <c r="B1231" i="4"/>
  <c r="A1231" i="4"/>
  <c r="E1230" i="4"/>
  <c r="D1230" i="4"/>
  <c r="C1230" i="4"/>
  <c r="B1230" i="4"/>
  <c r="A1230" i="4"/>
  <c r="F1229" i="4"/>
  <c r="E1229" i="4"/>
  <c r="D1229" i="4"/>
  <c r="C1229" i="4"/>
  <c r="B1229" i="4"/>
  <c r="A1229" i="4"/>
  <c r="F1228" i="4"/>
  <c r="E1228" i="4"/>
  <c r="D1228" i="4"/>
  <c r="C1228" i="4"/>
  <c r="B1228" i="4"/>
  <c r="A1228" i="4"/>
  <c r="B1227" i="4"/>
  <c r="A1227" i="4"/>
  <c r="B1226" i="4"/>
  <c r="A1226" i="4"/>
  <c r="E1225" i="4"/>
  <c r="D1225" i="4"/>
  <c r="C1225" i="4"/>
  <c r="B1225" i="4"/>
  <c r="A1225" i="4"/>
  <c r="E1224" i="4"/>
  <c r="D1224" i="4"/>
  <c r="C1224" i="4"/>
  <c r="B1224" i="4"/>
  <c r="A1224" i="4"/>
  <c r="E1223" i="4"/>
  <c r="D1223" i="4"/>
  <c r="C1223" i="4"/>
  <c r="B1223" i="4"/>
  <c r="A1223" i="4"/>
  <c r="E1222" i="4"/>
  <c r="D1222" i="4"/>
  <c r="C1222" i="4"/>
  <c r="B1222" i="4"/>
  <c r="A1222" i="4"/>
  <c r="E1221" i="4"/>
  <c r="D1221" i="4"/>
  <c r="C1221" i="4"/>
  <c r="B1221" i="4"/>
  <c r="A1221" i="4"/>
  <c r="B1220" i="4"/>
  <c r="A1220" i="4"/>
  <c r="B1219" i="4"/>
  <c r="A1219" i="4"/>
  <c r="E1218" i="4"/>
  <c r="D1218" i="4"/>
  <c r="C1218" i="4"/>
  <c r="B1218" i="4"/>
  <c r="A1218" i="4"/>
  <c r="E1217" i="4"/>
  <c r="D1217" i="4"/>
  <c r="B1217" i="4"/>
  <c r="A1217" i="4"/>
  <c r="E1216" i="4"/>
  <c r="D1216" i="4"/>
  <c r="B1216" i="4"/>
  <c r="A1216" i="4"/>
  <c r="B1215" i="4"/>
  <c r="A1215" i="4"/>
  <c r="E1214" i="4"/>
  <c r="D1214" i="4"/>
  <c r="C1214" i="4"/>
  <c r="B1214" i="4"/>
  <c r="A1214" i="4"/>
  <c r="B1213" i="4"/>
  <c r="A1213" i="4"/>
  <c r="E1212" i="4"/>
  <c r="D1212" i="4"/>
  <c r="C1212" i="4"/>
  <c r="B1212" i="4"/>
  <c r="A1212" i="4"/>
  <c r="B1211" i="4"/>
  <c r="A1211" i="4"/>
  <c r="E1210" i="4"/>
  <c r="D1210" i="4"/>
  <c r="C1210" i="4"/>
  <c r="B1210" i="4"/>
  <c r="A1210" i="4"/>
  <c r="E1209" i="4"/>
  <c r="D1209" i="4"/>
  <c r="C1209" i="4"/>
  <c r="B1209" i="4"/>
  <c r="A1209" i="4"/>
  <c r="B1208" i="4"/>
  <c r="A1208" i="4"/>
  <c r="E1207" i="4"/>
  <c r="D1207" i="4"/>
  <c r="C1207" i="4"/>
  <c r="B1207" i="4"/>
  <c r="A1207" i="4"/>
  <c r="B1206" i="4"/>
  <c r="A1206" i="4"/>
  <c r="E1205" i="4"/>
  <c r="D1205" i="4"/>
  <c r="C1205" i="4"/>
  <c r="B1205" i="4"/>
  <c r="A1205" i="4"/>
  <c r="E1204" i="4"/>
  <c r="D1204" i="4"/>
  <c r="C1204" i="4"/>
  <c r="B1204" i="4"/>
  <c r="A1204" i="4"/>
  <c r="B1203" i="4"/>
  <c r="A1203" i="4"/>
  <c r="E1202" i="4"/>
  <c r="D1202" i="4"/>
  <c r="C1202" i="4"/>
  <c r="B1202" i="4"/>
  <c r="A1202" i="4"/>
  <c r="B1201" i="4"/>
  <c r="A1201" i="4"/>
  <c r="E1200" i="4"/>
  <c r="C1200" i="4"/>
  <c r="B1200" i="4"/>
  <c r="A1200" i="4"/>
  <c r="E1199" i="4"/>
  <c r="C1199" i="4"/>
  <c r="B1199" i="4"/>
  <c r="A1199" i="4"/>
  <c r="F1198" i="4"/>
  <c r="E1198" i="4"/>
  <c r="D1198" i="4"/>
  <c r="C1198" i="4"/>
  <c r="B1198" i="4"/>
  <c r="A1198" i="4"/>
  <c r="B1197" i="4"/>
  <c r="A1197" i="4"/>
  <c r="E1196" i="4"/>
  <c r="D1196" i="4"/>
  <c r="C1196" i="4"/>
  <c r="B1196" i="4"/>
  <c r="A1196" i="4"/>
  <c r="E1195" i="4"/>
  <c r="D1195" i="4"/>
  <c r="C1195" i="4"/>
  <c r="B1195" i="4"/>
  <c r="A1195" i="4"/>
  <c r="E1194" i="4"/>
  <c r="D1194" i="4"/>
  <c r="C1194" i="4"/>
  <c r="B1194" i="4"/>
  <c r="A1194" i="4"/>
  <c r="F1193" i="4"/>
  <c r="E1193" i="4"/>
  <c r="D1193" i="4"/>
  <c r="C1193" i="4"/>
  <c r="B1193" i="4"/>
  <c r="A1193" i="4"/>
  <c r="E1192" i="4"/>
  <c r="D1192" i="4"/>
  <c r="C1192" i="4"/>
  <c r="B1192" i="4"/>
  <c r="A1192" i="4"/>
  <c r="E1191" i="4"/>
  <c r="D1191" i="4"/>
  <c r="C1191" i="4"/>
  <c r="B1191" i="4"/>
  <c r="A1191" i="4"/>
  <c r="E1190" i="4"/>
  <c r="D1190" i="4"/>
  <c r="C1190" i="4"/>
  <c r="B1190" i="4"/>
  <c r="A1190" i="4"/>
  <c r="E1189" i="4"/>
  <c r="D1189" i="4"/>
  <c r="C1189" i="4"/>
  <c r="B1189" i="4"/>
  <c r="A1189" i="4"/>
  <c r="B1188" i="4"/>
  <c r="A1188" i="4"/>
  <c r="E1187" i="4"/>
  <c r="D1187" i="4"/>
  <c r="C1187" i="4"/>
  <c r="B1187" i="4"/>
  <c r="A1187" i="4"/>
  <c r="E1186" i="4"/>
  <c r="D1186" i="4"/>
  <c r="C1186" i="4"/>
  <c r="B1186" i="4"/>
  <c r="A1186" i="4"/>
  <c r="B1185" i="4"/>
  <c r="A1185" i="4"/>
  <c r="F1184" i="4"/>
  <c r="E1184" i="4"/>
  <c r="C1184" i="4"/>
  <c r="B1184" i="4"/>
  <c r="A1184" i="4"/>
  <c r="E1183" i="4"/>
  <c r="D1183" i="4"/>
  <c r="C1183" i="4"/>
  <c r="B1183" i="4"/>
  <c r="A1183" i="4"/>
  <c r="E1182" i="4"/>
  <c r="D1182" i="4"/>
  <c r="C1182" i="4"/>
  <c r="B1182" i="4"/>
  <c r="A1182" i="4"/>
  <c r="E1181" i="4"/>
  <c r="D1181" i="4"/>
  <c r="C1181" i="4"/>
  <c r="B1181" i="4"/>
  <c r="A1181" i="4"/>
  <c r="B1180" i="4"/>
  <c r="A1180" i="4"/>
  <c r="E1179" i="4"/>
  <c r="D1179" i="4"/>
  <c r="C1179" i="4"/>
  <c r="B1179" i="4"/>
  <c r="A1179" i="4"/>
  <c r="E1178" i="4"/>
  <c r="D1178" i="4"/>
  <c r="C1178" i="4"/>
  <c r="B1178" i="4"/>
  <c r="A1178" i="4"/>
  <c r="E1177" i="4"/>
  <c r="D1177" i="4"/>
  <c r="C1177" i="4"/>
  <c r="B1177" i="4"/>
  <c r="A1177" i="4"/>
  <c r="E1176" i="4"/>
  <c r="D1176" i="4"/>
  <c r="C1176" i="4"/>
  <c r="B1176" i="4"/>
  <c r="A1176" i="4"/>
  <c r="B1175" i="4"/>
  <c r="A1175" i="4"/>
  <c r="B1174" i="4"/>
  <c r="A1174" i="4"/>
  <c r="F1173" i="4"/>
  <c r="E1173" i="4"/>
  <c r="D1173" i="4"/>
  <c r="C1173" i="4"/>
  <c r="B1173" i="4"/>
  <c r="A1173" i="4"/>
  <c r="E1172" i="4"/>
  <c r="D1172" i="4"/>
  <c r="C1172" i="4"/>
  <c r="B1172" i="4"/>
  <c r="A1172" i="4"/>
  <c r="E1171" i="4"/>
  <c r="D1171" i="4"/>
  <c r="C1171" i="4"/>
  <c r="B1171" i="4"/>
  <c r="A1171" i="4"/>
  <c r="B1170" i="4"/>
  <c r="A1170" i="4"/>
  <c r="E1169" i="4"/>
  <c r="D1169" i="4"/>
  <c r="B1169" i="4"/>
  <c r="A1169" i="4"/>
  <c r="E1168" i="4"/>
  <c r="D1168" i="4"/>
  <c r="C1168" i="4"/>
  <c r="B1168" i="4"/>
  <c r="A1168" i="4"/>
  <c r="E1167" i="4"/>
  <c r="D1167" i="4"/>
  <c r="C1167" i="4"/>
  <c r="B1167" i="4"/>
  <c r="A1167" i="4"/>
  <c r="E1166" i="4"/>
  <c r="D1166" i="4"/>
  <c r="C1166" i="4"/>
  <c r="B1166" i="4"/>
  <c r="A1166" i="4"/>
  <c r="E1165" i="4"/>
  <c r="D1165" i="4"/>
  <c r="C1165" i="4"/>
  <c r="B1165" i="4"/>
  <c r="A1165" i="4"/>
  <c r="E1164" i="4"/>
  <c r="D1164" i="4"/>
  <c r="C1164" i="4"/>
  <c r="B1164" i="4"/>
  <c r="A1164" i="4"/>
  <c r="B1163" i="4"/>
  <c r="A1163" i="4"/>
  <c r="E1162" i="4"/>
  <c r="D1162" i="4"/>
  <c r="C1162" i="4"/>
  <c r="B1162" i="4"/>
  <c r="A1162" i="4"/>
  <c r="E1161" i="4"/>
  <c r="D1161" i="4"/>
  <c r="C1161" i="4"/>
  <c r="B1161" i="4"/>
  <c r="A1161" i="4"/>
  <c r="E1160" i="4"/>
  <c r="D1160" i="4"/>
  <c r="C1160" i="4"/>
  <c r="B1160" i="4"/>
  <c r="A1160" i="4"/>
  <c r="D1159" i="4"/>
  <c r="C1159" i="4"/>
  <c r="B1159" i="4"/>
  <c r="A1159" i="4"/>
  <c r="E1158" i="4"/>
  <c r="D1158" i="4"/>
  <c r="C1158" i="4"/>
  <c r="B1158" i="4"/>
  <c r="A1158" i="4"/>
  <c r="F1157" i="4"/>
  <c r="E1157" i="4"/>
  <c r="D1157" i="4"/>
  <c r="C1157" i="4"/>
  <c r="B1157" i="4"/>
  <c r="A1157" i="4"/>
  <c r="B1156" i="4"/>
  <c r="A1156" i="4"/>
  <c r="F1155" i="4"/>
  <c r="E1155" i="4"/>
  <c r="D1155" i="4"/>
  <c r="C1155" i="4"/>
  <c r="B1155" i="4"/>
  <c r="A1155" i="4"/>
  <c r="E1154" i="4"/>
  <c r="D1154" i="4"/>
  <c r="C1154" i="4"/>
  <c r="B1154" i="4"/>
  <c r="A1154" i="4"/>
  <c r="B1153" i="4"/>
  <c r="A1153" i="4"/>
  <c r="E1152" i="4"/>
  <c r="D1152" i="4"/>
  <c r="C1152" i="4"/>
  <c r="B1152" i="4"/>
  <c r="A1152" i="4"/>
  <c r="E1151" i="4"/>
  <c r="D1151" i="4"/>
  <c r="C1151" i="4"/>
  <c r="B1151" i="4"/>
  <c r="A1151" i="4"/>
  <c r="E1150" i="4"/>
  <c r="D1150" i="4"/>
  <c r="C1150" i="4"/>
  <c r="B1150" i="4"/>
  <c r="A1150" i="4"/>
  <c r="F1149" i="4"/>
  <c r="E1149" i="4"/>
  <c r="D1149" i="4"/>
  <c r="C1149" i="4"/>
  <c r="B1149" i="4"/>
  <c r="A1149" i="4"/>
  <c r="E1148" i="4"/>
  <c r="D1148" i="4"/>
  <c r="C1148" i="4"/>
  <c r="B1148" i="4"/>
  <c r="A1148" i="4"/>
  <c r="B1147" i="4"/>
  <c r="A1147" i="4"/>
  <c r="B1146" i="4"/>
  <c r="A1146" i="4"/>
  <c r="E1145" i="4"/>
  <c r="D1145" i="4"/>
  <c r="B1145" i="4"/>
  <c r="A1145" i="4"/>
  <c r="B1144" i="4"/>
  <c r="A1144" i="4"/>
  <c r="E1143" i="4"/>
  <c r="D1143" i="4"/>
  <c r="C1143" i="4"/>
  <c r="B1143" i="4"/>
  <c r="A1143" i="4"/>
  <c r="E1142" i="4"/>
  <c r="D1142" i="4"/>
  <c r="C1142" i="4"/>
  <c r="B1142" i="4"/>
  <c r="A1142" i="4"/>
  <c r="E1141" i="4"/>
  <c r="D1141" i="4"/>
  <c r="C1141" i="4"/>
  <c r="B1141" i="4"/>
  <c r="A1141" i="4"/>
  <c r="E1140" i="4"/>
  <c r="D1140" i="4"/>
  <c r="B1140" i="4"/>
  <c r="A1140" i="4"/>
  <c r="E1139" i="4"/>
  <c r="D1139" i="4"/>
  <c r="B1139" i="4"/>
  <c r="A1139" i="4"/>
  <c r="E1138" i="4"/>
  <c r="D1138" i="4"/>
  <c r="B1138" i="4"/>
  <c r="A1138" i="4"/>
  <c r="E1137" i="4"/>
  <c r="D1137" i="4"/>
  <c r="B1137" i="4"/>
  <c r="A1137" i="4"/>
  <c r="E1136" i="4"/>
  <c r="D1136" i="4"/>
  <c r="B1136" i="4"/>
  <c r="A1136" i="4"/>
  <c r="E1135" i="4"/>
  <c r="D1135" i="4"/>
  <c r="B1135" i="4"/>
  <c r="A1135" i="4"/>
  <c r="E1134" i="4"/>
  <c r="D1134" i="4"/>
  <c r="B1134" i="4"/>
  <c r="A1134" i="4"/>
  <c r="E1133" i="4"/>
  <c r="D1133" i="4"/>
  <c r="B1133" i="4"/>
  <c r="A1133" i="4"/>
  <c r="E1132" i="4"/>
  <c r="D1132" i="4"/>
  <c r="B1132" i="4"/>
  <c r="A1132" i="4"/>
  <c r="E1131" i="4"/>
  <c r="D1131" i="4"/>
  <c r="B1131" i="4"/>
  <c r="A1131" i="4"/>
  <c r="B1130" i="4"/>
  <c r="A1130" i="4"/>
  <c r="B1129" i="4"/>
  <c r="A1129" i="4"/>
  <c r="B1128" i="4"/>
  <c r="A1128" i="4"/>
  <c r="E1127" i="4"/>
  <c r="D1127" i="4"/>
  <c r="B1127" i="4"/>
  <c r="A1127" i="4"/>
  <c r="E1126" i="4"/>
  <c r="D1126" i="4"/>
  <c r="B1126" i="4"/>
  <c r="A1126" i="4"/>
  <c r="E1125" i="4"/>
  <c r="D1125" i="4"/>
  <c r="B1125" i="4"/>
  <c r="A1125" i="4"/>
  <c r="E1124" i="4"/>
  <c r="D1124" i="4"/>
  <c r="B1124" i="4"/>
  <c r="A1124" i="4"/>
  <c r="E1123" i="4"/>
  <c r="D1123" i="4"/>
  <c r="B1123" i="4"/>
  <c r="A1123" i="4"/>
  <c r="E1122" i="4"/>
  <c r="D1122" i="4"/>
  <c r="B1122" i="4"/>
  <c r="A1122" i="4"/>
  <c r="E1121" i="4"/>
  <c r="D1121" i="4"/>
  <c r="C1121" i="4"/>
  <c r="B1121" i="4"/>
  <c r="A1121" i="4"/>
  <c r="E1120" i="4"/>
  <c r="D1120" i="4"/>
  <c r="B1120" i="4"/>
  <c r="A1120" i="4"/>
  <c r="E1119" i="4"/>
  <c r="D1119" i="4"/>
  <c r="B1119" i="4"/>
  <c r="A1119" i="4"/>
  <c r="E1118" i="4"/>
  <c r="D1118" i="4"/>
  <c r="C1118" i="4"/>
  <c r="B1118" i="4"/>
  <c r="A1118" i="4"/>
  <c r="F1117" i="4"/>
  <c r="E1117" i="4"/>
  <c r="D1117" i="4"/>
  <c r="C1117" i="4"/>
  <c r="B1117" i="4"/>
  <c r="A1117" i="4"/>
  <c r="B1116" i="4"/>
  <c r="A1116" i="4"/>
  <c r="E1115" i="4"/>
  <c r="D1115" i="4"/>
  <c r="C1115" i="4"/>
  <c r="B1115" i="4"/>
  <c r="A1115" i="4"/>
  <c r="F1114" i="4"/>
  <c r="E1114" i="4"/>
  <c r="D1114" i="4"/>
  <c r="C1114" i="4"/>
  <c r="B1114" i="4"/>
  <c r="A1114" i="4"/>
  <c r="B1113" i="4"/>
  <c r="A1113" i="4"/>
  <c r="E1112" i="4"/>
  <c r="D1112" i="4"/>
  <c r="C1112" i="4"/>
  <c r="B1112" i="4"/>
  <c r="A1112" i="4"/>
  <c r="F1111" i="4"/>
  <c r="E1111" i="4"/>
  <c r="D1111" i="4"/>
  <c r="C1111" i="4"/>
  <c r="B1111" i="4"/>
  <c r="A1111" i="4"/>
  <c r="B1110" i="4"/>
  <c r="A1110" i="4"/>
  <c r="E1109" i="4"/>
  <c r="D1109" i="4"/>
  <c r="C1109" i="4"/>
  <c r="B1109" i="4"/>
  <c r="A1109" i="4"/>
  <c r="B1108" i="4"/>
  <c r="A1108" i="4"/>
  <c r="E1107" i="4"/>
  <c r="D1107" i="4"/>
  <c r="C1107" i="4"/>
  <c r="B1107" i="4"/>
  <c r="A1107" i="4"/>
  <c r="E1106" i="4"/>
  <c r="D1106" i="4"/>
  <c r="C1106" i="4"/>
  <c r="B1106" i="4"/>
  <c r="A1106" i="4"/>
  <c r="E1105" i="4"/>
  <c r="D1105" i="4"/>
  <c r="C1105" i="4"/>
  <c r="B1105" i="4"/>
  <c r="A1105" i="4"/>
  <c r="F1104" i="4"/>
  <c r="E1104" i="4"/>
  <c r="D1104" i="4"/>
  <c r="C1104" i="4"/>
  <c r="B1104" i="4"/>
  <c r="A1104" i="4"/>
  <c r="E1103" i="4"/>
  <c r="D1103" i="4"/>
  <c r="C1103" i="4"/>
  <c r="B1103" i="4"/>
  <c r="A1103" i="4"/>
  <c r="F1102" i="4"/>
  <c r="E1102" i="4"/>
  <c r="D1102" i="4"/>
  <c r="C1102" i="4"/>
  <c r="B1102" i="4"/>
  <c r="A1102" i="4"/>
  <c r="B1101" i="4"/>
  <c r="A1101" i="4"/>
  <c r="B1100" i="4"/>
  <c r="A1100" i="4"/>
  <c r="E1099" i="4"/>
  <c r="D1099" i="4"/>
  <c r="B1099" i="4"/>
  <c r="A1099" i="4"/>
  <c r="E1098" i="4"/>
  <c r="D1098" i="4"/>
  <c r="B1098" i="4"/>
  <c r="A1098" i="4"/>
  <c r="B1097" i="4"/>
  <c r="A1097" i="4"/>
  <c r="F1096" i="4"/>
  <c r="E1096" i="4"/>
  <c r="D1096" i="4"/>
  <c r="C1096" i="4"/>
  <c r="B1096" i="4"/>
  <c r="A1096" i="4"/>
  <c r="F1095" i="4"/>
  <c r="E1095" i="4"/>
  <c r="D1095" i="4"/>
  <c r="C1095" i="4"/>
  <c r="B1095" i="4"/>
  <c r="A1095" i="4"/>
  <c r="E1094" i="4"/>
  <c r="D1094" i="4"/>
  <c r="C1094" i="4"/>
  <c r="B1094" i="4"/>
  <c r="A1094" i="4"/>
  <c r="E1093" i="4"/>
  <c r="D1093" i="4"/>
  <c r="C1093" i="4"/>
  <c r="B1093" i="4"/>
  <c r="A1093" i="4"/>
  <c r="B1092" i="4"/>
  <c r="A1092" i="4"/>
  <c r="F1091" i="4"/>
  <c r="E1091" i="4"/>
  <c r="D1091" i="4"/>
  <c r="C1091" i="4"/>
  <c r="B1091" i="4"/>
  <c r="A1091" i="4"/>
  <c r="F1090" i="4"/>
  <c r="E1090" i="4"/>
  <c r="D1090" i="4"/>
  <c r="C1090" i="4"/>
  <c r="B1090" i="4"/>
  <c r="A1090" i="4"/>
  <c r="E1089" i="4"/>
  <c r="D1089" i="4"/>
  <c r="C1089" i="4"/>
  <c r="B1089" i="4"/>
  <c r="A1089" i="4"/>
  <c r="B1088" i="4"/>
  <c r="A1088" i="4"/>
  <c r="E1087" i="4"/>
  <c r="D1087" i="4"/>
  <c r="B1087" i="4"/>
  <c r="A1087" i="4"/>
  <c r="E1086" i="4"/>
  <c r="D1086" i="4"/>
  <c r="B1086" i="4"/>
  <c r="A1086" i="4"/>
  <c r="E1085" i="4"/>
  <c r="D1085" i="4"/>
  <c r="B1085" i="4"/>
  <c r="A1085" i="4"/>
  <c r="E1084" i="4"/>
  <c r="D1084" i="4"/>
  <c r="B1084" i="4"/>
  <c r="A1084" i="4"/>
  <c r="E1083" i="4"/>
  <c r="D1083" i="4"/>
  <c r="B1083" i="4"/>
  <c r="A1083" i="4"/>
  <c r="E1082" i="4"/>
  <c r="D1082" i="4"/>
  <c r="B1082" i="4"/>
  <c r="A1082" i="4"/>
  <c r="E1081" i="4"/>
  <c r="D1081" i="4"/>
  <c r="B1081" i="4"/>
  <c r="A1081" i="4"/>
  <c r="E1080" i="4"/>
  <c r="D1080" i="4"/>
  <c r="B1080" i="4"/>
  <c r="A1080" i="4"/>
  <c r="E1079" i="4"/>
  <c r="D1079" i="4"/>
  <c r="B1079" i="4"/>
  <c r="A1079" i="4"/>
  <c r="E1078" i="4"/>
  <c r="D1078" i="4"/>
  <c r="B1078" i="4"/>
  <c r="A1078" i="4"/>
  <c r="B1077" i="4"/>
  <c r="A1077" i="4"/>
  <c r="E1076" i="4"/>
  <c r="D1076" i="4"/>
  <c r="C1076" i="4"/>
  <c r="B1076" i="4"/>
  <c r="A1076" i="4"/>
  <c r="E1075" i="4"/>
  <c r="D1075" i="4"/>
  <c r="C1075" i="4"/>
  <c r="B1075" i="4"/>
  <c r="A1075" i="4"/>
  <c r="E1074" i="4"/>
  <c r="D1074" i="4"/>
  <c r="C1074" i="4"/>
  <c r="B1074" i="4"/>
  <c r="A1074" i="4"/>
  <c r="E1073" i="4"/>
  <c r="D1073" i="4"/>
  <c r="C1073" i="4"/>
  <c r="B1073" i="4"/>
  <c r="A1073" i="4"/>
  <c r="B1072" i="4"/>
  <c r="A1072" i="4"/>
  <c r="F1071" i="4"/>
  <c r="E1071" i="4"/>
  <c r="C1071" i="4"/>
  <c r="B1071" i="4"/>
  <c r="A1071" i="4"/>
  <c r="D1070" i="4"/>
  <c r="C1070" i="4"/>
  <c r="B1070" i="4"/>
  <c r="A1070" i="4"/>
  <c r="B1069" i="4"/>
  <c r="A1069" i="4"/>
  <c r="B1068" i="4"/>
  <c r="A1068" i="4"/>
  <c r="B1067" i="4"/>
  <c r="A1067" i="4"/>
  <c r="E1066" i="4"/>
  <c r="D1066" i="4"/>
  <c r="B1066" i="4"/>
  <c r="A1066" i="4"/>
  <c r="E1065" i="4"/>
  <c r="D1065" i="4"/>
  <c r="B1065" i="4"/>
  <c r="A1065" i="4"/>
  <c r="E1064" i="4"/>
  <c r="D1064" i="4"/>
  <c r="B1064" i="4"/>
  <c r="A1064" i="4"/>
  <c r="E1063" i="4"/>
  <c r="D1063" i="4"/>
  <c r="C1063" i="4"/>
  <c r="B1063" i="4"/>
  <c r="A1063" i="4"/>
  <c r="E1062" i="4"/>
  <c r="D1062" i="4"/>
  <c r="C1062" i="4"/>
  <c r="B1062" i="4"/>
  <c r="A1062" i="4"/>
  <c r="B1061" i="4"/>
  <c r="A1061" i="4"/>
  <c r="E1060" i="4"/>
  <c r="D1060" i="4"/>
  <c r="C1060" i="4"/>
  <c r="B1060" i="4"/>
  <c r="A1060" i="4"/>
  <c r="E1059" i="4"/>
  <c r="D1059" i="4"/>
  <c r="C1059" i="4"/>
  <c r="B1059" i="4"/>
  <c r="A1059" i="4"/>
  <c r="E1058" i="4"/>
  <c r="D1058" i="4"/>
  <c r="C1058" i="4"/>
  <c r="B1058" i="4"/>
  <c r="A1058" i="4"/>
  <c r="E1057" i="4"/>
  <c r="D1057" i="4"/>
  <c r="C1057" i="4"/>
  <c r="B1057" i="4"/>
  <c r="A1057" i="4"/>
  <c r="E1056" i="4"/>
  <c r="D1056" i="4"/>
  <c r="C1056" i="4"/>
  <c r="B1056" i="4"/>
  <c r="A1056" i="4"/>
  <c r="E1055" i="4"/>
  <c r="D1055" i="4"/>
  <c r="C1055" i="4"/>
  <c r="B1055" i="4"/>
  <c r="A1055" i="4"/>
  <c r="E1054" i="4"/>
  <c r="D1054" i="4"/>
  <c r="C1054" i="4"/>
  <c r="B1054" i="4"/>
  <c r="A1054" i="4"/>
  <c r="B1053" i="4"/>
  <c r="A1053" i="4"/>
  <c r="B1052" i="4"/>
  <c r="A1052" i="4"/>
  <c r="E1051" i="4"/>
  <c r="D1051" i="4"/>
  <c r="C1051" i="4"/>
  <c r="B1051" i="4"/>
  <c r="A1051" i="4"/>
  <c r="E1050" i="4"/>
  <c r="D1050" i="4"/>
  <c r="B1050" i="4"/>
  <c r="A1050" i="4"/>
  <c r="E1049" i="4"/>
  <c r="D1049" i="4"/>
  <c r="B1049" i="4"/>
  <c r="A1049" i="4"/>
  <c r="E1048" i="4"/>
  <c r="D1048" i="4"/>
  <c r="B1048" i="4"/>
  <c r="A1048" i="4"/>
  <c r="E1047" i="4"/>
  <c r="D1047" i="4"/>
  <c r="B1047" i="4"/>
  <c r="A1047" i="4"/>
  <c r="E1046" i="4"/>
  <c r="D1046" i="4"/>
  <c r="B1046" i="4"/>
  <c r="A1046" i="4"/>
  <c r="E1045" i="4"/>
  <c r="D1045" i="4"/>
  <c r="B1045" i="4"/>
  <c r="A1045" i="4"/>
  <c r="B1044" i="4"/>
  <c r="A1044" i="4"/>
  <c r="E1043" i="4"/>
  <c r="D1043" i="4"/>
  <c r="C1043" i="4"/>
  <c r="B1043" i="4"/>
  <c r="A1043" i="4"/>
  <c r="C1042" i="4"/>
  <c r="B1042" i="4"/>
  <c r="A1042" i="4"/>
  <c r="B1041" i="4"/>
  <c r="A1041" i="4"/>
  <c r="E1040" i="4"/>
  <c r="D1040" i="4"/>
  <c r="C1040" i="4"/>
  <c r="B1040" i="4"/>
  <c r="A1040" i="4"/>
  <c r="E1039" i="4"/>
  <c r="D1039" i="4"/>
  <c r="C1039" i="4"/>
  <c r="B1039" i="4"/>
  <c r="A1039" i="4"/>
  <c r="E1038" i="4"/>
  <c r="D1038" i="4"/>
  <c r="C1038" i="4"/>
  <c r="B1038" i="4"/>
  <c r="A1038" i="4"/>
  <c r="E1037" i="4"/>
  <c r="D1037" i="4"/>
  <c r="C1037" i="4"/>
  <c r="B1037" i="4"/>
  <c r="A1037" i="4"/>
  <c r="B1036" i="4"/>
  <c r="A1036" i="4"/>
  <c r="F1035" i="4"/>
  <c r="E1035" i="4"/>
  <c r="D1035" i="4"/>
  <c r="C1035" i="4"/>
  <c r="B1035" i="4"/>
  <c r="A1035" i="4"/>
  <c r="E1034" i="4"/>
  <c r="D1034" i="4"/>
  <c r="C1034" i="4"/>
  <c r="B1034" i="4"/>
  <c r="A1034" i="4"/>
  <c r="E1033" i="4"/>
  <c r="D1033" i="4"/>
  <c r="C1033" i="4"/>
  <c r="B1033" i="4"/>
  <c r="A1033" i="4"/>
  <c r="E1032" i="4"/>
  <c r="D1032" i="4"/>
  <c r="C1032" i="4"/>
  <c r="B1032" i="4"/>
  <c r="A1032" i="4"/>
  <c r="E1031" i="4"/>
  <c r="D1031" i="4"/>
  <c r="C1031" i="4"/>
  <c r="B1031" i="4"/>
  <c r="A1031" i="4"/>
  <c r="E1030" i="4"/>
  <c r="D1030" i="4"/>
  <c r="C1030" i="4"/>
  <c r="B1030" i="4"/>
  <c r="A1030" i="4"/>
  <c r="E1029" i="4"/>
  <c r="D1029" i="4"/>
  <c r="C1029" i="4"/>
  <c r="B1029" i="4"/>
  <c r="A1029" i="4"/>
  <c r="E1028" i="4"/>
  <c r="D1028" i="4"/>
  <c r="C1028" i="4"/>
  <c r="B1028" i="4"/>
  <c r="A1028" i="4"/>
  <c r="E1027" i="4"/>
  <c r="D1027" i="4"/>
  <c r="C1027" i="4"/>
  <c r="B1027" i="4"/>
  <c r="A1027" i="4"/>
  <c r="E1026" i="4"/>
  <c r="D1026" i="4"/>
  <c r="C1026" i="4"/>
  <c r="B1026" i="4"/>
  <c r="A1026" i="4"/>
  <c r="E1025" i="4"/>
  <c r="D1025" i="4"/>
  <c r="C1025" i="4"/>
  <c r="B1025" i="4"/>
  <c r="A1025" i="4"/>
  <c r="E1024" i="4"/>
  <c r="D1024" i="4"/>
  <c r="B1024" i="4"/>
  <c r="A1024" i="4"/>
  <c r="E1023" i="4"/>
  <c r="D1023" i="4"/>
  <c r="C1023" i="4"/>
  <c r="B1023" i="4"/>
  <c r="A1023" i="4"/>
  <c r="E1022" i="4"/>
  <c r="D1022" i="4"/>
  <c r="C1022" i="4"/>
  <c r="B1022" i="4"/>
  <c r="A1022" i="4"/>
  <c r="E1021" i="4"/>
  <c r="D1021" i="4"/>
  <c r="C1021" i="4"/>
  <c r="B1021" i="4"/>
  <c r="A1021" i="4"/>
  <c r="E1020" i="4"/>
  <c r="D1020" i="4"/>
  <c r="C1020" i="4"/>
  <c r="B1020" i="4"/>
  <c r="A1020" i="4"/>
  <c r="E1019" i="4"/>
  <c r="D1019" i="4"/>
  <c r="C1019" i="4"/>
  <c r="B1019" i="4"/>
  <c r="A1019" i="4"/>
  <c r="F1018" i="4"/>
  <c r="E1018" i="4"/>
  <c r="D1018" i="4"/>
  <c r="C1018" i="4"/>
  <c r="B1018" i="4"/>
  <c r="A1018" i="4"/>
  <c r="E1017" i="4"/>
  <c r="D1017" i="4"/>
  <c r="C1017" i="4"/>
  <c r="B1017" i="4"/>
  <c r="A1017" i="4"/>
  <c r="E1016" i="4"/>
  <c r="D1016" i="4"/>
  <c r="C1016" i="4"/>
  <c r="B1016" i="4"/>
  <c r="A1016" i="4"/>
  <c r="E1015" i="4"/>
  <c r="D1015" i="4"/>
  <c r="C1015" i="4"/>
  <c r="B1015" i="4"/>
  <c r="A1015" i="4"/>
  <c r="E1014" i="4"/>
  <c r="D1014" i="4"/>
  <c r="C1014" i="4"/>
  <c r="B1014" i="4"/>
  <c r="A1014" i="4"/>
  <c r="B1013" i="4"/>
  <c r="A1013" i="4"/>
  <c r="B1012" i="4"/>
  <c r="A1012" i="4"/>
  <c r="B1011" i="4"/>
  <c r="A1011" i="4"/>
  <c r="B1010" i="4"/>
  <c r="A1010" i="4"/>
  <c r="B1009" i="4"/>
  <c r="A1009" i="4"/>
  <c r="B1008" i="4"/>
  <c r="A1008" i="4"/>
  <c r="E1007" i="4"/>
  <c r="D1007" i="4"/>
  <c r="C1007" i="4"/>
  <c r="B1007" i="4"/>
  <c r="A1007" i="4"/>
  <c r="E1006" i="4"/>
  <c r="D1006" i="4"/>
  <c r="C1006" i="4"/>
  <c r="B1006" i="4"/>
  <c r="A1006" i="4"/>
  <c r="E1005" i="4"/>
  <c r="D1005" i="4"/>
  <c r="C1005" i="4"/>
  <c r="B1005" i="4"/>
  <c r="A1005" i="4"/>
  <c r="E1004" i="4"/>
  <c r="D1004" i="4"/>
  <c r="B1004" i="4"/>
  <c r="A1004" i="4"/>
  <c r="E1003" i="4"/>
  <c r="D1003" i="4"/>
  <c r="B1003" i="4"/>
  <c r="A1003" i="4"/>
  <c r="E1002" i="4"/>
  <c r="D1002" i="4"/>
  <c r="B1002" i="4"/>
  <c r="A1002" i="4"/>
  <c r="E1001" i="4"/>
  <c r="D1001" i="4"/>
  <c r="B1001" i="4"/>
  <c r="A1001" i="4"/>
  <c r="F1000" i="4"/>
  <c r="E1000" i="4"/>
  <c r="D1000" i="4"/>
  <c r="C1000" i="4"/>
  <c r="B1000" i="4"/>
  <c r="A1000" i="4"/>
  <c r="B999" i="4"/>
  <c r="A999" i="4"/>
  <c r="B998" i="4"/>
  <c r="A998" i="4"/>
  <c r="E997" i="4"/>
  <c r="D997" i="4"/>
  <c r="C997" i="4"/>
  <c r="B997" i="4"/>
  <c r="A997" i="4"/>
  <c r="E996" i="4"/>
  <c r="D996" i="4"/>
  <c r="C996" i="4"/>
  <c r="B996" i="4"/>
  <c r="A996" i="4"/>
  <c r="E995" i="4"/>
  <c r="D995" i="4"/>
  <c r="C995" i="4"/>
  <c r="B995" i="4"/>
  <c r="A995" i="4"/>
  <c r="E994" i="4"/>
  <c r="D994" i="4"/>
  <c r="C994" i="4"/>
  <c r="B994" i="4"/>
  <c r="A994" i="4"/>
  <c r="B993" i="4"/>
  <c r="A993" i="4"/>
  <c r="E992" i="4"/>
  <c r="D992" i="4"/>
  <c r="C992" i="4"/>
  <c r="B992" i="4"/>
  <c r="A992" i="4"/>
  <c r="E991" i="4"/>
  <c r="D991" i="4"/>
  <c r="C991" i="4"/>
  <c r="B991" i="4"/>
  <c r="A991" i="4"/>
  <c r="E990" i="4"/>
  <c r="D990" i="4"/>
  <c r="B990" i="4"/>
  <c r="A990" i="4"/>
  <c r="E989" i="4"/>
  <c r="D989" i="4"/>
  <c r="B989" i="4"/>
  <c r="A989" i="4"/>
  <c r="E988" i="4"/>
  <c r="D988" i="4"/>
  <c r="C988" i="4"/>
  <c r="B988" i="4"/>
  <c r="A988" i="4"/>
  <c r="B987" i="4"/>
  <c r="A987" i="4"/>
  <c r="E986" i="4"/>
  <c r="D986" i="4"/>
  <c r="C986" i="4"/>
  <c r="B986" i="4"/>
  <c r="A986" i="4"/>
  <c r="B985" i="4"/>
  <c r="A985" i="4"/>
  <c r="E984" i="4"/>
  <c r="D984" i="4"/>
  <c r="C984" i="4"/>
  <c r="B984" i="4"/>
  <c r="A984" i="4"/>
  <c r="C983" i="4"/>
  <c r="B983" i="4"/>
  <c r="A983" i="4"/>
  <c r="F982" i="4"/>
  <c r="E982" i="4"/>
  <c r="D982" i="4"/>
  <c r="C982" i="4"/>
  <c r="B982" i="4"/>
  <c r="A982" i="4"/>
  <c r="E981" i="4"/>
  <c r="D981" i="4"/>
  <c r="C981" i="4"/>
  <c r="B981" i="4"/>
  <c r="A981" i="4"/>
  <c r="E980" i="4"/>
  <c r="D980" i="4"/>
  <c r="C980" i="4"/>
  <c r="B980" i="4"/>
  <c r="A980" i="4"/>
  <c r="E979" i="4"/>
  <c r="D979" i="4"/>
  <c r="C979" i="4"/>
  <c r="B979" i="4"/>
  <c r="A979" i="4"/>
  <c r="B978" i="4"/>
  <c r="A978" i="4"/>
  <c r="E977" i="4"/>
  <c r="D977" i="4"/>
  <c r="C977" i="4"/>
  <c r="B977" i="4"/>
  <c r="A977" i="4"/>
  <c r="E976" i="4"/>
  <c r="D976" i="4"/>
  <c r="C976" i="4"/>
  <c r="B976" i="4"/>
  <c r="A976" i="4"/>
  <c r="B975" i="4"/>
  <c r="A975" i="4"/>
  <c r="E974" i="4"/>
  <c r="D974" i="4"/>
  <c r="C974" i="4"/>
  <c r="B974" i="4"/>
  <c r="A974" i="4"/>
  <c r="B973" i="4"/>
  <c r="A973" i="4"/>
  <c r="B972" i="4"/>
  <c r="A972" i="4"/>
  <c r="D971" i="4"/>
  <c r="C971" i="4"/>
  <c r="B971" i="4"/>
  <c r="A971" i="4"/>
  <c r="B970" i="4"/>
  <c r="A970" i="4"/>
  <c r="B969" i="4"/>
  <c r="A969" i="4"/>
  <c r="F968" i="4"/>
  <c r="E968" i="4"/>
  <c r="D968" i="4"/>
  <c r="C968" i="4"/>
  <c r="B968" i="4"/>
  <c r="A968" i="4"/>
  <c r="E967" i="4"/>
  <c r="D967" i="4"/>
  <c r="C967" i="4"/>
  <c r="B967" i="4"/>
  <c r="A967" i="4"/>
  <c r="C966" i="4"/>
  <c r="B966" i="4"/>
  <c r="A966" i="4"/>
  <c r="D965" i="4"/>
  <c r="B965" i="4"/>
  <c r="A965" i="4"/>
  <c r="D964" i="4"/>
  <c r="B964" i="4"/>
  <c r="A964" i="4"/>
  <c r="D963" i="4"/>
  <c r="B963" i="4"/>
  <c r="A963" i="4"/>
  <c r="E962" i="4"/>
  <c r="D962" i="4"/>
  <c r="C962" i="4"/>
  <c r="B962" i="4"/>
  <c r="A962" i="4"/>
  <c r="F961" i="4"/>
  <c r="E961" i="4"/>
  <c r="D961" i="4"/>
  <c r="C961" i="4"/>
  <c r="B961" i="4"/>
  <c r="A961" i="4"/>
  <c r="F960" i="4"/>
  <c r="E960" i="4"/>
  <c r="D960" i="4"/>
  <c r="C960" i="4"/>
  <c r="B960" i="4"/>
  <c r="A960" i="4"/>
  <c r="F959" i="4"/>
  <c r="E959" i="4"/>
  <c r="D959" i="4"/>
  <c r="C959" i="4"/>
  <c r="B959" i="4"/>
  <c r="A959" i="4"/>
  <c r="B958" i="4"/>
  <c r="A958" i="4"/>
  <c r="B957" i="4"/>
  <c r="A957" i="4"/>
  <c r="E956" i="4"/>
  <c r="D956" i="4"/>
  <c r="C956" i="4"/>
  <c r="B956" i="4"/>
  <c r="A956" i="4"/>
  <c r="E955" i="4"/>
  <c r="D955" i="4"/>
  <c r="C955" i="4"/>
  <c r="B955" i="4"/>
  <c r="A955" i="4"/>
  <c r="E954" i="4"/>
  <c r="D954" i="4"/>
  <c r="C954" i="4"/>
  <c r="B954" i="4"/>
  <c r="A954" i="4"/>
  <c r="E953" i="4"/>
  <c r="D953" i="4"/>
  <c r="C953" i="4"/>
  <c r="B953" i="4"/>
  <c r="A953" i="4"/>
  <c r="B952" i="4"/>
  <c r="A952" i="4"/>
  <c r="E951" i="4"/>
  <c r="D951" i="4"/>
  <c r="C951" i="4"/>
  <c r="B951" i="4"/>
  <c r="A951" i="4"/>
  <c r="E950" i="4"/>
  <c r="D950" i="4"/>
  <c r="C950" i="4"/>
  <c r="B950" i="4"/>
  <c r="A950" i="4"/>
  <c r="E949" i="4"/>
  <c r="D949" i="4"/>
  <c r="C949" i="4"/>
  <c r="B949" i="4"/>
  <c r="A949" i="4"/>
  <c r="E948" i="4"/>
  <c r="D948" i="4"/>
  <c r="C948" i="4"/>
  <c r="B948" i="4"/>
  <c r="A948" i="4"/>
  <c r="B947" i="4"/>
  <c r="A947" i="4"/>
  <c r="F946" i="4"/>
  <c r="D946" i="4"/>
  <c r="C946" i="4"/>
  <c r="B946" i="4"/>
  <c r="A946" i="4"/>
  <c r="B945" i="4"/>
  <c r="A945" i="4"/>
  <c r="E944" i="4"/>
  <c r="D944" i="4"/>
  <c r="C944" i="4"/>
  <c r="B944" i="4"/>
  <c r="A944" i="4"/>
  <c r="E943" i="4"/>
  <c r="D943" i="4"/>
  <c r="C943" i="4"/>
  <c r="B943" i="4"/>
  <c r="A943" i="4"/>
  <c r="E942" i="4"/>
  <c r="D942" i="4"/>
  <c r="C942" i="4"/>
  <c r="B942" i="4"/>
  <c r="A942" i="4"/>
  <c r="E941" i="4"/>
  <c r="D941" i="4"/>
  <c r="C941" i="4"/>
  <c r="B941" i="4"/>
  <c r="A941" i="4"/>
  <c r="F940" i="4"/>
  <c r="E940" i="4"/>
  <c r="D940" i="4"/>
  <c r="C940" i="4"/>
  <c r="B940" i="4"/>
  <c r="A940" i="4"/>
  <c r="E939" i="4"/>
  <c r="D939" i="4"/>
  <c r="C939" i="4"/>
  <c r="B939" i="4"/>
  <c r="A939" i="4"/>
  <c r="E938" i="4"/>
  <c r="D938" i="4"/>
  <c r="C938" i="4"/>
  <c r="B938" i="4"/>
  <c r="A938" i="4"/>
  <c r="E937" i="4"/>
  <c r="D937" i="4"/>
  <c r="C937" i="4"/>
  <c r="B937" i="4"/>
  <c r="A937" i="4"/>
  <c r="E936" i="4"/>
  <c r="D936" i="4"/>
  <c r="C936" i="4"/>
  <c r="B936" i="4"/>
  <c r="A936" i="4"/>
  <c r="D935" i="4"/>
  <c r="B935" i="4"/>
  <c r="A935" i="4"/>
  <c r="E934" i="4"/>
  <c r="C934" i="4"/>
  <c r="B934" i="4"/>
  <c r="A934" i="4"/>
  <c r="E933" i="4"/>
  <c r="D933" i="4"/>
  <c r="C933" i="4"/>
  <c r="B933" i="4"/>
  <c r="A933" i="4"/>
  <c r="E932" i="4"/>
  <c r="D932" i="4"/>
  <c r="C932" i="4"/>
  <c r="B932" i="4"/>
  <c r="A932" i="4"/>
  <c r="E931" i="4"/>
  <c r="D931" i="4"/>
  <c r="C931" i="4"/>
  <c r="B931" i="4"/>
  <c r="A931" i="4"/>
  <c r="E930" i="4"/>
  <c r="D930" i="4"/>
  <c r="B930" i="4"/>
  <c r="A930" i="4"/>
  <c r="E929" i="4"/>
  <c r="D929" i="4"/>
  <c r="C929" i="4"/>
  <c r="B929" i="4"/>
  <c r="A929" i="4"/>
  <c r="B928" i="4"/>
  <c r="A928" i="4"/>
  <c r="C927" i="4"/>
  <c r="B927" i="4"/>
  <c r="A927" i="4"/>
  <c r="E926" i="4"/>
  <c r="D926" i="4"/>
  <c r="C926" i="4"/>
  <c r="B926" i="4"/>
  <c r="A926" i="4"/>
  <c r="E925" i="4"/>
  <c r="D925" i="4"/>
  <c r="C925" i="4"/>
  <c r="B925" i="4"/>
  <c r="A925" i="4"/>
  <c r="E924" i="4"/>
  <c r="D924" i="4"/>
  <c r="B924" i="4"/>
  <c r="A924" i="4"/>
  <c r="F923" i="4"/>
  <c r="E923" i="4"/>
  <c r="D923" i="4"/>
  <c r="C923" i="4"/>
  <c r="B923" i="4"/>
  <c r="A923" i="4"/>
  <c r="F922" i="4"/>
  <c r="E922" i="4"/>
  <c r="C922" i="4"/>
  <c r="B922" i="4"/>
  <c r="A922" i="4"/>
  <c r="E921" i="4"/>
  <c r="C921" i="4"/>
  <c r="B921" i="4"/>
  <c r="A921" i="4"/>
  <c r="E920" i="4"/>
  <c r="D920" i="4"/>
  <c r="B920" i="4"/>
  <c r="A920" i="4"/>
  <c r="E919" i="4"/>
  <c r="D919" i="4"/>
  <c r="C919" i="4"/>
  <c r="B919" i="4"/>
  <c r="A919" i="4"/>
  <c r="E918" i="4"/>
  <c r="D918" i="4"/>
  <c r="C918" i="4"/>
  <c r="B918" i="4"/>
  <c r="A918" i="4"/>
  <c r="E917" i="4"/>
  <c r="D917" i="4"/>
  <c r="C917" i="4"/>
  <c r="B917" i="4"/>
  <c r="A917" i="4"/>
  <c r="E916" i="4"/>
  <c r="D916" i="4"/>
  <c r="C916" i="4"/>
  <c r="B916" i="4"/>
  <c r="A916" i="4"/>
  <c r="F915" i="4"/>
  <c r="E915" i="4"/>
  <c r="D915" i="4"/>
  <c r="C915" i="4"/>
  <c r="B915" i="4"/>
  <c r="A915" i="4"/>
  <c r="E914" i="4"/>
  <c r="D914" i="4"/>
  <c r="C914" i="4"/>
  <c r="B914" i="4"/>
  <c r="A914" i="4"/>
  <c r="E913" i="4"/>
  <c r="D913" i="4"/>
  <c r="C913" i="4"/>
  <c r="B913" i="4"/>
  <c r="A913" i="4"/>
  <c r="E912" i="4"/>
  <c r="B912" i="4"/>
  <c r="A912" i="4"/>
  <c r="E911" i="4"/>
  <c r="B911" i="4"/>
  <c r="A911" i="4"/>
  <c r="E910" i="4"/>
  <c r="B910" i="4"/>
  <c r="A910" i="4"/>
  <c r="E909" i="4"/>
  <c r="C909" i="4"/>
  <c r="B909" i="4"/>
  <c r="A909" i="4"/>
  <c r="E908" i="4"/>
  <c r="D908" i="4"/>
  <c r="C908" i="4"/>
  <c r="B908" i="4"/>
  <c r="A908" i="4"/>
  <c r="E907" i="4"/>
  <c r="D907" i="4"/>
  <c r="C907" i="4"/>
  <c r="B907" i="4"/>
  <c r="A907" i="4"/>
  <c r="E906" i="4"/>
  <c r="D906" i="4"/>
  <c r="C906" i="4"/>
  <c r="B906" i="4"/>
  <c r="A906" i="4"/>
  <c r="F905" i="4"/>
  <c r="E905" i="4"/>
  <c r="D905" i="4"/>
  <c r="C905" i="4"/>
  <c r="B905" i="4"/>
  <c r="A905" i="4"/>
  <c r="E904" i="4"/>
  <c r="D904" i="4"/>
  <c r="C904" i="4"/>
  <c r="B904" i="4"/>
  <c r="A904" i="4"/>
  <c r="E903" i="4"/>
  <c r="D903" i="4"/>
  <c r="C903" i="4"/>
  <c r="B903" i="4"/>
  <c r="A903" i="4"/>
  <c r="F902" i="4"/>
  <c r="E902" i="4"/>
  <c r="D902" i="4"/>
  <c r="C902" i="4"/>
  <c r="B902" i="4"/>
  <c r="A902" i="4"/>
  <c r="E901" i="4"/>
  <c r="D901" i="4"/>
  <c r="C901" i="4"/>
  <c r="B901" i="4"/>
  <c r="A901" i="4"/>
  <c r="E900" i="4"/>
  <c r="D900" i="4"/>
  <c r="C900" i="4"/>
  <c r="B900" i="4"/>
  <c r="A900" i="4"/>
  <c r="E899" i="4"/>
  <c r="D899" i="4"/>
  <c r="C899" i="4"/>
  <c r="B899" i="4"/>
  <c r="A899" i="4"/>
  <c r="E898" i="4"/>
  <c r="D898" i="4"/>
  <c r="C898" i="4"/>
  <c r="B898" i="4"/>
  <c r="A898" i="4"/>
  <c r="F897" i="4"/>
  <c r="E897" i="4"/>
  <c r="D897" i="4"/>
  <c r="C897" i="4"/>
  <c r="B897" i="4"/>
  <c r="A897" i="4"/>
  <c r="E896" i="4"/>
  <c r="C896" i="4"/>
  <c r="B896" i="4"/>
  <c r="A896" i="4"/>
  <c r="E895" i="4"/>
  <c r="C895" i="4"/>
  <c r="B895" i="4"/>
  <c r="A895" i="4"/>
  <c r="E894" i="4"/>
  <c r="D894" i="4"/>
  <c r="C894" i="4"/>
  <c r="B894" i="4"/>
  <c r="A894" i="4"/>
  <c r="F893" i="4"/>
  <c r="E893" i="4"/>
  <c r="D893" i="4"/>
  <c r="C893" i="4"/>
  <c r="B893" i="4"/>
  <c r="A893" i="4"/>
  <c r="E892" i="4"/>
  <c r="D892" i="4"/>
  <c r="C892" i="4"/>
  <c r="B892" i="4"/>
  <c r="A892" i="4"/>
  <c r="E891" i="4"/>
  <c r="D891" i="4"/>
  <c r="C891" i="4"/>
  <c r="B891" i="4"/>
  <c r="A891" i="4"/>
  <c r="E890" i="4"/>
  <c r="D890" i="4"/>
  <c r="B890" i="4"/>
  <c r="A890" i="4"/>
  <c r="D889" i="4"/>
  <c r="B889" i="4"/>
  <c r="A889" i="4"/>
  <c r="E888" i="4"/>
  <c r="D888" i="4"/>
  <c r="C888" i="4"/>
  <c r="B888" i="4"/>
  <c r="A888" i="4"/>
  <c r="E887" i="4"/>
  <c r="D887" i="4"/>
  <c r="C887" i="4"/>
  <c r="B887" i="4"/>
  <c r="A887" i="4"/>
  <c r="E886" i="4"/>
  <c r="D886" i="4"/>
  <c r="C886" i="4"/>
  <c r="B886" i="4"/>
  <c r="A886" i="4"/>
  <c r="E885" i="4"/>
  <c r="D885" i="4"/>
  <c r="C885" i="4"/>
  <c r="B885" i="4"/>
  <c r="A885" i="4"/>
  <c r="E884" i="4"/>
  <c r="D884" i="4"/>
  <c r="C884" i="4"/>
  <c r="B884" i="4"/>
  <c r="A884" i="4"/>
  <c r="E883" i="4"/>
  <c r="D883" i="4"/>
  <c r="C883" i="4"/>
  <c r="B883" i="4"/>
  <c r="A883" i="4"/>
  <c r="E882" i="4"/>
  <c r="D882" i="4"/>
  <c r="B882" i="4"/>
  <c r="A882" i="4"/>
  <c r="E881" i="4"/>
  <c r="D881" i="4"/>
  <c r="C881" i="4"/>
  <c r="B881" i="4"/>
  <c r="A881" i="4"/>
  <c r="E880" i="4"/>
  <c r="D880" i="4"/>
  <c r="C880" i="4"/>
  <c r="B880" i="4"/>
  <c r="A880" i="4"/>
  <c r="E879" i="4"/>
  <c r="D879" i="4"/>
  <c r="C879" i="4"/>
  <c r="B879" i="4"/>
  <c r="A879" i="4"/>
  <c r="F878" i="4"/>
  <c r="E878" i="4"/>
  <c r="D878" i="4"/>
  <c r="C878" i="4"/>
  <c r="B878" i="4"/>
  <c r="A878" i="4"/>
  <c r="E877" i="4"/>
  <c r="D877" i="4"/>
  <c r="C877" i="4"/>
  <c r="B877" i="4"/>
  <c r="A877" i="4"/>
  <c r="E876" i="4"/>
  <c r="D876" i="4"/>
  <c r="C876" i="4"/>
  <c r="B876" i="4"/>
  <c r="A876" i="4"/>
  <c r="E875" i="4"/>
  <c r="D875" i="4"/>
  <c r="C875" i="4"/>
  <c r="B875" i="4"/>
  <c r="A875" i="4"/>
  <c r="E874" i="4"/>
  <c r="D874" i="4"/>
  <c r="C874" i="4"/>
  <c r="B874" i="4"/>
  <c r="A874" i="4"/>
  <c r="E873" i="4"/>
  <c r="D873" i="4"/>
  <c r="C873" i="4"/>
  <c r="B873" i="4"/>
  <c r="A873" i="4"/>
  <c r="F872" i="4"/>
  <c r="E872" i="4"/>
  <c r="D872" i="4"/>
  <c r="C872" i="4"/>
  <c r="B872" i="4"/>
  <c r="A872" i="4"/>
  <c r="E871" i="4"/>
  <c r="D871" i="4"/>
  <c r="C871" i="4"/>
  <c r="B871" i="4"/>
  <c r="A871" i="4"/>
  <c r="E870" i="4"/>
  <c r="D870" i="4"/>
  <c r="C870" i="4"/>
  <c r="B870" i="4"/>
  <c r="A870" i="4"/>
  <c r="E869" i="4"/>
  <c r="D869" i="4"/>
  <c r="C869" i="4"/>
  <c r="B869" i="4"/>
  <c r="A869" i="4"/>
  <c r="E868" i="4"/>
  <c r="D868" i="4"/>
  <c r="C868" i="4"/>
  <c r="B868" i="4"/>
  <c r="A868" i="4"/>
  <c r="E867" i="4"/>
  <c r="D867" i="4"/>
  <c r="C867" i="4"/>
  <c r="B867" i="4"/>
  <c r="A867" i="4"/>
  <c r="E866" i="4"/>
  <c r="D866" i="4"/>
  <c r="C866" i="4"/>
  <c r="B866" i="4"/>
  <c r="A866" i="4"/>
  <c r="E865" i="4"/>
  <c r="D865" i="4"/>
  <c r="C865" i="4"/>
  <c r="B865" i="4"/>
  <c r="A865" i="4"/>
  <c r="E864" i="4"/>
  <c r="D864" i="4"/>
  <c r="C864" i="4"/>
  <c r="B864" i="4"/>
  <c r="A864" i="4"/>
  <c r="E863" i="4"/>
  <c r="D863" i="4"/>
  <c r="B863" i="4"/>
  <c r="A863" i="4"/>
  <c r="E862" i="4"/>
  <c r="D862" i="4"/>
  <c r="C862" i="4"/>
  <c r="B862" i="4"/>
  <c r="A862" i="4"/>
  <c r="E861" i="4"/>
  <c r="D861" i="4"/>
  <c r="C861" i="4"/>
  <c r="B861" i="4"/>
  <c r="A861" i="4"/>
  <c r="F860" i="4"/>
  <c r="E860" i="4"/>
  <c r="D860" i="4"/>
  <c r="C860" i="4"/>
  <c r="B860" i="4"/>
  <c r="A860" i="4"/>
  <c r="E859" i="4"/>
  <c r="D859" i="4"/>
  <c r="C859" i="4"/>
  <c r="B859" i="4"/>
  <c r="A859" i="4"/>
  <c r="E858" i="4"/>
  <c r="D858" i="4"/>
  <c r="C858" i="4"/>
  <c r="B858" i="4"/>
  <c r="A858" i="4"/>
  <c r="E857" i="4"/>
  <c r="D857" i="4"/>
  <c r="C857" i="4"/>
  <c r="B857" i="4"/>
  <c r="A857" i="4"/>
  <c r="E856" i="4"/>
  <c r="D856" i="4"/>
  <c r="C856" i="4"/>
  <c r="B856" i="4"/>
  <c r="A856" i="4"/>
  <c r="E855" i="4"/>
  <c r="D855" i="4"/>
  <c r="C855" i="4"/>
  <c r="B855" i="4"/>
  <c r="A855" i="4"/>
  <c r="E854" i="4"/>
  <c r="D854" i="4"/>
  <c r="C854" i="4"/>
  <c r="B854" i="4"/>
  <c r="A854" i="4"/>
  <c r="E853" i="4"/>
  <c r="D853" i="4"/>
  <c r="C853" i="4"/>
  <c r="B853" i="4"/>
  <c r="A853" i="4"/>
  <c r="E852" i="4"/>
  <c r="D852" i="4"/>
  <c r="C852" i="4"/>
  <c r="B852" i="4"/>
  <c r="A852" i="4"/>
  <c r="E851" i="4"/>
  <c r="D851" i="4"/>
  <c r="C851" i="4"/>
  <c r="B851" i="4"/>
  <c r="A851" i="4"/>
  <c r="E850" i="4"/>
  <c r="D850" i="4"/>
  <c r="C850" i="4"/>
  <c r="B850" i="4"/>
  <c r="A850" i="4"/>
  <c r="E849" i="4"/>
  <c r="D849" i="4"/>
  <c r="C849" i="4"/>
  <c r="B849" i="4"/>
  <c r="A849" i="4"/>
  <c r="E848" i="4"/>
  <c r="D848" i="4"/>
  <c r="C848" i="4"/>
  <c r="B848" i="4"/>
  <c r="A848" i="4"/>
  <c r="E847" i="4"/>
  <c r="D847" i="4"/>
  <c r="C847" i="4"/>
  <c r="B847" i="4"/>
  <c r="A847" i="4"/>
  <c r="E846" i="4"/>
  <c r="D846" i="4"/>
  <c r="C846" i="4"/>
  <c r="B846" i="4"/>
  <c r="A846" i="4"/>
  <c r="E845" i="4"/>
  <c r="D845" i="4"/>
  <c r="C845" i="4"/>
  <c r="B845" i="4"/>
  <c r="A845" i="4"/>
  <c r="E844" i="4"/>
  <c r="D844" i="4"/>
  <c r="C844" i="4"/>
  <c r="B844" i="4"/>
  <c r="A844" i="4"/>
  <c r="E843" i="4"/>
  <c r="D843" i="4"/>
  <c r="C843" i="4"/>
  <c r="B843" i="4"/>
  <c r="A843" i="4"/>
  <c r="F842" i="4"/>
  <c r="E842" i="4"/>
  <c r="D842" i="4"/>
  <c r="C842" i="4"/>
  <c r="B842" i="4"/>
  <c r="A842" i="4"/>
  <c r="E841" i="4"/>
  <c r="D841" i="4"/>
  <c r="C841" i="4"/>
  <c r="B841" i="4"/>
  <c r="A841" i="4"/>
  <c r="E840" i="4"/>
  <c r="D840" i="4"/>
  <c r="C840" i="4"/>
  <c r="B840" i="4"/>
  <c r="A840" i="4"/>
  <c r="E839" i="4"/>
  <c r="D839" i="4"/>
  <c r="C839" i="4"/>
  <c r="B839" i="4"/>
  <c r="A839" i="4"/>
  <c r="E838" i="4"/>
  <c r="C838" i="4"/>
  <c r="B838" i="4"/>
  <c r="A838" i="4"/>
  <c r="E837" i="4"/>
  <c r="D837" i="4"/>
  <c r="C837" i="4"/>
  <c r="B837" i="4"/>
  <c r="A837" i="4"/>
  <c r="E836" i="4"/>
  <c r="D836" i="4"/>
  <c r="C836" i="4"/>
  <c r="B836" i="4"/>
  <c r="A836" i="4"/>
  <c r="F835" i="4"/>
  <c r="E835" i="4"/>
  <c r="D835" i="4"/>
  <c r="C835" i="4"/>
  <c r="B835" i="4"/>
  <c r="A835" i="4"/>
  <c r="E834" i="4"/>
  <c r="D834" i="4"/>
  <c r="C834" i="4"/>
  <c r="B834" i="4"/>
  <c r="A834" i="4"/>
  <c r="F833" i="4"/>
  <c r="E833" i="4"/>
  <c r="D833" i="4"/>
  <c r="C833" i="4"/>
  <c r="B833" i="4"/>
  <c r="A833" i="4"/>
  <c r="E832" i="4"/>
  <c r="D832" i="4"/>
  <c r="C832" i="4"/>
  <c r="B832" i="4"/>
  <c r="A832" i="4"/>
  <c r="E831" i="4"/>
  <c r="C831" i="4"/>
  <c r="B831" i="4"/>
  <c r="A831" i="4"/>
  <c r="E830" i="4"/>
  <c r="D830" i="4"/>
  <c r="C830" i="4"/>
  <c r="B830" i="4"/>
  <c r="A830" i="4"/>
  <c r="E829" i="4"/>
  <c r="D829" i="4"/>
  <c r="C829" i="4"/>
  <c r="B829" i="4"/>
  <c r="A829" i="4"/>
  <c r="E828" i="4"/>
  <c r="D828" i="4"/>
  <c r="C828" i="4"/>
  <c r="B828" i="4"/>
  <c r="A828" i="4"/>
  <c r="E827" i="4"/>
  <c r="C827" i="4"/>
  <c r="B827" i="4"/>
  <c r="A827" i="4"/>
  <c r="E826" i="4"/>
  <c r="D826" i="4"/>
  <c r="C826" i="4"/>
  <c r="B826" i="4"/>
  <c r="A826" i="4"/>
  <c r="E825" i="4"/>
  <c r="D825" i="4"/>
  <c r="C825" i="4"/>
  <c r="B825" i="4"/>
  <c r="A825" i="4"/>
  <c r="E824" i="4"/>
  <c r="D824" i="4"/>
  <c r="C824" i="4"/>
  <c r="B824" i="4"/>
  <c r="A824" i="4"/>
  <c r="E823" i="4"/>
  <c r="D823" i="4"/>
  <c r="C823" i="4"/>
  <c r="B823" i="4"/>
  <c r="A823" i="4"/>
  <c r="E822" i="4"/>
  <c r="D822" i="4"/>
  <c r="C822" i="4"/>
  <c r="B822" i="4"/>
  <c r="A822" i="4"/>
  <c r="E821" i="4"/>
  <c r="D821" i="4"/>
  <c r="C821" i="4"/>
  <c r="B821" i="4"/>
  <c r="A821" i="4"/>
  <c r="E820" i="4"/>
  <c r="D820" i="4"/>
  <c r="C820" i="4"/>
  <c r="B820" i="4"/>
  <c r="A820" i="4"/>
  <c r="E819" i="4"/>
  <c r="D819" i="4"/>
  <c r="C819" i="4"/>
  <c r="B819" i="4"/>
  <c r="A819" i="4"/>
  <c r="E818" i="4"/>
  <c r="D818" i="4"/>
  <c r="C818" i="4"/>
  <c r="B818" i="4"/>
  <c r="A818" i="4"/>
  <c r="E817" i="4"/>
  <c r="D817" i="4"/>
  <c r="C817" i="4"/>
  <c r="B817" i="4"/>
  <c r="A817" i="4"/>
  <c r="E816" i="4"/>
  <c r="C816" i="4"/>
  <c r="B816" i="4"/>
  <c r="A816" i="4"/>
  <c r="E815" i="4"/>
  <c r="C815" i="4"/>
  <c r="B815" i="4"/>
  <c r="A815" i="4"/>
  <c r="E814" i="4"/>
  <c r="D814" i="4"/>
  <c r="C814" i="4"/>
  <c r="B814" i="4"/>
  <c r="A814" i="4"/>
  <c r="E813" i="4"/>
  <c r="D813" i="4"/>
  <c r="C813" i="4"/>
  <c r="B813" i="4"/>
  <c r="A813" i="4"/>
  <c r="E812" i="4"/>
  <c r="D812" i="4"/>
  <c r="C812" i="4"/>
  <c r="B812" i="4"/>
  <c r="A812" i="4"/>
  <c r="E811" i="4"/>
  <c r="D811" i="4"/>
  <c r="C811" i="4"/>
  <c r="B811" i="4"/>
  <c r="A811" i="4"/>
  <c r="E810" i="4"/>
  <c r="C810" i="4"/>
  <c r="B810" i="4"/>
  <c r="A810" i="4"/>
  <c r="E809" i="4"/>
  <c r="D809" i="4"/>
  <c r="C809" i="4"/>
  <c r="B809" i="4"/>
  <c r="A809" i="4"/>
  <c r="E808" i="4"/>
  <c r="D808" i="4"/>
  <c r="C808" i="4"/>
  <c r="B808" i="4"/>
  <c r="A808" i="4"/>
  <c r="E807" i="4"/>
  <c r="D807" i="4"/>
  <c r="C807" i="4"/>
  <c r="B807" i="4"/>
  <c r="A807" i="4"/>
  <c r="E806" i="4"/>
  <c r="D806" i="4"/>
  <c r="B806" i="4"/>
  <c r="A806" i="4"/>
  <c r="E805" i="4"/>
  <c r="D805" i="4"/>
  <c r="B805" i="4"/>
  <c r="A805" i="4"/>
  <c r="E804" i="4"/>
  <c r="D804" i="4"/>
  <c r="B804" i="4"/>
  <c r="A804" i="4"/>
  <c r="F803" i="4"/>
  <c r="E803" i="4"/>
  <c r="D803" i="4"/>
  <c r="C803" i="4"/>
  <c r="B803" i="4"/>
  <c r="A803" i="4"/>
  <c r="F802" i="4"/>
  <c r="E802" i="4"/>
  <c r="D802" i="4"/>
  <c r="C802" i="4"/>
  <c r="B802" i="4"/>
  <c r="A802" i="4"/>
  <c r="F801" i="4"/>
  <c r="E801" i="4"/>
  <c r="D801" i="4"/>
  <c r="C801" i="4"/>
  <c r="B801" i="4"/>
  <c r="A801" i="4"/>
  <c r="E800" i="4"/>
  <c r="D800" i="4"/>
  <c r="C800" i="4"/>
  <c r="B800" i="4"/>
  <c r="A800" i="4"/>
  <c r="E799" i="4"/>
  <c r="D799" i="4"/>
  <c r="B799" i="4"/>
  <c r="A799" i="4"/>
  <c r="E798" i="4"/>
  <c r="D798" i="4"/>
  <c r="B798" i="4"/>
  <c r="A798" i="4"/>
  <c r="E797" i="4"/>
  <c r="D797" i="4"/>
  <c r="C797" i="4"/>
  <c r="B797" i="4"/>
  <c r="A797" i="4"/>
  <c r="E796" i="4"/>
  <c r="D796" i="4"/>
  <c r="B796" i="4"/>
  <c r="A796" i="4"/>
  <c r="E795" i="4"/>
  <c r="D795" i="4"/>
  <c r="B795" i="4"/>
  <c r="A795" i="4"/>
  <c r="E794" i="4"/>
  <c r="D794" i="4"/>
  <c r="B794" i="4"/>
  <c r="A794" i="4"/>
  <c r="F793" i="4"/>
  <c r="E793" i="4"/>
  <c r="D793" i="4"/>
  <c r="C793" i="4"/>
  <c r="B793" i="4"/>
  <c r="A793" i="4"/>
  <c r="E792" i="4"/>
  <c r="D792" i="4"/>
  <c r="B792" i="4"/>
  <c r="A792" i="4"/>
  <c r="E791" i="4"/>
  <c r="D791" i="4"/>
  <c r="C791" i="4"/>
  <c r="B791" i="4"/>
  <c r="A791" i="4"/>
  <c r="E790" i="4"/>
  <c r="D790" i="4"/>
  <c r="C790" i="4"/>
  <c r="B790" i="4"/>
  <c r="A790" i="4"/>
  <c r="E789" i="4"/>
  <c r="D789" i="4"/>
  <c r="C789" i="4"/>
  <c r="B789" i="4"/>
  <c r="A789" i="4"/>
  <c r="E788" i="4"/>
  <c r="D788" i="4"/>
  <c r="C788" i="4"/>
  <c r="B788" i="4"/>
  <c r="A788" i="4"/>
  <c r="E787" i="4"/>
  <c r="D787" i="4"/>
  <c r="C787" i="4"/>
  <c r="B787" i="4"/>
  <c r="A787" i="4"/>
  <c r="E786" i="4"/>
  <c r="D786" i="4"/>
  <c r="C786" i="4"/>
  <c r="B786" i="4"/>
  <c r="A786" i="4"/>
  <c r="F785" i="4"/>
  <c r="E785" i="4"/>
  <c r="D785" i="4"/>
  <c r="C785" i="4"/>
  <c r="B785" i="4"/>
  <c r="A785" i="4"/>
  <c r="E784" i="4"/>
  <c r="D784" i="4"/>
  <c r="C784" i="4"/>
  <c r="B784" i="4"/>
  <c r="A784" i="4"/>
  <c r="E783" i="4"/>
  <c r="D783" i="4"/>
  <c r="C783" i="4"/>
  <c r="B783" i="4"/>
  <c r="A783" i="4"/>
  <c r="E782" i="4"/>
  <c r="D782" i="4"/>
  <c r="C782" i="4"/>
  <c r="B782" i="4"/>
  <c r="A782" i="4"/>
  <c r="D781" i="4"/>
  <c r="B781" i="4"/>
  <c r="A781" i="4"/>
  <c r="E780" i="4"/>
  <c r="D780" i="4"/>
  <c r="C780" i="4"/>
  <c r="B780" i="4"/>
  <c r="A780" i="4"/>
  <c r="E779" i="4"/>
  <c r="D779" i="4"/>
  <c r="C779" i="4"/>
  <c r="B779" i="4"/>
  <c r="A779" i="4"/>
  <c r="E778" i="4"/>
  <c r="D778" i="4"/>
  <c r="C778" i="4"/>
  <c r="B778" i="4"/>
  <c r="A778" i="4"/>
  <c r="E777" i="4"/>
  <c r="D777" i="4"/>
  <c r="C777" i="4"/>
  <c r="B777" i="4"/>
  <c r="A777" i="4"/>
  <c r="E776" i="4"/>
  <c r="D776" i="4"/>
  <c r="C776" i="4"/>
  <c r="B776" i="4"/>
  <c r="A776" i="4"/>
  <c r="E775" i="4"/>
  <c r="D775" i="4"/>
  <c r="B775" i="4"/>
  <c r="A775" i="4"/>
  <c r="E774" i="4"/>
  <c r="D774" i="4"/>
  <c r="B774" i="4"/>
  <c r="A774" i="4"/>
  <c r="E773" i="4"/>
  <c r="D773" i="4"/>
  <c r="B773" i="4"/>
  <c r="A773" i="4"/>
  <c r="E772" i="4"/>
  <c r="D772" i="4"/>
  <c r="B772" i="4"/>
  <c r="A772" i="4"/>
  <c r="E771" i="4"/>
  <c r="D771" i="4"/>
  <c r="B771" i="4"/>
  <c r="A771" i="4"/>
  <c r="E770" i="4"/>
  <c r="C770" i="4"/>
  <c r="B770" i="4"/>
  <c r="A770" i="4"/>
  <c r="E769" i="4"/>
  <c r="D769" i="4"/>
  <c r="C769" i="4"/>
  <c r="B769" i="4"/>
  <c r="A769" i="4"/>
  <c r="E768" i="4"/>
  <c r="D768" i="4"/>
  <c r="B768" i="4"/>
  <c r="A768" i="4"/>
  <c r="E767" i="4"/>
  <c r="D767" i="4"/>
  <c r="B767" i="4"/>
  <c r="A767" i="4"/>
  <c r="E766" i="4"/>
  <c r="D766" i="4"/>
  <c r="B766" i="4"/>
  <c r="A766" i="4"/>
  <c r="E765" i="4"/>
  <c r="D765" i="4"/>
  <c r="C765" i="4"/>
  <c r="B765" i="4"/>
  <c r="A765" i="4"/>
  <c r="E764" i="4"/>
  <c r="D764" i="4"/>
  <c r="C764" i="4"/>
  <c r="B764" i="4"/>
  <c r="A764" i="4"/>
  <c r="E763" i="4"/>
  <c r="D763" i="4"/>
  <c r="C763" i="4"/>
  <c r="B763" i="4"/>
  <c r="A763" i="4"/>
  <c r="E762" i="4"/>
  <c r="D762" i="4"/>
  <c r="C762" i="4"/>
  <c r="B762" i="4"/>
  <c r="A762" i="4"/>
  <c r="E761" i="4"/>
  <c r="D761" i="4"/>
  <c r="C761" i="4"/>
  <c r="B761" i="4"/>
  <c r="A761" i="4"/>
  <c r="E760" i="4"/>
  <c r="D760" i="4"/>
  <c r="C760" i="4"/>
  <c r="B760" i="4"/>
  <c r="A760" i="4"/>
  <c r="E759" i="4"/>
  <c r="D759" i="4"/>
  <c r="C759" i="4"/>
  <c r="B759" i="4"/>
  <c r="A759" i="4"/>
  <c r="E758" i="4"/>
  <c r="D758" i="4"/>
  <c r="C758" i="4"/>
  <c r="B758" i="4"/>
  <c r="A758" i="4"/>
  <c r="E757" i="4"/>
  <c r="D757" i="4"/>
  <c r="C757" i="4"/>
  <c r="B757" i="4"/>
  <c r="A757" i="4"/>
  <c r="E756" i="4"/>
  <c r="D756" i="4"/>
  <c r="C756" i="4"/>
  <c r="B756" i="4"/>
  <c r="A756" i="4"/>
  <c r="E755" i="4"/>
  <c r="D755" i="4"/>
  <c r="C755" i="4"/>
  <c r="B755" i="4"/>
  <c r="A755" i="4"/>
  <c r="E754" i="4"/>
  <c r="D754" i="4"/>
  <c r="C754" i="4"/>
  <c r="B754" i="4"/>
  <c r="A754" i="4"/>
  <c r="E753" i="4"/>
  <c r="D753" i="4"/>
  <c r="B753" i="4"/>
  <c r="A753" i="4"/>
  <c r="E752" i="4"/>
  <c r="D752" i="4"/>
  <c r="B752" i="4"/>
  <c r="A752" i="4"/>
  <c r="E751" i="4"/>
  <c r="D751" i="4"/>
  <c r="B751" i="4"/>
  <c r="A751" i="4"/>
  <c r="E750" i="4"/>
  <c r="D750" i="4"/>
  <c r="C750" i="4"/>
  <c r="B750" i="4"/>
  <c r="A750" i="4"/>
  <c r="E749" i="4"/>
  <c r="D749" i="4"/>
  <c r="C749" i="4"/>
  <c r="B749" i="4"/>
  <c r="A749" i="4"/>
  <c r="E748" i="4"/>
  <c r="D748" i="4"/>
  <c r="C748" i="4"/>
  <c r="B748" i="4"/>
  <c r="A748" i="4"/>
  <c r="E747" i="4"/>
  <c r="D747" i="4"/>
  <c r="C747" i="4"/>
  <c r="B747" i="4"/>
  <c r="A747" i="4"/>
  <c r="E746" i="4"/>
  <c r="D746" i="4"/>
  <c r="C746" i="4"/>
  <c r="B746" i="4"/>
  <c r="A746" i="4"/>
  <c r="E745" i="4"/>
  <c r="D745" i="4"/>
  <c r="C745" i="4"/>
  <c r="B745" i="4"/>
  <c r="A745" i="4"/>
  <c r="E744" i="4"/>
  <c r="D744" i="4"/>
  <c r="C744" i="4"/>
  <c r="B744" i="4"/>
  <c r="A744" i="4"/>
  <c r="E743" i="4"/>
  <c r="D743" i="4"/>
  <c r="C743" i="4"/>
  <c r="B743" i="4"/>
  <c r="A743" i="4"/>
  <c r="E742" i="4"/>
  <c r="D742" i="4"/>
  <c r="C742" i="4"/>
  <c r="B742" i="4"/>
  <c r="A742" i="4"/>
  <c r="E741" i="4"/>
  <c r="D741" i="4"/>
  <c r="B741" i="4"/>
  <c r="A741" i="4"/>
  <c r="E740" i="4"/>
  <c r="D740" i="4"/>
  <c r="B740" i="4"/>
  <c r="A740" i="4"/>
  <c r="E739" i="4"/>
  <c r="D739" i="4"/>
  <c r="C739" i="4"/>
  <c r="B739" i="4"/>
  <c r="A739" i="4"/>
  <c r="E738" i="4"/>
  <c r="D738" i="4"/>
  <c r="B738" i="4"/>
  <c r="A738" i="4"/>
  <c r="E737" i="4"/>
  <c r="D737" i="4"/>
  <c r="C737" i="4"/>
  <c r="B737" i="4"/>
  <c r="A737" i="4"/>
  <c r="E736" i="4"/>
  <c r="D736" i="4"/>
  <c r="C736" i="4"/>
  <c r="B736" i="4"/>
  <c r="A736" i="4"/>
  <c r="E735" i="4"/>
  <c r="D735" i="4"/>
  <c r="C735" i="4"/>
  <c r="B735" i="4"/>
  <c r="A735" i="4"/>
  <c r="E734" i="4"/>
  <c r="D734" i="4"/>
  <c r="C734" i="4"/>
  <c r="B734" i="4"/>
  <c r="A734" i="4"/>
  <c r="E733" i="4"/>
  <c r="D733" i="4"/>
  <c r="C733" i="4"/>
  <c r="B733" i="4"/>
  <c r="A733" i="4"/>
  <c r="E732" i="4"/>
  <c r="D732" i="4"/>
  <c r="C732" i="4"/>
  <c r="B732" i="4"/>
  <c r="A732" i="4"/>
  <c r="E731" i="4"/>
  <c r="D731" i="4"/>
  <c r="C731" i="4"/>
  <c r="B731" i="4"/>
  <c r="A731" i="4"/>
  <c r="E730" i="4"/>
  <c r="D730" i="4"/>
  <c r="C730" i="4"/>
  <c r="B730" i="4"/>
  <c r="A730" i="4"/>
  <c r="E729" i="4"/>
  <c r="D729" i="4"/>
  <c r="C729" i="4"/>
  <c r="B729" i="4"/>
  <c r="A729" i="4"/>
  <c r="E728" i="4"/>
  <c r="D728" i="4"/>
  <c r="B728" i="4"/>
  <c r="A728" i="4"/>
  <c r="E727" i="4"/>
  <c r="D727" i="4"/>
  <c r="B727" i="4"/>
  <c r="A727" i="4"/>
  <c r="E726" i="4"/>
  <c r="D726" i="4"/>
  <c r="B726" i="4"/>
  <c r="A726" i="4"/>
  <c r="E725" i="4"/>
  <c r="D725" i="4"/>
  <c r="B725" i="4"/>
  <c r="A725" i="4"/>
  <c r="D724" i="4"/>
  <c r="B724" i="4"/>
  <c r="A724" i="4"/>
  <c r="C723" i="4"/>
  <c r="B723" i="4"/>
  <c r="A723" i="4"/>
  <c r="C722" i="4"/>
  <c r="B722" i="4"/>
  <c r="A722" i="4"/>
  <c r="C721" i="4"/>
  <c r="B721" i="4"/>
  <c r="A721" i="4"/>
  <c r="C720" i="4"/>
  <c r="B720" i="4"/>
  <c r="A720" i="4"/>
  <c r="B719" i="4"/>
  <c r="A719" i="4"/>
  <c r="E718" i="4"/>
  <c r="D718" i="4"/>
  <c r="C718" i="4"/>
  <c r="B718" i="4"/>
  <c r="A718" i="4"/>
  <c r="E717" i="4"/>
  <c r="D717" i="4"/>
  <c r="C717" i="4"/>
  <c r="B717" i="4"/>
  <c r="A717" i="4"/>
  <c r="B716" i="4"/>
  <c r="A716" i="4"/>
  <c r="E715" i="4"/>
  <c r="D715" i="4"/>
  <c r="C715" i="4"/>
  <c r="B715" i="4"/>
  <c r="A715" i="4"/>
  <c r="E714" i="4"/>
  <c r="D714" i="4"/>
  <c r="C714" i="4"/>
  <c r="B714" i="4"/>
  <c r="A714" i="4"/>
  <c r="E713" i="4"/>
  <c r="D713" i="4"/>
  <c r="B713" i="4"/>
  <c r="A713" i="4"/>
  <c r="E712" i="4"/>
  <c r="D712" i="4"/>
  <c r="B712" i="4"/>
  <c r="A712" i="4"/>
  <c r="E711" i="4"/>
  <c r="D711" i="4"/>
  <c r="B711" i="4"/>
  <c r="A711" i="4"/>
  <c r="E710" i="4"/>
  <c r="D710" i="4"/>
  <c r="C710" i="4"/>
  <c r="B710" i="4"/>
  <c r="A710" i="4"/>
  <c r="E709" i="4"/>
  <c r="D709" i="4"/>
  <c r="C709" i="4"/>
  <c r="B709" i="4"/>
  <c r="A709" i="4"/>
  <c r="E708" i="4"/>
  <c r="D708" i="4"/>
  <c r="C708" i="4"/>
  <c r="B708" i="4"/>
  <c r="A708" i="4"/>
  <c r="E707" i="4"/>
  <c r="D707" i="4"/>
  <c r="C707" i="4"/>
  <c r="B707" i="4"/>
  <c r="A707" i="4"/>
  <c r="E706" i="4"/>
  <c r="D706" i="4"/>
  <c r="C706" i="4"/>
  <c r="B706" i="4"/>
  <c r="A706" i="4"/>
  <c r="E705" i="4"/>
  <c r="C705" i="4"/>
  <c r="B705" i="4"/>
  <c r="A705" i="4"/>
  <c r="E704" i="4"/>
  <c r="D704" i="4"/>
  <c r="C704" i="4"/>
  <c r="B704" i="4"/>
  <c r="A704" i="4"/>
  <c r="E703" i="4"/>
  <c r="D703" i="4"/>
  <c r="C703" i="4"/>
  <c r="B703" i="4"/>
  <c r="A703" i="4"/>
  <c r="E702" i="4"/>
  <c r="D702" i="4"/>
  <c r="C702" i="4"/>
  <c r="B702" i="4"/>
  <c r="A702" i="4"/>
  <c r="E701" i="4"/>
  <c r="D701" i="4"/>
  <c r="C701" i="4"/>
  <c r="B701" i="4"/>
  <c r="A701" i="4"/>
  <c r="E700" i="4"/>
  <c r="D700" i="4"/>
  <c r="C700" i="4"/>
  <c r="B700" i="4"/>
  <c r="A700" i="4"/>
  <c r="E699" i="4"/>
  <c r="D699" i="4"/>
  <c r="C699" i="4"/>
  <c r="B699" i="4"/>
  <c r="A699" i="4"/>
  <c r="E698" i="4"/>
  <c r="D698" i="4"/>
  <c r="C698" i="4"/>
  <c r="B698" i="4"/>
  <c r="A698" i="4"/>
  <c r="F697" i="4"/>
  <c r="E697" i="4"/>
  <c r="D697" i="4"/>
  <c r="C697" i="4"/>
  <c r="B697" i="4"/>
  <c r="A697" i="4"/>
  <c r="E696" i="4"/>
  <c r="D696" i="4"/>
  <c r="C696" i="4"/>
  <c r="B696" i="4"/>
  <c r="A696" i="4"/>
  <c r="E695" i="4"/>
  <c r="D695" i="4"/>
  <c r="C695" i="4"/>
  <c r="B695" i="4"/>
  <c r="A695" i="4"/>
  <c r="E694" i="4"/>
  <c r="D694" i="4"/>
  <c r="C694" i="4"/>
  <c r="B694" i="4"/>
  <c r="A694" i="4"/>
  <c r="E693" i="4"/>
  <c r="D693" i="4"/>
  <c r="C693" i="4"/>
  <c r="B693" i="4"/>
  <c r="A693" i="4"/>
  <c r="E692" i="4"/>
  <c r="D692" i="4"/>
  <c r="C692" i="4"/>
  <c r="B692" i="4"/>
  <c r="A692" i="4"/>
  <c r="E691" i="4"/>
  <c r="D691" i="4"/>
  <c r="C691" i="4"/>
  <c r="B691" i="4"/>
  <c r="A691" i="4"/>
  <c r="E690" i="4"/>
  <c r="D690" i="4"/>
  <c r="C690" i="4"/>
  <c r="B690" i="4"/>
  <c r="A690" i="4"/>
  <c r="E689" i="4"/>
  <c r="D689" i="4"/>
  <c r="C689" i="4"/>
  <c r="B689" i="4"/>
  <c r="A689" i="4"/>
  <c r="E688" i="4"/>
  <c r="D688" i="4"/>
  <c r="C688" i="4"/>
  <c r="B688" i="4"/>
  <c r="A688" i="4"/>
  <c r="E687" i="4"/>
  <c r="D687" i="4"/>
  <c r="C687" i="4"/>
  <c r="B687" i="4"/>
  <c r="A687" i="4"/>
  <c r="E686" i="4"/>
  <c r="D686" i="4"/>
  <c r="C686" i="4"/>
  <c r="B686" i="4"/>
  <c r="A686" i="4"/>
  <c r="E685" i="4"/>
  <c r="D685" i="4"/>
  <c r="C685" i="4"/>
  <c r="B685" i="4"/>
  <c r="A685" i="4"/>
  <c r="E684" i="4"/>
  <c r="C684" i="4"/>
  <c r="B684" i="4"/>
  <c r="A684" i="4"/>
  <c r="E683" i="4"/>
  <c r="C683" i="4"/>
  <c r="B683" i="4"/>
  <c r="A683" i="4"/>
  <c r="E682" i="4"/>
  <c r="D682" i="4"/>
  <c r="C682" i="4"/>
  <c r="B682" i="4"/>
  <c r="A682" i="4"/>
  <c r="F681" i="4"/>
  <c r="E681" i="4"/>
  <c r="D681" i="4"/>
  <c r="C681" i="4"/>
  <c r="B681" i="4"/>
  <c r="A681" i="4"/>
  <c r="E680" i="4"/>
  <c r="D680" i="4"/>
  <c r="B680" i="4"/>
  <c r="A680" i="4"/>
  <c r="E679" i="4"/>
  <c r="D679" i="4"/>
  <c r="C679" i="4"/>
  <c r="B679" i="4"/>
  <c r="A679" i="4"/>
  <c r="E678" i="4"/>
  <c r="D678" i="4"/>
  <c r="C678" i="4"/>
  <c r="B678" i="4"/>
  <c r="A678" i="4"/>
  <c r="E677" i="4"/>
  <c r="D677" i="4"/>
  <c r="C677" i="4"/>
  <c r="B677" i="4"/>
  <c r="A677" i="4"/>
  <c r="E676" i="4"/>
  <c r="D676" i="4"/>
  <c r="C676" i="4"/>
  <c r="B676" i="4"/>
  <c r="A676" i="4"/>
  <c r="E675" i="4"/>
  <c r="D675" i="4"/>
  <c r="C675" i="4"/>
  <c r="B675" i="4"/>
  <c r="A675" i="4"/>
  <c r="E674" i="4"/>
  <c r="D674" i="4"/>
  <c r="C674" i="4"/>
  <c r="B674" i="4"/>
  <c r="A674" i="4"/>
  <c r="E673" i="4"/>
  <c r="D673" i="4"/>
  <c r="C673" i="4"/>
  <c r="B673" i="4"/>
  <c r="A673" i="4"/>
  <c r="E672" i="4"/>
  <c r="D672" i="4"/>
  <c r="C672" i="4"/>
  <c r="B672" i="4"/>
  <c r="A672" i="4"/>
  <c r="E671" i="4"/>
  <c r="D671" i="4"/>
  <c r="C671" i="4"/>
  <c r="B671" i="4"/>
  <c r="A671" i="4"/>
  <c r="E670" i="4"/>
  <c r="D670" i="4"/>
  <c r="C670" i="4"/>
  <c r="B670" i="4"/>
  <c r="A670" i="4"/>
  <c r="E669" i="4"/>
  <c r="D669" i="4"/>
  <c r="C669" i="4"/>
  <c r="B669" i="4"/>
  <c r="A669" i="4"/>
  <c r="E668" i="4"/>
  <c r="D668" i="4"/>
  <c r="C668" i="4"/>
  <c r="B668" i="4"/>
  <c r="A668" i="4"/>
  <c r="E667" i="4"/>
  <c r="D667" i="4"/>
  <c r="C667" i="4"/>
  <c r="B667" i="4"/>
  <c r="A667" i="4"/>
  <c r="E666" i="4"/>
  <c r="D666" i="4"/>
  <c r="C666" i="4"/>
  <c r="B666" i="4"/>
  <c r="A666" i="4"/>
  <c r="C665" i="4"/>
  <c r="B665" i="4"/>
  <c r="A665" i="4"/>
  <c r="E664" i="4"/>
  <c r="D664" i="4"/>
  <c r="C664" i="4"/>
  <c r="B664" i="4"/>
  <c r="A664" i="4"/>
  <c r="F663" i="4"/>
  <c r="E663" i="4"/>
  <c r="D663" i="4"/>
  <c r="C663" i="4"/>
  <c r="B663" i="4"/>
  <c r="A663" i="4"/>
  <c r="E662" i="4"/>
  <c r="D662" i="4"/>
  <c r="C662" i="4"/>
  <c r="B662" i="4"/>
  <c r="A662" i="4"/>
  <c r="E661" i="4"/>
  <c r="D661" i="4"/>
  <c r="C661" i="4"/>
  <c r="B661" i="4"/>
  <c r="A661" i="4"/>
  <c r="B660" i="4"/>
  <c r="A660" i="4"/>
  <c r="F659" i="4"/>
  <c r="E659" i="4"/>
  <c r="D659" i="4"/>
  <c r="C659" i="4"/>
  <c r="B659" i="4"/>
  <c r="A659" i="4"/>
  <c r="E658" i="4"/>
  <c r="D658" i="4"/>
  <c r="C658" i="4"/>
  <c r="B658" i="4"/>
  <c r="A658" i="4"/>
  <c r="E657" i="4"/>
  <c r="D657" i="4"/>
  <c r="B657" i="4"/>
  <c r="A657" i="4"/>
  <c r="E656" i="4"/>
  <c r="D656" i="4"/>
  <c r="B656" i="4"/>
  <c r="A656" i="4"/>
  <c r="E655" i="4"/>
  <c r="D655" i="4"/>
  <c r="C655" i="4"/>
  <c r="B655" i="4"/>
  <c r="A655" i="4"/>
  <c r="E654" i="4"/>
  <c r="D654" i="4"/>
  <c r="C654" i="4"/>
  <c r="B654" i="4"/>
  <c r="A654" i="4"/>
  <c r="E653" i="4"/>
  <c r="D653" i="4"/>
  <c r="C653" i="4"/>
  <c r="B653" i="4"/>
  <c r="A653" i="4"/>
  <c r="E652" i="4"/>
  <c r="D652" i="4"/>
  <c r="C652" i="4"/>
  <c r="B652" i="4"/>
  <c r="A652" i="4"/>
  <c r="F651" i="4"/>
  <c r="E651" i="4"/>
  <c r="D651" i="4"/>
  <c r="C651" i="4"/>
  <c r="B651" i="4"/>
  <c r="A651" i="4"/>
  <c r="E650" i="4"/>
  <c r="D650" i="4"/>
  <c r="C650" i="4"/>
  <c r="B650" i="4"/>
  <c r="A650" i="4"/>
  <c r="E649" i="4"/>
  <c r="D649" i="4"/>
  <c r="C649" i="4"/>
  <c r="B649" i="4"/>
  <c r="A649" i="4"/>
  <c r="E648" i="4"/>
  <c r="D648" i="4"/>
  <c r="C648" i="4"/>
  <c r="B648" i="4"/>
  <c r="A648" i="4"/>
  <c r="E647" i="4"/>
  <c r="D647" i="4"/>
  <c r="C647" i="4"/>
  <c r="B647" i="4"/>
  <c r="A647" i="4"/>
  <c r="E646" i="4"/>
  <c r="D646" i="4"/>
  <c r="C646" i="4"/>
  <c r="B646" i="4"/>
  <c r="A646" i="4"/>
  <c r="E645" i="4"/>
  <c r="D645" i="4"/>
  <c r="B645" i="4"/>
  <c r="A645" i="4"/>
  <c r="E644" i="4"/>
  <c r="D644" i="4"/>
  <c r="B644" i="4"/>
  <c r="A644" i="4"/>
  <c r="E643" i="4"/>
  <c r="D643" i="4"/>
  <c r="C643" i="4"/>
  <c r="B643" i="4"/>
  <c r="A643" i="4"/>
  <c r="E642" i="4"/>
  <c r="D642" i="4"/>
  <c r="B642" i="4"/>
  <c r="A642" i="4"/>
  <c r="E641" i="4"/>
  <c r="D641" i="4"/>
  <c r="C641" i="4"/>
  <c r="B641" i="4"/>
  <c r="A641" i="4"/>
  <c r="E640" i="4"/>
  <c r="D640" i="4"/>
  <c r="C640" i="4"/>
  <c r="B640" i="4"/>
  <c r="A640" i="4"/>
  <c r="E639" i="4"/>
  <c r="C639" i="4"/>
  <c r="B639" i="4"/>
  <c r="A639" i="4"/>
  <c r="E638" i="4"/>
  <c r="D638" i="4"/>
  <c r="C638" i="4"/>
  <c r="B638" i="4"/>
  <c r="A638" i="4"/>
  <c r="E637" i="4"/>
  <c r="D637" i="4"/>
  <c r="B637" i="4"/>
  <c r="A637" i="4"/>
  <c r="E636" i="4"/>
  <c r="D636" i="4"/>
  <c r="B636" i="4"/>
  <c r="A636" i="4"/>
  <c r="E635" i="4"/>
  <c r="D635" i="4"/>
  <c r="B635" i="4"/>
  <c r="A635" i="4"/>
  <c r="E634" i="4"/>
  <c r="D634" i="4"/>
  <c r="B634" i="4"/>
  <c r="A634" i="4"/>
  <c r="E633" i="4"/>
  <c r="D633" i="4"/>
  <c r="B633" i="4"/>
  <c r="A633" i="4"/>
  <c r="E632" i="4"/>
  <c r="D632" i="4"/>
  <c r="C632" i="4"/>
  <c r="B632" i="4"/>
  <c r="A632" i="4"/>
  <c r="E631" i="4"/>
  <c r="D631" i="4"/>
  <c r="B631" i="4"/>
  <c r="A631" i="4"/>
  <c r="E630" i="4"/>
  <c r="C630" i="4"/>
  <c r="B630" i="4"/>
  <c r="A630" i="4"/>
  <c r="E629" i="4"/>
  <c r="D629" i="4"/>
  <c r="C629" i="4"/>
  <c r="B629" i="4"/>
  <c r="A629" i="4"/>
  <c r="B628" i="4"/>
  <c r="A628" i="4"/>
  <c r="B627" i="4"/>
  <c r="A627" i="4"/>
  <c r="B626" i="4"/>
  <c r="A626" i="4"/>
  <c r="B625" i="4"/>
  <c r="A625" i="4"/>
  <c r="E624" i="4"/>
  <c r="D624" i="4"/>
  <c r="C624" i="4"/>
  <c r="B624" i="4"/>
  <c r="A624" i="4"/>
  <c r="E623" i="4"/>
  <c r="D623" i="4"/>
  <c r="C623" i="4"/>
  <c r="B623" i="4"/>
  <c r="A623" i="4"/>
  <c r="E622" i="4"/>
  <c r="D622" i="4"/>
  <c r="C622" i="4"/>
  <c r="B622" i="4"/>
  <c r="A622" i="4"/>
  <c r="E621" i="4"/>
  <c r="D621" i="4"/>
  <c r="C621" i="4"/>
  <c r="B621" i="4"/>
  <c r="A621" i="4"/>
  <c r="E620" i="4"/>
  <c r="D620" i="4"/>
  <c r="C620" i="4"/>
  <c r="B620" i="4"/>
  <c r="A620" i="4"/>
  <c r="E619" i="4"/>
  <c r="D619" i="4"/>
  <c r="C619" i="4"/>
  <c r="B619" i="4"/>
  <c r="A619" i="4"/>
  <c r="E618" i="4"/>
  <c r="D618" i="4"/>
  <c r="C618" i="4"/>
  <c r="B618" i="4"/>
  <c r="A618" i="4"/>
  <c r="E617" i="4"/>
  <c r="C617" i="4"/>
  <c r="B617" i="4"/>
  <c r="A617" i="4"/>
  <c r="E616" i="4"/>
  <c r="D616" i="4"/>
  <c r="C616" i="4"/>
  <c r="B616" i="4"/>
  <c r="A616" i="4"/>
  <c r="E615" i="4"/>
  <c r="D615" i="4"/>
  <c r="C615" i="4"/>
  <c r="B615" i="4"/>
  <c r="A615" i="4"/>
  <c r="E614" i="4"/>
  <c r="D614" i="4"/>
  <c r="C614" i="4"/>
  <c r="B614" i="4"/>
  <c r="A614" i="4"/>
  <c r="E613" i="4"/>
  <c r="D613" i="4"/>
  <c r="C613" i="4"/>
  <c r="B613" i="4"/>
  <c r="A613" i="4"/>
  <c r="F612" i="4"/>
  <c r="E612" i="4"/>
  <c r="D612" i="4"/>
  <c r="C612" i="4"/>
  <c r="B612" i="4"/>
  <c r="A612" i="4"/>
  <c r="E611" i="4"/>
  <c r="D611" i="4"/>
  <c r="B611" i="4"/>
  <c r="A611" i="4"/>
  <c r="E610" i="4"/>
  <c r="D610" i="4"/>
  <c r="C610" i="4"/>
  <c r="B610" i="4"/>
  <c r="A610" i="4"/>
  <c r="E609" i="4"/>
  <c r="D609" i="4"/>
  <c r="C609" i="4"/>
  <c r="B609" i="4"/>
  <c r="A609" i="4"/>
  <c r="E608" i="4"/>
  <c r="D608" i="4"/>
  <c r="C608" i="4"/>
  <c r="B608" i="4"/>
  <c r="A608" i="4"/>
  <c r="E607" i="4"/>
  <c r="C607" i="4"/>
  <c r="B607" i="4"/>
  <c r="A607" i="4"/>
  <c r="E606" i="4"/>
  <c r="D606" i="4"/>
  <c r="B606" i="4"/>
  <c r="A606" i="4"/>
  <c r="E605" i="4"/>
  <c r="D605" i="4"/>
  <c r="B605" i="4"/>
  <c r="A605" i="4"/>
  <c r="E604" i="4"/>
  <c r="D604" i="4"/>
  <c r="B604" i="4"/>
  <c r="A604" i="4"/>
  <c r="E603" i="4"/>
  <c r="D603" i="4"/>
  <c r="B603" i="4"/>
  <c r="A603" i="4"/>
  <c r="E602" i="4"/>
  <c r="D602" i="4"/>
  <c r="B602" i="4"/>
  <c r="A602" i="4"/>
  <c r="E601" i="4"/>
  <c r="D601" i="4"/>
  <c r="C601" i="4"/>
  <c r="B601" i="4"/>
  <c r="A601" i="4"/>
  <c r="E600" i="4"/>
  <c r="D600" i="4"/>
  <c r="C600" i="4"/>
  <c r="B600" i="4"/>
  <c r="A600" i="4"/>
  <c r="E599" i="4"/>
  <c r="D599" i="4"/>
  <c r="B599" i="4"/>
  <c r="A599" i="4"/>
  <c r="E598" i="4"/>
  <c r="D598" i="4"/>
  <c r="B598" i="4"/>
  <c r="A598" i="4"/>
  <c r="E597" i="4"/>
  <c r="D597" i="4"/>
  <c r="C597" i="4"/>
  <c r="B597" i="4"/>
  <c r="A597" i="4"/>
  <c r="E596" i="4"/>
  <c r="D596" i="4"/>
  <c r="C596" i="4"/>
  <c r="B596" i="4"/>
  <c r="A596" i="4"/>
  <c r="E595" i="4"/>
  <c r="D595" i="4"/>
  <c r="C595" i="4"/>
  <c r="B595" i="4"/>
  <c r="A595" i="4"/>
  <c r="E594" i="4"/>
  <c r="D594" i="4"/>
  <c r="C594" i="4"/>
  <c r="B594" i="4"/>
  <c r="A594" i="4"/>
  <c r="E593" i="4"/>
  <c r="D593" i="4"/>
  <c r="C593" i="4"/>
  <c r="B593" i="4"/>
  <c r="A593" i="4"/>
  <c r="E592" i="4"/>
  <c r="D592" i="4"/>
  <c r="B592" i="4"/>
  <c r="A592" i="4"/>
  <c r="E591" i="4"/>
  <c r="D591" i="4"/>
  <c r="C591" i="4"/>
  <c r="B591" i="4"/>
  <c r="A591" i="4"/>
  <c r="E590" i="4"/>
  <c r="D590" i="4"/>
  <c r="C590" i="4"/>
  <c r="B590" i="4"/>
  <c r="A590" i="4"/>
  <c r="E589" i="4"/>
  <c r="D589" i="4"/>
  <c r="C589" i="4"/>
  <c r="B589" i="4"/>
  <c r="A589" i="4"/>
  <c r="E588" i="4"/>
  <c r="D588" i="4"/>
  <c r="C588" i="4"/>
  <c r="B588" i="4"/>
  <c r="A588" i="4"/>
  <c r="E587" i="4"/>
  <c r="D587" i="4"/>
  <c r="C587" i="4"/>
  <c r="B587" i="4"/>
  <c r="A587" i="4"/>
  <c r="E586" i="4"/>
  <c r="D586" i="4"/>
  <c r="C586" i="4"/>
  <c r="B586" i="4"/>
  <c r="A586" i="4"/>
  <c r="E585" i="4"/>
  <c r="D585" i="4"/>
  <c r="C585" i="4"/>
  <c r="B585" i="4"/>
  <c r="A585" i="4"/>
  <c r="E584" i="4"/>
  <c r="D584" i="4"/>
  <c r="C584" i="4"/>
  <c r="B584" i="4"/>
  <c r="A584" i="4"/>
  <c r="F583" i="4"/>
  <c r="E583" i="4"/>
  <c r="D583" i="4"/>
  <c r="C583" i="4"/>
  <c r="B583" i="4"/>
  <c r="A583" i="4"/>
  <c r="E582" i="4"/>
  <c r="C582" i="4"/>
  <c r="B582" i="4"/>
  <c r="A582" i="4"/>
  <c r="E581" i="4"/>
  <c r="D581" i="4"/>
  <c r="B581" i="4"/>
  <c r="A581" i="4"/>
  <c r="E580" i="4"/>
  <c r="B580" i="4"/>
  <c r="A580" i="4"/>
  <c r="E579" i="4"/>
  <c r="D579" i="4"/>
  <c r="B579" i="4"/>
  <c r="A579" i="4"/>
  <c r="E578" i="4"/>
  <c r="D578" i="4"/>
  <c r="B578" i="4"/>
  <c r="A578" i="4"/>
  <c r="E577" i="4"/>
  <c r="D577" i="4"/>
  <c r="C577" i="4"/>
  <c r="B577" i="4"/>
  <c r="A577" i="4"/>
  <c r="E576" i="4"/>
  <c r="D576" i="4"/>
  <c r="B576" i="4"/>
  <c r="A576" i="4"/>
  <c r="E575" i="4"/>
  <c r="D575" i="4"/>
  <c r="C575" i="4"/>
  <c r="B575" i="4"/>
  <c r="A575" i="4"/>
  <c r="E574" i="4"/>
  <c r="D574" i="4"/>
  <c r="C574" i="4"/>
  <c r="B574" i="4"/>
  <c r="A574" i="4"/>
  <c r="E573" i="4"/>
  <c r="D573" i="4"/>
  <c r="C573" i="4"/>
  <c r="B573" i="4"/>
  <c r="A573" i="4"/>
  <c r="E572" i="4"/>
  <c r="D572" i="4"/>
  <c r="C572" i="4"/>
  <c r="B572" i="4"/>
  <c r="A572" i="4"/>
  <c r="E571" i="4"/>
  <c r="B571" i="4"/>
  <c r="A571" i="4"/>
  <c r="E570" i="4"/>
  <c r="C570" i="4"/>
  <c r="B570" i="4"/>
  <c r="A570" i="4"/>
  <c r="E569" i="4"/>
  <c r="D569" i="4"/>
  <c r="C569" i="4"/>
  <c r="B569" i="4"/>
  <c r="A569" i="4"/>
  <c r="E568" i="4"/>
  <c r="D568" i="4"/>
  <c r="C568" i="4"/>
  <c r="B568" i="4"/>
  <c r="A568" i="4"/>
  <c r="E567" i="4"/>
  <c r="D567" i="4"/>
  <c r="C567" i="4"/>
  <c r="B567" i="4"/>
  <c r="A567" i="4"/>
  <c r="E566" i="4"/>
  <c r="D566" i="4"/>
  <c r="C566" i="4"/>
  <c r="B566" i="4"/>
  <c r="A566" i="4"/>
  <c r="E565" i="4"/>
  <c r="D565" i="4"/>
  <c r="C565" i="4"/>
  <c r="B565" i="4"/>
  <c r="A565" i="4"/>
  <c r="E564" i="4"/>
  <c r="D564" i="4"/>
  <c r="C564" i="4"/>
  <c r="B564" i="4"/>
  <c r="A564" i="4"/>
  <c r="F563" i="4"/>
  <c r="E563" i="4"/>
  <c r="C563" i="4"/>
  <c r="B563" i="4"/>
  <c r="A563" i="4"/>
  <c r="E562" i="4"/>
  <c r="D562" i="4"/>
  <c r="C562" i="4"/>
  <c r="B562" i="4"/>
  <c r="A562" i="4"/>
  <c r="E561" i="4"/>
  <c r="D561" i="4"/>
  <c r="C561" i="4"/>
  <c r="B561" i="4"/>
  <c r="A561" i="4"/>
  <c r="E560" i="4"/>
  <c r="C560" i="4"/>
  <c r="B560" i="4"/>
  <c r="A560" i="4"/>
  <c r="E559" i="4"/>
  <c r="D559" i="4"/>
  <c r="C559" i="4"/>
  <c r="B559" i="4"/>
  <c r="A559" i="4"/>
  <c r="E558" i="4"/>
  <c r="D558" i="4"/>
  <c r="C558" i="4"/>
  <c r="B558" i="4"/>
  <c r="A558" i="4"/>
  <c r="E557" i="4"/>
  <c r="D557" i="4"/>
  <c r="C557" i="4"/>
  <c r="B557" i="4"/>
  <c r="A557" i="4"/>
  <c r="E556" i="4"/>
  <c r="C556" i="4"/>
  <c r="B556" i="4"/>
  <c r="A556" i="4"/>
  <c r="E555" i="4"/>
  <c r="D555" i="4"/>
  <c r="C555" i="4"/>
  <c r="B555" i="4"/>
  <c r="A555" i="4"/>
  <c r="E554" i="4"/>
  <c r="C554" i="4"/>
  <c r="B554" i="4"/>
  <c r="A554" i="4"/>
  <c r="B553" i="4"/>
  <c r="A553" i="4"/>
  <c r="B552" i="4"/>
  <c r="A552" i="4"/>
  <c r="E551" i="4"/>
  <c r="D551" i="4"/>
  <c r="B551" i="4"/>
  <c r="A551" i="4"/>
  <c r="E550" i="4"/>
  <c r="D550" i="4"/>
  <c r="C550" i="4"/>
  <c r="B550" i="4"/>
  <c r="A550" i="4"/>
  <c r="E549" i="4"/>
  <c r="C549" i="4"/>
  <c r="B549" i="4"/>
  <c r="A549" i="4"/>
  <c r="E548" i="4"/>
  <c r="D548" i="4"/>
  <c r="C548" i="4"/>
  <c r="B548" i="4"/>
  <c r="A548" i="4"/>
  <c r="E547" i="4"/>
  <c r="D547" i="4"/>
  <c r="C547" i="4"/>
  <c r="B547" i="4"/>
  <c r="A547" i="4"/>
  <c r="E546" i="4"/>
  <c r="D546" i="4"/>
  <c r="C546" i="4"/>
  <c r="B546" i="4"/>
  <c r="A546" i="4"/>
  <c r="E545" i="4"/>
  <c r="D545" i="4"/>
  <c r="C545" i="4"/>
  <c r="B545" i="4"/>
  <c r="A545" i="4"/>
  <c r="B544" i="4"/>
  <c r="A544" i="4"/>
  <c r="E543" i="4"/>
  <c r="D543" i="4"/>
  <c r="C543" i="4"/>
  <c r="B543" i="4"/>
  <c r="A543" i="4"/>
  <c r="E542" i="4"/>
  <c r="B542" i="4"/>
  <c r="A542" i="4"/>
  <c r="E541" i="4"/>
  <c r="B541" i="4"/>
  <c r="A541" i="4"/>
  <c r="E540" i="4"/>
  <c r="B540" i="4"/>
  <c r="A540" i="4"/>
  <c r="E539" i="4"/>
  <c r="B539" i="4"/>
  <c r="A539" i="4"/>
  <c r="E538" i="4"/>
  <c r="D538" i="4"/>
  <c r="C538" i="4"/>
  <c r="B538" i="4"/>
  <c r="A538" i="4"/>
  <c r="E537" i="4"/>
  <c r="D537" i="4"/>
  <c r="C537" i="4"/>
  <c r="B537" i="4"/>
  <c r="A537" i="4"/>
  <c r="E536" i="4"/>
  <c r="D536" i="4"/>
  <c r="B536" i="4"/>
  <c r="A536" i="4"/>
  <c r="E535" i="4"/>
  <c r="D535" i="4"/>
  <c r="C535" i="4"/>
  <c r="B535" i="4"/>
  <c r="A535" i="4"/>
  <c r="E534" i="4"/>
  <c r="D534" i="4"/>
  <c r="C534" i="4"/>
  <c r="B534" i="4"/>
  <c r="A534" i="4"/>
  <c r="E533" i="4"/>
  <c r="D533" i="4"/>
  <c r="C533" i="4"/>
  <c r="B533" i="4"/>
  <c r="A533" i="4"/>
  <c r="E532" i="4"/>
  <c r="D532" i="4"/>
  <c r="C532" i="4"/>
  <c r="B532" i="4"/>
  <c r="A532" i="4"/>
  <c r="E531" i="4"/>
  <c r="D531" i="4"/>
  <c r="C531" i="4"/>
  <c r="B531" i="4"/>
  <c r="A531" i="4"/>
  <c r="E530" i="4"/>
  <c r="D530" i="4"/>
  <c r="C530" i="4"/>
  <c r="B530" i="4"/>
  <c r="A530" i="4"/>
  <c r="B529" i="4"/>
  <c r="A529" i="4"/>
  <c r="E528" i="4"/>
  <c r="D528" i="4"/>
  <c r="B528" i="4"/>
  <c r="A528" i="4"/>
  <c r="B527" i="4"/>
  <c r="A527" i="4"/>
  <c r="E526" i="4"/>
  <c r="D526" i="4"/>
  <c r="B526" i="4"/>
  <c r="A526" i="4"/>
  <c r="E525" i="4"/>
  <c r="D525" i="4"/>
  <c r="B525" i="4"/>
  <c r="A525" i="4"/>
  <c r="E524" i="4"/>
  <c r="D524" i="4"/>
  <c r="B524" i="4"/>
  <c r="A524" i="4"/>
  <c r="B523" i="4"/>
  <c r="A523" i="4"/>
  <c r="E522" i="4"/>
  <c r="D522" i="4"/>
  <c r="B522" i="4"/>
  <c r="A522" i="4"/>
  <c r="B521" i="4"/>
  <c r="A521" i="4"/>
  <c r="B520" i="4"/>
  <c r="A520" i="4"/>
  <c r="E519" i="4"/>
  <c r="D519" i="4"/>
  <c r="B519" i="4"/>
  <c r="A519" i="4"/>
  <c r="E518" i="4"/>
  <c r="D518" i="4"/>
  <c r="C518" i="4"/>
  <c r="B518" i="4"/>
  <c r="A518" i="4"/>
  <c r="E517" i="4"/>
  <c r="D517" i="4"/>
  <c r="B517" i="4"/>
  <c r="A517" i="4"/>
  <c r="B516" i="4"/>
  <c r="A516" i="4"/>
  <c r="E515" i="4"/>
  <c r="D515" i="4"/>
  <c r="B515" i="4"/>
  <c r="A515" i="4"/>
  <c r="E514" i="4"/>
  <c r="B514" i="4"/>
  <c r="A514" i="4"/>
  <c r="B513" i="4"/>
  <c r="A513" i="4"/>
  <c r="E512" i="4"/>
  <c r="D512" i="4"/>
  <c r="B512" i="4"/>
  <c r="A512" i="4"/>
  <c r="E511" i="4"/>
  <c r="D511" i="4"/>
  <c r="B511" i="4"/>
  <c r="A511" i="4"/>
  <c r="E510" i="4"/>
  <c r="D510" i="4"/>
  <c r="B510" i="4"/>
  <c r="A510" i="4"/>
  <c r="B509" i="4"/>
  <c r="A509" i="4"/>
  <c r="E508" i="4"/>
  <c r="D508" i="4"/>
  <c r="B508" i="4"/>
  <c r="A508" i="4"/>
  <c r="E507" i="4"/>
  <c r="D507" i="4"/>
  <c r="B507" i="4"/>
  <c r="A507" i="4"/>
  <c r="B506" i="4"/>
  <c r="A506" i="4"/>
  <c r="E505" i="4"/>
  <c r="D505" i="4"/>
  <c r="B505" i="4"/>
  <c r="A505" i="4"/>
  <c r="B504" i="4"/>
  <c r="A504" i="4"/>
  <c r="E503" i="4"/>
  <c r="D503" i="4"/>
  <c r="B503" i="4"/>
  <c r="A503" i="4"/>
  <c r="E502" i="4"/>
  <c r="D502" i="4"/>
  <c r="B502" i="4"/>
  <c r="A502" i="4"/>
  <c r="E501" i="4"/>
  <c r="D501" i="4"/>
  <c r="B501" i="4"/>
  <c r="A501" i="4"/>
  <c r="B500" i="4"/>
  <c r="A500" i="4"/>
  <c r="E499" i="4"/>
  <c r="D499" i="4"/>
  <c r="B499" i="4"/>
  <c r="A499" i="4"/>
  <c r="B498" i="4"/>
  <c r="A498" i="4"/>
  <c r="E497" i="4"/>
  <c r="D497" i="4"/>
  <c r="B497" i="4"/>
  <c r="A497" i="4"/>
  <c r="B496" i="4"/>
  <c r="A496" i="4"/>
  <c r="E495" i="4"/>
  <c r="D495" i="4"/>
  <c r="B495" i="4"/>
  <c r="A495" i="4"/>
  <c r="E494" i="4"/>
  <c r="D494" i="4"/>
  <c r="B494" i="4"/>
  <c r="A494" i="4"/>
  <c r="E493" i="4"/>
  <c r="D493" i="4"/>
  <c r="B493" i="4"/>
  <c r="A493" i="4"/>
  <c r="E492" i="4"/>
  <c r="D492" i="4"/>
  <c r="B492" i="4"/>
  <c r="A492" i="4"/>
  <c r="B491" i="4"/>
  <c r="A491" i="4"/>
  <c r="E490" i="4"/>
  <c r="D490" i="4"/>
  <c r="C490" i="4"/>
  <c r="B490" i="4"/>
  <c r="A490" i="4"/>
  <c r="E489" i="4"/>
  <c r="C489" i="4"/>
  <c r="B489" i="4"/>
  <c r="A489" i="4"/>
  <c r="E488" i="4"/>
  <c r="C488" i="4"/>
  <c r="B488" i="4"/>
  <c r="A488" i="4"/>
  <c r="E487" i="4"/>
  <c r="C487" i="4"/>
  <c r="B487" i="4"/>
  <c r="A487" i="4"/>
  <c r="E486" i="4"/>
  <c r="C486" i="4"/>
  <c r="B486" i="4"/>
  <c r="A486" i="4"/>
  <c r="E485" i="4"/>
  <c r="C485" i="4"/>
  <c r="B485" i="4"/>
  <c r="A485" i="4"/>
  <c r="E484" i="4"/>
  <c r="D484" i="4"/>
  <c r="C484" i="4"/>
  <c r="B484" i="4"/>
  <c r="A484" i="4"/>
  <c r="F483" i="4"/>
  <c r="E483" i="4"/>
  <c r="D483" i="4"/>
  <c r="C483" i="4"/>
  <c r="B483" i="4"/>
  <c r="A483" i="4"/>
  <c r="E482" i="4"/>
  <c r="D482" i="4"/>
  <c r="C482" i="4"/>
  <c r="B482" i="4"/>
  <c r="A482" i="4"/>
  <c r="E481" i="4"/>
  <c r="D481" i="4"/>
  <c r="C481" i="4"/>
  <c r="B481" i="4"/>
  <c r="A481" i="4"/>
  <c r="E480" i="4"/>
  <c r="D480" i="4"/>
  <c r="C480" i="4"/>
  <c r="B480" i="4"/>
  <c r="A480" i="4"/>
  <c r="E479" i="4"/>
  <c r="C479" i="4"/>
  <c r="B479" i="4"/>
  <c r="A479" i="4"/>
  <c r="E478" i="4"/>
  <c r="C478" i="4"/>
  <c r="B478" i="4"/>
  <c r="A478" i="4"/>
  <c r="E477" i="4"/>
  <c r="D477" i="4"/>
  <c r="C477" i="4"/>
  <c r="B477" i="4"/>
  <c r="A477" i="4"/>
  <c r="F476" i="4"/>
  <c r="E476" i="4"/>
  <c r="D476" i="4"/>
  <c r="C476" i="4"/>
  <c r="B476" i="4"/>
  <c r="A476" i="4"/>
  <c r="E475" i="4"/>
  <c r="D475" i="4"/>
  <c r="C475" i="4"/>
  <c r="B475" i="4"/>
  <c r="A475" i="4"/>
  <c r="E474" i="4"/>
  <c r="D474" i="4"/>
  <c r="C474" i="4"/>
  <c r="B474" i="4"/>
  <c r="A474" i="4"/>
  <c r="E473" i="4"/>
  <c r="D473" i="4"/>
  <c r="C473" i="4"/>
  <c r="B473" i="4"/>
  <c r="A473" i="4"/>
  <c r="E472" i="4"/>
  <c r="D472" i="4"/>
  <c r="C472" i="4"/>
  <c r="B472" i="4"/>
  <c r="A472" i="4"/>
  <c r="E471" i="4"/>
  <c r="D471" i="4"/>
  <c r="C471" i="4"/>
  <c r="B471" i="4"/>
  <c r="A471" i="4"/>
  <c r="E470" i="4"/>
  <c r="D470" i="4"/>
  <c r="C470" i="4"/>
  <c r="B470" i="4"/>
  <c r="A470" i="4"/>
  <c r="E469" i="4"/>
  <c r="D469" i="4"/>
  <c r="C469" i="4"/>
  <c r="B469" i="4"/>
  <c r="A469" i="4"/>
  <c r="E468" i="4"/>
  <c r="D468" i="4"/>
  <c r="C468" i="4"/>
  <c r="B468" i="4"/>
  <c r="A468" i="4"/>
  <c r="E467" i="4"/>
  <c r="D467" i="4"/>
  <c r="C467" i="4"/>
  <c r="B467" i="4"/>
  <c r="A467" i="4"/>
  <c r="E466" i="4"/>
  <c r="D466" i="4"/>
  <c r="C466" i="4"/>
  <c r="B466" i="4"/>
  <c r="A466" i="4"/>
  <c r="E465" i="4"/>
  <c r="D465" i="4"/>
  <c r="C465" i="4"/>
  <c r="B465" i="4"/>
  <c r="A465" i="4"/>
  <c r="E464" i="4"/>
  <c r="D464" i="4"/>
  <c r="C464" i="4"/>
  <c r="B464" i="4"/>
  <c r="A464" i="4"/>
  <c r="E463" i="4"/>
  <c r="D463" i="4"/>
  <c r="C463" i="4"/>
  <c r="B463" i="4"/>
  <c r="A463" i="4"/>
  <c r="E462" i="4"/>
  <c r="D462" i="4"/>
  <c r="C462" i="4"/>
  <c r="B462" i="4"/>
  <c r="A462" i="4"/>
  <c r="E461" i="4"/>
  <c r="D461" i="4"/>
  <c r="B461" i="4"/>
  <c r="A461" i="4"/>
  <c r="E460" i="4"/>
  <c r="D460" i="4"/>
  <c r="B460" i="4"/>
  <c r="A460" i="4"/>
  <c r="E459" i="4"/>
  <c r="D459" i="4"/>
  <c r="B459" i="4"/>
  <c r="A459" i="4"/>
  <c r="E458" i="4"/>
  <c r="D458" i="4"/>
  <c r="C458" i="4"/>
  <c r="B458" i="4"/>
  <c r="A458" i="4"/>
  <c r="E457" i="4"/>
  <c r="D457" i="4"/>
  <c r="C457" i="4"/>
  <c r="B457" i="4"/>
  <c r="A457" i="4"/>
  <c r="E456" i="4"/>
  <c r="D456" i="4"/>
  <c r="C456" i="4"/>
  <c r="B456" i="4"/>
  <c r="A456" i="4"/>
  <c r="E455" i="4"/>
  <c r="D455" i="4"/>
  <c r="C455" i="4"/>
  <c r="B455" i="4"/>
  <c r="A455" i="4"/>
  <c r="E454" i="4"/>
  <c r="D454" i="4"/>
  <c r="C454" i="4"/>
  <c r="B454" i="4"/>
  <c r="A454" i="4"/>
  <c r="E453" i="4"/>
  <c r="D453" i="4"/>
  <c r="C453" i="4"/>
  <c r="B453" i="4"/>
  <c r="A453" i="4"/>
  <c r="F452" i="4"/>
  <c r="E452" i="4"/>
  <c r="D452" i="4"/>
  <c r="C452" i="4"/>
  <c r="B452" i="4"/>
  <c r="A452" i="4"/>
  <c r="E451" i="4"/>
  <c r="D451" i="4"/>
  <c r="B451" i="4"/>
  <c r="A451" i="4"/>
  <c r="E450" i="4"/>
  <c r="D450" i="4"/>
  <c r="B450" i="4"/>
  <c r="A450" i="4"/>
  <c r="E449" i="4"/>
  <c r="D449" i="4"/>
  <c r="B449" i="4"/>
  <c r="A449" i="4"/>
  <c r="E448" i="4"/>
  <c r="D448" i="4"/>
  <c r="B448" i="4"/>
  <c r="A448" i="4"/>
  <c r="E447" i="4"/>
  <c r="D447" i="4"/>
  <c r="B447" i="4"/>
  <c r="A447" i="4"/>
  <c r="E446" i="4"/>
  <c r="D446" i="4"/>
  <c r="B446" i="4"/>
  <c r="A446" i="4"/>
  <c r="E445" i="4"/>
  <c r="D445" i="4"/>
  <c r="B445" i="4"/>
  <c r="A445" i="4"/>
  <c r="E444" i="4"/>
  <c r="D444" i="4"/>
  <c r="B444" i="4"/>
  <c r="A444" i="4"/>
  <c r="E443" i="4"/>
  <c r="D443" i="4"/>
  <c r="B443" i="4"/>
  <c r="A443" i="4"/>
  <c r="E442" i="4"/>
  <c r="D442" i="4"/>
  <c r="C442" i="4"/>
  <c r="B442" i="4"/>
  <c r="A442" i="4"/>
  <c r="E441" i="4"/>
  <c r="D441" i="4"/>
  <c r="C441" i="4"/>
  <c r="B441" i="4"/>
  <c r="A441" i="4"/>
  <c r="E440" i="4"/>
  <c r="D440" i="4"/>
  <c r="C440" i="4"/>
  <c r="B440" i="4"/>
  <c r="A440" i="4"/>
  <c r="B439" i="4"/>
  <c r="A439" i="4"/>
  <c r="E438" i="4"/>
  <c r="D438" i="4"/>
  <c r="B438" i="4"/>
  <c r="A438" i="4"/>
  <c r="E437" i="4"/>
  <c r="D437" i="4"/>
  <c r="B437" i="4"/>
  <c r="A437" i="4"/>
  <c r="E436" i="4"/>
  <c r="D436" i="4"/>
  <c r="B436" i="4"/>
  <c r="A436" i="4"/>
  <c r="E435" i="4"/>
  <c r="D435" i="4"/>
  <c r="B435" i="4"/>
  <c r="A435" i="4"/>
  <c r="E434" i="4"/>
  <c r="D434" i="4"/>
  <c r="B434" i="4"/>
  <c r="A434" i="4"/>
  <c r="D433" i="4"/>
  <c r="B433" i="4"/>
  <c r="A433" i="4"/>
  <c r="D432" i="4"/>
  <c r="C432" i="4"/>
  <c r="B432" i="4"/>
  <c r="A432" i="4"/>
  <c r="E431" i="4"/>
  <c r="D431" i="4"/>
  <c r="C431" i="4"/>
  <c r="B431" i="4"/>
  <c r="A431" i="4"/>
  <c r="E430" i="4"/>
  <c r="D430" i="4"/>
  <c r="C430" i="4"/>
  <c r="B430" i="4"/>
  <c r="A430" i="4"/>
  <c r="E429" i="4"/>
  <c r="D429" i="4"/>
  <c r="C429" i="4"/>
  <c r="B429" i="4"/>
  <c r="A429" i="4"/>
  <c r="E428" i="4"/>
  <c r="D428" i="4"/>
  <c r="C428" i="4"/>
  <c r="B428" i="4"/>
  <c r="A428" i="4"/>
  <c r="E427" i="4"/>
  <c r="D427" i="4"/>
  <c r="C427" i="4"/>
  <c r="B427" i="4"/>
  <c r="A427" i="4"/>
  <c r="D426" i="4"/>
  <c r="C426" i="4"/>
  <c r="B426" i="4"/>
  <c r="A426" i="4"/>
  <c r="E425" i="4"/>
  <c r="D425" i="4"/>
  <c r="C425" i="4"/>
  <c r="B425" i="4"/>
  <c r="A425" i="4"/>
  <c r="E424" i="4"/>
  <c r="D424" i="4"/>
  <c r="C424" i="4"/>
  <c r="B424" i="4"/>
  <c r="A424" i="4"/>
  <c r="E423" i="4"/>
  <c r="D423" i="4"/>
  <c r="C423" i="4"/>
  <c r="B423" i="4"/>
  <c r="A423" i="4"/>
  <c r="E422" i="4"/>
  <c r="D422" i="4"/>
  <c r="C422" i="4"/>
  <c r="B422" i="4"/>
  <c r="A422" i="4"/>
  <c r="E421" i="4"/>
  <c r="D421" i="4"/>
  <c r="C421" i="4"/>
  <c r="B421" i="4"/>
  <c r="A421" i="4"/>
  <c r="E420" i="4"/>
  <c r="D420" i="4"/>
  <c r="C420" i="4"/>
  <c r="B420" i="4"/>
  <c r="A420" i="4"/>
  <c r="E419" i="4"/>
  <c r="D419" i="4"/>
  <c r="C419" i="4"/>
  <c r="B419" i="4"/>
  <c r="A419" i="4"/>
  <c r="E418" i="4"/>
  <c r="D418" i="4"/>
  <c r="B418" i="4"/>
  <c r="A418" i="4"/>
  <c r="E417" i="4"/>
  <c r="D417" i="4"/>
  <c r="B417" i="4"/>
  <c r="A417" i="4"/>
  <c r="E416" i="4"/>
  <c r="D416" i="4"/>
  <c r="B416" i="4"/>
  <c r="A416" i="4"/>
  <c r="E415" i="4"/>
  <c r="D415" i="4"/>
  <c r="B415" i="4"/>
  <c r="A415" i="4"/>
  <c r="E414" i="4"/>
  <c r="D414" i="4"/>
  <c r="B414" i="4"/>
  <c r="A414" i="4"/>
  <c r="E413" i="4"/>
  <c r="D413" i="4"/>
  <c r="B413" i="4"/>
  <c r="A413" i="4"/>
  <c r="E412" i="4"/>
  <c r="D412" i="4"/>
  <c r="C412" i="4"/>
  <c r="B412" i="4"/>
  <c r="A412" i="4"/>
  <c r="E411" i="4"/>
  <c r="D411" i="4"/>
  <c r="C411" i="4"/>
  <c r="B411" i="4"/>
  <c r="A411" i="4"/>
  <c r="E410" i="4"/>
  <c r="D410" i="4"/>
  <c r="C410" i="4"/>
  <c r="B410" i="4"/>
  <c r="A410" i="4"/>
  <c r="E409" i="4"/>
  <c r="D409" i="4"/>
  <c r="C409" i="4"/>
  <c r="B409" i="4"/>
  <c r="A409" i="4"/>
  <c r="E408" i="4"/>
  <c r="D408" i="4"/>
  <c r="C408" i="4"/>
  <c r="B408" i="4"/>
  <c r="A408" i="4"/>
  <c r="E407" i="4"/>
  <c r="D407" i="4"/>
  <c r="C407" i="4"/>
  <c r="B407" i="4"/>
  <c r="A407" i="4"/>
  <c r="E406" i="4"/>
  <c r="D406" i="4"/>
  <c r="C406" i="4"/>
  <c r="B406" i="4"/>
  <c r="A406" i="4"/>
  <c r="E405" i="4"/>
  <c r="D405" i="4"/>
  <c r="C405" i="4"/>
  <c r="B405" i="4"/>
  <c r="A405" i="4"/>
  <c r="E404" i="4"/>
  <c r="D404" i="4"/>
  <c r="C404" i="4"/>
  <c r="B404" i="4"/>
  <c r="A404" i="4"/>
  <c r="E403" i="4"/>
  <c r="D403" i="4"/>
  <c r="C403" i="4"/>
  <c r="B403" i="4"/>
  <c r="A403" i="4"/>
  <c r="E402" i="4"/>
  <c r="D402" i="4"/>
  <c r="C402" i="4"/>
  <c r="B402" i="4"/>
  <c r="A402" i="4"/>
  <c r="E401" i="4"/>
  <c r="D401" i="4"/>
  <c r="C401" i="4"/>
  <c r="B401" i="4"/>
  <c r="A401" i="4"/>
  <c r="E400" i="4"/>
  <c r="D400" i="4"/>
  <c r="C400" i="4"/>
  <c r="B400" i="4"/>
  <c r="A400" i="4"/>
  <c r="E399" i="4"/>
  <c r="D399" i="4"/>
  <c r="C399" i="4"/>
  <c r="B399" i="4"/>
  <c r="A399" i="4"/>
  <c r="E398" i="4"/>
  <c r="D398" i="4"/>
  <c r="C398" i="4"/>
  <c r="B398" i="4"/>
  <c r="A398" i="4"/>
  <c r="E397" i="4"/>
  <c r="D397" i="4"/>
  <c r="C397" i="4"/>
  <c r="B397" i="4"/>
  <c r="A397" i="4"/>
  <c r="E396" i="4"/>
  <c r="D396" i="4"/>
  <c r="C396" i="4"/>
  <c r="B396" i="4"/>
  <c r="A396" i="4"/>
  <c r="E395" i="4"/>
  <c r="C395" i="4"/>
  <c r="B395" i="4"/>
  <c r="A395" i="4"/>
  <c r="E394" i="4"/>
  <c r="C394" i="4"/>
  <c r="B394" i="4"/>
  <c r="A394" i="4"/>
  <c r="E393" i="4"/>
  <c r="D393" i="4"/>
  <c r="C393" i="4"/>
  <c r="B393" i="4"/>
  <c r="A393" i="4"/>
  <c r="E392" i="4"/>
  <c r="D392" i="4"/>
  <c r="C392" i="4"/>
  <c r="B392" i="4"/>
  <c r="A392" i="4"/>
  <c r="E391" i="4"/>
  <c r="D391" i="4"/>
  <c r="C391" i="4"/>
  <c r="B391" i="4"/>
  <c r="A391" i="4"/>
  <c r="E390" i="4"/>
  <c r="D390" i="4"/>
  <c r="C390" i="4"/>
  <c r="B390" i="4"/>
  <c r="A390" i="4"/>
  <c r="E389" i="4"/>
  <c r="D389" i="4"/>
  <c r="C389" i="4"/>
  <c r="B389" i="4"/>
  <c r="A389" i="4"/>
  <c r="E388" i="4"/>
  <c r="D388" i="4"/>
  <c r="C388" i="4"/>
  <c r="B388" i="4"/>
  <c r="A388" i="4"/>
  <c r="E387" i="4"/>
  <c r="D387" i="4"/>
  <c r="C387" i="4"/>
  <c r="B387" i="4"/>
  <c r="A387" i="4"/>
  <c r="E386" i="4"/>
  <c r="C386" i="4"/>
  <c r="B386" i="4"/>
  <c r="A386" i="4"/>
  <c r="E385" i="4"/>
  <c r="D385" i="4"/>
  <c r="C385" i="4"/>
  <c r="B385" i="4"/>
  <c r="A385" i="4"/>
  <c r="E384" i="4"/>
  <c r="D384" i="4"/>
  <c r="C384" i="4"/>
  <c r="B384" i="4"/>
  <c r="A384" i="4"/>
  <c r="E383" i="4"/>
  <c r="D383" i="4"/>
  <c r="C383" i="4"/>
  <c r="B383" i="4"/>
  <c r="A383" i="4"/>
  <c r="E382" i="4"/>
  <c r="D382" i="4"/>
  <c r="C382" i="4"/>
  <c r="B382" i="4"/>
  <c r="A382" i="4"/>
  <c r="E381" i="4"/>
  <c r="D381" i="4"/>
  <c r="C381" i="4"/>
  <c r="B381" i="4"/>
  <c r="A381" i="4"/>
  <c r="E380" i="4"/>
  <c r="D380" i="4"/>
  <c r="C380" i="4"/>
  <c r="B380" i="4"/>
  <c r="A380" i="4"/>
  <c r="E379" i="4"/>
  <c r="D379" i="4"/>
  <c r="B379" i="4"/>
  <c r="A379" i="4"/>
  <c r="E378" i="4"/>
  <c r="D378" i="4"/>
  <c r="B378" i="4"/>
  <c r="A378" i="4"/>
  <c r="E377" i="4"/>
  <c r="D377" i="4"/>
  <c r="B377" i="4"/>
  <c r="A377" i="4"/>
  <c r="E376" i="4"/>
  <c r="D376" i="4"/>
  <c r="B376" i="4"/>
  <c r="A376" i="4"/>
  <c r="E375" i="4"/>
  <c r="D375" i="4"/>
  <c r="B375" i="4"/>
  <c r="A375" i="4"/>
  <c r="E374" i="4"/>
  <c r="D374" i="4"/>
  <c r="B374" i="4"/>
  <c r="A374" i="4"/>
  <c r="E373" i="4"/>
  <c r="D373" i="4"/>
  <c r="B373" i="4"/>
  <c r="A373" i="4"/>
  <c r="E372" i="4"/>
  <c r="D372" i="4"/>
  <c r="C372" i="4"/>
  <c r="B372" i="4"/>
  <c r="A372" i="4"/>
  <c r="E371" i="4"/>
  <c r="D371" i="4"/>
  <c r="C371" i="4"/>
  <c r="B371" i="4"/>
  <c r="A371" i="4"/>
  <c r="E370" i="4"/>
  <c r="D370" i="4"/>
  <c r="C370" i="4"/>
  <c r="B370" i="4"/>
  <c r="A370" i="4"/>
  <c r="E369" i="4"/>
  <c r="D369" i="4"/>
  <c r="C369" i="4"/>
  <c r="B369" i="4"/>
  <c r="A369" i="4"/>
  <c r="E368" i="4"/>
  <c r="D368" i="4"/>
  <c r="C368" i="4"/>
  <c r="B368" i="4"/>
  <c r="A368" i="4"/>
  <c r="D367" i="4"/>
  <c r="C367" i="4"/>
  <c r="B367" i="4"/>
  <c r="A367" i="4"/>
  <c r="B366" i="4"/>
  <c r="A366" i="4"/>
  <c r="E365" i="4"/>
  <c r="D365" i="4"/>
  <c r="C365" i="4"/>
  <c r="B365" i="4"/>
  <c r="A365" i="4"/>
  <c r="E364" i="4"/>
  <c r="D364" i="4"/>
  <c r="C364" i="4"/>
  <c r="B364" i="4"/>
  <c r="A364" i="4"/>
  <c r="F363" i="4"/>
  <c r="E363" i="4"/>
  <c r="D363" i="4"/>
  <c r="C363" i="4"/>
  <c r="B363" i="4"/>
  <c r="A363" i="4"/>
  <c r="E362" i="4"/>
  <c r="D362" i="4"/>
  <c r="C362" i="4"/>
  <c r="B362" i="4"/>
  <c r="A362" i="4"/>
  <c r="E361" i="4"/>
  <c r="D361" i="4"/>
  <c r="C361" i="4"/>
  <c r="B361" i="4"/>
  <c r="A361" i="4"/>
  <c r="E360" i="4"/>
  <c r="D360" i="4"/>
  <c r="C360" i="4"/>
  <c r="B360" i="4"/>
  <c r="A360" i="4"/>
  <c r="F359" i="4"/>
  <c r="E359" i="4"/>
  <c r="D359" i="4"/>
  <c r="C359" i="4"/>
  <c r="B359" i="4"/>
  <c r="A359" i="4"/>
  <c r="E358" i="4"/>
  <c r="D358" i="4"/>
  <c r="C358" i="4"/>
  <c r="B358" i="4"/>
  <c r="A358" i="4"/>
  <c r="E357" i="4"/>
  <c r="D357" i="4"/>
  <c r="C357" i="4"/>
  <c r="B357" i="4"/>
  <c r="A357" i="4"/>
  <c r="E356" i="4"/>
  <c r="C356" i="4"/>
  <c r="B356" i="4"/>
  <c r="A356" i="4"/>
  <c r="E355" i="4"/>
  <c r="C355" i="4"/>
  <c r="B355" i="4"/>
  <c r="A355" i="4"/>
  <c r="E354" i="4"/>
  <c r="D354" i="4"/>
  <c r="C354" i="4"/>
  <c r="B354" i="4"/>
  <c r="A354" i="4"/>
  <c r="F353" i="4"/>
  <c r="E353" i="4"/>
  <c r="D353" i="4"/>
  <c r="C353" i="4"/>
  <c r="B353" i="4"/>
  <c r="A353" i="4"/>
  <c r="F352" i="4"/>
  <c r="E352" i="4"/>
  <c r="D352" i="4"/>
  <c r="C352" i="4"/>
  <c r="B352" i="4"/>
  <c r="A352" i="4"/>
  <c r="E351" i="4"/>
  <c r="D351" i="4"/>
  <c r="C351" i="4"/>
  <c r="B351" i="4"/>
  <c r="A351" i="4"/>
  <c r="E350" i="4"/>
  <c r="D350" i="4"/>
  <c r="C350" i="4"/>
  <c r="B350" i="4"/>
  <c r="A350" i="4"/>
  <c r="E349" i="4"/>
  <c r="D349" i="4"/>
  <c r="C349" i="4"/>
  <c r="B349" i="4"/>
  <c r="A349" i="4"/>
  <c r="E348" i="4"/>
  <c r="D348" i="4"/>
  <c r="C348" i="4"/>
  <c r="B348" i="4"/>
  <c r="A348" i="4"/>
  <c r="E347" i="4"/>
  <c r="D347" i="4"/>
  <c r="C347" i="4"/>
  <c r="B347" i="4"/>
  <c r="A347" i="4"/>
  <c r="E346" i="4"/>
  <c r="D346" i="4"/>
  <c r="C346" i="4"/>
  <c r="B346" i="4"/>
  <c r="A346" i="4"/>
  <c r="E345" i="4"/>
  <c r="D345" i="4"/>
  <c r="C345" i="4"/>
  <c r="B345" i="4"/>
  <c r="A345" i="4"/>
  <c r="E344" i="4"/>
  <c r="D344" i="4"/>
  <c r="C344" i="4"/>
  <c r="B344" i="4"/>
  <c r="A344" i="4"/>
  <c r="E343" i="4"/>
  <c r="D343" i="4"/>
  <c r="C343" i="4"/>
  <c r="B343" i="4"/>
  <c r="A343" i="4"/>
  <c r="E342" i="4"/>
  <c r="D342" i="4"/>
  <c r="C342" i="4"/>
  <c r="B342" i="4"/>
  <c r="A342" i="4"/>
  <c r="E341" i="4"/>
  <c r="D341" i="4"/>
  <c r="C341" i="4"/>
  <c r="B341" i="4"/>
  <c r="A341" i="4"/>
  <c r="E340" i="4"/>
  <c r="D340" i="4"/>
  <c r="C340" i="4"/>
  <c r="B340" i="4"/>
  <c r="A340" i="4"/>
  <c r="E339" i="4"/>
  <c r="D339" i="4"/>
  <c r="C339" i="4"/>
  <c r="B339" i="4"/>
  <c r="A339" i="4"/>
  <c r="E338" i="4"/>
  <c r="D338" i="4"/>
  <c r="C338" i="4"/>
  <c r="B338" i="4"/>
  <c r="A338" i="4"/>
  <c r="E337" i="4"/>
  <c r="D337" i="4"/>
  <c r="C337" i="4"/>
  <c r="B337" i="4"/>
  <c r="A337" i="4"/>
  <c r="E336" i="4"/>
  <c r="D336" i="4"/>
  <c r="C336" i="4"/>
  <c r="B336" i="4"/>
  <c r="A336" i="4"/>
  <c r="E335" i="4"/>
  <c r="D335" i="4"/>
  <c r="C335" i="4"/>
  <c r="B335" i="4"/>
  <c r="A335" i="4"/>
  <c r="E334" i="4"/>
  <c r="D334" i="4"/>
  <c r="C334" i="4"/>
  <c r="B334" i="4"/>
  <c r="A334" i="4"/>
  <c r="E333" i="4"/>
  <c r="D333" i="4"/>
  <c r="B333" i="4"/>
  <c r="A333" i="4"/>
  <c r="E332" i="4"/>
  <c r="D332" i="4"/>
  <c r="B332" i="4"/>
  <c r="A332" i="4"/>
  <c r="E331" i="4"/>
  <c r="D331" i="4"/>
  <c r="C331" i="4"/>
  <c r="B331" i="4"/>
  <c r="A331" i="4"/>
  <c r="E330" i="4"/>
  <c r="D330" i="4"/>
  <c r="C330" i="4"/>
  <c r="B330" i="4"/>
  <c r="A330" i="4"/>
  <c r="E329" i="4"/>
  <c r="D329" i="4"/>
  <c r="C329" i="4"/>
  <c r="B329" i="4"/>
  <c r="A329" i="4"/>
  <c r="E328" i="4"/>
  <c r="D328" i="4"/>
  <c r="C328" i="4"/>
  <c r="B328" i="4"/>
  <c r="A328" i="4"/>
  <c r="E327" i="4"/>
  <c r="D327" i="4"/>
  <c r="C327" i="4"/>
  <c r="B327" i="4"/>
  <c r="A327" i="4"/>
  <c r="E326" i="4"/>
  <c r="D326" i="4"/>
  <c r="B326" i="4"/>
  <c r="A326" i="4"/>
  <c r="E325" i="4"/>
  <c r="D325" i="4"/>
  <c r="B325" i="4"/>
  <c r="A325" i="4"/>
  <c r="F324" i="4"/>
  <c r="E324" i="4"/>
  <c r="D324" i="4"/>
  <c r="B324" i="4"/>
  <c r="A324" i="4"/>
  <c r="F323" i="4"/>
  <c r="E323" i="4"/>
  <c r="D323" i="4"/>
  <c r="B323" i="4"/>
  <c r="A323" i="4"/>
  <c r="F322" i="4"/>
  <c r="E322" i="4"/>
  <c r="D322" i="4"/>
  <c r="B322" i="4"/>
  <c r="A322" i="4"/>
  <c r="E321" i="4"/>
  <c r="D321" i="4"/>
  <c r="B321" i="4"/>
  <c r="A321" i="4"/>
  <c r="E320" i="4"/>
  <c r="D320" i="4"/>
  <c r="B320" i="4"/>
  <c r="A320" i="4"/>
  <c r="E319" i="4"/>
  <c r="D319" i="4"/>
  <c r="B319" i="4"/>
  <c r="A319" i="4"/>
  <c r="E318" i="4"/>
  <c r="D318" i="4"/>
  <c r="B318" i="4"/>
  <c r="A318" i="4"/>
  <c r="E317" i="4"/>
  <c r="D317" i="4"/>
  <c r="C317" i="4"/>
  <c r="B317" i="4"/>
  <c r="A317" i="4"/>
  <c r="E316" i="4"/>
  <c r="D316" i="4"/>
  <c r="C316" i="4"/>
  <c r="B316" i="4"/>
  <c r="A316" i="4"/>
  <c r="E315" i="4"/>
  <c r="D315" i="4"/>
  <c r="C315" i="4"/>
  <c r="B315" i="4"/>
  <c r="A315" i="4"/>
  <c r="E314" i="4"/>
  <c r="D314" i="4"/>
  <c r="C314" i="4"/>
  <c r="B314" i="4"/>
  <c r="A314" i="4"/>
  <c r="E313" i="4"/>
  <c r="D313" i="4"/>
  <c r="C313" i="4"/>
  <c r="B313" i="4"/>
  <c r="A313" i="4"/>
  <c r="E312" i="4"/>
  <c r="D312" i="4"/>
  <c r="C312" i="4"/>
  <c r="B312" i="4"/>
  <c r="A312" i="4"/>
  <c r="E311" i="4"/>
  <c r="D311" i="4"/>
  <c r="C311" i="4"/>
  <c r="B311" i="4"/>
  <c r="A311" i="4"/>
  <c r="E310" i="4"/>
  <c r="D310" i="4"/>
  <c r="C310" i="4"/>
  <c r="B310" i="4"/>
  <c r="A310" i="4"/>
  <c r="E309" i="4"/>
  <c r="D309" i="4"/>
  <c r="C309" i="4"/>
  <c r="B309" i="4"/>
  <c r="A309" i="4"/>
  <c r="E308" i="4"/>
  <c r="D308" i="4"/>
  <c r="C308" i="4"/>
  <c r="B308" i="4"/>
  <c r="A308" i="4"/>
  <c r="E307" i="4"/>
  <c r="D307" i="4"/>
  <c r="C307" i="4"/>
  <c r="B307" i="4"/>
  <c r="A307" i="4"/>
  <c r="E306" i="4"/>
  <c r="D306" i="4"/>
  <c r="C306" i="4"/>
  <c r="B306" i="4"/>
  <c r="A306" i="4"/>
  <c r="E305" i="4"/>
  <c r="D305" i="4"/>
  <c r="C305" i="4"/>
  <c r="B305" i="4"/>
  <c r="A305" i="4"/>
  <c r="E304" i="4"/>
  <c r="D304" i="4"/>
  <c r="C304" i="4"/>
  <c r="B304" i="4"/>
  <c r="A304" i="4"/>
  <c r="E303" i="4"/>
  <c r="D303" i="4"/>
  <c r="C303" i="4"/>
  <c r="B303" i="4"/>
  <c r="A303" i="4"/>
  <c r="E302" i="4"/>
  <c r="C302" i="4"/>
  <c r="B302" i="4"/>
  <c r="A302" i="4"/>
  <c r="E301" i="4"/>
  <c r="D301" i="4"/>
  <c r="C301" i="4"/>
  <c r="B301" i="4"/>
  <c r="A301" i="4"/>
  <c r="E300" i="4"/>
  <c r="D300" i="4"/>
  <c r="C300" i="4"/>
  <c r="B300" i="4"/>
  <c r="A300" i="4"/>
  <c r="E299" i="4"/>
  <c r="D299" i="4"/>
  <c r="C299" i="4"/>
  <c r="B299" i="4"/>
  <c r="A299" i="4"/>
  <c r="E298" i="4"/>
  <c r="D298" i="4"/>
  <c r="C298" i="4"/>
  <c r="B298" i="4"/>
  <c r="A298" i="4"/>
  <c r="E297" i="4"/>
  <c r="D297" i="4"/>
  <c r="C297" i="4"/>
  <c r="B297" i="4"/>
  <c r="A297" i="4"/>
  <c r="E296" i="4"/>
  <c r="D296" i="4"/>
  <c r="C296" i="4"/>
  <c r="B296" i="4"/>
  <c r="A296" i="4"/>
  <c r="E295" i="4"/>
  <c r="D295" i="4"/>
  <c r="C295" i="4"/>
  <c r="B295" i="4"/>
  <c r="A295" i="4"/>
  <c r="E294" i="4"/>
  <c r="D294" i="4"/>
  <c r="C294" i="4"/>
  <c r="B294" i="4"/>
  <c r="A294" i="4"/>
  <c r="E293" i="4"/>
  <c r="D293" i="4"/>
  <c r="C293" i="4"/>
  <c r="B293" i="4"/>
  <c r="A293" i="4"/>
  <c r="E292" i="4"/>
  <c r="D292" i="4"/>
  <c r="C292" i="4"/>
  <c r="B292" i="4"/>
  <c r="A292" i="4"/>
  <c r="E291" i="4"/>
  <c r="D291" i="4"/>
  <c r="B291" i="4"/>
  <c r="A291" i="4"/>
  <c r="E290" i="4"/>
  <c r="D290" i="4"/>
  <c r="C290" i="4"/>
  <c r="B290" i="4"/>
  <c r="A290" i="4"/>
  <c r="E289" i="4"/>
  <c r="D289" i="4"/>
  <c r="C289" i="4"/>
  <c r="B289" i="4"/>
  <c r="A289" i="4"/>
  <c r="E288" i="4"/>
  <c r="D288" i="4"/>
  <c r="C288" i="4"/>
  <c r="B288" i="4"/>
  <c r="A288" i="4"/>
  <c r="E287" i="4"/>
  <c r="D287" i="4"/>
  <c r="C287" i="4"/>
  <c r="B287" i="4"/>
  <c r="A287" i="4"/>
  <c r="E286" i="4"/>
  <c r="D286" i="4"/>
  <c r="C286" i="4"/>
  <c r="B286" i="4"/>
  <c r="A286" i="4"/>
  <c r="E285" i="4"/>
  <c r="D285" i="4"/>
  <c r="C285" i="4"/>
  <c r="B285" i="4"/>
  <c r="A285" i="4"/>
  <c r="E284" i="4"/>
  <c r="C284" i="4"/>
  <c r="B284" i="4"/>
  <c r="A284" i="4"/>
  <c r="E283" i="4"/>
  <c r="D283" i="4"/>
  <c r="C283" i="4"/>
  <c r="B283" i="4"/>
  <c r="A283" i="4"/>
  <c r="E282" i="4"/>
  <c r="D282" i="4"/>
  <c r="C282" i="4"/>
  <c r="B282" i="4"/>
  <c r="A282" i="4"/>
  <c r="E281" i="4"/>
  <c r="D281" i="4"/>
  <c r="C281" i="4"/>
  <c r="B281" i="4"/>
  <c r="A281" i="4"/>
  <c r="E280" i="4"/>
  <c r="D280" i="4"/>
  <c r="C280" i="4"/>
  <c r="B280" i="4"/>
  <c r="A280" i="4"/>
  <c r="E279" i="4"/>
  <c r="D279" i="4"/>
  <c r="C279" i="4"/>
  <c r="B279" i="4"/>
  <c r="A279" i="4"/>
  <c r="E278" i="4"/>
  <c r="D278" i="4"/>
  <c r="C278" i="4"/>
  <c r="B278" i="4"/>
  <c r="A278" i="4"/>
  <c r="E277" i="4"/>
  <c r="D277" i="4"/>
  <c r="C277" i="4"/>
  <c r="B277" i="4"/>
  <c r="A277" i="4"/>
  <c r="E276" i="4"/>
  <c r="D276" i="4"/>
  <c r="C276" i="4"/>
  <c r="B276" i="4"/>
  <c r="A276" i="4"/>
  <c r="E275" i="4"/>
  <c r="D275" i="4"/>
  <c r="C275" i="4"/>
  <c r="B275" i="4"/>
  <c r="A275" i="4"/>
  <c r="E274" i="4"/>
  <c r="D274" i="4"/>
  <c r="C274" i="4"/>
  <c r="B274" i="4"/>
  <c r="A274" i="4"/>
  <c r="E273" i="4"/>
  <c r="D273" i="4"/>
  <c r="C273" i="4"/>
  <c r="B273" i="4"/>
  <c r="A273" i="4"/>
  <c r="E272" i="4"/>
  <c r="D272" i="4"/>
  <c r="C272" i="4"/>
  <c r="B272" i="4"/>
  <c r="A272" i="4"/>
  <c r="E271" i="4"/>
  <c r="D271" i="4"/>
  <c r="C271" i="4"/>
  <c r="B271" i="4"/>
  <c r="A271" i="4"/>
  <c r="E270" i="4"/>
  <c r="D270" i="4"/>
  <c r="C270" i="4"/>
  <c r="B270" i="4"/>
  <c r="A270" i="4"/>
  <c r="E269" i="4"/>
  <c r="D269" i="4"/>
  <c r="B269" i="4"/>
  <c r="A269" i="4"/>
  <c r="E268" i="4"/>
  <c r="D268" i="4"/>
  <c r="C268" i="4"/>
  <c r="B268" i="4"/>
  <c r="A268" i="4"/>
  <c r="E267" i="4"/>
  <c r="D267" i="4"/>
  <c r="C267" i="4"/>
  <c r="B267" i="4"/>
  <c r="A267" i="4"/>
  <c r="E266" i="4"/>
  <c r="D266" i="4"/>
  <c r="C266" i="4"/>
  <c r="B266" i="4"/>
  <c r="A266" i="4"/>
  <c r="E265" i="4"/>
  <c r="D265" i="4"/>
  <c r="C265" i="4"/>
  <c r="B265" i="4"/>
  <c r="A265" i="4"/>
  <c r="E264" i="4"/>
  <c r="D264" i="4"/>
  <c r="C264" i="4"/>
  <c r="B264" i="4"/>
  <c r="A264" i="4"/>
  <c r="E263" i="4"/>
  <c r="D263" i="4"/>
  <c r="C263" i="4"/>
  <c r="B263" i="4"/>
  <c r="A263" i="4"/>
  <c r="E262" i="4"/>
  <c r="D262" i="4"/>
  <c r="C262" i="4"/>
  <c r="B262" i="4"/>
  <c r="A262" i="4"/>
  <c r="E261" i="4"/>
  <c r="B261" i="4"/>
  <c r="A261" i="4"/>
  <c r="E260" i="4"/>
  <c r="B260" i="4"/>
  <c r="A260" i="4"/>
  <c r="E259" i="4"/>
  <c r="B259" i="4"/>
  <c r="A259" i="4"/>
  <c r="E258" i="4"/>
  <c r="D258" i="4"/>
  <c r="C258" i="4"/>
  <c r="B258" i="4"/>
  <c r="A258" i="4"/>
  <c r="E257" i="4"/>
  <c r="D257" i="4"/>
  <c r="C257" i="4"/>
  <c r="B257" i="4"/>
  <c r="A257" i="4"/>
  <c r="E256" i="4"/>
  <c r="D256" i="4"/>
  <c r="C256" i="4"/>
  <c r="B256" i="4"/>
  <c r="A256" i="4"/>
  <c r="E255" i="4"/>
  <c r="D255" i="4"/>
  <c r="C255" i="4"/>
  <c r="B255" i="4"/>
  <c r="A255" i="4"/>
  <c r="E254" i="4"/>
  <c r="D254" i="4"/>
  <c r="C254" i="4"/>
  <c r="B254" i="4"/>
  <c r="A254" i="4"/>
  <c r="E253" i="4"/>
  <c r="D253" i="4"/>
  <c r="C253" i="4"/>
  <c r="B253" i="4"/>
  <c r="A253" i="4"/>
  <c r="E252" i="4"/>
  <c r="D252" i="4"/>
  <c r="C252" i="4"/>
  <c r="B252" i="4"/>
  <c r="A252" i="4"/>
  <c r="E251" i="4"/>
  <c r="D251" i="4"/>
  <c r="C251" i="4"/>
  <c r="B251" i="4"/>
  <c r="A251" i="4"/>
  <c r="E250" i="4"/>
  <c r="D250" i="4"/>
  <c r="C250" i="4"/>
  <c r="B250" i="4"/>
  <c r="A250" i="4"/>
  <c r="E249" i="4"/>
  <c r="D249" i="4"/>
  <c r="C249" i="4"/>
  <c r="B249" i="4"/>
  <c r="A249" i="4"/>
  <c r="E248" i="4"/>
  <c r="D248" i="4"/>
  <c r="C248" i="4"/>
  <c r="B248" i="4"/>
  <c r="A248" i="4"/>
  <c r="E247" i="4"/>
  <c r="D247" i="4"/>
  <c r="C247" i="4"/>
  <c r="B247" i="4"/>
  <c r="A247" i="4"/>
  <c r="E246" i="4"/>
  <c r="D246" i="4"/>
  <c r="C246" i="4"/>
  <c r="B246" i="4"/>
  <c r="A246" i="4"/>
  <c r="E245" i="4"/>
  <c r="D245" i="4"/>
  <c r="C245" i="4"/>
  <c r="B245" i="4"/>
  <c r="A245" i="4"/>
  <c r="E244" i="4"/>
  <c r="D244" i="4"/>
  <c r="C244" i="4"/>
  <c r="B244" i="4"/>
  <c r="A244" i="4"/>
  <c r="E243" i="4"/>
  <c r="D243" i="4"/>
  <c r="C243" i="4"/>
  <c r="B243" i="4"/>
  <c r="A243" i="4"/>
  <c r="E242" i="4"/>
  <c r="D242" i="4"/>
  <c r="B242" i="4"/>
  <c r="A242" i="4"/>
  <c r="E241" i="4"/>
  <c r="D241" i="4"/>
  <c r="C241" i="4"/>
  <c r="B241" i="4"/>
  <c r="A241" i="4"/>
  <c r="E240" i="4"/>
  <c r="D240" i="4"/>
  <c r="C240" i="4"/>
  <c r="B240" i="4"/>
  <c r="A240" i="4"/>
  <c r="E239" i="4"/>
  <c r="D239" i="4"/>
  <c r="C239" i="4"/>
  <c r="B239" i="4"/>
  <c r="A239" i="4"/>
  <c r="E238" i="4"/>
  <c r="D238" i="4"/>
  <c r="C238" i="4"/>
  <c r="B238" i="4"/>
  <c r="A238" i="4"/>
  <c r="E237" i="4"/>
  <c r="D237" i="4"/>
  <c r="C237" i="4"/>
  <c r="B237" i="4"/>
  <c r="A237" i="4"/>
  <c r="E236" i="4"/>
  <c r="D236" i="4"/>
  <c r="C236" i="4"/>
  <c r="B236" i="4"/>
  <c r="A236" i="4"/>
  <c r="E235" i="4"/>
  <c r="D235" i="4"/>
  <c r="C235" i="4"/>
  <c r="B235" i="4"/>
  <c r="A235" i="4"/>
  <c r="E234" i="4"/>
  <c r="D234" i="4"/>
  <c r="C234" i="4"/>
  <c r="B234" i="4"/>
  <c r="A234" i="4"/>
  <c r="E233" i="4"/>
  <c r="D233" i="4"/>
  <c r="C233" i="4"/>
  <c r="B233" i="4"/>
  <c r="A233" i="4"/>
  <c r="E232" i="4"/>
  <c r="D232" i="4"/>
  <c r="C232" i="4"/>
  <c r="B232" i="4"/>
  <c r="A232" i="4"/>
  <c r="E231" i="4"/>
  <c r="D231" i="4"/>
  <c r="C231" i="4"/>
  <c r="B231" i="4"/>
  <c r="A231" i="4"/>
  <c r="E230" i="4"/>
  <c r="C230" i="4"/>
  <c r="B230" i="4"/>
  <c r="A230" i="4"/>
  <c r="E229" i="4"/>
  <c r="C229" i="4"/>
  <c r="B229" i="4"/>
  <c r="A229" i="4"/>
  <c r="E228" i="4"/>
  <c r="D228" i="4"/>
  <c r="C228" i="4"/>
  <c r="B228" i="4"/>
  <c r="A228" i="4"/>
  <c r="E227" i="4"/>
  <c r="D227" i="4"/>
  <c r="C227" i="4"/>
  <c r="B227" i="4"/>
  <c r="A227" i="4"/>
  <c r="E226" i="4"/>
  <c r="D226" i="4"/>
  <c r="C226" i="4"/>
  <c r="B226" i="4"/>
  <c r="A226" i="4"/>
  <c r="E225" i="4"/>
  <c r="D225" i="4"/>
  <c r="C225" i="4"/>
  <c r="B225" i="4"/>
  <c r="A225" i="4"/>
  <c r="E224" i="4"/>
  <c r="D224" i="4"/>
  <c r="C224" i="4"/>
  <c r="B224" i="4"/>
  <c r="A224" i="4"/>
  <c r="E223" i="4"/>
  <c r="D223" i="4"/>
  <c r="C223" i="4"/>
  <c r="B223" i="4"/>
  <c r="A223" i="4"/>
  <c r="E222" i="4"/>
  <c r="D222" i="4"/>
  <c r="C222" i="4"/>
  <c r="B222" i="4"/>
  <c r="A222" i="4"/>
  <c r="E221" i="4"/>
  <c r="D221" i="4"/>
  <c r="C221" i="4"/>
  <c r="B221" i="4"/>
  <c r="A221" i="4"/>
  <c r="E220" i="4"/>
  <c r="C220" i="4"/>
  <c r="B220" i="4"/>
  <c r="A220" i="4"/>
  <c r="E219" i="4"/>
  <c r="D219" i="4"/>
  <c r="C219" i="4"/>
  <c r="B219" i="4"/>
  <c r="A219" i="4"/>
  <c r="E218" i="4"/>
  <c r="D218" i="4"/>
  <c r="C218" i="4"/>
  <c r="B218" i="4"/>
  <c r="A218" i="4"/>
  <c r="E217" i="4"/>
  <c r="D217" i="4"/>
  <c r="C217" i="4"/>
  <c r="B217" i="4"/>
  <c r="A217" i="4"/>
  <c r="E216" i="4"/>
  <c r="D216" i="4"/>
  <c r="C216" i="4"/>
  <c r="B216" i="4"/>
  <c r="A216" i="4"/>
  <c r="E215" i="4"/>
  <c r="D215" i="4"/>
  <c r="C215" i="4"/>
  <c r="B215" i="4"/>
  <c r="A215" i="4"/>
  <c r="E214" i="4"/>
  <c r="D214" i="4"/>
  <c r="C214" i="4"/>
  <c r="B214" i="4"/>
  <c r="A214" i="4"/>
  <c r="E213" i="4"/>
  <c r="D213" i="4"/>
  <c r="C213" i="4"/>
  <c r="B213" i="4"/>
  <c r="A213" i="4"/>
  <c r="E212" i="4"/>
  <c r="D212" i="4"/>
  <c r="C212" i="4"/>
  <c r="B212" i="4"/>
  <c r="A212" i="4"/>
  <c r="F211" i="4"/>
  <c r="E211" i="4"/>
  <c r="C211" i="4"/>
  <c r="B211" i="4"/>
  <c r="A211" i="4"/>
  <c r="E210" i="4"/>
  <c r="D210" i="4"/>
  <c r="C210" i="4"/>
  <c r="B210" i="4"/>
  <c r="A210" i="4"/>
  <c r="E209" i="4"/>
  <c r="D209" i="4"/>
  <c r="C209" i="4"/>
  <c r="B209" i="4"/>
  <c r="A209" i="4"/>
  <c r="E208" i="4"/>
  <c r="D208" i="4"/>
  <c r="C208" i="4"/>
  <c r="B208" i="4"/>
  <c r="A208" i="4"/>
  <c r="E207" i="4"/>
  <c r="D207" i="4"/>
  <c r="B207" i="4"/>
  <c r="A207" i="4"/>
  <c r="E206" i="4"/>
  <c r="D206" i="4"/>
  <c r="C206" i="4"/>
  <c r="B206" i="4"/>
  <c r="A206" i="4"/>
  <c r="E205" i="4"/>
  <c r="D205" i="4"/>
  <c r="C205" i="4"/>
  <c r="B205" i="4"/>
  <c r="A205" i="4"/>
  <c r="E204" i="4"/>
  <c r="D204" i="4"/>
  <c r="C204" i="4"/>
  <c r="B204" i="4"/>
  <c r="A204" i="4"/>
  <c r="E203" i="4"/>
  <c r="D203" i="4"/>
  <c r="C203" i="4"/>
  <c r="B203" i="4"/>
  <c r="A203" i="4"/>
  <c r="E202" i="4"/>
  <c r="D202" i="4"/>
  <c r="C202" i="4"/>
  <c r="B202" i="4"/>
  <c r="A202" i="4"/>
  <c r="E201" i="4"/>
  <c r="D201" i="4"/>
  <c r="C201" i="4"/>
  <c r="B201" i="4"/>
  <c r="A201" i="4"/>
  <c r="E200" i="4"/>
  <c r="D200" i="4"/>
  <c r="C200" i="4"/>
  <c r="B200" i="4"/>
  <c r="A200" i="4"/>
  <c r="C199" i="4"/>
  <c r="B199" i="4"/>
  <c r="A199" i="4"/>
  <c r="E198" i="4"/>
  <c r="D198" i="4"/>
  <c r="C198" i="4"/>
  <c r="B198" i="4"/>
  <c r="A198" i="4"/>
  <c r="E197" i="4"/>
  <c r="D197" i="4"/>
  <c r="C197" i="4"/>
  <c r="B197" i="4"/>
  <c r="A197" i="4"/>
  <c r="E196" i="4"/>
  <c r="D196" i="4"/>
  <c r="C196" i="4"/>
  <c r="B196" i="4"/>
  <c r="A196" i="4"/>
  <c r="E195" i="4"/>
  <c r="D195" i="4"/>
  <c r="C195" i="4"/>
  <c r="B195" i="4"/>
  <c r="A195" i="4"/>
  <c r="E194" i="4"/>
  <c r="D194" i="4"/>
  <c r="C194" i="4"/>
  <c r="B194" i="4"/>
  <c r="A194" i="4"/>
  <c r="E193" i="4"/>
  <c r="D193" i="4"/>
  <c r="C193" i="4"/>
  <c r="B193" i="4"/>
  <c r="A193" i="4"/>
  <c r="E192" i="4"/>
  <c r="D192" i="4"/>
  <c r="C192" i="4"/>
  <c r="B192" i="4"/>
  <c r="A192" i="4"/>
  <c r="E191" i="4"/>
  <c r="D191" i="4"/>
  <c r="C191" i="4"/>
  <c r="B191" i="4"/>
  <c r="A191" i="4"/>
  <c r="E190" i="4"/>
  <c r="D190" i="4"/>
  <c r="C190" i="4"/>
  <c r="B190" i="4"/>
  <c r="A190" i="4"/>
  <c r="E189" i="4"/>
  <c r="D189" i="4"/>
  <c r="C189" i="4"/>
  <c r="B189" i="4"/>
  <c r="A189" i="4"/>
  <c r="E188" i="4"/>
  <c r="D188" i="4"/>
  <c r="C188" i="4"/>
  <c r="B188" i="4"/>
  <c r="A188" i="4"/>
  <c r="E187" i="4"/>
  <c r="D187" i="4"/>
  <c r="C187" i="4"/>
  <c r="B187" i="4"/>
  <c r="A187" i="4"/>
  <c r="E186" i="4"/>
  <c r="D186" i="4"/>
  <c r="C186" i="4"/>
  <c r="B186" i="4"/>
  <c r="A186" i="4"/>
  <c r="E185" i="4"/>
  <c r="D185" i="4"/>
  <c r="C185" i="4"/>
  <c r="B185" i="4"/>
  <c r="A185" i="4"/>
  <c r="E184" i="4"/>
  <c r="D184" i="4"/>
  <c r="C184" i="4"/>
  <c r="B184" i="4"/>
  <c r="A184" i="4"/>
  <c r="D183" i="4"/>
  <c r="C183" i="4"/>
  <c r="B183" i="4"/>
  <c r="A183" i="4"/>
  <c r="E182" i="4"/>
  <c r="D182" i="4"/>
  <c r="C182" i="4"/>
  <c r="B182" i="4"/>
  <c r="A182" i="4"/>
  <c r="E181" i="4"/>
  <c r="D181" i="4"/>
  <c r="C181" i="4"/>
  <c r="B181" i="4"/>
  <c r="A181" i="4"/>
  <c r="E180" i="4"/>
  <c r="D180" i="4"/>
  <c r="C180" i="4"/>
  <c r="B180" i="4"/>
  <c r="A180" i="4"/>
  <c r="E179" i="4"/>
  <c r="D179" i="4"/>
  <c r="C179" i="4"/>
  <c r="B179" i="4"/>
  <c r="A179" i="4"/>
  <c r="E178" i="4"/>
  <c r="D178" i="4"/>
  <c r="C178" i="4"/>
  <c r="B178" i="4"/>
  <c r="A178" i="4"/>
  <c r="E177" i="4"/>
  <c r="D177" i="4"/>
  <c r="C177" i="4"/>
  <c r="B177" i="4"/>
  <c r="A177" i="4"/>
  <c r="E176" i="4"/>
  <c r="D176" i="4"/>
  <c r="C176" i="4"/>
  <c r="B176" i="4"/>
  <c r="A176" i="4"/>
  <c r="E175" i="4"/>
  <c r="C175" i="4"/>
  <c r="B175" i="4"/>
  <c r="A175" i="4"/>
  <c r="E174" i="4"/>
  <c r="C174" i="4"/>
  <c r="B174" i="4"/>
  <c r="A174" i="4"/>
  <c r="E173" i="4"/>
  <c r="D173" i="4"/>
  <c r="B173" i="4"/>
  <c r="A173" i="4"/>
  <c r="E172" i="4"/>
  <c r="D172" i="4"/>
  <c r="C172" i="4"/>
  <c r="B172" i="4"/>
  <c r="A172" i="4"/>
  <c r="E171" i="4"/>
  <c r="C171" i="4"/>
  <c r="B171" i="4"/>
  <c r="A171" i="4"/>
  <c r="D170" i="4"/>
  <c r="C170" i="4"/>
  <c r="B170" i="4"/>
  <c r="A170" i="4"/>
  <c r="D169" i="4"/>
  <c r="C169" i="4"/>
  <c r="B169" i="4"/>
  <c r="A169" i="4"/>
  <c r="E168" i="4"/>
  <c r="D168" i="4"/>
  <c r="C168" i="4"/>
  <c r="B168" i="4"/>
  <c r="A168" i="4"/>
  <c r="E167" i="4"/>
  <c r="D167" i="4"/>
  <c r="C167" i="4"/>
  <c r="B167" i="4"/>
  <c r="A167" i="4"/>
  <c r="E166" i="4"/>
  <c r="D166" i="4"/>
  <c r="C166" i="4"/>
  <c r="B166" i="4"/>
  <c r="A166" i="4"/>
  <c r="E165" i="4"/>
  <c r="D165" i="4"/>
  <c r="C165" i="4"/>
  <c r="B165" i="4"/>
  <c r="A165" i="4"/>
  <c r="E164" i="4"/>
  <c r="D164" i="4"/>
  <c r="C164" i="4"/>
  <c r="B164" i="4"/>
  <c r="A164" i="4"/>
  <c r="E163" i="4"/>
  <c r="D163" i="4"/>
  <c r="B163" i="4"/>
  <c r="A163" i="4"/>
  <c r="E162" i="4"/>
  <c r="D162" i="4"/>
  <c r="B162" i="4"/>
  <c r="A162" i="4"/>
  <c r="E161" i="4"/>
  <c r="D161" i="4"/>
  <c r="B161" i="4"/>
  <c r="A161" i="4"/>
  <c r="E160" i="4"/>
  <c r="D160" i="4"/>
  <c r="C160" i="4"/>
  <c r="B160" i="4"/>
  <c r="A160" i="4"/>
  <c r="E159" i="4"/>
  <c r="D159" i="4"/>
  <c r="C159" i="4"/>
  <c r="B159" i="4"/>
  <c r="A159" i="4"/>
  <c r="E158" i="4"/>
  <c r="D158" i="4"/>
  <c r="C158" i="4"/>
  <c r="B158" i="4"/>
  <c r="A158" i="4"/>
  <c r="E157" i="4"/>
  <c r="D157" i="4"/>
  <c r="C157" i="4"/>
  <c r="B157" i="4"/>
  <c r="A157" i="4"/>
  <c r="E156" i="4"/>
  <c r="D156" i="4"/>
  <c r="C156" i="4"/>
  <c r="B156" i="4"/>
  <c r="A156" i="4"/>
  <c r="E155" i="4"/>
  <c r="D155" i="4"/>
  <c r="C155" i="4"/>
  <c r="B155" i="4"/>
  <c r="A155" i="4"/>
  <c r="E154" i="4"/>
  <c r="D154" i="4"/>
  <c r="C154" i="4"/>
  <c r="B154" i="4"/>
  <c r="A154" i="4"/>
  <c r="E153" i="4"/>
  <c r="D153" i="4"/>
  <c r="B153" i="4"/>
  <c r="A153" i="4"/>
  <c r="E152" i="4"/>
  <c r="D152" i="4"/>
  <c r="B152" i="4"/>
  <c r="A152" i="4"/>
  <c r="E151" i="4"/>
  <c r="D151" i="4"/>
  <c r="C151" i="4"/>
  <c r="B151" i="4"/>
  <c r="A151" i="4"/>
  <c r="E150" i="4"/>
  <c r="D150" i="4"/>
  <c r="C150" i="4"/>
  <c r="B150" i="4"/>
  <c r="A150" i="4"/>
  <c r="E149" i="4"/>
  <c r="C149" i="4"/>
  <c r="B149" i="4"/>
  <c r="A149" i="4"/>
  <c r="E148" i="4"/>
  <c r="D148" i="4"/>
  <c r="C148" i="4"/>
  <c r="B148" i="4"/>
  <c r="A148" i="4"/>
  <c r="E147" i="4"/>
  <c r="D147" i="4"/>
  <c r="C147" i="4"/>
  <c r="B147" i="4"/>
  <c r="A147" i="4"/>
  <c r="E146" i="4"/>
  <c r="D146" i="4"/>
  <c r="C146" i="4"/>
  <c r="B146" i="4"/>
  <c r="A146" i="4"/>
  <c r="E145" i="4"/>
  <c r="D145" i="4"/>
  <c r="C145" i="4"/>
  <c r="B145" i="4"/>
  <c r="A145" i="4"/>
  <c r="E144" i="4"/>
  <c r="D144" i="4"/>
  <c r="C144" i="4"/>
  <c r="B144" i="4"/>
  <c r="A144" i="4"/>
  <c r="E143" i="4"/>
  <c r="C143" i="4"/>
  <c r="B143" i="4"/>
  <c r="A143" i="4"/>
  <c r="E142" i="4"/>
  <c r="D142" i="4"/>
  <c r="C142" i="4"/>
  <c r="B142" i="4"/>
  <c r="A142" i="4"/>
  <c r="E141" i="4"/>
  <c r="D141" i="4"/>
  <c r="C141" i="4"/>
  <c r="B141" i="4"/>
  <c r="A141" i="4"/>
  <c r="E140" i="4"/>
  <c r="D140" i="4"/>
  <c r="C140" i="4"/>
  <c r="B140" i="4"/>
  <c r="A140" i="4"/>
  <c r="E139" i="4"/>
  <c r="C139" i="4"/>
  <c r="B139" i="4"/>
  <c r="A139" i="4"/>
  <c r="E138" i="4"/>
  <c r="D138" i="4"/>
  <c r="C138" i="4"/>
  <c r="B138" i="4"/>
  <c r="A138" i="4"/>
  <c r="E137" i="4"/>
  <c r="D137" i="4"/>
  <c r="C137" i="4"/>
  <c r="B137" i="4"/>
  <c r="A137" i="4"/>
  <c r="E136" i="4"/>
  <c r="D136" i="4"/>
  <c r="C136" i="4"/>
  <c r="B136" i="4"/>
  <c r="A136" i="4"/>
  <c r="B135" i="4"/>
  <c r="A135" i="4"/>
  <c r="B134" i="4"/>
  <c r="A134" i="4"/>
  <c r="E133" i="4"/>
  <c r="D133" i="4"/>
  <c r="C133" i="4"/>
  <c r="B133" i="4"/>
  <c r="A133" i="4"/>
  <c r="E132" i="4"/>
  <c r="D132" i="4"/>
  <c r="C132" i="4"/>
  <c r="B132" i="4"/>
  <c r="A132" i="4"/>
  <c r="E131" i="4"/>
  <c r="D131" i="4"/>
  <c r="C131" i="4"/>
  <c r="B131" i="4"/>
  <c r="A131" i="4"/>
  <c r="E130" i="4"/>
  <c r="D130" i="4"/>
  <c r="C130" i="4"/>
  <c r="B130" i="4"/>
  <c r="A130" i="4"/>
  <c r="E129" i="4"/>
  <c r="D129" i="4"/>
  <c r="C129" i="4"/>
  <c r="B129" i="4"/>
  <c r="A129" i="4"/>
  <c r="E128" i="4"/>
  <c r="D128" i="4"/>
  <c r="C128" i="4"/>
  <c r="B128" i="4"/>
  <c r="A128" i="4"/>
  <c r="E127" i="4"/>
  <c r="D127" i="4"/>
  <c r="C127" i="4"/>
  <c r="B127" i="4"/>
  <c r="A127" i="4"/>
  <c r="E126" i="4"/>
  <c r="D126" i="4"/>
  <c r="C126" i="4"/>
  <c r="B126" i="4"/>
  <c r="A126" i="4"/>
  <c r="E125" i="4"/>
  <c r="D125" i="4"/>
  <c r="C125" i="4"/>
  <c r="B125" i="4"/>
  <c r="A125" i="4"/>
  <c r="F124" i="4"/>
  <c r="E124" i="4"/>
  <c r="D124" i="4"/>
  <c r="C124" i="4"/>
  <c r="B124" i="4"/>
  <c r="A124" i="4"/>
  <c r="E123" i="4"/>
  <c r="D123" i="4"/>
  <c r="C123" i="4"/>
  <c r="B123" i="4"/>
  <c r="A123" i="4"/>
  <c r="E122" i="4"/>
  <c r="D122" i="4"/>
  <c r="C122" i="4"/>
  <c r="B122" i="4"/>
  <c r="A122" i="4"/>
  <c r="E121" i="4"/>
  <c r="D121" i="4"/>
  <c r="C121" i="4"/>
  <c r="B121" i="4"/>
  <c r="A121" i="4"/>
  <c r="E120" i="4"/>
  <c r="D120" i="4"/>
  <c r="C120" i="4"/>
  <c r="B120" i="4"/>
  <c r="A120" i="4"/>
  <c r="E119" i="4"/>
  <c r="D119" i="4"/>
  <c r="C119" i="4"/>
  <c r="B119" i="4"/>
  <c r="A119" i="4"/>
  <c r="E118" i="4"/>
  <c r="D118" i="4"/>
  <c r="C118" i="4"/>
  <c r="B118" i="4"/>
  <c r="A118" i="4"/>
  <c r="E117" i="4"/>
  <c r="D117" i="4"/>
  <c r="C117" i="4"/>
  <c r="B117" i="4"/>
  <c r="A117" i="4"/>
  <c r="E116" i="4"/>
  <c r="D116" i="4"/>
  <c r="C116" i="4"/>
  <c r="B116" i="4"/>
  <c r="A116" i="4"/>
  <c r="E115" i="4"/>
  <c r="D115" i="4"/>
  <c r="C115" i="4"/>
  <c r="B115" i="4"/>
  <c r="A115" i="4"/>
  <c r="E114" i="4"/>
  <c r="D114" i="4"/>
  <c r="C114" i="4"/>
  <c r="B114" i="4"/>
  <c r="A114" i="4"/>
  <c r="E113" i="4"/>
  <c r="D113" i="4"/>
  <c r="C113" i="4"/>
  <c r="B113" i="4"/>
  <c r="A113" i="4"/>
  <c r="E112" i="4"/>
  <c r="D112" i="4"/>
  <c r="C112" i="4"/>
  <c r="B112" i="4"/>
  <c r="A112" i="4"/>
  <c r="E111" i="4"/>
  <c r="D111" i="4"/>
  <c r="C111" i="4"/>
  <c r="B111" i="4"/>
  <c r="A111" i="4"/>
  <c r="E110" i="4"/>
  <c r="D110" i="4"/>
  <c r="C110" i="4"/>
  <c r="B110" i="4"/>
  <c r="A110" i="4"/>
  <c r="E109" i="4"/>
  <c r="D109" i="4"/>
  <c r="C109" i="4"/>
  <c r="B109" i="4"/>
  <c r="A109" i="4"/>
  <c r="E108" i="4"/>
  <c r="D108" i="4"/>
  <c r="B108" i="4"/>
  <c r="A108" i="4"/>
  <c r="E107" i="4"/>
  <c r="D107" i="4"/>
  <c r="B107" i="4"/>
  <c r="A107" i="4"/>
  <c r="E106" i="4"/>
  <c r="D106" i="4"/>
  <c r="C106" i="4"/>
  <c r="B106" i="4"/>
  <c r="A106" i="4"/>
  <c r="E105" i="4"/>
  <c r="D105" i="4"/>
  <c r="C105" i="4"/>
  <c r="B105" i="4"/>
  <c r="A105" i="4"/>
  <c r="E104" i="4"/>
  <c r="D104" i="4"/>
  <c r="C104" i="4"/>
  <c r="B104" i="4"/>
  <c r="A104" i="4"/>
  <c r="E103" i="4"/>
  <c r="D103" i="4"/>
  <c r="C103" i="4"/>
  <c r="B103" i="4"/>
  <c r="A103" i="4"/>
  <c r="E102" i="4"/>
  <c r="D102" i="4"/>
  <c r="C102" i="4"/>
  <c r="B102" i="4"/>
  <c r="A102" i="4"/>
  <c r="E101" i="4"/>
  <c r="D101" i="4"/>
  <c r="C101" i="4"/>
  <c r="B101" i="4"/>
  <c r="A101" i="4"/>
  <c r="E100" i="4"/>
  <c r="D100" i="4"/>
  <c r="C100" i="4"/>
  <c r="B100" i="4"/>
  <c r="A100" i="4"/>
  <c r="E99" i="4"/>
  <c r="D99" i="4"/>
  <c r="C99" i="4"/>
  <c r="B99" i="4"/>
  <c r="A99" i="4"/>
  <c r="E98" i="4"/>
  <c r="D98" i="4"/>
  <c r="C98" i="4"/>
  <c r="B98" i="4"/>
  <c r="A98" i="4"/>
  <c r="E97" i="4"/>
  <c r="D97" i="4"/>
  <c r="C97" i="4"/>
  <c r="B97" i="4"/>
  <c r="A97" i="4"/>
  <c r="E96" i="4"/>
  <c r="D96" i="4"/>
  <c r="C96" i="4"/>
  <c r="B96" i="4"/>
  <c r="A96" i="4"/>
  <c r="E95" i="4"/>
  <c r="D95" i="4"/>
  <c r="C95" i="4"/>
  <c r="B95" i="4"/>
  <c r="A95" i="4"/>
  <c r="E94" i="4"/>
  <c r="C94" i="4"/>
  <c r="B94" i="4"/>
  <c r="A94" i="4"/>
  <c r="E93" i="4"/>
  <c r="D93" i="4"/>
  <c r="C93" i="4"/>
  <c r="B93" i="4"/>
  <c r="A93" i="4"/>
  <c r="E92" i="4"/>
  <c r="D92" i="4"/>
  <c r="C92" i="4"/>
  <c r="B92" i="4"/>
  <c r="A92" i="4"/>
  <c r="E91" i="4"/>
  <c r="D91" i="4"/>
  <c r="C91" i="4"/>
  <c r="B91" i="4"/>
  <c r="A91" i="4"/>
  <c r="E90" i="4"/>
  <c r="D90" i="4"/>
  <c r="C90" i="4"/>
  <c r="B90" i="4"/>
  <c r="A90" i="4"/>
  <c r="E89" i="4"/>
  <c r="D89" i="4"/>
  <c r="C89" i="4"/>
  <c r="B89" i="4"/>
  <c r="A89" i="4"/>
  <c r="E88" i="4"/>
  <c r="D88" i="4"/>
  <c r="B88" i="4"/>
  <c r="A88" i="4"/>
  <c r="E87" i="4"/>
  <c r="D87" i="4"/>
  <c r="C87" i="4"/>
  <c r="B87" i="4"/>
  <c r="A87" i="4"/>
  <c r="E86" i="4"/>
  <c r="D86" i="4"/>
  <c r="C86" i="4"/>
  <c r="B86" i="4"/>
  <c r="A86" i="4"/>
  <c r="E85" i="4"/>
  <c r="D85" i="4"/>
  <c r="C85" i="4"/>
  <c r="B85" i="4"/>
  <c r="A85" i="4"/>
  <c r="E84" i="4"/>
  <c r="D84" i="4"/>
  <c r="C84" i="4"/>
  <c r="B84" i="4"/>
  <c r="A84" i="4"/>
  <c r="D83" i="4"/>
  <c r="B83" i="4"/>
  <c r="A83" i="4"/>
  <c r="D82" i="4"/>
  <c r="B82" i="4"/>
  <c r="A82" i="4"/>
  <c r="E81" i="4"/>
  <c r="B81" i="4"/>
  <c r="A81" i="4"/>
  <c r="E80" i="4"/>
  <c r="D80" i="4"/>
  <c r="C80" i="4"/>
  <c r="B80" i="4"/>
  <c r="A80" i="4"/>
  <c r="E79" i="4"/>
  <c r="D79" i="4"/>
  <c r="C79" i="4"/>
  <c r="B79" i="4"/>
  <c r="A79" i="4"/>
  <c r="E78" i="4"/>
  <c r="D78" i="4"/>
  <c r="B78" i="4"/>
  <c r="A78" i="4"/>
  <c r="E77" i="4"/>
  <c r="D77" i="4"/>
  <c r="B77" i="4"/>
  <c r="A77" i="4"/>
  <c r="F76" i="4"/>
  <c r="E76" i="4"/>
  <c r="D76" i="4"/>
  <c r="C76" i="4"/>
  <c r="B76" i="4"/>
  <c r="A76" i="4"/>
  <c r="D75" i="4"/>
  <c r="B75" i="4"/>
  <c r="A75" i="4"/>
  <c r="D74" i="4"/>
  <c r="B74" i="4"/>
  <c r="A74" i="4"/>
  <c r="D73" i="4"/>
  <c r="B73" i="4"/>
  <c r="A73" i="4"/>
  <c r="D72" i="4"/>
  <c r="B72" i="4"/>
  <c r="A72" i="4"/>
  <c r="E71" i="4"/>
  <c r="D71" i="4"/>
  <c r="C71" i="4"/>
  <c r="B71" i="4"/>
  <c r="A71" i="4"/>
  <c r="E70" i="4"/>
  <c r="D70" i="4"/>
  <c r="C70" i="4"/>
  <c r="B70" i="4"/>
  <c r="A70" i="4"/>
  <c r="E69" i="4"/>
  <c r="D69" i="4"/>
  <c r="C69" i="4"/>
  <c r="B69" i="4"/>
  <c r="A69" i="4"/>
  <c r="E68" i="4"/>
  <c r="D68" i="4"/>
  <c r="C68" i="4"/>
  <c r="B68" i="4"/>
  <c r="A68" i="4"/>
  <c r="E67" i="4"/>
  <c r="D67" i="4"/>
  <c r="C67" i="4"/>
  <c r="B67" i="4"/>
  <c r="A67" i="4"/>
  <c r="E66" i="4"/>
  <c r="D66" i="4"/>
  <c r="C66" i="4"/>
  <c r="B66" i="4"/>
  <c r="A66" i="4"/>
  <c r="E65" i="4"/>
  <c r="D65" i="4"/>
  <c r="C65" i="4"/>
  <c r="B65" i="4"/>
  <c r="A65" i="4"/>
  <c r="E64" i="4"/>
  <c r="C64" i="4"/>
  <c r="B64" i="4"/>
  <c r="A64" i="4"/>
  <c r="F63" i="4"/>
  <c r="E63" i="4"/>
  <c r="D63" i="4"/>
  <c r="C63" i="4"/>
  <c r="B63" i="4"/>
  <c r="A63" i="4"/>
  <c r="F62" i="4"/>
  <c r="E62" i="4"/>
  <c r="D62" i="4"/>
  <c r="C62" i="4"/>
  <c r="B62" i="4"/>
  <c r="A62" i="4"/>
  <c r="F61" i="4"/>
  <c r="E61" i="4"/>
  <c r="D61" i="4"/>
  <c r="C61" i="4"/>
  <c r="B61" i="4"/>
  <c r="A61" i="4"/>
  <c r="E60" i="4"/>
  <c r="D60" i="4"/>
  <c r="C60" i="4"/>
  <c r="B60" i="4"/>
  <c r="A60" i="4"/>
  <c r="F59" i="4"/>
  <c r="E59" i="4"/>
  <c r="D59" i="4"/>
  <c r="C59" i="4"/>
  <c r="B59" i="4"/>
  <c r="A59" i="4"/>
  <c r="F58" i="4"/>
  <c r="E58" i="4"/>
  <c r="D58" i="4"/>
  <c r="C58" i="4"/>
  <c r="B58" i="4"/>
  <c r="A58" i="4"/>
  <c r="E57" i="4"/>
  <c r="D57" i="4"/>
  <c r="C57" i="4"/>
  <c r="B57" i="4"/>
  <c r="A57" i="4"/>
  <c r="E56" i="4"/>
  <c r="D56" i="4"/>
  <c r="C56" i="4"/>
  <c r="B56" i="4"/>
  <c r="A56" i="4"/>
  <c r="E55" i="4"/>
  <c r="D55" i="4"/>
  <c r="C55" i="4"/>
  <c r="B55" i="4"/>
  <c r="A55" i="4"/>
  <c r="E54" i="4"/>
  <c r="D54" i="4"/>
  <c r="C54" i="4"/>
  <c r="B54" i="4"/>
  <c r="A54" i="4"/>
  <c r="E53" i="4"/>
  <c r="D53" i="4"/>
  <c r="C53" i="4"/>
  <c r="B53" i="4"/>
  <c r="A53" i="4"/>
  <c r="E52" i="4"/>
  <c r="D52" i="4"/>
  <c r="C52" i="4"/>
  <c r="B52" i="4"/>
  <c r="A52" i="4"/>
  <c r="E51" i="4"/>
  <c r="D51" i="4"/>
  <c r="C51" i="4"/>
  <c r="B51" i="4"/>
  <c r="A51" i="4"/>
  <c r="E50" i="4"/>
  <c r="D50" i="4"/>
  <c r="C50" i="4"/>
  <c r="B50" i="4"/>
  <c r="A50" i="4"/>
  <c r="E49" i="4"/>
  <c r="D49" i="4"/>
  <c r="B49" i="4"/>
  <c r="A49" i="4"/>
  <c r="E48" i="4"/>
  <c r="D48" i="4"/>
  <c r="C48" i="4"/>
  <c r="B48" i="4"/>
  <c r="A48" i="4"/>
  <c r="E47" i="4"/>
  <c r="D47" i="4"/>
  <c r="C47" i="4"/>
  <c r="B47" i="4"/>
  <c r="A47" i="4"/>
  <c r="B46" i="4"/>
  <c r="A46" i="4"/>
  <c r="E45" i="4"/>
  <c r="D45" i="4"/>
  <c r="C45" i="4"/>
  <c r="B45" i="4"/>
  <c r="A45" i="4"/>
  <c r="E44" i="4"/>
  <c r="D44" i="4"/>
  <c r="C44" i="4"/>
  <c r="B44" i="4"/>
  <c r="A44" i="4"/>
  <c r="E43" i="4"/>
  <c r="D43" i="4"/>
  <c r="C43" i="4"/>
  <c r="B43" i="4"/>
  <c r="A43" i="4"/>
  <c r="E42" i="4"/>
  <c r="D42" i="4"/>
  <c r="C42" i="4"/>
  <c r="B42" i="4"/>
  <c r="A42" i="4"/>
  <c r="E41" i="4"/>
  <c r="D41" i="4"/>
  <c r="C41" i="4"/>
  <c r="B41" i="4"/>
  <c r="A41" i="4"/>
  <c r="E40" i="4"/>
  <c r="D40" i="4"/>
  <c r="C40" i="4"/>
  <c r="B40" i="4"/>
  <c r="A40" i="4"/>
  <c r="E39" i="4"/>
  <c r="D39" i="4"/>
  <c r="C39" i="4"/>
  <c r="B39" i="4"/>
  <c r="A39" i="4"/>
  <c r="E38" i="4"/>
  <c r="D38" i="4"/>
  <c r="C38" i="4"/>
  <c r="B38" i="4"/>
  <c r="A38" i="4"/>
  <c r="E37" i="4"/>
  <c r="D37" i="4"/>
  <c r="C37" i="4"/>
  <c r="B37" i="4"/>
  <c r="A37" i="4"/>
  <c r="D36" i="4"/>
  <c r="B36" i="4"/>
  <c r="A36" i="4"/>
  <c r="D35" i="4"/>
  <c r="B35" i="4"/>
  <c r="A35" i="4"/>
  <c r="D34" i="4"/>
  <c r="B34" i="4"/>
  <c r="A34" i="4"/>
  <c r="D33" i="4"/>
  <c r="B33" i="4"/>
  <c r="A33" i="4"/>
  <c r="E32" i="4"/>
  <c r="D32" i="4"/>
  <c r="C32" i="4"/>
  <c r="B32" i="4"/>
  <c r="A32" i="4"/>
  <c r="E31" i="4"/>
  <c r="D31" i="4"/>
  <c r="C31" i="4"/>
  <c r="B31" i="4"/>
  <c r="A31" i="4"/>
  <c r="E30" i="4"/>
  <c r="D30" i="4"/>
  <c r="B30" i="4"/>
  <c r="A30" i="4"/>
  <c r="E29" i="4"/>
  <c r="D29" i="4"/>
  <c r="B29" i="4"/>
  <c r="A29" i="4"/>
  <c r="E28" i="4"/>
  <c r="D28" i="4"/>
  <c r="B28" i="4"/>
  <c r="A28" i="4"/>
  <c r="E27" i="4"/>
  <c r="D27" i="4"/>
  <c r="B27" i="4"/>
  <c r="A27" i="4"/>
  <c r="E26" i="4"/>
  <c r="D26" i="4"/>
  <c r="B26" i="4"/>
  <c r="A26" i="4"/>
  <c r="E25" i="4"/>
  <c r="D25" i="4"/>
  <c r="C25" i="4"/>
  <c r="B25" i="4"/>
  <c r="A25" i="4"/>
  <c r="E24" i="4"/>
  <c r="D24" i="4"/>
  <c r="C24" i="4"/>
  <c r="B24" i="4"/>
  <c r="A24" i="4"/>
  <c r="E23" i="4"/>
  <c r="D23" i="4"/>
  <c r="C23" i="4"/>
  <c r="B23" i="4"/>
  <c r="A23" i="4"/>
  <c r="E22" i="4"/>
  <c r="D22" i="4"/>
  <c r="C22" i="4"/>
  <c r="B22" i="4"/>
  <c r="A22" i="4"/>
  <c r="E21" i="4"/>
  <c r="D21" i="4"/>
  <c r="C21" i="4"/>
  <c r="B21" i="4"/>
  <c r="A21" i="4"/>
  <c r="E20" i="4"/>
  <c r="D20" i="4"/>
  <c r="B20" i="4"/>
  <c r="A20" i="4"/>
  <c r="E19" i="4"/>
  <c r="D19" i="4"/>
  <c r="B19" i="4"/>
  <c r="A19" i="4"/>
  <c r="E18" i="4"/>
  <c r="D18" i="4"/>
  <c r="C18" i="4"/>
  <c r="B18" i="4"/>
  <c r="A18" i="4"/>
  <c r="E17" i="4"/>
  <c r="D17" i="4"/>
  <c r="C17" i="4"/>
  <c r="B17" i="4"/>
  <c r="A17" i="4"/>
  <c r="E16" i="4"/>
  <c r="C16" i="4"/>
  <c r="B16" i="4"/>
  <c r="A16" i="4"/>
  <c r="E15" i="4"/>
  <c r="D15" i="4"/>
  <c r="B15" i="4"/>
  <c r="A15" i="4"/>
  <c r="E14" i="4"/>
  <c r="D14" i="4"/>
  <c r="C14" i="4"/>
  <c r="B14" i="4"/>
  <c r="A14" i="4"/>
  <c r="E13" i="4"/>
  <c r="D13" i="4"/>
  <c r="C13" i="4"/>
  <c r="B13" i="4"/>
  <c r="A13" i="4"/>
  <c r="E12" i="4"/>
  <c r="D12" i="4"/>
  <c r="C12" i="4"/>
  <c r="B12" i="4"/>
  <c r="A12" i="4"/>
  <c r="E11" i="4"/>
  <c r="D11" i="4"/>
  <c r="C11" i="4"/>
  <c r="B11" i="4"/>
  <c r="A11" i="4"/>
  <c r="E10" i="4"/>
  <c r="D10" i="4"/>
  <c r="C10" i="4"/>
  <c r="B10" i="4"/>
  <c r="A10" i="4"/>
  <c r="E9" i="4"/>
  <c r="C9" i="4"/>
  <c r="B9" i="4"/>
  <c r="A9" i="4"/>
  <c r="E8" i="4"/>
  <c r="C8" i="4"/>
  <c r="B8" i="4"/>
  <c r="A8" i="4"/>
  <c r="E7" i="4"/>
  <c r="D7" i="4"/>
  <c r="C7" i="4"/>
  <c r="B7" i="4"/>
  <c r="A7" i="4"/>
  <c r="E6" i="4"/>
  <c r="D6" i="4"/>
  <c r="C6" i="4"/>
  <c r="B6" i="4"/>
  <c r="A6" i="4"/>
  <c r="E5" i="4"/>
  <c r="D5" i="4"/>
  <c r="C5" i="4"/>
  <c r="B5" i="4"/>
  <c r="A5" i="4"/>
  <c r="E4" i="4"/>
  <c r="D4" i="4"/>
  <c r="B4" i="4"/>
  <c r="A4" i="4"/>
  <c r="E3" i="4"/>
  <c r="D3" i="4"/>
  <c r="C3" i="4"/>
  <c r="B3" i="4"/>
  <c r="A3" i="4"/>
  <c r="E2" i="4"/>
  <c r="D2" i="4"/>
  <c r="C2" i="4"/>
  <c r="B2" i="4"/>
  <c r="A2" i="4"/>
  <c r="F1" i="4"/>
  <c r="E1" i="4"/>
  <c r="D1" i="4"/>
  <c r="C1" i="4"/>
  <c r="B1" i="4"/>
  <c r="A1" i="4"/>
  <c r="H1518" i="3"/>
  <c r="G1518" i="3"/>
  <c r="F1518" i="3"/>
  <c r="E1518" i="3"/>
  <c r="A1518" i="3"/>
  <c r="H1517" i="3"/>
  <c r="G1517" i="3"/>
  <c r="F1517" i="3"/>
  <c r="E1517" i="3"/>
  <c r="D1517" i="3"/>
  <c r="C1517" i="3"/>
  <c r="B1517" i="3"/>
  <c r="A1517" i="3"/>
  <c r="H1516" i="3"/>
  <c r="G1516" i="3"/>
  <c r="F1516" i="3"/>
  <c r="E1516" i="3"/>
  <c r="C1516" i="3"/>
  <c r="B1516" i="3"/>
  <c r="A1516" i="3"/>
  <c r="H1515" i="3"/>
  <c r="G1515" i="3"/>
  <c r="F1515" i="3"/>
  <c r="E1515" i="3"/>
  <c r="D1515" i="3"/>
  <c r="C1515" i="3"/>
  <c r="B1515" i="3"/>
  <c r="A1515" i="3"/>
  <c r="H1514" i="3"/>
  <c r="G1514" i="3"/>
  <c r="F1514" i="3"/>
  <c r="E1514" i="3"/>
  <c r="C1514" i="3"/>
  <c r="A1514" i="3"/>
  <c r="H1513" i="3"/>
  <c r="G1513" i="3"/>
  <c r="F1513" i="3"/>
  <c r="E1513" i="3"/>
  <c r="D1513" i="3"/>
  <c r="C1513" i="3"/>
  <c r="B1513" i="3"/>
  <c r="A1513" i="3"/>
  <c r="H1512" i="3"/>
  <c r="G1512" i="3"/>
  <c r="F1512" i="3"/>
  <c r="E1512" i="3"/>
  <c r="D1512" i="3"/>
  <c r="C1512" i="3"/>
  <c r="B1512" i="3"/>
  <c r="A1512" i="3"/>
  <c r="H1511" i="3"/>
  <c r="G1511" i="3"/>
  <c r="F1511" i="3"/>
  <c r="E1511" i="3"/>
  <c r="D1511" i="3"/>
  <c r="C1511" i="3"/>
  <c r="B1511" i="3"/>
  <c r="A1511" i="3"/>
  <c r="H1510" i="3"/>
  <c r="G1510" i="3"/>
  <c r="F1510" i="3"/>
  <c r="E1510" i="3"/>
  <c r="C1510" i="3"/>
  <c r="B1510" i="3"/>
  <c r="A1510" i="3"/>
  <c r="H1509" i="3"/>
  <c r="G1509" i="3"/>
  <c r="F1509" i="3"/>
  <c r="E1509" i="3"/>
  <c r="A1509" i="3"/>
  <c r="H1508" i="3"/>
  <c r="G1508" i="3"/>
  <c r="F1508" i="3"/>
  <c r="E1508" i="3"/>
  <c r="A1508" i="3"/>
  <c r="H1507" i="3"/>
  <c r="G1507" i="3"/>
  <c r="F1507" i="3"/>
  <c r="E1507" i="3"/>
  <c r="A1507" i="3"/>
  <c r="H1506" i="3"/>
  <c r="G1506" i="3"/>
  <c r="F1506" i="3"/>
  <c r="E1506" i="3"/>
  <c r="C1506" i="3"/>
  <c r="B1506" i="3"/>
  <c r="A1506" i="3"/>
  <c r="H1505" i="3"/>
  <c r="G1505" i="3"/>
  <c r="F1505" i="3"/>
  <c r="E1505" i="3"/>
  <c r="D1505" i="3"/>
  <c r="C1505" i="3"/>
  <c r="B1505" i="3"/>
  <c r="A1505" i="3"/>
  <c r="H1504" i="3"/>
  <c r="G1504" i="3"/>
  <c r="F1504" i="3"/>
  <c r="E1504" i="3"/>
  <c r="D1504" i="3"/>
  <c r="C1504" i="3"/>
  <c r="B1504" i="3"/>
  <c r="A1504" i="3"/>
  <c r="H1503" i="3"/>
  <c r="G1503" i="3"/>
  <c r="F1503" i="3"/>
  <c r="E1503" i="3"/>
  <c r="B1503" i="3"/>
  <c r="A1503" i="3"/>
  <c r="H1502" i="3"/>
  <c r="G1502" i="3"/>
  <c r="F1502" i="3"/>
  <c r="E1502" i="3"/>
  <c r="C1502" i="3"/>
  <c r="B1502" i="3"/>
  <c r="A1502" i="3"/>
  <c r="H1501" i="3"/>
  <c r="G1501" i="3"/>
  <c r="F1501" i="3"/>
  <c r="E1501" i="3"/>
  <c r="D1501" i="3"/>
  <c r="C1501" i="3"/>
  <c r="B1501" i="3"/>
  <c r="A1501" i="3"/>
  <c r="H1500" i="3"/>
  <c r="G1500" i="3"/>
  <c r="F1500" i="3"/>
  <c r="E1500" i="3"/>
  <c r="D1500" i="3"/>
  <c r="C1500" i="3"/>
  <c r="B1500" i="3"/>
  <c r="A1500" i="3"/>
  <c r="H1499" i="3"/>
  <c r="G1499" i="3"/>
  <c r="F1499" i="3"/>
  <c r="E1499" i="3"/>
  <c r="B1499" i="3"/>
  <c r="A1499" i="3"/>
  <c r="H1498" i="3"/>
  <c r="G1498" i="3"/>
  <c r="F1498" i="3"/>
  <c r="E1498" i="3"/>
  <c r="C1498" i="3"/>
  <c r="B1498" i="3"/>
  <c r="A1498" i="3"/>
  <c r="H1497" i="3"/>
  <c r="G1497" i="3"/>
  <c r="F1497" i="3"/>
  <c r="E1497" i="3"/>
  <c r="C1497" i="3"/>
  <c r="B1497" i="3"/>
  <c r="A1497" i="3"/>
  <c r="H1496" i="3"/>
  <c r="G1496" i="3"/>
  <c r="F1496" i="3"/>
  <c r="E1496" i="3"/>
  <c r="D1496" i="3"/>
  <c r="C1496" i="3"/>
  <c r="B1496" i="3"/>
  <c r="A1496" i="3"/>
  <c r="H1495" i="3"/>
  <c r="G1495" i="3"/>
  <c r="F1495" i="3"/>
  <c r="E1495" i="3"/>
  <c r="C1495" i="3"/>
  <c r="B1495" i="3"/>
  <c r="A1495" i="3"/>
  <c r="H1494" i="3"/>
  <c r="G1494" i="3"/>
  <c r="F1494" i="3"/>
  <c r="E1494" i="3"/>
  <c r="D1494" i="3"/>
  <c r="C1494" i="3"/>
  <c r="B1494" i="3"/>
  <c r="A1494" i="3"/>
  <c r="H1493" i="3"/>
  <c r="G1493" i="3"/>
  <c r="F1493" i="3"/>
  <c r="E1493" i="3"/>
  <c r="C1493" i="3"/>
  <c r="B1493" i="3"/>
  <c r="A1493" i="3"/>
  <c r="H1492" i="3"/>
  <c r="G1492" i="3"/>
  <c r="F1492" i="3"/>
  <c r="E1492" i="3"/>
  <c r="D1492" i="3"/>
  <c r="C1492" i="3"/>
  <c r="B1492" i="3"/>
  <c r="A1492" i="3"/>
  <c r="H1491" i="3"/>
  <c r="G1491" i="3"/>
  <c r="F1491" i="3"/>
  <c r="E1491" i="3"/>
  <c r="D1491" i="3"/>
  <c r="C1491" i="3"/>
  <c r="B1491" i="3"/>
  <c r="A1491" i="3"/>
  <c r="H1490" i="3"/>
  <c r="G1490" i="3"/>
  <c r="F1490" i="3"/>
  <c r="E1490" i="3"/>
  <c r="C1490" i="3"/>
  <c r="B1490" i="3"/>
  <c r="A1490" i="3"/>
  <c r="H1489" i="3"/>
  <c r="G1489" i="3"/>
  <c r="F1489" i="3"/>
  <c r="E1489" i="3"/>
  <c r="B1489" i="3"/>
  <c r="A1489" i="3"/>
  <c r="H1488" i="3"/>
  <c r="G1488" i="3"/>
  <c r="F1488" i="3"/>
  <c r="E1488" i="3"/>
  <c r="D1488" i="3"/>
  <c r="C1488" i="3"/>
  <c r="B1488" i="3"/>
  <c r="A1488" i="3"/>
  <c r="H1487" i="3"/>
  <c r="G1487" i="3"/>
  <c r="F1487" i="3"/>
  <c r="E1487" i="3"/>
  <c r="D1487" i="3"/>
  <c r="C1487" i="3"/>
  <c r="B1487" i="3"/>
  <c r="A1487" i="3"/>
  <c r="H1486" i="3"/>
  <c r="G1486" i="3"/>
  <c r="F1486" i="3"/>
  <c r="E1486" i="3"/>
  <c r="D1486" i="3"/>
  <c r="C1486" i="3"/>
  <c r="B1486" i="3"/>
  <c r="A1486" i="3"/>
  <c r="H1485" i="3"/>
  <c r="G1485" i="3"/>
  <c r="F1485" i="3"/>
  <c r="E1485" i="3"/>
  <c r="C1485" i="3"/>
  <c r="B1485" i="3"/>
  <c r="A1485" i="3"/>
  <c r="H1484" i="3"/>
  <c r="G1484" i="3"/>
  <c r="F1484" i="3"/>
  <c r="E1484" i="3"/>
  <c r="C1484" i="3"/>
  <c r="A1484" i="3"/>
  <c r="H1483" i="3"/>
  <c r="G1483" i="3"/>
  <c r="F1483" i="3"/>
  <c r="E1483" i="3"/>
  <c r="A1483" i="3"/>
  <c r="H1482" i="3"/>
  <c r="G1482" i="3"/>
  <c r="F1482" i="3"/>
  <c r="E1482" i="3"/>
  <c r="D1482" i="3"/>
  <c r="C1482" i="3"/>
  <c r="B1482" i="3"/>
  <c r="A1482" i="3"/>
  <c r="H1481" i="3"/>
  <c r="G1481" i="3"/>
  <c r="F1481" i="3"/>
  <c r="E1481" i="3"/>
  <c r="D1481" i="3"/>
  <c r="C1481" i="3"/>
  <c r="A1481" i="3"/>
  <c r="H1480" i="3"/>
  <c r="G1480" i="3"/>
  <c r="F1480" i="3"/>
  <c r="E1480" i="3"/>
  <c r="D1480" i="3"/>
  <c r="C1480" i="3"/>
  <c r="B1480" i="3"/>
  <c r="A1480" i="3"/>
  <c r="H1479" i="3"/>
  <c r="G1479" i="3"/>
  <c r="F1479" i="3"/>
  <c r="E1479" i="3"/>
  <c r="A1479" i="3"/>
  <c r="H1478" i="3"/>
  <c r="G1478" i="3"/>
  <c r="F1478" i="3"/>
  <c r="E1478" i="3"/>
  <c r="B1478" i="3"/>
  <c r="A1478" i="3"/>
  <c r="H1477" i="3"/>
  <c r="G1477" i="3"/>
  <c r="F1477" i="3"/>
  <c r="E1477" i="3"/>
  <c r="C1477" i="3"/>
  <c r="B1477" i="3"/>
  <c r="A1477" i="3"/>
  <c r="H1476" i="3"/>
  <c r="G1476" i="3"/>
  <c r="F1476" i="3"/>
  <c r="E1476" i="3"/>
  <c r="C1476" i="3"/>
  <c r="B1476" i="3"/>
  <c r="A1476" i="3"/>
  <c r="H1475" i="3"/>
  <c r="G1475" i="3"/>
  <c r="F1475" i="3"/>
  <c r="E1475" i="3"/>
  <c r="D1475" i="3"/>
  <c r="C1475" i="3"/>
  <c r="B1475" i="3"/>
  <c r="A1475" i="3"/>
  <c r="H1474" i="3"/>
  <c r="G1474" i="3"/>
  <c r="F1474" i="3"/>
  <c r="E1474" i="3"/>
  <c r="D1474" i="3"/>
  <c r="C1474" i="3"/>
  <c r="B1474" i="3"/>
  <c r="A1474" i="3"/>
  <c r="H1473" i="3"/>
  <c r="G1473" i="3"/>
  <c r="F1473" i="3"/>
  <c r="E1473" i="3"/>
  <c r="A1473" i="3"/>
  <c r="H1472" i="3"/>
  <c r="G1472" i="3"/>
  <c r="F1472" i="3"/>
  <c r="E1472" i="3"/>
  <c r="D1472" i="3"/>
  <c r="C1472" i="3"/>
  <c r="B1472" i="3"/>
  <c r="A1472" i="3"/>
  <c r="H1471" i="3"/>
  <c r="G1471" i="3"/>
  <c r="F1471" i="3"/>
  <c r="E1471" i="3"/>
  <c r="B1471" i="3"/>
  <c r="A1471" i="3"/>
  <c r="H1470" i="3"/>
  <c r="G1470" i="3"/>
  <c r="F1470" i="3"/>
  <c r="E1470" i="3"/>
  <c r="C1470" i="3"/>
  <c r="B1470" i="3"/>
  <c r="A1470" i="3"/>
  <c r="H1469" i="3"/>
  <c r="G1469" i="3"/>
  <c r="F1469" i="3"/>
  <c r="E1469" i="3"/>
  <c r="C1469" i="3"/>
  <c r="B1469" i="3"/>
  <c r="A1469" i="3"/>
  <c r="H1468" i="3"/>
  <c r="G1468" i="3"/>
  <c r="F1468" i="3"/>
  <c r="E1468" i="3"/>
  <c r="C1468" i="3"/>
  <c r="B1468" i="3"/>
  <c r="A1468" i="3"/>
  <c r="H1467" i="3"/>
  <c r="G1467" i="3"/>
  <c r="F1467" i="3"/>
  <c r="E1467" i="3"/>
  <c r="A1467" i="3"/>
  <c r="H1466" i="3"/>
  <c r="G1466" i="3"/>
  <c r="F1466" i="3"/>
  <c r="E1466" i="3"/>
  <c r="A1466" i="3"/>
  <c r="H1465" i="3"/>
  <c r="G1465" i="3"/>
  <c r="F1465" i="3"/>
  <c r="E1465" i="3"/>
  <c r="D1465" i="3"/>
  <c r="C1465" i="3"/>
  <c r="B1465" i="3"/>
  <c r="A1465" i="3"/>
  <c r="H1464" i="3"/>
  <c r="G1464" i="3"/>
  <c r="F1464" i="3"/>
  <c r="E1464" i="3"/>
  <c r="D1464" i="3"/>
  <c r="C1464" i="3"/>
  <c r="B1464" i="3"/>
  <c r="A1464" i="3"/>
  <c r="H1463" i="3"/>
  <c r="G1463" i="3"/>
  <c r="F1463" i="3"/>
  <c r="E1463" i="3"/>
  <c r="D1463" i="3"/>
  <c r="C1463" i="3"/>
  <c r="B1463" i="3"/>
  <c r="A1463" i="3"/>
  <c r="H1462" i="3"/>
  <c r="G1462" i="3"/>
  <c r="F1462" i="3"/>
  <c r="E1462" i="3"/>
  <c r="A1462" i="3"/>
  <c r="H1461" i="3"/>
  <c r="G1461" i="3"/>
  <c r="F1461" i="3"/>
  <c r="E1461" i="3"/>
  <c r="C1461" i="3"/>
  <c r="B1461" i="3"/>
  <c r="A1461" i="3"/>
  <c r="H1460" i="3"/>
  <c r="G1460" i="3"/>
  <c r="F1460" i="3"/>
  <c r="E1460" i="3"/>
  <c r="B1460" i="3"/>
  <c r="A1460" i="3"/>
  <c r="H1459" i="3"/>
  <c r="G1459" i="3"/>
  <c r="F1459" i="3"/>
  <c r="E1459" i="3"/>
  <c r="C1459" i="3"/>
  <c r="B1459" i="3"/>
  <c r="A1459" i="3"/>
  <c r="H1458" i="3"/>
  <c r="G1458" i="3"/>
  <c r="F1458" i="3"/>
  <c r="E1458" i="3"/>
  <c r="A1458" i="3"/>
  <c r="H1457" i="3"/>
  <c r="G1457" i="3"/>
  <c r="F1457" i="3"/>
  <c r="E1457" i="3"/>
  <c r="D1457" i="3"/>
  <c r="C1457" i="3"/>
  <c r="B1457" i="3"/>
  <c r="A1457" i="3"/>
  <c r="H1456" i="3"/>
  <c r="G1456" i="3"/>
  <c r="F1456" i="3"/>
  <c r="E1456" i="3"/>
  <c r="D1456" i="3"/>
  <c r="C1456" i="3"/>
  <c r="B1456" i="3"/>
  <c r="A1456" i="3"/>
  <c r="H1455" i="3"/>
  <c r="G1455" i="3"/>
  <c r="F1455" i="3"/>
  <c r="E1455" i="3"/>
  <c r="D1455" i="3"/>
  <c r="C1455" i="3"/>
  <c r="B1455" i="3"/>
  <c r="A1455" i="3"/>
  <c r="H1454" i="3"/>
  <c r="G1454" i="3"/>
  <c r="F1454" i="3"/>
  <c r="E1454" i="3"/>
  <c r="A1454" i="3"/>
  <c r="H1453" i="3"/>
  <c r="G1453" i="3"/>
  <c r="F1453" i="3"/>
  <c r="E1453" i="3"/>
  <c r="C1453" i="3"/>
  <c r="A1453" i="3"/>
  <c r="H1452" i="3"/>
  <c r="G1452" i="3"/>
  <c r="F1452" i="3"/>
  <c r="E1452" i="3"/>
  <c r="D1452" i="3"/>
  <c r="C1452" i="3"/>
  <c r="B1452" i="3"/>
  <c r="A1452" i="3"/>
  <c r="H1451" i="3"/>
  <c r="G1451" i="3"/>
  <c r="F1451" i="3"/>
  <c r="E1451" i="3"/>
  <c r="A1451" i="3"/>
  <c r="H1450" i="3"/>
  <c r="G1450" i="3"/>
  <c r="F1450" i="3"/>
  <c r="E1450" i="3"/>
  <c r="A1450" i="3"/>
  <c r="H1449" i="3"/>
  <c r="G1449" i="3"/>
  <c r="F1449" i="3"/>
  <c r="E1449" i="3"/>
  <c r="C1449" i="3"/>
  <c r="B1449" i="3"/>
  <c r="A1449" i="3"/>
  <c r="H1448" i="3"/>
  <c r="G1448" i="3"/>
  <c r="F1448" i="3"/>
  <c r="E1448" i="3"/>
  <c r="C1448" i="3"/>
  <c r="A1448" i="3"/>
  <c r="H1447" i="3"/>
  <c r="G1447" i="3"/>
  <c r="F1447" i="3"/>
  <c r="E1447" i="3"/>
  <c r="C1447" i="3"/>
  <c r="B1447" i="3"/>
  <c r="A1447" i="3"/>
  <c r="H1446" i="3"/>
  <c r="G1446" i="3"/>
  <c r="F1446" i="3"/>
  <c r="E1446" i="3"/>
  <c r="D1446" i="3"/>
  <c r="C1446" i="3"/>
  <c r="B1446" i="3"/>
  <c r="A1446" i="3"/>
  <c r="H1445" i="3"/>
  <c r="G1445" i="3"/>
  <c r="F1445" i="3"/>
  <c r="E1445" i="3"/>
  <c r="C1445" i="3"/>
  <c r="A1445" i="3"/>
  <c r="H1444" i="3"/>
  <c r="G1444" i="3"/>
  <c r="F1444" i="3"/>
  <c r="E1444" i="3"/>
  <c r="D1444" i="3"/>
  <c r="C1444" i="3"/>
  <c r="B1444" i="3"/>
  <c r="A1444" i="3"/>
  <c r="H1443" i="3"/>
  <c r="G1443" i="3"/>
  <c r="F1443" i="3"/>
  <c r="E1443" i="3"/>
  <c r="C1443" i="3"/>
  <c r="B1443" i="3"/>
  <c r="A1443" i="3"/>
  <c r="H1442" i="3"/>
  <c r="G1442" i="3"/>
  <c r="F1442" i="3"/>
  <c r="E1442" i="3"/>
  <c r="D1442" i="3"/>
  <c r="C1442" i="3"/>
  <c r="B1442" i="3"/>
  <c r="A1442" i="3"/>
  <c r="H1441" i="3"/>
  <c r="G1441" i="3"/>
  <c r="F1441" i="3"/>
  <c r="E1441" i="3"/>
  <c r="C1441" i="3"/>
  <c r="A1441" i="3"/>
  <c r="H1440" i="3"/>
  <c r="G1440" i="3"/>
  <c r="F1440" i="3"/>
  <c r="E1440" i="3"/>
  <c r="D1440" i="3"/>
  <c r="C1440" i="3"/>
  <c r="B1440" i="3"/>
  <c r="A1440" i="3"/>
  <c r="H1439" i="3"/>
  <c r="G1439" i="3"/>
  <c r="F1439" i="3"/>
  <c r="E1439" i="3"/>
  <c r="A1439" i="3"/>
  <c r="H1438" i="3"/>
  <c r="G1438" i="3"/>
  <c r="F1438" i="3"/>
  <c r="E1438" i="3"/>
  <c r="B1438" i="3"/>
  <c r="A1438" i="3"/>
  <c r="H1437" i="3"/>
  <c r="G1437" i="3"/>
  <c r="F1437" i="3"/>
  <c r="E1437" i="3"/>
  <c r="C1437" i="3"/>
  <c r="A1437" i="3"/>
  <c r="H1436" i="3"/>
  <c r="G1436" i="3"/>
  <c r="F1436" i="3"/>
  <c r="E1436" i="3"/>
  <c r="C1436" i="3"/>
  <c r="B1436" i="3"/>
  <c r="A1436" i="3"/>
  <c r="H1435" i="3"/>
  <c r="G1435" i="3"/>
  <c r="F1435" i="3"/>
  <c r="E1435" i="3"/>
  <c r="D1435" i="3"/>
  <c r="C1435" i="3"/>
  <c r="B1435" i="3"/>
  <c r="A1435" i="3"/>
  <c r="H1434" i="3"/>
  <c r="G1434" i="3"/>
  <c r="F1434" i="3"/>
  <c r="E1434" i="3"/>
  <c r="C1434" i="3"/>
  <c r="B1434" i="3"/>
  <c r="A1434" i="3"/>
  <c r="H1433" i="3"/>
  <c r="G1433" i="3"/>
  <c r="F1433" i="3"/>
  <c r="E1433" i="3"/>
  <c r="A1433" i="3"/>
  <c r="H1432" i="3"/>
  <c r="G1432" i="3"/>
  <c r="F1432" i="3"/>
  <c r="E1432" i="3"/>
  <c r="C1432" i="3"/>
  <c r="B1432" i="3"/>
  <c r="A1432" i="3"/>
  <c r="H1431" i="3"/>
  <c r="G1431" i="3"/>
  <c r="F1431" i="3"/>
  <c r="E1431" i="3"/>
  <c r="C1431" i="3"/>
  <c r="B1431" i="3"/>
  <c r="A1431" i="3"/>
  <c r="H1430" i="3"/>
  <c r="G1430" i="3"/>
  <c r="F1430" i="3"/>
  <c r="E1430" i="3"/>
  <c r="C1430" i="3"/>
  <c r="B1430" i="3"/>
  <c r="A1430" i="3"/>
  <c r="H1429" i="3"/>
  <c r="G1429" i="3"/>
  <c r="F1429" i="3"/>
  <c r="E1429" i="3"/>
  <c r="C1429" i="3"/>
  <c r="B1429" i="3"/>
  <c r="A1429" i="3"/>
  <c r="H1428" i="3"/>
  <c r="G1428" i="3"/>
  <c r="F1428" i="3"/>
  <c r="E1428" i="3"/>
  <c r="C1428" i="3"/>
  <c r="B1428" i="3"/>
  <c r="A1428" i="3"/>
  <c r="H1427" i="3"/>
  <c r="G1427" i="3"/>
  <c r="F1427" i="3"/>
  <c r="E1427" i="3"/>
  <c r="C1427" i="3"/>
  <c r="A1427" i="3"/>
  <c r="H1426" i="3"/>
  <c r="G1426" i="3"/>
  <c r="F1426" i="3"/>
  <c r="E1426" i="3"/>
  <c r="C1426" i="3"/>
  <c r="A1426" i="3"/>
  <c r="H1425" i="3"/>
  <c r="G1425" i="3"/>
  <c r="F1425" i="3"/>
  <c r="E1425" i="3"/>
  <c r="C1425" i="3"/>
  <c r="A1425" i="3"/>
  <c r="H1424" i="3"/>
  <c r="G1424" i="3"/>
  <c r="F1424" i="3"/>
  <c r="E1424" i="3"/>
  <c r="C1424" i="3"/>
  <c r="B1424" i="3"/>
  <c r="A1424" i="3"/>
  <c r="H1423" i="3"/>
  <c r="G1423" i="3"/>
  <c r="F1423" i="3"/>
  <c r="E1423" i="3"/>
  <c r="C1423" i="3"/>
  <c r="B1423" i="3"/>
  <c r="A1423" i="3"/>
  <c r="H1422" i="3"/>
  <c r="G1422" i="3"/>
  <c r="F1422" i="3"/>
  <c r="E1422" i="3"/>
  <c r="C1422" i="3"/>
  <c r="B1422" i="3"/>
  <c r="A1422" i="3"/>
  <c r="H1421" i="3"/>
  <c r="G1421" i="3"/>
  <c r="F1421" i="3"/>
  <c r="E1421" i="3"/>
  <c r="A1421" i="3"/>
  <c r="H1420" i="3"/>
  <c r="G1420" i="3"/>
  <c r="F1420" i="3"/>
  <c r="E1420" i="3"/>
  <c r="D1420" i="3"/>
  <c r="C1420" i="3"/>
  <c r="B1420" i="3"/>
  <c r="A1420" i="3"/>
  <c r="H1419" i="3"/>
  <c r="G1419" i="3"/>
  <c r="F1419" i="3"/>
  <c r="E1419" i="3"/>
  <c r="C1419" i="3"/>
  <c r="B1419" i="3"/>
  <c r="A1419" i="3"/>
  <c r="H1418" i="3"/>
  <c r="G1418" i="3"/>
  <c r="F1418" i="3"/>
  <c r="E1418" i="3"/>
  <c r="C1418" i="3"/>
  <c r="B1418" i="3"/>
  <c r="A1418" i="3"/>
  <c r="H1417" i="3"/>
  <c r="G1417" i="3"/>
  <c r="F1417" i="3"/>
  <c r="E1417" i="3"/>
  <c r="C1417" i="3"/>
  <c r="A1417" i="3"/>
  <c r="H1416" i="3"/>
  <c r="G1416" i="3"/>
  <c r="F1416" i="3"/>
  <c r="E1416" i="3"/>
  <c r="C1416" i="3"/>
  <c r="A1416" i="3"/>
  <c r="H1415" i="3"/>
  <c r="G1415" i="3"/>
  <c r="F1415" i="3"/>
  <c r="E1415" i="3"/>
  <c r="A1415" i="3"/>
  <c r="H1414" i="3"/>
  <c r="G1414" i="3"/>
  <c r="F1414" i="3"/>
  <c r="E1414" i="3"/>
  <c r="D1414" i="3"/>
  <c r="C1414" i="3"/>
  <c r="A1414" i="3"/>
  <c r="H1413" i="3"/>
  <c r="G1413" i="3"/>
  <c r="F1413" i="3"/>
  <c r="E1413" i="3"/>
  <c r="D1413" i="3"/>
  <c r="C1413" i="3"/>
  <c r="B1413" i="3"/>
  <c r="A1413" i="3"/>
  <c r="H1412" i="3"/>
  <c r="G1412" i="3"/>
  <c r="F1412" i="3"/>
  <c r="E1412" i="3"/>
  <c r="D1412" i="3"/>
  <c r="C1412" i="3"/>
  <c r="B1412" i="3"/>
  <c r="A1412" i="3"/>
  <c r="H1411" i="3"/>
  <c r="G1411" i="3"/>
  <c r="F1411" i="3"/>
  <c r="E1411" i="3"/>
  <c r="C1411" i="3"/>
  <c r="A1411" i="3"/>
  <c r="H1410" i="3"/>
  <c r="G1410" i="3"/>
  <c r="F1410" i="3"/>
  <c r="E1410" i="3"/>
  <c r="A1410" i="3"/>
  <c r="H1409" i="3"/>
  <c r="G1409" i="3"/>
  <c r="F1409" i="3"/>
  <c r="E1409" i="3"/>
  <c r="D1409" i="3"/>
  <c r="C1409" i="3"/>
  <c r="B1409" i="3"/>
  <c r="A1409" i="3"/>
  <c r="H1408" i="3"/>
  <c r="G1408" i="3"/>
  <c r="F1408" i="3"/>
  <c r="E1408" i="3"/>
  <c r="D1408" i="3"/>
  <c r="C1408" i="3"/>
  <c r="B1408" i="3"/>
  <c r="A1408" i="3"/>
  <c r="H1407" i="3"/>
  <c r="G1407" i="3"/>
  <c r="F1407" i="3"/>
  <c r="E1407" i="3"/>
  <c r="C1407" i="3"/>
  <c r="B1407" i="3"/>
  <c r="A1407" i="3"/>
  <c r="H1406" i="3"/>
  <c r="G1406" i="3"/>
  <c r="F1406" i="3"/>
  <c r="E1406" i="3"/>
  <c r="C1406" i="3"/>
  <c r="B1406" i="3"/>
  <c r="A1406" i="3"/>
  <c r="H1405" i="3"/>
  <c r="G1405" i="3"/>
  <c r="F1405" i="3"/>
  <c r="E1405" i="3"/>
  <c r="D1405" i="3"/>
  <c r="C1405" i="3"/>
  <c r="B1405" i="3"/>
  <c r="A1405" i="3"/>
  <c r="H1404" i="3"/>
  <c r="G1404" i="3"/>
  <c r="F1404" i="3"/>
  <c r="E1404" i="3"/>
  <c r="D1404" i="3"/>
  <c r="C1404" i="3"/>
  <c r="B1404" i="3"/>
  <c r="A1404" i="3"/>
  <c r="H1403" i="3"/>
  <c r="G1403" i="3"/>
  <c r="F1403" i="3"/>
  <c r="E1403" i="3"/>
  <c r="C1403" i="3"/>
  <c r="B1403" i="3"/>
  <c r="A1403" i="3"/>
  <c r="H1402" i="3"/>
  <c r="G1402" i="3"/>
  <c r="F1402" i="3"/>
  <c r="E1402" i="3"/>
  <c r="C1402" i="3"/>
  <c r="A1402" i="3"/>
  <c r="H1401" i="3"/>
  <c r="G1401" i="3"/>
  <c r="F1401" i="3"/>
  <c r="E1401" i="3"/>
  <c r="D1401" i="3"/>
  <c r="C1401" i="3"/>
  <c r="B1401" i="3"/>
  <c r="A1401" i="3"/>
  <c r="H1400" i="3"/>
  <c r="G1400" i="3"/>
  <c r="F1400" i="3"/>
  <c r="E1400" i="3"/>
  <c r="C1400" i="3"/>
  <c r="B1400" i="3"/>
  <c r="A1400" i="3"/>
  <c r="H1399" i="3"/>
  <c r="G1399" i="3"/>
  <c r="F1399" i="3"/>
  <c r="E1399" i="3"/>
  <c r="D1399" i="3"/>
  <c r="C1399" i="3"/>
  <c r="B1399" i="3"/>
  <c r="A1399" i="3"/>
  <c r="H1398" i="3"/>
  <c r="G1398" i="3"/>
  <c r="F1398" i="3"/>
  <c r="E1398" i="3"/>
  <c r="C1398" i="3"/>
  <c r="B1398" i="3"/>
  <c r="A1398" i="3"/>
  <c r="H1397" i="3"/>
  <c r="G1397" i="3"/>
  <c r="F1397" i="3"/>
  <c r="E1397" i="3"/>
  <c r="C1397" i="3"/>
  <c r="B1397" i="3"/>
  <c r="A1397" i="3"/>
  <c r="H1396" i="3"/>
  <c r="G1396" i="3"/>
  <c r="F1396" i="3"/>
  <c r="E1396" i="3"/>
  <c r="A1396" i="3"/>
  <c r="H1395" i="3"/>
  <c r="G1395" i="3"/>
  <c r="F1395" i="3"/>
  <c r="E1395" i="3"/>
  <c r="C1395" i="3"/>
  <c r="B1395" i="3"/>
  <c r="A1395" i="3"/>
  <c r="H1394" i="3"/>
  <c r="G1394" i="3"/>
  <c r="F1394" i="3"/>
  <c r="E1394" i="3"/>
  <c r="A1394" i="3"/>
  <c r="H1393" i="3"/>
  <c r="G1393" i="3"/>
  <c r="F1393" i="3"/>
  <c r="E1393" i="3"/>
  <c r="C1393" i="3"/>
  <c r="B1393" i="3"/>
  <c r="A1393" i="3"/>
  <c r="H1392" i="3"/>
  <c r="G1392" i="3"/>
  <c r="F1392" i="3"/>
  <c r="E1392" i="3"/>
  <c r="C1392" i="3"/>
  <c r="B1392" i="3"/>
  <c r="A1392" i="3"/>
  <c r="H1391" i="3"/>
  <c r="G1391" i="3"/>
  <c r="F1391" i="3"/>
  <c r="E1391" i="3"/>
  <c r="A1391" i="3"/>
  <c r="H1390" i="3"/>
  <c r="G1390" i="3"/>
  <c r="F1390" i="3"/>
  <c r="E1390" i="3"/>
  <c r="A1390" i="3"/>
  <c r="H1389" i="3"/>
  <c r="G1389" i="3"/>
  <c r="F1389" i="3"/>
  <c r="E1389" i="3"/>
  <c r="C1389" i="3"/>
  <c r="B1389" i="3"/>
  <c r="A1389" i="3"/>
  <c r="H1388" i="3"/>
  <c r="G1388" i="3"/>
  <c r="F1388" i="3"/>
  <c r="E1388" i="3"/>
  <c r="D1388" i="3"/>
  <c r="C1388" i="3"/>
  <c r="B1388" i="3"/>
  <c r="A1388" i="3"/>
  <c r="H1387" i="3"/>
  <c r="G1387" i="3"/>
  <c r="F1387" i="3"/>
  <c r="E1387" i="3"/>
  <c r="C1387" i="3"/>
  <c r="A1387" i="3"/>
  <c r="H1386" i="3"/>
  <c r="G1386" i="3"/>
  <c r="F1386" i="3"/>
  <c r="E1386" i="3"/>
  <c r="C1386" i="3"/>
  <c r="A1386" i="3"/>
  <c r="H1385" i="3"/>
  <c r="G1385" i="3"/>
  <c r="F1385" i="3"/>
  <c r="E1385" i="3"/>
  <c r="C1385" i="3"/>
  <c r="A1385" i="3"/>
  <c r="H1384" i="3"/>
  <c r="G1384" i="3"/>
  <c r="F1384" i="3"/>
  <c r="E1384" i="3"/>
  <c r="B1384" i="3"/>
  <c r="A1384" i="3"/>
  <c r="H1383" i="3"/>
  <c r="G1383" i="3"/>
  <c r="F1383" i="3"/>
  <c r="E1383" i="3"/>
  <c r="C1383" i="3"/>
  <c r="B1383" i="3"/>
  <c r="A1383" i="3"/>
  <c r="H1382" i="3"/>
  <c r="G1382" i="3"/>
  <c r="F1382" i="3"/>
  <c r="E1382" i="3"/>
  <c r="D1382" i="3"/>
  <c r="C1382" i="3"/>
  <c r="B1382" i="3"/>
  <c r="A1382" i="3"/>
  <c r="H1381" i="3"/>
  <c r="G1381" i="3"/>
  <c r="F1381" i="3"/>
  <c r="E1381" i="3"/>
  <c r="D1381" i="3"/>
  <c r="C1381" i="3"/>
  <c r="B1381" i="3"/>
  <c r="A1381" i="3"/>
  <c r="H1380" i="3"/>
  <c r="G1380" i="3"/>
  <c r="F1380" i="3"/>
  <c r="E1380" i="3"/>
  <c r="D1380" i="3"/>
  <c r="C1380" i="3"/>
  <c r="B1380" i="3"/>
  <c r="A1380" i="3"/>
  <c r="H1379" i="3"/>
  <c r="G1379" i="3"/>
  <c r="F1379" i="3"/>
  <c r="E1379" i="3"/>
  <c r="C1379" i="3"/>
  <c r="B1379" i="3"/>
  <c r="A1379" i="3"/>
  <c r="H1378" i="3"/>
  <c r="G1378" i="3"/>
  <c r="F1378" i="3"/>
  <c r="E1378" i="3"/>
  <c r="A1378" i="3"/>
  <c r="H1377" i="3"/>
  <c r="G1377" i="3"/>
  <c r="F1377" i="3"/>
  <c r="E1377" i="3"/>
  <c r="C1377" i="3"/>
  <c r="B1377" i="3"/>
  <c r="A1377" i="3"/>
  <c r="H1376" i="3"/>
  <c r="G1376" i="3"/>
  <c r="F1376" i="3"/>
  <c r="E1376" i="3"/>
  <c r="C1376" i="3"/>
  <c r="B1376" i="3"/>
  <c r="A1376" i="3"/>
  <c r="H1375" i="3"/>
  <c r="G1375" i="3"/>
  <c r="F1375" i="3"/>
  <c r="E1375" i="3"/>
  <c r="D1375" i="3"/>
  <c r="C1375" i="3"/>
  <c r="B1375" i="3"/>
  <c r="A1375" i="3"/>
  <c r="H1374" i="3"/>
  <c r="G1374" i="3"/>
  <c r="F1374" i="3"/>
  <c r="E1374" i="3"/>
  <c r="D1374" i="3"/>
  <c r="C1374" i="3"/>
  <c r="B1374" i="3"/>
  <c r="A1374" i="3"/>
  <c r="H1373" i="3"/>
  <c r="G1373" i="3"/>
  <c r="F1373" i="3"/>
  <c r="E1373" i="3"/>
  <c r="C1373" i="3"/>
  <c r="B1373" i="3"/>
  <c r="A1373" i="3"/>
  <c r="H1372" i="3"/>
  <c r="G1372" i="3"/>
  <c r="F1372" i="3"/>
  <c r="E1372" i="3"/>
  <c r="D1372" i="3"/>
  <c r="C1372" i="3"/>
  <c r="B1372" i="3"/>
  <c r="A1372" i="3"/>
  <c r="H1371" i="3"/>
  <c r="G1371" i="3"/>
  <c r="F1371" i="3"/>
  <c r="E1371" i="3"/>
  <c r="D1371" i="3"/>
  <c r="C1371" i="3"/>
  <c r="B1371" i="3"/>
  <c r="A1371" i="3"/>
  <c r="H1370" i="3"/>
  <c r="G1370" i="3"/>
  <c r="F1370" i="3"/>
  <c r="E1370" i="3"/>
  <c r="D1370" i="3"/>
  <c r="C1370" i="3"/>
  <c r="B1370" i="3"/>
  <c r="A1370" i="3"/>
  <c r="H1369" i="3"/>
  <c r="G1369" i="3"/>
  <c r="F1369" i="3"/>
  <c r="E1369" i="3"/>
  <c r="C1369" i="3"/>
  <c r="B1369" i="3"/>
  <c r="A1369" i="3"/>
  <c r="H1368" i="3"/>
  <c r="G1368" i="3"/>
  <c r="F1368" i="3"/>
  <c r="E1368" i="3"/>
  <c r="D1368" i="3"/>
  <c r="C1368" i="3"/>
  <c r="B1368" i="3"/>
  <c r="A1368" i="3"/>
  <c r="H1367" i="3"/>
  <c r="G1367" i="3"/>
  <c r="F1367" i="3"/>
  <c r="A1367" i="3"/>
  <c r="H1366" i="3"/>
  <c r="G1366" i="3"/>
  <c r="F1366" i="3"/>
  <c r="E1366" i="3"/>
  <c r="A1366" i="3"/>
  <c r="H1365" i="3"/>
  <c r="G1365" i="3"/>
  <c r="F1365" i="3"/>
  <c r="E1365" i="3"/>
  <c r="C1365" i="3"/>
  <c r="B1365" i="3"/>
  <c r="A1365" i="3"/>
  <c r="H1364" i="3"/>
  <c r="G1364" i="3"/>
  <c r="F1364" i="3"/>
  <c r="E1364" i="3"/>
  <c r="D1364" i="3"/>
  <c r="C1364" i="3"/>
  <c r="B1364" i="3"/>
  <c r="A1364" i="3"/>
  <c r="H1363" i="3"/>
  <c r="G1363" i="3"/>
  <c r="F1363" i="3"/>
  <c r="E1363" i="3"/>
  <c r="A1363" i="3"/>
  <c r="H1362" i="3"/>
  <c r="G1362" i="3"/>
  <c r="F1362" i="3"/>
  <c r="E1362" i="3"/>
  <c r="C1362" i="3"/>
  <c r="B1362" i="3"/>
  <c r="A1362" i="3"/>
  <c r="H1361" i="3"/>
  <c r="G1361" i="3"/>
  <c r="F1361" i="3"/>
  <c r="E1361" i="3"/>
  <c r="A1361" i="3"/>
  <c r="H1360" i="3"/>
  <c r="G1360" i="3"/>
  <c r="F1360" i="3"/>
  <c r="E1360" i="3"/>
  <c r="C1360" i="3"/>
  <c r="A1360" i="3"/>
  <c r="H1359" i="3"/>
  <c r="G1359" i="3"/>
  <c r="F1359" i="3"/>
  <c r="E1359" i="3"/>
  <c r="C1359" i="3"/>
  <c r="A1359" i="3"/>
  <c r="H1358" i="3"/>
  <c r="G1358" i="3"/>
  <c r="F1358" i="3"/>
  <c r="E1358" i="3"/>
  <c r="C1358" i="3"/>
  <c r="B1358" i="3"/>
  <c r="A1358" i="3"/>
  <c r="H1357" i="3"/>
  <c r="G1357" i="3"/>
  <c r="F1357" i="3"/>
  <c r="E1357" i="3"/>
  <c r="C1357" i="3"/>
  <c r="B1357" i="3"/>
  <c r="A1357" i="3"/>
  <c r="H1356" i="3"/>
  <c r="G1356" i="3"/>
  <c r="F1356" i="3"/>
  <c r="E1356" i="3"/>
  <c r="A1356" i="3"/>
  <c r="H1355" i="3"/>
  <c r="G1355" i="3"/>
  <c r="F1355" i="3"/>
  <c r="E1355" i="3"/>
  <c r="B1355" i="3"/>
  <c r="A1355" i="3"/>
  <c r="H1354" i="3"/>
  <c r="G1354" i="3"/>
  <c r="F1354" i="3"/>
  <c r="E1354" i="3"/>
  <c r="D1354" i="3"/>
  <c r="B1354" i="3"/>
  <c r="A1354" i="3"/>
  <c r="H1353" i="3"/>
  <c r="G1353" i="3"/>
  <c r="F1353" i="3"/>
  <c r="E1353" i="3"/>
  <c r="C1353" i="3"/>
  <c r="B1353" i="3"/>
  <c r="A1353" i="3"/>
  <c r="H1352" i="3"/>
  <c r="G1352" i="3"/>
  <c r="F1352" i="3"/>
  <c r="E1352" i="3"/>
  <c r="D1352" i="3"/>
  <c r="C1352" i="3"/>
  <c r="B1352" i="3"/>
  <c r="A1352" i="3"/>
  <c r="H1351" i="3"/>
  <c r="G1351" i="3"/>
  <c r="F1351" i="3"/>
  <c r="E1351" i="3"/>
  <c r="D1351" i="3"/>
  <c r="C1351" i="3"/>
  <c r="B1351" i="3"/>
  <c r="A1351" i="3"/>
  <c r="H1350" i="3"/>
  <c r="G1350" i="3"/>
  <c r="F1350" i="3"/>
  <c r="E1350" i="3"/>
  <c r="D1350" i="3"/>
  <c r="C1350" i="3"/>
  <c r="B1350" i="3"/>
  <c r="A1350" i="3"/>
  <c r="H1349" i="3"/>
  <c r="G1349" i="3"/>
  <c r="F1349" i="3"/>
  <c r="E1349" i="3"/>
  <c r="D1349" i="3"/>
  <c r="C1349" i="3"/>
  <c r="B1349" i="3"/>
  <c r="A1349" i="3"/>
  <c r="H1348" i="3"/>
  <c r="G1348" i="3"/>
  <c r="F1348" i="3"/>
  <c r="E1348" i="3"/>
  <c r="D1348" i="3"/>
  <c r="C1348" i="3"/>
  <c r="B1348" i="3"/>
  <c r="A1348" i="3"/>
  <c r="H1347" i="3"/>
  <c r="G1347" i="3"/>
  <c r="F1347" i="3"/>
  <c r="E1347" i="3"/>
  <c r="C1347" i="3"/>
  <c r="B1347" i="3"/>
  <c r="A1347" i="3"/>
  <c r="H1346" i="3"/>
  <c r="G1346" i="3"/>
  <c r="F1346" i="3"/>
  <c r="E1346" i="3"/>
  <c r="A1346" i="3"/>
  <c r="H1345" i="3"/>
  <c r="G1345" i="3"/>
  <c r="F1345" i="3"/>
  <c r="E1345" i="3"/>
  <c r="A1345" i="3"/>
  <c r="H1344" i="3"/>
  <c r="G1344" i="3"/>
  <c r="F1344" i="3"/>
  <c r="E1344" i="3"/>
  <c r="C1344" i="3"/>
  <c r="B1344" i="3"/>
  <c r="A1344" i="3"/>
  <c r="H1343" i="3"/>
  <c r="G1343" i="3"/>
  <c r="F1343" i="3"/>
  <c r="E1343" i="3"/>
  <c r="C1343" i="3"/>
  <c r="B1343" i="3"/>
  <c r="A1343" i="3"/>
  <c r="H1342" i="3"/>
  <c r="G1342" i="3"/>
  <c r="F1342" i="3"/>
  <c r="E1342" i="3"/>
  <c r="A1342" i="3"/>
  <c r="H1341" i="3"/>
  <c r="G1341" i="3"/>
  <c r="F1341" i="3"/>
  <c r="E1341" i="3"/>
  <c r="C1341" i="3"/>
  <c r="B1341" i="3"/>
  <c r="A1341" i="3"/>
  <c r="H1340" i="3"/>
  <c r="G1340" i="3"/>
  <c r="F1340" i="3"/>
  <c r="E1340" i="3"/>
  <c r="C1340" i="3"/>
  <c r="B1340" i="3"/>
  <c r="A1340" i="3"/>
  <c r="H1339" i="3"/>
  <c r="G1339" i="3"/>
  <c r="F1339" i="3"/>
  <c r="E1339" i="3"/>
  <c r="D1339" i="3"/>
  <c r="C1339" i="3"/>
  <c r="B1339" i="3"/>
  <c r="A1339" i="3"/>
  <c r="H1338" i="3"/>
  <c r="G1338" i="3"/>
  <c r="F1338" i="3"/>
  <c r="E1338" i="3"/>
  <c r="A1338" i="3"/>
  <c r="H1337" i="3"/>
  <c r="G1337" i="3"/>
  <c r="F1337" i="3"/>
  <c r="E1337" i="3"/>
  <c r="C1337" i="3"/>
  <c r="A1337" i="3"/>
  <c r="H1336" i="3"/>
  <c r="G1336" i="3"/>
  <c r="F1336" i="3"/>
  <c r="E1336" i="3"/>
  <c r="C1336" i="3"/>
  <c r="B1336" i="3"/>
  <c r="A1336" i="3"/>
  <c r="H1335" i="3"/>
  <c r="G1335" i="3"/>
  <c r="F1335" i="3"/>
  <c r="E1335" i="3"/>
  <c r="C1335" i="3"/>
  <c r="B1335" i="3"/>
  <c r="A1335" i="3"/>
  <c r="H1334" i="3"/>
  <c r="G1334" i="3"/>
  <c r="F1334" i="3"/>
  <c r="E1334" i="3"/>
  <c r="D1334" i="3"/>
  <c r="C1334" i="3"/>
  <c r="B1334" i="3"/>
  <c r="A1334" i="3"/>
  <c r="H1333" i="3"/>
  <c r="G1333" i="3"/>
  <c r="F1333" i="3"/>
  <c r="E1333" i="3"/>
  <c r="C1333" i="3"/>
  <c r="B1333" i="3"/>
  <c r="A1333" i="3"/>
  <c r="H1332" i="3"/>
  <c r="G1332" i="3"/>
  <c r="F1332" i="3"/>
  <c r="E1332" i="3"/>
  <c r="C1332" i="3"/>
  <c r="B1332" i="3"/>
  <c r="A1332" i="3"/>
  <c r="H1331" i="3"/>
  <c r="G1331" i="3"/>
  <c r="F1331" i="3"/>
  <c r="E1331" i="3"/>
  <c r="C1331" i="3"/>
  <c r="B1331" i="3"/>
  <c r="A1331" i="3"/>
  <c r="H1330" i="3"/>
  <c r="G1330" i="3"/>
  <c r="F1330" i="3"/>
  <c r="E1330" i="3"/>
  <c r="C1330" i="3"/>
  <c r="B1330" i="3"/>
  <c r="A1330" i="3"/>
  <c r="H1329" i="3"/>
  <c r="G1329" i="3"/>
  <c r="F1329" i="3"/>
  <c r="E1329" i="3"/>
  <c r="C1329" i="3"/>
  <c r="B1329" i="3"/>
  <c r="A1329" i="3"/>
  <c r="H1328" i="3"/>
  <c r="G1328" i="3"/>
  <c r="F1328" i="3"/>
  <c r="E1328" i="3"/>
  <c r="C1328" i="3"/>
  <c r="B1328" i="3"/>
  <c r="A1328" i="3"/>
  <c r="H1327" i="3"/>
  <c r="G1327" i="3"/>
  <c r="F1327" i="3"/>
  <c r="E1327" i="3"/>
  <c r="C1327" i="3"/>
  <c r="B1327" i="3"/>
  <c r="A1327" i="3"/>
  <c r="H1326" i="3"/>
  <c r="G1326" i="3"/>
  <c r="F1326" i="3"/>
  <c r="E1326" i="3"/>
  <c r="C1326" i="3"/>
  <c r="A1326" i="3"/>
  <c r="H1325" i="3"/>
  <c r="G1325" i="3"/>
  <c r="F1325" i="3"/>
  <c r="E1325" i="3"/>
  <c r="A1325" i="3"/>
  <c r="H1324" i="3"/>
  <c r="G1324" i="3"/>
  <c r="F1324" i="3"/>
  <c r="E1324" i="3"/>
  <c r="C1324" i="3"/>
  <c r="A1324" i="3"/>
  <c r="H1323" i="3"/>
  <c r="G1323" i="3"/>
  <c r="F1323" i="3"/>
  <c r="E1323" i="3"/>
  <c r="A1323" i="3"/>
  <c r="H1322" i="3"/>
  <c r="G1322" i="3"/>
  <c r="F1322" i="3"/>
  <c r="E1322" i="3"/>
  <c r="C1322" i="3"/>
  <c r="B1322" i="3"/>
  <c r="A1322" i="3"/>
  <c r="H1321" i="3"/>
  <c r="G1321" i="3"/>
  <c r="F1321" i="3"/>
  <c r="E1321" i="3"/>
  <c r="D1321" i="3"/>
  <c r="C1321" i="3"/>
  <c r="B1321" i="3"/>
  <c r="A1321" i="3"/>
  <c r="H1320" i="3"/>
  <c r="G1320" i="3"/>
  <c r="F1320" i="3"/>
  <c r="E1320" i="3"/>
  <c r="D1320" i="3"/>
  <c r="C1320" i="3"/>
  <c r="B1320" i="3"/>
  <c r="A1320" i="3"/>
  <c r="H1319" i="3"/>
  <c r="G1319" i="3"/>
  <c r="F1319" i="3"/>
  <c r="E1319" i="3"/>
  <c r="C1319" i="3"/>
  <c r="A1319" i="3"/>
  <c r="H1318" i="3"/>
  <c r="G1318" i="3"/>
  <c r="F1318" i="3"/>
  <c r="E1318" i="3"/>
  <c r="A1318" i="3"/>
  <c r="H1317" i="3"/>
  <c r="G1317" i="3"/>
  <c r="F1317" i="3"/>
  <c r="E1317" i="3"/>
  <c r="A1317" i="3"/>
  <c r="H1316" i="3"/>
  <c r="G1316" i="3"/>
  <c r="F1316" i="3"/>
  <c r="E1316" i="3"/>
  <c r="D1316" i="3"/>
  <c r="C1316" i="3"/>
  <c r="B1316" i="3"/>
  <c r="A1316" i="3"/>
  <c r="H1315" i="3"/>
  <c r="G1315" i="3"/>
  <c r="F1315" i="3"/>
  <c r="E1315" i="3"/>
  <c r="A1315" i="3"/>
  <c r="H1314" i="3"/>
  <c r="G1314" i="3"/>
  <c r="F1314" i="3"/>
  <c r="E1314" i="3"/>
  <c r="D1314" i="3"/>
  <c r="C1314" i="3"/>
  <c r="B1314" i="3"/>
  <c r="A1314" i="3"/>
  <c r="H1313" i="3"/>
  <c r="G1313" i="3"/>
  <c r="F1313" i="3"/>
  <c r="E1313" i="3"/>
  <c r="C1313" i="3"/>
  <c r="B1313" i="3"/>
  <c r="A1313" i="3"/>
  <c r="H1312" i="3"/>
  <c r="G1312" i="3"/>
  <c r="F1312" i="3"/>
  <c r="E1312" i="3"/>
  <c r="C1312" i="3"/>
  <c r="A1312" i="3"/>
  <c r="H1311" i="3"/>
  <c r="G1311" i="3"/>
  <c r="F1311" i="3"/>
  <c r="E1311" i="3"/>
  <c r="A1311" i="3"/>
  <c r="H1310" i="3"/>
  <c r="G1310" i="3"/>
  <c r="F1310" i="3"/>
  <c r="E1310" i="3"/>
  <c r="C1310" i="3"/>
  <c r="B1310" i="3"/>
  <c r="A1310" i="3"/>
  <c r="H1309" i="3"/>
  <c r="G1309" i="3"/>
  <c r="F1309" i="3"/>
  <c r="E1309" i="3"/>
  <c r="C1309" i="3"/>
  <c r="A1309" i="3"/>
  <c r="H1308" i="3"/>
  <c r="G1308" i="3"/>
  <c r="F1308" i="3"/>
  <c r="E1308" i="3"/>
  <c r="C1308" i="3"/>
  <c r="A1308" i="3"/>
  <c r="H1307" i="3"/>
  <c r="G1307" i="3"/>
  <c r="F1307" i="3"/>
  <c r="E1307" i="3"/>
  <c r="C1307" i="3"/>
  <c r="B1307" i="3"/>
  <c r="A1307" i="3"/>
  <c r="H1306" i="3"/>
  <c r="G1306" i="3"/>
  <c r="F1306" i="3"/>
  <c r="E1306" i="3"/>
  <c r="C1306" i="3"/>
  <c r="A1306" i="3"/>
  <c r="H1305" i="3"/>
  <c r="G1305" i="3"/>
  <c r="F1305" i="3"/>
  <c r="E1305" i="3"/>
  <c r="C1305" i="3"/>
  <c r="B1305" i="3"/>
  <c r="A1305" i="3"/>
  <c r="H1304" i="3"/>
  <c r="G1304" i="3"/>
  <c r="F1304" i="3"/>
  <c r="E1304" i="3"/>
  <c r="C1304" i="3"/>
  <c r="B1304" i="3"/>
  <c r="A1304" i="3"/>
  <c r="H1303" i="3"/>
  <c r="G1303" i="3"/>
  <c r="F1303" i="3"/>
  <c r="E1303" i="3"/>
  <c r="A1303" i="3"/>
  <c r="H1302" i="3"/>
  <c r="G1302" i="3"/>
  <c r="F1302" i="3"/>
  <c r="E1302" i="3"/>
  <c r="C1302" i="3"/>
  <c r="B1302" i="3"/>
  <c r="A1302" i="3"/>
  <c r="H1301" i="3"/>
  <c r="G1301" i="3"/>
  <c r="F1301" i="3"/>
  <c r="E1301" i="3"/>
  <c r="C1301" i="3"/>
  <c r="B1301" i="3"/>
  <c r="A1301" i="3"/>
  <c r="H1300" i="3"/>
  <c r="G1300" i="3"/>
  <c r="F1300" i="3"/>
  <c r="E1300" i="3"/>
  <c r="A1300" i="3"/>
  <c r="H1299" i="3"/>
  <c r="G1299" i="3"/>
  <c r="F1299" i="3"/>
  <c r="E1299" i="3"/>
  <c r="D1299" i="3"/>
  <c r="C1299" i="3"/>
  <c r="A1299" i="3"/>
  <c r="H1298" i="3"/>
  <c r="G1298" i="3"/>
  <c r="F1298" i="3"/>
  <c r="E1298" i="3"/>
  <c r="D1298" i="3"/>
  <c r="C1298" i="3"/>
  <c r="A1298" i="3"/>
  <c r="H1297" i="3"/>
  <c r="G1297" i="3"/>
  <c r="F1297" i="3"/>
  <c r="E1297" i="3"/>
  <c r="C1297" i="3"/>
  <c r="B1297" i="3"/>
  <c r="A1297" i="3"/>
  <c r="H1296" i="3"/>
  <c r="G1296" i="3"/>
  <c r="F1296" i="3"/>
  <c r="E1296" i="3"/>
  <c r="C1296" i="3"/>
  <c r="A1296" i="3"/>
  <c r="H1295" i="3"/>
  <c r="G1295" i="3"/>
  <c r="F1295" i="3"/>
  <c r="E1295" i="3"/>
  <c r="B1295" i="3"/>
  <c r="A1295" i="3"/>
  <c r="H1294" i="3"/>
  <c r="G1294" i="3"/>
  <c r="F1294" i="3"/>
  <c r="E1294" i="3"/>
  <c r="A1294" i="3"/>
  <c r="H1293" i="3"/>
  <c r="G1293" i="3"/>
  <c r="F1293" i="3"/>
  <c r="E1293" i="3"/>
  <c r="D1293" i="3"/>
  <c r="C1293" i="3"/>
  <c r="B1293" i="3"/>
  <c r="A1293" i="3"/>
  <c r="H1292" i="3"/>
  <c r="G1292" i="3"/>
  <c r="F1292" i="3"/>
  <c r="E1292" i="3"/>
  <c r="D1292" i="3"/>
  <c r="C1292" i="3"/>
  <c r="B1292" i="3"/>
  <c r="A1292" i="3"/>
  <c r="H1291" i="3"/>
  <c r="G1291" i="3"/>
  <c r="F1291" i="3"/>
  <c r="E1291" i="3"/>
  <c r="D1291" i="3"/>
  <c r="C1291" i="3"/>
  <c r="B1291" i="3"/>
  <c r="A1291" i="3"/>
  <c r="H1290" i="3"/>
  <c r="G1290" i="3"/>
  <c r="F1290" i="3"/>
  <c r="E1290" i="3"/>
  <c r="D1290" i="3"/>
  <c r="C1290" i="3"/>
  <c r="A1290" i="3"/>
  <c r="H1289" i="3"/>
  <c r="G1289" i="3"/>
  <c r="F1289" i="3"/>
  <c r="E1289" i="3"/>
  <c r="A1289" i="3"/>
  <c r="H1288" i="3"/>
  <c r="G1288" i="3"/>
  <c r="F1288" i="3"/>
  <c r="E1288" i="3"/>
  <c r="C1288" i="3"/>
  <c r="A1288" i="3"/>
  <c r="H1287" i="3"/>
  <c r="G1287" i="3"/>
  <c r="F1287" i="3"/>
  <c r="E1287" i="3"/>
  <c r="C1287" i="3"/>
  <c r="A1287" i="3"/>
  <c r="H1286" i="3"/>
  <c r="G1286" i="3"/>
  <c r="F1286" i="3"/>
  <c r="E1286" i="3"/>
  <c r="D1286" i="3"/>
  <c r="B1286" i="3"/>
  <c r="A1286" i="3"/>
  <c r="H1285" i="3"/>
  <c r="G1285" i="3"/>
  <c r="F1285" i="3"/>
  <c r="E1285" i="3"/>
  <c r="D1285" i="3"/>
  <c r="C1285" i="3"/>
  <c r="B1285" i="3"/>
  <c r="A1285" i="3"/>
  <c r="H1284" i="3"/>
  <c r="G1284" i="3"/>
  <c r="F1284" i="3"/>
  <c r="E1284" i="3"/>
  <c r="D1284" i="3"/>
  <c r="C1284" i="3"/>
  <c r="B1284" i="3"/>
  <c r="A1284" i="3"/>
  <c r="H1283" i="3"/>
  <c r="G1283" i="3"/>
  <c r="F1283" i="3"/>
  <c r="E1283" i="3"/>
  <c r="D1283" i="3"/>
  <c r="C1283" i="3"/>
  <c r="B1283" i="3"/>
  <c r="A1283" i="3"/>
  <c r="H1282" i="3"/>
  <c r="G1282" i="3"/>
  <c r="F1282" i="3"/>
  <c r="E1282" i="3"/>
  <c r="D1282" i="3"/>
  <c r="C1282" i="3"/>
  <c r="B1282" i="3"/>
  <c r="A1282" i="3"/>
  <c r="H1281" i="3"/>
  <c r="G1281" i="3"/>
  <c r="F1281" i="3"/>
  <c r="E1281" i="3"/>
  <c r="D1281" i="3"/>
  <c r="C1281" i="3"/>
  <c r="B1281" i="3"/>
  <c r="A1281" i="3"/>
  <c r="H1280" i="3"/>
  <c r="G1280" i="3"/>
  <c r="F1280" i="3"/>
  <c r="E1280" i="3"/>
  <c r="D1280" i="3"/>
  <c r="C1280" i="3"/>
  <c r="B1280" i="3"/>
  <c r="A1280" i="3"/>
  <c r="H1279" i="3"/>
  <c r="G1279" i="3"/>
  <c r="F1279" i="3"/>
  <c r="E1279" i="3"/>
  <c r="D1279" i="3"/>
  <c r="C1279" i="3"/>
  <c r="B1279" i="3"/>
  <c r="A1279" i="3"/>
  <c r="H1278" i="3"/>
  <c r="G1278" i="3"/>
  <c r="F1278" i="3"/>
  <c r="E1278" i="3"/>
  <c r="C1278" i="3"/>
  <c r="A1278" i="3"/>
  <c r="H1277" i="3"/>
  <c r="G1277" i="3"/>
  <c r="F1277" i="3"/>
  <c r="E1277" i="3"/>
  <c r="D1277" i="3"/>
  <c r="C1277" i="3"/>
  <c r="B1277" i="3"/>
  <c r="A1277" i="3"/>
  <c r="H1276" i="3"/>
  <c r="G1276" i="3"/>
  <c r="F1276" i="3"/>
  <c r="E1276" i="3"/>
  <c r="D1276" i="3"/>
  <c r="C1276" i="3"/>
  <c r="B1276" i="3"/>
  <c r="A1276" i="3"/>
  <c r="H1275" i="3"/>
  <c r="G1275" i="3"/>
  <c r="F1275" i="3"/>
  <c r="E1275" i="3"/>
  <c r="C1275" i="3"/>
  <c r="B1275" i="3"/>
  <c r="A1275" i="3"/>
  <c r="H1274" i="3"/>
  <c r="G1274" i="3"/>
  <c r="F1274" i="3"/>
  <c r="E1274" i="3"/>
  <c r="C1274" i="3"/>
  <c r="B1274" i="3"/>
  <c r="A1274" i="3"/>
  <c r="H1273" i="3"/>
  <c r="G1273" i="3"/>
  <c r="F1273" i="3"/>
  <c r="E1273" i="3"/>
  <c r="C1273" i="3"/>
  <c r="B1273" i="3"/>
  <c r="A1273" i="3"/>
  <c r="H1272" i="3"/>
  <c r="G1272" i="3"/>
  <c r="F1272" i="3"/>
  <c r="E1272" i="3"/>
  <c r="D1272" i="3"/>
  <c r="C1272" i="3"/>
  <c r="B1272" i="3"/>
  <c r="A1272" i="3"/>
  <c r="H1271" i="3"/>
  <c r="G1271" i="3"/>
  <c r="F1271" i="3"/>
  <c r="E1271" i="3"/>
  <c r="D1271" i="3"/>
  <c r="C1271" i="3"/>
  <c r="B1271" i="3"/>
  <c r="A1271" i="3"/>
  <c r="H1270" i="3"/>
  <c r="G1270" i="3"/>
  <c r="F1270" i="3"/>
  <c r="E1270" i="3"/>
  <c r="A1270" i="3"/>
  <c r="H1269" i="3"/>
  <c r="G1269" i="3"/>
  <c r="F1269" i="3"/>
  <c r="E1269" i="3"/>
  <c r="D1269" i="3"/>
  <c r="C1269" i="3"/>
  <c r="B1269" i="3"/>
  <c r="A1269" i="3"/>
  <c r="H1268" i="3"/>
  <c r="G1268" i="3"/>
  <c r="F1268" i="3"/>
  <c r="E1268" i="3"/>
  <c r="D1268" i="3"/>
  <c r="C1268" i="3"/>
  <c r="B1268" i="3"/>
  <c r="A1268" i="3"/>
  <c r="H1267" i="3"/>
  <c r="G1267" i="3"/>
  <c r="F1267" i="3"/>
  <c r="E1267" i="3"/>
  <c r="A1267" i="3"/>
  <c r="H1266" i="3"/>
  <c r="G1266" i="3"/>
  <c r="F1266" i="3"/>
  <c r="E1266" i="3"/>
  <c r="A1266" i="3"/>
  <c r="H1265" i="3"/>
  <c r="G1265" i="3"/>
  <c r="F1265" i="3"/>
  <c r="E1265" i="3"/>
  <c r="C1265" i="3"/>
  <c r="B1265" i="3"/>
  <c r="A1265" i="3"/>
  <c r="H1264" i="3"/>
  <c r="G1264" i="3"/>
  <c r="F1264" i="3"/>
  <c r="E1264" i="3"/>
  <c r="C1264" i="3"/>
  <c r="B1264" i="3"/>
  <c r="A1264" i="3"/>
  <c r="H1263" i="3"/>
  <c r="G1263" i="3"/>
  <c r="F1263" i="3"/>
  <c r="E1263" i="3"/>
  <c r="D1263" i="3"/>
  <c r="C1263" i="3"/>
  <c r="B1263" i="3"/>
  <c r="A1263" i="3"/>
  <c r="H1262" i="3"/>
  <c r="G1262" i="3"/>
  <c r="F1262" i="3"/>
  <c r="E1262" i="3"/>
  <c r="D1262" i="3"/>
  <c r="C1262" i="3"/>
  <c r="B1262" i="3"/>
  <c r="A1262" i="3"/>
  <c r="H1261" i="3"/>
  <c r="G1261" i="3"/>
  <c r="F1261" i="3"/>
  <c r="E1261" i="3"/>
  <c r="D1261" i="3"/>
  <c r="C1261" i="3"/>
  <c r="B1261" i="3"/>
  <c r="A1261" i="3"/>
  <c r="H1260" i="3"/>
  <c r="G1260" i="3"/>
  <c r="F1260" i="3"/>
  <c r="E1260" i="3"/>
  <c r="C1260" i="3"/>
  <c r="B1260" i="3"/>
  <c r="A1260" i="3"/>
  <c r="H1259" i="3"/>
  <c r="G1259" i="3"/>
  <c r="F1259" i="3"/>
  <c r="E1259" i="3"/>
  <c r="C1259" i="3"/>
  <c r="B1259" i="3"/>
  <c r="A1259" i="3"/>
  <c r="H1258" i="3"/>
  <c r="G1258" i="3"/>
  <c r="F1258" i="3"/>
  <c r="E1258" i="3"/>
  <c r="A1258" i="3"/>
  <c r="H1257" i="3"/>
  <c r="G1257" i="3"/>
  <c r="F1257" i="3"/>
  <c r="E1257" i="3"/>
  <c r="C1257" i="3"/>
  <c r="B1257" i="3"/>
  <c r="A1257" i="3"/>
  <c r="H1256" i="3"/>
  <c r="G1256" i="3"/>
  <c r="F1256" i="3"/>
  <c r="E1256" i="3"/>
  <c r="D1256" i="3"/>
  <c r="C1256" i="3"/>
  <c r="B1256" i="3"/>
  <c r="A1256" i="3"/>
  <c r="H1255" i="3"/>
  <c r="G1255" i="3"/>
  <c r="F1255" i="3"/>
  <c r="E1255" i="3"/>
  <c r="C1255" i="3"/>
  <c r="B1255" i="3"/>
  <c r="A1255" i="3"/>
  <c r="H1254" i="3"/>
  <c r="G1254" i="3"/>
  <c r="F1254" i="3"/>
  <c r="E1254" i="3"/>
  <c r="D1254" i="3"/>
  <c r="C1254" i="3"/>
  <c r="B1254" i="3"/>
  <c r="A1254" i="3"/>
  <c r="H1253" i="3"/>
  <c r="G1253" i="3"/>
  <c r="F1253" i="3"/>
  <c r="E1253" i="3"/>
  <c r="D1253" i="3"/>
  <c r="C1253" i="3"/>
  <c r="B1253" i="3"/>
  <c r="A1253" i="3"/>
  <c r="H1252" i="3"/>
  <c r="G1252" i="3"/>
  <c r="F1252" i="3"/>
  <c r="E1252" i="3"/>
  <c r="C1252" i="3"/>
  <c r="B1252" i="3"/>
  <c r="A1252" i="3"/>
  <c r="H1251" i="3"/>
  <c r="G1251" i="3"/>
  <c r="F1251" i="3"/>
  <c r="E1251" i="3"/>
  <c r="C1251" i="3"/>
  <c r="B1251" i="3"/>
  <c r="A1251" i="3"/>
  <c r="H1250" i="3"/>
  <c r="G1250" i="3"/>
  <c r="F1250" i="3"/>
  <c r="E1250" i="3"/>
  <c r="C1250" i="3"/>
  <c r="B1250" i="3"/>
  <c r="A1250" i="3"/>
  <c r="H1249" i="3"/>
  <c r="G1249" i="3"/>
  <c r="F1249" i="3"/>
  <c r="E1249" i="3"/>
  <c r="C1249" i="3"/>
  <c r="B1249" i="3"/>
  <c r="A1249" i="3"/>
  <c r="H1248" i="3"/>
  <c r="G1248" i="3"/>
  <c r="F1248" i="3"/>
  <c r="E1248" i="3"/>
  <c r="C1248" i="3"/>
  <c r="A1248" i="3"/>
  <c r="H1247" i="3"/>
  <c r="G1247" i="3"/>
  <c r="F1247" i="3"/>
  <c r="E1247" i="3"/>
  <c r="A1247" i="3"/>
  <c r="H1246" i="3"/>
  <c r="G1246" i="3"/>
  <c r="F1246" i="3"/>
  <c r="E1246" i="3"/>
  <c r="A1246" i="3"/>
  <c r="H1245" i="3"/>
  <c r="G1245" i="3"/>
  <c r="F1245" i="3"/>
  <c r="E1245" i="3"/>
  <c r="D1245" i="3"/>
  <c r="C1245" i="3"/>
  <c r="B1245" i="3"/>
  <c r="A1245" i="3"/>
  <c r="H1244" i="3"/>
  <c r="G1244" i="3"/>
  <c r="F1244" i="3"/>
  <c r="E1244" i="3"/>
  <c r="C1244" i="3"/>
  <c r="B1244" i="3"/>
  <c r="A1244" i="3"/>
  <c r="H1243" i="3"/>
  <c r="G1243" i="3"/>
  <c r="F1243" i="3"/>
  <c r="E1243" i="3"/>
  <c r="D1243" i="3"/>
  <c r="C1243" i="3"/>
  <c r="B1243" i="3"/>
  <c r="A1243" i="3"/>
  <c r="H1242" i="3"/>
  <c r="G1242" i="3"/>
  <c r="F1242" i="3"/>
  <c r="E1242" i="3"/>
  <c r="D1242" i="3"/>
  <c r="C1242" i="3"/>
  <c r="B1242" i="3"/>
  <c r="A1242" i="3"/>
  <c r="H1241" i="3"/>
  <c r="G1241" i="3"/>
  <c r="F1241" i="3"/>
  <c r="E1241" i="3"/>
  <c r="C1241" i="3"/>
  <c r="B1241" i="3"/>
  <c r="A1241" i="3"/>
  <c r="H1240" i="3"/>
  <c r="G1240" i="3"/>
  <c r="F1240" i="3"/>
  <c r="E1240" i="3"/>
  <c r="C1240" i="3"/>
  <c r="B1240" i="3"/>
  <c r="A1240" i="3"/>
  <c r="H1239" i="3"/>
  <c r="G1239" i="3"/>
  <c r="F1239" i="3"/>
  <c r="E1239" i="3"/>
  <c r="A1239" i="3"/>
  <c r="H1238" i="3"/>
  <c r="G1238" i="3"/>
  <c r="F1238" i="3"/>
  <c r="E1238" i="3"/>
  <c r="D1238" i="3"/>
  <c r="C1238" i="3"/>
  <c r="B1238" i="3"/>
  <c r="A1238" i="3"/>
  <c r="H1237" i="3"/>
  <c r="G1237" i="3"/>
  <c r="F1237" i="3"/>
  <c r="E1237" i="3"/>
  <c r="C1237" i="3"/>
  <c r="B1237" i="3"/>
  <c r="A1237" i="3"/>
  <c r="H1236" i="3"/>
  <c r="G1236" i="3"/>
  <c r="F1236" i="3"/>
  <c r="E1236" i="3"/>
  <c r="C1236" i="3"/>
  <c r="B1236" i="3"/>
  <c r="A1236" i="3"/>
  <c r="H1235" i="3"/>
  <c r="G1235" i="3"/>
  <c r="F1235" i="3"/>
  <c r="E1235" i="3"/>
  <c r="A1235" i="3"/>
  <c r="H1234" i="3"/>
  <c r="G1234" i="3"/>
  <c r="F1234" i="3"/>
  <c r="E1234" i="3"/>
  <c r="A1234" i="3"/>
  <c r="H1233" i="3"/>
  <c r="G1233" i="3"/>
  <c r="F1233" i="3"/>
  <c r="E1233" i="3"/>
  <c r="C1233" i="3"/>
  <c r="B1233" i="3"/>
  <c r="A1233" i="3"/>
  <c r="H1232" i="3"/>
  <c r="G1232" i="3"/>
  <c r="F1232" i="3"/>
  <c r="E1232" i="3"/>
  <c r="C1232" i="3"/>
  <c r="B1232" i="3"/>
  <c r="A1232" i="3"/>
  <c r="H1231" i="3"/>
  <c r="G1231" i="3"/>
  <c r="F1231" i="3"/>
  <c r="E1231" i="3"/>
  <c r="D1231" i="3"/>
  <c r="C1231" i="3"/>
  <c r="B1231" i="3"/>
  <c r="A1231" i="3"/>
  <c r="H1230" i="3"/>
  <c r="G1230" i="3"/>
  <c r="F1230" i="3"/>
  <c r="E1230" i="3"/>
  <c r="C1230" i="3"/>
  <c r="B1230" i="3"/>
  <c r="A1230" i="3"/>
  <c r="H1229" i="3"/>
  <c r="G1229" i="3"/>
  <c r="F1229" i="3"/>
  <c r="E1229" i="3"/>
  <c r="C1229" i="3"/>
  <c r="B1229" i="3"/>
  <c r="A1229" i="3"/>
  <c r="H1228" i="3"/>
  <c r="G1228" i="3"/>
  <c r="F1228" i="3"/>
  <c r="E1228" i="3"/>
  <c r="D1228" i="3"/>
  <c r="C1228" i="3"/>
  <c r="B1228" i="3"/>
  <c r="A1228" i="3"/>
  <c r="H1227" i="3"/>
  <c r="G1227" i="3"/>
  <c r="F1227" i="3"/>
  <c r="E1227" i="3"/>
  <c r="C1227" i="3"/>
  <c r="B1227" i="3"/>
  <c r="A1227" i="3"/>
  <c r="H1226" i="3"/>
  <c r="G1226" i="3"/>
  <c r="F1226" i="3"/>
  <c r="E1226" i="3"/>
  <c r="C1226" i="3"/>
  <c r="B1226" i="3"/>
  <c r="A1226" i="3"/>
  <c r="H1225" i="3"/>
  <c r="G1225" i="3"/>
  <c r="F1225" i="3"/>
  <c r="E1225" i="3"/>
  <c r="C1225" i="3"/>
  <c r="B1225" i="3"/>
  <c r="A1225" i="3"/>
  <c r="H1224" i="3"/>
  <c r="G1224" i="3"/>
  <c r="F1224" i="3"/>
  <c r="E1224" i="3"/>
  <c r="C1224" i="3"/>
  <c r="B1224" i="3"/>
  <c r="A1224" i="3"/>
  <c r="H1223" i="3"/>
  <c r="G1223" i="3"/>
  <c r="F1223" i="3"/>
  <c r="E1223" i="3"/>
  <c r="A1223" i="3"/>
  <c r="H1222" i="3"/>
  <c r="G1222" i="3"/>
  <c r="F1222" i="3"/>
  <c r="E1222" i="3"/>
  <c r="A1222" i="3"/>
  <c r="H1221" i="3"/>
  <c r="G1221" i="3"/>
  <c r="F1221" i="3"/>
  <c r="E1221" i="3"/>
  <c r="C1221" i="3"/>
  <c r="A1221" i="3"/>
  <c r="H1220" i="3"/>
  <c r="G1220" i="3"/>
  <c r="F1220" i="3"/>
  <c r="E1220" i="3"/>
  <c r="C1220" i="3"/>
  <c r="B1220" i="3"/>
  <c r="A1220" i="3"/>
  <c r="H1219" i="3"/>
  <c r="G1219" i="3"/>
  <c r="F1219" i="3"/>
  <c r="E1219" i="3"/>
  <c r="A1219" i="3"/>
  <c r="H1218" i="3"/>
  <c r="G1218" i="3"/>
  <c r="F1218" i="3"/>
  <c r="E1218" i="3"/>
  <c r="D1218" i="3"/>
  <c r="C1218" i="3"/>
  <c r="B1218" i="3"/>
  <c r="A1218" i="3"/>
  <c r="H1217" i="3"/>
  <c r="G1217" i="3"/>
  <c r="F1217" i="3"/>
  <c r="E1217" i="3"/>
  <c r="C1217" i="3"/>
  <c r="B1217" i="3"/>
  <c r="A1217" i="3"/>
  <c r="H1216" i="3"/>
  <c r="G1216" i="3"/>
  <c r="F1216" i="3"/>
  <c r="E1216" i="3"/>
  <c r="A1216" i="3"/>
  <c r="H1215" i="3"/>
  <c r="G1215" i="3"/>
  <c r="F1215" i="3"/>
  <c r="E1215" i="3"/>
  <c r="C1215" i="3"/>
  <c r="A1215" i="3"/>
  <c r="H1214" i="3"/>
  <c r="G1214" i="3"/>
  <c r="F1214" i="3"/>
  <c r="E1214" i="3"/>
  <c r="C1214" i="3"/>
  <c r="B1214" i="3"/>
  <c r="A1214" i="3"/>
  <c r="H1213" i="3"/>
  <c r="G1213" i="3"/>
  <c r="F1213" i="3"/>
  <c r="E1213" i="3"/>
  <c r="C1213" i="3"/>
  <c r="B1213" i="3"/>
  <c r="A1213" i="3"/>
  <c r="H1212" i="3"/>
  <c r="G1212" i="3"/>
  <c r="F1212" i="3"/>
  <c r="E1212" i="3"/>
  <c r="C1212" i="3"/>
  <c r="B1212" i="3"/>
  <c r="A1212" i="3"/>
  <c r="H1211" i="3"/>
  <c r="G1211" i="3"/>
  <c r="F1211" i="3"/>
  <c r="E1211" i="3"/>
  <c r="C1211" i="3"/>
  <c r="A1211" i="3"/>
  <c r="F1210" i="3"/>
  <c r="E1210" i="3"/>
  <c r="A1210" i="3"/>
  <c r="H1209" i="3"/>
  <c r="G1209" i="3"/>
  <c r="F1209" i="3"/>
  <c r="E1209" i="3"/>
  <c r="C1209" i="3"/>
  <c r="B1209" i="3"/>
  <c r="A1209" i="3"/>
  <c r="H1208" i="3"/>
  <c r="G1208" i="3"/>
  <c r="F1208" i="3"/>
  <c r="E1208" i="3"/>
  <c r="C1208" i="3"/>
  <c r="B1208" i="3"/>
  <c r="A1208" i="3"/>
  <c r="H1207" i="3"/>
  <c r="G1207" i="3"/>
  <c r="F1207" i="3"/>
  <c r="E1207" i="3"/>
  <c r="C1207" i="3"/>
  <c r="B1207" i="3"/>
  <c r="A1207" i="3"/>
  <c r="H1206" i="3"/>
  <c r="G1206" i="3"/>
  <c r="F1206" i="3"/>
  <c r="E1206" i="3"/>
  <c r="C1206" i="3"/>
  <c r="B1206" i="3"/>
  <c r="A1206" i="3"/>
  <c r="H1205" i="3"/>
  <c r="G1205" i="3"/>
  <c r="F1205" i="3"/>
  <c r="E1205" i="3"/>
  <c r="D1205" i="3"/>
  <c r="C1205" i="3"/>
  <c r="B1205" i="3"/>
  <c r="A1205" i="3"/>
  <c r="H1204" i="3"/>
  <c r="G1204" i="3"/>
  <c r="F1204" i="3"/>
  <c r="E1204" i="3"/>
  <c r="D1204" i="3"/>
  <c r="C1204" i="3"/>
  <c r="B1204" i="3"/>
  <c r="A1204" i="3"/>
  <c r="H1203" i="3"/>
  <c r="G1203" i="3"/>
  <c r="F1203" i="3"/>
  <c r="E1203" i="3"/>
  <c r="D1203" i="3"/>
  <c r="C1203" i="3"/>
  <c r="B1203" i="3"/>
  <c r="A1203" i="3"/>
  <c r="H1202" i="3"/>
  <c r="G1202" i="3"/>
  <c r="F1202" i="3"/>
  <c r="E1202" i="3"/>
  <c r="C1202" i="3"/>
  <c r="B1202" i="3"/>
  <c r="A1202" i="3"/>
  <c r="H1201" i="3"/>
  <c r="G1201" i="3"/>
  <c r="F1201" i="3"/>
  <c r="E1201" i="3"/>
  <c r="D1201" i="3"/>
  <c r="C1201" i="3"/>
  <c r="B1201" i="3"/>
  <c r="A1201" i="3"/>
  <c r="H1200" i="3"/>
  <c r="G1200" i="3"/>
  <c r="F1200" i="3"/>
  <c r="E1200" i="3"/>
  <c r="C1200" i="3"/>
  <c r="B1200" i="3"/>
  <c r="A1200" i="3"/>
  <c r="H1199" i="3"/>
  <c r="G1199" i="3"/>
  <c r="F1199" i="3"/>
  <c r="C1199" i="3"/>
  <c r="B1199" i="3"/>
  <c r="A1199" i="3"/>
  <c r="H1198" i="3"/>
  <c r="G1198" i="3"/>
  <c r="F1198" i="3"/>
  <c r="E1198" i="3"/>
  <c r="C1198" i="3"/>
  <c r="B1198" i="3"/>
  <c r="A1198" i="3"/>
  <c r="H1197" i="3"/>
  <c r="G1197" i="3"/>
  <c r="F1197" i="3"/>
  <c r="E1197" i="3"/>
  <c r="C1197" i="3"/>
  <c r="B1197" i="3"/>
  <c r="A1197" i="3"/>
  <c r="H1196" i="3"/>
  <c r="G1196" i="3"/>
  <c r="F1196" i="3"/>
  <c r="E1196" i="3"/>
  <c r="B1196" i="3"/>
  <c r="A1196" i="3"/>
  <c r="H1195" i="3"/>
  <c r="G1195" i="3"/>
  <c r="F1195" i="3"/>
  <c r="E1195" i="3"/>
  <c r="D1195" i="3"/>
  <c r="C1195" i="3"/>
  <c r="B1195" i="3"/>
  <c r="A1195" i="3"/>
  <c r="H1194" i="3"/>
  <c r="G1194" i="3"/>
  <c r="F1194" i="3"/>
  <c r="E1194" i="3"/>
  <c r="B1194" i="3"/>
  <c r="A1194" i="3"/>
  <c r="H1193" i="3"/>
  <c r="G1193" i="3"/>
  <c r="F1193" i="3"/>
  <c r="E1193" i="3"/>
  <c r="B1193" i="3"/>
  <c r="A1193" i="3"/>
  <c r="H1192" i="3"/>
  <c r="G1192" i="3"/>
  <c r="F1192" i="3"/>
  <c r="E1192" i="3"/>
  <c r="D1192" i="3"/>
  <c r="C1192" i="3"/>
  <c r="B1192" i="3"/>
  <c r="A1192" i="3"/>
  <c r="H1191" i="3"/>
  <c r="G1191" i="3"/>
  <c r="F1191" i="3"/>
  <c r="E1191" i="3"/>
  <c r="C1191" i="3"/>
  <c r="B1191" i="3"/>
  <c r="A1191" i="3"/>
  <c r="H1190" i="3"/>
  <c r="G1190" i="3"/>
  <c r="F1190" i="3"/>
  <c r="E1190" i="3"/>
  <c r="C1190" i="3"/>
  <c r="B1190" i="3"/>
  <c r="A1190" i="3"/>
  <c r="H1189" i="3"/>
  <c r="G1189" i="3"/>
  <c r="F1189" i="3"/>
  <c r="E1189" i="3"/>
  <c r="B1189" i="3"/>
  <c r="A1189" i="3"/>
  <c r="H1188" i="3"/>
  <c r="G1188" i="3"/>
  <c r="F1188" i="3"/>
  <c r="A1188" i="3"/>
  <c r="H1187" i="3"/>
  <c r="G1187" i="3"/>
  <c r="F1187" i="3"/>
  <c r="E1187" i="3"/>
  <c r="C1187" i="3"/>
  <c r="B1187" i="3"/>
  <c r="A1187" i="3"/>
  <c r="H1186" i="3"/>
  <c r="G1186" i="3"/>
  <c r="F1186" i="3"/>
  <c r="E1186" i="3"/>
  <c r="D1186" i="3"/>
  <c r="C1186" i="3"/>
  <c r="B1186" i="3"/>
  <c r="A1186" i="3"/>
  <c r="H1185" i="3"/>
  <c r="G1185" i="3"/>
  <c r="F1185" i="3"/>
  <c r="E1185" i="3"/>
  <c r="C1185" i="3"/>
  <c r="B1185" i="3"/>
  <c r="A1185" i="3"/>
  <c r="H1184" i="3"/>
  <c r="G1184" i="3"/>
  <c r="F1184" i="3"/>
  <c r="C1184" i="3"/>
  <c r="B1184" i="3"/>
  <c r="A1184" i="3"/>
  <c r="H1183" i="3"/>
  <c r="G1183" i="3"/>
  <c r="F1183" i="3"/>
  <c r="E1183" i="3"/>
  <c r="A1183" i="3"/>
  <c r="H1182" i="3"/>
  <c r="G1182" i="3"/>
  <c r="F1182" i="3"/>
  <c r="E1182" i="3"/>
  <c r="A1182" i="3"/>
  <c r="H1181" i="3"/>
  <c r="G1181" i="3"/>
  <c r="F1181" i="3"/>
  <c r="A1181" i="3"/>
  <c r="H1180" i="3"/>
  <c r="G1180" i="3"/>
  <c r="F1180" i="3"/>
  <c r="E1180" i="3"/>
  <c r="A1180" i="3"/>
  <c r="H1179" i="3"/>
  <c r="G1179" i="3"/>
  <c r="F1179" i="3"/>
  <c r="E1179" i="3"/>
  <c r="C1179" i="3"/>
  <c r="B1179" i="3"/>
  <c r="A1179" i="3"/>
  <c r="H1178" i="3"/>
  <c r="G1178" i="3"/>
  <c r="F1178" i="3"/>
  <c r="E1178" i="3"/>
  <c r="D1178" i="3"/>
  <c r="C1178" i="3"/>
  <c r="B1178" i="3"/>
  <c r="A1178" i="3"/>
  <c r="H1177" i="3"/>
  <c r="G1177" i="3"/>
  <c r="F1177" i="3"/>
  <c r="E1177" i="3"/>
  <c r="D1177" i="3"/>
  <c r="C1177" i="3"/>
  <c r="B1177" i="3"/>
  <c r="A1177" i="3"/>
  <c r="H1176" i="3"/>
  <c r="G1176" i="3"/>
  <c r="F1176" i="3"/>
  <c r="E1176" i="3"/>
  <c r="D1176" i="3"/>
  <c r="C1176" i="3"/>
  <c r="B1176" i="3"/>
  <c r="A1176" i="3"/>
  <c r="H1175" i="3"/>
  <c r="G1175" i="3"/>
  <c r="F1175" i="3"/>
  <c r="E1175" i="3"/>
  <c r="D1175" i="3"/>
  <c r="C1175" i="3"/>
  <c r="B1175" i="3"/>
  <c r="A1175" i="3"/>
  <c r="H1174" i="3"/>
  <c r="G1174" i="3"/>
  <c r="F1174" i="3"/>
  <c r="E1174" i="3"/>
  <c r="D1174" i="3"/>
  <c r="C1174" i="3"/>
  <c r="B1174" i="3"/>
  <c r="A1174" i="3"/>
  <c r="H1173" i="3"/>
  <c r="G1173" i="3"/>
  <c r="F1173" i="3"/>
  <c r="E1173" i="3"/>
  <c r="C1173" i="3"/>
  <c r="A1173" i="3"/>
  <c r="H1172" i="3"/>
  <c r="G1172" i="3"/>
  <c r="F1172" i="3"/>
  <c r="E1172" i="3"/>
  <c r="C1172" i="3"/>
  <c r="B1172" i="3"/>
  <c r="A1172" i="3"/>
  <c r="H1171" i="3"/>
  <c r="G1171" i="3"/>
  <c r="F1171" i="3"/>
  <c r="E1171" i="3"/>
  <c r="A1171" i="3"/>
  <c r="H1170" i="3"/>
  <c r="G1170" i="3"/>
  <c r="F1170" i="3"/>
  <c r="E1170" i="3"/>
  <c r="B1170" i="3"/>
  <c r="A1170" i="3"/>
  <c r="H1169" i="3"/>
  <c r="G1169" i="3"/>
  <c r="F1169" i="3"/>
  <c r="E1169" i="3"/>
  <c r="A1169" i="3"/>
  <c r="H1168" i="3"/>
  <c r="G1168" i="3"/>
  <c r="F1168" i="3"/>
  <c r="A1168" i="3"/>
  <c r="H1167" i="3"/>
  <c r="G1167" i="3"/>
  <c r="F1167" i="3"/>
  <c r="A1167" i="3"/>
  <c r="H1166" i="3"/>
  <c r="G1166" i="3"/>
  <c r="F1166" i="3"/>
  <c r="C1166" i="3"/>
  <c r="B1166" i="3"/>
  <c r="A1166" i="3"/>
  <c r="H1165" i="3"/>
  <c r="G1165" i="3"/>
  <c r="F1165" i="3"/>
  <c r="E1165" i="3"/>
  <c r="B1165" i="3"/>
  <c r="A1165" i="3"/>
  <c r="H1164" i="3"/>
  <c r="G1164" i="3"/>
  <c r="F1164" i="3"/>
  <c r="E1164" i="3"/>
  <c r="C1164" i="3"/>
  <c r="B1164" i="3"/>
  <c r="A1164" i="3"/>
  <c r="H1163" i="3"/>
  <c r="G1163" i="3"/>
  <c r="F1163" i="3"/>
  <c r="E1163" i="3"/>
  <c r="A1163" i="3"/>
  <c r="H1162" i="3"/>
  <c r="G1162" i="3"/>
  <c r="F1162" i="3"/>
  <c r="E1162" i="3"/>
  <c r="C1162" i="3"/>
  <c r="B1162" i="3"/>
  <c r="A1162" i="3"/>
  <c r="H1161" i="3"/>
  <c r="G1161" i="3"/>
  <c r="F1161" i="3"/>
  <c r="E1161" i="3"/>
  <c r="A1161" i="3"/>
  <c r="H1160" i="3"/>
  <c r="G1160" i="3"/>
  <c r="F1160" i="3"/>
  <c r="E1160" i="3"/>
  <c r="C1160" i="3"/>
  <c r="B1160" i="3"/>
  <c r="A1160" i="3"/>
  <c r="H1159" i="3"/>
  <c r="G1159" i="3"/>
  <c r="F1159" i="3"/>
  <c r="E1159" i="3"/>
  <c r="D1159" i="3"/>
  <c r="C1159" i="3"/>
  <c r="B1159" i="3"/>
  <c r="A1159" i="3"/>
  <c r="H1158" i="3"/>
  <c r="G1158" i="3"/>
  <c r="F1158" i="3"/>
  <c r="E1158" i="3"/>
  <c r="D1158" i="3"/>
  <c r="C1158" i="3"/>
  <c r="B1158" i="3"/>
  <c r="A1158" i="3"/>
  <c r="H1157" i="3"/>
  <c r="G1157" i="3"/>
  <c r="F1157" i="3"/>
  <c r="A1157" i="3"/>
  <c r="H1156" i="3"/>
  <c r="G1156" i="3"/>
  <c r="F1156" i="3"/>
  <c r="C1156" i="3"/>
  <c r="B1156" i="3"/>
  <c r="A1156" i="3"/>
  <c r="H1155" i="3"/>
  <c r="G1155" i="3"/>
  <c r="F1155" i="3"/>
  <c r="A1155" i="3"/>
  <c r="H1154" i="3"/>
  <c r="G1154" i="3"/>
  <c r="F1154" i="3"/>
  <c r="E1154" i="3"/>
  <c r="D1154" i="3"/>
  <c r="C1154" i="3"/>
  <c r="B1154" i="3"/>
  <c r="A1154" i="3"/>
  <c r="H1153" i="3"/>
  <c r="G1153" i="3"/>
  <c r="F1153" i="3"/>
  <c r="E1153" i="3"/>
  <c r="A1153" i="3"/>
  <c r="H1152" i="3"/>
  <c r="G1152" i="3"/>
  <c r="F1152" i="3"/>
  <c r="E1152" i="3"/>
  <c r="A1152" i="3"/>
  <c r="H1151" i="3"/>
  <c r="G1151" i="3"/>
  <c r="F1151" i="3"/>
  <c r="A1151" i="3"/>
  <c r="H1150" i="3"/>
  <c r="G1150" i="3"/>
  <c r="F1150" i="3"/>
  <c r="E1150" i="3"/>
  <c r="D1150" i="3"/>
  <c r="C1150" i="3"/>
  <c r="B1150" i="3"/>
  <c r="A1150" i="3"/>
  <c r="H1149" i="3"/>
  <c r="G1149" i="3"/>
  <c r="F1149" i="3"/>
  <c r="E1149" i="3"/>
  <c r="D1149" i="3"/>
  <c r="C1149" i="3"/>
  <c r="B1149" i="3"/>
  <c r="A1149" i="3"/>
  <c r="H1148" i="3"/>
  <c r="G1148" i="3"/>
  <c r="F1148" i="3"/>
  <c r="E1148" i="3"/>
  <c r="C1148" i="3"/>
  <c r="B1148" i="3"/>
  <c r="A1148" i="3"/>
  <c r="H1147" i="3"/>
  <c r="G1147" i="3"/>
  <c r="F1147" i="3"/>
  <c r="E1147" i="3"/>
  <c r="A1147" i="3"/>
  <c r="H1146" i="3"/>
  <c r="G1146" i="3"/>
  <c r="F1146" i="3"/>
  <c r="E1146" i="3"/>
  <c r="B1146" i="3"/>
  <c r="A1146" i="3"/>
  <c r="H1145" i="3"/>
  <c r="G1145" i="3"/>
  <c r="F1145" i="3"/>
  <c r="E1145" i="3"/>
  <c r="C1145" i="3"/>
  <c r="B1145" i="3"/>
  <c r="A1145" i="3"/>
  <c r="H1144" i="3"/>
  <c r="G1144" i="3"/>
  <c r="F1144" i="3"/>
  <c r="E1144" i="3"/>
  <c r="A1144" i="3"/>
  <c r="H1143" i="3"/>
  <c r="G1143" i="3"/>
  <c r="F1143" i="3"/>
  <c r="E1143" i="3"/>
  <c r="D1143" i="3"/>
  <c r="C1143" i="3"/>
  <c r="B1143" i="3"/>
  <c r="A1143" i="3"/>
  <c r="H1142" i="3"/>
  <c r="G1142" i="3"/>
  <c r="F1142" i="3"/>
  <c r="E1142" i="3"/>
  <c r="D1142" i="3"/>
  <c r="C1142" i="3"/>
  <c r="B1142" i="3"/>
  <c r="A1142" i="3"/>
  <c r="H1141" i="3"/>
  <c r="G1141" i="3"/>
  <c r="F1141" i="3"/>
  <c r="E1141" i="3"/>
  <c r="C1141" i="3"/>
  <c r="B1141" i="3"/>
  <c r="A1141" i="3"/>
  <c r="H1140" i="3"/>
  <c r="G1140" i="3"/>
  <c r="F1140" i="3"/>
  <c r="E1140" i="3"/>
  <c r="C1140" i="3"/>
  <c r="B1140" i="3"/>
  <c r="A1140" i="3"/>
  <c r="H1139" i="3"/>
  <c r="G1139" i="3"/>
  <c r="F1139" i="3"/>
  <c r="E1139" i="3"/>
  <c r="C1139" i="3"/>
  <c r="B1139" i="3"/>
  <c r="A1139" i="3"/>
  <c r="H1138" i="3"/>
  <c r="G1138" i="3"/>
  <c r="F1138" i="3"/>
  <c r="E1138" i="3"/>
  <c r="A1138" i="3"/>
  <c r="H1137" i="3"/>
  <c r="G1137" i="3"/>
  <c r="F1137" i="3"/>
  <c r="E1137" i="3"/>
  <c r="A1137" i="3"/>
  <c r="H1136" i="3"/>
  <c r="G1136" i="3"/>
  <c r="F1136" i="3"/>
  <c r="E1136" i="3"/>
  <c r="A1136" i="3"/>
  <c r="H1135" i="3"/>
  <c r="G1135" i="3"/>
  <c r="F1135" i="3"/>
  <c r="A1135" i="3"/>
  <c r="H1134" i="3"/>
  <c r="G1134" i="3"/>
  <c r="F1134" i="3"/>
  <c r="A1134" i="3"/>
  <c r="H1133" i="3"/>
  <c r="G1133" i="3"/>
  <c r="F1133" i="3"/>
  <c r="E1133" i="3"/>
  <c r="C1133" i="3"/>
  <c r="B1133" i="3"/>
  <c r="A1133" i="3"/>
  <c r="H1132" i="3"/>
  <c r="G1132" i="3"/>
  <c r="F1132" i="3"/>
  <c r="A1132" i="3"/>
  <c r="H1131" i="3"/>
  <c r="G1131" i="3"/>
  <c r="F1131" i="3"/>
  <c r="E1131" i="3"/>
  <c r="A1131" i="3"/>
  <c r="H1130" i="3"/>
  <c r="G1130" i="3"/>
  <c r="F1130" i="3"/>
  <c r="E1130" i="3"/>
  <c r="C1130" i="3"/>
  <c r="B1130" i="3"/>
  <c r="A1130" i="3"/>
  <c r="H1129" i="3"/>
  <c r="G1129" i="3"/>
  <c r="F1129" i="3"/>
  <c r="E1129" i="3"/>
  <c r="C1129" i="3"/>
  <c r="B1129" i="3"/>
  <c r="A1129" i="3"/>
  <c r="H1128" i="3"/>
  <c r="G1128" i="3"/>
  <c r="F1128" i="3"/>
  <c r="E1128" i="3"/>
  <c r="B1128" i="3"/>
  <c r="A1128" i="3"/>
  <c r="H1127" i="3"/>
  <c r="G1127" i="3"/>
  <c r="F1127" i="3"/>
  <c r="E1127" i="3"/>
  <c r="B1127" i="3"/>
  <c r="A1127" i="3"/>
  <c r="H1126" i="3"/>
  <c r="G1126" i="3"/>
  <c r="F1126" i="3"/>
  <c r="D1126" i="3"/>
  <c r="C1126" i="3"/>
  <c r="B1126" i="3"/>
  <c r="A1126" i="3"/>
  <c r="H1125" i="3"/>
  <c r="G1125" i="3"/>
  <c r="F1125" i="3"/>
  <c r="E1125" i="3"/>
  <c r="D1125" i="3"/>
  <c r="C1125" i="3"/>
  <c r="B1125" i="3"/>
  <c r="A1125" i="3"/>
  <c r="H1124" i="3"/>
  <c r="G1124" i="3"/>
  <c r="F1124" i="3"/>
  <c r="E1124" i="3"/>
  <c r="A1124" i="3"/>
  <c r="H1123" i="3"/>
  <c r="G1123" i="3"/>
  <c r="F1123" i="3"/>
  <c r="E1123" i="3"/>
  <c r="C1123" i="3"/>
  <c r="A1123" i="3"/>
  <c r="H1122" i="3"/>
  <c r="G1122" i="3"/>
  <c r="F1122" i="3"/>
  <c r="E1122" i="3"/>
  <c r="D1122" i="3"/>
  <c r="C1122" i="3"/>
  <c r="B1122" i="3"/>
  <c r="A1122" i="3"/>
  <c r="H1121" i="3"/>
  <c r="G1121" i="3"/>
  <c r="F1121" i="3"/>
  <c r="E1121" i="3"/>
  <c r="A1121" i="3"/>
  <c r="H1120" i="3"/>
  <c r="G1120" i="3"/>
  <c r="F1120" i="3"/>
  <c r="E1120" i="3"/>
  <c r="D1120" i="3"/>
  <c r="C1120" i="3"/>
  <c r="B1120" i="3"/>
  <c r="A1120" i="3"/>
  <c r="H1119" i="3"/>
  <c r="G1119" i="3"/>
  <c r="F1119" i="3"/>
  <c r="E1119" i="3"/>
  <c r="C1119" i="3"/>
  <c r="B1119" i="3"/>
  <c r="A1119" i="3"/>
  <c r="H1118" i="3"/>
  <c r="G1118" i="3"/>
  <c r="F1118" i="3"/>
  <c r="E1118" i="3"/>
  <c r="A1118" i="3"/>
  <c r="H1117" i="3"/>
  <c r="G1117" i="3"/>
  <c r="F1117" i="3"/>
  <c r="E1117" i="3"/>
  <c r="C1117" i="3"/>
  <c r="B1117" i="3"/>
  <c r="A1117" i="3"/>
  <c r="H1116" i="3"/>
  <c r="G1116" i="3"/>
  <c r="F1116" i="3"/>
  <c r="E1116" i="3"/>
  <c r="C1116" i="3"/>
  <c r="B1116" i="3"/>
  <c r="A1116" i="3"/>
  <c r="H1115" i="3"/>
  <c r="G1115" i="3"/>
  <c r="F1115" i="3"/>
  <c r="E1115" i="3"/>
  <c r="D1115" i="3"/>
  <c r="C1115" i="3"/>
  <c r="B1115" i="3"/>
  <c r="A1115" i="3"/>
  <c r="H1114" i="3"/>
  <c r="G1114" i="3"/>
  <c r="F1114" i="3"/>
  <c r="E1114" i="3"/>
  <c r="A1114" i="3"/>
  <c r="H1113" i="3"/>
  <c r="G1113" i="3"/>
  <c r="F1113" i="3"/>
  <c r="E1113" i="3"/>
  <c r="A1113" i="3"/>
  <c r="H1112" i="3"/>
  <c r="G1112" i="3"/>
  <c r="F1112" i="3"/>
  <c r="E1112" i="3"/>
  <c r="C1112" i="3"/>
  <c r="B1112" i="3"/>
  <c r="A1112" i="3"/>
  <c r="H1111" i="3"/>
  <c r="G1111" i="3"/>
  <c r="F1111" i="3"/>
  <c r="E1111" i="3"/>
  <c r="D1111" i="3"/>
  <c r="C1111" i="3"/>
  <c r="B1111" i="3"/>
  <c r="A1111" i="3"/>
  <c r="H1110" i="3"/>
  <c r="G1110" i="3"/>
  <c r="F1110" i="3"/>
  <c r="E1110" i="3"/>
  <c r="C1110" i="3"/>
  <c r="B1110" i="3"/>
  <c r="A1110" i="3"/>
  <c r="H1109" i="3"/>
  <c r="G1109" i="3"/>
  <c r="F1109" i="3"/>
  <c r="E1109" i="3"/>
  <c r="D1109" i="3"/>
  <c r="C1109" i="3"/>
  <c r="B1109" i="3"/>
  <c r="A1109" i="3"/>
  <c r="H1108" i="3"/>
  <c r="G1108" i="3"/>
  <c r="F1108" i="3"/>
  <c r="E1108" i="3"/>
  <c r="A1108" i="3"/>
  <c r="H1107" i="3"/>
  <c r="G1107" i="3"/>
  <c r="F1107" i="3"/>
  <c r="E1107" i="3"/>
  <c r="B1107" i="3"/>
  <c r="A1107" i="3"/>
  <c r="H1106" i="3"/>
  <c r="G1106" i="3"/>
  <c r="F1106" i="3"/>
  <c r="E1106" i="3"/>
  <c r="D1106" i="3"/>
  <c r="C1106" i="3"/>
  <c r="B1106" i="3"/>
  <c r="A1106" i="3"/>
  <c r="H1105" i="3"/>
  <c r="G1105" i="3"/>
  <c r="F1105" i="3"/>
  <c r="E1105" i="3"/>
  <c r="D1105" i="3"/>
  <c r="C1105" i="3"/>
  <c r="B1105" i="3"/>
  <c r="A1105" i="3"/>
  <c r="H1104" i="3"/>
  <c r="G1104" i="3"/>
  <c r="F1104" i="3"/>
  <c r="E1104" i="3"/>
  <c r="C1104" i="3"/>
  <c r="B1104" i="3"/>
  <c r="A1104" i="3"/>
  <c r="H1103" i="3"/>
  <c r="G1103" i="3"/>
  <c r="F1103" i="3"/>
  <c r="E1103" i="3"/>
  <c r="D1103" i="3"/>
  <c r="C1103" i="3"/>
  <c r="B1103" i="3"/>
  <c r="A1103" i="3"/>
  <c r="H1102" i="3"/>
  <c r="G1102" i="3"/>
  <c r="F1102" i="3"/>
  <c r="C1102" i="3"/>
  <c r="B1102" i="3"/>
  <c r="A1102" i="3"/>
  <c r="H1101" i="3"/>
  <c r="G1101" i="3"/>
  <c r="F1101" i="3"/>
  <c r="C1101" i="3"/>
  <c r="B1101" i="3"/>
  <c r="A1101" i="3"/>
  <c r="H1100" i="3"/>
  <c r="G1100" i="3"/>
  <c r="F1100" i="3"/>
  <c r="E1100" i="3"/>
  <c r="C1100" i="3"/>
  <c r="B1100" i="3"/>
  <c r="A1100" i="3"/>
  <c r="H1099" i="3"/>
  <c r="G1099" i="3"/>
  <c r="F1099" i="3"/>
  <c r="E1099" i="3"/>
  <c r="C1099" i="3"/>
  <c r="B1099" i="3"/>
  <c r="A1099" i="3"/>
  <c r="H1098" i="3"/>
  <c r="G1098" i="3"/>
  <c r="F1098" i="3"/>
  <c r="E1098" i="3"/>
  <c r="A1098" i="3"/>
  <c r="H1097" i="3"/>
  <c r="G1097" i="3"/>
  <c r="F1097" i="3"/>
  <c r="E1097" i="3"/>
  <c r="C1097" i="3"/>
  <c r="B1097" i="3"/>
  <c r="A1097" i="3"/>
  <c r="H1096" i="3"/>
  <c r="G1096" i="3"/>
  <c r="F1096" i="3"/>
  <c r="A1096" i="3"/>
  <c r="H1095" i="3"/>
  <c r="G1095" i="3"/>
  <c r="F1095" i="3"/>
  <c r="E1095" i="3"/>
  <c r="C1095" i="3"/>
  <c r="B1095" i="3"/>
  <c r="A1095" i="3"/>
  <c r="H1094" i="3"/>
  <c r="G1094" i="3"/>
  <c r="F1094" i="3"/>
  <c r="E1094" i="3"/>
  <c r="C1094" i="3"/>
  <c r="B1094" i="3"/>
  <c r="A1094" i="3"/>
  <c r="H1093" i="3"/>
  <c r="G1093" i="3"/>
  <c r="F1093" i="3"/>
  <c r="E1093" i="3"/>
  <c r="D1093" i="3"/>
  <c r="C1093" i="3"/>
  <c r="B1093" i="3"/>
  <c r="A1093" i="3"/>
  <c r="H1092" i="3"/>
  <c r="G1092" i="3"/>
  <c r="F1092" i="3"/>
  <c r="E1092" i="3"/>
  <c r="D1092" i="3"/>
  <c r="C1092" i="3"/>
  <c r="B1092" i="3"/>
  <c r="A1092" i="3"/>
  <c r="H1091" i="3"/>
  <c r="G1091" i="3"/>
  <c r="F1091" i="3"/>
  <c r="E1091" i="3"/>
  <c r="D1091" i="3"/>
  <c r="C1091" i="3"/>
  <c r="B1091" i="3"/>
  <c r="A1091" i="3"/>
  <c r="H1090" i="3"/>
  <c r="G1090" i="3"/>
  <c r="F1090" i="3"/>
  <c r="E1090" i="3"/>
  <c r="D1090" i="3"/>
  <c r="C1090" i="3"/>
  <c r="B1090" i="3"/>
  <c r="A1090" i="3"/>
  <c r="H1089" i="3"/>
  <c r="G1089" i="3"/>
  <c r="F1089" i="3"/>
  <c r="E1089" i="3"/>
  <c r="A1089" i="3"/>
  <c r="H1088" i="3"/>
  <c r="G1088" i="3"/>
  <c r="F1088" i="3"/>
  <c r="E1088" i="3"/>
  <c r="D1088" i="3"/>
  <c r="C1088" i="3"/>
  <c r="B1088" i="3"/>
  <c r="A1088" i="3"/>
  <c r="H1087" i="3"/>
  <c r="G1087" i="3"/>
  <c r="F1087" i="3"/>
  <c r="E1087" i="3"/>
  <c r="D1087" i="3"/>
  <c r="C1087" i="3"/>
  <c r="B1087" i="3"/>
  <c r="A1087" i="3"/>
  <c r="H1086" i="3"/>
  <c r="G1086" i="3"/>
  <c r="F1086" i="3"/>
  <c r="E1086" i="3"/>
  <c r="C1086" i="3"/>
  <c r="B1086" i="3"/>
  <c r="A1086" i="3"/>
  <c r="H1085" i="3"/>
  <c r="G1085" i="3"/>
  <c r="F1085" i="3"/>
  <c r="E1085" i="3"/>
  <c r="C1085" i="3"/>
  <c r="B1085" i="3"/>
  <c r="A1085" i="3"/>
  <c r="H1084" i="3"/>
  <c r="G1084" i="3"/>
  <c r="F1084" i="3"/>
  <c r="E1084" i="3"/>
  <c r="D1084" i="3"/>
  <c r="C1084" i="3"/>
  <c r="B1084" i="3"/>
  <c r="A1084" i="3"/>
  <c r="H1083" i="3"/>
  <c r="G1083" i="3"/>
  <c r="F1083" i="3"/>
  <c r="E1083" i="3"/>
  <c r="C1083" i="3"/>
  <c r="B1083" i="3"/>
  <c r="A1083" i="3"/>
  <c r="H1082" i="3"/>
  <c r="G1082" i="3"/>
  <c r="F1082" i="3"/>
  <c r="E1082" i="3"/>
  <c r="C1082" i="3"/>
  <c r="B1082" i="3"/>
  <c r="A1082" i="3"/>
  <c r="H1081" i="3"/>
  <c r="G1081" i="3"/>
  <c r="F1081" i="3"/>
  <c r="E1081" i="3"/>
  <c r="C1081" i="3"/>
  <c r="B1081" i="3"/>
  <c r="A1081" i="3"/>
  <c r="H1080" i="3"/>
  <c r="G1080" i="3"/>
  <c r="F1080" i="3"/>
  <c r="E1080" i="3"/>
  <c r="C1080" i="3"/>
  <c r="B1080" i="3"/>
  <c r="A1080" i="3"/>
  <c r="H1079" i="3"/>
  <c r="G1079" i="3"/>
  <c r="F1079" i="3"/>
  <c r="E1079" i="3"/>
  <c r="C1079" i="3"/>
  <c r="B1079" i="3"/>
  <c r="A1079" i="3"/>
  <c r="H1078" i="3"/>
  <c r="G1078" i="3"/>
  <c r="F1078" i="3"/>
  <c r="E1078" i="3"/>
  <c r="C1078" i="3"/>
  <c r="B1078" i="3"/>
  <c r="A1078" i="3"/>
  <c r="H1077" i="3"/>
  <c r="G1077" i="3"/>
  <c r="F1077" i="3"/>
  <c r="E1077" i="3"/>
  <c r="C1077" i="3"/>
  <c r="B1077" i="3"/>
  <c r="A1077" i="3"/>
  <c r="H1076" i="3"/>
  <c r="G1076" i="3"/>
  <c r="F1076" i="3"/>
  <c r="E1076" i="3"/>
  <c r="B1076" i="3"/>
  <c r="A1076" i="3"/>
  <c r="H1075" i="3"/>
  <c r="G1075" i="3"/>
  <c r="F1075" i="3"/>
  <c r="E1075" i="3"/>
  <c r="B1075" i="3"/>
  <c r="A1075" i="3"/>
  <c r="H1074" i="3"/>
  <c r="G1074" i="3"/>
  <c r="F1074" i="3"/>
  <c r="E1074" i="3"/>
  <c r="C1074" i="3"/>
  <c r="B1074" i="3"/>
  <c r="A1074" i="3"/>
  <c r="H1073" i="3"/>
  <c r="G1073" i="3"/>
  <c r="F1073" i="3"/>
  <c r="E1073" i="3"/>
  <c r="C1073" i="3"/>
  <c r="B1073" i="3"/>
  <c r="A1073" i="3"/>
  <c r="H1072" i="3"/>
  <c r="G1072" i="3"/>
  <c r="F1072" i="3"/>
  <c r="E1072" i="3"/>
  <c r="C1072" i="3"/>
  <c r="B1072" i="3"/>
  <c r="A1072" i="3"/>
  <c r="H1071" i="3"/>
  <c r="G1071" i="3"/>
  <c r="F1071" i="3"/>
  <c r="E1071" i="3"/>
  <c r="C1071" i="3"/>
  <c r="B1071" i="3"/>
  <c r="A1071" i="3"/>
  <c r="H1070" i="3"/>
  <c r="G1070" i="3"/>
  <c r="F1070" i="3"/>
  <c r="E1070" i="3"/>
  <c r="A1070" i="3"/>
  <c r="H1069" i="3"/>
  <c r="G1069" i="3"/>
  <c r="F1069" i="3"/>
  <c r="E1069" i="3"/>
  <c r="D1069" i="3"/>
  <c r="C1069" i="3"/>
  <c r="B1069" i="3"/>
  <c r="A1069" i="3"/>
  <c r="H1068" i="3"/>
  <c r="G1068" i="3"/>
  <c r="F1068" i="3"/>
  <c r="E1068" i="3"/>
  <c r="C1068" i="3"/>
  <c r="B1068" i="3"/>
  <c r="A1068" i="3"/>
  <c r="H1067" i="3"/>
  <c r="G1067" i="3"/>
  <c r="F1067" i="3"/>
  <c r="E1067" i="3"/>
  <c r="C1067" i="3"/>
  <c r="B1067" i="3"/>
  <c r="A1067" i="3"/>
  <c r="H1066" i="3"/>
  <c r="G1066" i="3"/>
  <c r="F1066" i="3"/>
  <c r="E1066" i="3"/>
  <c r="D1066" i="3"/>
  <c r="C1066" i="3"/>
  <c r="B1066" i="3"/>
  <c r="A1066" i="3"/>
  <c r="H1065" i="3"/>
  <c r="G1065" i="3"/>
  <c r="F1065" i="3"/>
  <c r="E1065" i="3"/>
  <c r="C1065" i="3"/>
  <c r="B1065" i="3"/>
  <c r="A1065" i="3"/>
  <c r="H1064" i="3"/>
  <c r="G1064" i="3"/>
  <c r="F1064" i="3"/>
  <c r="E1064" i="3"/>
  <c r="D1064" i="3"/>
  <c r="C1064" i="3"/>
  <c r="B1064" i="3"/>
  <c r="A1064" i="3"/>
  <c r="H1063" i="3"/>
  <c r="G1063" i="3"/>
  <c r="F1063" i="3"/>
  <c r="E1063" i="3"/>
  <c r="C1063" i="3"/>
  <c r="B1063" i="3"/>
  <c r="A1063" i="3"/>
  <c r="H1062" i="3"/>
  <c r="G1062" i="3"/>
  <c r="F1062" i="3"/>
  <c r="E1062" i="3"/>
  <c r="C1062" i="3"/>
  <c r="B1062" i="3"/>
  <c r="A1062" i="3"/>
  <c r="H1061" i="3"/>
  <c r="G1061" i="3"/>
  <c r="F1061" i="3"/>
  <c r="C1061" i="3"/>
  <c r="B1061" i="3"/>
  <c r="A1061" i="3"/>
  <c r="H1060" i="3"/>
  <c r="G1060" i="3"/>
  <c r="F1060" i="3"/>
  <c r="E1060" i="3"/>
  <c r="A1060" i="3"/>
  <c r="H1059" i="3"/>
  <c r="G1059" i="3"/>
  <c r="F1059" i="3"/>
  <c r="E1059" i="3"/>
  <c r="A1059" i="3"/>
  <c r="H1058" i="3"/>
  <c r="G1058" i="3"/>
  <c r="F1058" i="3"/>
  <c r="A1058" i="3"/>
  <c r="H1057" i="3"/>
  <c r="G1057" i="3"/>
  <c r="F1057" i="3"/>
  <c r="C1057" i="3"/>
  <c r="B1057" i="3"/>
  <c r="A1057" i="3"/>
  <c r="H1056" i="3"/>
  <c r="G1056" i="3"/>
  <c r="F1056" i="3"/>
  <c r="E1056" i="3"/>
  <c r="C1056" i="3"/>
  <c r="B1056" i="3"/>
  <c r="A1056" i="3"/>
  <c r="H1055" i="3"/>
  <c r="G1055" i="3"/>
  <c r="F1055" i="3"/>
  <c r="E1055" i="3"/>
  <c r="C1055" i="3"/>
  <c r="B1055" i="3"/>
  <c r="A1055" i="3"/>
  <c r="H1054" i="3"/>
  <c r="G1054" i="3"/>
  <c r="F1054" i="3"/>
  <c r="E1054" i="3"/>
  <c r="C1054" i="3"/>
  <c r="B1054" i="3"/>
  <c r="A1054" i="3"/>
  <c r="H1053" i="3"/>
  <c r="G1053" i="3"/>
  <c r="F1053" i="3"/>
  <c r="E1053" i="3"/>
  <c r="C1053" i="3"/>
  <c r="B1053" i="3"/>
  <c r="A1053" i="3"/>
  <c r="H1052" i="3"/>
  <c r="G1052" i="3"/>
  <c r="F1052" i="3"/>
  <c r="E1052" i="3"/>
  <c r="D1052" i="3"/>
  <c r="C1052" i="3"/>
  <c r="B1052" i="3"/>
  <c r="A1052" i="3"/>
  <c r="H1051" i="3"/>
  <c r="G1051" i="3"/>
  <c r="F1051" i="3"/>
  <c r="E1051" i="3"/>
  <c r="D1051" i="3"/>
  <c r="C1051" i="3"/>
  <c r="B1051" i="3"/>
  <c r="A1051" i="3"/>
  <c r="H1050" i="3"/>
  <c r="G1050" i="3"/>
  <c r="F1050" i="3"/>
  <c r="E1050" i="3"/>
  <c r="D1050" i="3"/>
  <c r="C1050" i="3"/>
  <c r="B1050" i="3"/>
  <c r="A1050" i="3"/>
  <c r="H1049" i="3"/>
  <c r="G1049" i="3"/>
  <c r="F1049" i="3"/>
  <c r="E1049" i="3"/>
  <c r="C1049" i="3"/>
  <c r="B1049" i="3"/>
  <c r="A1049" i="3"/>
  <c r="H1048" i="3"/>
  <c r="G1048" i="3"/>
  <c r="F1048" i="3"/>
  <c r="E1048" i="3"/>
  <c r="C1048" i="3"/>
  <c r="A1048" i="3"/>
  <c r="H1047" i="3"/>
  <c r="G1047" i="3"/>
  <c r="F1047" i="3"/>
  <c r="E1047" i="3"/>
  <c r="D1047" i="3"/>
  <c r="C1047" i="3"/>
  <c r="B1047" i="3"/>
  <c r="A1047" i="3"/>
  <c r="H1046" i="3"/>
  <c r="G1046" i="3"/>
  <c r="F1046" i="3"/>
  <c r="A1046" i="3"/>
  <c r="H1045" i="3"/>
  <c r="G1045" i="3"/>
  <c r="F1045" i="3"/>
  <c r="A1045" i="3"/>
  <c r="H1044" i="3"/>
  <c r="G1044" i="3"/>
  <c r="F1044" i="3"/>
  <c r="A1044" i="3"/>
  <c r="H1043" i="3"/>
  <c r="G1043" i="3"/>
  <c r="F1043" i="3"/>
  <c r="C1043" i="3"/>
  <c r="A1043" i="3"/>
  <c r="H1042" i="3"/>
  <c r="G1042" i="3"/>
  <c r="F1042" i="3"/>
  <c r="E1042" i="3"/>
  <c r="B1042" i="3"/>
  <c r="A1042" i="3"/>
  <c r="H1041" i="3"/>
  <c r="G1041" i="3"/>
  <c r="F1041" i="3"/>
  <c r="B1041" i="3"/>
  <c r="A1041" i="3"/>
  <c r="H1040" i="3"/>
  <c r="G1040" i="3"/>
  <c r="F1040" i="3"/>
  <c r="E1040" i="3"/>
  <c r="B1040" i="3"/>
  <c r="A1040" i="3"/>
  <c r="H1039" i="3"/>
  <c r="G1039" i="3"/>
  <c r="F1039" i="3"/>
  <c r="A1039" i="3"/>
  <c r="H1038" i="3"/>
  <c r="G1038" i="3"/>
  <c r="F1038" i="3"/>
  <c r="E1038" i="3"/>
  <c r="B1038" i="3"/>
  <c r="A1038" i="3"/>
  <c r="H1037" i="3"/>
  <c r="G1037" i="3"/>
  <c r="F1037" i="3"/>
  <c r="E1037" i="3"/>
  <c r="C1037" i="3"/>
  <c r="B1037" i="3"/>
  <c r="A1037" i="3"/>
  <c r="H1036" i="3"/>
  <c r="G1036" i="3"/>
  <c r="F1036" i="3"/>
  <c r="E1036" i="3"/>
  <c r="B1036" i="3"/>
  <c r="A1036" i="3"/>
  <c r="H1035" i="3"/>
  <c r="G1035" i="3"/>
  <c r="F1035" i="3"/>
  <c r="E1035" i="3"/>
  <c r="B1035" i="3"/>
  <c r="A1035" i="3"/>
  <c r="H1034" i="3"/>
  <c r="G1034" i="3"/>
  <c r="F1034" i="3"/>
  <c r="E1034" i="3"/>
  <c r="A1034" i="3"/>
  <c r="H1033" i="3"/>
  <c r="G1033" i="3"/>
  <c r="F1033" i="3"/>
  <c r="E1033" i="3"/>
  <c r="C1033" i="3"/>
  <c r="B1033" i="3"/>
  <c r="A1033" i="3"/>
  <c r="H1032" i="3"/>
  <c r="G1032" i="3"/>
  <c r="F1032" i="3"/>
  <c r="A1032" i="3"/>
  <c r="H1031" i="3"/>
  <c r="G1031" i="3"/>
  <c r="F1031" i="3"/>
  <c r="E1031" i="3"/>
  <c r="D1031" i="3"/>
  <c r="C1031" i="3"/>
  <c r="B1031" i="3"/>
  <c r="A1031" i="3"/>
  <c r="H1030" i="3"/>
  <c r="G1030" i="3"/>
  <c r="F1030" i="3"/>
  <c r="E1030" i="3"/>
  <c r="D1030" i="3"/>
  <c r="C1030" i="3"/>
  <c r="B1030" i="3"/>
  <c r="A1030" i="3"/>
  <c r="H1029" i="3"/>
  <c r="G1029" i="3"/>
  <c r="F1029" i="3"/>
  <c r="A1029" i="3"/>
  <c r="H1028" i="3"/>
  <c r="G1028" i="3"/>
  <c r="F1028" i="3"/>
  <c r="E1028" i="3"/>
  <c r="C1028" i="3"/>
  <c r="B1028" i="3"/>
  <c r="A1028" i="3"/>
  <c r="H1027" i="3"/>
  <c r="G1027" i="3"/>
  <c r="F1027" i="3"/>
  <c r="A1027" i="3"/>
  <c r="H1026" i="3"/>
  <c r="G1026" i="3"/>
  <c r="F1026" i="3"/>
  <c r="E1026" i="3"/>
  <c r="A1026" i="3"/>
  <c r="H1025" i="3"/>
  <c r="G1025" i="3"/>
  <c r="F1025" i="3"/>
  <c r="E1025" i="3"/>
  <c r="B1025" i="3"/>
  <c r="A1025" i="3"/>
  <c r="E1024" i="3"/>
  <c r="A1024" i="3"/>
  <c r="H1023" i="3"/>
  <c r="G1023" i="3"/>
  <c r="F1023" i="3"/>
  <c r="A1023" i="3"/>
  <c r="H1022" i="3"/>
  <c r="G1022" i="3"/>
  <c r="F1022" i="3"/>
  <c r="E1022" i="3"/>
  <c r="D1022" i="3"/>
  <c r="C1022" i="3"/>
  <c r="B1022" i="3"/>
  <c r="A1022" i="3"/>
  <c r="H1021" i="3"/>
  <c r="G1021" i="3"/>
  <c r="F1021" i="3"/>
  <c r="E1021" i="3"/>
  <c r="A1021" i="3"/>
  <c r="H1020" i="3"/>
  <c r="G1020" i="3"/>
  <c r="F1020" i="3"/>
  <c r="A1020" i="3"/>
  <c r="H1019" i="3"/>
  <c r="G1019" i="3"/>
  <c r="F1019" i="3"/>
  <c r="E1019" i="3"/>
  <c r="A1019" i="3"/>
  <c r="H1018" i="3"/>
  <c r="G1018" i="3"/>
  <c r="F1018" i="3"/>
  <c r="E1018" i="3"/>
  <c r="C1018" i="3"/>
  <c r="B1018" i="3"/>
  <c r="A1018" i="3"/>
  <c r="H1017" i="3"/>
  <c r="G1017" i="3"/>
  <c r="F1017" i="3"/>
  <c r="E1017" i="3"/>
  <c r="C1017" i="3"/>
  <c r="B1017" i="3"/>
  <c r="A1017" i="3"/>
  <c r="H1016" i="3"/>
  <c r="G1016" i="3"/>
  <c r="F1016" i="3"/>
  <c r="E1016" i="3"/>
  <c r="C1016" i="3"/>
  <c r="B1016" i="3"/>
  <c r="A1016" i="3"/>
  <c r="H1015" i="3"/>
  <c r="G1015" i="3"/>
  <c r="F1015" i="3"/>
  <c r="E1015" i="3"/>
  <c r="B1015" i="3"/>
  <c r="A1015" i="3"/>
  <c r="H1014" i="3"/>
  <c r="G1014" i="3"/>
  <c r="F1014" i="3"/>
  <c r="E1014" i="3"/>
  <c r="C1014" i="3"/>
  <c r="B1014" i="3"/>
  <c r="A1014" i="3"/>
  <c r="H1013" i="3"/>
  <c r="G1013" i="3"/>
  <c r="F1013" i="3"/>
  <c r="C1013" i="3"/>
  <c r="B1013" i="3"/>
  <c r="A1013" i="3"/>
  <c r="H1012" i="3"/>
  <c r="G1012" i="3"/>
  <c r="F1012" i="3"/>
  <c r="E1012" i="3"/>
  <c r="C1012" i="3"/>
  <c r="B1012" i="3"/>
  <c r="A1012" i="3"/>
  <c r="H1011" i="3"/>
  <c r="G1011" i="3"/>
  <c r="F1011" i="3"/>
  <c r="E1011" i="3"/>
  <c r="C1011" i="3"/>
  <c r="B1011" i="3"/>
  <c r="A1011" i="3"/>
  <c r="H1010" i="3"/>
  <c r="G1010" i="3"/>
  <c r="F1010" i="3"/>
  <c r="E1010" i="3"/>
  <c r="C1010" i="3"/>
  <c r="B1010" i="3"/>
  <c r="A1010" i="3"/>
  <c r="H1009" i="3"/>
  <c r="G1009" i="3"/>
  <c r="F1009" i="3"/>
  <c r="E1009" i="3"/>
  <c r="D1009" i="3"/>
  <c r="C1009" i="3"/>
  <c r="B1009" i="3"/>
  <c r="A1009" i="3"/>
  <c r="H1008" i="3"/>
  <c r="G1008" i="3"/>
  <c r="F1008" i="3"/>
  <c r="E1008" i="3"/>
  <c r="C1008" i="3"/>
  <c r="B1008" i="3"/>
  <c r="A1008" i="3"/>
  <c r="H1007" i="3"/>
  <c r="G1007" i="3"/>
  <c r="F1007" i="3"/>
  <c r="C1007" i="3"/>
  <c r="B1007" i="3"/>
  <c r="A1007" i="3"/>
  <c r="H1006" i="3"/>
  <c r="G1006" i="3"/>
  <c r="F1006" i="3"/>
  <c r="E1006" i="3"/>
  <c r="C1006" i="3"/>
  <c r="B1006" i="3"/>
  <c r="A1006" i="3"/>
  <c r="F1005" i="3"/>
  <c r="E1005" i="3"/>
  <c r="A1005" i="3"/>
  <c r="F1004" i="3"/>
  <c r="E1004" i="3"/>
  <c r="A1004" i="3"/>
  <c r="F1003" i="3"/>
  <c r="E1003" i="3"/>
  <c r="A1003" i="3"/>
  <c r="H1002" i="3"/>
  <c r="G1002" i="3"/>
  <c r="F1002" i="3"/>
  <c r="E1002" i="3"/>
  <c r="C1002" i="3"/>
  <c r="B1002" i="3"/>
  <c r="A1002" i="3"/>
  <c r="H1001" i="3"/>
  <c r="G1001" i="3"/>
  <c r="F1001" i="3"/>
  <c r="A1001" i="3"/>
  <c r="H1000" i="3"/>
  <c r="G1000" i="3"/>
  <c r="F1000" i="3"/>
  <c r="A1000" i="3"/>
  <c r="H999" i="3"/>
  <c r="G999" i="3"/>
  <c r="F999" i="3"/>
  <c r="E999" i="3"/>
  <c r="C999" i="3"/>
  <c r="B999" i="3"/>
  <c r="A999" i="3"/>
  <c r="H998" i="3"/>
  <c r="G998" i="3"/>
  <c r="F998" i="3"/>
  <c r="E998" i="3"/>
  <c r="C998" i="3"/>
  <c r="B998" i="3"/>
  <c r="A998" i="3"/>
  <c r="H997" i="3"/>
  <c r="G997" i="3"/>
  <c r="F997" i="3"/>
  <c r="E997" i="3"/>
  <c r="D997" i="3"/>
  <c r="C997" i="3"/>
  <c r="B997" i="3"/>
  <c r="A997" i="3"/>
  <c r="H996" i="3"/>
  <c r="G996" i="3"/>
  <c r="F996" i="3"/>
  <c r="A996" i="3"/>
  <c r="H995" i="3"/>
  <c r="G995" i="3"/>
  <c r="F995" i="3"/>
  <c r="E995" i="3"/>
  <c r="A995" i="3"/>
  <c r="H994" i="3"/>
  <c r="G994" i="3"/>
  <c r="F994" i="3"/>
  <c r="E994" i="3"/>
  <c r="D994" i="3"/>
  <c r="C994" i="3"/>
  <c r="B994" i="3"/>
  <c r="A994" i="3"/>
  <c r="H993" i="3"/>
  <c r="G993" i="3"/>
  <c r="F993" i="3"/>
  <c r="E993" i="3"/>
  <c r="D993" i="3"/>
  <c r="C993" i="3"/>
  <c r="B993" i="3"/>
  <c r="A993" i="3"/>
  <c r="H992" i="3"/>
  <c r="G992" i="3"/>
  <c r="F992" i="3"/>
  <c r="E992" i="3"/>
  <c r="C992" i="3"/>
  <c r="B992" i="3"/>
  <c r="A992" i="3"/>
  <c r="H991" i="3"/>
  <c r="G991" i="3"/>
  <c r="F991" i="3"/>
  <c r="E991" i="3"/>
  <c r="C991" i="3"/>
  <c r="B991" i="3"/>
  <c r="A991" i="3"/>
  <c r="H990" i="3"/>
  <c r="G990" i="3"/>
  <c r="F990" i="3"/>
  <c r="E990" i="3"/>
  <c r="C990" i="3"/>
  <c r="B990" i="3"/>
  <c r="A990" i="3"/>
  <c r="H989" i="3"/>
  <c r="G989" i="3"/>
  <c r="F989" i="3"/>
  <c r="C989" i="3"/>
  <c r="B989" i="3"/>
  <c r="A989" i="3"/>
  <c r="H988" i="3"/>
  <c r="G988" i="3"/>
  <c r="F988" i="3"/>
  <c r="E988" i="3"/>
  <c r="B988" i="3"/>
  <c r="A988" i="3"/>
  <c r="H987" i="3"/>
  <c r="G987" i="3"/>
  <c r="F987" i="3"/>
  <c r="E987" i="3"/>
  <c r="C987" i="3"/>
  <c r="B987" i="3"/>
  <c r="A987" i="3"/>
  <c r="H986" i="3"/>
  <c r="G986" i="3"/>
  <c r="F986" i="3"/>
  <c r="E986" i="3"/>
  <c r="C986" i="3"/>
  <c r="B986" i="3"/>
  <c r="A986" i="3"/>
  <c r="H985" i="3"/>
  <c r="G985" i="3"/>
  <c r="F985" i="3"/>
  <c r="E985" i="3"/>
  <c r="C985" i="3"/>
  <c r="B985" i="3"/>
  <c r="A985" i="3"/>
  <c r="H984" i="3"/>
  <c r="G984" i="3"/>
  <c r="F984" i="3"/>
  <c r="E984" i="3"/>
  <c r="C984" i="3"/>
  <c r="B984" i="3"/>
  <c r="A984" i="3"/>
  <c r="H983" i="3"/>
  <c r="G983" i="3"/>
  <c r="F983" i="3"/>
  <c r="E983" i="3"/>
  <c r="A983" i="3"/>
  <c r="H982" i="3"/>
  <c r="G982" i="3"/>
  <c r="F982" i="3"/>
  <c r="E982" i="3"/>
  <c r="B982" i="3"/>
  <c r="A982" i="3"/>
  <c r="H981" i="3"/>
  <c r="G981" i="3"/>
  <c r="F981" i="3"/>
  <c r="E981" i="3"/>
  <c r="C981" i="3"/>
  <c r="B981" i="3"/>
  <c r="A981" i="3"/>
  <c r="H980" i="3"/>
  <c r="G980" i="3"/>
  <c r="F980" i="3"/>
  <c r="E980" i="3"/>
  <c r="C980" i="3"/>
  <c r="B980" i="3"/>
  <c r="A980" i="3"/>
  <c r="H979" i="3"/>
  <c r="G979" i="3"/>
  <c r="F979" i="3"/>
  <c r="E979" i="3"/>
  <c r="C979" i="3"/>
  <c r="B979" i="3"/>
  <c r="A979" i="3"/>
  <c r="H978" i="3"/>
  <c r="G978" i="3"/>
  <c r="F978" i="3"/>
  <c r="E978" i="3"/>
  <c r="C978" i="3"/>
  <c r="B978" i="3"/>
  <c r="A978" i="3"/>
  <c r="H977" i="3"/>
  <c r="G977" i="3"/>
  <c r="F977" i="3"/>
  <c r="E977" i="3"/>
  <c r="C977" i="3"/>
  <c r="B977" i="3"/>
  <c r="A977" i="3"/>
  <c r="H976" i="3"/>
  <c r="G976" i="3"/>
  <c r="F976" i="3"/>
  <c r="E976" i="3"/>
  <c r="A976" i="3"/>
  <c r="H975" i="3"/>
  <c r="G975" i="3"/>
  <c r="F975" i="3"/>
  <c r="E975" i="3"/>
  <c r="A975" i="3"/>
  <c r="H974" i="3"/>
  <c r="G974" i="3"/>
  <c r="F974" i="3"/>
  <c r="E974" i="3"/>
  <c r="A974" i="3"/>
  <c r="H973" i="3"/>
  <c r="G973" i="3"/>
  <c r="F973" i="3"/>
  <c r="E973" i="3"/>
  <c r="B973" i="3"/>
  <c r="A973" i="3"/>
  <c r="H972" i="3"/>
  <c r="G972" i="3"/>
  <c r="F972" i="3"/>
  <c r="E972" i="3"/>
  <c r="C972" i="3"/>
  <c r="B972" i="3"/>
  <c r="A972" i="3"/>
  <c r="H971" i="3"/>
  <c r="G971" i="3"/>
  <c r="F971" i="3"/>
  <c r="A971" i="3"/>
  <c r="H970" i="3"/>
  <c r="G970" i="3"/>
  <c r="F970" i="3"/>
  <c r="E970" i="3"/>
  <c r="D970" i="3"/>
  <c r="C970" i="3"/>
  <c r="B970" i="3"/>
  <c r="A970" i="3"/>
  <c r="H969" i="3"/>
  <c r="G969" i="3"/>
  <c r="F969" i="3"/>
  <c r="E969" i="3"/>
  <c r="C969" i="3"/>
  <c r="A969" i="3"/>
  <c r="H968" i="3"/>
  <c r="G968" i="3"/>
  <c r="F968" i="3"/>
  <c r="E968" i="3"/>
  <c r="D968" i="3"/>
  <c r="C968" i="3"/>
  <c r="B968" i="3"/>
  <c r="A968" i="3"/>
  <c r="H967" i="3"/>
  <c r="G967" i="3"/>
  <c r="F967" i="3"/>
  <c r="E967" i="3"/>
  <c r="C967" i="3"/>
  <c r="B967" i="3"/>
  <c r="A967" i="3"/>
  <c r="H966" i="3"/>
  <c r="G966" i="3"/>
  <c r="F966" i="3"/>
  <c r="E966" i="3"/>
  <c r="C966" i="3"/>
  <c r="B966" i="3"/>
  <c r="A966" i="3"/>
  <c r="H965" i="3"/>
  <c r="G965" i="3"/>
  <c r="F965" i="3"/>
  <c r="E965" i="3"/>
  <c r="C965" i="3"/>
  <c r="B965" i="3"/>
  <c r="A965" i="3"/>
  <c r="H964" i="3"/>
  <c r="G964" i="3"/>
  <c r="F964" i="3"/>
  <c r="E964" i="3"/>
  <c r="C964" i="3"/>
  <c r="B964" i="3"/>
  <c r="A964" i="3"/>
  <c r="H963" i="3"/>
  <c r="G963" i="3"/>
  <c r="F963" i="3"/>
  <c r="E963" i="3"/>
  <c r="D963" i="3"/>
  <c r="C963" i="3"/>
  <c r="B963" i="3"/>
  <c r="A963" i="3"/>
  <c r="H962" i="3"/>
  <c r="G962" i="3"/>
  <c r="F962" i="3"/>
  <c r="E962" i="3"/>
  <c r="B962" i="3"/>
  <c r="A962" i="3"/>
  <c r="H961" i="3"/>
  <c r="G961" i="3"/>
  <c r="F961" i="3"/>
  <c r="E961" i="3"/>
  <c r="B961" i="3"/>
  <c r="A961" i="3"/>
  <c r="H960" i="3"/>
  <c r="G960" i="3"/>
  <c r="F960" i="3"/>
  <c r="A960" i="3"/>
  <c r="H959" i="3"/>
  <c r="G959" i="3"/>
  <c r="F959" i="3"/>
  <c r="E959" i="3"/>
  <c r="C959" i="3"/>
  <c r="B959" i="3"/>
  <c r="A959" i="3"/>
  <c r="H958" i="3"/>
  <c r="G958" i="3"/>
  <c r="F958" i="3"/>
  <c r="E958" i="3"/>
  <c r="C958" i="3"/>
  <c r="B958" i="3"/>
  <c r="A958" i="3"/>
  <c r="H957" i="3"/>
  <c r="G957" i="3"/>
  <c r="F957" i="3"/>
  <c r="A957" i="3"/>
  <c r="H956" i="3"/>
  <c r="G956" i="3"/>
  <c r="F956" i="3"/>
  <c r="C956" i="3"/>
  <c r="B956" i="3"/>
  <c r="A956" i="3"/>
  <c r="H955" i="3"/>
  <c r="G955" i="3"/>
  <c r="F955" i="3"/>
  <c r="B955" i="3"/>
  <c r="A955" i="3"/>
  <c r="H954" i="3"/>
  <c r="G954" i="3"/>
  <c r="F954" i="3"/>
  <c r="A954" i="3"/>
  <c r="H953" i="3"/>
  <c r="G953" i="3"/>
  <c r="F953" i="3"/>
  <c r="A953" i="3"/>
  <c r="H952" i="3"/>
  <c r="G952" i="3"/>
  <c r="F952" i="3"/>
  <c r="A952" i="3"/>
  <c r="H951" i="3"/>
  <c r="G951" i="3"/>
  <c r="F951" i="3"/>
  <c r="E951" i="3"/>
  <c r="C951" i="3"/>
  <c r="A951" i="3"/>
  <c r="H950" i="3"/>
  <c r="G950" i="3"/>
  <c r="F950" i="3"/>
  <c r="E950" i="3"/>
  <c r="C950" i="3"/>
  <c r="A950" i="3"/>
  <c r="H949" i="3"/>
  <c r="G949" i="3"/>
  <c r="F949" i="3"/>
  <c r="E949" i="3"/>
  <c r="C949" i="3"/>
  <c r="B949" i="3"/>
  <c r="A949" i="3"/>
  <c r="H948" i="3"/>
  <c r="G948" i="3"/>
  <c r="F948" i="3"/>
  <c r="B948" i="3"/>
  <c r="A948" i="3"/>
  <c r="H947" i="3"/>
  <c r="G947" i="3"/>
  <c r="F947" i="3"/>
  <c r="E947" i="3"/>
  <c r="B947" i="3"/>
  <c r="A947" i="3"/>
  <c r="H946" i="3"/>
  <c r="G946" i="3"/>
  <c r="F946" i="3"/>
  <c r="E946" i="3"/>
  <c r="C946" i="3"/>
  <c r="B946" i="3"/>
  <c r="A946" i="3"/>
  <c r="H945" i="3"/>
  <c r="G945" i="3"/>
  <c r="F945" i="3"/>
  <c r="A945" i="3"/>
  <c r="H944" i="3"/>
  <c r="G944" i="3"/>
  <c r="F944" i="3"/>
  <c r="A944" i="3"/>
  <c r="H943" i="3"/>
  <c r="G943" i="3"/>
  <c r="F943" i="3"/>
  <c r="E943" i="3"/>
  <c r="A943" i="3"/>
  <c r="H942" i="3"/>
  <c r="G942" i="3"/>
  <c r="F942" i="3"/>
  <c r="A942" i="3"/>
  <c r="H941" i="3"/>
  <c r="G941" i="3"/>
  <c r="F941" i="3"/>
  <c r="E941" i="3"/>
  <c r="C941" i="3"/>
  <c r="B941" i="3"/>
  <c r="A941" i="3"/>
  <c r="H940" i="3"/>
  <c r="G940" i="3"/>
  <c r="F940" i="3"/>
  <c r="A940" i="3"/>
  <c r="H939" i="3"/>
  <c r="G939" i="3"/>
  <c r="F939" i="3"/>
  <c r="E939" i="3"/>
  <c r="A939" i="3"/>
  <c r="H938" i="3"/>
  <c r="G938" i="3"/>
  <c r="F938" i="3"/>
  <c r="E938" i="3"/>
  <c r="D938" i="3"/>
  <c r="C938" i="3"/>
  <c r="B938" i="3"/>
  <c r="A938" i="3"/>
  <c r="H937" i="3"/>
  <c r="G937" i="3"/>
  <c r="F937" i="3"/>
  <c r="E937" i="3"/>
  <c r="D937" i="3"/>
  <c r="C937" i="3"/>
  <c r="B937" i="3"/>
  <c r="A937" i="3"/>
  <c r="H936" i="3"/>
  <c r="G936" i="3"/>
  <c r="F936" i="3"/>
  <c r="A936" i="3"/>
  <c r="H935" i="3"/>
  <c r="G935" i="3"/>
  <c r="F935" i="3"/>
  <c r="E935" i="3"/>
  <c r="B935" i="3"/>
  <c r="A935" i="3"/>
  <c r="H934" i="3"/>
  <c r="G934" i="3"/>
  <c r="F934" i="3"/>
  <c r="A934" i="3"/>
  <c r="H933" i="3"/>
  <c r="G933" i="3"/>
  <c r="F933" i="3"/>
  <c r="E933" i="3"/>
  <c r="C933" i="3"/>
  <c r="B933" i="3"/>
  <c r="A933" i="3"/>
  <c r="H932" i="3"/>
  <c r="G932" i="3"/>
  <c r="F932" i="3"/>
  <c r="E932" i="3"/>
  <c r="C932" i="3"/>
  <c r="B932" i="3"/>
  <c r="A932" i="3"/>
  <c r="H931" i="3"/>
  <c r="G931" i="3"/>
  <c r="F931" i="3"/>
  <c r="E931" i="3"/>
  <c r="C931" i="3"/>
  <c r="B931" i="3"/>
  <c r="A931" i="3"/>
  <c r="H930" i="3"/>
  <c r="G930" i="3"/>
  <c r="F930" i="3"/>
  <c r="E930" i="3"/>
  <c r="C930" i="3"/>
  <c r="B930" i="3"/>
  <c r="A930" i="3"/>
  <c r="H929" i="3"/>
  <c r="G929" i="3"/>
  <c r="F929" i="3"/>
  <c r="E929" i="3"/>
  <c r="D929" i="3"/>
  <c r="C929" i="3"/>
  <c r="B929" i="3"/>
  <c r="A929" i="3"/>
  <c r="H928" i="3"/>
  <c r="G928" i="3"/>
  <c r="F928" i="3"/>
  <c r="A928" i="3"/>
  <c r="H927" i="3"/>
  <c r="G927" i="3"/>
  <c r="F927" i="3"/>
  <c r="A927" i="3"/>
  <c r="H926" i="3"/>
  <c r="G926" i="3"/>
  <c r="F926" i="3"/>
  <c r="E926" i="3"/>
  <c r="D926" i="3"/>
  <c r="C926" i="3"/>
  <c r="B926" i="3"/>
  <c r="A926" i="3"/>
  <c r="H925" i="3"/>
  <c r="G925" i="3"/>
  <c r="F925" i="3"/>
  <c r="A925" i="3"/>
  <c r="H924" i="3"/>
  <c r="G924" i="3"/>
  <c r="F924" i="3"/>
  <c r="C924" i="3"/>
  <c r="A924" i="3"/>
  <c r="H923" i="3"/>
  <c r="G923" i="3"/>
  <c r="F923" i="3"/>
  <c r="E923" i="3"/>
  <c r="C923" i="3"/>
  <c r="B923" i="3"/>
  <c r="A923" i="3"/>
  <c r="H922" i="3"/>
  <c r="G922" i="3"/>
  <c r="F922" i="3"/>
  <c r="E922" i="3"/>
  <c r="C922" i="3"/>
  <c r="B922" i="3"/>
  <c r="A922" i="3"/>
  <c r="H921" i="3"/>
  <c r="F921" i="3"/>
  <c r="E921" i="3"/>
  <c r="B921" i="3"/>
  <c r="A921" i="3"/>
  <c r="H920" i="3"/>
  <c r="G920" i="3"/>
  <c r="F920" i="3"/>
  <c r="E920" i="3"/>
  <c r="D920" i="3"/>
  <c r="C920" i="3"/>
  <c r="B920" i="3"/>
  <c r="A920" i="3"/>
  <c r="H919" i="3"/>
  <c r="G919" i="3"/>
  <c r="F919" i="3"/>
  <c r="E919" i="3"/>
  <c r="D919" i="3"/>
  <c r="C919" i="3"/>
  <c r="B919" i="3"/>
  <c r="A919" i="3"/>
  <c r="H918" i="3"/>
  <c r="G918" i="3"/>
  <c r="F918" i="3"/>
  <c r="E918" i="3"/>
  <c r="C918" i="3"/>
  <c r="B918" i="3"/>
  <c r="A918" i="3"/>
  <c r="H917" i="3"/>
  <c r="G917" i="3"/>
  <c r="F917" i="3"/>
  <c r="A917" i="3"/>
  <c r="H916" i="3"/>
  <c r="G916" i="3"/>
  <c r="F916" i="3"/>
  <c r="E916" i="3"/>
  <c r="A916" i="3"/>
  <c r="H915" i="3"/>
  <c r="G915" i="3"/>
  <c r="F915" i="3"/>
  <c r="E915" i="3"/>
  <c r="B915" i="3"/>
  <c r="A915" i="3"/>
  <c r="H914" i="3"/>
  <c r="G914" i="3"/>
  <c r="F914" i="3"/>
  <c r="A914" i="3"/>
  <c r="H913" i="3"/>
  <c r="G913" i="3"/>
  <c r="F913" i="3"/>
  <c r="E913" i="3"/>
  <c r="A913" i="3"/>
  <c r="H912" i="3"/>
  <c r="G912" i="3"/>
  <c r="F912" i="3"/>
  <c r="A912" i="3"/>
  <c r="H911" i="3"/>
  <c r="G911" i="3"/>
  <c r="F911" i="3"/>
  <c r="E911" i="3"/>
  <c r="C911" i="3"/>
  <c r="A911" i="3"/>
  <c r="H910" i="3"/>
  <c r="G910" i="3"/>
  <c r="F910" i="3"/>
  <c r="E910" i="3"/>
  <c r="C910" i="3"/>
  <c r="B910" i="3"/>
  <c r="A910" i="3"/>
  <c r="H909" i="3"/>
  <c r="G909" i="3"/>
  <c r="F909" i="3"/>
  <c r="E909" i="3"/>
  <c r="A909" i="3"/>
  <c r="H908" i="3"/>
  <c r="G908" i="3"/>
  <c r="F908" i="3"/>
  <c r="E908" i="3"/>
  <c r="C908" i="3"/>
  <c r="B908" i="3"/>
  <c r="A908" i="3"/>
  <c r="H907" i="3"/>
  <c r="G907" i="3"/>
  <c r="F907" i="3"/>
  <c r="E907" i="3"/>
  <c r="C907" i="3"/>
  <c r="B907" i="3"/>
  <c r="A907" i="3"/>
  <c r="H906" i="3"/>
  <c r="G906" i="3"/>
  <c r="F906" i="3"/>
  <c r="E906" i="3"/>
  <c r="A906" i="3"/>
  <c r="H905" i="3"/>
  <c r="G905" i="3"/>
  <c r="F905" i="3"/>
  <c r="E905" i="3"/>
  <c r="D905" i="3"/>
  <c r="C905" i="3"/>
  <c r="B905" i="3"/>
  <c r="A905" i="3"/>
  <c r="H904" i="3"/>
  <c r="G904" i="3"/>
  <c r="F904" i="3"/>
  <c r="E904" i="3"/>
  <c r="D904" i="3"/>
  <c r="C904" i="3"/>
  <c r="B904" i="3"/>
  <c r="A904" i="3"/>
  <c r="H903" i="3"/>
  <c r="G903" i="3"/>
  <c r="F903" i="3"/>
  <c r="E903" i="3"/>
  <c r="C903" i="3"/>
  <c r="B903" i="3"/>
  <c r="A903" i="3"/>
  <c r="H902" i="3"/>
  <c r="G902" i="3"/>
  <c r="F902" i="3"/>
  <c r="E902" i="3"/>
  <c r="C902" i="3"/>
  <c r="B902" i="3"/>
  <c r="A902" i="3"/>
  <c r="H901" i="3"/>
  <c r="G901" i="3"/>
  <c r="F901" i="3"/>
  <c r="E901" i="3"/>
  <c r="D901" i="3"/>
  <c r="C901" i="3"/>
  <c r="B901" i="3"/>
  <c r="A901" i="3"/>
  <c r="H900" i="3"/>
  <c r="G900" i="3"/>
  <c r="F900" i="3"/>
  <c r="E900" i="3"/>
  <c r="C900" i="3"/>
  <c r="B900" i="3"/>
  <c r="A900" i="3"/>
  <c r="H899" i="3"/>
  <c r="G899" i="3"/>
  <c r="F899" i="3"/>
  <c r="E899" i="3"/>
  <c r="C899" i="3"/>
  <c r="B899" i="3"/>
  <c r="A899" i="3"/>
  <c r="H898" i="3"/>
  <c r="G898" i="3"/>
  <c r="F898" i="3"/>
  <c r="E898" i="3"/>
  <c r="C898" i="3"/>
  <c r="B898" i="3"/>
  <c r="A898" i="3"/>
  <c r="H897" i="3"/>
  <c r="G897" i="3"/>
  <c r="F897" i="3"/>
  <c r="A897" i="3"/>
  <c r="H896" i="3"/>
  <c r="G896" i="3"/>
  <c r="F896" i="3"/>
  <c r="E896" i="3"/>
  <c r="C896" i="3"/>
  <c r="B896" i="3"/>
  <c r="A896" i="3"/>
  <c r="H895" i="3"/>
  <c r="G895" i="3"/>
  <c r="F895" i="3"/>
  <c r="E895" i="3"/>
  <c r="C895" i="3"/>
  <c r="B895" i="3"/>
  <c r="A895" i="3"/>
  <c r="H894" i="3"/>
  <c r="G894" i="3"/>
  <c r="F894" i="3"/>
  <c r="E894" i="3"/>
  <c r="C894" i="3"/>
  <c r="B894" i="3"/>
  <c r="A894" i="3"/>
  <c r="H893" i="3"/>
  <c r="G893" i="3"/>
  <c r="F893" i="3"/>
  <c r="E893" i="3"/>
  <c r="D893" i="3"/>
  <c r="C893" i="3"/>
  <c r="B893" i="3"/>
  <c r="A893" i="3"/>
  <c r="H892" i="3"/>
  <c r="G892" i="3"/>
  <c r="F892" i="3"/>
  <c r="E892" i="3"/>
  <c r="C892" i="3"/>
  <c r="B892" i="3"/>
  <c r="A892" i="3"/>
  <c r="H891" i="3"/>
  <c r="G891" i="3"/>
  <c r="F891" i="3"/>
  <c r="E891" i="3"/>
  <c r="C891" i="3"/>
  <c r="B891" i="3"/>
  <c r="A891" i="3"/>
  <c r="H890" i="3"/>
  <c r="G890" i="3"/>
  <c r="F890" i="3"/>
  <c r="E890" i="3"/>
  <c r="C890" i="3"/>
  <c r="B890" i="3"/>
  <c r="A890" i="3"/>
  <c r="H889" i="3"/>
  <c r="G889" i="3"/>
  <c r="F889" i="3"/>
  <c r="E889" i="3"/>
  <c r="B889" i="3"/>
  <c r="A889" i="3"/>
  <c r="H888" i="3"/>
  <c r="G888" i="3"/>
  <c r="F888" i="3"/>
  <c r="E888" i="3"/>
  <c r="A888" i="3"/>
  <c r="H887" i="3"/>
  <c r="G887" i="3"/>
  <c r="F887" i="3"/>
  <c r="E887" i="3"/>
  <c r="C887" i="3"/>
  <c r="B887" i="3"/>
  <c r="A887" i="3"/>
  <c r="H886" i="3"/>
  <c r="G886" i="3"/>
  <c r="F886" i="3"/>
  <c r="E886" i="3"/>
  <c r="B886" i="3"/>
  <c r="A886" i="3"/>
  <c r="H885" i="3"/>
  <c r="G885" i="3"/>
  <c r="F885" i="3"/>
  <c r="E885" i="3"/>
  <c r="C885" i="3"/>
  <c r="B885" i="3"/>
  <c r="A885" i="3"/>
  <c r="H884" i="3"/>
  <c r="G884" i="3"/>
  <c r="F884" i="3"/>
  <c r="E884" i="3"/>
  <c r="C884" i="3"/>
  <c r="B884" i="3"/>
  <c r="A884" i="3"/>
  <c r="H883" i="3"/>
  <c r="G883" i="3"/>
  <c r="F883" i="3"/>
  <c r="E883" i="3"/>
  <c r="C883" i="3"/>
  <c r="B883" i="3"/>
  <c r="A883" i="3"/>
  <c r="H882" i="3"/>
  <c r="G882" i="3"/>
  <c r="F882" i="3"/>
  <c r="E882" i="3"/>
  <c r="C882" i="3"/>
  <c r="B882" i="3"/>
  <c r="A882" i="3"/>
  <c r="H881" i="3"/>
  <c r="G881" i="3"/>
  <c r="F881" i="3"/>
  <c r="E881" i="3"/>
  <c r="C881" i="3"/>
  <c r="B881" i="3"/>
  <c r="A881" i="3"/>
  <c r="H880" i="3"/>
  <c r="G880" i="3"/>
  <c r="F880" i="3"/>
  <c r="E880" i="3"/>
  <c r="A880" i="3"/>
  <c r="H879" i="3"/>
  <c r="G879" i="3"/>
  <c r="F879" i="3"/>
  <c r="E879" i="3"/>
  <c r="C879" i="3"/>
  <c r="B879" i="3"/>
  <c r="A879" i="3"/>
  <c r="H878" i="3"/>
  <c r="G878" i="3"/>
  <c r="F878" i="3"/>
  <c r="A878" i="3"/>
  <c r="H877" i="3"/>
  <c r="G877" i="3"/>
  <c r="F877" i="3"/>
  <c r="A877" i="3"/>
  <c r="H876" i="3"/>
  <c r="G876" i="3"/>
  <c r="F876" i="3"/>
  <c r="E876" i="3"/>
  <c r="C876" i="3"/>
  <c r="B876" i="3"/>
  <c r="A876" i="3"/>
  <c r="H875" i="3"/>
  <c r="G875" i="3"/>
  <c r="F875" i="3"/>
  <c r="E875" i="3"/>
  <c r="C875" i="3"/>
  <c r="B875" i="3"/>
  <c r="A875" i="3"/>
  <c r="H874" i="3"/>
  <c r="G874" i="3"/>
  <c r="F874" i="3"/>
  <c r="E874" i="3"/>
  <c r="C874" i="3"/>
  <c r="B874" i="3"/>
  <c r="A874" i="3"/>
  <c r="H873" i="3"/>
  <c r="G873" i="3"/>
  <c r="F873" i="3"/>
  <c r="E873" i="3"/>
  <c r="A873" i="3"/>
  <c r="H872" i="3"/>
  <c r="G872" i="3"/>
  <c r="F872" i="3"/>
  <c r="E872" i="3"/>
  <c r="C872" i="3"/>
  <c r="B872" i="3"/>
  <c r="A872" i="3"/>
  <c r="H871" i="3"/>
  <c r="G871" i="3"/>
  <c r="F871" i="3"/>
  <c r="C871" i="3"/>
  <c r="B871" i="3"/>
  <c r="A871" i="3"/>
  <c r="H870" i="3"/>
  <c r="G870" i="3"/>
  <c r="F870" i="3"/>
  <c r="E870" i="3"/>
  <c r="D870" i="3"/>
  <c r="C870" i="3"/>
  <c r="B870" i="3"/>
  <c r="A870" i="3"/>
  <c r="H869" i="3"/>
  <c r="G869" i="3"/>
  <c r="F869" i="3"/>
  <c r="E869" i="3"/>
  <c r="C869" i="3"/>
  <c r="B869" i="3"/>
  <c r="A869" i="3"/>
  <c r="H868" i="3"/>
  <c r="G868" i="3"/>
  <c r="F868" i="3"/>
  <c r="C868" i="3"/>
  <c r="B868" i="3"/>
  <c r="A868" i="3"/>
  <c r="H867" i="3"/>
  <c r="G867" i="3"/>
  <c r="F867" i="3"/>
  <c r="E867" i="3"/>
  <c r="C867" i="3"/>
  <c r="B867" i="3"/>
  <c r="A867" i="3"/>
  <c r="H866" i="3"/>
  <c r="G866" i="3"/>
  <c r="F866" i="3"/>
  <c r="E866" i="3"/>
  <c r="C866" i="3"/>
  <c r="B866" i="3"/>
  <c r="A866" i="3"/>
  <c r="H865" i="3"/>
  <c r="G865" i="3"/>
  <c r="F865" i="3"/>
  <c r="E865" i="3"/>
  <c r="C865" i="3"/>
  <c r="B865" i="3"/>
  <c r="A865" i="3"/>
  <c r="H864" i="3"/>
  <c r="G864" i="3"/>
  <c r="F864" i="3"/>
  <c r="E864" i="3"/>
  <c r="C864" i="3"/>
  <c r="B864" i="3"/>
  <c r="A864" i="3"/>
  <c r="H863" i="3"/>
  <c r="G863" i="3"/>
  <c r="F863" i="3"/>
  <c r="E863" i="3"/>
  <c r="D863" i="3"/>
  <c r="C863" i="3"/>
  <c r="B863" i="3"/>
  <c r="A863" i="3"/>
  <c r="H862" i="3"/>
  <c r="G862" i="3"/>
  <c r="F862" i="3"/>
  <c r="E862" i="3"/>
  <c r="A862" i="3"/>
  <c r="H861" i="3"/>
  <c r="G861" i="3"/>
  <c r="F861" i="3"/>
  <c r="C861" i="3"/>
  <c r="A861" i="3"/>
  <c r="H860" i="3"/>
  <c r="G860" i="3"/>
  <c r="F860" i="3"/>
  <c r="E860" i="3"/>
  <c r="C860" i="3"/>
  <c r="B860" i="3"/>
  <c r="A860" i="3"/>
  <c r="H859" i="3"/>
  <c r="G859" i="3"/>
  <c r="F859" i="3"/>
  <c r="E859" i="3"/>
  <c r="A859" i="3"/>
  <c r="H858" i="3"/>
  <c r="G858" i="3"/>
  <c r="F858" i="3"/>
  <c r="E858" i="3"/>
  <c r="A858" i="3"/>
  <c r="H857" i="3"/>
  <c r="G857" i="3"/>
  <c r="F857" i="3"/>
  <c r="E857" i="3"/>
  <c r="C857" i="3"/>
  <c r="B857" i="3"/>
  <c r="A857" i="3"/>
  <c r="H856" i="3"/>
  <c r="G856" i="3"/>
  <c r="F856" i="3"/>
  <c r="E856" i="3"/>
  <c r="C856" i="3"/>
  <c r="B856" i="3"/>
  <c r="A856" i="3"/>
  <c r="H855" i="3"/>
  <c r="G855" i="3"/>
  <c r="F855" i="3"/>
  <c r="E855" i="3"/>
  <c r="C855" i="3"/>
  <c r="B855" i="3"/>
  <c r="A855" i="3"/>
  <c r="H854" i="3"/>
  <c r="G854" i="3"/>
  <c r="F854" i="3"/>
  <c r="E854" i="3"/>
  <c r="C854" i="3"/>
  <c r="B854" i="3"/>
  <c r="A854" i="3"/>
  <c r="H853" i="3"/>
  <c r="G853" i="3"/>
  <c r="F853" i="3"/>
  <c r="E853" i="3"/>
  <c r="B853" i="3"/>
  <c r="A853" i="3"/>
  <c r="H852" i="3"/>
  <c r="G852" i="3"/>
  <c r="F852" i="3"/>
  <c r="E852" i="3"/>
  <c r="C852" i="3"/>
  <c r="B852" i="3"/>
  <c r="A852" i="3"/>
  <c r="H851" i="3"/>
  <c r="G851" i="3"/>
  <c r="F851" i="3"/>
  <c r="E851" i="3"/>
  <c r="D851" i="3"/>
  <c r="C851" i="3"/>
  <c r="B851" i="3"/>
  <c r="A851" i="3"/>
  <c r="H850" i="3"/>
  <c r="G850" i="3"/>
  <c r="F850" i="3"/>
  <c r="E850" i="3"/>
  <c r="D850" i="3"/>
  <c r="C850" i="3"/>
  <c r="B850" i="3"/>
  <c r="A850" i="3"/>
  <c r="H849" i="3"/>
  <c r="G849" i="3"/>
  <c r="F849" i="3"/>
  <c r="E849" i="3"/>
  <c r="C849" i="3"/>
  <c r="B849" i="3"/>
  <c r="A849" i="3"/>
  <c r="H848" i="3"/>
  <c r="G848" i="3"/>
  <c r="F848" i="3"/>
  <c r="E848" i="3"/>
  <c r="C848" i="3"/>
  <c r="B848" i="3"/>
  <c r="A848" i="3"/>
  <c r="H847" i="3"/>
  <c r="G847" i="3"/>
  <c r="F847" i="3"/>
  <c r="E847" i="3"/>
  <c r="D847" i="3"/>
  <c r="C847" i="3"/>
  <c r="B847" i="3"/>
  <c r="A847" i="3"/>
  <c r="H846" i="3"/>
  <c r="G846" i="3"/>
  <c r="F846" i="3"/>
  <c r="E846" i="3"/>
  <c r="C846" i="3"/>
  <c r="B846" i="3"/>
  <c r="A846" i="3"/>
  <c r="H845" i="3"/>
  <c r="G845" i="3"/>
  <c r="F845" i="3"/>
  <c r="E845" i="3"/>
  <c r="C845" i="3"/>
  <c r="B845" i="3"/>
  <c r="A845" i="3"/>
  <c r="H844" i="3"/>
  <c r="G844" i="3"/>
  <c r="F844" i="3"/>
  <c r="E844" i="3"/>
  <c r="A844" i="3"/>
  <c r="H843" i="3"/>
  <c r="G843" i="3"/>
  <c r="F843" i="3"/>
  <c r="E843" i="3"/>
  <c r="C843" i="3"/>
  <c r="B843" i="3"/>
  <c r="A843" i="3"/>
  <c r="H842" i="3"/>
  <c r="G842" i="3"/>
  <c r="F842" i="3"/>
  <c r="E842" i="3"/>
  <c r="C842" i="3"/>
  <c r="B842" i="3"/>
  <c r="A842" i="3"/>
  <c r="H841" i="3"/>
  <c r="G841" i="3"/>
  <c r="F841" i="3"/>
  <c r="E841" i="3"/>
  <c r="C841" i="3"/>
  <c r="B841" i="3"/>
  <c r="A841" i="3"/>
  <c r="H840" i="3"/>
  <c r="G840" i="3"/>
  <c r="F840" i="3"/>
  <c r="E840" i="3"/>
  <c r="C840" i="3"/>
  <c r="B840" i="3"/>
  <c r="A840" i="3"/>
  <c r="H839" i="3"/>
  <c r="G839" i="3"/>
  <c r="F839" i="3"/>
  <c r="A839" i="3"/>
  <c r="H838" i="3"/>
  <c r="G838" i="3"/>
  <c r="F838" i="3"/>
  <c r="E838" i="3"/>
  <c r="D838" i="3"/>
  <c r="C838" i="3"/>
  <c r="B838" i="3"/>
  <c r="A838" i="3"/>
  <c r="H837" i="3"/>
  <c r="G837" i="3"/>
  <c r="F837" i="3"/>
  <c r="E837" i="3"/>
  <c r="C837" i="3"/>
  <c r="B837" i="3"/>
  <c r="A837" i="3"/>
  <c r="H836" i="3"/>
  <c r="G836" i="3"/>
  <c r="F836" i="3"/>
  <c r="E836" i="3"/>
  <c r="C836" i="3"/>
  <c r="B836" i="3"/>
  <c r="A836" i="3"/>
  <c r="H835" i="3"/>
  <c r="G835" i="3"/>
  <c r="F835" i="3"/>
  <c r="E835" i="3"/>
  <c r="C835" i="3"/>
  <c r="B835" i="3"/>
  <c r="A835" i="3"/>
  <c r="H834" i="3"/>
  <c r="G834" i="3"/>
  <c r="F834" i="3"/>
  <c r="E834" i="3"/>
  <c r="C834" i="3"/>
  <c r="B834" i="3"/>
  <c r="A834" i="3"/>
  <c r="H833" i="3"/>
  <c r="G833" i="3"/>
  <c r="F833" i="3"/>
  <c r="E833" i="3"/>
  <c r="D833" i="3"/>
  <c r="C833" i="3"/>
  <c r="B833" i="3"/>
  <c r="A833" i="3"/>
  <c r="H832" i="3"/>
  <c r="G832" i="3"/>
  <c r="F832" i="3"/>
  <c r="E832" i="3"/>
  <c r="D832" i="3"/>
  <c r="C832" i="3"/>
  <c r="B832" i="3"/>
  <c r="A832" i="3"/>
  <c r="H831" i="3"/>
  <c r="G831" i="3"/>
  <c r="F831" i="3"/>
  <c r="E831" i="3"/>
  <c r="D831" i="3"/>
  <c r="C831" i="3"/>
  <c r="B831" i="3"/>
  <c r="A831" i="3"/>
  <c r="H830" i="3"/>
  <c r="G830" i="3"/>
  <c r="F830" i="3"/>
  <c r="C830" i="3"/>
  <c r="B830" i="3"/>
  <c r="A830" i="3"/>
  <c r="H829" i="3"/>
  <c r="G829" i="3"/>
  <c r="F829" i="3"/>
  <c r="C829" i="3"/>
  <c r="B829" i="3"/>
  <c r="A829" i="3"/>
  <c r="H828" i="3"/>
  <c r="G828" i="3"/>
  <c r="F828" i="3"/>
  <c r="C828" i="3"/>
  <c r="B828" i="3"/>
  <c r="A828" i="3"/>
  <c r="H827" i="3"/>
  <c r="G827" i="3"/>
  <c r="F827" i="3"/>
  <c r="E827" i="3"/>
  <c r="D827" i="3"/>
  <c r="C827" i="3"/>
  <c r="B827" i="3"/>
  <c r="A827" i="3"/>
  <c r="H826" i="3"/>
  <c r="G826" i="3"/>
  <c r="F826" i="3"/>
  <c r="E826" i="3"/>
  <c r="C826" i="3"/>
  <c r="B826" i="3"/>
  <c r="A826" i="3"/>
  <c r="H825" i="3"/>
  <c r="G825" i="3"/>
  <c r="F825" i="3"/>
  <c r="E825" i="3"/>
  <c r="D825" i="3"/>
  <c r="C825" i="3"/>
  <c r="B825" i="3"/>
  <c r="A825" i="3"/>
  <c r="H824" i="3"/>
  <c r="G824" i="3"/>
  <c r="F824" i="3"/>
  <c r="A824" i="3"/>
  <c r="H823" i="3"/>
  <c r="G823" i="3"/>
  <c r="F823" i="3"/>
  <c r="A823" i="3"/>
  <c r="H822" i="3"/>
  <c r="G822" i="3"/>
  <c r="F822" i="3"/>
  <c r="E822" i="3"/>
  <c r="C822" i="3"/>
  <c r="B822" i="3"/>
  <c r="A822" i="3"/>
  <c r="H821" i="3"/>
  <c r="G821" i="3"/>
  <c r="F821" i="3"/>
  <c r="E821" i="3"/>
  <c r="C821" i="3"/>
  <c r="B821" i="3"/>
  <c r="A821" i="3"/>
  <c r="H820" i="3"/>
  <c r="G820" i="3"/>
  <c r="F820" i="3"/>
  <c r="E820" i="3"/>
  <c r="C820" i="3"/>
  <c r="B820" i="3"/>
  <c r="A820" i="3"/>
  <c r="H819" i="3"/>
  <c r="G819" i="3"/>
  <c r="F819" i="3"/>
  <c r="E819" i="3"/>
  <c r="C819" i="3"/>
  <c r="B819" i="3"/>
  <c r="A819" i="3"/>
  <c r="H818" i="3"/>
  <c r="G818" i="3"/>
  <c r="F818" i="3"/>
  <c r="E818" i="3"/>
  <c r="D818" i="3"/>
  <c r="C818" i="3"/>
  <c r="B818" i="3"/>
  <c r="A818" i="3"/>
  <c r="H817" i="3"/>
  <c r="G817" i="3"/>
  <c r="F817" i="3"/>
  <c r="E817" i="3"/>
  <c r="D817" i="3"/>
  <c r="C817" i="3"/>
  <c r="B817" i="3"/>
  <c r="A817" i="3"/>
  <c r="H816" i="3"/>
  <c r="G816" i="3"/>
  <c r="F816" i="3"/>
  <c r="E816" i="3"/>
  <c r="C816" i="3"/>
  <c r="B816" i="3"/>
  <c r="A816" i="3"/>
  <c r="H815" i="3"/>
  <c r="G815" i="3"/>
  <c r="F815" i="3"/>
  <c r="A815" i="3"/>
  <c r="H814" i="3"/>
  <c r="G814" i="3"/>
  <c r="F814" i="3"/>
  <c r="A814" i="3"/>
  <c r="H813" i="3"/>
  <c r="G813" i="3"/>
  <c r="F813" i="3"/>
  <c r="A813" i="3"/>
  <c r="H812" i="3"/>
  <c r="G812" i="3"/>
  <c r="E812" i="3"/>
  <c r="C812" i="3"/>
  <c r="B812" i="3"/>
  <c r="A812" i="3"/>
  <c r="H811" i="3"/>
  <c r="G811" i="3"/>
  <c r="F811" i="3"/>
  <c r="E811" i="3"/>
  <c r="C811" i="3"/>
  <c r="B811" i="3"/>
  <c r="A811" i="3"/>
  <c r="H810" i="3"/>
  <c r="G810" i="3"/>
  <c r="F810" i="3"/>
  <c r="A810" i="3"/>
  <c r="H809" i="3"/>
  <c r="G809" i="3"/>
  <c r="F809" i="3"/>
  <c r="E809" i="3"/>
  <c r="C809" i="3"/>
  <c r="B809" i="3"/>
  <c r="A809" i="3"/>
  <c r="H808" i="3"/>
  <c r="G808" i="3"/>
  <c r="F808" i="3"/>
  <c r="E808" i="3"/>
  <c r="C808" i="3"/>
  <c r="B808" i="3"/>
  <c r="A808" i="3"/>
  <c r="H807" i="3"/>
  <c r="G807" i="3"/>
  <c r="F807" i="3"/>
  <c r="A807" i="3"/>
  <c r="H806" i="3"/>
  <c r="G806" i="3"/>
  <c r="F806" i="3"/>
  <c r="D806" i="3"/>
  <c r="C806" i="3"/>
  <c r="B806" i="3"/>
  <c r="A806" i="3"/>
  <c r="H805" i="3"/>
  <c r="G805" i="3"/>
  <c r="F805" i="3"/>
  <c r="E805" i="3"/>
  <c r="C805" i="3"/>
  <c r="B805" i="3"/>
  <c r="A805" i="3"/>
  <c r="H804" i="3"/>
  <c r="G804" i="3"/>
  <c r="F804" i="3"/>
  <c r="E804" i="3"/>
  <c r="C804" i="3"/>
  <c r="B804" i="3"/>
  <c r="A804" i="3"/>
  <c r="H803" i="3"/>
  <c r="G803" i="3"/>
  <c r="F803" i="3"/>
  <c r="E803" i="3"/>
  <c r="C803" i="3"/>
  <c r="B803" i="3"/>
  <c r="A803" i="3"/>
  <c r="H802" i="3"/>
  <c r="G802" i="3"/>
  <c r="F802" i="3"/>
  <c r="E802" i="3"/>
  <c r="C802" i="3"/>
  <c r="B802" i="3"/>
  <c r="A802" i="3"/>
  <c r="H801" i="3"/>
  <c r="G801" i="3"/>
  <c r="F801" i="3"/>
  <c r="E801" i="3"/>
  <c r="C801" i="3"/>
  <c r="B801" i="3"/>
  <c r="A801" i="3"/>
  <c r="H800" i="3"/>
  <c r="G800" i="3"/>
  <c r="F800" i="3"/>
  <c r="A800" i="3"/>
  <c r="H799" i="3"/>
  <c r="G799" i="3"/>
  <c r="F799" i="3"/>
  <c r="C799" i="3"/>
  <c r="B799" i="3"/>
  <c r="A799" i="3"/>
  <c r="H798" i="3"/>
  <c r="G798" i="3"/>
  <c r="F798" i="3"/>
  <c r="C798" i="3"/>
  <c r="B798" i="3"/>
  <c r="A798" i="3"/>
  <c r="H797" i="3"/>
  <c r="G797" i="3"/>
  <c r="F797" i="3"/>
  <c r="E797" i="3"/>
  <c r="C797" i="3"/>
  <c r="B797" i="3"/>
  <c r="A797" i="3"/>
  <c r="F796" i="3"/>
  <c r="E796" i="3"/>
  <c r="A796" i="3"/>
  <c r="H795" i="3"/>
  <c r="G795" i="3"/>
  <c r="F795" i="3"/>
  <c r="E795" i="3"/>
  <c r="C795" i="3"/>
  <c r="B795" i="3"/>
  <c r="A795" i="3"/>
  <c r="H794" i="3"/>
  <c r="G794" i="3"/>
  <c r="F794" i="3"/>
  <c r="A794" i="3"/>
  <c r="H793" i="3"/>
  <c r="G793" i="3"/>
  <c r="F793" i="3"/>
  <c r="E793" i="3"/>
  <c r="B793" i="3"/>
  <c r="A793" i="3"/>
  <c r="H792" i="3"/>
  <c r="G792" i="3"/>
  <c r="F792" i="3"/>
  <c r="E792" i="3"/>
  <c r="D792" i="3"/>
  <c r="C792" i="3"/>
  <c r="B792" i="3"/>
  <c r="A792" i="3"/>
  <c r="H791" i="3"/>
  <c r="G791" i="3"/>
  <c r="F791" i="3"/>
  <c r="A791" i="3"/>
  <c r="H790" i="3"/>
  <c r="G790" i="3"/>
  <c r="F790" i="3"/>
  <c r="E790" i="3"/>
  <c r="C790" i="3"/>
  <c r="B790" i="3"/>
  <c r="A790" i="3"/>
  <c r="H789" i="3"/>
  <c r="G789" i="3"/>
  <c r="F789" i="3"/>
  <c r="C789" i="3"/>
  <c r="A789" i="3"/>
  <c r="H788" i="3"/>
  <c r="G788" i="3"/>
  <c r="F788" i="3"/>
  <c r="E788" i="3"/>
  <c r="D788" i="3"/>
  <c r="C788" i="3"/>
  <c r="B788" i="3"/>
  <c r="A788" i="3"/>
  <c r="H787" i="3"/>
  <c r="G787" i="3"/>
  <c r="F787" i="3"/>
  <c r="C787" i="3"/>
  <c r="B787" i="3"/>
  <c r="A787" i="3"/>
  <c r="H786" i="3"/>
  <c r="G786" i="3"/>
  <c r="F786" i="3"/>
  <c r="D786" i="3"/>
  <c r="C786" i="3"/>
  <c r="B786" i="3"/>
  <c r="A786" i="3"/>
  <c r="H785" i="3"/>
  <c r="G785" i="3"/>
  <c r="F785" i="3"/>
  <c r="D785" i="3"/>
  <c r="C785" i="3"/>
  <c r="B785" i="3"/>
  <c r="A785" i="3"/>
  <c r="H784" i="3"/>
  <c r="G784" i="3"/>
  <c r="F784" i="3"/>
  <c r="D784" i="3"/>
  <c r="C784" i="3"/>
  <c r="B784" i="3"/>
  <c r="A784" i="3"/>
  <c r="H783" i="3"/>
  <c r="G783" i="3"/>
  <c r="F783" i="3"/>
  <c r="C783" i="3"/>
  <c r="B783" i="3"/>
  <c r="A783" i="3"/>
  <c r="H782" i="3"/>
  <c r="G782" i="3"/>
  <c r="F782" i="3"/>
  <c r="C782" i="3"/>
  <c r="B782" i="3"/>
  <c r="A782" i="3"/>
  <c r="H781" i="3"/>
  <c r="G781" i="3"/>
  <c r="F781" i="3"/>
  <c r="D781" i="3"/>
  <c r="C781" i="3"/>
  <c r="B781" i="3"/>
  <c r="A781" i="3"/>
  <c r="H780" i="3"/>
  <c r="G780" i="3"/>
  <c r="F780" i="3"/>
  <c r="D780" i="3"/>
  <c r="C780" i="3"/>
  <c r="B780" i="3"/>
  <c r="A780" i="3"/>
  <c r="H779" i="3"/>
  <c r="G779" i="3"/>
  <c r="F779" i="3"/>
  <c r="A779" i="3"/>
  <c r="H778" i="3"/>
  <c r="G778" i="3"/>
  <c r="F778" i="3"/>
  <c r="E778" i="3"/>
  <c r="D778" i="3"/>
  <c r="C778" i="3"/>
  <c r="B778" i="3"/>
  <c r="A778" i="3"/>
  <c r="H777" i="3"/>
  <c r="G777" i="3"/>
  <c r="F777" i="3"/>
  <c r="E777" i="3"/>
  <c r="C777" i="3"/>
  <c r="B777" i="3"/>
  <c r="A777" i="3"/>
  <c r="H776" i="3"/>
  <c r="G776" i="3"/>
  <c r="F776" i="3"/>
  <c r="C776" i="3"/>
  <c r="B776" i="3"/>
  <c r="A776" i="3"/>
  <c r="H775" i="3"/>
  <c r="G775" i="3"/>
  <c r="F775" i="3"/>
  <c r="E775" i="3"/>
  <c r="D775" i="3"/>
  <c r="C775" i="3"/>
  <c r="B775" i="3"/>
  <c r="A775" i="3"/>
  <c r="H774" i="3"/>
  <c r="G774" i="3"/>
  <c r="F774" i="3"/>
  <c r="E774" i="3"/>
  <c r="C774" i="3"/>
  <c r="B774" i="3"/>
  <c r="A774" i="3"/>
  <c r="H773" i="3"/>
  <c r="G773" i="3"/>
  <c r="F773" i="3"/>
  <c r="E773" i="3"/>
  <c r="C773" i="3"/>
  <c r="B773" i="3"/>
  <c r="A773" i="3"/>
  <c r="H772" i="3"/>
  <c r="G772" i="3"/>
  <c r="F772" i="3"/>
  <c r="A772" i="3"/>
  <c r="H771" i="3"/>
  <c r="G771" i="3"/>
  <c r="F771" i="3"/>
  <c r="E771" i="3"/>
  <c r="B771" i="3"/>
  <c r="A771" i="3"/>
  <c r="H770" i="3"/>
  <c r="G770" i="3"/>
  <c r="F770" i="3"/>
  <c r="A770" i="3"/>
  <c r="H769" i="3"/>
  <c r="G769" i="3"/>
  <c r="F769" i="3"/>
  <c r="E769" i="3"/>
  <c r="C769" i="3"/>
  <c r="B769" i="3"/>
  <c r="A769" i="3"/>
  <c r="H768" i="3"/>
  <c r="G768" i="3"/>
  <c r="F768" i="3"/>
  <c r="E768" i="3"/>
  <c r="B768" i="3"/>
  <c r="A768" i="3"/>
  <c r="H767" i="3"/>
  <c r="G767" i="3"/>
  <c r="F767" i="3"/>
  <c r="C767" i="3"/>
  <c r="B767" i="3"/>
  <c r="A767" i="3"/>
  <c r="H766" i="3"/>
  <c r="G766" i="3"/>
  <c r="F766" i="3"/>
  <c r="C766" i="3"/>
  <c r="B766" i="3"/>
  <c r="A766" i="3"/>
  <c r="H765" i="3"/>
  <c r="G765" i="3"/>
  <c r="F765" i="3"/>
  <c r="A765" i="3"/>
  <c r="H764" i="3"/>
  <c r="G764" i="3"/>
  <c r="F764" i="3"/>
  <c r="E764" i="3"/>
  <c r="C764" i="3"/>
  <c r="B764" i="3"/>
  <c r="A764" i="3"/>
  <c r="H763" i="3"/>
  <c r="G763" i="3"/>
  <c r="F763" i="3"/>
  <c r="E763" i="3"/>
  <c r="C763" i="3"/>
  <c r="B763" i="3"/>
  <c r="A763" i="3"/>
  <c r="H762" i="3"/>
  <c r="G762" i="3"/>
  <c r="F762" i="3"/>
  <c r="E762" i="3"/>
  <c r="C762" i="3"/>
  <c r="B762" i="3"/>
  <c r="A762" i="3"/>
  <c r="H761" i="3"/>
  <c r="G761" i="3"/>
  <c r="F761" i="3"/>
  <c r="E761" i="3"/>
  <c r="C761" i="3"/>
  <c r="B761" i="3"/>
  <c r="A761" i="3"/>
  <c r="H760" i="3"/>
  <c r="G760" i="3"/>
  <c r="F760" i="3"/>
  <c r="E760" i="3"/>
  <c r="C760" i="3"/>
  <c r="B760" i="3"/>
  <c r="A760" i="3"/>
  <c r="H759" i="3"/>
  <c r="G759" i="3"/>
  <c r="F759" i="3"/>
  <c r="E759" i="3"/>
  <c r="C759" i="3"/>
  <c r="B759" i="3"/>
  <c r="A759" i="3"/>
  <c r="H758" i="3"/>
  <c r="G758" i="3"/>
  <c r="F758" i="3"/>
  <c r="E758" i="3"/>
  <c r="D758" i="3"/>
  <c r="C758" i="3"/>
  <c r="B758" i="3"/>
  <c r="A758" i="3"/>
  <c r="H757" i="3"/>
  <c r="G757" i="3"/>
  <c r="F757" i="3"/>
  <c r="E757" i="3"/>
  <c r="C757" i="3"/>
  <c r="B757" i="3"/>
  <c r="A757" i="3"/>
  <c r="H756" i="3"/>
  <c r="G756" i="3"/>
  <c r="F756" i="3"/>
  <c r="E756" i="3"/>
  <c r="D756" i="3"/>
  <c r="C756" i="3"/>
  <c r="B756" i="3"/>
  <c r="A756" i="3"/>
  <c r="H755" i="3"/>
  <c r="G755" i="3"/>
  <c r="F755" i="3"/>
  <c r="E755" i="3"/>
  <c r="C755" i="3"/>
  <c r="B755" i="3"/>
  <c r="A755" i="3"/>
  <c r="H754" i="3"/>
  <c r="G754" i="3"/>
  <c r="F754" i="3"/>
  <c r="E754" i="3"/>
  <c r="D754" i="3"/>
  <c r="C754" i="3"/>
  <c r="B754" i="3"/>
  <c r="A754" i="3"/>
  <c r="H753" i="3"/>
  <c r="G753" i="3"/>
  <c r="F753" i="3"/>
  <c r="E753" i="3"/>
  <c r="B753" i="3"/>
  <c r="A753" i="3"/>
  <c r="H752" i="3"/>
  <c r="G752" i="3"/>
  <c r="F752" i="3"/>
  <c r="E752" i="3"/>
  <c r="B752" i="3"/>
  <c r="A752" i="3"/>
  <c r="H751" i="3"/>
  <c r="G751" i="3"/>
  <c r="F751" i="3"/>
  <c r="E751" i="3"/>
  <c r="D751" i="3"/>
  <c r="C751" i="3"/>
  <c r="B751" i="3"/>
  <c r="A751" i="3"/>
  <c r="H750" i="3"/>
  <c r="G750" i="3"/>
  <c r="F750" i="3"/>
  <c r="E750" i="3"/>
  <c r="C750" i="3"/>
  <c r="B750" i="3"/>
  <c r="A750" i="3"/>
  <c r="H749" i="3"/>
  <c r="G749" i="3"/>
  <c r="F749" i="3"/>
  <c r="E749" i="3"/>
  <c r="B749" i="3"/>
  <c r="A749" i="3"/>
  <c r="H748" i="3"/>
  <c r="G748" i="3"/>
  <c r="F748" i="3"/>
  <c r="E748" i="3"/>
  <c r="B748" i="3"/>
  <c r="A748" i="3"/>
  <c r="H747" i="3"/>
  <c r="G747" i="3"/>
  <c r="F747" i="3"/>
  <c r="E747" i="3"/>
  <c r="B747" i="3"/>
  <c r="A747" i="3"/>
  <c r="H746" i="3"/>
  <c r="G746" i="3"/>
  <c r="F746" i="3"/>
  <c r="E746" i="3"/>
  <c r="B746" i="3"/>
  <c r="A746" i="3"/>
  <c r="H745" i="3"/>
  <c r="G745" i="3"/>
  <c r="F745" i="3"/>
  <c r="E745" i="3"/>
  <c r="B745" i="3"/>
  <c r="A745" i="3"/>
  <c r="H744" i="3"/>
  <c r="G744" i="3"/>
  <c r="F744" i="3"/>
  <c r="E744" i="3"/>
  <c r="C744" i="3"/>
  <c r="B744" i="3"/>
  <c r="A744" i="3"/>
  <c r="H743" i="3"/>
  <c r="G743" i="3"/>
  <c r="F743" i="3"/>
  <c r="E743" i="3"/>
  <c r="C743" i="3"/>
  <c r="B743" i="3"/>
  <c r="A743" i="3"/>
  <c r="H742" i="3"/>
  <c r="G742" i="3"/>
  <c r="F742" i="3"/>
  <c r="E742" i="3"/>
  <c r="D742" i="3"/>
  <c r="C742" i="3"/>
  <c r="B742" i="3"/>
  <c r="A742" i="3"/>
  <c r="H741" i="3"/>
  <c r="G741" i="3"/>
  <c r="F741" i="3"/>
  <c r="A741" i="3"/>
  <c r="H740" i="3"/>
  <c r="G740" i="3"/>
  <c r="E740" i="3"/>
  <c r="B740" i="3"/>
  <c r="A740" i="3"/>
  <c r="H739" i="3"/>
  <c r="G739" i="3"/>
  <c r="F739" i="3"/>
  <c r="E739" i="3"/>
  <c r="B739" i="3"/>
  <c r="A739" i="3"/>
  <c r="H738" i="3"/>
  <c r="G738" i="3"/>
  <c r="F738" i="3"/>
  <c r="E738" i="3"/>
  <c r="C738" i="3"/>
  <c r="B738" i="3"/>
  <c r="A738" i="3"/>
  <c r="H737" i="3"/>
  <c r="G737" i="3"/>
  <c r="F737" i="3"/>
  <c r="E737" i="3"/>
  <c r="D737" i="3"/>
  <c r="C737" i="3"/>
  <c r="B737" i="3"/>
  <c r="A737" i="3"/>
  <c r="H736" i="3"/>
  <c r="G736" i="3"/>
  <c r="F736" i="3"/>
  <c r="E736" i="3"/>
  <c r="C736" i="3"/>
  <c r="B736" i="3"/>
  <c r="A736" i="3"/>
  <c r="H735" i="3"/>
  <c r="G735" i="3"/>
  <c r="F735" i="3"/>
  <c r="E735" i="3"/>
  <c r="C735" i="3"/>
  <c r="B735" i="3"/>
  <c r="A735" i="3"/>
  <c r="H734" i="3"/>
  <c r="G734" i="3"/>
  <c r="F734" i="3"/>
  <c r="B734" i="3"/>
  <c r="A734" i="3"/>
  <c r="H733" i="3"/>
  <c r="G733" i="3"/>
  <c r="F733" i="3"/>
  <c r="C733" i="3"/>
  <c r="B733" i="3"/>
  <c r="A733" i="3"/>
  <c r="H732" i="3"/>
  <c r="G732" i="3"/>
  <c r="F732" i="3"/>
  <c r="E732" i="3"/>
  <c r="C732" i="3"/>
  <c r="B732" i="3"/>
  <c r="A732" i="3"/>
  <c r="H731" i="3"/>
  <c r="G731" i="3"/>
  <c r="F731" i="3"/>
  <c r="A731" i="3"/>
  <c r="H730" i="3"/>
  <c r="G730" i="3"/>
  <c r="F730" i="3"/>
  <c r="E730" i="3"/>
  <c r="A730" i="3"/>
  <c r="H729" i="3"/>
  <c r="G729" i="3"/>
  <c r="F729" i="3"/>
  <c r="E729" i="3"/>
  <c r="C729" i="3"/>
  <c r="B729" i="3"/>
  <c r="A729" i="3"/>
  <c r="H728" i="3"/>
  <c r="G728" i="3"/>
  <c r="F728" i="3"/>
  <c r="E728" i="3"/>
  <c r="A728" i="3"/>
  <c r="H727" i="3"/>
  <c r="G727" i="3"/>
  <c r="F727" i="3"/>
  <c r="C727" i="3"/>
  <c r="B727" i="3"/>
  <c r="A727" i="3"/>
  <c r="H726" i="3"/>
  <c r="G726" i="3"/>
  <c r="F726" i="3"/>
  <c r="E726" i="3"/>
  <c r="C726" i="3"/>
  <c r="B726" i="3"/>
  <c r="A726" i="3"/>
  <c r="H725" i="3"/>
  <c r="G725" i="3"/>
  <c r="F725" i="3"/>
  <c r="E725" i="3"/>
  <c r="C725" i="3"/>
  <c r="B725" i="3"/>
  <c r="A725" i="3"/>
  <c r="H724" i="3"/>
  <c r="G724" i="3"/>
  <c r="F724" i="3"/>
  <c r="E724" i="3"/>
  <c r="C724" i="3"/>
  <c r="B724" i="3"/>
  <c r="A724" i="3"/>
  <c r="H723" i="3"/>
  <c r="G723" i="3"/>
  <c r="F723" i="3"/>
  <c r="E723" i="3"/>
  <c r="C723" i="3"/>
  <c r="B723" i="3"/>
  <c r="A723" i="3"/>
  <c r="H722" i="3"/>
  <c r="G722" i="3"/>
  <c r="F722" i="3"/>
  <c r="E722" i="3"/>
  <c r="C722" i="3"/>
  <c r="B722" i="3"/>
  <c r="A722" i="3"/>
  <c r="H721" i="3"/>
  <c r="G721" i="3"/>
  <c r="F721" i="3"/>
  <c r="B721" i="3"/>
  <c r="A721" i="3"/>
  <c r="H720" i="3"/>
  <c r="G720" i="3"/>
  <c r="F720" i="3"/>
  <c r="E720" i="3"/>
  <c r="A720" i="3"/>
  <c r="H719" i="3"/>
  <c r="G719" i="3"/>
  <c r="F719" i="3"/>
  <c r="A719" i="3"/>
  <c r="H718" i="3"/>
  <c r="G718" i="3"/>
  <c r="F718" i="3"/>
  <c r="E718" i="3"/>
  <c r="C718" i="3"/>
  <c r="B718" i="3"/>
  <c r="A718" i="3"/>
  <c r="H717" i="3"/>
  <c r="G717" i="3"/>
  <c r="F717" i="3"/>
  <c r="C717" i="3"/>
  <c r="B717" i="3"/>
  <c r="A717" i="3"/>
  <c r="H716" i="3"/>
  <c r="G716" i="3"/>
  <c r="F716" i="3"/>
  <c r="D716" i="3"/>
  <c r="C716" i="3"/>
  <c r="B716" i="3"/>
  <c r="A716" i="3"/>
  <c r="H715" i="3"/>
  <c r="G715" i="3"/>
  <c r="F715" i="3"/>
  <c r="D715" i="3"/>
  <c r="C715" i="3"/>
  <c r="B715" i="3"/>
  <c r="A715" i="3"/>
  <c r="H714" i="3"/>
  <c r="G714" i="3"/>
  <c r="F714" i="3"/>
  <c r="A714" i="3"/>
  <c r="H713" i="3"/>
  <c r="G713" i="3"/>
  <c r="F713" i="3"/>
  <c r="A713" i="3"/>
  <c r="H712" i="3"/>
  <c r="G712" i="3"/>
  <c r="F712" i="3"/>
  <c r="C712" i="3"/>
  <c r="B712" i="3"/>
  <c r="A712" i="3"/>
  <c r="H711" i="3"/>
  <c r="G711" i="3"/>
  <c r="F711" i="3"/>
  <c r="A711" i="3"/>
  <c r="H710" i="3"/>
  <c r="G710" i="3"/>
  <c r="F710" i="3"/>
  <c r="E710" i="3"/>
  <c r="B710" i="3"/>
  <c r="A710" i="3"/>
  <c r="H709" i="3"/>
  <c r="G709" i="3"/>
  <c r="F709" i="3"/>
  <c r="E709" i="3"/>
  <c r="B709" i="3"/>
  <c r="A709" i="3"/>
  <c r="E708" i="3"/>
  <c r="A708" i="3"/>
  <c r="H707" i="3"/>
  <c r="G707" i="3"/>
  <c r="F707" i="3"/>
  <c r="E707" i="3"/>
  <c r="C707" i="3"/>
  <c r="B707" i="3"/>
  <c r="A707" i="3"/>
  <c r="H706" i="3"/>
  <c r="G706" i="3"/>
  <c r="F706" i="3"/>
  <c r="A706" i="3"/>
  <c r="H705" i="3"/>
  <c r="G705" i="3"/>
  <c r="F705" i="3"/>
  <c r="E705" i="3"/>
  <c r="D705" i="3"/>
  <c r="C705" i="3"/>
  <c r="B705" i="3"/>
  <c r="A705" i="3"/>
  <c r="H704" i="3"/>
  <c r="G704" i="3"/>
  <c r="F704" i="3"/>
  <c r="E704" i="3"/>
  <c r="A704" i="3"/>
  <c r="H703" i="3"/>
  <c r="G703" i="3"/>
  <c r="F703" i="3"/>
  <c r="E703" i="3"/>
  <c r="C703" i="3"/>
  <c r="B703" i="3"/>
  <c r="A703" i="3"/>
  <c r="H702" i="3"/>
  <c r="G702" i="3"/>
  <c r="F702" i="3"/>
  <c r="E702" i="3"/>
  <c r="D702" i="3"/>
  <c r="C702" i="3"/>
  <c r="B702" i="3"/>
  <c r="A702" i="3"/>
  <c r="H701" i="3"/>
  <c r="G701" i="3"/>
  <c r="F701" i="3"/>
  <c r="E701" i="3"/>
  <c r="C701" i="3"/>
  <c r="B701" i="3"/>
  <c r="A701" i="3"/>
  <c r="H700" i="3"/>
  <c r="G700" i="3"/>
  <c r="F700" i="3"/>
  <c r="E700" i="3"/>
  <c r="D700" i="3"/>
  <c r="C700" i="3"/>
  <c r="B700" i="3"/>
  <c r="A700" i="3"/>
  <c r="H699" i="3"/>
  <c r="G699" i="3"/>
  <c r="F699" i="3"/>
  <c r="C699" i="3"/>
  <c r="B699" i="3"/>
  <c r="A699" i="3"/>
  <c r="H698" i="3"/>
  <c r="G698" i="3"/>
  <c r="F698" i="3"/>
  <c r="C698" i="3"/>
  <c r="A698" i="3"/>
  <c r="H697" i="3"/>
  <c r="G697" i="3"/>
  <c r="F697" i="3"/>
  <c r="C697" i="3"/>
  <c r="B697" i="3"/>
  <c r="A697" i="3"/>
  <c r="H696" i="3"/>
  <c r="G696" i="3"/>
  <c r="F696" i="3"/>
  <c r="E696" i="3"/>
  <c r="C696" i="3"/>
  <c r="B696" i="3"/>
  <c r="A696" i="3"/>
  <c r="E695" i="3"/>
  <c r="A695" i="3"/>
  <c r="H694" i="3"/>
  <c r="G694" i="3"/>
  <c r="F694" i="3"/>
  <c r="A694" i="3"/>
  <c r="H693" i="3"/>
  <c r="G693" i="3"/>
  <c r="F693" i="3"/>
  <c r="E693" i="3"/>
  <c r="C693" i="3"/>
  <c r="B693" i="3"/>
  <c r="A693" i="3"/>
  <c r="H692" i="3"/>
  <c r="G692" i="3"/>
  <c r="F692" i="3"/>
  <c r="E692" i="3"/>
  <c r="C692" i="3"/>
  <c r="B692" i="3"/>
  <c r="A692" i="3"/>
  <c r="H691" i="3"/>
  <c r="G691" i="3"/>
  <c r="F691" i="3"/>
  <c r="E691" i="3"/>
  <c r="C691" i="3"/>
  <c r="B691" i="3"/>
  <c r="A691" i="3"/>
  <c r="H690" i="3"/>
  <c r="G690" i="3"/>
  <c r="F690" i="3"/>
  <c r="E690" i="3"/>
  <c r="B690" i="3"/>
  <c r="A690" i="3"/>
  <c r="H689" i="3"/>
  <c r="G689" i="3"/>
  <c r="F689" i="3"/>
  <c r="E689" i="3"/>
  <c r="A689" i="3"/>
  <c r="H688" i="3"/>
  <c r="G688" i="3"/>
  <c r="F688" i="3"/>
  <c r="E688" i="3"/>
  <c r="B688" i="3"/>
  <c r="A688" i="3"/>
  <c r="H687" i="3"/>
  <c r="G687" i="3"/>
  <c r="F687" i="3"/>
  <c r="E687" i="3"/>
  <c r="C687" i="3"/>
  <c r="B687" i="3"/>
  <c r="A687" i="3"/>
  <c r="H686" i="3"/>
  <c r="G686" i="3"/>
  <c r="F686" i="3"/>
  <c r="E686" i="3"/>
  <c r="C686" i="3"/>
  <c r="B686" i="3"/>
  <c r="A686" i="3"/>
  <c r="H685" i="3"/>
  <c r="G685" i="3"/>
  <c r="F685" i="3"/>
  <c r="A685" i="3"/>
  <c r="H684" i="3"/>
  <c r="G684" i="3"/>
  <c r="F684" i="3"/>
  <c r="A684" i="3"/>
  <c r="H683" i="3"/>
  <c r="G683" i="3"/>
  <c r="F683" i="3"/>
  <c r="A683" i="3"/>
  <c r="H682" i="3"/>
  <c r="G682" i="3"/>
  <c r="F682" i="3"/>
  <c r="E682" i="3"/>
  <c r="D682" i="3"/>
  <c r="C682" i="3"/>
  <c r="B682" i="3"/>
  <c r="A682" i="3"/>
  <c r="H681" i="3"/>
  <c r="G681" i="3"/>
  <c r="F681" i="3"/>
  <c r="E681" i="3"/>
  <c r="D681" i="3"/>
  <c r="C681" i="3"/>
  <c r="B681" i="3"/>
  <c r="A681" i="3"/>
  <c r="H680" i="3"/>
  <c r="G680" i="3"/>
  <c r="F680" i="3"/>
  <c r="A680" i="3"/>
  <c r="H679" i="3"/>
  <c r="G679" i="3"/>
  <c r="F679" i="3"/>
  <c r="E679" i="3"/>
  <c r="A679" i="3"/>
  <c r="H678" i="3"/>
  <c r="G678" i="3"/>
  <c r="F678" i="3"/>
  <c r="E678" i="3"/>
  <c r="C678" i="3"/>
  <c r="B678" i="3"/>
  <c r="A678" i="3"/>
  <c r="H677" i="3"/>
  <c r="G677" i="3"/>
  <c r="F677" i="3"/>
  <c r="E677" i="3"/>
  <c r="C677" i="3"/>
  <c r="B677" i="3"/>
  <c r="A677" i="3"/>
  <c r="H676" i="3"/>
  <c r="G676" i="3"/>
  <c r="F676" i="3"/>
  <c r="E676" i="3"/>
  <c r="A676" i="3"/>
  <c r="H675" i="3"/>
  <c r="G675" i="3"/>
  <c r="F675" i="3"/>
  <c r="E675" i="3"/>
  <c r="C675" i="3"/>
  <c r="B675" i="3"/>
  <c r="A675" i="3"/>
  <c r="H674" i="3"/>
  <c r="G674" i="3"/>
  <c r="F674" i="3"/>
  <c r="A674" i="3"/>
  <c r="H673" i="3"/>
  <c r="G673" i="3"/>
  <c r="F673" i="3"/>
  <c r="A673" i="3"/>
  <c r="H672" i="3"/>
  <c r="G672" i="3"/>
  <c r="F672" i="3"/>
  <c r="C672" i="3"/>
  <c r="B672" i="3"/>
  <c r="A672" i="3"/>
  <c r="H671" i="3"/>
  <c r="G671" i="3"/>
  <c r="F671" i="3"/>
  <c r="E671" i="3"/>
  <c r="C671" i="3"/>
  <c r="B671" i="3"/>
  <c r="A671" i="3"/>
  <c r="H670" i="3"/>
  <c r="G670" i="3"/>
  <c r="F670" i="3"/>
  <c r="A670" i="3"/>
  <c r="H669" i="3"/>
  <c r="G669" i="3"/>
  <c r="F669" i="3"/>
  <c r="A669" i="3"/>
  <c r="H668" i="3"/>
  <c r="G668" i="3"/>
  <c r="F668" i="3"/>
  <c r="E668" i="3"/>
  <c r="D668" i="3"/>
  <c r="C668" i="3"/>
  <c r="B668" i="3"/>
  <c r="A668" i="3"/>
  <c r="H667" i="3"/>
  <c r="G667" i="3"/>
  <c r="F667" i="3"/>
  <c r="A667" i="3"/>
  <c r="H666" i="3"/>
  <c r="G666" i="3"/>
  <c r="F666" i="3"/>
  <c r="A666" i="3"/>
  <c r="H665" i="3"/>
  <c r="G665" i="3"/>
  <c r="F665" i="3"/>
  <c r="A665" i="3"/>
  <c r="H664" i="3"/>
  <c r="G664" i="3"/>
  <c r="F664" i="3"/>
  <c r="E664" i="3"/>
  <c r="C664" i="3"/>
  <c r="B664" i="3"/>
  <c r="A664" i="3"/>
  <c r="H663" i="3"/>
  <c r="G663" i="3"/>
  <c r="F663" i="3"/>
  <c r="E663" i="3"/>
  <c r="C663" i="3"/>
  <c r="B663" i="3"/>
  <c r="A663" i="3"/>
  <c r="H662" i="3"/>
  <c r="G662" i="3"/>
  <c r="F662" i="3"/>
  <c r="D662" i="3"/>
  <c r="C662" i="3"/>
  <c r="B662" i="3"/>
  <c r="A662" i="3"/>
  <c r="H661" i="3"/>
  <c r="G661" i="3"/>
  <c r="F661" i="3"/>
  <c r="C661" i="3"/>
  <c r="A661" i="3"/>
  <c r="H660" i="3"/>
  <c r="G660" i="3"/>
  <c r="F660" i="3"/>
  <c r="B660" i="3"/>
  <c r="A660" i="3"/>
  <c r="H659" i="3"/>
  <c r="G659" i="3"/>
  <c r="F659" i="3"/>
  <c r="A659" i="3"/>
  <c r="H658" i="3"/>
  <c r="G658" i="3"/>
  <c r="F658" i="3"/>
  <c r="E658" i="3"/>
  <c r="A658" i="3"/>
  <c r="H657" i="3"/>
  <c r="G657" i="3"/>
  <c r="F657" i="3"/>
  <c r="E657" i="3"/>
  <c r="A657" i="3"/>
  <c r="H656" i="3"/>
  <c r="G656" i="3"/>
  <c r="F656" i="3"/>
  <c r="E656" i="3"/>
  <c r="C656" i="3"/>
  <c r="B656" i="3"/>
  <c r="A656" i="3"/>
  <c r="H655" i="3"/>
  <c r="G655" i="3"/>
  <c r="F655" i="3"/>
  <c r="E655" i="3"/>
  <c r="C655" i="3"/>
  <c r="B655" i="3"/>
  <c r="A655" i="3"/>
  <c r="H654" i="3"/>
  <c r="G654" i="3"/>
  <c r="F654" i="3"/>
  <c r="E654" i="3"/>
  <c r="A654" i="3"/>
  <c r="H653" i="3"/>
  <c r="G653" i="3"/>
  <c r="F653" i="3"/>
  <c r="E653" i="3"/>
  <c r="A653" i="3"/>
  <c r="H652" i="3"/>
  <c r="G652" i="3"/>
  <c r="F652" i="3"/>
  <c r="E652" i="3"/>
  <c r="B652" i="3"/>
  <c r="A652" i="3"/>
  <c r="H651" i="3"/>
  <c r="G651" i="3"/>
  <c r="F651" i="3"/>
  <c r="E651" i="3"/>
  <c r="C651" i="3"/>
  <c r="B651" i="3"/>
  <c r="A651" i="3"/>
  <c r="H650" i="3"/>
  <c r="G650" i="3"/>
  <c r="F650" i="3"/>
  <c r="E650" i="3"/>
  <c r="D650" i="3"/>
  <c r="C650" i="3"/>
  <c r="B650" i="3"/>
  <c r="A650" i="3"/>
  <c r="H649" i="3"/>
  <c r="G649" i="3"/>
  <c r="F649" i="3"/>
  <c r="E649" i="3"/>
  <c r="D649" i="3"/>
  <c r="C649" i="3"/>
  <c r="B649" i="3"/>
  <c r="A649" i="3"/>
  <c r="H648" i="3"/>
  <c r="G648" i="3"/>
  <c r="F648" i="3"/>
  <c r="D648" i="3"/>
  <c r="C648" i="3"/>
  <c r="B648" i="3"/>
  <c r="A648" i="3"/>
  <c r="H647" i="3"/>
  <c r="G647" i="3"/>
  <c r="F647" i="3"/>
  <c r="E647" i="3"/>
  <c r="D647" i="3"/>
  <c r="C647" i="3"/>
  <c r="B647" i="3"/>
  <c r="A647" i="3"/>
  <c r="H646" i="3"/>
  <c r="G646" i="3"/>
  <c r="F646" i="3"/>
  <c r="E646" i="3"/>
  <c r="C646" i="3"/>
  <c r="B646" i="3"/>
  <c r="A646" i="3"/>
  <c r="H645" i="3"/>
  <c r="G645" i="3"/>
  <c r="F645" i="3"/>
  <c r="E645" i="3"/>
  <c r="C645" i="3"/>
  <c r="B645" i="3"/>
  <c r="A645" i="3"/>
  <c r="H644" i="3"/>
  <c r="G644" i="3"/>
  <c r="F644" i="3"/>
  <c r="E644" i="3"/>
  <c r="A644" i="3"/>
  <c r="H643" i="3"/>
  <c r="G643" i="3"/>
  <c r="F643" i="3"/>
  <c r="E643" i="3"/>
  <c r="C643" i="3"/>
  <c r="B643" i="3"/>
  <c r="A643" i="3"/>
  <c r="H642" i="3"/>
  <c r="G642" i="3"/>
  <c r="F642" i="3"/>
  <c r="E642" i="3"/>
  <c r="B642" i="3"/>
  <c r="A642" i="3"/>
  <c r="H641" i="3"/>
  <c r="G641" i="3"/>
  <c r="F641" i="3"/>
  <c r="E641" i="3"/>
  <c r="B641" i="3"/>
  <c r="A641" i="3"/>
  <c r="H640" i="3"/>
  <c r="G640" i="3"/>
  <c r="F640" i="3"/>
  <c r="E640" i="3"/>
  <c r="C640" i="3"/>
  <c r="B640" i="3"/>
  <c r="A640" i="3"/>
  <c r="H639" i="3"/>
  <c r="G639" i="3"/>
  <c r="F639" i="3"/>
  <c r="E639" i="3"/>
  <c r="D639" i="3"/>
  <c r="C639" i="3"/>
  <c r="B639" i="3"/>
  <c r="A639" i="3"/>
  <c r="H638" i="3"/>
  <c r="G638" i="3"/>
  <c r="F638" i="3"/>
  <c r="E638" i="3"/>
  <c r="C638" i="3"/>
  <c r="B638" i="3"/>
  <c r="A638" i="3"/>
  <c r="H637" i="3"/>
  <c r="G637" i="3"/>
  <c r="F637" i="3"/>
  <c r="E637" i="3"/>
  <c r="B637" i="3"/>
  <c r="A637" i="3"/>
  <c r="H636" i="3"/>
  <c r="G636" i="3"/>
  <c r="F636" i="3"/>
  <c r="E636" i="3"/>
  <c r="C636" i="3"/>
  <c r="B636" i="3"/>
  <c r="A636" i="3"/>
  <c r="H635" i="3"/>
  <c r="G635" i="3"/>
  <c r="F635" i="3"/>
  <c r="E635" i="3"/>
  <c r="C635" i="3"/>
  <c r="B635" i="3"/>
  <c r="A635" i="3"/>
  <c r="H634" i="3"/>
  <c r="G634" i="3"/>
  <c r="F634" i="3"/>
  <c r="A634" i="3"/>
  <c r="H633" i="3"/>
  <c r="G633" i="3"/>
  <c r="F633" i="3"/>
  <c r="E633" i="3"/>
  <c r="C633" i="3"/>
  <c r="B633" i="3"/>
  <c r="A633" i="3"/>
  <c r="H632" i="3"/>
  <c r="G632" i="3"/>
  <c r="F632" i="3"/>
  <c r="E632" i="3"/>
  <c r="A632" i="3"/>
  <c r="H631" i="3"/>
  <c r="G631" i="3"/>
  <c r="F631" i="3"/>
  <c r="E631" i="3"/>
  <c r="C631" i="3"/>
  <c r="B631" i="3"/>
  <c r="A631" i="3"/>
  <c r="H630" i="3"/>
  <c r="G630" i="3"/>
  <c r="F630" i="3"/>
  <c r="E630" i="3"/>
  <c r="C630" i="3"/>
  <c r="B630" i="3"/>
  <c r="A630" i="3"/>
  <c r="H629" i="3"/>
  <c r="G629" i="3"/>
  <c r="F629" i="3"/>
  <c r="E629" i="3"/>
  <c r="C629" i="3"/>
  <c r="B629" i="3"/>
  <c r="A629" i="3"/>
  <c r="H628" i="3"/>
  <c r="G628" i="3"/>
  <c r="F628" i="3"/>
  <c r="C628" i="3"/>
  <c r="B628" i="3"/>
  <c r="A628" i="3"/>
  <c r="H627" i="3"/>
  <c r="G627" i="3"/>
  <c r="F627" i="3"/>
  <c r="E627" i="3"/>
  <c r="D627" i="3"/>
  <c r="C627" i="3"/>
  <c r="B627" i="3"/>
  <c r="A627" i="3"/>
  <c r="H626" i="3"/>
  <c r="G626" i="3"/>
  <c r="F626" i="3"/>
  <c r="E626" i="3"/>
  <c r="D626" i="3"/>
  <c r="C626" i="3"/>
  <c r="B626" i="3"/>
  <c r="A626" i="3"/>
  <c r="H625" i="3"/>
  <c r="G625" i="3"/>
  <c r="F625" i="3"/>
  <c r="E625" i="3"/>
  <c r="B625" i="3"/>
  <c r="A625" i="3"/>
  <c r="H624" i="3"/>
  <c r="G624" i="3"/>
  <c r="F624" i="3"/>
  <c r="A624" i="3"/>
  <c r="H623" i="3"/>
  <c r="G623" i="3"/>
  <c r="F623" i="3"/>
  <c r="A623" i="3"/>
  <c r="H622" i="3"/>
  <c r="G622" i="3"/>
  <c r="F622" i="3"/>
  <c r="E622" i="3"/>
  <c r="C622" i="3"/>
  <c r="B622" i="3"/>
  <c r="A622" i="3"/>
  <c r="H621" i="3"/>
  <c r="G621" i="3"/>
  <c r="F621" i="3"/>
  <c r="E621" i="3"/>
  <c r="C621" i="3"/>
  <c r="B621" i="3"/>
  <c r="A621" i="3"/>
  <c r="H620" i="3"/>
  <c r="G620" i="3"/>
  <c r="F620" i="3"/>
  <c r="E620" i="3"/>
  <c r="A620" i="3"/>
  <c r="H619" i="3"/>
  <c r="G619" i="3"/>
  <c r="F619" i="3"/>
  <c r="E619" i="3"/>
  <c r="C619" i="3"/>
  <c r="B619" i="3"/>
  <c r="A619" i="3"/>
  <c r="H618" i="3"/>
  <c r="G618" i="3"/>
  <c r="F618" i="3"/>
  <c r="E618" i="3"/>
  <c r="C618" i="3"/>
  <c r="B618" i="3"/>
  <c r="A618" i="3"/>
  <c r="H617" i="3"/>
  <c r="G617" i="3"/>
  <c r="F617" i="3"/>
  <c r="E617" i="3"/>
  <c r="C617" i="3"/>
  <c r="B617" i="3"/>
  <c r="A617" i="3"/>
  <c r="H616" i="3"/>
  <c r="G616" i="3"/>
  <c r="F616" i="3"/>
  <c r="E616" i="3"/>
  <c r="C616" i="3"/>
  <c r="B616" i="3"/>
  <c r="A616" i="3"/>
  <c r="H615" i="3"/>
  <c r="G615" i="3"/>
  <c r="F615" i="3"/>
  <c r="E615" i="3"/>
  <c r="C615" i="3"/>
  <c r="B615" i="3"/>
  <c r="A615" i="3"/>
  <c r="H614" i="3"/>
  <c r="G614" i="3"/>
  <c r="F614" i="3"/>
  <c r="E614" i="3"/>
  <c r="B614" i="3"/>
  <c r="A614" i="3"/>
  <c r="H613" i="3"/>
  <c r="G613" i="3"/>
  <c r="F613" i="3"/>
  <c r="E613" i="3"/>
  <c r="B613" i="3"/>
  <c r="A613" i="3"/>
  <c r="H612" i="3"/>
  <c r="G612" i="3"/>
  <c r="F612" i="3"/>
  <c r="E612" i="3"/>
  <c r="D612" i="3"/>
  <c r="C612" i="3"/>
  <c r="B612" i="3"/>
  <c r="A612" i="3"/>
  <c r="H611" i="3"/>
  <c r="G611" i="3"/>
  <c r="F611" i="3"/>
  <c r="E611" i="3"/>
  <c r="D611" i="3"/>
  <c r="C611" i="3"/>
  <c r="B611" i="3"/>
  <c r="A611" i="3"/>
  <c r="H610" i="3"/>
  <c r="G610" i="3"/>
  <c r="F610" i="3"/>
  <c r="A610" i="3"/>
  <c r="H609" i="3"/>
  <c r="G609" i="3"/>
  <c r="F609" i="3"/>
  <c r="E609" i="3"/>
  <c r="D609" i="3"/>
  <c r="C609" i="3"/>
  <c r="B609" i="3"/>
  <c r="A609" i="3"/>
  <c r="H608" i="3"/>
  <c r="G608" i="3"/>
  <c r="F608" i="3"/>
  <c r="E608" i="3"/>
  <c r="A608" i="3"/>
  <c r="H607" i="3"/>
  <c r="G607" i="3"/>
  <c r="F607" i="3"/>
  <c r="A607" i="3"/>
  <c r="H606" i="3"/>
  <c r="G606" i="3"/>
  <c r="F606" i="3"/>
  <c r="E606" i="3"/>
  <c r="C606" i="3"/>
  <c r="B606" i="3"/>
  <c r="A606" i="3"/>
  <c r="H605" i="3"/>
  <c r="G605" i="3"/>
  <c r="F605" i="3"/>
  <c r="A605" i="3"/>
  <c r="H604" i="3"/>
  <c r="G604" i="3"/>
  <c r="F604" i="3"/>
  <c r="A604" i="3"/>
  <c r="H603" i="3"/>
  <c r="G603" i="3"/>
  <c r="F603" i="3"/>
  <c r="E603" i="3"/>
  <c r="C603" i="3"/>
  <c r="B603" i="3"/>
  <c r="A603" i="3"/>
  <c r="H602" i="3"/>
  <c r="G602" i="3"/>
  <c r="F602" i="3"/>
  <c r="E602" i="3"/>
  <c r="B602" i="3"/>
  <c r="A602" i="3"/>
  <c r="H601" i="3"/>
  <c r="G601" i="3"/>
  <c r="F601" i="3"/>
  <c r="E601" i="3"/>
  <c r="C601" i="3"/>
  <c r="B601" i="3"/>
  <c r="A601" i="3"/>
  <c r="H600" i="3"/>
  <c r="G600" i="3"/>
  <c r="F600" i="3"/>
  <c r="E600" i="3"/>
  <c r="B600" i="3"/>
  <c r="A600" i="3"/>
  <c r="H599" i="3"/>
  <c r="G599" i="3"/>
  <c r="F599" i="3"/>
  <c r="E599" i="3"/>
  <c r="B599" i="3"/>
  <c r="A599" i="3"/>
  <c r="H598" i="3"/>
  <c r="G598" i="3"/>
  <c r="F598" i="3"/>
  <c r="E598" i="3"/>
  <c r="B598" i="3"/>
  <c r="A598" i="3"/>
  <c r="H597" i="3"/>
  <c r="G597" i="3"/>
  <c r="F597" i="3"/>
  <c r="E597" i="3"/>
  <c r="D597" i="3"/>
  <c r="C597" i="3"/>
  <c r="B597" i="3"/>
  <c r="A597" i="3"/>
  <c r="H596" i="3"/>
  <c r="G596" i="3"/>
  <c r="F596" i="3"/>
  <c r="E596" i="3"/>
  <c r="C596" i="3"/>
  <c r="B596" i="3"/>
  <c r="A596" i="3"/>
  <c r="H595" i="3"/>
  <c r="G595" i="3"/>
  <c r="F595" i="3"/>
  <c r="E595" i="3"/>
  <c r="C595" i="3"/>
  <c r="B595" i="3"/>
  <c r="A595" i="3"/>
  <c r="H594" i="3"/>
  <c r="G594" i="3"/>
  <c r="F594" i="3"/>
  <c r="E594" i="3"/>
  <c r="C594" i="3"/>
  <c r="B594" i="3"/>
  <c r="A594" i="3"/>
  <c r="H593" i="3"/>
  <c r="G593" i="3"/>
  <c r="F593" i="3"/>
  <c r="E593" i="3"/>
  <c r="B593" i="3"/>
  <c r="A593" i="3"/>
  <c r="H592" i="3"/>
  <c r="G592" i="3"/>
  <c r="F592" i="3"/>
  <c r="E592" i="3"/>
  <c r="D592" i="3"/>
  <c r="C592" i="3"/>
  <c r="B592" i="3"/>
  <c r="A592" i="3"/>
  <c r="H591" i="3"/>
  <c r="G591" i="3"/>
  <c r="F591" i="3"/>
  <c r="E591" i="3"/>
  <c r="C591" i="3"/>
  <c r="B591" i="3"/>
  <c r="A591" i="3"/>
  <c r="H590" i="3"/>
  <c r="G590" i="3"/>
  <c r="F590" i="3"/>
  <c r="E590" i="3"/>
  <c r="C590" i="3"/>
  <c r="B590" i="3"/>
  <c r="A590" i="3"/>
  <c r="H589" i="3"/>
  <c r="G589" i="3"/>
  <c r="F589" i="3"/>
  <c r="A589" i="3"/>
  <c r="H588" i="3"/>
  <c r="G588" i="3"/>
  <c r="F588" i="3"/>
  <c r="A588" i="3"/>
  <c r="H587" i="3"/>
  <c r="G587" i="3"/>
  <c r="F587" i="3"/>
  <c r="E587" i="3"/>
  <c r="C587" i="3"/>
  <c r="B587" i="3"/>
  <c r="A587" i="3"/>
  <c r="H586" i="3"/>
  <c r="G586" i="3"/>
  <c r="F586" i="3"/>
  <c r="E586" i="3"/>
  <c r="C586" i="3"/>
  <c r="B586" i="3"/>
  <c r="A586" i="3"/>
  <c r="H585" i="3"/>
  <c r="G585" i="3"/>
  <c r="F585" i="3"/>
  <c r="C585" i="3"/>
  <c r="A585" i="3"/>
  <c r="H584" i="3"/>
  <c r="G584" i="3"/>
  <c r="F584" i="3"/>
  <c r="A584" i="3"/>
  <c r="H583" i="3"/>
  <c r="G583" i="3"/>
  <c r="F583" i="3"/>
  <c r="E583" i="3"/>
  <c r="D583" i="3"/>
  <c r="C583" i="3"/>
  <c r="B583" i="3"/>
  <c r="A583" i="3"/>
  <c r="H582" i="3"/>
  <c r="G582" i="3"/>
  <c r="F582" i="3"/>
  <c r="E582" i="3"/>
  <c r="D582" i="3"/>
  <c r="C582" i="3"/>
  <c r="B582" i="3"/>
  <c r="A582" i="3"/>
  <c r="H581" i="3"/>
  <c r="G581" i="3"/>
  <c r="F581" i="3"/>
  <c r="E581" i="3"/>
  <c r="D581" i="3"/>
  <c r="C581" i="3"/>
  <c r="B581" i="3"/>
  <c r="A581" i="3"/>
  <c r="H580" i="3"/>
  <c r="G580" i="3"/>
  <c r="F580" i="3"/>
  <c r="E580" i="3"/>
  <c r="D580" i="3"/>
  <c r="C580" i="3"/>
  <c r="B580" i="3"/>
  <c r="A580" i="3"/>
  <c r="H579" i="3"/>
  <c r="G579" i="3"/>
  <c r="F579" i="3"/>
  <c r="E579" i="3"/>
  <c r="D579" i="3"/>
  <c r="C579" i="3"/>
  <c r="B579" i="3"/>
  <c r="A579" i="3"/>
  <c r="H578" i="3"/>
  <c r="G578" i="3"/>
  <c r="F578" i="3"/>
  <c r="B578" i="3"/>
  <c r="A578" i="3"/>
  <c r="H577" i="3"/>
  <c r="G577" i="3"/>
  <c r="F577" i="3"/>
  <c r="B577" i="3"/>
  <c r="A577" i="3"/>
  <c r="H576" i="3"/>
  <c r="G576" i="3"/>
  <c r="F576" i="3"/>
  <c r="E576" i="3"/>
  <c r="C576" i="3"/>
  <c r="B576" i="3"/>
  <c r="A576" i="3"/>
  <c r="H575" i="3"/>
  <c r="G575" i="3"/>
  <c r="F575" i="3"/>
  <c r="A575" i="3"/>
  <c r="H574" i="3"/>
  <c r="G574" i="3"/>
  <c r="F574" i="3"/>
  <c r="E574" i="3"/>
  <c r="C574" i="3"/>
  <c r="B574" i="3"/>
  <c r="A574" i="3"/>
  <c r="H573" i="3"/>
  <c r="G573" i="3"/>
  <c r="F573" i="3"/>
  <c r="C573" i="3"/>
  <c r="B573" i="3"/>
  <c r="A573" i="3"/>
  <c r="H572" i="3"/>
  <c r="G572" i="3"/>
  <c r="F572" i="3"/>
  <c r="E572" i="3"/>
  <c r="B572" i="3"/>
  <c r="A572" i="3"/>
  <c r="H571" i="3"/>
  <c r="G571" i="3"/>
  <c r="F571" i="3"/>
  <c r="E571" i="3"/>
  <c r="B571" i="3"/>
  <c r="A571" i="3"/>
  <c r="H570" i="3"/>
  <c r="G570" i="3"/>
  <c r="F570" i="3"/>
  <c r="E570" i="3"/>
  <c r="C570" i="3"/>
  <c r="B570" i="3"/>
  <c r="A570" i="3"/>
  <c r="H569" i="3"/>
  <c r="G569" i="3"/>
  <c r="F569" i="3"/>
  <c r="E569" i="3"/>
  <c r="B569" i="3"/>
  <c r="A569" i="3"/>
  <c r="H568" i="3"/>
  <c r="G568" i="3"/>
  <c r="F568" i="3"/>
  <c r="C568" i="3"/>
  <c r="A568" i="3"/>
  <c r="H567" i="3"/>
  <c r="G567" i="3"/>
  <c r="F567" i="3"/>
  <c r="A567" i="3"/>
  <c r="H566" i="3"/>
  <c r="G566" i="3"/>
  <c r="F566" i="3"/>
  <c r="A566" i="3"/>
  <c r="H565" i="3"/>
  <c r="G565" i="3"/>
  <c r="F565" i="3"/>
  <c r="A565" i="3"/>
  <c r="H564" i="3"/>
  <c r="G564" i="3"/>
  <c r="F564" i="3"/>
  <c r="E564" i="3"/>
  <c r="B564" i="3"/>
  <c r="A564" i="3"/>
  <c r="H563" i="3"/>
  <c r="G563" i="3"/>
  <c r="F563" i="3"/>
  <c r="E563" i="3"/>
  <c r="A563" i="3"/>
  <c r="H562" i="3"/>
  <c r="G562" i="3"/>
  <c r="F562" i="3"/>
  <c r="E562" i="3"/>
  <c r="D562" i="3"/>
  <c r="C562" i="3"/>
  <c r="B562" i="3"/>
  <c r="A562" i="3"/>
  <c r="H561" i="3"/>
  <c r="G561" i="3"/>
  <c r="F561" i="3"/>
  <c r="E561" i="3"/>
  <c r="C561" i="3"/>
  <c r="B561" i="3"/>
  <c r="A561" i="3"/>
  <c r="H560" i="3"/>
  <c r="G560" i="3"/>
  <c r="F560" i="3"/>
  <c r="A560" i="3"/>
  <c r="H559" i="3"/>
  <c r="G559" i="3"/>
  <c r="F559" i="3"/>
  <c r="E559" i="3"/>
  <c r="C559" i="3"/>
  <c r="B559" i="3"/>
  <c r="A559" i="3"/>
  <c r="H558" i="3"/>
  <c r="G558" i="3"/>
  <c r="F558" i="3"/>
  <c r="E558" i="3"/>
  <c r="B558" i="3"/>
  <c r="A558" i="3"/>
  <c r="H557" i="3"/>
  <c r="G557" i="3"/>
  <c r="F557" i="3"/>
  <c r="E557" i="3"/>
  <c r="B557" i="3"/>
  <c r="A557" i="3"/>
  <c r="H556" i="3"/>
  <c r="G556" i="3"/>
  <c r="F556" i="3"/>
  <c r="E556" i="3"/>
  <c r="B556" i="3"/>
  <c r="A556" i="3"/>
  <c r="H555" i="3"/>
  <c r="G555" i="3"/>
  <c r="F555" i="3"/>
  <c r="A555" i="3"/>
  <c r="H554" i="3"/>
  <c r="G554" i="3"/>
  <c r="F554" i="3"/>
  <c r="E554" i="3"/>
  <c r="B554" i="3"/>
  <c r="A554" i="3"/>
  <c r="H553" i="3"/>
  <c r="G553" i="3"/>
  <c r="F553" i="3"/>
  <c r="E553" i="3"/>
  <c r="B553" i="3"/>
  <c r="A553" i="3"/>
  <c r="H552" i="3"/>
  <c r="G552" i="3"/>
  <c r="F552" i="3"/>
  <c r="E552" i="3"/>
  <c r="B552" i="3"/>
  <c r="A552" i="3"/>
  <c r="H551" i="3"/>
  <c r="G551" i="3"/>
  <c r="F551" i="3"/>
  <c r="B551" i="3"/>
  <c r="A551" i="3"/>
  <c r="H550" i="3"/>
  <c r="G550" i="3"/>
  <c r="F550" i="3"/>
  <c r="E550" i="3"/>
  <c r="B550" i="3"/>
  <c r="A550" i="3"/>
  <c r="H549" i="3"/>
  <c r="G549" i="3"/>
  <c r="F549" i="3"/>
  <c r="E549" i="3"/>
  <c r="B549" i="3"/>
  <c r="A549" i="3"/>
  <c r="H548" i="3"/>
  <c r="G548" i="3"/>
  <c r="F548" i="3"/>
  <c r="B548" i="3"/>
  <c r="A548" i="3"/>
  <c r="H547" i="3"/>
  <c r="G547" i="3"/>
  <c r="F547" i="3"/>
  <c r="A547" i="3"/>
  <c r="H546" i="3"/>
  <c r="G546" i="3"/>
  <c r="F546" i="3"/>
  <c r="E546" i="3"/>
  <c r="B546" i="3"/>
  <c r="A546" i="3"/>
  <c r="H545" i="3"/>
  <c r="G545" i="3"/>
  <c r="F545" i="3"/>
  <c r="E545" i="3"/>
  <c r="C545" i="3"/>
  <c r="B545" i="3"/>
  <c r="A545" i="3"/>
  <c r="H544" i="3"/>
  <c r="G544" i="3"/>
  <c r="F544" i="3"/>
  <c r="A544" i="3"/>
  <c r="H543" i="3"/>
  <c r="G543" i="3"/>
  <c r="F543" i="3"/>
  <c r="A543" i="3"/>
  <c r="H542" i="3"/>
  <c r="G542" i="3"/>
  <c r="F542" i="3"/>
  <c r="A542" i="3"/>
  <c r="H541" i="3"/>
  <c r="G541" i="3"/>
  <c r="F541" i="3"/>
  <c r="C541" i="3"/>
  <c r="A541" i="3"/>
  <c r="H540" i="3"/>
  <c r="G540" i="3"/>
  <c r="F540" i="3"/>
  <c r="E540" i="3"/>
  <c r="C540" i="3"/>
  <c r="B540" i="3"/>
  <c r="A540" i="3"/>
  <c r="H539" i="3"/>
  <c r="G539" i="3"/>
  <c r="F539" i="3"/>
  <c r="E539" i="3"/>
  <c r="C539" i="3"/>
  <c r="B539" i="3"/>
  <c r="A539" i="3"/>
  <c r="H538" i="3"/>
  <c r="G538" i="3"/>
  <c r="F538" i="3"/>
  <c r="E538" i="3"/>
  <c r="C538" i="3"/>
  <c r="B538" i="3"/>
  <c r="A538" i="3"/>
  <c r="H537" i="3"/>
  <c r="G537" i="3"/>
  <c r="F537" i="3"/>
  <c r="E537" i="3"/>
  <c r="B537" i="3"/>
  <c r="A537" i="3"/>
  <c r="H536" i="3"/>
  <c r="G536" i="3"/>
  <c r="F536" i="3"/>
  <c r="E536" i="3"/>
  <c r="C536" i="3"/>
  <c r="B536" i="3"/>
  <c r="A536" i="3"/>
  <c r="H535" i="3"/>
  <c r="G535" i="3"/>
  <c r="F535" i="3"/>
  <c r="E535" i="3"/>
  <c r="C535" i="3"/>
  <c r="B535" i="3"/>
  <c r="A535" i="3"/>
  <c r="H534" i="3"/>
  <c r="G534" i="3"/>
  <c r="F534" i="3"/>
  <c r="E534" i="3"/>
  <c r="A534" i="3"/>
  <c r="H533" i="3"/>
  <c r="G533" i="3"/>
  <c r="F533" i="3"/>
  <c r="E533" i="3"/>
  <c r="C533" i="3"/>
  <c r="B533" i="3"/>
  <c r="A533" i="3"/>
  <c r="H532" i="3"/>
  <c r="G532" i="3"/>
  <c r="F532" i="3"/>
  <c r="E532" i="3"/>
  <c r="C532" i="3"/>
  <c r="B532" i="3"/>
  <c r="A532" i="3"/>
  <c r="H531" i="3"/>
  <c r="G531" i="3"/>
  <c r="F531" i="3"/>
  <c r="E531" i="3"/>
  <c r="C531" i="3"/>
  <c r="B531" i="3"/>
  <c r="A531" i="3"/>
  <c r="H530" i="3"/>
  <c r="G530" i="3"/>
  <c r="F530" i="3"/>
  <c r="E530" i="3"/>
  <c r="A530" i="3"/>
  <c r="H529" i="3"/>
  <c r="G529" i="3"/>
  <c r="F529" i="3"/>
  <c r="E529" i="3"/>
  <c r="C529" i="3"/>
  <c r="B529" i="3"/>
  <c r="A529" i="3"/>
  <c r="H528" i="3"/>
  <c r="G528" i="3"/>
  <c r="F528" i="3"/>
  <c r="B528" i="3"/>
  <c r="A528" i="3"/>
  <c r="H527" i="3"/>
  <c r="G527" i="3"/>
  <c r="F527" i="3"/>
  <c r="E527" i="3"/>
  <c r="C527" i="3"/>
  <c r="B527" i="3"/>
  <c r="A527" i="3"/>
  <c r="H526" i="3"/>
  <c r="G526" i="3"/>
  <c r="F526" i="3"/>
  <c r="E526" i="3"/>
  <c r="C526" i="3"/>
  <c r="B526" i="3"/>
  <c r="A526" i="3"/>
  <c r="H525" i="3"/>
  <c r="G525" i="3"/>
  <c r="F525" i="3"/>
  <c r="E525" i="3"/>
  <c r="C525" i="3"/>
  <c r="B525" i="3"/>
  <c r="A525" i="3"/>
  <c r="H524" i="3"/>
  <c r="G524" i="3"/>
  <c r="F524" i="3"/>
  <c r="E524" i="3"/>
  <c r="C524" i="3"/>
  <c r="B524" i="3"/>
  <c r="A524" i="3"/>
  <c r="H523" i="3"/>
  <c r="G523" i="3"/>
  <c r="F523" i="3"/>
  <c r="C523" i="3"/>
  <c r="B523" i="3"/>
  <c r="A523" i="3"/>
  <c r="H522" i="3"/>
  <c r="G522" i="3"/>
  <c r="F522" i="3"/>
  <c r="A522" i="3"/>
  <c r="H521" i="3"/>
  <c r="G521" i="3"/>
  <c r="F521" i="3"/>
  <c r="E521" i="3"/>
  <c r="C521" i="3"/>
  <c r="B521" i="3"/>
  <c r="A521" i="3"/>
  <c r="H520" i="3"/>
  <c r="G520" i="3"/>
  <c r="F520" i="3"/>
  <c r="E520" i="3"/>
  <c r="B520" i="3"/>
  <c r="A520" i="3"/>
  <c r="H519" i="3"/>
  <c r="G519" i="3"/>
  <c r="F519" i="3"/>
  <c r="E519" i="3"/>
  <c r="C519" i="3"/>
  <c r="B519" i="3"/>
  <c r="A519" i="3"/>
  <c r="H518" i="3"/>
  <c r="G518" i="3"/>
  <c r="F518" i="3"/>
  <c r="E518" i="3"/>
  <c r="C518" i="3"/>
  <c r="B518" i="3"/>
  <c r="A518" i="3"/>
  <c r="H517" i="3"/>
  <c r="G517" i="3"/>
  <c r="F517" i="3"/>
  <c r="E517" i="3"/>
  <c r="C517" i="3"/>
  <c r="B517" i="3"/>
  <c r="A517" i="3"/>
  <c r="H516" i="3"/>
  <c r="G516" i="3"/>
  <c r="F516" i="3"/>
  <c r="A516" i="3"/>
  <c r="H515" i="3"/>
  <c r="G515" i="3"/>
  <c r="F515" i="3"/>
  <c r="C515" i="3"/>
  <c r="B515" i="3"/>
  <c r="A515" i="3"/>
  <c r="H514" i="3"/>
  <c r="G514" i="3"/>
  <c r="F514" i="3"/>
  <c r="E514" i="3"/>
  <c r="D514" i="3"/>
  <c r="C514" i="3"/>
  <c r="B514" i="3"/>
  <c r="A514" i="3"/>
  <c r="H513" i="3"/>
  <c r="G513" i="3"/>
  <c r="F513" i="3"/>
  <c r="C513" i="3"/>
  <c r="B513" i="3"/>
  <c r="A513" i="3"/>
  <c r="H512" i="3"/>
  <c r="G512" i="3"/>
  <c r="F512" i="3"/>
  <c r="E512" i="3"/>
  <c r="C512" i="3"/>
  <c r="B512" i="3"/>
  <c r="A512" i="3"/>
  <c r="H511" i="3"/>
  <c r="G511" i="3"/>
  <c r="F511" i="3"/>
  <c r="E511" i="3"/>
  <c r="C511" i="3"/>
  <c r="B511" i="3"/>
  <c r="A511" i="3"/>
  <c r="H510" i="3"/>
  <c r="G510" i="3"/>
  <c r="F510" i="3"/>
  <c r="E510" i="3"/>
  <c r="C510" i="3"/>
  <c r="B510" i="3"/>
  <c r="A510" i="3"/>
  <c r="H509" i="3"/>
  <c r="G509" i="3"/>
  <c r="F509" i="3"/>
  <c r="C509" i="3"/>
  <c r="B509" i="3"/>
  <c r="A509" i="3"/>
  <c r="H508" i="3"/>
  <c r="G508" i="3"/>
  <c r="F508" i="3"/>
  <c r="A508" i="3"/>
  <c r="H507" i="3"/>
  <c r="G507" i="3"/>
  <c r="F507" i="3"/>
  <c r="E507" i="3"/>
  <c r="C507" i="3"/>
  <c r="B507" i="3"/>
  <c r="A507" i="3"/>
  <c r="H506" i="3"/>
  <c r="G506" i="3"/>
  <c r="F506" i="3"/>
  <c r="A506" i="3"/>
  <c r="H505" i="3"/>
  <c r="G505" i="3"/>
  <c r="F505" i="3"/>
  <c r="C505" i="3"/>
  <c r="A505" i="3"/>
  <c r="H504" i="3"/>
  <c r="G504" i="3"/>
  <c r="F504" i="3"/>
  <c r="A504" i="3"/>
  <c r="H503" i="3"/>
  <c r="G503" i="3"/>
  <c r="F503" i="3"/>
  <c r="A503" i="3"/>
  <c r="H502" i="3"/>
  <c r="G502" i="3"/>
  <c r="F502" i="3"/>
  <c r="D502" i="3"/>
  <c r="C502" i="3"/>
  <c r="B502" i="3"/>
  <c r="A502" i="3"/>
  <c r="H501" i="3"/>
  <c r="G501" i="3"/>
  <c r="F501" i="3"/>
  <c r="D501" i="3"/>
  <c r="C501" i="3"/>
  <c r="B501" i="3"/>
  <c r="A501" i="3"/>
  <c r="H500" i="3"/>
  <c r="G500" i="3"/>
  <c r="F500" i="3"/>
  <c r="E500" i="3"/>
  <c r="D500" i="3"/>
  <c r="C500" i="3"/>
  <c r="B500" i="3"/>
  <c r="A500" i="3"/>
  <c r="H499" i="3"/>
  <c r="G499" i="3"/>
  <c r="F499" i="3"/>
  <c r="E499" i="3"/>
  <c r="C499" i="3"/>
  <c r="B499" i="3"/>
  <c r="A499" i="3"/>
  <c r="H498" i="3"/>
  <c r="G498" i="3"/>
  <c r="F498" i="3"/>
  <c r="E498" i="3"/>
  <c r="C498" i="3"/>
  <c r="B498" i="3"/>
  <c r="A498" i="3"/>
  <c r="H497" i="3"/>
  <c r="G497" i="3"/>
  <c r="F497" i="3"/>
  <c r="E497" i="3"/>
  <c r="C497" i="3"/>
  <c r="B497" i="3"/>
  <c r="A497" i="3"/>
  <c r="H496" i="3"/>
  <c r="G496" i="3"/>
  <c r="F496" i="3"/>
  <c r="E496" i="3"/>
  <c r="C496" i="3"/>
  <c r="B496" i="3"/>
  <c r="A496" i="3"/>
  <c r="H495" i="3"/>
  <c r="G495" i="3"/>
  <c r="F495" i="3"/>
  <c r="A495" i="3"/>
  <c r="H494" i="3"/>
  <c r="G494" i="3"/>
  <c r="F494" i="3"/>
  <c r="E494" i="3"/>
  <c r="C494" i="3"/>
  <c r="B494" i="3"/>
  <c r="A494" i="3"/>
  <c r="H493" i="3"/>
  <c r="G493" i="3"/>
  <c r="F493" i="3"/>
  <c r="E493" i="3"/>
  <c r="C493" i="3"/>
  <c r="B493" i="3"/>
  <c r="A493" i="3"/>
  <c r="H492" i="3"/>
  <c r="G492" i="3"/>
  <c r="F492" i="3"/>
  <c r="A492" i="3"/>
  <c r="H491" i="3"/>
  <c r="G491" i="3"/>
  <c r="F491" i="3"/>
  <c r="E491" i="3"/>
  <c r="C491" i="3"/>
  <c r="B491" i="3"/>
  <c r="A491" i="3"/>
  <c r="H490" i="3"/>
  <c r="G490" i="3"/>
  <c r="F490" i="3"/>
  <c r="E490" i="3"/>
  <c r="C490" i="3"/>
  <c r="B490" i="3"/>
  <c r="A490" i="3"/>
  <c r="H489" i="3"/>
  <c r="G489" i="3"/>
  <c r="F489" i="3"/>
  <c r="A489" i="3"/>
  <c r="H488" i="3"/>
  <c r="G488" i="3"/>
  <c r="F488" i="3"/>
  <c r="E488" i="3"/>
  <c r="A488" i="3"/>
  <c r="H487" i="3"/>
  <c r="G487" i="3"/>
  <c r="F487" i="3"/>
  <c r="A487" i="3"/>
  <c r="H486" i="3"/>
  <c r="G486" i="3"/>
  <c r="F486" i="3"/>
  <c r="A486" i="3"/>
  <c r="H485" i="3"/>
  <c r="G485" i="3"/>
  <c r="F485" i="3"/>
  <c r="E485" i="3"/>
  <c r="B485" i="3"/>
  <c r="A485" i="3"/>
  <c r="H484" i="3"/>
  <c r="G484" i="3"/>
  <c r="F484" i="3"/>
  <c r="E484" i="3"/>
  <c r="C484" i="3"/>
  <c r="B484" i="3"/>
  <c r="A484" i="3"/>
  <c r="H483" i="3"/>
  <c r="G483" i="3"/>
  <c r="F483" i="3"/>
  <c r="E483" i="3"/>
  <c r="B483" i="3"/>
  <c r="A483" i="3"/>
  <c r="H482" i="3"/>
  <c r="G482" i="3"/>
  <c r="F482" i="3"/>
  <c r="E482" i="3"/>
  <c r="A482" i="3"/>
  <c r="H481" i="3"/>
  <c r="G481" i="3"/>
  <c r="F481" i="3"/>
  <c r="E481" i="3"/>
  <c r="A481" i="3"/>
  <c r="H480" i="3"/>
  <c r="G480" i="3"/>
  <c r="F480" i="3"/>
  <c r="A480" i="3"/>
  <c r="H479" i="3"/>
  <c r="G479" i="3"/>
  <c r="F479" i="3"/>
  <c r="E479" i="3"/>
  <c r="C479" i="3"/>
  <c r="B479" i="3"/>
  <c r="A479" i="3"/>
  <c r="H478" i="3"/>
  <c r="G478" i="3"/>
  <c r="E478" i="3"/>
  <c r="C478" i="3"/>
  <c r="B478" i="3"/>
  <c r="A478" i="3"/>
  <c r="H477" i="3"/>
  <c r="G477" i="3"/>
  <c r="F477" i="3"/>
  <c r="C477" i="3"/>
  <c r="A477" i="3"/>
  <c r="H476" i="3"/>
  <c r="G476" i="3"/>
  <c r="F476" i="3"/>
  <c r="A476" i="3"/>
  <c r="H475" i="3"/>
  <c r="G475" i="3"/>
  <c r="F475" i="3"/>
  <c r="E475" i="3"/>
  <c r="C475" i="3"/>
  <c r="B475" i="3"/>
  <c r="A475" i="3"/>
  <c r="H474" i="3"/>
  <c r="G474" i="3"/>
  <c r="F474" i="3"/>
  <c r="E474" i="3"/>
  <c r="C474" i="3"/>
  <c r="B474" i="3"/>
  <c r="A474" i="3"/>
  <c r="H473" i="3"/>
  <c r="G473" i="3"/>
  <c r="F473" i="3"/>
  <c r="E473" i="3"/>
  <c r="C473" i="3"/>
  <c r="B473" i="3"/>
  <c r="A473" i="3"/>
  <c r="H472" i="3"/>
  <c r="G472" i="3"/>
  <c r="F472" i="3"/>
  <c r="E472" i="3"/>
  <c r="C472" i="3"/>
  <c r="B472" i="3"/>
  <c r="A472" i="3"/>
  <c r="H471" i="3"/>
  <c r="G471" i="3"/>
  <c r="F471" i="3"/>
  <c r="A471" i="3"/>
  <c r="H470" i="3"/>
  <c r="G470" i="3"/>
  <c r="F470" i="3"/>
  <c r="A470" i="3"/>
  <c r="H469" i="3"/>
  <c r="G469" i="3"/>
  <c r="F469" i="3"/>
  <c r="E469" i="3"/>
  <c r="C469" i="3"/>
  <c r="B469" i="3"/>
  <c r="A469" i="3"/>
  <c r="H468" i="3"/>
  <c r="G468" i="3"/>
  <c r="F468" i="3"/>
  <c r="E468" i="3"/>
  <c r="B468" i="3"/>
  <c r="A468" i="3"/>
  <c r="H467" i="3"/>
  <c r="G467" i="3"/>
  <c r="F467" i="3"/>
  <c r="A467" i="3"/>
  <c r="H466" i="3"/>
  <c r="G466" i="3"/>
  <c r="F466" i="3"/>
  <c r="A466" i="3"/>
  <c r="H465" i="3"/>
  <c r="G465" i="3"/>
  <c r="F465" i="3"/>
  <c r="E465" i="3"/>
  <c r="B465" i="3"/>
  <c r="A465" i="3"/>
  <c r="H464" i="3"/>
  <c r="G464" i="3"/>
  <c r="F464" i="3"/>
  <c r="E464" i="3"/>
  <c r="C464" i="3"/>
  <c r="B464" i="3"/>
  <c r="A464" i="3"/>
  <c r="H463" i="3"/>
  <c r="G463" i="3"/>
  <c r="F463" i="3"/>
  <c r="E463" i="3"/>
  <c r="C463" i="3"/>
  <c r="B463" i="3"/>
  <c r="A463" i="3"/>
  <c r="H462" i="3"/>
  <c r="G462" i="3"/>
  <c r="F462" i="3"/>
  <c r="E462" i="3"/>
  <c r="C462" i="3"/>
  <c r="B462" i="3"/>
  <c r="A462" i="3"/>
  <c r="H461" i="3"/>
  <c r="G461" i="3"/>
  <c r="F461" i="3"/>
  <c r="E461" i="3"/>
  <c r="C461" i="3"/>
  <c r="B461" i="3"/>
  <c r="A461" i="3"/>
  <c r="H460" i="3"/>
  <c r="G460" i="3"/>
  <c r="F460" i="3"/>
  <c r="E460" i="3"/>
  <c r="C460" i="3"/>
  <c r="B460" i="3"/>
  <c r="A460" i="3"/>
  <c r="H459" i="3"/>
  <c r="G459" i="3"/>
  <c r="F459" i="3"/>
  <c r="E459" i="3"/>
  <c r="D459" i="3"/>
  <c r="C459" i="3"/>
  <c r="B459" i="3"/>
  <c r="A459" i="3"/>
  <c r="H458" i="3"/>
  <c r="G458" i="3"/>
  <c r="F458" i="3"/>
  <c r="E458" i="3"/>
  <c r="D458" i="3"/>
  <c r="C458" i="3"/>
  <c r="B458" i="3"/>
  <c r="A458" i="3"/>
  <c r="H457" i="3"/>
  <c r="G457" i="3"/>
  <c r="F457" i="3"/>
  <c r="E457" i="3"/>
  <c r="B457" i="3"/>
  <c r="A457" i="3"/>
  <c r="H456" i="3"/>
  <c r="G456" i="3"/>
  <c r="F456" i="3"/>
  <c r="E456" i="3"/>
  <c r="D456" i="3"/>
  <c r="C456" i="3"/>
  <c r="B456" i="3"/>
  <c r="A456" i="3"/>
  <c r="H455" i="3"/>
  <c r="G455" i="3"/>
  <c r="F455" i="3"/>
  <c r="E455" i="3"/>
  <c r="B455" i="3"/>
  <c r="A455" i="3"/>
  <c r="H454" i="3"/>
  <c r="G454" i="3"/>
  <c r="F454" i="3"/>
  <c r="A454" i="3"/>
  <c r="H453" i="3"/>
  <c r="G453" i="3"/>
  <c r="F453" i="3"/>
  <c r="E453" i="3"/>
  <c r="A453" i="3"/>
  <c r="H452" i="3"/>
  <c r="G452" i="3"/>
  <c r="F452" i="3"/>
  <c r="E452" i="3"/>
  <c r="C452" i="3"/>
  <c r="B452" i="3"/>
  <c r="A452" i="3"/>
  <c r="H451" i="3"/>
  <c r="G451" i="3"/>
  <c r="F451" i="3"/>
  <c r="E451" i="3"/>
  <c r="C451" i="3"/>
  <c r="B451" i="3"/>
  <c r="A451" i="3"/>
  <c r="H450" i="3"/>
  <c r="G450" i="3"/>
  <c r="F450" i="3"/>
  <c r="E450" i="3"/>
  <c r="C450" i="3"/>
  <c r="B450" i="3"/>
  <c r="A450" i="3"/>
  <c r="H449" i="3"/>
  <c r="G449" i="3"/>
  <c r="F449" i="3"/>
  <c r="E449" i="3"/>
  <c r="C449" i="3"/>
  <c r="B449" i="3"/>
  <c r="A449" i="3"/>
  <c r="H448" i="3"/>
  <c r="G448" i="3"/>
  <c r="F448" i="3"/>
  <c r="A448" i="3"/>
  <c r="H447" i="3"/>
  <c r="G447" i="3"/>
  <c r="F447" i="3"/>
  <c r="A447" i="3"/>
  <c r="H446" i="3"/>
  <c r="G446" i="3"/>
  <c r="F446" i="3"/>
  <c r="E446" i="3"/>
  <c r="C446" i="3"/>
  <c r="B446" i="3"/>
  <c r="A446" i="3"/>
  <c r="H445" i="3"/>
  <c r="G445" i="3"/>
  <c r="F445" i="3"/>
  <c r="E445" i="3"/>
  <c r="C445" i="3"/>
  <c r="B445" i="3"/>
  <c r="A445" i="3"/>
  <c r="H444" i="3"/>
  <c r="G444" i="3"/>
  <c r="F444" i="3"/>
  <c r="E444" i="3"/>
  <c r="C444" i="3"/>
  <c r="B444" i="3"/>
  <c r="A444" i="3"/>
  <c r="H443" i="3"/>
  <c r="G443" i="3"/>
  <c r="F443" i="3"/>
  <c r="E443" i="3"/>
  <c r="C443" i="3"/>
  <c r="B443" i="3"/>
  <c r="A443" i="3"/>
  <c r="H442" i="3"/>
  <c r="G442" i="3"/>
  <c r="F442" i="3"/>
  <c r="E442" i="3"/>
  <c r="C442" i="3"/>
  <c r="B442" i="3"/>
  <c r="A442" i="3"/>
  <c r="H441" i="3"/>
  <c r="G441" i="3"/>
  <c r="F441" i="3"/>
  <c r="E441" i="3"/>
  <c r="C441" i="3"/>
  <c r="B441" i="3"/>
  <c r="A441" i="3"/>
  <c r="H440" i="3"/>
  <c r="G440" i="3"/>
  <c r="F440" i="3"/>
  <c r="E440" i="3"/>
  <c r="C440" i="3"/>
  <c r="B440" i="3"/>
  <c r="A440" i="3"/>
  <c r="H439" i="3"/>
  <c r="G439" i="3"/>
  <c r="F439" i="3"/>
  <c r="E439" i="3"/>
  <c r="D439" i="3"/>
  <c r="C439" i="3"/>
  <c r="B439" i="3"/>
  <c r="A439" i="3"/>
  <c r="H438" i="3"/>
  <c r="G438" i="3"/>
  <c r="F438" i="3"/>
  <c r="E438" i="3"/>
  <c r="C438" i="3"/>
  <c r="B438" i="3"/>
  <c r="A438" i="3"/>
  <c r="H437" i="3"/>
  <c r="G437" i="3"/>
  <c r="F437" i="3"/>
  <c r="E437" i="3"/>
  <c r="B437" i="3"/>
  <c r="A437" i="3"/>
  <c r="H436" i="3"/>
  <c r="G436" i="3"/>
  <c r="F436" i="3"/>
  <c r="E436" i="3"/>
  <c r="C436" i="3"/>
  <c r="B436" i="3"/>
  <c r="A436" i="3"/>
  <c r="H435" i="3"/>
  <c r="G435" i="3"/>
  <c r="F435" i="3"/>
  <c r="E435" i="3"/>
  <c r="C435" i="3"/>
  <c r="B435" i="3"/>
  <c r="A435" i="3"/>
  <c r="H434" i="3"/>
  <c r="G434" i="3"/>
  <c r="F434" i="3"/>
  <c r="E434" i="3"/>
  <c r="C434" i="3"/>
  <c r="B434" i="3"/>
  <c r="A434" i="3"/>
  <c r="H433" i="3"/>
  <c r="G433" i="3"/>
  <c r="F433" i="3"/>
  <c r="A433" i="3"/>
  <c r="H432" i="3"/>
  <c r="G432" i="3"/>
  <c r="F432" i="3"/>
  <c r="E432" i="3"/>
  <c r="C432" i="3"/>
  <c r="B432" i="3"/>
  <c r="A432" i="3"/>
  <c r="H431" i="3"/>
  <c r="G431" i="3"/>
  <c r="F431" i="3"/>
  <c r="E431" i="3"/>
  <c r="C431" i="3"/>
  <c r="B431" i="3"/>
  <c r="A431" i="3"/>
  <c r="H430" i="3"/>
  <c r="G430" i="3"/>
  <c r="F430" i="3"/>
  <c r="E430" i="3"/>
  <c r="B430" i="3"/>
  <c r="A430" i="3"/>
  <c r="H429" i="3"/>
  <c r="G429" i="3"/>
  <c r="F429" i="3"/>
  <c r="A429" i="3"/>
  <c r="H428" i="3"/>
  <c r="G428" i="3"/>
  <c r="F428" i="3"/>
  <c r="E428" i="3"/>
  <c r="C428" i="3"/>
  <c r="B428" i="3"/>
  <c r="A428" i="3"/>
  <c r="H427" i="3"/>
  <c r="G427" i="3"/>
  <c r="F427" i="3"/>
  <c r="E427" i="3"/>
  <c r="B427" i="3"/>
  <c r="A427" i="3"/>
  <c r="H426" i="3"/>
  <c r="G426" i="3"/>
  <c r="F426" i="3"/>
  <c r="C426" i="3"/>
  <c r="B426" i="3"/>
  <c r="A426" i="3"/>
  <c r="H425" i="3"/>
  <c r="G425" i="3"/>
  <c r="F425" i="3"/>
  <c r="A425" i="3"/>
  <c r="H424" i="3"/>
  <c r="G424" i="3"/>
  <c r="F424" i="3"/>
  <c r="E424" i="3"/>
  <c r="C424" i="3"/>
  <c r="B424" i="3"/>
  <c r="A424" i="3"/>
  <c r="H423" i="3"/>
  <c r="G423" i="3"/>
  <c r="F423" i="3"/>
  <c r="A423" i="3"/>
  <c r="H422" i="3"/>
  <c r="G422" i="3"/>
  <c r="F422" i="3"/>
  <c r="E422" i="3"/>
  <c r="B422" i="3"/>
  <c r="A422" i="3"/>
  <c r="H421" i="3"/>
  <c r="G421" i="3"/>
  <c r="F421" i="3"/>
  <c r="A421" i="3"/>
  <c r="H420" i="3"/>
  <c r="G420" i="3"/>
  <c r="F420" i="3"/>
  <c r="B420" i="3"/>
  <c r="A420" i="3"/>
  <c r="H419" i="3"/>
  <c r="G419" i="3"/>
  <c r="F419" i="3"/>
  <c r="E419" i="3"/>
  <c r="C419" i="3"/>
  <c r="B419" i="3"/>
  <c r="A419" i="3"/>
  <c r="H418" i="3"/>
  <c r="G418" i="3"/>
  <c r="F418" i="3"/>
  <c r="E418" i="3"/>
  <c r="C418" i="3"/>
  <c r="B418" i="3"/>
  <c r="A418" i="3"/>
  <c r="H417" i="3"/>
  <c r="G417" i="3"/>
  <c r="F417" i="3"/>
  <c r="E417" i="3"/>
  <c r="C417" i="3"/>
  <c r="B417" i="3"/>
  <c r="A417" i="3"/>
  <c r="H416" i="3"/>
  <c r="G416" i="3"/>
  <c r="F416" i="3"/>
  <c r="E416" i="3"/>
  <c r="D416" i="3"/>
  <c r="C416" i="3"/>
  <c r="B416" i="3"/>
  <c r="A416" i="3"/>
  <c r="H415" i="3"/>
  <c r="G415" i="3"/>
  <c r="F415" i="3"/>
  <c r="E415" i="3"/>
  <c r="D415" i="3"/>
  <c r="C415" i="3"/>
  <c r="B415" i="3"/>
  <c r="A415" i="3"/>
  <c r="H414" i="3"/>
  <c r="G414" i="3"/>
  <c r="F414" i="3"/>
  <c r="E414" i="3"/>
  <c r="D414" i="3"/>
  <c r="C414" i="3"/>
  <c r="B414" i="3"/>
  <c r="A414" i="3"/>
  <c r="H413" i="3"/>
  <c r="G413" i="3"/>
  <c r="F413" i="3"/>
  <c r="B413" i="3"/>
  <c r="A413" i="3"/>
  <c r="H412" i="3"/>
  <c r="G412" i="3"/>
  <c r="F412" i="3"/>
  <c r="B412" i="3"/>
  <c r="A412" i="3"/>
  <c r="H411" i="3"/>
  <c r="G411" i="3"/>
  <c r="F411" i="3"/>
  <c r="E411" i="3"/>
  <c r="C411" i="3"/>
  <c r="B411" i="3"/>
  <c r="A411" i="3"/>
  <c r="H410" i="3"/>
  <c r="G410" i="3"/>
  <c r="F410" i="3"/>
  <c r="E410" i="3"/>
  <c r="C410" i="3"/>
  <c r="B410" i="3"/>
  <c r="A410" i="3"/>
  <c r="H409" i="3"/>
  <c r="G409" i="3"/>
  <c r="F409" i="3"/>
  <c r="E409" i="3"/>
  <c r="C409" i="3"/>
  <c r="B409" i="3"/>
  <c r="A409" i="3"/>
  <c r="H408" i="3"/>
  <c r="G408" i="3"/>
  <c r="F408" i="3"/>
  <c r="E408" i="3"/>
  <c r="C408" i="3"/>
  <c r="B408" i="3"/>
  <c r="A408" i="3"/>
  <c r="H407" i="3"/>
  <c r="G407" i="3"/>
  <c r="F407" i="3"/>
  <c r="E407" i="3"/>
  <c r="C407" i="3"/>
  <c r="B407" i="3"/>
  <c r="A407" i="3"/>
  <c r="H406" i="3"/>
  <c r="G406" i="3"/>
  <c r="F406" i="3"/>
  <c r="A406" i="3"/>
  <c r="H405" i="3"/>
  <c r="G405" i="3"/>
  <c r="F405" i="3"/>
  <c r="A405" i="3"/>
  <c r="H404" i="3"/>
  <c r="G404" i="3"/>
  <c r="F404" i="3"/>
  <c r="E404" i="3"/>
  <c r="A404" i="3"/>
  <c r="H403" i="3"/>
  <c r="G403" i="3"/>
  <c r="F403" i="3"/>
  <c r="E403" i="3"/>
  <c r="D403" i="3"/>
  <c r="C403" i="3"/>
  <c r="B403" i="3"/>
  <c r="A403" i="3"/>
  <c r="H402" i="3"/>
  <c r="G402" i="3"/>
  <c r="F402" i="3"/>
  <c r="E402" i="3"/>
  <c r="A402" i="3"/>
  <c r="H401" i="3"/>
  <c r="G401" i="3"/>
  <c r="F401" i="3"/>
  <c r="E401" i="3"/>
  <c r="D401" i="3"/>
  <c r="C401" i="3"/>
  <c r="B401" i="3"/>
  <c r="A401" i="3"/>
  <c r="H400" i="3"/>
  <c r="G400" i="3"/>
  <c r="F400" i="3"/>
  <c r="E400" i="3"/>
  <c r="B400" i="3"/>
  <c r="A400" i="3"/>
  <c r="H399" i="3"/>
  <c r="G399" i="3"/>
  <c r="F399" i="3"/>
  <c r="E399" i="3"/>
  <c r="C399" i="3"/>
  <c r="B399" i="3"/>
  <c r="A399" i="3"/>
  <c r="H398" i="3"/>
  <c r="G398" i="3"/>
  <c r="F398" i="3"/>
  <c r="E398" i="3"/>
  <c r="C398" i="3"/>
  <c r="B398" i="3"/>
  <c r="A398" i="3"/>
  <c r="H397" i="3"/>
  <c r="G397" i="3"/>
  <c r="F397" i="3"/>
  <c r="A397" i="3"/>
  <c r="H396" i="3"/>
  <c r="G396" i="3"/>
  <c r="F396" i="3"/>
  <c r="A396" i="3"/>
  <c r="H395" i="3"/>
  <c r="G395" i="3"/>
  <c r="F395" i="3"/>
  <c r="E395" i="3"/>
  <c r="C395" i="3"/>
  <c r="B395" i="3"/>
  <c r="A395" i="3"/>
  <c r="H394" i="3"/>
  <c r="G394" i="3"/>
  <c r="F394" i="3"/>
  <c r="E394" i="3"/>
  <c r="C394" i="3"/>
  <c r="B394" i="3"/>
  <c r="A394" i="3"/>
  <c r="H393" i="3"/>
  <c r="G393" i="3"/>
  <c r="F393" i="3"/>
  <c r="E393" i="3"/>
  <c r="C393" i="3"/>
  <c r="B393" i="3"/>
  <c r="A393" i="3"/>
  <c r="H392" i="3"/>
  <c r="G392" i="3"/>
  <c r="F392" i="3"/>
  <c r="E392" i="3"/>
  <c r="C392" i="3"/>
  <c r="B392" i="3"/>
  <c r="A392" i="3"/>
  <c r="H391" i="3"/>
  <c r="G391" i="3"/>
  <c r="F391" i="3"/>
  <c r="C391" i="3"/>
  <c r="B391" i="3"/>
  <c r="A391" i="3"/>
  <c r="H390" i="3"/>
  <c r="G390" i="3"/>
  <c r="F390" i="3"/>
  <c r="E390" i="3"/>
  <c r="C390" i="3"/>
  <c r="B390" i="3"/>
  <c r="A390" i="3"/>
  <c r="H389" i="3"/>
  <c r="G389" i="3"/>
  <c r="F389" i="3"/>
  <c r="E389" i="3"/>
  <c r="C389" i="3"/>
  <c r="B389" i="3"/>
  <c r="A389" i="3"/>
  <c r="H388" i="3"/>
  <c r="G388" i="3"/>
  <c r="F388" i="3"/>
  <c r="E388" i="3"/>
  <c r="C388" i="3"/>
  <c r="B388" i="3"/>
  <c r="A388" i="3"/>
  <c r="H387" i="3"/>
  <c r="G387" i="3"/>
  <c r="F387" i="3"/>
  <c r="E387" i="3"/>
  <c r="C387" i="3"/>
  <c r="B387" i="3"/>
  <c r="A387" i="3"/>
  <c r="H386" i="3"/>
  <c r="G386" i="3"/>
  <c r="F386" i="3"/>
  <c r="E386" i="3"/>
  <c r="C386" i="3"/>
  <c r="B386" i="3"/>
  <c r="A386" i="3"/>
  <c r="H385" i="3"/>
  <c r="G385" i="3"/>
  <c r="F385" i="3"/>
  <c r="E385" i="3"/>
  <c r="A385" i="3"/>
  <c r="H384" i="3"/>
  <c r="G384" i="3"/>
  <c r="F384" i="3"/>
  <c r="E384" i="3"/>
  <c r="C384" i="3"/>
  <c r="B384" i="3"/>
  <c r="A384" i="3"/>
  <c r="H383" i="3"/>
  <c r="G383" i="3"/>
  <c r="F383" i="3"/>
  <c r="E383" i="3"/>
  <c r="D383" i="3"/>
  <c r="C383" i="3"/>
  <c r="B383" i="3"/>
  <c r="A383" i="3"/>
  <c r="H382" i="3"/>
  <c r="G382" i="3"/>
  <c r="F382" i="3"/>
  <c r="A382" i="3"/>
  <c r="H381" i="3"/>
  <c r="G381" i="3"/>
  <c r="F381" i="3"/>
  <c r="E381" i="3"/>
  <c r="D381" i="3"/>
  <c r="C381" i="3"/>
  <c r="B381" i="3"/>
  <c r="A381" i="3"/>
  <c r="H380" i="3"/>
  <c r="G380" i="3"/>
  <c r="F380" i="3"/>
  <c r="E380" i="3"/>
  <c r="D380" i="3"/>
  <c r="C380" i="3"/>
  <c r="B380" i="3"/>
  <c r="A380" i="3"/>
  <c r="H379" i="3"/>
  <c r="G379" i="3"/>
  <c r="F379" i="3"/>
  <c r="E379" i="3"/>
  <c r="D379" i="3"/>
  <c r="C379" i="3"/>
  <c r="B379" i="3"/>
  <c r="A379" i="3"/>
  <c r="H378" i="3"/>
  <c r="G378" i="3"/>
  <c r="F378" i="3"/>
  <c r="E378" i="3"/>
  <c r="D378" i="3"/>
  <c r="C378" i="3"/>
  <c r="B378" i="3"/>
  <c r="A378" i="3"/>
  <c r="H377" i="3"/>
  <c r="G377" i="3"/>
  <c r="F377" i="3"/>
  <c r="A377" i="3"/>
  <c r="H376" i="3"/>
  <c r="G376" i="3"/>
  <c r="F376" i="3"/>
  <c r="E376" i="3"/>
  <c r="C376" i="3"/>
  <c r="B376" i="3"/>
  <c r="A376" i="3"/>
  <c r="H375" i="3"/>
  <c r="G375" i="3"/>
  <c r="F375" i="3"/>
  <c r="E375" i="3"/>
  <c r="C375" i="3"/>
  <c r="B375" i="3"/>
  <c r="A375" i="3"/>
  <c r="H374" i="3"/>
  <c r="G374" i="3"/>
  <c r="F374" i="3"/>
  <c r="A374" i="3"/>
  <c r="H373" i="3"/>
  <c r="G373" i="3"/>
  <c r="F373" i="3"/>
  <c r="A373" i="3"/>
  <c r="H372" i="3"/>
  <c r="G372" i="3"/>
  <c r="F372" i="3"/>
  <c r="A372" i="3"/>
  <c r="H371" i="3"/>
  <c r="G371" i="3"/>
  <c r="F371" i="3"/>
  <c r="A371" i="3"/>
  <c r="H370" i="3"/>
  <c r="G370" i="3"/>
  <c r="F370" i="3"/>
  <c r="E370" i="3"/>
  <c r="C370" i="3"/>
  <c r="B370" i="3"/>
  <c r="A370" i="3"/>
  <c r="H369" i="3"/>
  <c r="G369" i="3"/>
  <c r="F369" i="3"/>
  <c r="E369" i="3"/>
  <c r="C369" i="3"/>
  <c r="B369" i="3"/>
  <c r="A369" i="3"/>
  <c r="H368" i="3"/>
  <c r="G368" i="3"/>
  <c r="F368" i="3"/>
  <c r="E368" i="3"/>
  <c r="C368" i="3"/>
  <c r="B368" i="3"/>
  <c r="A368" i="3"/>
  <c r="H367" i="3"/>
  <c r="G367" i="3"/>
  <c r="F367" i="3"/>
  <c r="E367" i="3"/>
  <c r="C367" i="3"/>
  <c r="B367" i="3"/>
  <c r="A367" i="3"/>
  <c r="H366" i="3"/>
  <c r="G366" i="3"/>
  <c r="F366" i="3"/>
  <c r="E366" i="3"/>
  <c r="C366" i="3"/>
  <c r="B366" i="3"/>
  <c r="A366" i="3"/>
  <c r="H365" i="3"/>
  <c r="G365" i="3"/>
  <c r="F365" i="3"/>
  <c r="E365" i="3"/>
  <c r="C365" i="3"/>
  <c r="B365" i="3"/>
  <c r="A365" i="3"/>
  <c r="H364" i="3"/>
  <c r="G364" i="3"/>
  <c r="F364" i="3"/>
  <c r="A364" i="3"/>
  <c r="H363" i="3"/>
  <c r="G363" i="3"/>
  <c r="F363" i="3"/>
  <c r="A363" i="3"/>
  <c r="H362" i="3"/>
  <c r="G362" i="3"/>
  <c r="F362" i="3"/>
  <c r="D362" i="3"/>
  <c r="C362" i="3"/>
  <c r="B362" i="3"/>
  <c r="A362" i="3"/>
  <c r="H361" i="3"/>
  <c r="G361" i="3"/>
  <c r="F361" i="3"/>
  <c r="E361" i="3"/>
  <c r="C361" i="3"/>
  <c r="B361" i="3"/>
  <c r="A361" i="3"/>
  <c r="H360" i="3"/>
  <c r="G360" i="3"/>
  <c r="F360" i="3"/>
  <c r="E360" i="3"/>
  <c r="C360" i="3"/>
  <c r="B360" i="3"/>
  <c r="A360" i="3"/>
  <c r="H359" i="3"/>
  <c r="G359" i="3"/>
  <c r="F359" i="3"/>
  <c r="E359" i="3"/>
  <c r="A359" i="3"/>
  <c r="H358" i="3"/>
  <c r="G358" i="3"/>
  <c r="F358" i="3"/>
  <c r="E358" i="3"/>
  <c r="C358" i="3"/>
  <c r="B358" i="3"/>
  <c r="A358" i="3"/>
  <c r="H357" i="3"/>
  <c r="G357" i="3"/>
  <c r="F357" i="3"/>
  <c r="E357" i="3"/>
  <c r="C357" i="3"/>
  <c r="B357" i="3"/>
  <c r="A357" i="3"/>
  <c r="H356" i="3"/>
  <c r="G356" i="3"/>
  <c r="F356" i="3"/>
  <c r="A356" i="3"/>
  <c r="H355" i="3"/>
  <c r="G355" i="3"/>
  <c r="F355" i="3"/>
  <c r="E355" i="3"/>
  <c r="C355" i="3"/>
  <c r="B355" i="3"/>
  <c r="A355" i="3"/>
  <c r="H354" i="3"/>
  <c r="G354" i="3"/>
  <c r="F354" i="3"/>
  <c r="E354" i="3"/>
  <c r="C354" i="3"/>
  <c r="B354" i="3"/>
  <c r="A354" i="3"/>
  <c r="H353" i="3"/>
  <c r="G353" i="3"/>
  <c r="F353" i="3"/>
  <c r="A353" i="3"/>
  <c r="H352" i="3"/>
  <c r="G352" i="3"/>
  <c r="F352" i="3"/>
  <c r="E352" i="3"/>
  <c r="C352" i="3"/>
  <c r="A352" i="3"/>
  <c r="H351" i="3"/>
  <c r="G351" i="3"/>
  <c r="F351" i="3"/>
  <c r="A351" i="3"/>
  <c r="H350" i="3"/>
  <c r="G350" i="3"/>
  <c r="F350" i="3"/>
  <c r="A350" i="3"/>
  <c r="H349" i="3"/>
  <c r="G349" i="3"/>
  <c r="F349" i="3"/>
  <c r="A349" i="3"/>
  <c r="H348" i="3"/>
  <c r="G348" i="3"/>
  <c r="F348" i="3"/>
  <c r="E348" i="3"/>
  <c r="C348" i="3"/>
  <c r="B348" i="3"/>
  <c r="A348" i="3"/>
  <c r="H347" i="3"/>
  <c r="G347" i="3"/>
  <c r="F347" i="3"/>
  <c r="E347" i="3"/>
  <c r="C347" i="3"/>
  <c r="B347" i="3"/>
  <c r="A347" i="3"/>
  <c r="H346" i="3"/>
  <c r="G346" i="3"/>
  <c r="F346" i="3"/>
  <c r="E346" i="3"/>
  <c r="C346" i="3"/>
  <c r="B346" i="3"/>
  <c r="A346" i="3"/>
  <c r="H345" i="3"/>
  <c r="G345" i="3"/>
  <c r="F345" i="3"/>
  <c r="E345" i="3"/>
  <c r="C345" i="3"/>
  <c r="B345" i="3"/>
  <c r="A345" i="3"/>
  <c r="H344" i="3"/>
  <c r="G344" i="3"/>
  <c r="F344" i="3"/>
  <c r="A344" i="3"/>
  <c r="H343" i="3"/>
  <c r="G343" i="3"/>
  <c r="F343" i="3"/>
  <c r="E343" i="3"/>
  <c r="C343" i="3"/>
  <c r="B343" i="3"/>
  <c r="A343" i="3"/>
  <c r="H342" i="3"/>
  <c r="G342" i="3"/>
  <c r="F342" i="3"/>
  <c r="E342" i="3"/>
  <c r="C342" i="3"/>
  <c r="B342" i="3"/>
  <c r="A342" i="3"/>
  <c r="H341" i="3"/>
  <c r="G341" i="3"/>
  <c r="F341" i="3"/>
  <c r="E341" i="3"/>
  <c r="C341" i="3"/>
  <c r="B341" i="3"/>
  <c r="A341" i="3"/>
  <c r="H340" i="3"/>
  <c r="G340" i="3"/>
  <c r="F340" i="3"/>
  <c r="E340" i="3"/>
  <c r="C340" i="3"/>
  <c r="B340" i="3"/>
  <c r="A340" i="3"/>
  <c r="H339" i="3"/>
  <c r="G339" i="3"/>
  <c r="F339" i="3"/>
  <c r="E339" i="3"/>
  <c r="C339" i="3"/>
  <c r="B339" i="3"/>
  <c r="A339" i="3"/>
  <c r="H338" i="3"/>
  <c r="G338" i="3"/>
  <c r="F338" i="3"/>
  <c r="E338" i="3"/>
  <c r="D338" i="3"/>
  <c r="C338" i="3"/>
  <c r="B338" i="3"/>
  <c r="A338" i="3"/>
  <c r="H337" i="3"/>
  <c r="G337" i="3"/>
  <c r="F337" i="3"/>
  <c r="E337" i="3"/>
  <c r="C337" i="3"/>
  <c r="B337" i="3"/>
  <c r="A337" i="3"/>
  <c r="H336" i="3"/>
  <c r="G336" i="3"/>
  <c r="F336" i="3"/>
  <c r="A336" i="3"/>
  <c r="H335" i="3"/>
  <c r="G335" i="3"/>
  <c r="F335" i="3"/>
  <c r="C335" i="3"/>
  <c r="B335" i="3"/>
  <c r="A335" i="3"/>
  <c r="H334" i="3"/>
  <c r="G334" i="3"/>
  <c r="F334" i="3"/>
  <c r="E334" i="3"/>
  <c r="C334" i="3"/>
  <c r="B334" i="3"/>
  <c r="A334" i="3"/>
  <c r="H333" i="3"/>
  <c r="G333" i="3"/>
  <c r="F333" i="3"/>
  <c r="E333" i="3"/>
  <c r="D333" i="3"/>
  <c r="C333" i="3"/>
  <c r="B333" i="3"/>
  <c r="A333" i="3"/>
  <c r="H332" i="3"/>
  <c r="G332" i="3"/>
  <c r="F332" i="3"/>
  <c r="E332" i="3"/>
  <c r="C332" i="3"/>
  <c r="B332" i="3"/>
  <c r="A332" i="3"/>
  <c r="H331" i="3"/>
  <c r="G331" i="3"/>
  <c r="F331" i="3"/>
  <c r="E331" i="3"/>
  <c r="C331" i="3"/>
  <c r="B331" i="3"/>
  <c r="A331" i="3"/>
  <c r="H330" i="3"/>
  <c r="G330" i="3"/>
  <c r="F330" i="3"/>
  <c r="A330" i="3"/>
  <c r="H329" i="3"/>
  <c r="G329" i="3"/>
  <c r="F329" i="3"/>
  <c r="E329" i="3"/>
  <c r="C329" i="3"/>
  <c r="B329" i="3"/>
  <c r="A329" i="3"/>
  <c r="H328" i="3"/>
  <c r="G328" i="3"/>
  <c r="F328" i="3"/>
  <c r="E328" i="3"/>
  <c r="C328" i="3"/>
  <c r="B328" i="3"/>
  <c r="A328" i="3"/>
  <c r="H327" i="3"/>
  <c r="G327" i="3"/>
  <c r="F327" i="3"/>
  <c r="E327" i="3"/>
  <c r="C327" i="3"/>
  <c r="B327" i="3"/>
  <c r="A327" i="3"/>
  <c r="H326" i="3"/>
  <c r="G326" i="3"/>
  <c r="F326" i="3"/>
  <c r="E326" i="3"/>
  <c r="C326" i="3"/>
  <c r="B326" i="3"/>
  <c r="A326" i="3"/>
  <c r="H325" i="3"/>
  <c r="G325" i="3"/>
  <c r="F325" i="3"/>
  <c r="E325" i="3"/>
  <c r="C325" i="3"/>
  <c r="B325" i="3"/>
  <c r="A325" i="3"/>
  <c r="H324" i="3"/>
  <c r="G324" i="3"/>
  <c r="F324" i="3"/>
  <c r="E324" i="3"/>
  <c r="C324" i="3"/>
  <c r="B324" i="3"/>
  <c r="A324" i="3"/>
  <c r="H323" i="3"/>
  <c r="G323" i="3"/>
  <c r="F323" i="3"/>
  <c r="E323" i="3"/>
  <c r="D323" i="3"/>
  <c r="C323" i="3"/>
  <c r="B323" i="3"/>
  <c r="A323" i="3"/>
  <c r="H322" i="3"/>
  <c r="G322" i="3"/>
  <c r="F322" i="3"/>
  <c r="E322" i="3"/>
  <c r="C322" i="3"/>
  <c r="B322" i="3"/>
  <c r="A322" i="3"/>
  <c r="H321" i="3"/>
  <c r="G321" i="3"/>
  <c r="F321" i="3"/>
  <c r="E321" i="3"/>
  <c r="C321" i="3"/>
  <c r="B321" i="3"/>
  <c r="A321" i="3"/>
  <c r="H320" i="3"/>
  <c r="G320" i="3"/>
  <c r="F320" i="3"/>
  <c r="E320" i="3"/>
  <c r="D320" i="3"/>
  <c r="C320" i="3"/>
  <c r="B320" i="3"/>
  <c r="A320" i="3"/>
  <c r="H319" i="3"/>
  <c r="G319" i="3"/>
  <c r="F319" i="3"/>
  <c r="E319" i="3"/>
  <c r="D319" i="3"/>
  <c r="C319" i="3"/>
  <c r="B319" i="3"/>
  <c r="A319" i="3"/>
  <c r="H318" i="3"/>
  <c r="G318" i="3"/>
  <c r="F318" i="3"/>
  <c r="D318" i="3"/>
  <c r="C318" i="3"/>
  <c r="B318" i="3"/>
  <c r="A318" i="3"/>
  <c r="H317" i="3"/>
  <c r="G317" i="3"/>
  <c r="F317" i="3"/>
  <c r="D317" i="3"/>
  <c r="C317" i="3"/>
  <c r="B317" i="3"/>
  <c r="A317" i="3"/>
  <c r="H316" i="3"/>
  <c r="G316" i="3"/>
  <c r="F316" i="3"/>
  <c r="D316" i="3"/>
  <c r="C316" i="3"/>
  <c r="B316" i="3"/>
  <c r="A316" i="3"/>
  <c r="H315" i="3"/>
  <c r="G315" i="3"/>
  <c r="F315" i="3"/>
  <c r="C315" i="3"/>
  <c r="A315" i="3"/>
  <c r="H314" i="3"/>
  <c r="G314" i="3"/>
  <c r="F314" i="3"/>
  <c r="E314" i="3"/>
  <c r="C314" i="3"/>
  <c r="B314" i="3"/>
  <c r="A314" i="3"/>
  <c r="H313" i="3"/>
  <c r="G313" i="3"/>
  <c r="F313" i="3"/>
  <c r="C313" i="3"/>
  <c r="A313" i="3"/>
  <c r="H312" i="3"/>
  <c r="G312" i="3"/>
  <c r="F312" i="3"/>
  <c r="E312" i="3"/>
  <c r="C312" i="3"/>
  <c r="B312" i="3"/>
  <c r="A312" i="3"/>
  <c r="H311" i="3"/>
  <c r="G311" i="3"/>
  <c r="F311" i="3"/>
  <c r="C311" i="3"/>
  <c r="B311" i="3"/>
  <c r="A311" i="3"/>
  <c r="H310" i="3"/>
  <c r="G310" i="3"/>
  <c r="F310" i="3"/>
  <c r="E310" i="3"/>
  <c r="C310" i="3"/>
  <c r="B310" i="3"/>
  <c r="A310" i="3"/>
  <c r="H309" i="3"/>
  <c r="G309" i="3"/>
  <c r="F309" i="3"/>
  <c r="A309" i="3"/>
  <c r="H308" i="3"/>
  <c r="G308" i="3"/>
  <c r="F308" i="3"/>
  <c r="E308" i="3"/>
  <c r="C308" i="3"/>
  <c r="B308" i="3"/>
  <c r="A308" i="3"/>
  <c r="H307" i="3"/>
  <c r="G307" i="3"/>
  <c r="F307" i="3"/>
  <c r="C307" i="3"/>
  <c r="B307" i="3"/>
  <c r="A307" i="3"/>
  <c r="H306" i="3"/>
  <c r="G306" i="3"/>
  <c r="F306" i="3"/>
  <c r="C306" i="3"/>
  <c r="B306" i="3"/>
  <c r="A306" i="3"/>
  <c r="H305" i="3"/>
  <c r="G305" i="3"/>
  <c r="F305" i="3"/>
  <c r="E305" i="3"/>
  <c r="B305" i="3"/>
  <c r="A305" i="3"/>
  <c r="H304" i="3"/>
  <c r="G304" i="3"/>
  <c r="F304" i="3"/>
  <c r="E304" i="3"/>
  <c r="A304" i="3"/>
  <c r="H303" i="3"/>
  <c r="G303" i="3"/>
  <c r="F303" i="3"/>
  <c r="C303" i="3"/>
  <c r="B303" i="3"/>
  <c r="A303" i="3"/>
  <c r="H302" i="3"/>
  <c r="G302" i="3"/>
  <c r="F302" i="3"/>
  <c r="E302" i="3"/>
  <c r="C302" i="3"/>
  <c r="B302" i="3"/>
  <c r="A302" i="3"/>
  <c r="H301" i="3"/>
  <c r="G301" i="3"/>
  <c r="F301" i="3"/>
  <c r="E301" i="3"/>
  <c r="C301" i="3"/>
  <c r="B301" i="3"/>
  <c r="A301" i="3"/>
  <c r="H300" i="3"/>
  <c r="G300" i="3"/>
  <c r="F300" i="3"/>
  <c r="E300" i="3"/>
  <c r="C300" i="3"/>
  <c r="B300" i="3"/>
  <c r="A300" i="3"/>
  <c r="H299" i="3"/>
  <c r="G299" i="3"/>
  <c r="F299" i="3"/>
  <c r="E299" i="3"/>
  <c r="C299" i="3"/>
  <c r="B299" i="3"/>
  <c r="A299" i="3"/>
  <c r="H298" i="3"/>
  <c r="G298" i="3"/>
  <c r="F298" i="3"/>
  <c r="E298" i="3"/>
  <c r="C298" i="3"/>
  <c r="B298" i="3"/>
  <c r="A298" i="3"/>
  <c r="H297" i="3"/>
  <c r="G297" i="3"/>
  <c r="F297" i="3"/>
  <c r="E297" i="3"/>
  <c r="B297" i="3"/>
  <c r="A297" i="3"/>
  <c r="H296" i="3"/>
  <c r="G296" i="3"/>
  <c r="F296" i="3"/>
  <c r="A296" i="3"/>
  <c r="H295" i="3"/>
  <c r="G295" i="3"/>
  <c r="F295" i="3"/>
  <c r="A295" i="3"/>
  <c r="H294" i="3"/>
  <c r="G294" i="3"/>
  <c r="F294" i="3"/>
  <c r="E294" i="3"/>
  <c r="C294" i="3"/>
  <c r="B294" i="3"/>
  <c r="A294" i="3"/>
  <c r="H293" i="3"/>
  <c r="G293" i="3"/>
  <c r="F293" i="3"/>
  <c r="D293" i="3"/>
  <c r="C293" i="3"/>
  <c r="B293" i="3"/>
  <c r="A293" i="3"/>
  <c r="H292" i="3"/>
  <c r="G292" i="3"/>
  <c r="F292" i="3"/>
  <c r="C292" i="3"/>
  <c r="B292" i="3"/>
  <c r="A292" i="3"/>
  <c r="H291" i="3"/>
  <c r="G291" i="3"/>
  <c r="F291" i="3"/>
  <c r="E291" i="3"/>
  <c r="C291" i="3"/>
  <c r="B291" i="3"/>
  <c r="A291" i="3"/>
  <c r="H290" i="3"/>
  <c r="G290" i="3"/>
  <c r="F290" i="3"/>
  <c r="E290" i="3"/>
  <c r="C290" i="3"/>
  <c r="B290" i="3"/>
  <c r="A290" i="3"/>
  <c r="H289" i="3"/>
  <c r="G289" i="3"/>
  <c r="F289" i="3"/>
  <c r="A289" i="3"/>
  <c r="H288" i="3"/>
  <c r="G288" i="3"/>
  <c r="F288" i="3"/>
  <c r="A288" i="3"/>
  <c r="H287" i="3"/>
  <c r="G287" i="3"/>
  <c r="F287" i="3"/>
  <c r="E287" i="3"/>
  <c r="D287" i="3"/>
  <c r="C287" i="3"/>
  <c r="B287" i="3"/>
  <c r="A287" i="3"/>
  <c r="H286" i="3"/>
  <c r="G286" i="3"/>
  <c r="F286" i="3"/>
  <c r="C286" i="3"/>
  <c r="B286" i="3"/>
  <c r="A286" i="3"/>
  <c r="H285" i="3"/>
  <c r="G285" i="3"/>
  <c r="F285" i="3"/>
  <c r="A285" i="3"/>
  <c r="H284" i="3"/>
  <c r="G284" i="3"/>
  <c r="F284" i="3"/>
  <c r="E284" i="3"/>
  <c r="C284" i="3"/>
  <c r="B284" i="3"/>
  <c r="A284" i="3"/>
  <c r="H283" i="3"/>
  <c r="G283" i="3"/>
  <c r="F283" i="3"/>
  <c r="E283" i="3"/>
  <c r="A283" i="3"/>
  <c r="H282" i="3"/>
  <c r="G282" i="3"/>
  <c r="F282" i="3"/>
  <c r="A282" i="3"/>
  <c r="H281" i="3"/>
  <c r="G281" i="3"/>
  <c r="F281" i="3"/>
  <c r="E281" i="3"/>
  <c r="C281" i="3"/>
  <c r="B281" i="3"/>
  <c r="A281" i="3"/>
  <c r="H280" i="3"/>
  <c r="G280" i="3"/>
  <c r="F280" i="3"/>
  <c r="E280" i="3"/>
  <c r="C280" i="3"/>
  <c r="B280" i="3"/>
  <c r="A280" i="3"/>
  <c r="H279" i="3"/>
  <c r="G279" i="3"/>
  <c r="F279" i="3"/>
  <c r="E279" i="3"/>
  <c r="D279" i="3"/>
  <c r="C279" i="3"/>
  <c r="B279" i="3"/>
  <c r="A279" i="3"/>
  <c r="H278" i="3"/>
  <c r="G278" i="3"/>
  <c r="F278" i="3"/>
  <c r="E278" i="3"/>
  <c r="C278" i="3"/>
  <c r="B278" i="3"/>
  <c r="A278" i="3"/>
  <c r="H277" i="3"/>
  <c r="G277" i="3"/>
  <c r="F277" i="3"/>
  <c r="C277" i="3"/>
  <c r="B277" i="3"/>
  <c r="A277" i="3"/>
  <c r="H276" i="3"/>
  <c r="G276" i="3"/>
  <c r="F276" i="3"/>
  <c r="A276" i="3"/>
  <c r="H275" i="3"/>
  <c r="G275" i="3"/>
  <c r="F275" i="3"/>
  <c r="A275" i="3"/>
  <c r="H274" i="3"/>
  <c r="G274" i="3"/>
  <c r="F274" i="3"/>
  <c r="E274" i="3"/>
  <c r="C274" i="3"/>
  <c r="B274" i="3"/>
  <c r="A274" i="3"/>
  <c r="H273" i="3"/>
  <c r="G273" i="3"/>
  <c r="F273" i="3"/>
  <c r="E273" i="3"/>
  <c r="C273" i="3"/>
  <c r="B273" i="3"/>
  <c r="A273" i="3"/>
  <c r="H272" i="3"/>
  <c r="G272" i="3"/>
  <c r="F272" i="3"/>
  <c r="E272" i="3"/>
  <c r="C272" i="3"/>
  <c r="B272" i="3"/>
  <c r="A272" i="3"/>
  <c r="H271" i="3"/>
  <c r="G271" i="3"/>
  <c r="F271" i="3"/>
  <c r="E271" i="3"/>
  <c r="C271" i="3"/>
  <c r="B271" i="3"/>
  <c r="A271" i="3"/>
  <c r="H270" i="3"/>
  <c r="G270" i="3"/>
  <c r="F270" i="3"/>
  <c r="E270" i="3"/>
  <c r="C270" i="3"/>
  <c r="B270" i="3"/>
  <c r="A270" i="3"/>
  <c r="H269" i="3"/>
  <c r="G269" i="3"/>
  <c r="F269" i="3"/>
  <c r="C269" i="3"/>
  <c r="B269" i="3"/>
  <c r="A269" i="3"/>
  <c r="H268" i="3"/>
  <c r="G268" i="3"/>
  <c r="F268" i="3"/>
  <c r="E268" i="3"/>
  <c r="B268" i="3"/>
  <c r="A268" i="3"/>
  <c r="H267" i="3"/>
  <c r="G267" i="3"/>
  <c r="F267" i="3"/>
  <c r="E267" i="3"/>
  <c r="C267" i="3"/>
  <c r="B267" i="3"/>
  <c r="A267" i="3"/>
  <c r="H266" i="3"/>
  <c r="G266" i="3"/>
  <c r="F266" i="3"/>
  <c r="E266" i="3"/>
  <c r="D266" i="3"/>
  <c r="C266" i="3"/>
  <c r="B266" i="3"/>
  <c r="A266" i="3"/>
  <c r="H265" i="3"/>
  <c r="G265" i="3"/>
  <c r="F265" i="3"/>
  <c r="E265" i="3"/>
  <c r="D265" i="3"/>
  <c r="C265" i="3"/>
  <c r="B265" i="3"/>
  <c r="A265" i="3"/>
  <c r="H264" i="3"/>
  <c r="G264" i="3"/>
  <c r="F264" i="3"/>
  <c r="E264" i="3"/>
  <c r="A264" i="3"/>
  <c r="H263" i="3"/>
  <c r="G263" i="3"/>
  <c r="F263" i="3"/>
  <c r="A263" i="3"/>
  <c r="H262" i="3"/>
  <c r="G262" i="3"/>
  <c r="F262" i="3"/>
  <c r="E262" i="3"/>
  <c r="C262" i="3"/>
  <c r="B262" i="3"/>
  <c r="A262" i="3"/>
  <c r="H261" i="3"/>
  <c r="G261" i="3"/>
  <c r="F261" i="3"/>
  <c r="A261" i="3"/>
  <c r="H260" i="3"/>
  <c r="G260" i="3"/>
  <c r="F260" i="3"/>
  <c r="E260" i="3"/>
  <c r="C260" i="3"/>
  <c r="B260" i="3"/>
  <c r="A260" i="3"/>
  <c r="H259" i="3"/>
  <c r="G259" i="3"/>
  <c r="F259" i="3"/>
  <c r="E259" i="3"/>
  <c r="C259" i="3"/>
  <c r="B259" i="3"/>
  <c r="A259" i="3"/>
  <c r="H258" i="3"/>
  <c r="G258" i="3"/>
  <c r="F258" i="3"/>
  <c r="E258" i="3"/>
  <c r="C258" i="3"/>
  <c r="B258" i="3"/>
  <c r="A258" i="3"/>
  <c r="H257" i="3"/>
  <c r="G257" i="3"/>
  <c r="F257" i="3"/>
  <c r="E257" i="3"/>
  <c r="C257" i="3"/>
  <c r="B257" i="3"/>
  <c r="A257" i="3"/>
  <c r="H256" i="3"/>
  <c r="G256" i="3"/>
  <c r="F256" i="3"/>
  <c r="E256" i="3"/>
  <c r="C256" i="3"/>
  <c r="B256" i="3"/>
  <c r="A256" i="3"/>
  <c r="H255" i="3"/>
  <c r="G255" i="3"/>
  <c r="F255" i="3"/>
  <c r="E255" i="3"/>
  <c r="C255" i="3"/>
  <c r="B255" i="3"/>
  <c r="A255" i="3"/>
  <c r="H254" i="3"/>
  <c r="G254" i="3"/>
  <c r="F254" i="3"/>
  <c r="E254" i="3"/>
  <c r="C254" i="3"/>
  <c r="B254" i="3"/>
  <c r="A254" i="3"/>
  <c r="H253" i="3"/>
  <c r="G253" i="3"/>
  <c r="F253" i="3"/>
  <c r="E253" i="3"/>
  <c r="C253" i="3"/>
  <c r="B253" i="3"/>
  <c r="A253" i="3"/>
  <c r="H252" i="3"/>
  <c r="G252" i="3"/>
  <c r="F252" i="3"/>
  <c r="C252" i="3"/>
  <c r="B252" i="3"/>
  <c r="A252" i="3"/>
  <c r="H251" i="3"/>
  <c r="G251" i="3"/>
  <c r="F251" i="3"/>
  <c r="E251" i="3"/>
  <c r="C251" i="3"/>
  <c r="B251" i="3"/>
  <c r="A251" i="3"/>
  <c r="H250" i="3"/>
  <c r="G250" i="3"/>
  <c r="F250" i="3"/>
  <c r="A250" i="3"/>
  <c r="H249" i="3"/>
  <c r="G249" i="3"/>
  <c r="F249" i="3"/>
  <c r="E249" i="3"/>
  <c r="B249" i="3"/>
  <c r="A249" i="3"/>
  <c r="H248" i="3"/>
  <c r="G248" i="3"/>
  <c r="F248" i="3"/>
  <c r="E248" i="3"/>
  <c r="A248" i="3"/>
  <c r="H247" i="3"/>
  <c r="G247" i="3"/>
  <c r="F247" i="3"/>
  <c r="A247" i="3"/>
  <c r="H246" i="3"/>
  <c r="G246" i="3"/>
  <c r="F246" i="3"/>
  <c r="A246" i="3"/>
  <c r="H245" i="3"/>
  <c r="G245" i="3"/>
  <c r="F245" i="3"/>
  <c r="E245" i="3"/>
  <c r="C245" i="3"/>
  <c r="B245" i="3"/>
  <c r="A245" i="3"/>
  <c r="H244" i="3"/>
  <c r="G244" i="3"/>
  <c r="F244" i="3"/>
  <c r="E244" i="3"/>
  <c r="D244" i="3"/>
  <c r="C244" i="3"/>
  <c r="B244" i="3"/>
  <c r="A244" i="3"/>
  <c r="H243" i="3"/>
  <c r="G243" i="3"/>
  <c r="F243" i="3"/>
  <c r="E243" i="3"/>
  <c r="D243" i="3"/>
  <c r="C243" i="3"/>
  <c r="B243" i="3"/>
  <c r="A243" i="3"/>
  <c r="H242" i="3"/>
  <c r="G242" i="3"/>
  <c r="F242" i="3"/>
  <c r="A242" i="3"/>
  <c r="H241" i="3"/>
  <c r="G241" i="3"/>
  <c r="F241" i="3"/>
  <c r="C241" i="3"/>
  <c r="B241" i="3"/>
  <c r="A241" i="3"/>
  <c r="H240" i="3"/>
  <c r="G240" i="3"/>
  <c r="F240" i="3"/>
  <c r="C240" i="3"/>
  <c r="B240" i="3"/>
  <c r="A240" i="3"/>
  <c r="H239" i="3"/>
  <c r="G239" i="3"/>
  <c r="F239" i="3"/>
  <c r="C239" i="3"/>
  <c r="B239" i="3"/>
  <c r="A239" i="3"/>
  <c r="H238" i="3"/>
  <c r="G238" i="3"/>
  <c r="F238" i="3"/>
  <c r="C238" i="3"/>
  <c r="B238" i="3"/>
  <c r="A238" i="3"/>
  <c r="H237" i="3"/>
  <c r="G237" i="3"/>
  <c r="F237" i="3"/>
  <c r="B237" i="3"/>
  <c r="A237" i="3"/>
  <c r="H236" i="3"/>
  <c r="G236" i="3"/>
  <c r="F236" i="3"/>
  <c r="A236" i="3"/>
  <c r="H235" i="3"/>
  <c r="G235" i="3"/>
  <c r="F235" i="3"/>
  <c r="E235" i="3"/>
  <c r="C235" i="3"/>
  <c r="B235" i="3"/>
  <c r="A235" i="3"/>
  <c r="H234" i="3"/>
  <c r="G234" i="3"/>
  <c r="F234" i="3"/>
  <c r="E234" i="3"/>
  <c r="C234" i="3"/>
  <c r="B234" i="3"/>
  <c r="A234" i="3"/>
  <c r="H233" i="3"/>
  <c r="G233" i="3"/>
  <c r="F233" i="3"/>
  <c r="E233" i="3"/>
  <c r="C233" i="3"/>
  <c r="B233" i="3"/>
  <c r="A233" i="3"/>
  <c r="H232" i="3"/>
  <c r="G232" i="3"/>
  <c r="F232" i="3"/>
  <c r="E232" i="3"/>
  <c r="C232" i="3"/>
  <c r="B232" i="3"/>
  <c r="A232" i="3"/>
  <c r="H231" i="3"/>
  <c r="G231" i="3"/>
  <c r="F231" i="3"/>
  <c r="A231" i="3"/>
  <c r="H230" i="3"/>
  <c r="G230" i="3"/>
  <c r="F230" i="3"/>
  <c r="A230" i="3"/>
  <c r="H229" i="3"/>
  <c r="G229" i="3"/>
  <c r="F229" i="3"/>
  <c r="A229" i="3"/>
  <c r="H228" i="3"/>
  <c r="G228" i="3"/>
  <c r="F228" i="3"/>
  <c r="C228" i="3"/>
  <c r="B228" i="3"/>
  <c r="A228" i="3"/>
  <c r="H227" i="3"/>
  <c r="G227" i="3"/>
  <c r="F227" i="3"/>
  <c r="C227" i="3"/>
  <c r="A227" i="3"/>
  <c r="H226" i="3"/>
  <c r="G226" i="3"/>
  <c r="F226" i="3"/>
  <c r="E226" i="3"/>
  <c r="C226" i="3"/>
  <c r="B226" i="3"/>
  <c r="A226" i="3"/>
  <c r="H225" i="3"/>
  <c r="G225" i="3"/>
  <c r="F225" i="3"/>
  <c r="E225" i="3"/>
  <c r="D225" i="3"/>
  <c r="C225" i="3"/>
  <c r="B225" i="3"/>
  <c r="A225" i="3"/>
  <c r="H224" i="3"/>
  <c r="G224" i="3"/>
  <c r="F224" i="3"/>
  <c r="C224" i="3"/>
  <c r="B224" i="3"/>
  <c r="A224" i="3"/>
  <c r="H223" i="3"/>
  <c r="G223" i="3"/>
  <c r="F223" i="3"/>
  <c r="C223" i="3"/>
  <c r="B223" i="3"/>
  <c r="A223" i="3"/>
  <c r="H222" i="3"/>
  <c r="G222" i="3"/>
  <c r="F222" i="3"/>
  <c r="E222" i="3"/>
  <c r="C222" i="3"/>
  <c r="B222" i="3"/>
  <c r="A222" i="3"/>
  <c r="H221" i="3"/>
  <c r="G221" i="3"/>
  <c r="F221" i="3"/>
  <c r="A221" i="3"/>
  <c r="H220" i="3"/>
  <c r="G220" i="3"/>
  <c r="F220" i="3"/>
  <c r="E220" i="3"/>
  <c r="C220" i="3"/>
  <c r="B220" i="3"/>
  <c r="A220" i="3"/>
  <c r="H219" i="3"/>
  <c r="G219" i="3"/>
  <c r="F219" i="3"/>
  <c r="E219" i="3"/>
  <c r="C219" i="3"/>
  <c r="B219" i="3"/>
  <c r="A219" i="3"/>
  <c r="H218" i="3"/>
  <c r="G218" i="3"/>
  <c r="F218" i="3"/>
  <c r="E218" i="3"/>
  <c r="C218" i="3"/>
  <c r="B218" i="3"/>
  <c r="A218" i="3"/>
  <c r="H217" i="3"/>
  <c r="G217" i="3"/>
  <c r="F217" i="3"/>
  <c r="A217" i="3"/>
  <c r="H216" i="3"/>
  <c r="G216" i="3"/>
  <c r="F216" i="3"/>
  <c r="E216" i="3"/>
  <c r="C216" i="3"/>
  <c r="B216" i="3"/>
  <c r="A216" i="3"/>
  <c r="H215" i="3"/>
  <c r="G215" i="3"/>
  <c r="F215" i="3"/>
  <c r="E215" i="3"/>
  <c r="C215" i="3"/>
  <c r="B215" i="3"/>
  <c r="A215" i="3"/>
  <c r="H214" i="3"/>
  <c r="G214" i="3"/>
  <c r="F214" i="3"/>
  <c r="E214" i="3"/>
  <c r="C214" i="3"/>
  <c r="B214" i="3"/>
  <c r="A214" i="3"/>
  <c r="H213" i="3"/>
  <c r="G213" i="3"/>
  <c r="F213" i="3"/>
  <c r="E213" i="3"/>
  <c r="C213" i="3"/>
  <c r="B213" i="3"/>
  <c r="A213" i="3"/>
  <c r="H212" i="3"/>
  <c r="G212" i="3"/>
  <c r="F212" i="3"/>
  <c r="E212" i="3"/>
  <c r="C212" i="3"/>
  <c r="B212" i="3"/>
  <c r="A212" i="3"/>
  <c r="H211" i="3"/>
  <c r="G211" i="3"/>
  <c r="F211" i="3"/>
  <c r="A211" i="3"/>
  <c r="H210" i="3"/>
  <c r="G210" i="3"/>
  <c r="F210" i="3"/>
  <c r="A210" i="3"/>
  <c r="H209" i="3"/>
  <c r="G209" i="3"/>
  <c r="F209" i="3"/>
  <c r="A209" i="3"/>
  <c r="H208" i="3"/>
  <c r="G208" i="3"/>
  <c r="F208" i="3"/>
  <c r="A208" i="3"/>
  <c r="H207" i="3"/>
  <c r="G207" i="3"/>
  <c r="F207" i="3"/>
  <c r="E207" i="3"/>
  <c r="A207" i="3"/>
  <c r="H206" i="3"/>
  <c r="G206" i="3"/>
  <c r="F206" i="3"/>
  <c r="E206" i="3"/>
  <c r="B206" i="3"/>
  <c r="A206" i="3"/>
  <c r="H205" i="3"/>
  <c r="G205" i="3"/>
  <c r="F205" i="3"/>
  <c r="E205" i="3"/>
  <c r="A205" i="3"/>
  <c r="H204" i="3"/>
  <c r="G204" i="3"/>
  <c r="F204" i="3"/>
  <c r="E204" i="3"/>
  <c r="D204" i="3"/>
  <c r="C204" i="3"/>
  <c r="B204" i="3"/>
  <c r="A204" i="3"/>
  <c r="H203" i="3"/>
  <c r="G203" i="3"/>
  <c r="F203" i="3"/>
  <c r="E203" i="3"/>
  <c r="C203" i="3"/>
  <c r="B203" i="3"/>
  <c r="A203" i="3"/>
  <c r="H202" i="3"/>
  <c r="G202" i="3"/>
  <c r="F202" i="3"/>
  <c r="A202" i="3"/>
  <c r="H201" i="3"/>
  <c r="G201" i="3"/>
  <c r="F201" i="3"/>
  <c r="A201" i="3"/>
  <c r="H200" i="3"/>
  <c r="G200" i="3"/>
  <c r="F200" i="3"/>
  <c r="C200" i="3"/>
  <c r="B200" i="3"/>
  <c r="A200" i="3"/>
  <c r="H199" i="3"/>
  <c r="G199" i="3"/>
  <c r="F199" i="3"/>
  <c r="E199" i="3"/>
  <c r="C199" i="3"/>
  <c r="B199" i="3"/>
  <c r="A199" i="3"/>
  <c r="H198" i="3"/>
  <c r="G198" i="3"/>
  <c r="F198" i="3"/>
  <c r="A198" i="3"/>
  <c r="H197" i="3"/>
  <c r="G197" i="3"/>
  <c r="F197" i="3"/>
  <c r="A197" i="3"/>
  <c r="H196" i="3"/>
  <c r="G196" i="3"/>
  <c r="F196" i="3"/>
  <c r="E196" i="3"/>
  <c r="D196" i="3"/>
  <c r="C196" i="3"/>
  <c r="B196" i="3"/>
  <c r="A196" i="3"/>
  <c r="H195" i="3"/>
  <c r="G195" i="3"/>
  <c r="F195" i="3"/>
  <c r="A195" i="3"/>
  <c r="H194" i="3"/>
  <c r="G194" i="3"/>
  <c r="F194" i="3"/>
  <c r="E194" i="3"/>
  <c r="C194" i="3"/>
  <c r="B194" i="3"/>
  <c r="A194" i="3"/>
  <c r="H193" i="3"/>
  <c r="G193" i="3"/>
  <c r="F193" i="3"/>
  <c r="E193" i="3"/>
  <c r="A193" i="3"/>
  <c r="H192" i="3"/>
  <c r="G192" i="3"/>
  <c r="F192" i="3"/>
  <c r="E192" i="3"/>
  <c r="C192" i="3"/>
  <c r="B192" i="3"/>
  <c r="A192" i="3"/>
  <c r="H191" i="3"/>
  <c r="G191" i="3"/>
  <c r="F191" i="3"/>
  <c r="A191" i="3"/>
  <c r="H190" i="3"/>
  <c r="G190" i="3"/>
  <c r="F190" i="3"/>
  <c r="E190" i="3"/>
  <c r="C190" i="3"/>
  <c r="B190" i="3"/>
  <c r="A190" i="3"/>
  <c r="H189" i="3"/>
  <c r="G189" i="3"/>
  <c r="F189" i="3"/>
  <c r="E189" i="3"/>
  <c r="C189" i="3"/>
  <c r="B189" i="3"/>
  <c r="A189" i="3"/>
  <c r="H188" i="3"/>
  <c r="G188" i="3"/>
  <c r="F188" i="3"/>
  <c r="E188" i="3"/>
  <c r="C188" i="3"/>
  <c r="B188" i="3"/>
  <c r="A188" i="3"/>
  <c r="H187" i="3"/>
  <c r="G187" i="3"/>
  <c r="F187" i="3"/>
  <c r="D187" i="3"/>
  <c r="C187" i="3"/>
  <c r="B187" i="3"/>
  <c r="A187" i="3"/>
  <c r="H186" i="3"/>
  <c r="G186" i="3"/>
  <c r="F186" i="3"/>
  <c r="A186" i="3"/>
  <c r="H185" i="3"/>
  <c r="G185" i="3"/>
  <c r="F185" i="3"/>
  <c r="E185" i="3"/>
  <c r="C185" i="3"/>
  <c r="B185" i="3"/>
  <c r="A185" i="3"/>
  <c r="H184" i="3"/>
  <c r="G184" i="3"/>
  <c r="F184" i="3"/>
  <c r="A184" i="3"/>
  <c r="H183" i="3"/>
  <c r="G183" i="3"/>
  <c r="F183" i="3"/>
  <c r="A183" i="3"/>
  <c r="H182" i="3"/>
  <c r="G182" i="3"/>
  <c r="F182" i="3"/>
  <c r="E182" i="3"/>
  <c r="C182" i="3"/>
  <c r="B182" i="3"/>
  <c r="A182" i="3"/>
  <c r="H181" i="3"/>
  <c r="G181" i="3"/>
  <c r="F181" i="3"/>
  <c r="E181" i="3"/>
  <c r="B181" i="3"/>
  <c r="A181" i="3"/>
  <c r="H180" i="3"/>
  <c r="G180" i="3"/>
  <c r="F180" i="3"/>
  <c r="A180" i="3"/>
  <c r="H179" i="3"/>
  <c r="G179" i="3"/>
  <c r="F179" i="3"/>
  <c r="E179" i="3"/>
  <c r="C179" i="3"/>
  <c r="B179" i="3"/>
  <c r="A179" i="3"/>
  <c r="H178" i="3"/>
  <c r="G178" i="3"/>
  <c r="F178" i="3"/>
  <c r="E178" i="3"/>
  <c r="C178" i="3"/>
  <c r="B178" i="3"/>
  <c r="A178" i="3"/>
  <c r="H177" i="3"/>
  <c r="G177" i="3"/>
  <c r="F177" i="3"/>
  <c r="A177" i="3"/>
  <c r="H176" i="3"/>
  <c r="G176" i="3"/>
  <c r="F176" i="3"/>
  <c r="E176" i="3"/>
  <c r="C176" i="3"/>
  <c r="B176" i="3"/>
  <c r="A176" i="3"/>
  <c r="H175" i="3"/>
  <c r="G175" i="3"/>
  <c r="F175" i="3"/>
  <c r="A175" i="3"/>
  <c r="H174" i="3"/>
  <c r="G174" i="3"/>
  <c r="F174" i="3"/>
  <c r="E174" i="3"/>
  <c r="B174" i="3"/>
  <c r="A174" i="3"/>
  <c r="H173" i="3"/>
  <c r="G173" i="3"/>
  <c r="F173" i="3"/>
  <c r="E173" i="3"/>
  <c r="C173" i="3"/>
  <c r="B173" i="3"/>
  <c r="A173" i="3"/>
  <c r="H172" i="3"/>
  <c r="G172" i="3"/>
  <c r="F172" i="3"/>
  <c r="E172" i="3"/>
  <c r="A172" i="3"/>
  <c r="H171" i="3"/>
  <c r="G171" i="3"/>
  <c r="F171" i="3"/>
  <c r="E171" i="3"/>
  <c r="C171" i="3"/>
  <c r="B171" i="3"/>
  <c r="A171" i="3"/>
  <c r="H170" i="3"/>
  <c r="G170" i="3"/>
  <c r="F170" i="3"/>
  <c r="A170" i="3"/>
  <c r="H169" i="3"/>
  <c r="G169" i="3"/>
  <c r="F169" i="3"/>
  <c r="E169" i="3"/>
  <c r="D169" i="3"/>
  <c r="C169" i="3"/>
  <c r="B169" i="3"/>
  <c r="A169" i="3"/>
  <c r="H168" i="3"/>
  <c r="G168" i="3"/>
  <c r="F168" i="3"/>
  <c r="E168" i="3"/>
  <c r="D168" i="3"/>
  <c r="C168" i="3"/>
  <c r="B168" i="3"/>
  <c r="A168" i="3"/>
  <c r="H167" i="3"/>
  <c r="G167" i="3"/>
  <c r="F167" i="3"/>
  <c r="E167" i="3"/>
  <c r="D167" i="3"/>
  <c r="C167" i="3"/>
  <c r="B167" i="3"/>
  <c r="A167" i="3"/>
  <c r="H166" i="3"/>
  <c r="G166" i="3"/>
  <c r="F166" i="3"/>
  <c r="E166" i="3"/>
  <c r="D166" i="3"/>
  <c r="C166" i="3"/>
  <c r="B166" i="3"/>
  <c r="A166" i="3"/>
  <c r="H165" i="3"/>
  <c r="G165" i="3"/>
  <c r="F165" i="3"/>
  <c r="E165" i="3"/>
  <c r="C165" i="3"/>
  <c r="B165" i="3"/>
  <c r="A165" i="3"/>
  <c r="H164" i="3"/>
  <c r="G164" i="3"/>
  <c r="F164" i="3"/>
  <c r="E164" i="3"/>
  <c r="D164" i="3"/>
  <c r="C164" i="3"/>
  <c r="B164" i="3"/>
  <c r="A164" i="3"/>
  <c r="H163" i="3"/>
  <c r="G163" i="3"/>
  <c r="F163" i="3"/>
  <c r="A163" i="3"/>
  <c r="H162" i="3"/>
  <c r="G162" i="3"/>
  <c r="F162" i="3"/>
  <c r="A162" i="3"/>
  <c r="H161" i="3"/>
  <c r="G161" i="3"/>
  <c r="F161" i="3"/>
  <c r="E161" i="3"/>
  <c r="C161" i="3"/>
  <c r="B161" i="3"/>
  <c r="A161" i="3"/>
  <c r="H160" i="3"/>
  <c r="G160" i="3"/>
  <c r="F160" i="3"/>
  <c r="E160" i="3"/>
  <c r="C160" i="3"/>
  <c r="B160" i="3"/>
  <c r="A160" i="3"/>
  <c r="H159" i="3"/>
  <c r="G159" i="3"/>
  <c r="F159" i="3"/>
  <c r="E159" i="3"/>
  <c r="C159" i="3"/>
  <c r="B159" i="3"/>
  <c r="A159" i="3"/>
  <c r="H158" i="3"/>
  <c r="G158" i="3"/>
  <c r="F158" i="3"/>
  <c r="E158" i="3"/>
  <c r="D158" i="3"/>
  <c r="C158" i="3"/>
  <c r="B158" i="3"/>
  <c r="A158" i="3"/>
  <c r="H157" i="3"/>
  <c r="G157" i="3"/>
  <c r="F157" i="3"/>
  <c r="E157" i="3"/>
  <c r="C157" i="3"/>
  <c r="B157" i="3"/>
  <c r="A157" i="3"/>
  <c r="H156" i="3"/>
  <c r="G156" i="3"/>
  <c r="F156" i="3"/>
  <c r="E156" i="3"/>
  <c r="C156" i="3"/>
  <c r="B156" i="3"/>
  <c r="A156" i="3"/>
  <c r="H155" i="3"/>
  <c r="G155" i="3"/>
  <c r="F155" i="3"/>
  <c r="E155" i="3"/>
  <c r="B155" i="3"/>
  <c r="A155" i="3"/>
  <c r="H154" i="3"/>
  <c r="G154" i="3"/>
  <c r="F154" i="3"/>
  <c r="E154" i="3"/>
  <c r="B154" i="3"/>
  <c r="A154" i="3"/>
  <c r="H153" i="3"/>
  <c r="G153" i="3"/>
  <c r="F153" i="3"/>
  <c r="A153" i="3"/>
  <c r="H152" i="3"/>
  <c r="G152" i="3"/>
  <c r="F152" i="3"/>
  <c r="E152" i="3"/>
  <c r="C152" i="3"/>
  <c r="B152" i="3"/>
  <c r="A152" i="3"/>
  <c r="H151" i="3"/>
  <c r="G151" i="3"/>
  <c r="F151" i="3"/>
  <c r="E151" i="3"/>
  <c r="C151" i="3"/>
  <c r="B151" i="3"/>
  <c r="A151" i="3"/>
  <c r="H150" i="3"/>
  <c r="G150" i="3"/>
  <c r="F150" i="3"/>
  <c r="E150" i="3"/>
  <c r="C150" i="3"/>
  <c r="B150" i="3"/>
  <c r="A150" i="3"/>
  <c r="H149" i="3"/>
  <c r="G149" i="3"/>
  <c r="F149" i="3"/>
  <c r="E149" i="3"/>
  <c r="B149" i="3"/>
  <c r="A149" i="3"/>
  <c r="H148" i="3"/>
  <c r="G148" i="3"/>
  <c r="F148" i="3"/>
  <c r="A148" i="3"/>
  <c r="H147" i="3"/>
  <c r="G147" i="3"/>
  <c r="F147" i="3"/>
  <c r="E147" i="3"/>
  <c r="D147" i="3"/>
  <c r="C147" i="3"/>
  <c r="B147" i="3"/>
  <c r="A147" i="3"/>
  <c r="H146" i="3"/>
  <c r="G146" i="3"/>
  <c r="F146" i="3"/>
  <c r="E146" i="3"/>
  <c r="C146" i="3"/>
  <c r="B146" i="3"/>
  <c r="A146" i="3"/>
  <c r="H145" i="3"/>
  <c r="G145" i="3"/>
  <c r="F145" i="3"/>
  <c r="E145" i="3"/>
  <c r="C145" i="3"/>
  <c r="B145" i="3"/>
  <c r="A145" i="3"/>
  <c r="H144" i="3"/>
  <c r="G144" i="3"/>
  <c r="F144" i="3"/>
  <c r="E144" i="3"/>
  <c r="D144" i="3"/>
  <c r="C144" i="3"/>
  <c r="B144" i="3"/>
  <c r="A144" i="3"/>
  <c r="H143" i="3"/>
  <c r="G143" i="3"/>
  <c r="F143" i="3"/>
  <c r="E143" i="3"/>
  <c r="D143" i="3"/>
  <c r="C143" i="3"/>
  <c r="B143" i="3"/>
  <c r="A143" i="3"/>
  <c r="H142" i="3"/>
  <c r="G142" i="3"/>
  <c r="F142" i="3"/>
  <c r="E142" i="3"/>
  <c r="C142" i="3"/>
  <c r="B142" i="3"/>
  <c r="A142" i="3"/>
  <c r="H141" i="3"/>
  <c r="G141" i="3"/>
  <c r="F141" i="3"/>
  <c r="E141" i="3"/>
  <c r="C141" i="3"/>
  <c r="B141" i="3"/>
  <c r="A141" i="3"/>
  <c r="H140" i="3"/>
  <c r="G140" i="3"/>
  <c r="F140" i="3"/>
  <c r="E140" i="3"/>
  <c r="C140" i="3"/>
  <c r="B140" i="3"/>
  <c r="A140" i="3"/>
  <c r="H139" i="3"/>
  <c r="G139" i="3"/>
  <c r="F139" i="3"/>
  <c r="E139" i="3"/>
  <c r="C139" i="3"/>
  <c r="B139" i="3"/>
  <c r="A139" i="3"/>
  <c r="H138" i="3"/>
  <c r="G138" i="3"/>
  <c r="F138" i="3"/>
  <c r="E138" i="3"/>
  <c r="D138" i="3"/>
  <c r="C138" i="3"/>
  <c r="B138" i="3"/>
  <c r="A138" i="3"/>
  <c r="H137" i="3"/>
  <c r="G137" i="3"/>
  <c r="F137" i="3"/>
  <c r="A137" i="3"/>
  <c r="H136" i="3"/>
  <c r="G136" i="3"/>
  <c r="F136" i="3"/>
  <c r="A136" i="3"/>
  <c r="H135" i="3"/>
  <c r="G135" i="3"/>
  <c r="F135" i="3"/>
  <c r="E135" i="3"/>
  <c r="C135" i="3"/>
  <c r="B135" i="3"/>
  <c r="A135" i="3"/>
  <c r="H134" i="3"/>
  <c r="G134" i="3"/>
  <c r="F134" i="3"/>
  <c r="A134" i="3"/>
  <c r="H133" i="3"/>
  <c r="G133" i="3"/>
  <c r="F133" i="3"/>
  <c r="E133" i="3"/>
  <c r="C133" i="3"/>
  <c r="B133" i="3"/>
  <c r="A133" i="3"/>
  <c r="H132" i="3"/>
  <c r="G132" i="3"/>
  <c r="F132" i="3"/>
  <c r="E132" i="3"/>
  <c r="C132" i="3"/>
  <c r="B132" i="3"/>
  <c r="A132" i="3"/>
  <c r="H131" i="3"/>
  <c r="G131" i="3"/>
  <c r="F131" i="3"/>
  <c r="C131" i="3"/>
  <c r="B131" i="3"/>
  <c r="A131" i="3"/>
  <c r="H130" i="3"/>
  <c r="G130" i="3"/>
  <c r="F130" i="3"/>
  <c r="E130" i="3"/>
  <c r="C130" i="3"/>
  <c r="B130" i="3"/>
  <c r="A130" i="3"/>
  <c r="H129" i="3"/>
  <c r="G129" i="3"/>
  <c r="F129" i="3"/>
  <c r="E129" i="3"/>
  <c r="C129" i="3"/>
  <c r="B129" i="3"/>
  <c r="A129" i="3"/>
  <c r="H128" i="3"/>
  <c r="G128" i="3"/>
  <c r="F128" i="3"/>
  <c r="E128" i="3"/>
  <c r="A128" i="3"/>
  <c r="H127" i="3"/>
  <c r="G127" i="3"/>
  <c r="F127" i="3"/>
  <c r="C127" i="3"/>
  <c r="B127" i="3"/>
  <c r="A127" i="3"/>
  <c r="H126" i="3"/>
  <c r="G126" i="3"/>
  <c r="F126" i="3"/>
  <c r="E126" i="3"/>
  <c r="C126" i="3"/>
  <c r="B126" i="3"/>
  <c r="A126" i="3"/>
  <c r="H125" i="3"/>
  <c r="G125" i="3"/>
  <c r="F125" i="3"/>
  <c r="E125" i="3"/>
  <c r="D125" i="3"/>
  <c r="C125" i="3"/>
  <c r="B125" i="3"/>
  <c r="A125" i="3"/>
  <c r="H124" i="3"/>
  <c r="G124" i="3"/>
  <c r="F124" i="3"/>
  <c r="E124" i="3"/>
  <c r="C124" i="3"/>
  <c r="B124" i="3"/>
  <c r="A124" i="3"/>
  <c r="H123" i="3"/>
  <c r="G123" i="3"/>
  <c r="F123" i="3"/>
  <c r="C123" i="3"/>
  <c r="A123" i="3"/>
  <c r="H122" i="3"/>
  <c r="G122" i="3"/>
  <c r="F122" i="3"/>
  <c r="E122" i="3"/>
  <c r="C122" i="3"/>
  <c r="B122" i="3"/>
  <c r="A122" i="3"/>
  <c r="H121" i="3"/>
  <c r="G121" i="3"/>
  <c r="F121" i="3"/>
  <c r="E121" i="3"/>
  <c r="C121" i="3"/>
  <c r="B121" i="3"/>
  <c r="A121" i="3"/>
  <c r="H120" i="3"/>
  <c r="G120" i="3"/>
  <c r="F120" i="3"/>
  <c r="E120" i="3"/>
  <c r="D120" i="3"/>
  <c r="C120" i="3"/>
  <c r="B120" i="3"/>
  <c r="A120" i="3"/>
  <c r="H119" i="3"/>
  <c r="G119" i="3"/>
  <c r="F119" i="3"/>
  <c r="E119" i="3"/>
  <c r="D119" i="3"/>
  <c r="C119" i="3"/>
  <c r="B119" i="3"/>
  <c r="A119" i="3"/>
  <c r="H118" i="3"/>
  <c r="G118" i="3"/>
  <c r="F118" i="3"/>
  <c r="E118" i="3"/>
  <c r="C118" i="3"/>
  <c r="B118" i="3"/>
  <c r="A118" i="3"/>
  <c r="H117" i="3"/>
  <c r="G117" i="3"/>
  <c r="F117" i="3"/>
  <c r="A117" i="3"/>
  <c r="H116" i="3"/>
  <c r="G116" i="3"/>
  <c r="F116" i="3"/>
  <c r="E116" i="3"/>
  <c r="C116" i="3"/>
  <c r="B116" i="3"/>
  <c r="A116" i="3"/>
  <c r="H115" i="3"/>
  <c r="G115" i="3"/>
  <c r="F115" i="3"/>
  <c r="E115" i="3"/>
  <c r="C115" i="3"/>
  <c r="B115" i="3"/>
  <c r="A115" i="3"/>
  <c r="H114" i="3"/>
  <c r="G114" i="3"/>
  <c r="F114" i="3"/>
  <c r="E114" i="3"/>
  <c r="C114" i="3"/>
  <c r="B114" i="3"/>
  <c r="A114" i="3"/>
  <c r="H113" i="3"/>
  <c r="G113" i="3"/>
  <c r="F113" i="3"/>
  <c r="E113" i="3"/>
  <c r="C113" i="3"/>
  <c r="B113" i="3"/>
  <c r="A113" i="3"/>
  <c r="H112" i="3"/>
  <c r="G112" i="3"/>
  <c r="F112" i="3"/>
  <c r="E112" i="3"/>
  <c r="C112" i="3"/>
  <c r="B112" i="3"/>
  <c r="A112" i="3"/>
  <c r="H111" i="3"/>
  <c r="G111" i="3"/>
  <c r="F111" i="3"/>
  <c r="C111" i="3"/>
  <c r="B111" i="3"/>
  <c r="A111" i="3"/>
  <c r="H110" i="3"/>
  <c r="G110" i="3"/>
  <c r="F110" i="3"/>
  <c r="A110" i="3"/>
  <c r="H109" i="3"/>
  <c r="G109" i="3"/>
  <c r="F109" i="3"/>
  <c r="E109" i="3"/>
  <c r="C109" i="3"/>
  <c r="B109" i="3"/>
  <c r="A109" i="3"/>
  <c r="H108" i="3"/>
  <c r="G108" i="3"/>
  <c r="F108" i="3"/>
  <c r="E108" i="3"/>
  <c r="C108" i="3"/>
  <c r="A108" i="3"/>
  <c r="H107" i="3"/>
  <c r="G107" i="3"/>
  <c r="F107" i="3"/>
  <c r="E107" i="3"/>
  <c r="D107" i="3"/>
  <c r="C107" i="3"/>
  <c r="B107" i="3"/>
  <c r="A107" i="3"/>
  <c r="H106" i="3"/>
  <c r="G106" i="3"/>
  <c r="F106" i="3"/>
  <c r="E106" i="3"/>
  <c r="C106" i="3"/>
  <c r="B106" i="3"/>
  <c r="A106" i="3"/>
  <c r="H105" i="3"/>
  <c r="G105" i="3"/>
  <c r="F105" i="3"/>
  <c r="A105" i="3"/>
  <c r="H104" i="3"/>
  <c r="G104" i="3"/>
  <c r="F104" i="3"/>
  <c r="C104" i="3"/>
  <c r="B104" i="3"/>
  <c r="A104" i="3"/>
  <c r="H103" i="3"/>
  <c r="G103" i="3"/>
  <c r="F103" i="3"/>
  <c r="A103" i="3"/>
  <c r="H102" i="3"/>
  <c r="G102" i="3"/>
  <c r="F102" i="3"/>
  <c r="A102" i="3"/>
  <c r="H101" i="3"/>
  <c r="G101" i="3"/>
  <c r="F101" i="3"/>
  <c r="B101" i="3"/>
  <c r="A101" i="3"/>
  <c r="H100" i="3"/>
  <c r="G100" i="3"/>
  <c r="F100" i="3"/>
  <c r="A100" i="3"/>
  <c r="H99" i="3"/>
  <c r="G99" i="3"/>
  <c r="F99" i="3"/>
  <c r="E99" i="3"/>
  <c r="C99" i="3"/>
  <c r="B99" i="3"/>
  <c r="A99" i="3"/>
  <c r="H98" i="3"/>
  <c r="G98" i="3"/>
  <c r="F98" i="3"/>
  <c r="E98" i="3"/>
  <c r="C98" i="3"/>
  <c r="B98" i="3"/>
  <c r="A98" i="3"/>
  <c r="H97" i="3"/>
  <c r="G97" i="3"/>
  <c r="F97" i="3"/>
  <c r="E97" i="3"/>
  <c r="A97" i="3"/>
  <c r="H96" i="3"/>
  <c r="G96" i="3"/>
  <c r="F96" i="3"/>
  <c r="E96" i="3"/>
  <c r="C96" i="3"/>
  <c r="B96" i="3"/>
  <c r="A96" i="3"/>
  <c r="H95" i="3"/>
  <c r="G95" i="3"/>
  <c r="F95" i="3"/>
  <c r="A95" i="3"/>
  <c r="H94" i="3"/>
  <c r="G94" i="3"/>
  <c r="F94" i="3"/>
  <c r="A94" i="3"/>
  <c r="H93" i="3"/>
  <c r="G93" i="3"/>
  <c r="F93" i="3"/>
  <c r="E93" i="3"/>
  <c r="A93" i="3"/>
  <c r="H92" i="3"/>
  <c r="G92" i="3"/>
  <c r="F92" i="3"/>
  <c r="E92" i="3"/>
  <c r="C92" i="3"/>
  <c r="B92" i="3"/>
  <c r="A92" i="3"/>
  <c r="H91" i="3"/>
  <c r="G91" i="3"/>
  <c r="F91" i="3"/>
  <c r="E91" i="3"/>
  <c r="C91" i="3"/>
  <c r="B91" i="3"/>
  <c r="A91" i="3"/>
  <c r="H90" i="3"/>
  <c r="G90" i="3"/>
  <c r="F90" i="3"/>
  <c r="E90" i="3"/>
  <c r="C90" i="3"/>
  <c r="B90" i="3"/>
  <c r="A90" i="3"/>
  <c r="H89" i="3"/>
  <c r="G89" i="3"/>
  <c r="F89" i="3"/>
  <c r="E89" i="3"/>
  <c r="C89" i="3"/>
  <c r="B89" i="3"/>
  <c r="A89" i="3"/>
  <c r="H88" i="3"/>
  <c r="G88" i="3"/>
  <c r="F88" i="3"/>
  <c r="E88" i="3"/>
  <c r="C88" i="3"/>
  <c r="B88" i="3"/>
  <c r="A88" i="3"/>
  <c r="H87" i="3"/>
  <c r="G87" i="3"/>
  <c r="F87" i="3"/>
  <c r="A87" i="3"/>
  <c r="H86" i="3"/>
  <c r="G86" i="3"/>
  <c r="F86" i="3"/>
  <c r="A86" i="3"/>
  <c r="H85" i="3"/>
  <c r="G85" i="3"/>
  <c r="F85" i="3"/>
  <c r="E85" i="3"/>
  <c r="C85" i="3"/>
  <c r="B85" i="3"/>
  <c r="A85" i="3"/>
  <c r="H84" i="3"/>
  <c r="G84" i="3"/>
  <c r="F84" i="3"/>
  <c r="E84" i="3"/>
  <c r="D84" i="3"/>
  <c r="C84" i="3"/>
  <c r="B84" i="3"/>
  <c r="A84" i="3"/>
  <c r="H83" i="3"/>
  <c r="G83" i="3"/>
  <c r="F83" i="3"/>
  <c r="E83" i="3"/>
  <c r="C83" i="3"/>
  <c r="B83" i="3"/>
  <c r="A83" i="3"/>
  <c r="H82" i="3"/>
  <c r="G82" i="3"/>
  <c r="F82" i="3"/>
  <c r="C82" i="3"/>
  <c r="A82" i="3"/>
  <c r="H81" i="3"/>
  <c r="G81" i="3"/>
  <c r="F81" i="3"/>
  <c r="C81" i="3"/>
  <c r="A81" i="3"/>
  <c r="H80" i="3"/>
  <c r="G80" i="3"/>
  <c r="F80" i="3"/>
  <c r="C80" i="3"/>
  <c r="A80" i="3"/>
  <c r="H79" i="3"/>
  <c r="G79" i="3"/>
  <c r="F79" i="3"/>
  <c r="E79" i="3"/>
  <c r="D79" i="3"/>
  <c r="C79" i="3"/>
  <c r="B79" i="3"/>
  <c r="A79" i="3"/>
  <c r="H78" i="3"/>
  <c r="G78" i="3"/>
  <c r="F78" i="3"/>
  <c r="A78" i="3"/>
  <c r="H77" i="3"/>
  <c r="G77" i="3"/>
  <c r="F77" i="3"/>
  <c r="A77" i="3"/>
  <c r="H76" i="3"/>
  <c r="G76" i="3"/>
  <c r="F76" i="3"/>
  <c r="E76" i="3"/>
  <c r="D76" i="3"/>
  <c r="C76" i="3"/>
  <c r="B76" i="3"/>
  <c r="A76" i="3"/>
  <c r="H75" i="3"/>
  <c r="G75" i="3"/>
  <c r="F75" i="3"/>
  <c r="E75" i="3"/>
  <c r="C75" i="3"/>
  <c r="B75" i="3"/>
  <c r="A75" i="3"/>
  <c r="H74" i="3"/>
  <c r="G74" i="3"/>
  <c r="F74" i="3"/>
  <c r="E74" i="3"/>
  <c r="C74" i="3"/>
  <c r="B74" i="3"/>
  <c r="A74" i="3"/>
  <c r="H73" i="3"/>
  <c r="G73" i="3"/>
  <c r="F73" i="3"/>
  <c r="E73" i="3"/>
  <c r="C73" i="3"/>
  <c r="B73" i="3"/>
  <c r="A73" i="3"/>
  <c r="H72" i="3"/>
  <c r="G72" i="3"/>
  <c r="F72" i="3"/>
  <c r="E72" i="3"/>
  <c r="C72" i="3"/>
  <c r="B72" i="3"/>
  <c r="A72" i="3"/>
  <c r="H71" i="3"/>
  <c r="G71" i="3"/>
  <c r="F71" i="3"/>
  <c r="E71" i="3"/>
  <c r="C71" i="3"/>
  <c r="B71" i="3"/>
  <c r="A71" i="3"/>
  <c r="H70" i="3"/>
  <c r="G70" i="3"/>
  <c r="F70" i="3"/>
  <c r="C70" i="3"/>
  <c r="B70" i="3"/>
  <c r="A70" i="3"/>
  <c r="H69" i="3"/>
  <c r="G69" i="3"/>
  <c r="F69" i="3"/>
  <c r="C69" i="3"/>
  <c r="B69" i="3"/>
  <c r="A69" i="3"/>
  <c r="H68" i="3"/>
  <c r="G68" i="3"/>
  <c r="F68" i="3"/>
  <c r="C68" i="3"/>
  <c r="B68" i="3"/>
  <c r="A68" i="3"/>
  <c r="H67" i="3"/>
  <c r="G67" i="3"/>
  <c r="F67" i="3"/>
  <c r="E67" i="3"/>
  <c r="B67" i="3"/>
  <c r="A67" i="3"/>
  <c r="H66" i="3"/>
  <c r="G66" i="3"/>
  <c r="F66" i="3"/>
  <c r="E66" i="3"/>
  <c r="C66" i="3"/>
  <c r="B66" i="3"/>
  <c r="A66" i="3"/>
  <c r="H65" i="3"/>
  <c r="G65" i="3"/>
  <c r="F65" i="3"/>
  <c r="E65" i="3"/>
  <c r="C65" i="3"/>
  <c r="B65" i="3"/>
  <c r="A65" i="3"/>
  <c r="H64" i="3"/>
  <c r="G64" i="3"/>
  <c r="F64" i="3"/>
  <c r="E64" i="3"/>
  <c r="C64" i="3"/>
  <c r="B64" i="3"/>
  <c r="A64" i="3"/>
  <c r="H63" i="3"/>
  <c r="G63" i="3"/>
  <c r="F63" i="3"/>
  <c r="E63" i="3"/>
  <c r="C63" i="3"/>
  <c r="B63" i="3"/>
  <c r="A63" i="3"/>
  <c r="H62" i="3"/>
  <c r="G62" i="3"/>
  <c r="F62" i="3"/>
  <c r="E62" i="3"/>
  <c r="C62" i="3"/>
  <c r="B62" i="3"/>
  <c r="A62" i="3"/>
  <c r="H61" i="3"/>
  <c r="G61" i="3"/>
  <c r="F61" i="3"/>
  <c r="A61" i="3"/>
  <c r="H60" i="3"/>
  <c r="G60" i="3"/>
  <c r="F60" i="3"/>
  <c r="E60" i="3"/>
  <c r="A60" i="3"/>
  <c r="H59" i="3"/>
  <c r="G59" i="3"/>
  <c r="F59" i="3"/>
  <c r="E59" i="3"/>
  <c r="C59" i="3"/>
  <c r="B59" i="3"/>
  <c r="A59" i="3"/>
  <c r="H58" i="3"/>
  <c r="G58" i="3"/>
  <c r="F58" i="3"/>
  <c r="E58" i="3"/>
  <c r="C58" i="3"/>
  <c r="B58" i="3"/>
  <c r="A58" i="3"/>
  <c r="H57" i="3"/>
  <c r="G57" i="3"/>
  <c r="F57" i="3"/>
  <c r="E57" i="3"/>
  <c r="C57" i="3"/>
  <c r="B57" i="3"/>
  <c r="A57" i="3"/>
  <c r="H56" i="3"/>
  <c r="G56" i="3"/>
  <c r="F56" i="3"/>
  <c r="E56" i="3"/>
  <c r="C56" i="3"/>
  <c r="B56" i="3"/>
  <c r="A56" i="3"/>
  <c r="H55" i="3"/>
  <c r="G55" i="3"/>
  <c r="F55" i="3"/>
  <c r="E55" i="3"/>
  <c r="C55" i="3"/>
  <c r="B55" i="3"/>
  <c r="A55" i="3"/>
  <c r="H54" i="3"/>
  <c r="G54" i="3"/>
  <c r="F54" i="3"/>
  <c r="E54" i="3"/>
  <c r="C54" i="3"/>
  <c r="B54" i="3"/>
  <c r="A54" i="3"/>
  <c r="H53" i="3"/>
  <c r="G53" i="3"/>
  <c r="F53" i="3"/>
  <c r="A53" i="3"/>
  <c r="H52" i="3"/>
  <c r="G52" i="3"/>
  <c r="F52" i="3"/>
  <c r="E52" i="3"/>
  <c r="A52" i="3"/>
  <c r="H51" i="3"/>
  <c r="G51" i="3"/>
  <c r="F51" i="3"/>
  <c r="E51" i="3"/>
  <c r="A51" i="3"/>
  <c r="H50" i="3"/>
  <c r="G50" i="3"/>
  <c r="F50" i="3"/>
  <c r="E50" i="3"/>
  <c r="C50" i="3"/>
  <c r="B50" i="3"/>
  <c r="A50" i="3"/>
  <c r="H49" i="3"/>
  <c r="G49" i="3"/>
  <c r="F49" i="3"/>
  <c r="E49" i="3"/>
  <c r="D49" i="3"/>
  <c r="C49" i="3"/>
  <c r="B49" i="3"/>
  <c r="A49" i="3"/>
  <c r="H48" i="3"/>
  <c r="G48" i="3"/>
  <c r="F48" i="3"/>
  <c r="E48" i="3"/>
  <c r="C48" i="3"/>
  <c r="B48" i="3"/>
  <c r="A48" i="3"/>
  <c r="H47" i="3"/>
  <c r="G47" i="3"/>
  <c r="F47" i="3"/>
  <c r="E47" i="3"/>
  <c r="C47" i="3"/>
  <c r="B47" i="3"/>
  <c r="A47" i="3"/>
  <c r="H46" i="3"/>
  <c r="G46" i="3"/>
  <c r="F46" i="3"/>
  <c r="E46" i="3"/>
  <c r="C46" i="3"/>
  <c r="B46" i="3"/>
  <c r="A46" i="3"/>
  <c r="H45" i="3"/>
  <c r="G45" i="3"/>
  <c r="F45" i="3"/>
  <c r="E45" i="3"/>
  <c r="C45" i="3"/>
  <c r="B45" i="3"/>
  <c r="A45" i="3"/>
  <c r="H44" i="3"/>
  <c r="G44" i="3"/>
  <c r="F44" i="3"/>
  <c r="E44" i="3"/>
  <c r="C44" i="3"/>
  <c r="B44" i="3"/>
  <c r="A44" i="3"/>
  <c r="H43" i="3"/>
  <c r="G43" i="3"/>
  <c r="F43" i="3"/>
  <c r="E43" i="3"/>
  <c r="C43" i="3"/>
  <c r="B43" i="3"/>
  <c r="A43" i="3"/>
  <c r="H42" i="3"/>
  <c r="G42" i="3"/>
  <c r="F42" i="3"/>
  <c r="E42" i="3"/>
  <c r="C42" i="3"/>
  <c r="B42" i="3"/>
  <c r="A42" i="3"/>
  <c r="H41" i="3"/>
  <c r="G41" i="3"/>
  <c r="F41" i="3"/>
  <c r="E41" i="3"/>
  <c r="B41" i="3"/>
  <c r="A41" i="3"/>
  <c r="H40" i="3"/>
  <c r="G40" i="3"/>
  <c r="F40" i="3"/>
  <c r="E40" i="3"/>
  <c r="A40" i="3"/>
  <c r="H39" i="3"/>
  <c r="G39" i="3"/>
  <c r="F39" i="3"/>
  <c r="E39" i="3"/>
  <c r="C39" i="3"/>
  <c r="B39" i="3"/>
  <c r="A39" i="3"/>
  <c r="H38" i="3"/>
  <c r="G38" i="3"/>
  <c r="F38" i="3"/>
  <c r="E38" i="3"/>
  <c r="A38" i="3"/>
  <c r="H37" i="3"/>
  <c r="G37" i="3"/>
  <c r="F37" i="3"/>
  <c r="E37" i="3"/>
  <c r="C37" i="3"/>
  <c r="B37" i="3"/>
  <c r="A37" i="3"/>
  <c r="H36" i="3"/>
  <c r="G36" i="3"/>
  <c r="F36" i="3"/>
  <c r="A36" i="3"/>
  <c r="H35" i="3"/>
  <c r="G35" i="3"/>
  <c r="F35" i="3"/>
  <c r="E35" i="3"/>
  <c r="C35" i="3"/>
  <c r="B35" i="3"/>
  <c r="A35" i="3"/>
  <c r="H34" i="3"/>
  <c r="G34" i="3"/>
  <c r="F34" i="3"/>
  <c r="E34" i="3"/>
  <c r="C34" i="3"/>
  <c r="B34" i="3"/>
  <c r="A34" i="3"/>
  <c r="H33" i="3"/>
  <c r="G33" i="3"/>
  <c r="F33" i="3"/>
  <c r="E33" i="3"/>
  <c r="C33" i="3"/>
  <c r="B33" i="3"/>
  <c r="A33" i="3"/>
  <c r="H32" i="3"/>
  <c r="G32" i="3"/>
  <c r="F32" i="3"/>
  <c r="E32" i="3"/>
  <c r="C32" i="3"/>
  <c r="B32" i="3"/>
  <c r="A32" i="3"/>
  <c r="H31" i="3"/>
  <c r="G31" i="3"/>
  <c r="F31" i="3"/>
  <c r="E31" i="3"/>
  <c r="C31" i="3"/>
  <c r="B31" i="3"/>
  <c r="A31" i="3"/>
  <c r="H30" i="3"/>
  <c r="G30" i="3"/>
  <c r="F30" i="3"/>
  <c r="C30" i="3"/>
  <c r="B30" i="3"/>
  <c r="A30" i="3"/>
  <c r="H29" i="3"/>
  <c r="G29" i="3"/>
  <c r="F29" i="3"/>
  <c r="E29" i="3"/>
  <c r="D29" i="3"/>
  <c r="C29" i="3"/>
  <c r="B29" i="3"/>
  <c r="A29" i="3"/>
  <c r="H28" i="3"/>
  <c r="G28" i="3"/>
  <c r="F28" i="3"/>
  <c r="E28" i="3"/>
  <c r="D28" i="3"/>
  <c r="C28" i="3"/>
  <c r="B28" i="3"/>
  <c r="A28" i="3"/>
  <c r="H27" i="3"/>
  <c r="G27" i="3"/>
  <c r="F27" i="3"/>
  <c r="B27" i="3"/>
  <c r="A27" i="3"/>
  <c r="H26" i="3"/>
  <c r="G26" i="3"/>
  <c r="F26" i="3"/>
  <c r="B26" i="3"/>
  <c r="A26" i="3"/>
  <c r="H25" i="3"/>
  <c r="G25" i="3"/>
  <c r="F25" i="3"/>
  <c r="B25" i="3"/>
  <c r="A25" i="3"/>
  <c r="H24" i="3"/>
  <c r="G24" i="3"/>
  <c r="F24" i="3"/>
  <c r="E24" i="3"/>
  <c r="D24" i="3"/>
  <c r="C24" i="3"/>
  <c r="B24" i="3"/>
  <c r="A24" i="3"/>
  <c r="H23" i="3"/>
  <c r="G23" i="3"/>
  <c r="F23" i="3"/>
  <c r="E23" i="3"/>
  <c r="C23" i="3"/>
  <c r="B23" i="3"/>
  <c r="A23" i="3"/>
  <c r="H22" i="3"/>
  <c r="G22" i="3"/>
  <c r="F22" i="3"/>
  <c r="E22" i="3"/>
  <c r="C22" i="3"/>
  <c r="B22" i="3"/>
  <c r="A22" i="3"/>
  <c r="H21" i="3"/>
  <c r="G21" i="3"/>
  <c r="F21" i="3"/>
  <c r="C21" i="3"/>
  <c r="B21" i="3"/>
  <c r="A21" i="3"/>
  <c r="H20" i="3"/>
  <c r="G20" i="3"/>
  <c r="F20" i="3"/>
  <c r="E20" i="3"/>
  <c r="C20" i="3"/>
  <c r="B20" i="3"/>
  <c r="A20" i="3"/>
  <c r="H19" i="3"/>
  <c r="G19" i="3"/>
  <c r="F19" i="3"/>
  <c r="A19" i="3"/>
  <c r="H18" i="3"/>
  <c r="G18" i="3"/>
  <c r="F18" i="3"/>
  <c r="A18" i="3"/>
  <c r="H17" i="3"/>
  <c r="G17" i="3"/>
  <c r="F17" i="3"/>
  <c r="A17" i="3"/>
  <c r="H16" i="3"/>
  <c r="G16" i="3"/>
  <c r="F16" i="3"/>
  <c r="E16" i="3"/>
  <c r="C16" i="3"/>
  <c r="B16" i="3"/>
  <c r="A16" i="3"/>
  <c r="H15" i="3"/>
  <c r="G15" i="3"/>
  <c r="F15" i="3"/>
  <c r="E15" i="3"/>
  <c r="C15" i="3"/>
  <c r="B15" i="3"/>
  <c r="A15" i="3"/>
  <c r="H14" i="3"/>
  <c r="G14" i="3"/>
  <c r="F14" i="3"/>
  <c r="E14" i="3"/>
  <c r="A14" i="3"/>
  <c r="H13" i="3"/>
  <c r="G13" i="3"/>
  <c r="F13" i="3"/>
  <c r="A13" i="3"/>
  <c r="H12" i="3"/>
  <c r="G12" i="3"/>
  <c r="F12" i="3"/>
  <c r="E12" i="3"/>
  <c r="C12" i="3"/>
  <c r="B12" i="3"/>
  <c r="A12" i="3"/>
  <c r="H11" i="3"/>
  <c r="G11" i="3"/>
  <c r="F11" i="3"/>
  <c r="E11" i="3"/>
  <c r="C11" i="3"/>
  <c r="B11" i="3"/>
  <c r="A11" i="3"/>
  <c r="H10" i="3"/>
  <c r="G10" i="3"/>
  <c r="F10" i="3"/>
  <c r="C10" i="3"/>
  <c r="A10" i="3"/>
  <c r="H9" i="3"/>
  <c r="G9" i="3"/>
  <c r="F9" i="3"/>
  <c r="C9" i="3"/>
  <c r="A9" i="3"/>
  <c r="H8" i="3"/>
  <c r="G8" i="3"/>
  <c r="F8" i="3"/>
  <c r="D8" i="3"/>
  <c r="C8" i="3"/>
  <c r="B8" i="3"/>
  <c r="A8" i="3"/>
  <c r="H7" i="3"/>
  <c r="G7" i="3"/>
  <c r="F7" i="3"/>
  <c r="E7" i="3"/>
  <c r="C7" i="3"/>
  <c r="B7" i="3"/>
  <c r="A7" i="3"/>
  <c r="H6" i="3"/>
  <c r="G6" i="3"/>
  <c r="F6" i="3"/>
  <c r="A6" i="3"/>
  <c r="H5" i="3"/>
  <c r="G5" i="3"/>
  <c r="F5" i="3"/>
  <c r="E5" i="3"/>
  <c r="C5" i="3"/>
  <c r="B5" i="3"/>
  <c r="A5" i="3"/>
  <c r="H4" i="3"/>
  <c r="G4" i="3"/>
  <c r="F4" i="3"/>
  <c r="A4" i="3"/>
  <c r="H3" i="3"/>
  <c r="G3" i="3"/>
  <c r="F3" i="3"/>
  <c r="E3" i="3"/>
  <c r="C3" i="3"/>
  <c r="B3" i="3"/>
  <c r="A3" i="3"/>
  <c r="H2" i="3"/>
  <c r="G2" i="3"/>
  <c r="F2" i="3"/>
  <c r="A2" i="3"/>
  <c r="H1" i="3"/>
  <c r="G1" i="3"/>
  <c r="F1" i="3"/>
  <c r="E1" i="3"/>
  <c r="D1" i="3"/>
  <c r="C1" i="3"/>
  <c r="B1" i="3"/>
  <c r="A1" i="3"/>
  <c r="AH1355" i="2"/>
  <c r="AG1355" i="2"/>
  <c r="AE1355" i="2"/>
  <c r="AD1355" i="2"/>
  <c r="AC1355" i="2"/>
  <c r="AB1355" i="2"/>
  <c r="AA1355" i="2"/>
  <c r="X1355" i="2"/>
  <c r="W1355" i="2"/>
  <c r="V1355" i="2"/>
  <c r="U1355" i="2"/>
  <c r="T1355" i="2"/>
  <c r="S1355" i="2"/>
  <c r="R1355" i="2"/>
  <c r="Q1355" i="2"/>
  <c r="P1355" i="2"/>
  <c r="O1355" i="2"/>
  <c r="N1355" i="2"/>
  <c r="M1355" i="2"/>
  <c r="L1355" i="2"/>
  <c r="K1355" i="2"/>
  <c r="J1355" i="2"/>
  <c r="I1355" i="2"/>
  <c r="H1355" i="2"/>
  <c r="G1355" i="2"/>
  <c r="F1355" i="2"/>
  <c r="E1355" i="2"/>
  <c r="D1355" i="2"/>
  <c r="C1355" i="2"/>
  <c r="B1355" i="2"/>
  <c r="AH1354" i="2"/>
  <c r="AG1354" i="2"/>
  <c r="AF1354" i="2"/>
  <c r="AE1354" i="2"/>
  <c r="AD1354" i="2"/>
  <c r="AC1354" i="2"/>
  <c r="AB1354" i="2"/>
  <c r="AA1354" i="2"/>
  <c r="Y1354" i="2"/>
  <c r="X1354" i="2"/>
  <c r="W1354" i="2"/>
  <c r="V1354" i="2"/>
  <c r="U1354" i="2"/>
  <c r="T1354" i="2"/>
  <c r="R1354" i="2"/>
  <c r="Q1354" i="2"/>
  <c r="P1354" i="2"/>
  <c r="O1354" i="2"/>
  <c r="M1354" i="2"/>
  <c r="L1354" i="2"/>
  <c r="K1354" i="2"/>
  <c r="J1354" i="2"/>
  <c r="I1354" i="2"/>
  <c r="H1354" i="2"/>
  <c r="G1354" i="2"/>
  <c r="F1354" i="2"/>
  <c r="E1354" i="2"/>
  <c r="D1354" i="2"/>
  <c r="C1354" i="2"/>
  <c r="B1354" i="2"/>
  <c r="A1354" i="2"/>
  <c r="AH1353" i="2"/>
  <c r="AG1353" i="2"/>
  <c r="AF1353" i="2"/>
  <c r="AE1353" i="2"/>
  <c r="AC1353" i="2"/>
  <c r="AB1353" i="2"/>
  <c r="AA1353" i="2"/>
  <c r="Y1353" i="2"/>
  <c r="X1353" i="2"/>
  <c r="W1353" i="2"/>
  <c r="V1353" i="2"/>
  <c r="U1353" i="2"/>
  <c r="T1353" i="2"/>
  <c r="S1353" i="2"/>
  <c r="R1353" i="2"/>
  <c r="Q1353" i="2"/>
  <c r="P1353" i="2"/>
  <c r="O1353" i="2"/>
  <c r="N1353" i="2"/>
  <c r="M1353" i="2"/>
  <c r="L1353" i="2"/>
  <c r="K1353" i="2"/>
  <c r="J1353" i="2"/>
  <c r="I1353" i="2"/>
  <c r="H1353" i="2"/>
  <c r="G1353" i="2"/>
  <c r="F1353" i="2"/>
  <c r="E1353" i="2"/>
  <c r="D1353" i="2"/>
  <c r="C1353" i="2"/>
  <c r="B1353" i="2"/>
  <c r="A1353" i="2"/>
  <c r="AH1352" i="2"/>
  <c r="AG1352" i="2"/>
  <c r="AF1352" i="2"/>
  <c r="AE1352" i="2"/>
  <c r="AD1352" i="2"/>
  <c r="AC1352" i="2"/>
  <c r="AB1352" i="2"/>
  <c r="AA1352" i="2"/>
  <c r="Y1352" i="2"/>
  <c r="X1352" i="2"/>
  <c r="W1352" i="2"/>
  <c r="V1352" i="2"/>
  <c r="U1352" i="2"/>
  <c r="T1352" i="2"/>
  <c r="S1352" i="2"/>
  <c r="R1352" i="2"/>
  <c r="Q1352" i="2"/>
  <c r="P1352" i="2"/>
  <c r="O1352" i="2"/>
  <c r="N1352" i="2"/>
  <c r="M1352" i="2"/>
  <c r="L1352" i="2"/>
  <c r="K1352" i="2"/>
  <c r="J1352" i="2"/>
  <c r="I1352" i="2"/>
  <c r="H1352" i="2"/>
  <c r="G1352" i="2"/>
  <c r="F1352" i="2"/>
  <c r="E1352" i="2"/>
  <c r="D1352" i="2"/>
  <c r="C1352" i="2"/>
  <c r="B1352" i="2"/>
  <c r="A1352" i="2"/>
  <c r="AG1351" i="2"/>
  <c r="AF1351" i="2"/>
  <c r="AE1351" i="2"/>
  <c r="AD1351" i="2"/>
  <c r="AC1351" i="2"/>
  <c r="AB1351" i="2"/>
  <c r="AA1351" i="2"/>
  <c r="X1351" i="2"/>
  <c r="W1351" i="2"/>
  <c r="V1351" i="2"/>
  <c r="U1351" i="2"/>
  <c r="T1351" i="2"/>
  <c r="S1351" i="2"/>
  <c r="R1351" i="2"/>
  <c r="Q1351" i="2"/>
  <c r="P1351" i="2"/>
  <c r="O1351" i="2"/>
  <c r="N1351" i="2"/>
  <c r="M1351" i="2"/>
  <c r="L1351" i="2"/>
  <c r="K1351" i="2"/>
  <c r="J1351" i="2"/>
  <c r="I1351" i="2"/>
  <c r="H1351" i="2"/>
  <c r="G1351" i="2"/>
  <c r="F1351" i="2"/>
  <c r="E1351" i="2"/>
  <c r="D1351" i="2"/>
  <c r="C1351" i="2"/>
  <c r="B1351" i="2"/>
  <c r="A1351" i="2"/>
  <c r="AG1350" i="2"/>
  <c r="AF1350" i="2"/>
  <c r="AE1350" i="2"/>
  <c r="AD1350" i="2"/>
  <c r="AC1350" i="2"/>
  <c r="AB1350" i="2"/>
  <c r="AA1350" i="2"/>
  <c r="Y1350" i="2"/>
  <c r="X1350" i="2"/>
  <c r="W1350" i="2"/>
  <c r="V1350" i="2"/>
  <c r="U1350" i="2"/>
  <c r="T1350" i="2"/>
  <c r="S1350" i="2"/>
  <c r="R1350" i="2"/>
  <c r="Q1350" i="2"/>
  <c r="P1350" i="2"/>
  <c r="O1350" i="2"/>
  <c r="N1350" i="2"/>
  <c r="M1350" i="2"/>
  <c r="L1350" i="2"/>
  <c r="K1350" i="2"/>
  <c r="J1350" i="2"/>
  <c r="I1350" i="2"/>
  <c r="H1350" i="2"/>
  <c r="G1350" i="2"/>
  <c r="F1350" i="2"/>
  <c r="E1350" i="2"/>
  <c r="D1350" i="2"/>
  <c r="C1350" i="2"/>
  <c r="B1350" i="2"/>
  <c r="A1350" i="2"/>
  <c r="AG1349" i="2"/>
  <c r="AF1349" i="2"/>
  <c r="AE1349" i="2"/>
  <c r="AC1349" i="2"/>
  <c r="AB1349" i="2"/>
  <c r="AA1349" i="2"/>
  <c r="Y1349" i="2"/>
  <c r="X1349" i="2"/>
  <c r="W1349" i="2"/>
  <c r="V1349" i="2"/>
  <c r="U1349" i="2"/>
  <c r="T1349" i="2"/>
  <c r="S1349" i="2"/>
  <c r="R1349" i="2"/>
  <c r="Q1349" i="2"/>
  <c r="P1349" i="2"/>
  <c r="O1349" i="2"/>
  <c r="N1349" i="2"/>
  <c r="M1349" i="2"/>
  <c r="L1349" i="2"/>
  <c r="K1349" i="2"/>
  <c r="J1349" i="2"/>
  <c r="I1349" i="2"/>
  <c r="H1349" i="2"/>
  <c r="G1349" i="2"/>
  <c r="F1349" i="2"/>
  <c r="E1349" i="2"/>
  <c r="D1349" i="2"/>
  <c r="C1349" i="2"/>
  <c r="B1349" i="2"/>
  <c r="A1349" i="2"/>
  <c r="AG1348" i="2"/>
  <c r="AF1348" i="2"/>
  <c r="AE1348" i="2"/>
  <c r="AC1348" i="2"/>
  <c r="AB1348" i="2"/>
  <c r="AA1348" i="2"/>
  <c r="Y1348" i="2"/>
  <c r="X1348" i="2"/>
  <c r="W1348" i="2"/>
  <c r="V1348" i="2"/>
  <c r="U1348" i="2"/>
  <c r="T1348" i="2"/>
  <c r="S1348" i="2"/>
  <c r="R1348" i="2"/>
  <c r="Q1348" i="2"/>
  <c r="P1348" i="2"/>
  <c r="O1348" i="2"/>
  <c r="N1348" i="2"/>
  <c r="M1348" i="2"/>
  <c r="L1348" i="2"/>
  <c r="K1348" i="2"/>
  <c r="J1348" i="2"/>
  <c r="I1348" i="2"/>
  <c r="H1348" i="2"/>
  <c r="G1348" i="2"/>
  <c r="F1348" i="2"/>
  <c r="E1348" i="2"/>
  <c r="D1348" i="2"/>
  <c r="C1348" i="2"/>
  <c r="B1348" i="2"/>
  <c r="A1348" i="2"/>
  <c r="AG1347" i="2"/>
  <c r="AF1347" i="2"/>
  <c r="AE1347" i="2"/>
  <c r="AD1347" i="2"/>
  <c r="AC1347" i="2"/>
  <c r="AB1347" i="2"/>
  <c r="AA1347" i="2"/>
  <c r="Z1347" i="2"/>
  <c r="Y1347" i="2"/>
  <c r="W1347" i="2"/>
  <c r="V1347" i="2"/>
  <c r="U1347" i="2"/>
  <c r="T1347" i="2"/>
  <c r="S1347" i="2"/>
  <c r="R1347" i="2"/>
  <c r="Q1347" i="2"/>
  <c r="P1347" i="2"/>
  <c r="O1347" i="2"/>
  <c r="N1347" i="2"/>
  <c r="M1347" i="2"/>
  <c r="L1347" i="2"/>
  <c r="K1347" i="2"/>
  <c r="J1347" i="2"/>
  <c r="I1347" i="2"/>
  <c r="H1347" i="2"/>
  <c r="G1347" i="2"/>
  <c r="F1347" i="2"/>
  <c r="E1347" i="2"/>
  <c r="D1347" i="2"/>
  <c r="C1347" i="2"/>
  <c r="B1347" i="2"/>
  <c r="A1347" i="2"/>
  <c r="AG1346" i="2"/>
  <c r="AF1346" i="2"/>
  <c r="AE1346" i="2"/>
  <c r="AC1346" i="2"/>
  <c r="AB1346" i="2"/>
  <c r="AA1346" i="2"/>
  <c r="X1346" i="2"/>
  <c r="W1346" i="2"/>
  <c r="V1346" i="2"/>
  <c r="U1346" i="2"/>
  <c r="T1346" i="2"/>
  <c r="S1346" i="2"/>
  <c r="R1346" i="2"/>
  <c r="Q1346" i="2"/>
  <c r="P1346" i="2"/>
  <c r="O1346" i="2"/>
  <c r="N1346" i="2"/>
  <c r="M1346" i="2"/>
  <c r="L1346" i="2"/>
  <c r="K1346" i="2"/>
  <c r="J1346" i="2"/>
  <c r="I1346" i="2"/>
  <c r="H1346" i="2"/>
  <c r="G1346" i="2"/>
  <c r="F1346" i="2"/>
  <c r="E1346" i="2"/>
  <c r="D1346" i="2"/>
  <c r="C1346" i="2"/>
  <c r="B1346" i="2"/>
  <c r="A1346" i="2"/>
  <c r="AH1345" i="2"/>
  <c r="AG1345" i="2"/>
  <c r="AF1345" i="2"/>
  <c r="AE1345" i="2"/>
  <c r="AD1345" i="2"/>
  <c r="AC1345" i="2"/>
  <c r="AB1345" i="2"/>
  <c r="AA1345" i="2"/>
  <c r="Y1345" i="2"/>
  <c r="X1345" i="2"/>
  <c r="W1345" i="2"/>
  <c r="V1345" i="2"/>
  <c r="U1345" i="2"/>
  <c r="T1345" i="2"/>
  <c r="S1345" i="2"/>
  <c r="R1345" i="2"/>
  <c r="Q1345" i="2"/>
  <c r="P1345" i="2"/>
  <c r="O1345" i="2"/>
  <c r="N1345" i="2"/>
  <c r="M1345" i="2"/>
  <c r="L1345" i="2"/>
  <c r="K1345" i="2"/>
  <c r="J1345" i="2"/>
  <c r="I1345" i="2"/>
  <c r="H1345" i="2"/>
  <c r="G1345" i="2"/>
  <c r="F1345" i="2"/>
  <c r="E1345" i="2"/>
  <c r="D1345" i="2"/>
  <c r="C1345" i="2"/>
  <c r="B1345" i="2"/>
  <c r="A1345" i="2"/>
  <c r="AH1344" i="2"/>
  <c r="AG1344" i="2"/>
  <c r="AF1344" i="2"/>
  <c r="AE1344" i="2"/>
  <c r="AC1344" i="2"/>
  <c r="AB1344" i="2"/>
  <c r="AA1344" i="2"/>
  <c r="X1344" i="2"/>
  <c r="W1344" i="2"/>
  <c r="V1344" i="2"/>
  <c r="U1344" i="2"/>
  <c r="T1344" i="2"/>
  <c r="R1344" i="2"/>
  <c r="Q1344" i="2"/>
  <c r="P1344" i="2"/>
  <c r="O1344" i="2"/>
  <c r="N1344" i="2"/>
  <c r="M1344" i="2"/>
  <c r="L1344" i="2"/>
  <c r="K1344" i="2"/>
  <c r="J1344" i="2"/>
  <c r="I1344" i="2"/>
  <c r="H1344" i="2"/>
  <c r="G1344" i="2"/>
  <c r="F1344" i="2"/>
  <c r="E1344" i="2"/>
  <c r="D1344" i="2"/>
  <c r="C1344" i="2"/>
  <c r="B1344" i="2"/>
  <c r="A1344" i="2"/>
  <c r="AH1343" i="2"/>
  <c r="AG1343" i="2"/>
  <c r="AF1343" i="2"/>
  <c r="AE1343" i="2"/>
  <c r="AD1343" i="2"/>
  <c r="AC1343" i="2"/>
  <c r="AB1343" i="2"/>
  <c r="AA1343" i="2"/>
  <c r="Y1343" i="2"/>
  <c r="X1343" i="2"/>
  <c r="W1343" i="2"/>
  <c r="V1343" i="2"/>
  <c r="U1343" i="2"/>
  <c r="T1343" i="2"/>
  <c r="S1343" i="2"/>
  <c r="R1343" i="2"/>
  <c r="Q1343" i="2"/>
  <c r="P1343" i="2"/>
  <c r="O1343" i="2"/>
  <c r="N1343" i="2"/>
  <c r="M1343" i="2"/>
  <c r="L1343" i="2"/>
  <c r="K1343" i="2"/>
  <c r="J1343" i="2"/>
  <c r="I1343" i="2"/>
  <c r="H1343" i="2"/>
  <c r="G1343" i="2"/>
  <c r="F1343" i="2"/>
  <c r="E1343" i="2"/>
  <c r="D1343" i="2"/>
  <c r="C1343" i="2"/>
  <c r="B1343" i="2"/>
  <c r="A1343" i="2"/>
  <c r="AH1342" i="2"/>
  <c r="AG1342" i="2"/>
  <c r="AC1342" i="2"/>
  <c r="AB1342" i="2"/>
  <c r="AA1342" i="2"/>
  <c r="Y1342" i="2"/>
  <c r="W1342" i="2"/>
  <c r="V1342" i="2"/>
  <c r="U1342" i="2"/>
  <c r="T1342" i="2"/>
  <c r="S1342" i="2"/>
  <c r="R1342" i="2"/>
  <c r="Q1342" i="2"/>
  <c r="P1342" i="2"/>
  <c r="O1342" i="2"/>
  <c r="N1342" i="2"/>
  <c r="M1342" i="2"/>
  <c r="L1342" i="2"/>
  <c r="K1342" i="2"/>
  <c r="J1342" i="2"/>
  <c r="I1342" i="2"/>
  <c r="H1342" i="2"/>
  <c r="G1342" i="2"/>
  <c r="F1342" i="2"/>
  <c r="E1342" i="2"/>
  <c r="D1342" i="2"/>
  <c r="C1342" i="2"/>
  <c r="B1342" i="2"/>
  <c r="A1342" i="2"/>
  <c r="AH1341" i="2"/>
  <c r="AG1341" i="2"/>
  <c r="AF1341" i="2"/>
  <c r="AE1341" i="2"/>
  <c r="AC1341" i="2"/>
  <c r="AB1341" i="2"/>
  <c r="AA1341" i="2"/>
  <c r="X1341" i="2"/>
  <c r="W1341" i="2"/>
  <c r="V1341" i="2"/>
  <c r="U1341" i="2"/>
  <c r="T1341" i="2"/>
  <c r="R1341" i="2"/>
  <c r="Q1341" i="2"/>
  <c r="P1341" i="2"/>
  <c r="O1341" i="2"/>
  <c r="N1341" i="2"/>
  <c r="M1341" i="2"/>
  <c r="L1341" i="2"/>
  <c r="K1341" i="2"/>
  <c r="J1341" i="2"/>
  <c r="I1341" i="2"/>
  <c r="H1341" i="2"/>
  <c r="G1341" i="2"/>
  <c r="F1341" i="2"/>
  <c r="E1341" i="2"/>
  <c r="D1341" i="2"/>
  <c r="C1341" i="2"/>
  <c r="B1341" i="2"/>
  <c r="A1341" i="2"/>
  <c r="AH1340" i="2"/>
  <c r="AG1340" i="2"/>
  <c r="AF1340" i="2"/>
  <c r="AE1340" i="2"/>
  <c r="AD1340" i="2"/>
  <c r="AC1340" i="2"/>
  <c r="AB1340" i="2"/>
  <c r="AA1340" i="2"/>
  <c r="Y1340" i="2"/>
  <c r="X1340" i="2"/>
  <c r="W1340" i="2"/>
  <c r="V1340" i="2"/>
  <c r="U1340" i="2"/>
  <c r="T1340" i="2"/>
  <c r="S1340" i="2"/>
  <c r="R1340" i="2"/>
  <c r="Q1340" i="2"/>
  <c r="P1340" i="2"/>
  <c r="O1340" i="2"/>
  <c r="N1340" i="2"/>
  <c r="M1340" i="2"/>
  <c r="L1340" i="2"/>
  <c r="K1340" i="2"/>
  <c r="J1340" i="2"/>
  <c r="I1340" i="2"/>
  <c r="H1340" i="2"/>
  <c r="G1340" i="2"/>
  <c r="F1340" i="2"/>
  <c r="E1340" i="2"/>
  <c r="D1340" i="2"/>
  <c r="C1340" i="2"/>
  <c r="B1340" i="2"/>
  <c r="A1340" i="2"/>
  <c r="AH1339" i="2"/>
  <c r="AG1339" i="2"/>
  <c r="AF1339" i="2"/>
  <c r="AE1339" i="2"/>
  <c r="AD1339" i="2"/>
  <c r="AC1339" i="2"/>
  <c r="AB1339" i="2"/>
  <c r="AA1339" i="2"/>
  <c r="Y1339" i="2"/>
  <c r="X1339" i="2"/>
  <c r="W1339" i="2"/>
  <c r="V1339" i="2"/>
  <c r="U1339" i="2"/>
  <c r="T1339" i="2"/>
  <c r="S1339" i="2"/>
  <c r="R1339" i="2"/>
  <c r="Q1339" i="2"/>
  <c r="P1339" i="2"/>
  <c r="O1339" i="2"/>
  <c r="N1339" i="2"/>
  <c r="M1339" i="2"/>
  <c r="L1339" i="2"/>
  <c r="K1339" i="2"/>
  <c r="J1339" i="2"/>
  <c r="I1339" i="2"/>
  <c r="H1339" i="2"/>
  <c r="G1339" i="2"/>
  <c r="F1339" i="2"/>
  <c r="E1339" i="2"/>
  <c r="D1339" i="2"/>
  <c r="C1339" i="2"/>
  <c r="B1339" i="2"/>
  <c r="A1339" i="2"/>
  <c r="AH1338" i="2"/>
  <c r="AG1338" i="2"/>
  <c r="AF1338" i="2"/>
  <c r="AE1338" i="2"/>
  <c r="AC1338" i="2"/>
  <c r="AB1338" i="2"/>
  <c r="AA1338" i="2"/>
  <c r="Y1338" i="2"/>
  <c r="X1338" i="2"/>
  <c r="W1338" i="2"/>
  <c r="V1338" i="2"/>
  <c r="U1338" i="2"/>
  <c r="T1338" i="2"/>
  <c r="R1338" i="2"/>
  <c r="Q1338" i="2"/>
  <c r="P1338" i="2"/>
  <c r="O1338" i="2"/>
  <c r="N1338" i="2"/>
  <c r="M1338" i="2"/>
  <c r="L1338" i="2"/>
  <c r="K1338" i="2"/>
  <c r="J1338" i="2"/>
  <c r="I1338" i="2"/>
  <c r="H1338" i="2"/>
  <c r="G1338" i="2"/>
  <c r="F1338" i="2"/>
  <c r="E1338" i="2"/>
  <c r="D1338" i="2"/>
  <c r="C1338" i="2"/>
  <c r="B1338" i="2"/>
  <c r="A1338" i="2"/>
  <c r="AH1337" i="2"/>
  <c r="AG1337" i="2"/>
  <c r="AF1337" i="2"/>
  <c r="AE1337" i="2"/>
  <c r="AD1337" i="2"/>
  <c r="AC1337" i="2"/>
  <c r="AB1337" i="2"/>
  <c r="AA1337" i="2"/>
  <c r="Z1337" i="2"/>
  <c r="Y1337" i="2"/>
  <c r="X1337" i="2"/>
  <c r="W1337" i="2"/>
  <c r="V1337" i="2"/>
  <c r="U1337" i="2"/>
  <c r="T1337" i="2"/>
  <c r="R1337" i="2"/>
  <c r="Q1337" i="2"/>
  <c r="P1337" i="2"/>
  <c r="O1337" i="2"/>
  <c r="N1337" i="2"/>
  <c r="M1337" i="2"/>
  <c r="L1337" i="2"/>
  <c r="K1337" i="2"/>
  <c r="J1337" i="2"/>
  <c r="I1337" i="2"/>
  <c r="H1337" i="2"/>
  <c r="G1337" i="2"/>
  <c r="F1337" i="2"/>
  <c r="E1337" i="2"/>
  <c r="D1337" i="2"/>
  <c r="C1337" i="2"/>
  <c r="B1337" i="2"/>
  <c r="A1337" i="2"/>
  <c r="AH1336" i="2"/>
  <c r="AG1336" i="2"/>
  <c r="AF1336" i="2"/>
  <c r="AE1336" i="2"/>
  <c r="AD1336" i="2"/>
  <c r="AC1336" i="2"/>
  <c r="AB1336" i="2"/>
  <c r="AA1336" i="2"/>
  <c r="Y1336" i="2"/>
  <c r="X1336" i="2"/>
  <c r="W1336" i="2"/>
  <c r="V1336" i="2"/>
  <c r="U1336" i="2"/>
  <c r="S1336" i="2"/>
  <c r="R1336" i="2"/>
  <c r="Q1336" i="2"/>
  <c r="P1336" i="2"/>
  <c r="O1336" i="2"/>
  <c r="N1336" i="2"/>
  <c r="M1336" i="2"/>
  <c r="L1336" i="2"/>
  <c r="K1336" i="2"/>
  <c r="J1336" i="2"/>
  <c r="I1336" i="2"/>
  <c r="H1336" i="2"/>
  <c r="G1336" i="2"/>
  <c r="F1336" i="2"/>
  <c r="E1336" i="2"/>
  <c r="D1336" i="2"/>
  <c r="C1336" i="2"/>
  <c r="B1336" i="2"/>
  <c r="A1336" i="2"/>
  <c r="AH1335" i="2"/>
  <c r="AG1335" i="2"/>
  <c r="AF1335" i="2"/>
  <c r="AE1335" i="2"/>
  <c r="AD1335" i="2"/>
  <c r="AC1335" i="2"/>
  <c r="AB1335" i="2"/>
  <c r="AA1335" i="2"/>
  <c r="Y1335" i="2"/>
  <c r="X1335" i="2"/>
  <c r="W1335" i="2"/>
  <c r="V1335" i="2"/>
  <c r="U1335" i="2"/>
  <c r="T1335" i="2"/>
  <c r="S1335" i="2"/>
  <c r="R1335" i="2"/>
  <c r="Q1335" i="2"/>
  <c r="P1335" i="2"/>
  <c r="O1335" i="2"/>
  <c r="N1335" i="2"/>
  <c r="M1335" i="2"/>
  <c r="L1335" i="2"/>
  <c r="K1335" i="2"/>
  <c r="J1335" i="2"/>
  <c r="I1335" i="2"/>
  <c r="H1335" i="2"/>
  <c r="G1335" i="2"/>
  <c r="F1335" i="2"/>
  <c r="E1335" i="2"/>
  <c r="D1335" i="2"/>
  <c r="C1335" i="2"/>
  <c r="B1335" i="2"/>
  <c r="A1335" i="2"/>
  <c r="AG1334" i="2"/>
  <c r="AF1334" i="2"/>
  <c r="AE1334" i="2"/>
  <c r="AD1334" i="2"/>
  <c r="AC1334" i="2"/>
  <c r="AB1334" i="2"/>
  <c r="AA1334" i="2"/>
  <c r="X1334" i="2"/>
  <c r="W1334" i="2"/>
  <c r="V1334" i="2"/>
  <c r="U1334" i="2"/>
  <c r="T1334" i="2"/>
  <c r="S1334" i="2"/>
  <c r="R1334" i="2"/>
  <c r="Q1334" i="2"/>
  <c r="P1334" i="2"/>
  <c r="O1334" i="2"/>
  <c r="N1334" i="2"/>
  <c r="M1334" i="2"/>
  <c r="L1334" i="2"/>
  <c r="K1334" i="2"/>
  <c r="J1334" i="2"/>
  <c r="I1334" i="2"/>
  <c r="H1334" i="2"/>
  <c r="G1334" i="2"/>
  <c r="F1334" i="2"/>
  <c r="E1334" i="2"/>
  <c r="D1334" i="2"/>
  <c r="C1334" i="2"/>
  <c r="B1334" i="2"/>
  <c r="A1334" i="2"/>
  <c r="AH1333" i="2"/>
  <c r="AG1333" i="2"/>
  <c r="AF1333" i="2"/>
  <c r="AE1333" i="2"/>
  <c r="AD1333" i="2"/>
  <c r="AC1333" i="2"/>
  <c r="AB1333" i="2"/>
  <c r="AA1333" i="2"/>
  <c r="Y1333" i="2"/>
  <c r="X1333" i="2"/>
  <c r="W1333" i="2"/>
  <c r="V1333" i="2"/>
  <c r="U1333" i="2"/>
  <c r="T1333" i="2"/>
  <c r="R1333" i="2"/>
  <c r="Q1333" i="2"/>
  <c r="P1333" i="2"/>
  <c r="O1333" i="2"/>
  <c r="N1333" i="2"/>
  <c r="M1333" i="2"/>
  <c r="L1333" i="2"/>
  <c r="K1333" i="2"/>
  <c r="J1333" i="2"/>
  <c r="I1333" i="2"/>
  <c r="H1333" i="2"/>
  <c r="G1333" i="2"/>
  <c r="F1333" i="2"/>
  <c r="E1333" i="2"/>
  <c r="D1333" i="2"/>
  <c r="C1333" i="2"/>
  <c r="B1333" i="2"/>
  <c r="A1333" i="2"/>
  <c r="AH1332" i="2"/>
  <c r="AG1332" i="2"/>
  <c r="AF1332" i="2"/>
  <c r="AE1332" i="2"/>
  <c r="AD1332" i="2"/>
  <c r="AC1332" i="2"/>
  <c r="AB1332" i="2"/>
  <c r="AA1332" i="2"/>
  <c r="Y1332" i="2"/>
  <c r="X1332" i="2"/>
  <c r="W1332" i="2"/>
  <c r="V1332" i="2"/>
  <c r="U1332" i="2"/>
  <c r="T1332" i="2"/>
  <c r="S1332" i="2"/>
  <c r="R1332" i="2"/>
  <c r="Q1332" i="2"/>
  <c r="P1332" i="2"/>
  <c r="O1332" i="2"/>
  <c r="N1332" i="2"/>
  <c r="M1332" i="2"/>
  <c r="L1332" i="2"/>
  <c r="K1332" i="2"/>
  <c r="J1332" i="2"/>
  <c r="I1332" i="2"/>
  <c r="H1332" i="2"/>
  <c r="G1332" i="2"/>
  <c r="F1332" i="2"/>
  <c r="E1332" i="2"/>
  <c r="D1332" i="2"/>
  <c r="C1332" i="2"/>
  <c r="B1332" i="2"/>
  <c r="A1332" i="2"/>
  <c r="AH1331" i="2"/>
  <c r="AG1331" i="2"/>
  <c r="AF1331" i="2"/>
  <c r="AE1331" i="2"/>
  <c r="AD1331" i="2"/>
  <c r="AC1331" i="2"/>
  <c r="AB1331" i="2"/>
  <c r="AA1331" i="2"/>
  <c r="Y1331" i="2"/>
  <c r="X1331" i="2"/>
  <c r="W1331" i="2"/>
  <c r="V1331" i="2"/>
  <c r="U1331" i="2"/>
  <c r="T1331" i="2"/>
  <c r="S1331" i="2"/>
  <c r="R1331" i="2"/>
  <c r="Q1331" i="2"/>
  <c r="P1331" i="2"/>
  <c r="O1331" i="2"/>
  <c r="N1331" i="2"/>
  <c r="M1331" i="2"/>
  <c r="L1331" i="2"/>
  <c r="K1331" i="2"/>
  <c r="J1331" i="2"/>
  <c r="I1331" i="2"/>
  <c r="H1331" i="2"/>
  <c r="G1331" i="2"/>
  <c r="F1331" i="2"/>
  <c r="E1331" i="2"/>
  <c r="D1331" i="2"/>
  <c r="C1331" i="2"/>
  <c r="B1331" i="2"/>
  <c r="A1331" i="2"/>
  <c r="AG1330" i="2"/>
  <c r="AF1330" i="2"/>
  <c r="AE1330" i="2"/>
  <c r="AD1330" i="2"/>
  <c r="AC1330" i="2"/>
  <c r="AB1330" i="2"/>
  <c r="AA1330" i="2"/>
  <c r="Y1330" i="2"/>
  <c r="X1330" i="2"/>
  <c r="W1330" i="2"/>
  <c r="V1330" i="2"/>
  <c r="U1330" i="2"/>
  <c r="T1330" i="2"/>
  <c r="S1330" i="2"/>
  <c r="R1330" i="2"/>
  <c r="Q1330" i="2"/>
  <c r="P1330" i="2"/>
  <c r="O1330" i="2"/>
  <c r="N1330" i="2"/>
  <c r="M1330" i="2"/>
  <c r="L1330" i="2"/>
  <c r="K1330" i="2"/>
  <c r="J1330" i="2"/>
  <c r="I1330" i="2"/>
  <c r="H1330" i="2"/>
  <c r="G1330" i="2"/>
  <c r="F1330" i="2"/>
  <c r="E1330" i="2"/>
  <c r="D1330" i="2"/>
  <c r="C1330" i="2"/>
  <c r="B1330" i="2"/>
  <c r="A1330" i="2"/>
  <c r="AH1329" i="2"/>
  <c r="AG1329" i="2"/>
  <c r="AF1329" i="2"/>
  <c r="AE1329" i="2"/>
  <c r="AD1329" i="2"/>
  <c r="AC1329" i="2"/>
  <c r="AB1329" i="2"/>
  <c r="AA1329" i="2"/>
  <c r="X1329" i="2"/>
  <c r="W1329" i="2"/>
  <c r="V1329" i="2"/>
  <c r="U1329" i="2"/>
  <c r="T1329" i="2"/>
  <c r="S1329" i="2"/>
  <c r="R1329" i="2"/>
  <c r="Q1329" i="2"/>
  <c r="P1329" i="2"/>
  <c r="O1329" i="2"/>
  <c r="N1329" i="2"/>
  <c r="M1329" i="2"/>
  <c r="L1329" i="2"/>
  <c r="K1329" i="2"/>
  <c r="J1329" i="2"/>
  <c r="I1329" i="2"/>
  <c r="H1329" i="2"/>
  <c r="G1329" i="2"/>
  <c r="F1329" i="2"/>
  <c r="E1329" i="2"/>
  <c r="D1329" i="2"/>
  <c r="C1329" i="2"/>
  <c r="B1329" i="2"/>
  <c r="A1329" i="2"/>
  <c r="AG1328" i="2"/>
  <c r="AF1328" i="2"/>
  <c r="AE1328" i="2"/>
  <c r="AD1328" i="2"/>
  <c r="AC1328" i="2"/>
  <c r="AB1328" i="2"/>
  <c r="AA1328" i="2"/>
  <c r="Y1328" i="2"/>
  <c r="X1328" i="2"/>
  <c r="W1328" i="2"/>
  <c r="V1328" i="2"/>
  <c r="U1328" i="2"/>
  <c r="T1328" i="2"/>
  <c r="S1328" i="2"/>
  <c r="R1328" i="2"/>
  <c r="Q1328" i="2"/>
  <c r="P1328" i="2"/>
  <c r="O1328" i="2"/>
  <c r="N1328" i="2"/>
  <c r="M1328" i="2"/>
  <c r="L1328" i="2"/>
  <c r="K1328" i="2"/>
  <c r="J1328" i="2"/>
  <c r="I1328" i="2"/>
  <c r="H1328" i="2"/>
  <c r="G1328" i="2"/>
  <c r="F1328" i="2"/>
  <c r="E1328" i="2"/>
  <c r="D1328" i="2"/>
  <c r="C1328" i="2"/>
  <c r="B1328" i="2"/>
  <c r="A1328" i="2"/>
  <c r="AH1327" i="2"/>
  <c r="AG1327" i="2"/>
  <c r="AF1327" i="2"/>
  <c r="AE1327" i="2"/>
  <c r="AC1327" i="2"/>
  <c r="AB1327" i="2"/>
  <c r="AA1327" i="2"/>
  <c r="X1327" i="2"/>
  <c r="W1327" i="2"/>
  <c r="V1327" i="2"/>
  <c r="U1327" i="2"/>
  <c r="S1327" i="2"/>
  <c r="R1327" i="2"/>
  <c r="Q1327" i="2"/>
  <c r="P1327" i="2"/>
  <c r="O1327" i="2"/>
  <c r="N1327" i="2"/>
  <c r="M1327" i="2"/>
  <c r="L1327" i="2"/>
  <c r="K1327" i="2"/>
  <c r="J1327" i="2"/>
  <c r="I1327" i="2"/>
  <c r="H1327" i="2"/>
  <c r="G1327" i="2"/>
  <c r="F1327" i="2"/>
  <c r="E1327" i="2"/>
  <c r="D1327" i="2"/>
  <c r="C1327" i="2"/>
  <c r="B1327" i="2"/>
  <c r="A1327" i="2"/>
  <c r="AG1326" i="2"/>
  <c r="AF1326" i="2"/>
  <c r="AE1326" i="2"/>
  <c r="AD1326" i="2"/>
  <c r="AC1326" i="2"/>
  <c r="AB1326" i="2"/>
  <c r="AA1326" i="2"/>
  <c r="Y1326" i="2"/>
  <c r="W1326" i="2"/>
  <c r="V1326" i="2"/>
  <c r="U1326" i="2"/>
  <c r="T1326" i="2"/>
  <c r="S1326" i="2"/>
  <c r="R1326" i="2"/>
  <c r="Q1326" i="2"/>
  <c r="P1326" i="2"/>
  <c r="O1326" i="2"/>
  <c r="N1326" i="2"/>
  <c r="M1326" i="2"/>
  <c r="L1326" i="2"/>
  <c r="K1326" i="2"/>
  <c r="J1326" i="2"/>
  <c r="I1326" i="2"/>
  <c r="H1326" i="2"/>
  <c r="G1326" i="2"/>
  <c r="F1326" i="2"/>
  <c r="E1326" i="2"/>
  <c r="D1326" i="2"/>
  <c r="C1326" i="2"/>
  <c r="B1326" i="2"/>
  <c r="A1326" i="2"/>
  <c r="AG1325" i="2"/>
  <c r="AF1325" i="2"/>
  <c r="AE1325" i="2"/>
  <c r="AD1325" i="2"/>
  <c r="AC1325" i="2"/>
  <c r="AB1325" i="2"/>
  <c r="AA1325" i="2"/>
  <c r="X1325" i="2"/>
  <c r="W1325" i="2"/>
  <c r="V1325" i="2"/>
  <c r="U1325" i="2"/>
  <c r="S1325" i="2"/>
  <c r="R1325" i="2"/>
  <c r="Q1325" i="2"/>
  <c r="P1325" i="2"/>
  <c r="O1325" i="2"/>
  <c r="N1325" i="2"/>
  <c r="M1325" i="2"/>
  <c r="L1325" i="2"/>
  <c r="K1325" i="2"/>
  <c r="J1325" i="2"/>
  <c r="I1325" i="2"/>
  <c r="H1325" i="2"/>
  <c r="G1325" i="2"/>
  <c r="F1325" i="2"/>
  <c r="E1325" i="2"/>
  <c r="D1325" i="2"/>
  <c r="C1325" i="2"/>
  <c r="B1325" i="2"/>
  <c r="A1325" i="2"/>
  <c r="AG1324" i="2"/>
  <c r="AF1324" i="2"/>
  <c r="AE1324" i="2"/>
  <c r="AD1324" i="2"/>
  <c r="AC1324" i="2"/>
  <c r="AB1324" i="2"/>
  <c r="AA1324" i="2"/>
  <c r="X1324" i="2"/>
  <c r="W1324" i="2"/>
  <c r="V1324" i="2"/>
  <c r="U1324" i="2"/>
  <c r="T1324" i="2"/>
  <c r="S1324" i="2"/>
  <c r="R1324" i="2"/>
  <c r="Q1324" i="2"/>
  <c r="P1324" i="2"/>
  <c r="O1324" i="2"/>
  <c r="N1324" i="2"/>
  <c r="M1324" i="2"/>
  <c r="L1324" i="2"/>
  <c r="K1324" i="2"/>
  <c r="J1324" i="2"/>
  <c r="I1324" i="2"/>
  <c r="H1324" i="2"/>
  <c r="G1324" i="2"/>
  <c r="F1324" i="2"/>
  <c r="E1324" i="2"/>
  <c r="D1324" i="2"/>
  <c r="C1324" i="2"/>
  <c r="B1324" i="2"/>
  <c r="A1324" i="2"/>
  <c r="AH1323" i="2"/>
  <c r="AG1323" i="2"/>
  <c r="AE1323" i="2"/>
  <c r="AD1323" i="2"/>
  <c r="AC1323" i="2"/>
  <c r="AB1323" i="2"/>
  <c r="AA1323" i="2"/>
  <c r="Y1323" i="2"/>
  <c r="X1323" i="2"/>
  <c r="W1323" i="2"/>
  <c r="V1323" i="2"/>
  <c r="U1323" i="2"/>
  <c r="T1323" i="2"/>
  <c r="S1323" i="2"/>
  <c r="R1323" i="2"/>
  <c r="Q1323" i="2"/>
  <c r="P1323" i="2"/>
  <c r="O1323" i="2"/>
  <c r="N1323" i="2"/>
  <c r="M1323" i="2"/>
  <c r="L1323" i="2"/>
  <c r="K1323" i="2"/>
  <c r="J1323" i="2"/>
  <c r="I1323" i="2"/>
  <c r="H1323" i="2"/>
  <c r="G1323" i="2"/>
  <c r="F1323" i="2"/>
  <c r="E1323" i="2"/>
  <c r="D1323" i="2"/>
  <c r="C1323" i="2"/>
  <c r="B1323" i="2"/>
  <c r="A1323" i="2"/>
  <c r="AG1322" i="2"/>
  <c r="AF1322" i="2"/>
  <c r="AE1322" i="2"/>
  <c r="AD1322" i="2"/>
  <c r="AC1322" i="2"/>
  <c r="AB1322" i="2"/>
  <c r="AA1322" i="2"/>
  <c r="Y1322" i="2"/>
  <c r="X1322" i="2"/>
  <c r="W1322" i="2"/>
  <c r="V1322" i="2"/>
  <c r="U1322" i="2"/>
  <c r="T1322" i="2"/>
  <c r="S1322" i="2"/>
  <c r="R1322" i="2"/>
  <c r="Q1322" i="2"/>
  <c r="P1322" i="2"/>
  <c r="O1322" i="2"/>
  <c r="N1322" i="2"/>
  <c r="M1322" i="2"/>
  <c r="L1322" i="2"/>
  <c r="K1322" i="2"/>
  <c r="J1322" i="2"/>
  <c r="I1322" i="2"/>
  <c r="H1322" i="2"/>
  <c r="G1322" i="2"/>
  <c r="F1322" i="2"/>
  <c r="E1322" i="2"/>
  <c r="D1322" i="2"/>
  <c r="C1322" i="2"/>
  <c r="B1322" i="2"/>
  <c r="A1322" i="2"/>
  <c r="AH1321" i="2"/>
  <c r="AG1321" i="2"/>
  <c r="AF1321" i="2"/>
  <c r="AE1321" i="2"/>
  <c r="AD1321" i="2"/>
  <c r="AC1321" i="2"/>
  <c r="AB1321" i="2"/>
  <c r="AA1321" i="2"/>
  <c r="X1321" i="2"/>
  <c r="W1321" i="2"/>
  <c r="V1321" i="2"/>
  <c r="U1321" i="2"/>
  <c r="T1321" i="2"/>
  <c r="S1321" i="2"/>
  <c r="R1321" i="2"/>
  <c r="Q1321" i="2"/>
  <c r="P1321" i="2"/>
  <c r="O1321" i="2"/>
  <c r="N1321" i="2"/>
  <c r="M1321" i="2"/>
  <c r="L1321" i="2"/>
  <c r="K1321" i="2"/>
  <c r="J1321" i="2"/>
  <c r="I1321" i="2"/>
  <c r="H1321" i="2"/>
  <c r="G1321" i="2"/>
  <c r="F1321" i="2"/>
  <c r="E1321" i="2"/>
  <c r="D1321" i="2"/>
  <c r="C1321" i="2"/>
  <c r="B1321" i="2"/>
  <c r="A1321" i="2"/>
  <c r="AG1320" i="2"/>
  <c r="AF1320" i="2"/>
  <c r="AE1320" i="2"/>
  <c r="AD1320" i="2"/>
  <c r="AC1320" i="2"/>
  <c r="AB1320" i="2"/>
  <c r="AA1320" i="2"/>
  <c r="Y1320" i="2"/>
  <c r="X1320" i="2"/>
  <c r="W1320" i="2"/>
  <c r="V1320" i="2"/>
  <c r="U1320" i="2"/>
  <c r="T1320" i="2"/>
  <c r="S1320" i="2"/>
  <c r="R1320" i="2"/>
  <c r="Q1320" i="2"/>
  <c r="P1320" i="2"/>
  <c r="O1320" i="2"/>
  <c r="N1320" i="2"/>
  <c r="M1320" i="2"/>
  <c r="L1320" i="2"/>
  <c r="K1320" i="2"/>
  <c r="J1320" i="2"/>
  <c r="I1320" i="2"/>
  <c r="H1320" i="2"/>
  <c r="G1320" i="2"/>
  <c r="F1320" i="2"/>
  <c r="E1320" i="2"/>
  <c r="D1320" i="2"/>
  <c r="C1320" i="2"/>
  <c r="B1320" i="2"/>
  <c r="A1320" i="2"/>
  <c r="AG1319" i="2"/>
  <c r="AF1319" i="2"/>
  <c r="AC1319" i="2"/>
  <c r="AB1319" i="2"/>
  <c r="AA1319" i="2"/>
  <c r="W1319" i="2"/>
  <c r="V1319" i="2"/>
  <c r="U1319" i="2"/>
  <c r="T1319" i="2"/>
  <c r="S1319" i="2"/>
  <c r="R1319" i="2"/>
  <c r="Q1319" i="2"/>
  <c r="P1319" i="2"/>
  <c r="O1319" i="2"/>
  <c r="N1319" i="2"/>
  <c r="M1319" i="2"/>
  <c r="L1319" i="2"/>
  <c r="K1319" i="2"/>
  <c r="J1319" i="2"/>
  <c r="I1319" i="2"/>
  <c r="H1319" i="2"/>
  <c r="G1319" i="2"/>
  <c r="F1319" i="2"/>
  <c r="E1319" i="2"/>
  <c r="D1319" i="2"/>
  <c r="C1319" i="2"/>
  <c r="B1319" i="2"/>
  <c r="A1319" i="2"/>
  <c r="AH1318" i="2"/>
  <c r="AG1318" i="2"/>
  <c r="AF1318" i="2"/>
  <c r="AE1318" i="2"/>
  <c r="AD1318" i="2"/>
  <c r="AC1318" i="2"/>
  <c r="AB1318" i="2"/>
  <c r="AA1318" i="2"/>
  <c r="Y1318" i="2"/>
  <c r="X1318" i="2"/>
  <c r="W1318" i="2"/>
  <c r="V1318" i="2"/>
  <c r="U1318" i="2"/>
  <c r="T1318" i="2"/>
  <c r="R1318" i="2"/>
  <c r="Q1318" i="2"/>
  <c r="P1318" i="2"/>
  <c r="O1318" i="2"/>
  <c r="N1318" i="2"/>
  <c r="M1318" i="2"/>
  <c r="L1318" i="2"/>
  <c r="K1318" i="2"/>
  <c r="J1318" i="2"/>
  <c r="I1318" i="2"/>
  <c r="H1318" i="2"/>
  <c r="G1318" i="2"/>
  <c r="F1318" i="2"/>
  <c r="E1318" i="2"/>
  <c r="D1318" i="2"/>
  <c r="C1318" i="2"/>
  <c r="B1318" i="2"/>
  <c r="A1318" i="2"/>
  <c r="AH1317" i="2"/>
  <c r="AG1317" i="2"/>
  <c r="AF1317" i="2"/>
  <c r="AE1317" i="2"/>
  <c r="AD1317" i="2"/>
  <c r="AC1317" i="2"/>
  <c r="AB1317" i="2"/>
  <c r="AA1317" i="2"/>
  <c r="Y1317" i="2"/>
  <c r="X1317" i="2"/>
  <c r="W1317" i="2"/>
  <c r="V1317" i="2"/>
  <c r="U1317" i="2"/>
  <c r="T1317" i="2"/>
  <c r="S1317" i="2"/>
  <c r="R1317" i="2"/>
  <c r="Q1317" i="2"/>
  <c r="P1317" i="2"/>
  <c r="O1317" i="2"/>
  <c r="N1317" i="2"/>
  <c r="M1317" i="2"/>
  <c r="L1317" i="2"/>
  <c r="K1317" i="2"/>
  <c r="J1317" i="2"/>
  <c r="I1317" i="2"/>
  <c r="H1317" i="2"/>
  <c r="G1317" i="2"/>
  <c r="F1317" i="2"/>
  <c r="E1317" i="2"/>
  <c r="D1317" i="2"/>
  <c r="C1317" i="2"/>
  <c r="B1317" i="2"/>
  <c r="A1317" i="2"/>
  <c r="AH1316" i="2"/>
  <c r="AG1316" i="2"/>
  <c r="AF1316" i="2"/>
  <c r="AE1316" i="2"/>
  <c r="AC1316" i="2"/>
  <c r="AB1316" i="2"/>
  <c r="AA1316" i="2"/>
  <c r="Y1316" i="2"/>
  <c r="X1316" i="2"/>
  <c r="W1316" i="2"/>
  <c r="V1316" i="2"/>
  <c r="U1316" i="2"/>
  <c r="T1316" i="2"/>
  <c r="S1316" i="2"/>
  <c r="R1316" i="2"/>
  <c r="Q1316" i="2"/>
  <c r="P1316" i="2"/>
  <c r="O1316" i="2"/>
  <c r="N1316" i="2"/>
  <c r="M1316" i="2"/>
  <c r="L1316" i="2"/>
  <c r="K1316" i="2"/>
  <c r="J1316" i="2"/>
  <c r="I1316" i="2"/>
  <c r="H1316" i="2"/>
  <c r="G1316" i="2"/>
  <c r="F1316" i="2"/>
  <c r="E1316" i="2"/>
  <c r="D1316" i="2"/>
  <c r="C1316" i="2"/>
  <c r="B1316" i="2"/>
  <c r="A1316" i="2"/>
  <c r="AG1315" i="2"/>
  <c r="AF1315" i="2"/>
  <c r="AE1315" i="2"/>
  <c r="AD1315" i="2"/>
  <c r="AC1315" i="2"/>
  <c r="AB1315" i="2"/>
  <c r="AA1315" i="2"/>
  <c r="Y1315" i="2"/>
  <c r="X1315" i="2"/>
  <c r="W1315" i="2"/>
  <c r="V1315" i="2"/>
  <c r="U1315" i="2"/>
  <c r="T1315" i="2"/>
  <c r="S1315" i="2"/>
  <c r="R1315" i="2"/>
  <c r="Q1315" i="2"/>
  <c r="P1315" i="2"/>
  <c r="O1315" i="2"/>
  <c r="N1315" i="2"/>
  <c r="M1315" i="2"/>
  <c r="L1315" i="2"/>
  <c r="K1315" i="2"/>
  <c r="J1315" i="2"/>
  <c r="I1315" i="2"/>
  <c r="H1315" i="2"/>
  <c r="G1315" i="2"/>
  <c r="F1315" i="2"/>
  <c r="E1315" i="2"/>
  <c r="D1315" i="2"/>
  <c r="C1315" i="2"/>
  <c r="B1315" i="2"/>
  <c r="A1315" i="2"/>
  <c r="AH1314" i="2"/>
  <c r="AG1314" i="2"/>
  <c r="AF1314" i="2"/>
  <c r="AE1314" i="2"/>
  <c r="AD1314" i="2"/>
  <c r="AC1314" i="2"/>
  <c r="AB1314" i="2"/>
  <c r="AA1314" i="2"/>
  <c r="Z1314" i="2"/>
  <c r="Y1314" i="2"/>
  <c r="W1314" i="2"/>
  <c r="V1314" i="2"/>
  <c r="U1314" i="2"/>
  <c r="T1314" i="2"/>
  <c r="S1314" i="2"/>
  <c r="R1314" i="2"/>
  <c r="Q1314" i="2"/>
  <c r="P1314" i="2"/>
  <c r="O1314" i="2"/>
  <c r="N1314" i="2"/>
  <c r="M1314" i="2"/>
  <c r="L1314" i="2"/>
  <c r="K1314" i="2"/>
  <c r="J1314" i="2"/>
  <c r="I1314" i="2"/>
  <c r="H1314" i="2"/>
  <c r="G1314" i="2"/>
  <c r="F1314" i="2"/>
  <c r="E1314" i="2"/>
  <c r="D1314" i="2"/>
  <c r="C1314" i="2"/>
  <c r="B1314" i="2"/>
  <c r="A1314" i="2"/>
  <c r="AG1313" i="2"/>
  <c r="AF1313" i="2"/>
  <c r="AE1313" i="2"/>
  <c r="AD1313" i="2"/>
  <c r="AC1313" i="2"/>
  <c r="AB1313" i="2"/>
  <c r="AA1313" i="2"/>
  <c r="X1313" i="2"/>
  <c r="W1313" i="2"/>
  <c r="V1313" i="2"/>
  <c r="U1313" i="2"/>
  <c r="T1313" i="2"/>
  <c r="R1313" i="2"/>
  <c r="Q1313" i="2"/>
  <c r="P1313" i="2"/>
  <c r="O1313" i="2"/>
  <c r="N1313" i="2"/>
  <c r="M1313" i="2"/>
  <c r="L1313" i="2"/>
  <c r="K1313" i="2"/>
  <c r="J1313" i="2"/>
  <c r="I1313" i="2"/>
  <c r="H1313" i="2"/>
  <c r="G1313" i="2"/>
  <c r="F1313" i="2"/>
  <c r="E1313" i="2"/>
  <c r="D1313" i="2"/>
  <c r="C1313" i="2"/>
  <c r="B1313" i="2"/>
  <c r="A1313" i="2"/>
  <c r="AG1312" i="2"/>
  <c r="AF1312" i="2"/>
  <c r="AE1312" i="2"/>
  <c r="AD1312" i="2"/>
  <c r="AC1312" i="2"/>
  <c r="AB1312" i="2"/>
  <c r="AA1312" i="2"/>
  <c r="Y1312" i="2"/>
  <c r="X1312" i="2"/>
  <c r="W1312" i="2"/>
  <c r="V1312" i="2"/>
  <c r="U1312" i="2"/>
  <c r="T1312" i="2"/>
  <c r="S1312" i="2"/>
  <c r="R1312" i="2"/>
  <c r="Q1312" i="2"/>
  <c r="P1312" i="2"/>
  <c r="O1312" i="2"/>
  <c r="N1312" i="2"/>
  <c r="M1312" i="2"/>
  <c r="L1312" i="2"/>
  <c r="K1312" i="2"/>
  <c r="J1312" i="2"/>
  <c r="I1312" i="2"/>
  <c r="H1312" i="2"/>
  <c r="G1312" i="2"/>
  <c r="F1312" i="2"/>
  <c r="E1312" i="2"/>
  <c r="D1312" i="2"/>
  <c r="C1312" i="2"/>
  <c r="B1312" i="2"/>
  <c r="A1312" i="2"/>
  <c r="AH1311" i="2"/>
  <c r="AG1311" i="2"/>
  <c r="AF1311" i="2"/>
  <c r="AE1311" i="2"/>
  <c r="AD1311" i="2"/>
  <c r="AC1311" i="2"/>
  <c r="AB1311" i="2"/>
  <c r="AA1311" i="2"/>
  <c r="X1311" i="2"/>
  <c r="W1311" i="2"/>
  <c r="V1311" i="2"/>
  <c r="U1311" i="2"/>
  <c r="T1311" i="2"/>
  <c r="R1311" i="2"/>
  <c r="Q1311" i="2"/>
  <c r="P1311" i="2"/>
  <c r="O1311" i="2"/>
  <c r="N1311" i="2"/>
  <c r="M1311" i="2"/>
  <c r="L1311" i="2"/>
  <c r="K1311" i="2"/>
  <c r="J1311" i="2"/>
  <c r="I1311" i="2"/>
  <c r="H1311" i="2"/>
  <c r="G1311" i="2"/>
  <c r="F1311" i="2"/>
  <c r="E1311" i="2"/>
  <c r="D1311" i="2"/>
  <c r="C1311" i="2"/>
  <c r="B1311" i="2"/>
  <c r="A1311" i="2"/>
  <c r="AH1310" i="2"/>
  <c r="AG1310" i="2"/>
  <c r="AF1310" i="2"/>
  <c r="AE1310" i="2"/>
  <c r="AD1310" i="2"/>
  <c r="AC1310" i="2"/>
  <c r="AB1310" i="2"/>
  <c r="AA1310" i="2"/>
  <c r="Y1310" i="2"/>
  <c r="X1310" i="2"/>
  <c r="W1310" i="2"/>
  <c r="V1310" i="2"/>
  <c r="U1310" i="2"/>
  <c r="T1310" i="2"/>
  <c r="S1310" i="2"/>
  <c r="R1310" i="2"/>
  <c r="Q1310" i="2"/>
  <c r="P1310" i="2"/>
  <c r="O1310" i="2"/>
  <c r="N1310" i="2"/>
  <c r="M1310" i="2"/>
  <c r="L1310" i="2"/>
  <c r="K1310" i="2"/>
  <c r="J1310" i="2"/>
  <c r="I1310" i="2"/>
  <c r="H1310" i="2"/>
  <c r="G1310" i="2"/>
  <c r="F1310" i="2"/>
  <c r="E1310" i="2"/>
  <c r="D1310" i="2"/>
  <c r="C1310" i="2"/>
  <c r="B1310" i="2"/>
  <c r="A1310" i="2"/>
  <c r="AH1309" i="2"/>
  <c r="AG1309" i="2"/>
  <c r="AF1309" i="2"/>
  <c r="AE1309" i="2"/>
  <c r="AD1309" i="2"/>
  <c r="AC1309" i="2"/>
  <c r="AB1309" i="2"/>
  <c r="AA1309" i="2"/>
  <c r="Y1309" i="2"/>
  <c r="X1309" i="2"/>
  <c r="W1309" i="2"/>
  <c r="V1309" i="2"/>
  <c r="U1309" i="2"/>
  <c r="T1309" i="2"/>
  <c r="R1309" i="2"/>
  <c r="Q1309" i="2"/>
  <c r="P1309" i="2"/>
  <c r="O1309" i="2"/>
  <c r="N1309" i="2"/>
  <c r="M1309" i="2"/>
  <c r="L1309" i="2"/>
  <c r="K1309" i="2"/>
  <c r="J1309" i="2"/>
  <c r="I1309" i="2"/>
  <c r="H1309" i="2"/>
  <c r="G1309" i="2"/>
  <c r="F1309" i="2"/>
  <c r="E1309" i="2"/>
  <c r="D1309" i="2"/>
  <c r="C1309" i="2"/>
  <c r="B1309" i="2"/>
  <c r="A1309" i="2"/>
  <c r="AH1308" i="2"/>
  <c r="AG1308" i="2"/>
  <c r="AF1308" i="2"/>
  <c r="AE1308" i="2"/>
  <c r="AD1308" i="2"/>
  <c r="AC1308" i="2"/>
  <c r="AB1308" i="2"/>
  <c r="AA1308" i="2"/>
  <c r="X1308" i="2"/>
  <c r="W1308" i="2"/>
  <c r="V1308" i="2"/>
  <c r="U1308" i="2"/>
  <c r="T1308" i="2"/>
  <c r="S1308" i="2"/>
  <c r="R1308" i="2"/>
  <c r="Q1308" i="2"/>
  <c r="P1308" i="2"/>
  <c r="O1308" i="2"/>
  <c r="N1308" i="2"/>
  <c r="M1308" i="2"/>
  <c r="L1308" i="2"/>
  <c r="K1308" i="2"/>
  <c r="J1308" i="2"/>
  <c r="I1308" i="2"/>
  <c r="H1308" i="2"/>
  <c r="G1308" i="2"/>
  <c r="F1308" i="2"/>
  <c r="E1308" i="2"/>
  <c r="D1308" i="2"/>
  <c r="C1308" i="2"/>
  <c r="B1308" i="2"/>
  <c r="A1308" i="2"/>
  <c r="AG1307" i="2"/>
  <c r="AE1307" i="2"/>
  <c r="AD1307" i="2"/>
  <c r="AC1307" i="2"/>
  <c r="AB1307" i="2"/>
  <c r="AA1307" i="2"/>
  <c r="W1307" i="2"/>
  <c r="V1307" i="2"/>
  <c r="U1307" i="2"/>
  <c r="T1307" i="2"/>
  <c r="S1307" i="2"/>
  <c r="R1307" i="2"/>
  <c r="Q1307" i="2"/>
  <c r="P1307" i="2"/>
  <c r="O1307" i="2"/>
  <c r="N1307" i="2"/>
  <c r="M1307" i="2"/>
  <c r="L1307" i="2"/>
  <c r="K1307" i="2"/>
  <c r="J1307" i="2"/>
  <c r="I1307" i="2"/>
  <c r="H1307" i="2"/>
  <c r="G1307" i="2"/>
  <c r="F1307" i="2"/>
  <c r="E1307" i="2"/>
  <c r="D1307" i="2"/>
  <c r="C1307" i="2"/>
  <c r="B1307" i="2"/>
  <c r="A1307" i="2"/>
  <c r="AG1306" i="2"/>
  <c r="AE1306" i="2"/>
  <c r="AD1306" i="2"/>
  <c r="AC1306" i="2"/>
  <c r="AB1306" i="2"/>
  <c r="AA1306" i="2"/>
  <c r="W1306" i="2"/>
  <c r="V1306" i="2"/>
  <c r="U1306" i="2"/>
  <c r="T1306" i="2"/>
  <c r="S1306" i="2"/>
  <c r="R1306" i="2"/>
  <c r="Q1306" i="2"/>
  <c r="P1306" i="2"/>
  <c r="O1306" i="2"/>
  <c r="N1306" i="2"/>
  <c r="M1306" i="2"/>
  <c r="L1306" i="2"/>
  <c r="K1306" i="2"/>
  <c r="J1306" i="2"/>
  <c r="I1306" i="2"/>
  <c r="H1306" i="2"/>
  <c r="G1306" i="2"/>
  <c r="F1306" i="2"/>
  <c r="E1306" i="2"/>
  <c r="D1306" i="2"/>
  <c r="C1306" i="2"/>
  <c r="B1306" i="2"/>
  <c r="A1306" i="2"/>
  <c r="AH1305" i="2"/>
  <c r="AG1305" i="2"/>
  <c r="AF1305" i="2"/>
  <c r="AE1305" i="2"/>
  <c r="AD1305" i="2"/>
  <c r="AC1305" i="2"/>
  <c r="AB1305" i="2"/>
  <c r="AA1305" i="2"/>
  <c r="Y1305" i="2"/>
  <c r="X1305" i="2"/>
  <c r="W1305" i="2"/>
  <c r="V1305" i="2"/>
  <c r="U1305" i="2"/>
  <c r="T1305" i="2"/>
  <c r="S1305" i="2"/>
  <c r="R1305" i="2"/>
  <c r="Q1305" i="2"/>
  <c r="P1305" i="2"/>
  <c r="O1305" i="2"/>
  <c r="N1305" i="2"/>
  <c r="M1305" i="2"/>
  <c r="L1305" i="2"/>
  <c r="K1305" i="2"/>
  <c r="J1305" i="2"/>
  <c r="I1305" i="2"/>
  <c r="H1305" i="2"/>
  <c r="G1305" i="2"/>
  <c r="F1305" i="2"/>
  <c r="E1305" i="2"/>
  <c r="D1305" i="2"/>
  <c r="C1305" i="2"/>
  <c r="B1305" i="2"/>
  <c r="A1305" i="2"/>
  <c r="AH1304" i="2"/>
  <c r="AG1304" i="2"/>
  <c r="AF1304" i="2"/>
  <c r="AE1304" i="2"/>
  <c r="AD1304" i="2"/>
  <c r="AC1304" i="2"/>
  <c r="AB1304" i="2"/>
  <c r="AA1304" i="2"/>
  <c r="X1304" i="2"/>
  <c r="W1304" i="2"/>
  <c r="V1304" i="2"/>
  <c r="U1304" i="2"/>
  <c r="T1304" i="2"/>
  <c r="S1304" i="2"/>
  <c r="R1304" i="2"/>
  <c r="Q1304" i="2"/>
  <c r="P1304" i="2"/>
  <c r="O1304" i="2"/>
  <c r="N1304" i="2"/>
  <c r="M1304" i="2"/>
  <c r="L1304" i="2"/>
  <c r="K1304" i="2"/>
  <c r="J1304" i="2"/>
  <c r="I1304" i="2"/>
  <c r="H1304" i="2"/>
  <c r="G1304" i="2"/>
  <c r="F1304" i="2"/>
  <c r="E1304" i="2"/>
  <c r="D1304" i="2"/>
  <c r="C1304" i="2"/>
  <c r="B1304" i="2"/>
  <c r="A1304" i="2"/>
  <c r="AG1303" i="2"/>
  <c r="AD1303" i="2"/>
  <c r="AC1303" i="2"/>
  <c r="AB1303" i="2"/>
  <c r="AA1303" i="2"/>
  <c r="W1303" i="2"/>
  <c r="V1303" i="2"/>
  <c r="U1303" i="2"/>
  <c r="T1303" i="2"/>
  <c r="S1303" i="2"/>
  <c r="R1303" i="2"/>
  <c r="Q1303" i="2"/>
  <c r="P1303" i="2"/>
  <c r="O1303" i="2"/>
  <c r="N1303" i="2"/>
  <c r="M1303" i="2"/>
  <c r="L1303" i="2"/>
  <c r="K1303" i="2"/>
  <c r="J1303" i="2"/>
  <c r="I1303" i="2"/>
  <c r="H1303" i="2"/>
  <c r="G1303" i="2"/>
  <c r="F1303" i="2"/>
  <c r="E1303" i="2"/>
  <c r="D1303" i="2"/>
  <c r="C1303" i="2"/>
  <c r="B1303" i="2"/>
  <c r="A1303" i="2"/>
  <c r="AG1302" i="2"/>
  <c r="AF1302" i="2"/>
  <c r="AE1302" i="2"/>
  <c r="AD1302" i="2"/>
  <c r="AC1302" i="2"/>
  <c r="AB1302" i="2"/>
  <c r="AA1302" i="2"/>
  <c r="X1302" i="2"/>
  <c r="W1302" i="2"/>
  <c r="V1302" i="2"/>
  <c r="U1302" i="2"/>
  <c r="T1302" i="2"/>
  <c r="S1302" i="2"/>
  <c r="R1302" i="2"/>
  <c r="Q1302" i="2"/>
  <c r="P1302" i="2"/>
  <c r="O1302" i="2"/>
  <c r="N1302" i="2"/>
  <c r="M1302" i="2"/>
  <c r="L1302" i="2"/>
  <c r="K1302" i="2"/>
  <c r="J1302" i="2"/>
  <c r="I1302" i="2"/>
  <c r="H1302" i="2"/>
  <c r="G1302" i="2"/>
  <c r="F1302" i="2"/>
  <c r="E1302" i="2"/>
  <c r="D1302" i="2"/>
  <c r="C1302" i="2"/>
  <c r="B1302" i="2"/>
  <c r="A1302" i="2"/>
  <c r="AG1301" i="2"/>
  <c r="AF1301" i="2"/>
  <c r="AC1301" i="2"/>
  <c r="AB1301" i="2"/>
  <c r="AA1301" i="2"/>
  <c r="W1301" i="2"/>
  <c r="V1301" i="2"/>
  <c r="U1301" i="2"/>
  <c r="T1301" i="2"/>
  <c r="S1301" i="2"/>
  <c r="R1301" i="2"/>
  <c r="Q1301" i="2"/>
  <c r="P1301" i="2"/>
  <c r="O1301" i="2"/>
  <c r="N1301" i="2"/>
  <c r="M1301" i="2"/>
  <c r="L1301" i="2"/>
  <c r="K1301" i="2"/>
  <c r="J1301" i="2"/>
  <c r="I1301" i="2"/>
  <c r="H1301" i="2"/>
  <c r="G1301" i="2"/>
  <c r="F1301" i="2"/>
  <c r="E1301" i="2"/>
  <c r="D1301" i="2"/>
  <c r="C1301" i="2"/>
  <c r="B1301" i="2"/>
  <c r="A1301" i="2"/>
  <c r="AH1300" i="2"/>
  <c r="AG1300" i="2"/>
  <c r="AF1300" i="2"/>
  <c r="AE1300" i="2"/>
  <c r="AD1300" i="2"/>
  <c r="AC1300" i="2"/>
  <c r="AB1300" i="2"/>
  <c r="AA1300" i="2"/>
  <c r="Y1300" i="2"/>
  <c r="X1300" i="2"/>
  <c r="W1300" i="2"/>
  <c r="V1300" i="2"/>
  <c r="U1300" i="2"/>
  <c r="T1300" i="2"/>
  <c r="S1300" i="2"/>
  <c r="R1300" i="2"/>
  <c r="Q1300" i="2"/>
  <c r="P1300" i="2"/>
  <c r="O1300" i="2"/>
  <c r="N1300" i="2"/>
  <c r="M1300" i="2"/>
  <c r="L1300" i="2"/>
  <c r="K1300" i="2"/>
  <c r="J1300" i="2"/>
  <c r="I1300" i="2"/>
  <c r="H1300" i="2"/>
  <c r="G1300" i="2"/>
  <c r="F1300" i="2"/>
  <c r="E1300" i="2"/>
  <c r="D1300" i="2"/>
  <c r="C1300" i="2"/>
  <c r="B1300" i="2"/>
  <c r="A1300" i="2"/>
  <c r="AG1299" i="2"/>
  <c r="AC1299" i="2"/>
  <c r="AB1299" i="2"/>
  <c r="AA1299" i="2"/>
  <c r="W1299" i="2"/>
  <c r="V1299" i="2"/>
  <c r="U1299" i="2"/>
  <c r="T1299" i="2"/>
  <c r="S1299" i="2"/>
  <c r="R1299" i="2"/>
  <c r="Q1299" i="2"/>
  <c r="P1299" i="2"/>
  <c r="O1299" i="2"/>
  <c r="N1299" i="2"/>
  <c r="M1299" i="2"/>
  <c r="L1299" i="2"/>
  <c r="K1299" i="2"/>
  <c r="J1299" i="2"/>
  <c r="I1299" i="2"/>
  <c r="H1299" i="2"/>
  <c r="G1299" i="2"/>
  <c r="F1299" i="2"/>
  <c r="E1299" i="2"/>
  <c r="D1299" i="2"/>
  <c r="C1299" i="2"/>
  <c r="B1299" i="2"/>
  <c r="A1299" i="2"/>
  <c r="AG1298" i="2"/>
  <c r="AF1298" i="2"/>
  <c r="AE1298" i="2"/>
  <c r="AD1298" i="2"/>
  <c r="AC1298" i="2"/>
  <c r="AB1298" i="2"/>
  <c r="AA1298" i="2"/>
  <c r="Z1298" i="2"/>
  <c r="Y1298" i="2"/>
  <c r="X1298" i="2"/>
  <c r="W1298" i="2"/>
  <c r="V1298" i="2"/>
  <c r="U1298" i="2"/>
  <c r="T1298" i="2"/>
  <c r="S1298" i="2"/>
  <c r="R1298" i="2"/>
  <c r="Q1298" i="2"/>
  <c r="P1298" i="2"/>
  <c r="O1298" i="2"/>
  <c r="N1298" i="2"/>
  <c r="M1298" i="2"/>
  <c r="L1298" i="2"/>
  <c r="K1298" i="2"/>
  <c r="J1298" i="2"/>
  <c r="I1298" i="2"/>
  <c r="H1298" i="2"/>
  <c r="G1298" i="2"/>
  <c r="F1298" i="2"/>
  <c r="E1298" i="2"/>
  <c r="D1298" i="2"/>
  <c r="C1298" i="2"/>
  <c r="B1298" i="2"/>
  <c r="A1298" i="2"/>
  <c r="AG1297" i="2"/>
  <c r="AC1297" i="2"/>
  <c r="AB1297" i="2"/>
  <c r="AA1297" i="2"/>
  <c r="W1297" i="2"/>
  <c r="V1297" i="2"/>
  <c r="U1297" i="2"/>
  <c r="T1297" i="2"/>
  <c r="S1297" i="2"/>
  <c r="R1297" i="2"/>
  <c r="Q1297" i="2"/>
  <c r="P1297" i="2"/>
  <c r="O1297" i="2"/>
  <c r="N1297" i="2"/>
  <c r="M1297" i="2"/>
  <c r="L1297" i="2"/>
  <c r="K1297" i="2"/>
  <c r="J1297" i="2"/>
  <c r="I1297" i="2"/>
  <c r="H1297" i="2"/>
  <c r="G1297" i="2"/>
  <c r="F1297" i="2"/>
  <c r="E1297" i="2"/>
  <c r="D1297" i="2"/>
  <c r="C1297" i="2"/>
  <c r="B1297" i="2"/>
  <c r="A1297" i="2"/>
  <c r="AH1296" i="2"/>
  <c r="AG1296" i="2"/>
  <c r="AE1296" i="2"/>
  <c r="AD1296" i="2"/>
  <c r="AC1296" i="2"/>
  <c r="AB1296" i="2"/>
  <c r="AA1296" i="2"/>
  <c r="X1296" i="2"/>
  <c r="W1296" i="2"/>
  <c r="V1296" i="2"/>
  <c r="U1296" i="2"/>
  <c r="T1296" i="2"/>
  <c r="S1296" i="2"/>
  <c r="R1296" i="2"/>
  <c r="Q1296" i="2"/>
  <c r="P1296" i="2"/>
  <c r="O1296" i="2"/>
  <c r="N1296" i="2"/>
  <c r="M1296" i="2"/>
  <c r="L1296" i="2"/>
  <c r="K1296" i="2"/>
  <c r="J1296" i="2"/>
  <c r="I1296" i="2"/>
  <c r="H1296" i="2"/>
  <c r="G1296" i="2"/>
  <c r="F1296" i="2"/>
  <c r="E1296" i="2"/>
  <c r="D1296" i="2"/>
  <c r="C1296" i="2"/>
  <c r="B1296" i="2"/>
  <c r="A1296" i="2"/>
  <c r="AH1295" i="2"/>
  <c r="AG1295" i="2"/>
  <c r="AF1295" i="2"/>
  <c r="AE1295" i="2"/>
  <c r="AD1295" i="2"/>
  <c r="AC1295" i="2"/>
  <c r="AB1295" i="2"/>
  <c r="AA1295" i="2"/>
  <c r="Y1295" i="2"/>
  <c r="X1295" i="2"/>
  <c r="W1295" i="2"/>
  <c r="V1295" i="2"/>
  <c r="U1295" i="2"/>
  <c r="T1295" i="2"/>
  <c r="S1295" i="2"/>
  <c r="R1295" i="2"/>
  <c r="Q1295" i="2"/>
  <c r="P1295" i="2"/>
  <c r="O1295" i="2"/>
  <c r="N1295" i="2"/>
  <c r="M1295" i="2"/>
  <c r="L1295" i="2"/>
  <c r="K1295" i="2"/>
  <c r="J1295" i="2"/>
  <c r="I1295" i="2"/>
  <c r="H1295" i="2"/>
  <c r="G1295" i="2"/>
  <c r="F1295" i="2"/>
  <c r="E1295" i="2"/>
  <c r="D1295" i="2"/>
  <c r="C1295" i="2"/>
  <c r="B1295" i="2"/>
  <c r="A1295" i="2"/>
  <c r="AH1294" i="2"/>
  <c r="AG1294" i="2"/>
  <c r="AF1294" i="2"/>
  <c r="AE1294" i="2"/>
  <c r="AD1294" i="2"/>
  <c r="AC1294" i="2"/>
  <c r="AB1294" i="2"/>
  <c r="AA1294" i="2"/>
  <c r="X1294" i="2"/>
  <c r="W1294" i="2"/>
  <c r="V1294" i="2"/>
  <c r="U1294" i="2"/>
  <c r="T1294" i="2"/>
  <c r="S1294" i="2"/>
  <c r="R1294" i="2"/>
  <c r="Q1294" i="2"/>
  <c r="P1294" i="2"/>
  <c r="O1294" i="2"/>
  <c r="N1294" i="2"/>
  <c r="M1294" i="2"/>
  <c r="L1294" i="2"/>
  <c r="K1294" i="2"/>
  <c r="J1294" i="2"/>
  <c r="I1294" i="2"/>
  <c r="H1294" i="2"/>
  <c r="G1294" i="2"/>
  <c r="F1294" i="2"/>
  <c r="E1294" i="2"/>
  <c r="D1294" i="2"/>
  <c r="C1294" i="2"/>
  <c r="B1294" i="2"/>
  <c r="A1294" i="2"/>
  <c r="AG1293" i="2"/>
  <c r="AE1293" i="2"/>
  <c r="AD1293" i="2"/>
  <c r="AC1293" i="2"/>
  <c r="AB1293" i="2"/>
  <c r="AA1293" i="2"/>
  <c r="W1293" i="2"/>
  <c r="V1293" i="2"/>
  <c r="U1293" i="2"/>
  <c r="T1293" i="2"/>
  <c r="S1293" i="2"/>
  <c r="R1293" i="2"/>
  <c r="Q1293" i="2"/>
  <c r="P1293" i="2"/>
  <c r="O1293" i="2"/>
  <c r="N1293" i="2"/>
  <c r="M1293" i="2"/>
  <c r="L1293" i="2"/>
  <c r="K1293" i="2"/>
  <c r="J1293" i="2"/>
  <c r="I1293" i="2"/>
  <c r="H1293" i="2"/>
  <c r="G1293" i="2"/>
  <c r="F1293" i="2"/>
  <c r="E1293" i="2"/>
  <c r="D1293" i="2"/>
  <c r="C1293" i="2"/>
  <c r="B1293" i="2"/>
  <c r="A1293" i="2"/>
  <c r="AG1292" i="2"/>
  <c r="AF1292" i="2"/>
  <c r="AE1292" i="2"/>
  <c r="AD1292" i="2"/>
  <c r="AC1292" i="2"/>
  <c r="AB1292" i="2"/>
  <c r="AA1292" i="2"/>
  <c r="X1292" i="2"/>
  <c r="W1292" i="2"/>
  <c r="V1292" i="2"/>
  <c r="U1292" i="2"/>
  <c r="T1292" i="2"/>
  <c r="S1292" i="2"/>
  <c r="R1292" i="2"/>
  <c r="Q1292" i="2"/>
  <c r="P1292" i="2"/>
  <c r="O1292" i="2"/>
  <c r="N1292" i="2"/>
  <c r="M1292" i="2"/>
  <c r="L1292" i="2"/>
  <c r="K1292" i="2"/>
  <c r="J1292" i="2"/>
  <c r="I1292" i="2"/>
  <c r="H1292" i="2"/>
  <c r="G1292" i="2"/>
  <c r="F1292" i="2"/>
  <c r="E1292" i="2"/>
  <c r="D1292" i="2"/>
  <c r="C1292" i="2"/>
  <c r="B1292" i="2"/>
  <c r="A1292" i="2"/>
  <c r="AH1291" i="2"/>
  <c r="AG1291" i="2"/>
  <c r="AF1291" i="2"/>
  <c r="AE1291" i="2"/>
  <c r="AD1291" i="2"/>
  <c r="AC1291" i="2"/>
  <c r="AB1291" i="2"/>
  <c r="AA1291" i="2"/>
  <c r="Z1291" i="2"/>
  <c r="Y1291" i="2"/>
  <c r="X1291" i="2"/>
  <c r="W1291" i="2"/>
  <c r="V1291" i="2"/>
  <c r="U1291" i="2"/>
  <c r="T1291" i="2"/>
  <c r="R1291" i="2"/>
  <c r="Q1291" i="2"/>
  <c r="P1291" i="2"/>
  <c r="O1291" i="2"/>
  <c r="N1291" i="2"/>
  <c r="M1291" i="2"/>
  <c r="L1291" i="2"/>
  <c r="K1291" i="2"/>
  <c r="J1291" i="2"/>
  <c r="I1291" i="2"/>
  <c r="H1291" i="2"/>
  <c r="G1291" i="2"/>
  <c r="F1291" i="2"/>
  <c r="E1291" i="2"/>
  <c r="D1291" i="2"/>
  <c r="C1291" i="2"/>
  <c r="B1291" i="2"/>
  <c r="A1291" i="2"/>
  <c r="AH1290" i="2"/>
  <c r="AG1290" i="2"/>
  <c r="AF1290" i="2"/>
  <c r="AE1290" i="2"/>
  <c r="AD1290" i="2"/>
  <c r="AC1290" i="2"/>
  <c r="AB1290" i="2"/>
  <c r="AA1290" i="2"/>
  <c r="Y1290" i="2"/>
  <c r="W1290" i="2"/>
  <c r="V1290" i="2"/>
  <c r="U1290" i="2"/>
  <c r="T1290" i="2"/>
  <c r="S1290" i="2"/>
  <c r="R1290" i="2"/>
  <c r="Q1290" i="2"/>
  <c r="P1290" i="2"/>
  <c r="O1290" i="2"/>
  <c r="N1290" i="2"/>
  <c r="M1290" i="2"/>
  <c r="L1290" i="2"/>
  <c r="K1290" i="2"/>
  <c r="J1290" i="2"/>
  <c r="I1290" i="2"/>
  <c r="H1290" i="2"/>
  <c r="G1290" i="2"/>
  <c r="F1290" i="2"/>
  <c r="E1290" i="2"/>
  <c r="D1290" i="2"/>
  <c r="C1290" i="2"/>
  <c r="B1290" i="2"/>
  <c r="A1290" i="2"/>
  <c r="AG1289" i="2"/>
  <c r="AF1289" i="2"/>
  <c r="AE1289" i="2"/>
  <c r="AD1289" i="2"/>
  <c r="AC1289" i="2"/>
  <c r="AB1289" i="2"/>
  <c r="AA1289" i="2"/>
  <c r="Y1289" i="2"/>
  <c r="X1289" i="2"/>
  <c r="W1289" i="2"/>
  <c r="V1289" i="2"/>
  <c r="U1289" i="2"/>
  <c r="T1289" i="2"/>
  <c r="S1289" i="2"/>
  <c r="R1289" i="2"/>
  <c r="Q1289" i="2"/>
  <c r="P1289" i="2"/>
  <c r="O1289" i="2"/>
  <c r="N1289" i="2"/>
  <c r="M1289" i="2"/>
  <c r="L1289" i="2"/>
  <c r="K1289" i="2"/>
  <c r="J1289" i="2"/>
  <c r="I1289" i="2"/>
  <c r="H1289" i="2"/>
  <c r="G1289" i="2"/>
  <c r="F1289" i="2"/>
  <c r="E1289" i="2"/>
  <c r="D1289" i="2"/>
  <c r="C1289" i="2"/>
  <c r="B1289" i="2"/>
  <c r="A1289" i="2"/>
  <c r="AH1288" i="2"/>
  <c r="AG1288" i="2"/>
  <c r="AF1288" i="2"/>
  <c r="AE1288" i="2"/>
  <c r="AD1288" i="2"/>
  <c r="AC1288" i="2"/>
  <c r="AB1288" i="2"/>
  <c r="AA1288" i="2"/>
  <c r="X1288" i="2"/>
  <c r="W1288" i="2"/>
  <c r="V1288" i="2"/>
  <c r="U1288" i="2"/>
  <c r="T1288" i="2"/>
  <c r="S1288" i="2"/>
  <c r="R1288" i="2"/>
  <c r="Q1288" i="2"/>
  <c r="P1288" i="2"/>
  <c r="O1288" i="2"/>
  <c r="N1288" i="2"/>
  <c r="M1288" i="2"/>
  <c r="L1288" i="2"/>
  <c r="K1288" i="2"/>
  <c r="J1288" i="2"/>
  <c r="I1288" i="2"/>
  <c r="H1288" i="2"/>
  <c r="G1288" i="2"/>
  <c r="F1288" i="2"/>
  <c r="E1288" i="2"/>
  <c r="D1288" i="2"/>
  <c r="C1288" i="2"/>
  <c r="B1288" i="2"/>
  <c r="A1288" i="2"/>
  <c r="AH1287" i="2"/>
  <c r="AG1287" i="2"/>
  <c r="AF1287" i="2"/>
  <c r="AE1287" i="2"/>
  <c r="AD1287" i="2"/>
  <c r="AC1287" i="2"/>
  <c r="AB1287" i="2"/>
  <c r="AA1287" i="2"/>
  <c r="Y1287" i="2"/>
  <c r="X1287" i="2"/>
  <c r="W1287" i="2"/>
  <c r="V1287" i="2"/>
  <c r="U1287" i="2"/>
  <c r="T1287" i="2"/>
  <c r="S1287" i="2"/>
  <c r="R1287" i="2"/>
  <c r="Q1287" i="2"/>
  <c r="P1287" i="2"/>
  <c r="O1287" i="2"/>
  <c r="N1287" i="2"/>
  <c r="M1287" i="2"/>
  <c r="L1287" i="2"/>
  <c r="K1287" i="2"/>
  <c r="J1287" i="2"/>
  <c r="I1287" i="2"/>
  <c r="H1287" i="2"/>
  <c r="G1287" i="2"/>
  <c r="F1287" i="2"/>
  <c r="E1287" i="2"/>
  <c r="D1287" i="2"/>
  <c r="C1287" i="2"/>
  <c r="B1287" i="2"/>
  <c r="A1287" i="2"/>
  <c r="AH1286" i="2"/>
  <c r="AG1286" i="2"/>
  <c r="AE1286" i="2"/>
  <c r="AD1286" i="2"/>
  <c r="AC1286" i="2"/>
  <c r="AB1286" i="2"/>
  <c r="AA1286" i="2"/>
  <c r="Z1286" i="2"/>
  <c r="Y1286" i="2"/>
  <c r="X1286" i="2"/>
  <c r="W1286" i="2"/>
  <c r="V1286" i="2"/>
  <c r="U1286" i="2"/>
  <c r="T1286" i="2"/>
  <c r="S1286" i="2"/>
  <c r="R1286" i="2"/>
  <c r="Q1286" i="2"/>
  <c r="P1286" i="2"/>
  <c r="O1286" i="2"/>
  <c r="N1286" i="2"/>
  <c r="M1286" i="2"/>
  <c r="L1286" i="2"/>
  <c r="K1286" i="2"/>
  <c r="J1286" i="2"/>
  <c r="I1286" i="2"/>
  <c r="H1286" i="2"/>
  <c r="G1286" i="2"/>
  <c r="F1286" i="2"/>
  <c r="E1286" i="2"/>
  <c r="D1286" i="2"/>
  <c r="C1286" i="2"/>
  <c r="B1286" i="2"/>
  <c r="A1286" i="2"/>
  <c r="AH1285" i="2"/>
  <c r="AG1285" i="2"/>
  <c r="AF1285" i="2"/>
  <c r="AC1285" i="2"/>
  <c r="AB1285" i="2"/>
  <c r="AA1285" i="2"/>
  <c r="Y1285" i="2"/>
  <c r="X1285" i="2"/>
  <c r="W1285" i="2"/>
  <c r="V1285" i="2"/>
  <c r="U1285" i="2"/>
  <c r="T1285" i="2"/>
  <c r="S1285" i="2"/>
  <c r="R1285" i="2"/>
  <c r="Q1285" i="2"/>
  <c r="P1285" i="2"/>
  <c r="O1285" i="2"/>
  <c r="N1285" i="2"/>
  <c r="M1285" i="2"/>
  <c r="L1285" i="2"/>
  <c r="K1285" i="2"/>
  <c r="J1285" i="2"/>
  <c r="I1285" i="2"/>
  <c r="H1285" i="2"/>
  <c r="G1285" i="2"/>
  <c r="F1285" i="2"/>
  <c r="E1285" i="2"/>
  <c r="D1285" i="2"/>
  <c r="C1285" i="2"/>
  <c r="B1285" i="2"/>
  <c r="A1285" i="2"/>
  <c r="AH1284" i="2"/>
  <c r="AG1284" i="2"/>
  <c r="AF1284" i="2"/>
  <c r="AE1284" i="2"/>
  <c r="AD1284" i="2"/>
  <c r="AC1284" i="2"/>
  <c r="AB1284" i="2"/>
  <c r="AA1284" i="2"/>
  <c r="Y1284" i="2"/>
  <c r="X1284" i="2"/>
  <c r="W1284" i="2"/>
  <c r="V1284" i="2"/>
  <c r="U1284" i="2"/>
  <c r="T1284" i="2"/>
  <c r="S1284" i="2"/>
  <c r="R1284" i="2"/>
  <c r="Q1284" i="2"/>
  <c r="P1284" i="2"/>
  <c r="O1284" i="2"/>
  <c r="N1284" i="2"/>
  <c r="M1284" i="2"/>
  <c r="L1284" i="2"/>
  <c r="K1284" i="2"/>
  <c r="J1284" i="2"/>
  <c r="I1284" i="2"/>
  <c r="H1284" i="2"/>
  <c r="G1284" i="2"/>
  <c r="F1284" i="2"/>
  <c r="E1284" i="2"/>
  <c r="D1284" i="2"/>
  <c r="C1284" i="2"/>
  <c r="B1284" i="2"/>
  <c r="A1284" i="2"/>
  <c r="AH1283" i="2"/>
  <c r="AG1283" i="2"/>
  <c r="AF1283" i="2"/>
  <c r="AE1283" i="2"/>
  <c r="AD1283" i="2"/>
  <c r="AC1283" i="2"/>
  <c r="AB1283" i="2"/>
  <c r="AA1283" i="2"/>
  <c r="Z1283" i="2"/>
  <c r="Y1283" i="2"/>
  <c r="X1283" i="2"/>
  <c r="W1283" i="2"/>
  <c r="V1283" i="2"/>
  <c r="U1283" i="2"/>
  <c r="T1283" i="2"/>
  <c r="S1283" i="2"/>
  <c r="R1283" i="2"/>
  <c r="Q1283" i="2"/>
  <c r="P1283" i="2"/>
  <c r="O1283" i="2"/>
  <c r="N1283" i="2"/>
  <c r="M1283" i="2"/>
  <c r="L1283" i="2"/>
  <c r="K1283" i="2"/>
  <c r="J1283" i="2"/>
  <c r="I1283" i="2"/>
  <c r="H1283" i="2"/>
  <c r="G1283" i="2"/>
  <c r="F1283" i="2"/>
  <c r="E1283" i="2"/>
  <c r="D1283" i="2"/>
  <c r="C1283" i="2"/>
  <c r="B1283" i="2"/>
  <c r="A1283" i="2"/>
  <c r="AG1282" i="2"/>
  <c r="AE1282" i="2"/>
  <c r="AD1282" i="2"/>
  <c r="AC1282" i="2"/>
  <c r="AB1282" i="2"/>
  <c r="AA1282" i="2"/>
  <c r="W1282" i="2"/>
  <c r="V1282" i="2"/>
  <c r="U1282" i="2"/>
  <c r="T1282" i="2"/>
  <c r="S1282" i="2"/>
  <c r="R1282" i="2"/>
  <c r="Q1282" i="2"/>
  <c r="P1282" i="2"/>
  <c r="O1282" i="2"/>
  <c r="N1282" i="2"/>
  <c r="M1282" i="2"/>
  <c r="L1282" i="2"/>
  <c r="K1282" i="2"/>
  <c r="J1282" i="2"/>
  <c r="I1282" i="2"/>
  <c r="H1282" i="2"/>
  <c r="G1282" i="2"/>
  <c r="F1282" i="2"/>
  <c r="E1282" i="2"/>
  <c r="D1282" i="2"/>
  <c r="C1282" i="2"/>
  <c r="B1282" i="2"/>
  <c r="A1282" i="2"/>
  <c r="AH1281" i="2"/>
  <c r="AG1281" i="2"/>
  <c r="AF1281" i="2"/>
  <c r="AE1281" i="2"/>
  <c r="AD1281" i="2"/>
  <c r="AC1281" i="2"/>
  <c r="AB1281" i="2"/>
  <c r="AA1281" i="2"/>
  <c r="Y1281" i="2"/>
  <c r="X1281" i="2"/>
  <c r="W1281" i="2"/>
  <c r="V1281" i="2"/>
  <c r="U1281" i="2"/>
  <c r="T1281" i="2"/>
  <c r="S1281" i="2"/>
  <c r="R1281" i="2"/>
  <c r="Q1281" i="2"/>
  <c r="P1281" i="2"/>
  <c r="O1281" i="2"/>
  <c r="N1281" i="2"/>
  <c r="M1281" i="2"/>
  <c r="L1281" i="2"/>
  <c r="K1281" i="2"/>
  <c r="J1281" i="2"/>
  <c r="I1281" i="2"/>
  <c r="H1281" i="2"/>
  <c r="G1281" i="2"/>
  <c r="F1281" i="2"/>
  <c r="E1281" i="2"/>
  <c r="D1281" i="2"/>
  <c r="C1281" i="2"/>
  <c r="B1281" i="2"/>
  <c r="A1281" i="2"/>
  <c r="AH1280" i="2"/>
  <c r="AG1280" i="2"/>
  <c r="AF1280" i="2"/>
  <c r="AE1280" i="2"/>
  <c r="AD1280" i="2"/>
  <c r="AC1280" i="2"/>
  <c r="AB1280" i="2"/>
  <c r="AA1280" i="2"/>
  <c r="Z1280" i="2"/>
  <c r="Y1280" i="2"/>
  <c r="X1280" i="2"/>
  <c r="W1280" i="2"/>
  <c r="V1280" i="2"/>
  <c r="U1280" i="2"/>
  <c r="T1280" i="2"/>
  <c r="S1280" i="2"/>
  <c r="R1280" i="2"/>
  <c r="Q1280" i="2"/>
  <c r="P1280" i="2"/>
  <c r="O1280" i="2"/>
  <c r="N1280" i="2"/>
  <c r="M1280" i="2"/>
  <c r="L1280" i="2"/>
  <c r="K1280" i="2"/>
  <c r="J1280" i="2"/>
  <c r="I1280" i="2"/>
  <c r="H1280" i="2"/>
  <c r="G1280" i="2"/>
  <c r="F1280" i="2"/>
  <c r="E1280" i="2"/>
  <c r="D1280" i="2"/>
  <c r="C1280" i="2"/>
  <c r="B1280" i="2"/>
  <c r="A1280" i="2"/>
  <c r="AH1279" i="2"/>
  <c r="AG1279" i="2"/>
  <c r="AE1279" i="2"/>
  <c r="AD1279" i="2"/>
  <c r="AC1279" i="2"/>
  <c r="AB1279" i="2"/>
  <c r="AA1279" i="2"/>
  <c r="Y1279" i="2"/>
  <c r="W1279" i="2"/>
  <c r="V1279" i="2"/>
  <c r="U1279" i="2"/>
  <c r="T1279" i="2"/>
  <c r="S1279" i="2"/>
  <c r="R1279" i="2"/>
  <c r="Q1279" i="2"/>
  <c r="P1279" i="2"/>
  <c r="O1279" i="2"/>
  <c r="N1279" i="2"/>
  <c r="M1279" i="2"/>
  <c r="L1279" i="2"/>
  <c r="K1279" i="2"/>
  <c r="J1279" i="2"/>
  <c r="I1279" i="2"/>
  <c r="H1279" i="2"/>
  <c r="G1279" i="2"/>
  <c r="F1279" i="2"/>
  <c r="E1279" i="2"/>
  <c r="D1279" i="2"/>
  <c r="C1279" i="2"/>
  <c r="B1279" i="2"/>
  <c r="A1279" i="2"/>
  <c r="AH1278" i="2"/>
  <c r="AG1278" i="2"/>
  <c r="AF1278" i="2"/>
  <c r="AE1278" i="2"/>
  <c r="AD1278" i="2"/>
  <c r="AC1278" i="2"/>
  <c r="AB1278" i="2"/>
  <c r="AA1278" i="2"/>
  <c r="Y1278" i="2"/>
  <c r="X1278" i="2"/>
  <c r="W1278" i="2"/>
  <c r="V1278" i="2"/>
  <c r="U1278" i="2"/>
  <c r="T1278" i="2"/>
  <c r="S1278" i="2"/>
  <c r="R1278" i="2"/>
  <c r="Q1278" i="2"/>
  <c r="P1278" i="2"/>
  <c r="O1278" i="2"/>
  <c r="N1278" i="2"/>
  <c r="M1278" i="2"/>
  <c r="L1278" i="2"/>
  <c r="K1278" i="2"/>
  <c r="J1278" i="2"/>
  <c r="I1278" i="2"/>
  <c r="H1278" i="2"/>
  <c r="G1278" i="2"/>
  <c r="F1278" i="2"/>
  <c r="E1278" i="2"/>
  <c r="D1278" i="2"/>
  <c r="C1278" i="2"/>
  <c r="B1278" i="2"/>
  <c r="A1278" i="2"/>
  <c r="AH1277" i="2"/>
  <c r="AG1277" i="2"/>
  <c r="AF1277" i="2"/>
  <c r="AE1277" i="2"/>
  <c r="AD1277" i="2"/>
  <c r="AC1277" i="2"/>
  <c r="AB1277" i="2"/>
  <c r="AA1277" i="2"/>
  <c r="Z1277" i="2"/>
  <c r="Y1277" i="2"/>
  <c r="X1277" i="2"/>
  <c r="W1277" i="2"/>
  <c r="V1277" i="2"/>
  <c r="U1277" i="2"/>
  <c r="T1277" i="2"/>
  <c r="R1277" i="2"/>
  <c r="Q1277" i="2"/>
  <c r="P1277" i="2"/>
  <c r="O1277" i="2"/>
  <c r="N1277" i="2"/>
  <c r="M1277" i="2"/>
  <c r="L1277" i="2"/>
  <c r="K1277" i="2"/>
  <c r="J1277" i="2"/>
  <c r="I1277" i="2"/>
  <c r="H1277" i="2"/>
  <c r="G1277" i="2"/>
  <c r="F1277" i="2"/>
  <c r="E1277" i="2"/>
  <c r="D1277" i="2"/>
  <c r="C1277" i="2"/>
  <c r="B1277" i="2"/>
  <c r="A1277" i="2"/>
  <c r="AH1276" i="2"/>
  <c r="AG1276" i="2"/>
  <c r="AF1276" i="2"/>
  <c r="AE1276" i="2"/>
  <c r="AD1276" i="2"/>
  <c r="AC1276" i="2"/>
  <c r="AB1276" i="2"/>
  <c r="AA1276" i="2"/>
  <c r="X1276" i="2"/>
  <c r="W1276" i="2"/>
  <c r="V1276" i="2"/>
  <c r="U1276" i="2"/>
  <c r="T1276" i="2"/>
  <c r="S1276" i="2"/>
  <c r="R1276" i="2"/>
  <c r="Q1276" i="2"/>
  <c r="P1276" i="2"/>
  <c r="O1276" i="2"/>
  <c r="N1276" i="2"/>
  <c r="M1276" i="2"/>
  <c r="L1276" i="2"/>
  <c r="K1276" i="2"/>
  <c r="J1276" i="2"/>
  <c r="I1276" i="2"/>
  <c r="H1276" i="2"/>
  <c r="G1276" i="2"/>
  <c r="F1276" i="2"/>
  <c r="E1276" i="2"/>
  <c r="D1276" i="2"/>
  <c r="C1276" i="2"/>
  <c r="B1276" i="2"/>
  <c r="A1276" i="2"/>
  <c r="AH1275" i="2"/>
  <c r="AG1275" i="2"/>
  <c r="AF1275" i="2"/>
  <c r="AE1275" i="2"/>
  <c r="AD1275" i="2"/>
  <c r="AC1275" i="2"/>
  <c r="AB1275" i="2"/>
  <c r="AA1275" i="2"/>
  <c r="Y1275" i="2"/>
  <c r="X1275" i="2"/>
  <c r="W1275" i="2"/>
  <c r="V1275" i="2"/>
  <c r="U1275" i="2"/>
  <c r="T1275" i="2"/>
  <c r="S1275" i="2"/>
  <c r="R1275" i="2"/>
  <c r="Q1275" i="2"/>
  <c r="P1275" i="2"/>
  <c r="O1275" i="2"/>
  <c r="N1275" i="2"/>
  <c r="M1275" i="2"/>
  <c r="L1275" i="2"/>
  <c r="K1275" i="2"/>
  <c r="J1275" i="2"/>
  <c r="I1275" i="2"/>
  <c r="H1275" i="2"/>
  <c r="G1275" i="2"/>
  <c r="F1275" i="2"/>
  <c r="E1275" i="2"/>
  <c r="D1275" i="2"/>
  <c r="C1275" i="2"/>
  <c r="B1275" i="2"/>
  <c r="A1275" i="2"/>
  <c r="AH1274" i="2"/>
  <c r="AG1274" i="2"/>
  <c r="AE1274" i="2"/>
  <c r="AD1274" i="2"/>
  <c r="AC1274" i="2"/>
  <c r="AB1274" i="2"/>
  <c r="AA1274" i="2"/>
  <c r="Z1274" i="2"/>
  <c r="Y1274" i="2"/>
  <c r="W1274" i="2"/>
  <c r="V1274" i="2"/>
  <c r="U1274" i="2"/>
  <c r="T1274" i="2"/>
  <c r="S1274" i="2"/>
  <c r="R1274" i="2"/>
  <c r="Q1274" i="2"/>
  <c r="P1274" i="2"/>
  <c r="O1274" i="2"/>
  <c r="N1274" i="2"/>
  <c r="M1274" i="2"/>
  <c r="L1274" i="2"/>
  <c r="K1274" i="2"/>
  <c r="J1274" i="2"/>
  <c r="I1274" i="2"/>
  <c r="H1274" i="2"/>
  <c r="G1274" i="2"/>
  <c r="F1274" i="2"/>
  <c r="E1274" i="2"/>
  <c r="D1274" i="2"/>
  <c r="C1274" i="2"/>
  <c r="B1274" i="2"/>
  <c r="A1274" i="2"/>
  <c r="AH1273" i="2"/>
  <c r="AG1273" i="2"/>
  <c r="AF1273" i="2"/>
  <c r="AE1273" i="2"/>
  <c r="AD1273" i="2"/>
  <c r="AC1273" i="2"/>
  <c r="AB1273" i="2"/>
  <c r="AA1273" i="2"/>
  <c r="Y1273" i="2"/>
  <c r="X1273" i="2"/>
  <c r="W1273" i="2"/>
  <c r="V1273" i="2"/>
  <c r="U1273" i="2"/>
  <c r="T1273" i="2"/>
  <c r="R1273" i="2"/>
  <c r="Q1273" i="2"/>
  <c r="P1273" i="2"/>
  <c r="O1273" i="2"/>
  <c r="N1273" i="2"/>
  <c r="M1273" i="2"/>
  <c r="L1273" i="2"/>
  <c r="K1273" i="2"/>
  <c r="J1273" i="2"/>
  <c r="I1273" i="2"/>
  <c r="H1273" i="2"/>
  <c r="G1273" i="2"/>
  <c r="F1273" i="2"/>
  <c r="E1273" i="2"/>
  <c r="D1273" i="2"/>
  <c r="C1273" i="2"/>
  <c r="B1273" i="2"/>
  <c r="A1273" i="2"/>
  <c r="AH1272" i="2"/>
  <c r="AG1272" i="2"/>
  <c r="AF1272" i="2"/>
  <c r="AE1272" i="2"/>
  <c r="AC1272" i="2"/>
  <c r="AB1272" i="2"/>
  <c r="AA1272" i="2"/>
  <c r="Y1272" i="2"/>
  <c r="X1272" i="2"/>
  <c r="W1272" i="2"/>
  <c r="V1272" i="2"/>
  <c r="U1272" i="2"/>
  <c r="T1272" i="2"/>
  <c r="R1272" i="2"/>
  <c r="Q1272" i="2"/>
  <c r="P1272" i="2"/>
  <c r="O1272" i="2"/>
  <c r="N1272" i="2"/>
  <c r="M1272" i="2"/>
  <c r="L1272" i="2"/>
  <c r="K1272" i="2"/>
  <c r="J1272" i="2"/>
  <c r="I1272" i="2"/>
  <c r="H1272" i="2"/>
  <c r="G1272" i="2"/>
  <c r="F1272" i="2"/>
  <c r="E1272" i="2"/>
  <c r="D1272" i="2"/>
  <c r="C1272" i="2"/>
  <c r="B1272" i="2"/>
  <c r="A1272" i="2"/>
  <c r="AH1271" i="2"/>
  <c r="AG1271" i="2"/>
  <c r="AD1271" i="2"/>
  <c r="AC1271" i="2"/>
  <c r="AB1271" i="2"/>
  <c r="AA1271" i="2"/>
  <c r="Y1271" i="2"/>
  <c r="X1271" i="2"/>
  <c r="W1271" i="2"/>
  <c r="V1271" i="2"/>
  <c r="U1271" i="2"/>
  <c r="T1271" i="2"/>
  <c r="S1271" i="2"/>
  <c r="R1271" i="2"/>
  <c r="Q1271" i="2"/>
  <c r="P1271" i="2"/>
  <c r="O1271" i="2"/>
  <c r="N1271" i="2"/>
  <c r="M1271" i="2"/>
  <c r="L1271" i="2"/>
  <c r="K1271" i="2"/>
  <c r="J1271" i="2"/>
  <c r="I1271" i="2"/>
  <c r="H1271" i="2"/>
  <c r="G1271" i="2"/>
  <c r="F1271" i="2"/>
  <c r="E1271" i="2"/>
  <c r="D1271" i="2"/>
  <c r="C1271" i="2"/>
  <c r="B1271" i="2"/>
  <c r="A1271" i="2"/>
  <c r="AH1270" i="2"/>
  <c r="AG1270" i="2"/>
  <c r="AE1270" i="2"/>
  <c r="AD1270" i="2"/>
  <c r="AC1270" i="2"/>
  <c r="AB1270" i="2"/>
  <c r="AA1270" i="2"/>
  <c r="Y1270" i="2"/>
  <c r="X1270" i="2"/>
  <c r="W1270" i="2"/>
  <c r="V1270" i="2"/>
  <c r="U1270" i="2"/>
  <c r="T1270" i="2"/>
  <c r="S1270" i="2"/>
  <c r="R1270" i="2"/>
  <c r="Q1270" i="2"/>
  <c r="P1270" i="2"/>
  <c r="O1270" i="2"/>
  <c r="N1270" i="2"/>
  <c r="M1270" i="2"/>
  <c r="L1270" i="2"/>
  <c r="K1270" i="2"/>
  <c r="J1270" i="2"/>
  <c r="I1270" i="2"/>
  <c r="H1270" i="2"/>
  <c r="G1270" i="2"/>
  <c r="F1270" i="2"/>
  <c r="E1270" i="2"/>
  <c r="D1270" i="2"/>
  <c r="C1270" i="2"/>
  <c r="B1270" i="2"/>
  <c r="A1270" i="2"/>
  <c r="AH1269" i="2"/>
  <c r="AG1269" i="2"/>
  <c r="AF1269" i="2"/>
  <c r="AE1269" i="2"/>
  <c r="AD1269" i="2"/>
  <c r="AC1269" i="2"/>
  <c r="AB1269" i="2"/>
  <c r="AA1269" i="2"/>
  <c r="Z1269" i="2"/>
  <c r="Y1269" i="2"/>
  <c r="X1269" i="2"/>
  <c r="W1269" i="2"/>
  <c r="V1269" i="2"/>
  <c r="U1269" i="2"/>
  <c r="T1269" i="2"/>
  <c r="R1269" i="2"/>
  <c r="Q1269" i="2"/>
  <c r="P1269" i="2"/>
  <c r="O1269" i="2"/>
  <c r="N1269" i="2"/>
  <c r="M1269" i="2"/>
  <c r="L1269" i="2"/>
  <c r="K1269" i="2"/>
  <c r="J1269" i="2"/>
  <c r="I1269" i="2"/>
  <c r="H1269" i="2"/>
  <c r="G1269" i="2"/>
  <c r="F1269" i="2"/>
  <c r="E1269" i="2"/>
  <c r="D1269" i="2"/>
  <c r="C1269" i="2"/>
  <c r="B1269" i="2"/>
  <c r="A1269" i="2"/>
  <c r="AH1268" i="2"/>
  <c r="AG1268" i="2"/>
  <c r="AF1268" i="2"/>
  <c r="AE1268" i="2"/>
  <c r="AD1268" i="2"/>
  <c r="AC1268" i="2"/>
  <c r="AB1268" i="2"/>
  <c r="AA1268" i="2"/>
  <c r="Y1268" i="2"/>
  <c r="X1268" i="2"/>
  <c r="W1268" i="2"/>
  <c r="V1268" i="2"/>
  <c r="U1268" i="2"/>
  <c r="T1268" i="2"/>
  <c r="S1268" i="2"/>
  <c r="R1268" i="2"/>
  <c r="Q1268" i="2"/>
  <c r="P1268" i="2"/>
  <c r="O1268" i="2"/>
  <c r="N1268" i="2"/>
  <c r="M1268" i="2"/>
  <c r="L1268" i="2"/>
  <c r="K1268" i="2"/>
  <c r="J1268" i="2"/>
  <c r="I1268" i="2"/>
  <c r="H1268" i="2"/>
  <c r="G1268" i="2"/>
  <c r="F1268" i="2"/>
  <c r="E1268" i="2"/>
  <c r="D1268" i="2"/>
  <c r="C1268" i="2"/>
  <c r="B1268" i="2"/>
  <c r="A1268" i="2"/>
  <c r="AH1267" i="2"/>
  <c r="AG1267" i="2"/>
  <c r="AF1267" i="2"/>
  <c r="AE1267" i="2"/>
  <c r="AD1267" i="2"/>
  <c r="AC1267" i="2"/>
  <c r="AB1267" i="2"/>
  <c r="AA1267" i="2"/>
  <c r="Y1267" i="2"/>
  <c r="X1267" i="2"/>
  <c r="W1267" i="2"/>
  <c r="V1267" i="2"/>
  <c r="U1267" i="2"/>
  <c r="T1267" i="2"/>
  <c r="S1267" i="2"/>
  <c r="R1267" i="2"/>
  <c r="Q1267" i="2"/>
  <c r="P1267" i="2"/>
  <c r="O1267" i="2"/>
  <c r="N1267" i="2"/>
  <c r="M1267" i="2"/>
  <c r="L1267" i="2"/>
  <c r="K1267" i="2"/>
  <c r="J1267" i="2"/>
  <c r="I1267" i="2"/>
  <c r="H1267" i="2"/>
  <c r="G1267" i="2"/>
  <c r="F1267" i="2"/>
  <c r="E1267" i="2"/>
  <c r="D1267" i="2"/>
  <c r="C1267" i="2"/>
  <c r="B1267" i="2"/>
  <c r="A1267" i="2"/>
  <c r="AH1266" i="2"/>
  <c r="AG1266" i="2"/>
  <c r="AE1266" i="2"/>
  <c r="AD1266" i="2"/>
  <c r="AC1266" i="2"/>
  <c r="AB1266" i="2"/>
  <c r="AA1266" i="2"/>
  <c r="W1266" i="2"/>
  <c r="V1266" i="2"/>
  <c r="U1266" i="2"/>
  <c r="T1266" i="2"/>
  <c r="S1266" i="2"/>
  <c r="R1266" i="2"/>
  <c r="Q1266" i="2"/>
  <c r="P1266" i="2"/>
  <c r="O1266" i="2"/>
  <c r="N1266" i="2"/>
  <c r="M1266" i="2"/>
  <c r="L1266" i="2"/>
  <c r="K1266" i="2"/>
  <c r="J1266" i="2"/>
  <c r="I1266" i="2"/>
  <c r="H1266" i="2"/>
  <c r="G1266" i="2"/>
  <c r="F1266" i="2"/>
  <c r="E1266" i="2"/>
  <c r="D1266" i="2"/>
  <c r="C1266" i="2"/>
  <c r="B1266" i="2"/>
  <c r="A1266" i="2"/>
  <c r="AH1265" i="2"/>
  <c r="AG1265" i="2"/>
  <c r="AF1265" i="2"/>
  <c r="AE1265" i="2"/>
  <c r="AD1265" i="2"/>
  <c r="AC1265" i="2"/>
  <c r="AB1265" i="2"/>
  <c r="AA1265" i="2"/>
  <c r="Y1265" i="2"/>
  <c r="X1265" i="2"/>
  <c r="W1265" i="2"/>
  <c r="V1265" i="2"/>
  <c r="U1265" i="2"/>
  <c r="T1265" i="2"/>
  <c r="S1265" i="2"/>
  <c r="R1265" i="2"/>
  <c r="Q1265" i="2"/>
  <c r="P1265" i="2"/>
  <c r="O1265" i="2"/>
  <c r="N1265" i="2"/>
  <c r="M1265" i="2"/>
  <c r="L1265" i="2"/>
  <c r="K1265" i="2"/>
  <c r="J1265" i="2"/>
  <c r="I1265" i="2"/>
  <c r="H1265" i="2"/>
  <c r="G1265" i="2"/>
  <c r="F1265" i="2"/>
  <c r="E1265" i="2"/>
  <c r="D1265" i="2"/>
  <c r="C1265" i="2"/>
  <c r="B1265" i="2"/>
  <c r="A1265" i="2"/>
  <c r="AH1264" i="2"/>
  <c r="AG1264" i="2"/>
  <c r="AF1264" i="2"/>
  <c r="AE1264" i="2"/>
  <c r="AD1264" i="2"/>
  <c r="AC1264" i="2"/>
  <c r="AB1264" i="2"/>
  <c r="AA1264" i="2"/>
  <c r="Y1264" i="2"/>
  <c r="X1264" i="2"/>
  <c r="W1264" i="2"/>
  <c r="V1264" i="2"/>
  <c r="U1264" i="2"/>
  <c r="T1264" i="2"/>
  <c r="S1264" i="2"/>
  <c r="R1264" i="2"/>
  <c r="Q1264" i="2"/>
  <c r="P1264" i="2"/>
  <c r="O1264" i="2"/>
  <c r="N1264" i="2"/>
  <c r="M1264" i="2"/>
  <c r="L1264" i="2"/>
  <c r="K1264" i="2"/>
  <c r="J1264" i="2"/>
  <c r="I1264" i="2"/>
  <c r="H1264" i="2"/>
  <c r="G1264" i="2"/>
  <c r="F1264" i="2"/>
  <c r="E1264" i="2"/>
  <c r="D1264" i="2"/>
  <c r="C1264" i="2"/>
  <c r="B1264" i="2"/>
  <c r="A1264" i="2"/>
  <c r="AH1263" i="2"/>
  <c r="AG1263" i="2"/>
  <c r="AF1263" i="2"/>
  <c r="AE1263" i="2"/>
  <c r="AD1263" i="2"/>
  <c r="AC1263" i="2"/>
  <c r="AB1263" i="2"/>
  <c r="AA1263" i="2"/>
  <c r="Y1263" i="2"/>
  <c r="X1263" i="2"/>
  <c r="W1263" i="2"/>
  <c r="V1263" i="2"/>
  <c r="U1263" i="2"/>
  <c r="T1263" i="2"/>
  <c r="S1263" i="2"/>
  <c r="R1263" i="2"/>
  <c r="Q1263" i="2"/>
  <c r="P1263" i="2"/>
  <c r="O1263" i="2"/>
  <c r="N1263" i="2"/>
  <c r="M1263" i="2"/>
  <c r="L1263" i="2"/>
  <c r="K1263" i="2"/>
  <c r="J1263" i="2"/>
  <c r="I1263" i="2"/>
  <c r="H1263" i="2"/>
  <c r="G1263" i="2"/>
  <c r="F1263" i="2"/>
  <c r="E1263" i="2"/>
  <c r="D1263" i="2"/>
  <c r="C1263" i="2"/>
  <c r="B1263" i="2"/>
  <c r="A1263" i="2"/>
  <c r="AH1262" i="2"/>
  <c r="AG1262" i="2"/>
  <c r="AF1262" i="2"/>
  <c r="AE1262" i="2"/>
  <c r="AD1262" i="2"/>
  <c r="AC1262" i="2"/>
  <c r="AB1262" i="2"/>
  <c r="AA1262" i="2"/>
  <c r="W1262" i="2"/>
  <c r="V1262" i="2"/>
  <c r="U1262" i="2"/>
  <c r="T1262" i="2"/>
  <c r="S1262" i="2"/>
  <c r="R1262" i="2"/>
  <c r="Q1262" i="2"/>
  <c r="P1262" i="2"/>
  <c r="O1262" i="2"/>
  <c r="N1262" i="2"/>
  <c r="M1262" i="2"/>
  <c r="L1262" i="2"/>
  <c r="K1262" i="2"/>
  <c r="J1262" i="2"/>
  <c r="I1262" i="2"/>
  <c r="H1262" i="2"/>
  <c r="G1262" i="2"/>
  <c r="F1262" i="2"/>
  <c r="E1262" i="2"/>
  <c r="D1262" i="2"/>
  <c r="C1262" i="2"/>
  <c r="B1262" i="2"/>
  <c r="A1262" i="2"/>
  <c r="AG1261" i="2"/>
  <c r="AF1261" i="2"/>
  <c r="AE1261" i="2"/>
  <c r="AD1261" i="2"/>
  <c r="AC1261" i="2"/>
  <c r="AB1261" i="2"/>
  <c r="AA1261" i="2"/>
  <c r="X1261" i="2"/>
  <c r="W1261" i="2"/>
  <c r="V1261" i="2"/>
  <c r="U1261" i="2"/>
  <c r="T1261" i="2"/>
  <c r="S1261" i="2"/>
  <c r="R1261" i="2"/>
  <c r="Q1261" i="2"/>
  <c r="P1261" i="2"/>
  <c r="O1261" i="2"/>
  <c r="N1261" i="2"/>
  <c r="M1261" i="2"/>
  <c r="L1261" i="2"/>
  <c r="K1261" i="2"/>
  <c r="J1261" i="2"/>
  <c r="I1261" i="2"/>
  <c r="H1261" i="2"/>
  <c r="G1261" i="2"/>
  <c r="F1261" i="2"/>
  <c r="E1261" i="2"/>
  <c r="D1261" i="2"/>
  <c r="C1261" i="2"/>
  <c r="B1261" i="2"/>
  <c r="A1261" i="2"/>
  <c r="AH1260" i="2"/>
  <c r="AG1260" i="2"/>
  <c r="AE1260" i="2"/>
  <c r="AD1260" i="2"/>
  <c r="AC1260" i="2"/>
  <c r="AB1260" i="2"/>
  <c r="AA1260" i="2"/>
  <c r="Y1260" i="2"/>
  <c r="W1260" i="2"/>
  <c r="V1260" i="2"/>
  <c r="U1260" i="2"/>
  <c r="T1260" i="2"/>
  <c r="S1260" i="2"/>
  <c r="R1260" i="2"/>
  <c r="Q1260" i="2"/>
  <c r="P1260" i="2"/>
  <c r="O1260" i="2"/>
  <c r="N1260" i="2"/>
  <c r="M1260" i="2"/>
  <c r="L1260" i="2"/>
  <c r="K1260" i="2"/>
  <c r="J1260" i="2"/>
  <c r="I1260" i="2"/>
  <c r="H1260" i="2"/>
  <c r="G1260" i="2"/>
  <c r="F1260" i="2"/>
  <c r="E1260" i="2"/>
  <c r="D1260" i="2"/>
  <c r="C1260" i="2"/>
  <c r="B1260" i="2"/>
  <c r="A1260" i="2"/>
  <c r="AG1259" i="2"/>
  <c r="AE1259" i="2"/>
  <c r="AD1259" i="2"/>
  <c r="AC1259" i="2"/>
  <c r="AB1259" i="2"/>
  <c r="AA1259" i="2"/>
  <c r="Z1259" i="2"/>
  <c r="Y1259" i="2"/>
  <c r="X1259" i="2"/>
  <c r="W1259" i="2"/>
  <c r="V1259" i="2"/>
  <c r="U1259" i="2"/>
  <c r="T1259" i="2"/>
  <c r="S1259" i="2"/>
  <c r="R1259" i="2"/>
  <c r="Q1259" i="2"/>
  <c r="P1259" i="2"/>
  <c r="O1259" i="2"/>
  <c r="N1259" i="2"/>
  <c r="M1259" i="2"/>
  <c r="L1259" i="2"/>
  <c r="K1259" i="2"/>
  <c r="J1259" i="2"/>
  <c r="I1259" i="2"/>
  <c r="H1259" i="2"/>
  <c r="G1259" i="2"/>
  <c r="F1259" i="2"/>
  <c r="E1259" i="2"/>
  <c r="D1259" i="2"/>
  <c r="C1259" i="2"/>
  <c r="B1259" i="2"/>
  <c r="A1259" i="2"/>
  <c r="AG1258" i="2"/>
  <c r="AF1258" i="2"/>
  <c r="AE1258" i="2"/>
  <c r="AD1258" i="2"/>
  <c r="AC1258" i="2"/>
  <c r="AB1258" i="2"/>
  <c r="AA1258" i="2"/>
  <c r="Z1258" i="2"/>
  <c r="Y1258" i="2"/>
  <c r="X1258" i="2"/>
  <c r="W1258" i="2"/>
  <c r="V1258" i="2"/>
  <c r="U1258" i="2"/>
  <c r="T1258" i="2"/>
  <c r="S1258" i="2"/>
  <c r="R1258" i="2"/>
  <c r="Q1258" i="2"/>
  <c r="P1258" i="2"/>
  <c r="O1258" i="2"/>
  <c r="N1258" i="2"/>
  <c r="M1258" i="2"/>
  <c r="L1258" i="2"/>
  <c r="K1258" i="2"/>
  <c r="J1258" i="2"/>
  <c r="I1258" i="2"/>
  <c r="H1258" i="2"/>
  <c r="G1258" i="2"/>
  <c r="F1258" i="2"/>
  <c r="E1258" i="2"/>
  <c r="D1258" i="2"/>
  <c r="C1258" i="2"/>
  <c r="B1258" i="2"/>
  <c r="A1258" i="2"/>
  <c r="AH1257" i="2"/>
  <c r="AG1257" i="2"/>
  <c r="AF1257" i="2"/>
  <c r="AE1257" i="2"/>
  <c r="AD1257" i="2"/>
  <c r="AC1257" i="2"/>
  <c r="AB1257" i="2"/>
  <c r="AA1257" i="2"/>
  <c r="Y1257" i="2"/>
  <c r="X1257" i="2"/>
  <c r="W1257" i="2"/>
  <c r="V1257" i="2"/>
  <c r="U1257" i="2"/>
  <c r="T1257" i="2"/>
  <c r="S1257" i="2"/>
  <c r="R1257" i="2"/>
  <c r="Q1257" i="2"/>
  <c r="P1257" i="2"/>
  <c r="O1257" i="2"/>
  <c r="N1257" i="2"/>
  <c r="M1257" i="2"/>
  <c r="L1257" i="2"/>
  <c r="K1257" i="2"/>
  <c r="J1257" i="2"/>
  <c r="I1257" i="2"/>
  <c r="H1257" i="2"/>
  <c r="G1257" i="2"/>
  <c r="F1257" i="2"/>
  <c r="E1257" i="2"/>
  <c r="D1257" i="2"/>
  <c r="C1257" i="2"/>
  <c r="B1257" i="2"/>
  <c r="A1257" i="2"/>
  <c r="AH1256" i="2"/>
  <c r="AG1256" i="2"/>
  <c r="AF1256" i="2"/>
  <c r="AE1256" i="2"/>
  <c r="AC1256" i="2"/>
  <c r="AB1256" i="2"/>
  <c r="AA1256" i="2"/>
  <c r="Y1256" i="2"/>
  <c r="X1256" i="2"/>
  <c r="W1256" i="2"/>
  <c r="V1256" i="2"/>
  <c r="U1256" i="2"/>
  <c r="T1256" i="2"/>
  <c r="R1256" i="2"/>
  <c r="Q1256" i="2"/>
  <c r="P1256" i="2"/>
  <c r="O1256" i="2"/>
  <c r="N1256" i="2"/>
  <c r="M1256" i="2"/>
  <c r="L1256" i="2"/>
  <c r="K1256" i="2"/>
  <c r="J1256" i="2"/>
  <c r="I1256" i="2"/>
  <c r="H1256" i="2"/>
  <c r="G1256" i="2"/>
  <c r="F1256" i="2"/>
  <c r="E1256" i="2"/>
  <c r="D1256" i="2"/>
  <c r="C1256" i="2"/>
  <c r="B1256" i="2"/>
  <c r="A1256" i="2"/>
  <c r="AG1255" i="2"/>
  <c r="AE1255" i="2"/>
  <c r="AD1255" i="2"/>
  <c r="AC1255" i="2"/>
  <c r="AB1255" i="2"/>
  <c r="AA1255" i="2"/>
  <c r="Z1255" i="2"/>
  <c r="Y1255" i="2"/>
  <c r="X1255" i="2"/>
  <c r="W1255" i="2"/>
  <c r="V1255" i="2"/>
  <c r="U1255" i="2"/>
  <c r="T1255" i="2"/>
  <c r="P1255" i="2"/>
  <c r="O1255" i="2"/>
  <c r="N1255" i="2"/>
  <c r="M1255" i="2"/>
  <c r="L1255" i="2"/>
  <c r="K1255" i="2"/>
  <c r="J1255" i="2"/>
  <c r="I1255" i="2"/>
  <c r="H1255" i="2"/>
  <c r="G1255" i="2"/>
  <c r="F1255" i="2"/>
  <c r="E1255" i="2"/>
  <c r="D1255" i="2"/>
  <c r="C1255" i="2"/>
  <c r="B1255" i="2"/>
  <c r="A1255" i="2"/>
  <c r="AH1254" i="2"/>
  <c r="AG1254" i="2"/>
  <c r="AF1254" i="2"/>
  <c r="AE1254" i="2"/>
  <c r="AD1254" i="2"/>
  <c r="AC1254" i="2"/>
  <c r="AB1254" i="2"/>
  <c r="AA1254" i="2"/>
  <c r="Z1254" i="2"/>
  <c r="Y1254" i="2"/>
  <c r="X1254" i="2"/>
  <c r="W1254" i="2"/>
  <c r="V1254" i="2"/>
  <c r="U1254" i="2"/>
  <c r="T1254" i="2"/>
  <c r="S1254" i="2"/>
  <c r="R1254" i="2"/>
  <c r="Q1254" i="2"/>
  <c r="P1254" i="2"/>
  <c r="O1254" i="2"/>
  <c r="N1254" i="2"/>
  <c r="M1254" i="2"/>
  <c r="L1254" i="2"/>
  <c r="K1254" i="2"/>
  <c r="J1254" i="2"/>
  <c r="I1254" i="2"/>
  <c r="H1254" i="2"/>
  <c r="G1254" i="2"/>
  <c r="F1254" i="2"/>
  <c r="E1254" i="2"/>
  <c r="D1254" i="2"/>
  <c r="C1254" i="2"/>
  <c r="B1254" i="2"/>
  <c r="A1254" i="2"/>
  <c r="AG1253" i="2"/>
  <c r="AF1253" i="2"/>
  <c r="AE1253" i="2"/>
  <c r="AD1253" i="2"/>
  <c r="AC1253" i="2"/>
  <c r="AB1253" i="2"/>
  <c r="AA1253" i="2"/>
  <c r="Y1253" i="2"/>
  <c r="X1253" i="2"/>
  <c r="W1253" i="2"/>
  <c r="V1253" i="2"/>
  <c r="U1253" i="2"/>
  <c r="T1253" i="2"/>
  <c r="S1253" i="2"/>
  <c r="R1253" i="2"/>
  <c r="Q1253" i="2"/>
  <c r="P1253" i="2"/>
  <c r="O1253" i="2"/>
  <c r="N1253" i="2"/>
  <c r="M1253" i="2"/>
  <c r="L1253" i="2"/>
  <c r="K1253" i="2"/>
  <c r="J1253" i="2"/>
  <c r="I1253" i="2"/>
  <c r="H1253" i="2"/>
  <c r="G1253" i="2"/>
  <c r="F1253" i="2"/>
  <c r="E1253" i="2"/>
  <c r="D1253" i="2"/>
  <c r="C1253" i="2"/>
  <c r="B1253" i="2"/>
  <c r="A1253" i="2"/>
  <c r="AH1252" i="2"/>
  <c r="AG1252" i="2"/>
  <c r="AE1252" i="2"/>
  <c r="AD1252" i="2"/>
  <c r="AC1252" i="2"/>
  <c r="AB1252" i="2"/>
  <c r="AA1252" i="2"/>
  <c r="Y1252" i="2"/>
  <c r="W1252" i="2"/>
  <c r="V1252" i="2"/>
  <c r="U1252" i="2"/>
  <c r="T1252" i="2"/>
  <c r="S1252" i="2"/>
  <c r="R1252" i="2"/>
  <c r="Q1252" i="2"/>
  <c r="P1252" i="2"/>
  <c r="O1252" i="2"/>
  <c r="N1252" i="2"/>
  <c r="M1252" i="2"/>
  <c r="L1252" i="2"/>
  <c r="K1252" i="2"/>
  <c r="J1252" i="2"/>
  <c r="I1252" i="2"/>
  <c r="H1252" i="2"/>
  <c r="G1252" i="2"/>
  <c r="F1252" i="2"/>
  <c r="E1252" i="2"/>
  <c r="D1252" i="2"/>
  <c r="C1252" i="2"/>
  <c r="B1252" i="2"/>
  <c r="A1252" i="2"/>
  <c r="AH1251" i="2"/>
  <c r="AG1251" i="2"/>
  <c r="AF1251" i="2"/>
  <c r="AE1251" i="2"/>
  <c r="AC1251" i="2"/>
  <c r="AB1251" i="2"/>
  <c r="AA1251" i="2"/>
  <c r="Y1251" i="2"/>
  <c r="W1251" i="2"/>
  <c r="V1251" i="2"/>
  <c r="U1251" i="2"/>
  <c r="T1251" i="2"/>
  <c r="S1251" i="2"/>
  <c r="R1251" i="2"/>
  <c r="Q1251" i="2"/>
  <c r="P1251" i="2"/>
  <c r="O1251" i="2"/>
  <c r="N1251" i="2"/>
  <c r="M1251" i="2"/>
  <c r="L1251" i="2"/>
  <c r="K1251" i="2"/>
  <c r="J1251" i="2"/>
  <c r="I1251" i="2"/>
  <c r="H1251" i="2"/>
  <c r="G1251" i="2"/>
  <c r="F1251" i="2"/>
  <c r="E1251" i="2"/>
  <c r="D1251" i="2"/>
  <c r="C1251" i="2"/>
  <c r="B1251" i="2"/>
  <c r="A1251" i="2"/>
  <c r="AH1250" i="2"/>
  <c r="AG1250" i="2"/>
  <c r="AE1250" i="2"/>
  <c r="AD1250" i="2"/>
  <c r="AC1250" i="2"/>
  <c r="AB1250" i="2"/>
  <c r="AA1250" i="2"/>
  <c r="Z1250" i="2"/>
  <c r="Y1250" i="2"/>
  <c r="X1250" i="2"/>
  <c r="W1250" i="2"/>
  <c r="V1250" i="2"/>
  <c r="U1250" i="2"/>
  <c r="T1250" i="2"/>
  <c r="S1250" i="2"/>
  <c r="R1250" i="2"/>
  <c r="Q1250" i="2"/>
  <c r="P1250" i="2"/>
  <c r="O1250" i="2"/>
  <c r="N1250" i="2"/>
  <c r="M1250" i="2"/>
  <c r="L1250" i="2"/>
  <c r="K1250" i="2"/>
  <c r="J1250" i="2"/>
  <c r="I1250" i="2"/>
  <c r="H1250" i="2"/>
  <c r="G1250" i="2"/>
  <c r="F1250" i="2"/>
  <c r="E1250" i="2"/>
  <c r="D1250" i="2"/>
  <c r="C1250" i="2"/>
  <c r="B1250" i="2"/>
  <c r="A1250" i="2"/>
  <c r="AH1249" i="2"/>
  <c r="AG1249" i="2"/>
  <c r="AF1249" i="2"/>
  <c r="AE1249" i="2"/>
  <c r="AD1249" i="2"/>
  <c r="AC1249" i="2"/>
  <c r="AB1249" i="2"/>
  <c r="AA1249" i="2"/>
  <c r="Z1249" i="2"/>
  <c r="Y1249" i="2"/>
  <c r="X1249" i="2"/>
  <c r="W1249" i="2"/>
  <c r="V1249" i="2"/>
  <c r="U1249" i="2"/>
  <c r="T1249" i="2"/>
  <c r="Q1249" i="2"/>
  <c r="P1249" i="2"/>
  <c r="O1249" i="2"/>
  <c r="N1249" i="2"/>
  <c r="M1249" i="2"/>
  <c r="L1249" i="2"/>
  <c r="K1249" i="2"/>
  <c r="J1249" i="2"/>
  <c r="I1249" i="2"/>
  <c r="H1249" i="2"/>
  <c r="G1249" i="2"/>
  <c r="F1249" i="2"/>
  <c r="E1249" i="2"/>
  <c r="D1249" i="2"/>
  <c r="C1249" i="2"/>
  <c r="B1249" i="2"/>
  <c r="A1249" i="2"/>
  <c r="AH1248" i="2"/>
  <c r="AG1248" i="2"/>
  <c r="AF1248" i="2"/>
  <c r="AE1248" i="2"/>
  <c r="AD1248" i="2"/>
  <c r="AC1248" i="2"/>
  <c r="AB1248" i="2"/>
  <c r="AA1248" i="2"/>
  <c r="Y1248" i="2"/>
  <c r="X1248" i="2"/>
  <c r="W1248" i="2"/>
  <c r="V1248" i="2"/>
  <c r="U1248" i="2"/>
  <c r="T1248" i="2"/>
  <c r="S1248" i="2"/>
  <c r="R1248" i="2"/>
  <c r="Q1248" i="2"/>
  <c r="P1248" i="2"/>
  <c r="O1248" i="2"/>
  <c r="N1248" i="2"/>
  <c r="M1248" i="2"/>
  <c r="L1248" i="2"/>
  <c r="K1248" i="2"/>
  <c r="J1248" i="2"/>
  <c r="I1248" i="2"/>
  <c r="H1248" i="2"/>
  <c r="G1248" i="2"/>
  <c r="F1248" i="2"/>
  <c r="E1248" i="2"/>
  <c r="D1248" i="2"/>
  <c r="C1248" i="2"/>
  <c r="B1248" i="2"/>
  <c r="A1248" i="2"/>
  <c r="AH1247" i="2"/>
  <c r="AG1247" i="2"/>
  <c r="AF1247" i="2"/>
  <c r="AE1247" i="2"/>
  <c r="AD1247" i="2"/>
  <c r="AC1247" i="2"/>
  <c r="AB1247" i="2"/>
  <c r="AA1247" i="2"/>
  <c r="Y1247" i="2"/>
  <c r="X1247" i="2"/>
  <c r="W1247" i="2"/>
  <c r="V1247" i="2"/>
  <c r="U1247" i="2"/>
  <c r="T1247" i="2"/>
  <c r="S1247" i="2"/>
  <c r="R1247" i="2"/>
  <c r="Q1247" i="2"/>
  <c r="P1247" i="2"/>
  <c r="O1247" i="2"/>
  <c r="N1247" i="2"/>
  <c r="M1247" i="2"/>
  <c r="L1247" i="2"/>
  <c r="K1247" i="2"/>
  <c r="J1247" i="2"/>
  <c r="I1247" i="2"/>
  <c r="H1247" i="2"/>
  <c r="G1247" i="2"/>
  <c r="F1247" i="2"/>
  <c r="E1247" i="2"/>
  <c r="D1247" i="2"/>
  <c r="C1247" i="2"/>
  <c r="B1247" i="2"/>
  <c r="A1247" i="2"/>
  <c r="AG1246" i="2"/>
  <c r="AF1246" i="2"/>
  <c r="AE1246" i="2"/>
  <c r="AD1246" i="2"/>
  <c r="AC1246" i="2"/>
  <c r="AB1246" i="2"/>
  <c r="AA1246" i="2"/>
  <c r="Y1246" i="2"/>
  <c r="X1246" i="2"/>
  <c r="W1246" i="2"/>
  <c r="V1246" i="2"/>
  <c r="U1246" i="2"/>
  <c r="S1246" i="2"/>
  <c r="R1246" i="2"/>
  <c r="Q1246" i="2"/>
  <c r="P1246" i="2"/>
  <c r="O1246" i="2"/>
  <c r="N1246" i="2"/>
  <c r="M1246" i="2"/>
  <c r="L1246" i="2"/>
  <c r="K1246" i="2"/>
  <c r="J1246" i="2"/>
  <c r="I1246" i="2"/>
  <c r="H1246" i="2"/>
  <c r="G1246" i="2"/>
  <c r="F1246" i="2"/>
  <c r="E1246" i="2"/>
  <c r="D1246" i="2"/>
  <c r="C1246" i="2"/>
  <c r="B1246" i="2"/>
  <c r="A1246" i="2"/>
  <c r="AH1245" i="2"/>
  <c r="AG1245" i="2"/>
  <c r="AE1245" i="2"/>
  <c r="AD1245" i="2"/>
  <c r="AC1245" i="2"/>
  <c r="AB1245" i="2"/>
  <c r="AA1245" i="2"/>
  <c r="Z1245" i="2"/>
  <c r="Y1245" i="2"/>
  <c r="X1245" i="2"/>
  <c r="W1245" i="2"/>
  <c r="V1245" i="2"/>
  <c r="U1245" i="2"/>
  <c r="T1245" i="2"/>
  <c r="S1245" i="2"/>
  <c r="R1245" i="2"/>
  <c r="Q1245" i="2"/>
  <c r="P1245" i="2"/>
  <c r="O1245" i="2"/>
  <c r="N1245" i="2"/>
  <c r="M1245" i="2"/>
  <c r="L1245" i="2"/>
  <c r="K1245" i="2"/>
  <c r="J1245" i="2"/>
  <c r="I1245" i="2"/>
  <c r="H1245" i="2"/>
  <c r="G1245" i="2"/>
  <c r="F1245" i="2"/>
  <c r="E1245" i="2"/>
  <c r="D1245" i="2"/>
  <c r="C1245" i="2"/>
  <c r="B1245" i="2"/>
  <c r="A1245" i="2"/>
  <c r="AH1244" i="2"/>
  <c r="AG1244" i="2"/>
  <c r="AF1244" i="2"/>
  <c r="AE1244" i="2"/>
  <c r="AD1244" i="2"/>
  <c r="AC1244" i="2"/>
  <c r="AB1244" i="2"/>
  <c r="AA1244" i="2"/>
  <c r="Z1244" i="2"/>
  <c r="Y1244" i="2"/>
  <c r="X1244" i="2"/>
  <c r="W1244" i="2"/>
  <c r="V1244" i="2"/>
  <c r="U1244" i="2"/>
  <c r="T1244" i="2"/>
  <c r="S1244" i="2"/>
  <c r="R1244" i="2"/>
  <c r="Q1244" i="2"/>
  <c r="P1244" i="2"/>
  <c r="O1244" i="2"/>
  <c r="N1244" i="2"/>
  <c r="M1244" i="2"/>
  <c r="L1244" i="2"/>
  <c r="K1244" i="2"/>
  <c r="J1244" i="2"/>
  <c r="I1244" i="2"/>
  <c r="H1244" i="2"/>
  <c r="G1244" i="2"/>
  <c r="F1244" i="2"/>
  <c r="E1244" i="2"/>
  <c r="D1244" i="2"/>
  <c r="C1244" i="2"/>
  <c r="B1244" i="2"/>
  <c r="A1244" i="2"/>
  <c r="AG1243" i="2"/>
  <c r="AF1243" i="2"/>
  <c r="AE1243" i="2"/>
  <c r="AD1243" i="2"/>
  <c r="AC1243" i="2"/>
  <c r="AB1243" i="2"/>
  <c r="AA1243" i="2"/>
  <c r="X1243" i="2"/>
  <c r="W1243" i="2"/>
  <c r="V1243" i="2"/>
  <c r="U1243" i="2"/>
  <c r="T1243" i="2"/>
  <c r="S1243" i="2"/>
  <c r="R1243" i="2"/>
  <c r="Q1243" i="2"/>
  <c r="P1243" i="2"/>
  <c r="O1243" i="2"/>
  <c r="N1243" i="2"/>
  <c r="M1243" i="2"/>
  <c r="L1243" i="2"/>
  <c r="K1243" i="2"/>
  <c r="J1243" i="2"/>
  <c r="I1243" i="2"/>
  <c r="H1243" i="2"/>
  <c r="G1243" i="2"/>
  <c r="F1243" i="2"/>
  <c r="E1243" i="2"/>
  <c r="D1243" i="2"/>
  <c r="C1243" i="2"/>
  <c r="B1243" i="2"/>
  <c r="A1243" i="2"/>
  <c r="AH1242" i="2"/>
  <c r="AG1242" i="2"/>
  <c r="AE1242" i="2"/>
  <c r="AD1242" i="2"/>
  <c r="AC1242" i="2"/>
  <c r="AB1242" i="2"/>
  <c r="AA1242" i="2"/>
  <c r="X1242" i="2"/>
  <c r="W1242" i="2"/>
  <c r="V1242" i="2"/>
  <c r="U1242" i="2"/>
  <c r="T1242" i="2"/>
  <c r="S1242" i="2"/>
  <c r="R1242" i="2"/>
  <c r="Q1242" i="2"/>
  <c r="P1242" i="2"/>
  <c r="O1242" i="2"/>
  <c r="N1242" i="2"/>
  <c r="M1242" i="2"/>
  <c r="L1242" i="2"/>
  <c r="K1242" i="2"/>
  <c r="J1242" i="2"/>
  <c r="I1242" i="2"/>
  <c r="H1242" i="2"/>
  <c r="G1242" i="2"/>
  <c r="F1242" i="2"/>
  <c r="E1242" i="2"/>
  <c r="D1242" i="2"/>
  <c r="C1242" i="2"/>
  <c r="B1242" i="2"/>
  <c r="A1242" i="2"/>
  <c r="AH1241" i="2"/>
  <c r="AG1241" i="2"/>
  <c r="AF1241" i="2"/>
  <c r="AE1241" i="2"/>
  <c r="AC1241" i="2"/>
  <c r="AB1241" i="2"/>
  <c r="AA1241" i="2"/>
  <c r="Y1241" i="2"/>
  <c r="X1241" i="2"/>
  <c r="W1241" i="2"/>
  <c r="V1241" i="2"/>
  <c r="U1241" i="2"/>
  <c r="T1241" i="2"/>
  <c r="S1241" i="2"/>
  <c r="R1241" i="2"/>
  <c r="Q1241" i="2"/>
  <c r="P1241" i="2"/>
  <c r="O1241" i="2"/>
  <c r="N1241" i="2"/>
  <c r="M1241" i="2"/>
  <c r="L1241" i="2"/>
  <c r="K1241" i="2"/>
  <c r="J1241" i="2"/>
  <c r="I1241" i="2"/>
  <c r="H1241" i="2"/>
  <c r="G1241" i="2"/>
  <c r="F1241" i="2"/>
  <c r="E1241" i="2"/>
  <c r="D1241" i="2"/>
  <c r="C1241" i="2"/>
  <c r="B1241" i="2"/>
  <c r="A1241" i="2"/>
  <c r="AG1240" i="2"/>
  <c r="AF1240" i="2"/>
  <c r="AE1240" i="2"/>
  <c r="AD1240" i="2"/>
  <c r="AC1240" i="2"/>
  <c r="AB1240" i="2"/>
  <c r="AA1240" i="2"/>
  <c r="Z1240" i="2"/>
  <c r="Y1240" i="2"/>
  <c r="W1240" i="2"/>
  <c r="V1240" i="2"/>
  <c r="U1240" i="2"/>
  <c r="T1240" i="2"/>
  <c r="S1240" i="2"/>
  <c r="R1240" i="2"/>
  <c r="Q1240" i="2"/>
  <c r="P1240" i="2"/>
  <c r="O1240" i="2"/>
  <c r="N1240" i="2"/>
  <c r="M1240" i="2"/>
  <c r="L1240" i="2"/>
  <c r="K1240" i="2"/>
  <c r="J1240" i="2"/>
  <c r="I1240" i="2"/>
  <c r="H1240" i="2"/>
  <c r="G1240" i="2"/>
  <c r="F1240" i="2"/>
  <c r="E1240" i="2"/>
  <c r="D1240" i="2"/>
  <c r="C1240" i="2"/>
  <c r="B1240" i="2"/>
  <c r="A1240" i="2"/>
  <c r="AG1239" i="2"/>
  <c r="AF1239" i="2"/>
  <c r="AE1239" i="2"/>
  <c r="AD1239" i="2"/>
  <c r="AC1239" i="2"/>
  <c r="AB1239" i="2"/>
  <c r="AA1239" i="2"/>
  <c r="Y1239" i="2"/>
  <c r="W1239" i="2"/>
  <c r="V1239" i="2"/>
  <c r="U1239" i="2"/>
  <c r="S1239" i="2"/>
  <c r="R1239" i="2"/>
  <c r="Q1239" i="2"/>
  <c r="P1239" i="2"/>
  <c r="O1239" i="2"/>
  <c r="N1239" i="2"/>
  <c r="M1239" i="2"/>
  <c r="L1239" i="2"/>
  <c r="K1239" i="2"/>
  <c r="J1239" i="2"/>
  <c r="I1239" i="2"/>
  <c r="H1239" i="2"/>
  <c r="G1239" i="2"/>
  <c r="F1239" i="2"/>
  <c r="E1239" i="2"/>
  <c r="D1239" i="2"/>
  <c r="C1239" i="2"/>
  <c r="B1239" i="2"/>
  <c r="A1239" i="2"/>
  <c r="AH1238" i="2"/>
  <c r="AG1238" i="2"/>
  <c r="AC1238" i="2"/>
  <c r="AB1238" i="2"/>
  <c r="AA1238" i="2"/>
  <c r="X1238" i="2"/>
  <c r="W1238" i="2"/>
  <c r="V1238" i="2"/>
  <c r="U1238" i="2"/>
  <c r="T1238" i="2"/>
  <c r="S1238" i="2"/>
  <c r="R1238" i="2"/>
  <c r="Q1238" i="2"/>
  <c r="P1238" i="2"/>
  <c r="O1238" i="2"/>
  <c r="N1238" i="2"/>
  <c r="M1238" i="2"/>
  <c r="L1238" i="2"/>
  <c r="K1238" i="2"/>
  <c r="J1238" i="2"/>
  <c r="I1238" i="2"/>
  <c r="H1238" i="2"/>
  <c r="G1238" i="2"/>
  <c r="F1238" i="2"/>
  <c r="E1238" i="2"/>
  <c r="D1238" i="2"/>
  <c r="C1238" i="2"/>
  <c r="B1238" i="2"/>
  <c r="A1238" i="2"/>
  <c r="AG1237" i="2"/>
  <c r="AF1237" i="2"/>
  <c r="AE1237" i="2"/>
  <c r="AD1237" i="2"/>
  <c r="AC1237" i="2"/>
  <c r="AB1237" i="2"/>
  <c r="AA1237" i="2"/>
  <c r="W1237" i="2"/>
  <c r="V1237" i="2"/>
  <c r="U1237" i="2"/>
  <c r="T1237" i="2"/>
  <c r="S1237" i="2"/>
  <c r="R1237" i="2"/>
  <c r="Q1237" i="2"/>
  <c r="P1237" i="2"/>
  <c r="O1237" i="2"/>
  <c r="N1237" i="2"/>
  <c r="M1237" i="2"/>
  <c r="L1237" i="2"/>
  <c r="K1237" i="2"/>
  <c r="J1237" i="2"/>
  <c r="I1237" i="2"/>
  <c r="H1237" i="2"/>
  <c r="G1237" i="2"/>
  <c r="F1237" i="2"/>
  <c r="E1237" i="2"/>
  <c r="D1237" i="2"/>
  <c r="C1237" i="2"/>
  <c r="B1237" i="2"/>
  <c r="A1237" i="2"/>
  <c r="AG1236" i="2"/>
  <c r="AF1236" i="2"/>
  <c r="AE1236" i="2"/>
  <c r="AD1236" i="2"/>
  <c r="AC1236" i="2"/>
  <c r="AB1236" i="2"/>
  <c r="AA1236" i="2"/>
  <c r="X1236" i="2"/>
  <c r="W1236" i="2"/>
  <c r="V1236" i="2"/>
  <c r="U1236" i="2"/>
  <c r="T1236" i="2"/>
  <c r="S1236" i="2"/>
  <c r="R1236" i="2"/>
  <c r="Q1236" i="2"/>
  <c r="P1236" i="2"/>
  <c r="O1236" i="2"/>
  <c r="N1236" i="2"/>
  <c r="M1236" i="2"/>
  <c r="L1236" i="2"/>
  <c r="K1236" i="2"/>
  <c r="J1236" i="2"/>
  <c r="I1236" i="2"/>
  <c r="H1236" i="2"/>
  <c r="G1236" i="2"/>
  <c r="F1236" i="2"/>
  <c r="E1236" i="2"/>
  <c r="D1236" i="2"/>
  <c r="C1236" i="2"/>
  <c r="B1236" i="2"/>
  <c r="A1236" i="2"/>
  <c r="AG1235" i="2"/>
  <c r="AF1235" i="2"/>
  <c r="AE1235" i="2"/>
  <c r="AD1235" i="2"/>
  <c r="AC1235" i="2"/>
  <c r="AB1235" i="2"/>
  <c r="AA1235" i="2"/>
  <c r="Y1235" i="2"/>
  <c r="X1235" i="2"/>
  <c r="W1235" i="2"/>
  <c r="V1235" i="2"/>
  <c r="U1235" i="2"/>
  <c r="T1235" i="2"/>
  <c r="S1235" i="2"/>
  <c r="R1235" i="2"/>
  <c r="Q1235" i="2"/>
  <c r="P1235" i="2"/>
  <c r="O1235" i="2"/>
  <c r="N1235" i="2"/>
  <c r="M1235" i="2"/>
  <c r="L1235" i="2"/>
  <c r="K1235" i="2"/>
  <c r="J1235" i="2"/>
  <c r="I1235" i="2"/>
  <c r="H1235" i="2"/>
  <c r="G1235" i="2"/>
  <c r="F1235" i="2"/>
  <c r="E1235" i="2"/>
  <c r="D1235" i="2"/>
  <c r="C1235" i="2"/>
  <c r="B1235" i="2"/>
  <c r="A1235" i="2"/>
  <c r="AH1234" i="2"/>
  <c r="AG1234" i="2"/>
  <c r="AE1234" i="2"/>
  <c r="AD1234" i="2"/>
  <c r="AC1234" i="2"/>
  <c r="AB1234" i="2"/>
  <c r="AA1234" i="2"/>
  <c r="Y1234" i="2"/>
  <c r="V1234" i="2"/>
  <c r="U1234" i="2"/>
  <c r="T1234" i="2"/>
  <c r="S1234" i="2"/>
  <c r="R1234" i="2"/>
  <c r="Q1234" i="2"/>
  <c r="P1234" i="2"/>
  <c r="O1234" i="2"/>
  <c r="N1234" i="2"/>
  <c r="M1234" i="2"/>
  <c r="L1234" i="2"/>
  <c r="K1234" i="2"/>
  <c r="J1234" i="2"/>
  <c r="I1234" i="2"/>
  <c r="H1234" i="2"/>
  <c r="G1234" i="2"/>
  <c r="F1234" i="2"/>
  <c r="E1234" i="2"/>
  <c r="D1234" i="2"/>
  <c r="C1234" i="2"/>
  <c r="B1234" i="2"/>
  <c r="A1234" i="2"/>
  <c r="AH1233" i="2"/>
  <c r="AG1233" i="2"/>
  <c r="AF1233" i="2"/>
  <c r="AE1233" i="2"/>
  <c r="AD1233" i="2"/>
  <c r="AC1233" i="2"/>
  <c r="AB1233" i="2"/>
  <c r="AA1233" i="2"/>
  <c r="Y1233" i="2"/>
  <c r="X1233" i="2"/>
  <c r="W1233" i="2"/>
  <c r="V1233" i="2"/>
  <c r="U1233" i="2"/>
  <c r="T1233" i="2"/>
  <c r="S1233" i="2"/>
  <c r="R1233" i="2"/>
  <c r="Q1233" i="2"/>
  <c r="P1233" i="2"/>
  <c r="O1233" i="2"/>
  <c r="N1233" i="2"/>
  <c r="M1233" i="2"/>
  <c r="L1233" i="2"/>
  <c r="K1233" i="2"/>
  <c r="J1233" i="2"/>
  <c r="I1233" i="2"/>
  <c r="H1233" i="2"/>
  <c r="G1233" i="2"/>
  <c r="F1233" i="2"/>
  <c r="E1233" i="2"/>
  <c r="D1233" i="2"/>
  <c r="C1233" i="2"/>
  <c r="B1233" i="2"/>
  <c r="A1233" i="2"/>
  <c r="AH1232" i="2"/>
  <c r="AG1232" i="2"/>
  <c r="AE1232" i="2"/>
  <c r="AD1232" i="2"/>
  <c r="AC1232" i="2"/>
  <c r="AB1232" i="2"/>
  <c r="AA1232" i="2"/>
  <c r="Z1232" i="2"/>
  <c r="Y1232" i="2"/>
  <c r="X1232" i="2"/>
  <c r="W1232" i="2"/>
  <c r="V1232" i="2"/>
  <c r="U1232" i="2"/>
  <c r="T1232" i="2"/>
  <c r="S1232" i="2"/>
  <c r="R1232" i="2"/>
  <c r="Q1232" i="2"/>
  <c r="P1232" i="2"/>
  <c r="O1232" i="2"/>
  <c r="N1232" i="2"/>
  <c r="M1232" i="2"/>
  <c r="L1232" i="2"/>
  <c r="K1232" i="2"/>
  <c r="J1232" i="2"/>
  <c r="I1232" i="2"/>
  <c r="H1232" i="2"/>
  <c r="G1232" i="2"/>
  <c r="F1232" i="2"/>
  <c r="E1232" i="2"/>
  <c r="D1232" i="2"/>
  <c r="C1232" i="2"/>
  <c r="B1232" i="2"/>
  <c r="A1232" i="2"/>
  <c r="AG1231" i="2"/>
  <c r="AE1231" i="2"/>
  <c r="AD1231" i="2"/>
  <c r="AC1231" i="2"/>
  <c r="AB1231" i="2"/>
  <c r="AA1231" i="2"/>
  <c r="Z1231" i="2"/>
  <c r="Y1231" i="2"/>
  <c r="X1231" i="2"/>
  <c r="W1231" i="2"/>
  <c r="V1231" i="2"/>
  <c r="U1231" i="2"/>
  <c r="T1231" i="2"/>
  <c r="S1231" i="2"/>
  <c r="R1231" i="2"/>
  <c r="Q1231" i="2"/>
  <c r="P1231" i="2"/>
  <c r="O1231" i="2"/>
  <c r="N1231" i="2"/>
  <c r="M1231" i="2"/>
  <c r="L1231" i="2"/>
  <c r="K1231" i="2"/>
  <c r="J1231" i="2"/>
  <c r="I1231" i="2"/>
  <c r="H1231" i="2"/>
  <c r="G1231" i="2"/>
  <c r="F1231" i="2"/>
  <c r="E1231" i="2"/>
  <c r="D1231" i="2"/>
  <c r="C1231" i="2"/>
  <c r="B1231" i="2"/>
  <c r="A1231" i="2"/>
  <c r="AH1230" i="2"/>
  <c r="AG1230" i="2"/>
  <c r="AE1230" i="2"/>
  <c r="AD1230" i="2"/>
  <c r="AC1230" i="2"/>
  <c r="AB1230" i="2"/>
  <c r="AA1230" i="2"/>
  <c r="X1230" i="2"/>
  <c r="W1230" i="2"/>
  <c r="V1230" i="2"/>
  <c r="U1230" i="2"/>
  <c r="T1230" i="2"/>
  <c r="S1230" i="2"/>
  <c r="R1230" i="2"/>
  <c r="Q1230" i="2"/>
  <c r="P1230" i="2"/>
  <c r="O1230" i="2"/>
  <c r="N1230" i="2"/>
  <c r="M1230" i="2"/>
  <c r="L1230" i="2"/>
  <c r="K1230" i="2"/>
  <c r="J1230" i="2"/>
  <c r="I1230" i="2"/>
  <c r="H1230" i="2"/>
  <c r="G1230" i="2"/>
  <c r="F1230" i="2"/>
  <c r="E1230" i="2"/>
  <c r="D1230" i="2"/>
  <c r="C1230" i="2"/>
  <c r="B1230" i="2"/>
  <c r="A1230" i="2"/>
  <c r="AG1229" i="2"/>
  <c r="AD1229" i="2"/>
  <c r="AC1229" i="2"/>
  <c r="AB1229" i="2"/>
  <c r="AA1229" i="2"/>
  <c r="W1229" i="2"/>
  <c r="V1229" i="2"/>
  <c r="U1229" i="2"/>
  <c r="T1229" i="2"/>
  <c r="S1229" i="2"/>
  <c r="R1229" i="2"/>
  <c r="Q1229" i="2"/>
  <c r="P1229" i="2"/>
  <c r="O1229" i="2"/>
  <c r="N1229" i="2"/>
  <c r="M1229" i="2"/>
  <c r="L1229" i="2"/>
  <c r="K1229" i="2"/>
  <c r="J1229" i="2"/>
  <c r="I1229" i="2"/>
  <c r="H1229" i="2"/>
  <c r="G1229" i="2"/>
  <c r="F1229" i="2"/>
  <c r="E1229" i="2"/>
  <c r="D1229" i="2"/>
  <c r="C1229" i="2"/>
  <c r="B1229" i="2"/>
  <c r="A1229" i="2"/>
  <c r="AH1228" i="2"/>
  <c r="AG1228" i="2"/>
  <c r="AF1228" i="2"/>
  <c r="AE1228" i="2"/>
  <c r="AD1228" i="2"/>
  <c r="AC1228" i="2"/>
  <c r="AB1228" i="2"/>
  <c r="AA1228" i="2"/>
  <c r="Z1228" i="2"/>
  <c r="Y1228" i="2"/>
  <c r="W1228" i="2"/>
  <c r="V1228" i="2"/>
  <c r="U1228" i="2"/>
  <c r="T1228" i="2"/>
  <c r="S1228" i="2"/>
  <c r="R1228" i="2"/>
  <c r="Q1228" i="2"/>
  <c r="P1228" i="2"/>
  <c r="O1228" i="2"/>
  <c r="N1228" i="2"/>
  <c r="M1228" i="2"/>
  <c r="L1228" i="2"/>
  <c r="K1228" i="2"/>
  <c r="J1228" i="2"/>
  <c r="I1228" i="2"/>
  <c r="H1228" i="2"/>
  <c r="G1228" i="2"/>
  <c r="F1228" i="2"/>
  <c r="E1228" i="2"/>
  <c r="D1228" i="2"/>
  <c r="C1228" i="2"/>
  <c r="B1228" i="2"/>
  <c r="A1228" i="2"/>
  <c r="AH1227" i="2"/>
  <c r="AG1227" i="2"/>
  <c r="AE1227" i="2"/>
  <c r="AD1227" i="2"/>
  <c r="AC1227" i="2"/>
  <c r="AB1227" i="2"/>
  <c r="AA1227" i="2"/>
  <c r="Z1227" i="2"/>
  <c r="Y1227" i="2"/>
  <c r="W1227" i="2"/>
  <c r="V1227" i="2"/>
  <c r="U1227" i="2"/>
  <c r="T1227" i="2"/>
  <c r="S1227" i="2"/>
  <c r="R1227" i="2"/>
  <c r="Q1227" i="2"/>
  <c r="P1227" i="2"/>
  <c r="O1227" i="2"/>
  <c r="N1227" i="2"/>
  <c r="M1227" i="2"/>
  <c r="L1227" i="2"/>
  <c r="K1227" i="2"/>
  <c r="J1227" i="2"/>
  <c r="I1227" i="2"/>
  <c r="H1227" i="2"/>
  <c r="G1227" i="2"/>
  <c r="F1227" i="2"/>
  <c r="E1227" i="2"/>
  <c r="D1227" i="2"/>
  <c r="C1227" i="2"/>
  <c r="B1227" i="2"/>
  <c r="A1227" i="2"/>
  <c r="AH1226" i="2"/>
  <c r="AG1226" i="2"/>
  <c r="AF1226" i="2"/>
  <c r="AE1226" i="2"/>
  <c r="AD1226" i="2"/>
  <c r="AC1226" i="2"/>
  <c r="AB1226" i="2"/>
  <c r="AA1226" i="2"/>
  <c r="Y1226" i="2"/>
  <c r="X1226" i="2"/>
  <c r="W1226" i="2"/>
  <c r="V1226" i="2"/>
  <c r="U1226" i="2"/>
  <c r="T1226" i="2"/>
  <c r="S1226" i="2"/>
  <c r="R1226" i="2"/>
  <c r="Q1226" i="2"/>
  <c r="P1226" i="2"/>
  <c r="O1226" i="2"/>
  <c r="N1226" i="2"/>
  <c r="M1226" i="2"/>
  <c r="L1226" i="2"/>
  <c r="K1226" i="2"/>
  <c r="J1226" i="2"/>
  <c r="I1226" i="2"/>
  <c r="H1226" i="2"/>
  <c r="G1226" i="2"/>
  <c r="F1226" i="2"/>
  <c r="E1226" i="2"/>
  <c r="D1226" i="2"/>
  <c r="C1226" i="2"/>
  <c r="B1226" i="2"/>
  <c r="A1226" i="2"/>
  <c r="AH1225" i="2"/>
  <c r="AG1225" i="2"/>
  <c r="AF1225" i="2"/>
  <c r="AE1225" i="2"/>
  <c r="AD1225" i="2"/>
  <c r="AC1225" i="2"/>
  <c r="AB1225" i="2"/>
  <c r="AA1225" i="2"/>
  <c r="Y1225" i="2"/>
  <c r="X1225" i="2"/>
  <c r="W1225" i="2"/>
  <c r="V1225" i="2"/>
  <c r="U1225" i="2"/>
  <c r="T1225" i="2"/>
  <c r="S1225" i="2"/>
  <c r="R1225" i="2"/>
  <c r="Q1225" i="2"/>
  <c r="P1225" i="2"/>
  <c r="O1225" i="2"/>
  <c r="N1225" i="2"/>
  <c r="M1225" i="2"/>
  <c r="L1225" i="2"/>
  <c r="K1225" i="2"/>
  <c r="J1225" i="2"/>
  <c r="I1225" i="2"/>
  <c r="H1225" i="2"/>
  <c r="G1225" i="2"/>
  <c r="F1225" i="2"/>
  <c r="E1225" i="2"/>
  <c r="D1225" i="2"/>
  <c r="C1225" i="2"/>
  <c r="B1225" i="2"/>
  <c r="A1225" i="2"/>
  <c r="AG1224" i="2"/>
  <c r="AF1224" i="2"/>
  <c r="AE1224" i="2"/>
  <c r="AD1224" i="2"/>
  <c r="AC1224" i="2"/>
  <c r="AB1224" i="2"/>
  <c r="AA1224" i="2"/>
  <c r="W1224" i="2"/>
  <c r="V1224" i="2"/>
  <c r="U1224" i="2"/>
  <c r="T1224" i="2"/>
  <c r="S1224" i="2"/>
  <c r="R1224" i="2"/>
  <c r="Q1224" i="2"/>
  <c r="P1224" i="2"/>
  <c r="O1224" i="2"/>
  <c r="N1224" i="2"/>
  <c r="M1224" i="2"/>
  <c r="L1224" i="2"/>
  <c r="K1224" i="2"/>
  <c r="J1224" i="2"/>
  <c r="I1224" i="2"/>
  <c r="H1224" i="2"/>
  <c r="G1224" i="2"/>
  <c r="F1224" i="2"/>
  <c r="E1224" i="2"/>
  <c r="D1224" i="2"/>
  <c r="C1224" i="2"/>
  <c r="B1224" i="2"/>
  <c r="A1224" i="2"/>
  <c r="AH1223" i="2"/>
  <c r="AG1223" i="2"/>
  <c r="AF1223" i="2"/>
  <c r="AE1223" i="2"/>
  <c r="AD1223" i="2"/>
  <c r="AC1223" i="2"/>
  <c r="AB1223" i="2"/>
  <c r="AA1223" i="2"/>
  <c r="Z1223" i="2"/>
  <c r="Y1223" i="2"/>
  <c r="X1223" i="2"/>
  <c r="W1223" i="2"/>
  <c r="V1223" i="2"/>
  <c r="U1223" i="2"/>
  <c r="T1223" i="2"/>
  <c r="S1223" i="2"/>
  <c r="R1223" i="2"/>
  <c r="Q1223" i="2"/>
  <c r="P1223" i="2"/>
  <c r="O1223" i="2"/>
  <c r="N1223" i="2"/>
  <c r="M1223" i="2"/>
  <c r="L1223" i="2"/>
  <c r="K1223" i="2"/>
  <c r="J1223" i="2"/>
  <c r="I1223" i="2"/>
  <c r="H1223" i="2"/>
  <c r="G1223" i="2"/>
  <c r="F1223" i="2"/>
  <c r="E1223" i="2"/>
  <c r="D1223" i="2"/>
  <c r="C1223" i="2"/>
  <c r="B1223" i="2"/>
  <c r="A1223" i="2"/>
  <c r="AH1222" i="2"/>
  <c r="AG1222" i="2"/>
  <c r="AF1222" i="2"/>
  <c r="AE1222" i="2"/>
  <c r="AD1222" i="2"/>
  <c r="AC1222" i="2"/>
  <c r="AB1222" i="2"/>
  <c r="AA1222" i="2"/>
  <c r="Y1222" i="2"/>
  <c r="X1222" i="2"/>
  <c r="W1222" i="2"/>
  <c r="V1222" i="2"/>
  <c r="U1222" i="2"/>
  <c r="T1222" i="2"/>
  <c r="S1222" i="2"/>
  <c r="R1222" i="2"/>
  <c r="Q1222" i="2"/>
  <c r="P1222" i="2"/>
  <c r="O1222" i="2"/>
  <c r="M1222" i="2"/>
  <c r="L1222" i="2"/>
  <c r="K1222" i="2"/>
  <c r="J1222" i="2"/>
  <c r="I1222" i="2"/>
  <c r="H1222" i="2"/>
  <c r="G1222" i="2"/>
  <c r="F1222" i="2"/>
  <c r="E1222" i="2"/>
  <c r="D1222" i="2"/>
  <c r="C1222" i="2"/>
  <c r="B1222" i="2"/>
  <c r="A1222" i="2"/>
  <c r="AH1221" i="2"/>
  <c r="AG1221" i="2"/>
  <c r="AF1221" i="2"/>
  <c r="AE1221" i="2"/>
  <c r="AD1221" i="2"/>
  <c r="AC1221" i="2"/>
  <c r="AB1221" i="2"/>
  <c r="AA1221" i="2"/>
  <c r="Y1221" i="2"/>
  <c r="X1221" i="2"/>
  <c r="W1221" i="2"/>
  <c r="V1221" i="2"/>
  <c r="U1221" i="2"/>
  <c r="T1221" i="2"/>
  <c r="S1221" i="2"/>
  <c r="R1221" i="2"/>
  <c r="Q1221" i="2"/>
  <c r="P1221" i="2"/>
  <c r="O1221" i="2"/>
  <c r="N1221" i="2"/>
  <c r="M1221" i="2"/>
  <c r="L1221" i="2"/>
  <c r="K1221" i="2"/>
  <c r="J1221" i="2"/>
  <c r="I1221" i="2"/>
  <c r="H1221" i="2"/>
  <c r="G1221" i="2"/>
  <c r="F1221" i="2"/>
  <c r="E1221" i="2"/>
  <c r="D1221" i="2"/>
  <c r="C1221" i="2"/>
  <c r="B1221" i="2"/>
  <c r="A1221" i="2"/>
  <c r="AG1220" i="2"/>
  <c r="AF1220" i="2"/>
  <c r="AE1220" i="2"/>
  <c r="AD1220" i="2"/>
  <c r="AC1220" i="2"/>
  <c r="AB1220" i="2"/>
  <c r="AA1220" i="2"/>
  <c r="Z1220" i="2"/>
  <c r="Y1220" i="2"/>
  <c r="X1220" i="2"/>
  <c r="W1220" i="2"/>
  <c r="V1220" i="2"/>
  <c r="U1220" i="2"/>
  <c r="T1220" i="2"/>
  <c r="S1220" i="2"/>
  <c r="R1220" i="2"/>
  <c r="Q1220" i="2"/>
  <c r="P1220" i="2"/>
  <c r="O1220" i="2"/>
  <c r="N1220" i="2"/>
  <c r="M1220" i="2"/>
  <c r="L1220" i="2"/>
  <c r="K1220" i="2"/>
  <c r="J1220" i="2"/>
  <c r="I1220" i="2"/>
  <c r="H1220" i="2"/>
  <c r="G1220" i="2"/>
  <c r="F1220" i="2"/>
  <c r="E1220" i="2"/>
  <c r="D1220" i="2"/>
  <c r="C1220" i="2"/>
  <c r="B1220" i="2"/>
  <c r="A1220" i="2"/>
  <c r="AH1219" i="2"/>
  <c r="AG1219" i="2"/>
  <c r="AE1219" i="2"/>
  <c r="AC1219" i="2"/>
  <c r="AB1219" i="2"/>
  <c r="AA1219" i="2"/>
  <c r="Y1219" i="2"/>
  <c r="X1219" i="2"/>
  <c r="W1219" i="2"/>
  <c r="V1219" i="2"/>
  <c r="U1219" i="2"/>
  <c r="T1219" i="2"/>
  <c r="S1219" i="2"/>
  <c r="R1219" i="2"/>
  <c r="Q1219" i="2"/>
  <c r="P1219" i="2"/>
  <c r="O1219" i="2"/>
  <c r="N1219" i="2"/>
  <c r="M1219" i="2"/>
  <c r="L1219" i="2"/>
  <c r="K1219" i="2"/>
  <c r="J1219" i="2"/>
  <c r="I1219" i="2"/>
  <c r="H1219" i="2"/>
  <c r="G1219" i="2"/>
  <c r="F1219" i="2"/>
  <c r="E1219" i="2"/>
  <c r="D1219" i="2"/>
  <c r="C1219" i="2"/>
  <c r="B1219" i="2"/>
  <c r="A1219" i="2"/>
  <c r="AH1218" i="2"/>
  <c r="AG1218" i="2"/>
  <c r="AF1218" i="2"/>
  <c r="AE1218" i="2"/>
  <c r="AD1218" i="2"/>
  <c r="AC1218" i="2"/>
  <c r="AB1218" i="2"/>
  <c r="AA1218" i="2"/>
  <c r="Y1218" i="2"/>
  <c r="X1218" i="2"/>
  <c r="W1218" i="2"/>
  <c r="V1218" i="2"/>
  <c r="U1218" i="2"/>
  <c r="T1218" i="2"/>
  <c r="S1218" i="2"/>
  <c r="R1218" i="2"/>
  <c r="Q1218" i="2"/>
  <c r="P1218" i="2"/>
  <c r="O1218" i="2"/>
  <c r="N1218" i="2"/>
  <c r="M1218" i="2"/>
  <c r="L1218" i="2"/>
  <c r="K1218" i="2"/>
  <c r="J1218" i="2"/>
  <c r="I1218" i="2"/>
  <c r="H1218" i="2"/>
  <c r="G1218" i="2"/>
  <c r="F1218" i="2"/>
  <c r="E1218" i="2"/>
  <c r="D1218" i="2"/>
  <c r="C1218" i="2"/>
  <c r="B1218" i="2"/>
  <c r="A1218" i="2"/>
  <c r="AG1217" i="2"/>
  <c r="AE1217" i="2"/>
  <c r="AC1217" i="2"/>
  <c r="AB1217" i="2"/>
  <c r="AA1217" i="2"/>
  <c r="Z1217" i="2"/>
  <c r="Y1217" i="2"/>
  <c r="X1217" i="2"/>
  <c r="W1217" i="2"/>
  <c r="V1217" i="2"/>
  <c r="U1217" i="2"/>
  <c r="T1217" i="2"/>
  <c r="S1217" i="2"/>
  <c r="R1217" i="2"/>
  <c r="Q1217" i="2"/>
  <c r="P1217" i="2"/>
  <c r="O1217" i="2"/>
  <c r="N1217" i="2"/>
  <c r="M1217" i="2"/>
  <c r="L1217" i="2"/>
  <c r="K1217" i="2"/>
  <c r="J1217" i="2"/>
  <c r="I1217" i="2"/>
  <c r="H1217" i="2"/>
  <c r="G1217" i="2"/>
  <c r="F1217" i="2"/>
  <c r="E1217" i="2"/>
  <c r="D1217" i="2"/>
  <c r="C1217" i="2"/>
  <c r="B1217" i="2"/>
  <c r="A1217" i="2"/>
  <c r="AH1216" i="2"/>
  <c r="AG1216" i="2"/>
  <c r="AF1216" i="2"/>
  <c r="AE1216" i="2"/>
  <c r="AD1216" i="2"/>
  <c r="AC1216" i="2"/>
  <c r="AB1216" i="2"/>
  <c r="AA1216" i="2"/>
  <c r="Y1216" i="2"/>
  <c r="X1216" i="2"/>
  <c r="W1216" i="2"/>
  <c r="V1216" i="2"/>
  <c r="U1216" i="2"/>
  <c r="T1216" i="2"/>
  <c r="S1216" i="2"/>
  <c r="R1216" i="2"/>
  <c r="Q1216" i="2"/>
  <c r="P1216" i="2"/>
  <c r="O1216" i="2"/>
  <c r="N1216" i="2"/>
  <c r="M1216" i="2"/>
  <c r="L1216" i="2"/>
  <c r="K1216" i="2"/>
  <c r="J1216" i="2"/>
  <c r="I1216" i="2"/>
  <c r="H1216" i="2"/>
  <c r="G1216" i="2"/>
  <c r="F1216" i="2"/>
  <c r="E1216" i="2"/>
  <c r="D1216" i="2"/>
  <c r="C1216" i="2"/>
  <c r="B1216" i="2"/>
  <c r="A1216" i="2"/>
  <c r="AH1215" i="2"/>
  <c r="AG1215" i="2"/>
  <c r="AF1215" i="2"/>
  <c r="AE1215" i="2"/>
  <c r="AC1215" i="2"/>
  <c r="AB1215" i="2"/>
  <c r="AA1215" i="2"/>
  <c r="Y1215" i="2"/>
  <c r="X1215" i="2"/>
  <c r="W1215" i="2"/>
  <c r="V1215" i="2"/>
  <c r="U1215" i="2"/>
  <c r="T1215" i="2"/>
  <c r="S1215" i="2"/>
  <c r="R1215" i="2"/>
  <c r="Q1215" i="2"/>
  <c r="P1215" i="2"/>
  <c r="O1215" i="2"/>
  <c r="N1215" i="2"/>
  <c r="M1215" i="2"/>
  <c r="L1215" i="2"/>
  <c r="K1215" i="2"/>
  <c r="J1215" i="2"/>
  <c r="I1215" i="2"/>
  <c r="H1215" i="2"/>
  <c r="G1215" i="2"/>
  <c r="F1215" i="2"/>
  <c r="E1215" i="2"/>
  <c r="D1215" i="2"/>
  <c r="C1215" i="2"/>
  <c r="B1215" i="2"/>
  <c r="A1215" i="2"/>
  <c r="AH1214" i="2"/>
  <c r="AG1214" i="2"/>
  <c r="AF1214" i="2"/>
  <c r="AE1214" i="2"/>
  <c r="AD1214" i="2"/>
  <c r="AC1214" i="2"/>
  <c r="AB1214" i="2"/>
  <c r="AA1214" i="2"/>
  <c r="Y1214" i="2"/>
  <c r="X1214" i="2"/>
  <c r="W1214" i="2"/>
  <c r="V1214" i="2"/>
  <c r="U1214" i="2"/>
  <c r="T1214" i="2"/>
  <c r="S1214" i="2"/>
  <c r="R1214" i="2"/>
  <c r="Q1214" i="2"/>
  <c r="P1214" i="2"/>
  <c r="O1214" i="2"/>
  <c r="N1214" i="2"/>
  <c r="M1214" i="2"/>
  <c r="L1214" i="2"/>
  <c r="K1214" i="2"/>
  <c r="J1214" i="2"/>
  <c r="I1214" i="2"/>
  <c r="H1214" i="2"/>
  <c r="G1214" i="2"/>
  <c r="F1214" i="2"/>
  <c r="E1214" i="2"/>
  <c r="D1214" i="2"/>
  <c r="C1214" i="2"/>
  <c r="B1214" i="2"/>
  <c r="A1214" i="2"/>
  <c r="AG1213" i="2"/>
  <c r="AF1213" i="2"/>
  <c r="AE1213" i="2"/>
  <c r="AD1213" i="2"/>
  <c r="AC1213" i="2"/>
  <c r="AB1213" i="2"/>
  <c r="AA1213" i="2"/>
  <c r="Y1213" i="2"/>
  <c r="X1213" i="2"/>
  <c r="V1213" i="2"/>
  <c r="U1213" i="2"/>
  <c r="T1213" i="2"/>
  <c r="S1213" i="2"/>
  <c r="R1213" i="2"/>
  <c r="Q1213" i="2"/>
  <c r="P1213" i="2"/>
  <c r="O1213" i="2"/>
  <c r="N1213" i="2"/>
  <c r="M1213" i="2"/>
  <c r="L1213" i="2"/>
  <c r="K1213" i="2"/>
  <c r="J1213" i="2"/>
  <c r="I1213" i="2"/>
  <c r="H1213" i="2"/>
  <c r="G1213" i="2"/>
  <c r="F1213" i="2"/>
  <c r="E1213" i="2"/>
  <c r="D1213" i="2"/>
  <c r="C1213" i="2"/>
  <c r="B1213" i="2"/>
  <c r="A1213" i="2"/>
  <c r="AH1212" i="2"/>
  <c r="AG1212" i="2"/>
  <c r="AF1212" i="2"/>
  <c r="AE1212" i="2"/>
  <c r="AD1212" i="2"/>
  <c r="AC1212" i="2"/>
  <c r="AB1212" i="2"/>
  <c r="AA1212" i="2"/>
  <c r="Y1212" i="2"/>
  <c r="X1212" i="2"/>
  <c r="W1212" i="2"/>
  <c r="V1212" i="2"/>
  <c r="U1212" i="2"/>
  <c r="T1212" i="2"/>
  <c r="S1212" i="2"/>
  <c r="R1212" i="2"/>
  <c r="Q1212" i="2"/>
  <c r="P1212" i="2"/>
  <c r="O1212" i="2"/>
  <c r="N1212" i="2"/>
  <c r="M1212" i="2"/>
  <c r="L1212" i="2"/>
  <c r="K1212" i="2"/>
  <c r="J1212" i="2"/>
  <c r="I1212" i="2"/>
  <c r="H1212" i="2"/>
  <c r="G1212" i="2"/>
  <c r="F1212" i="2"/>
  <c r="E1212" i="2"/>
  <c r="D1212" i="2"/>
  <c r="C1212" i="2"/>
  <c r="B1212" i="2"/>
  <c r="A1212" i="2"/>
  <c r="AH1211" i="2"/>
  <c r="AG1211" i="2"/>
  <c r="AF1211" i="2"/>
  <c r="AC1211" i="2"/>
  <c r="AB1211" i="2"/>
  <c r="AA1211" i="2"/>
  <c r="Y1211" i="2"/>
  <c r="X1211" i="2"/>
  <c r="W1211" i="2"/>
  <c r="V1211" i="2"/>
  <c r="U1211" i="2"/>
  <c r="T1211" i="2"/>
  <c r="S1211" i="2"/>
  <c r="R1211" i="2"/>
  <c r="Q1211" i="2"/>
  <c r="P1211" i="2"/>
  <c r="O1211" i="2"/>
  <c r="N1211" i="2"/>
  <c r="M1211" i="2"/>
  <c r="L1211" i="2"/>
  <c r="K1211" i="2"/>
  <c r="J1211" i="2"/>
  <c r="I1211" i="2"/>
  <c r="H1211" i="2"/>
  <c r="G1211" i="2"/>
  <c r="F1211" i="2"/>
  <c r="E1211" i="2"/>
  <c r="D1211" i="2"/>
  <c r="C1211" i="2"/>
  <c r="B1211" i="2"/>
  <c r="A1211" i="2"/>
  <c r="AH1210" i="2"/>
  <c r="AG1210" i="2"/>
  <c r="AF1210" i="2"/>
  <c r="AE1210" i="2"/>
  <c r="AD1210" i="2"/>
  <c r="AC1210" i="2"/>
  <c r="AB1210" i="2"/>
  <c r="AA1210" i="2"/>
  <c r="Y1210" i="2"/>
  <c r="X1210" i="2"/>
  <c r="W1210" i="2"/>
  <c r="V1210" i="2"/>
  <c r="U1210" i="2"/>
  <c r="R1210" i="2"/>
  <c r="Q1210" i="2"/>
  <c r="P1210" i="2"/>
  <c r="O1210" i="2"/>
  <c r="N1210" i="2"/>
  <c r="M1210" i="2"/>
  <c r="L1210" i="2"/>
  <c r="K1210" i="2"/>
  <c r="J1210" i="2"/>
  <c r="I1210" i="2"/>
  <c r="H1210" i="2"/>
  <c r="G1210" i="2"/>
  <c r="F1210" i="2"/>
  <c r="E1210" i="2"/>
  <c r="D1210" i="2"/>
  <c r="C1210" i="2"/>
  <c r="B1210" i="2"/>
  <c r="A1210" i="2"/>
  <c r="AH1209" i="2"/>
  <c r="AG1209" i="2"/>
  <c r="AE1209" i="2"/>
  <c r="AD1209" i="2"/>
  <c r="AC1209" i="2"/>
  <c r="AB1209" i="2"/>
  <c r="AA1209" i="2"/>
  <c r="X1209" i="2"/>
  <c r="W1209" i="2"/>
  <c r="V1209" i="2"/>
  <c r="U1209" i="2"/>
  <c r="T1209" i="2"/>
  <c r="S1209" i="2"/>
  <c r="R1209" i="2"/>
  <c r="Q1209" i="2"/>
  <c r="P1209" i="2"/>
  <c r="O1209" i="2"/>
  <c r="N1209" i="2"/>
  <c r="M1209" i="2"/>
  <c r="L1209" i="2"/>
  <c r="K1209" i="2"/>
  <c r="J1209" i="2"/>
  <c r="I1209" i="2"/>
  <c r="H1209" i="2"/>
  <c r="G1209" i="2"/>
  <c r="F1209" i="2"/>
  <c r="E1209" i="2"/>
  <c r="D1209" i="2"/>
  <c r="C1209" i="2"/>
  <c r="B1209" i="2"/>
  <c r="A1209" i="2"/>
  <c r="AH1208" i="2"/>
  <c r="AG1208" i="2"/>
  <c r="AE1208" i="2"/>
  <c r="AD1208" i="2"/>
  <c r="AC1208" i="2"/>
  <c r="AB1208" i="2"/>
  <c r="AA1208" i="2"/>
  <c r="X1208" i="2"/>
  <c r="V1208" i="2"/>
  <c r="U1208" i="2"/>
  <c r="T1208" i="2"/>
  <c r="S1208" i="2"/>
  <c r="R1208" i="2"/>
  <c r="Q1208" i="2"/>
  <c r="P1208" i="2"/>
  <c r="O1208" i="2"/>
  <c r="N1208" i="2"/>
  <c r="M1208" i="2"/>
  <c r="L1208" i="2"/>
  <c r="K1208" i="2"/>
  <c r="J1208" i="2"/>
  <c r="I1208" i="2"/>
  <c r="H1208" i="2"/>
  <c r="G1208" i="2"/>
  <c r="F1208" i="2"/>
  <c r="E1208" i="2"/>
  <c r="D1208" i="2"/>
  <c r="C1208" i="2"/>
  <c r="B1208" i="2"/>
  <c r="A1208" i="2"/>
  <c r="AH1207" i="2"/>
  <c r="AG1207" i="2"/>
  <c r="AF1207" i="2"/>
  <c r="AE1207" i="2"/>
  <c r="AD1207" i="2"/>
  <c r="AC1207" i="2"/>
  <c r="AB1207" i="2"/>
  <c r="AA1207" i="2"/>
  <c r="Y1207" i="2"/>
  <c r="X1207" i="2"/>
  <c r="W1207" i="2"/>
  <c r="V1207" i="2"/>
  <c r="U1207" i="2"/>
  <c r="T1207" i="2"/>
  <c r="R1207" i="2"/>
  <c r="Q1207" i="2"/>
  <c r="P1207" i="2"/>
  <c r="O1207" i="2"/>
  <c r="N1207" i="2"/>
  <c r="M1207" i="2"/>
  <c r="L1207" i="2"/>
  <c r="K1207" i="2"/>
  <c r="J1207" i="2"/>
  <c r="I1207" i="2"/>
  <c r="H1207" i="2"/>
  <c r="G1207" i="2"/>
  <c r="F1207" i="2"/>
  <c r="E1207" i="2"/>
  <c r="D1207" i="2"/>
  <c r="C1207" i="2"/>
  <c r="B1207" i="2"/>
  <c r="A1207" i="2"/>
  <c r="AG1206" i="2"/>
  <c r="AE1206" i="2"/>
  <c r="AD1206" i="2"/>
  <c r="AC1206" i="2"/>
  <c r="AB1206" i="2"/>
  <c r="AA1206" i="2"/>
  <c r="W1206" i="2"/>
  <c r="V1206" i="2"/>
  <c r="U1206" i="2"/>
  <c r="R1206" i="2"/>
  <c r="Q1206" i="2"/>
  <c r="P1206" i="2"/>
  <c r="O1206" i="2"/>
  <c r="N1206" i="2"/>
  <c r="M1206" i="2"/>
  <c r="L1206" i="2"/>
  <c r="K1206" i="2"/>
  <c r="J1206" i="2"/>
  <c r="I1206" i="2"/>
  <c r="H1206" i="2"/>
  <c r="G1206" i="2"/>
  <c r="F1206" i="2"/>
  <c r="E1206" i="2"/>
  <c r="D1206" i="2"/>
  <c r="C1206" i="2"/>
  <c r="B1206" i="2"/>
  <c r="A1206" i="2"/>
  <c r="AH1205" i="2"/>
  <c r="AG1205" i="2"/>
  <c r="AF1205" i="2"/>
  <c r="AE1205" i="2"/>
  <c r="AD1205" i="2"/>
  <c r="AC1205" i="2"/>
  <c r="AB1205" i="2"/>
  <c r="AA1205" i="2"/>
  <c r="Z1205" i="2"/>
  <c r="Y1205" i="2"/>
  <c r="X1205" i="2"/>
  <c r="W1205" i="2"/>
  <c r="V1205" i="2"/>
  <c r="U1205" i="2"/>
  <c r="T1205" i="2"/>
  <c r="S1205" i="2"/>
  <c r="R1205" i="2"/>
  <c r="Q1205" i="2"/>
  <c r="P1205" i="2"/>
  <c r="O1205" i="2"/>
  <c r="N1205" i="2"/>
  <c r="M1205" i="2"/>
  <c r="L1205" i="2"/>
  <c r="K1205" i="2"/>
  <c r="J1205" i="2"/>
  <c r="I1205" i="2"/>
  <c r="H1205" i="2"/>
  <c r="G1205" i="2"/>
  <c r="F1205" i="2"/>
  <c r="E1205" i="2"/>
  <c r="D1205" i="2"/>
  <c r="C1205" i="2"/>
  <c r="B1205" i="2"/>
  <c r="A1205" i="2"/>
  <c r="AH1204" i="2"/>
  <c r="AG1204" i="2"/>
  <c r="AF1204" i="2"/>
  <c r="AE1204" i="2"/>
  <c r="AC1204" i="2"/>
  <c r="AB1204" i="2"/>
  <c r="AA1204" i="2"/>
  <c r="Y1204" i="2"/>
  <c r="X1204" i="2"/>
  <c r="W1204" i="2"/>
  <c r="V1204" i="2"/>
  <c r="U1204" i="2"/>
  <c r="T1204" i="2"/>
  <c r="S1204" i="2"/>
  <c r="R1204" i="2"/>
  <c r="Q1204" i="2"/>
  <c r="P1204" i="2"/>
  <c r="O1204" i="2"/>
  <c r="N1204" i="2"/>
  <c r="M1204" i="2"/>
  <c r="L1204" i="2"/>
  <c r="K1204" i="2"/>
  <c r="J1204" i="2"/>
  <c r="I1204" i="2"/>
  <c r="H1204" i="2"/>
  <c r="G1204" i="2"/>
  <c r="F1204" i="2"/>
  <c r="E1204" i="2"/>
  <c r="D1204" i="2"/>
  <c r="C1204" i="2"/>
  <c r="B1204" i="2"/>
  <c r="A1204" i="2"/>
  <c r="AH1203" i="2"/>
  <c r="AG1203" i="2"/>
  <c r="AE1203" i="2"/>
  <c r="AD1203" i="2"/>
  <c r="AC1203" i="2"/>
  <c r="AB1203" i="2"/>
  <c r="AA1203" i="2"/>
  <c r="Z1203" i="2"/>
  <c r="Y1203" i="2"/>
  <c r="X1203" i="2"/>
  <c r="W1203" i="2"/>
  <c r="V1203" i="2"/>
  <c r="U1203" i="2"/>
  <c r="T1203" i="2"/>
  <c r="S1203" i="2"/>
  <c r="R1203" i="2"/>
  <c r="Q1203" i="2"/>
  <c r="P1203" i="2"/>
  <c r="O1203" i="2"/>
  <c r="N1203" i="2"/>
  <c r="M1203" i="2"/>
  <c r="L1203" i="2"/>
  <c r="K1203" i="2"/>
  <c r="J1203" i="2"/>
  <c r="I1203" i="2"/>
  <c r="H1203" i="2"/>
  <c r="G1203" i="2"/>
  <c r="F1203" i="2"/>
  <c r="E1203" i="2"/>
  <c r="D1203" i="2"/>
  <c r="C1203" i="2"/>
  <c r="B1203" i="2"/>
  <c r="A1203" i="2"/>
  <c r="AH1202" i="2"/>
  <c r="AG1202" i="2"/>
  <c r="AF1202" i="2"/>
  <c r="AE1202" i="2"/>
  <c r="AC1202" i="2"/>
  <c r="AB1202" i="2"/>
  <c r="AA1202" i="2"/>
  <c r="Y1202" i="2"/>
  <c r="X1202" i="2"/>
  <c r="W1202" i="2"/>
  <c r="V1202" i="2"/>
  <c r="U1202" i="2"/>
  <c r="T1202" i="2"/>
  <c r="S1202" i="2"/>
  <c r="R1202" i="2"/>
  <c r="Q1202" i="2"/>
  <c r="P1202" i="2"/>
  <c r="O1202" i="2"/>
  <c r="N1202" i="2"/>
  <c r="M1202" i="2"/>
  <c r="L1202" i="2"/>
  <c r="K1202" i="2"/>
  <c r="J1202" i="2"/>
  <c r="I1202" i="2"/>
  <c r="H1202" i="2"/>
  <c r="G1202" i="2"/>
  <c r="F1202" i="2"/>
  <c r="E1202" i="2"/>
  <c r="D1202" i="2"/>
  <c r="C1202" i="2"/>
  <c r="B1202" i="2"/>
  <c r="A1202" i="2"/>
  <c r="AG1201" i="2"/>
  <c r="AE1201" i="2"/>
  <c r="AC1201" i="2"/>
  <c r="AB1201" i="2"/>
  <c r="AA1201" i="2"/>
  <c r="X1201" i="2"/>
  <c r="W1201" i="2"/>
  <c r="V1201" i="2"/>
  <c r="U1201" i="2"/>
  <c r="T1201" i="2"/>
  <c r="S1201" i="2"/>
  <c r="R1201" i="2"/>
  <c r="Q1201" i="2"/>
  <c r="P1201" i="2"/>
  <c r="O1201" i="2"/>
  <c r="N1201" i="2"/>
  <c r="M1201" i="2"/>
  <c r="L1201" i="2"/>
  <c r="K1201" i="2"/>
  <c r="J1201" i="2"/>
  <c r="I1201" i="2"/>
  <c r="H1201" i="2"/>
  <c r="G1201" i="2"/>
  <c r="F1201" i="2"/>
  <c r="E1201" i="2"/>
  <c r="D1201" i="2"/>
  <c r="C1201" i="2"/>
  <c r="B1201" i="2"/>
  <c r="A1201" i="2"/>
  <c r="AG1200" i="2"/>
  <c r="AF1200" i="2"/>
  <c r="AD1200" i="2"/>
  <c r="AC1200" i="2"/>
  <c r="AB1200" i="2"/>
  <c r="AA1200" i="2"/>
  <c r="Z1200" i="2"/>
  <c r="Y1200" i="2"/>
  <c r="X1200" i="2"/>
  <c r="W1200" i="2"/>
  <c r="V1200" i="2"/>
  <c r="U1200" i="2"/>
  <c r="T1200" i="2"/>
  <c r="S1200" i="2"/>
  <c r="R1200" i="2"/>
  <c r="Q1200" i="2"/>
  <c r="P1200" i="2"/>
  <c r="O1200" i="2"/>
  <c r="N1200" i="2"/>
  <c r="M1200" i="2"/>
  <c r="L1200" i="2"/>
  <c r="K1200" i="2"/>
  <c r="J1200" i="2"/>
  <c r="I1200" i="2"/>
  <c r="H1200" i="2"/>
  <c r="G1200" i="2"/>
  <c r="F1200" i="2"/>
  <c r="E1200" i="2"/>
  <c r="D1200" i="2"/>
  <c r="C1200" i="2"/>
  <c r="B1200" i="2"/>
  <c r="A1200" i="2"/>
  <c r="AH1199" i="2"/>
  <c r="AG1199" i="2"/>
  <c r="AF1199" i="2"/>
  <c r="AE1199" i="2"/>
  <c r="AD1199" i="2"/>
  <c r="AC1199" i="2"/>
  <c r="AB1199" i="2"/>
  <c r="AA1199" i="2"/>
  <c r="Y1199" i="2"/>
  <c r="X1199" i="2"/>
  <c r="W1199" i="2"/>
  <c r="V1199" i="2"/>
  <c r="U1199" i="2"/>
  <c r="T1199" i="2"/>
  <c r="S1199" i="2"/>
  <c r="R1199" i="2"/>
  <c r="Q1199" i="2"/>
  <c r="P1199" i="2"/>
  <c r="O1199" i="2"/>
  <c r="N1199" i="2"/>
  <c r="M1199" i="2"/>
  <c r="L1199" i="2"/>
  <c r="K1199" i="2"/>
  <c r="J1199" i="2"/>
  <c r="I1199" i="2"/>
  <c r="H1199" i="2"/>
  <c r="G1199" i="2"/>
  <c r="F1199" i="2"/>
  <c r="E1199" i="2"/>
  <c r="D1199" i="2"/>
  <c r="C1199" i="2"/>
  <c r="B1199" i="2"/>
  <c r="A1199" i="2"/>
  <c r="AH1198" i="2"/>
  <c r="AG1198" i="2"/>
  <c r="AF1198" i="2"/>
  <c r="AE1198" i="2"/>
  <c r="AD1198" i="2"/>
  <c r="AC1198" i="2"/>
  <c r="AB1198" i="2"/>
  <c r="AA1198" i="2"/>
  <c r="Y1198" i="2"/>
  <c r="X1198" i="2"/>
  <c r="W1198" i="2"/>
  <c r="V1198" i="2"/>
  <c r="U1198" i="2"/>
  <c r="T1198" i="2"/>
  <c r="S1198" i="2"/>
  <c r="R1198" i="2"/>
  <c r="Q1198" i="2"/>
  <c r="P1198" i="2"/>
  <c r="O1198" i="2"/>
  <c r="N1198" i="2"/>
  <c r="M1198" i="2"/>
  <c r="L1198" i="2"/>
  <c r="K1198" i="2"/>
  <c r="J1198" i="2"/>
  <c r="I1198" i="2"/>
  <c r="H1198" i="2"/>
  <c r="G1198" i="2"/>
  <c r="F1198" i="2"/>
  <c r="E1198" i="2"/>
  <c r="D1198" i="2"/>
  <c r="C1198" i="2"/>
  <c r="B1198" i="2"/>
  <c r="A1198" i="2"/>
  <c r="AH1197" i="2"/>
  <c r="AG1197" i="2"/>
  <c r="AF1197" i="2"/>
  <c r="AE1197" i="2"/>
  <c r="AD1197" i="2"/>
  <c r="AC1197" i="2"/>
  <c r="AB1197" i="2"/>
  <c r="AA1197" i="2"/>
  <c r="Z1197" i="2"/>
  <c r="Y1197" i="2"/>
  <c r="W1197" i="2"/>
  <c r="V1197" i="2"/>
  <c r="U1197" i="2"/>
  <c r="T1197" i="2"/>
  <c r="S1197" i="2"/>
  <c r="R1197" i="2"/>
  <c r="Q1197" i="2"/>
  <c r="P1197" i="2"/>
  <c r="O1197" i="2"/>
  <c r="N1197" i="2"/>
  <c r="M1197" i="2"/>
  <c r="L1197" i="2"/>
  <c r="K1197" i="2"/>
  <c r="J1197" i="2"/>
  <c r="I1197" i="2"/>
  <c r="H1197" i="2"/>
  <c r="G1197" i="2"/>
  <c r="F1197" i="2"/>
  <c r="E1197" i="2"/>
  <c r="D1197" i="2"/>
  <c r="C1197" i="2"/>
  <c r="B1197" i="2"/>
  <c r="A1197" i="2"/>
  <c r="AH1196" i="2"/>
  <c r="AG1196" i="2"/>
  <c r="AE1196" i="2"/>
  <c r="AD1196" i="2"/>
  <c r="AC1196" i="2"/>
  <c r="AB1196" i="2"/>
  <c r="AA1196" i="2"/>
  <c r="Y1196" i="2"/>
  <c r="X1196" i="2"/>
  <c r="W1196" i="2"/>
  <c r="V1196" i="2"/>
  <c r="U1196" i="2"/>
  <c r="T1196" i="2"/>
  <c r="S1196" i="2"/>
  <c r="R1196" i="2"/>
  <c r="Q1196" i="2"/>
  <c r="P1196" i="2"/>
  <c r="O1196" i="2"/>
  <c r="N1196" i="2"/>
  <c r="M1196" i="2"/>
  <c r="L1196" i="2"/>
  <c r="K1196" i="2"/>
  <c r="J1196" i="2"/>
  <c r="I1196" i="2"/>
  <c r="H1196" i="2"/>
  <c r="G1196" i="2"/>
  <c r="F1196" i="2"/>
  <c r="E1196" i="2"/>
  <c r="D1196" i="2"/>
  <c r="C1196" i="2"/>
  <c r="B1196" i="2"/>
  <c r="A1196" i="2"/>
  <c r="AH1195" i="2"/>
  <c r="AG1195" i="2"/>
  <c r="AF1195" i="2"/>
  <c r="AE1195" i="2"/>
  <c r="AD1195" i="2"/>
  <c r="AC1195" i="2"/>
  <c r="AB1195" i="2"/>
  <c r="AA1195" i="2"/>
  <c r="Z1195" i="2"/>
  <c r="Y1195" i="2"/>
  <c r="X1195" i="2"/>
  <c r="W1195" i="2"/>
  <c r="V1195" i="2"/>
  <c r="U1195" i="2"/>
  <c r="T1195" i="2"/>
  <c r="S1195" i="2"/>
  <c r="R1195" i="2"/>
  <c r="Q1195" i="2"/>
  <c r="P1195" i="2"/>
  <c r="O1195" i="2"/>
  <c r="N1195" i="2"/>
  <c r="M1195" i="2"/>
  <c r="L1195" i="2"/>
  <c r="K1195" i="2"/>
  <c r="J1195" i="2"/>
  <c r="I1195" i="2"/>
  <c r="H1195" i="2"/>
  <c r="G1195" i="2"/>
  <c r="F1195" i="2"/>
  <c r="E1195" i="2"/>
  <c r="D1195" i="2"/>
  <c r="C1195" i="2"/>
  <c r="B1195" i="2"/>
  <c r="A1195" i="2"/>
  <c r="AH1194" i="2"/>
  <c r="AG1194" i="2"/>
  <c r="AF1194" i="2"/>
  <c r="AE1194" i="2"/>
  <c r="AC1194" i="2"/>
  <c r="AB1194" i="2"/>
  <c r="AA1194" i="2"/>
  <c r="Y1194" i="2"/>
  <c r="W1194" i="2"/>
  <c r="V1194" i="2"/>
  <c r="U1194" i="2"/>
  <c r="T1194" i="2"/>
  <c r="S1194" i="2"/>
  <c r="R1194" i="2"/>
  <c r="Q1194" i="2"/>
  <c r="P1194" i="2"/>
  <c r="O1194" i="2"/>
  <c r="N1194" i="2"/>
  <c r="M1194" i="2"/>
  <c r="L1194" i="2"/>
  <c r="K1194" i="2"/>
  <c r="J1194" i="2"/>
  <c r="I1194" i="2"/>
  <c r="H1194" i="2"/>
  <c r="G1194" i="2"/>
  <c r="F1194" i="2"/>
  <c r="E1194" i="2"/>
  <c r="D1194" i="2"/>
  <c r="C1194" i="2"/>
  <c r="B1194" i="2"/>
  <c r="A1194" i="2"/>
  <c r="AG1193" i="2"/>
  <c r="AF1193" i="2"/>
  <c r="AE1193" i="2"/>
  <c r="AD1193" i="2"/>
  <c r="AC1193" i="2"/>
  <c r="AB1193" i="2"/>
  <c r="AA1193" i="2"/>
  <c r="Z1193" i="2"/>
  <c r="Y1193" i="2"/>
  <c r="X1193" i="2"/>
  <c r="W1193" i="2"/>
  <c r="V1193" i="2"/>
  <c r="U1193" i="2"/>
  <c r="T1193" i="2"/>
  <c r="S1193" i="2"/>
  <c r="R1193" i="2"/>
  <c r="Q1193" i="2"/>
  <c r="P1193" i="2"/>
  <c r="O1193" i="2"/>
  <c r="N1193" i="2"/>
  <c r="M1193" i="2"/>
  <c r="L1193" i="2"/>
  <c r="K1193" i="2"/>
  <c r="J1193" i="2"/>
  <c r="I1193" i="2"/>
  <c r="H1193" i="2"/>
  <c r="G1193" i="2"/>
  <c r="F1193" i="2"/>
  <c r="E1193" i="2"/>
  <c r="D1193" i="2"/>
  <c r="C1193" i="2"/>
  <c r="B1193" i="2"/>
  <c r="A1193" i="2"/>
  <c r="AG1192" i="2"/>
  <c r="AF1192" i="2"/>
  <c r="AE1192" i="2"/>
  <c r="AD1192" i="2"/>
  <c r="AC1192" i="2"/>
  <c r="AB1192" i="2"/>
  <c r="AA1192" i="2"/>
  <c r="W1192" i="2"/>
  <c r="V1192" i="2"/>
  <c r="U1192" i="2"/>
  <c r="T1192" i="2"/>
  <c r="S1192" i="2"/>
  <c r="R1192" i="2"/>
  <c r="Q1192" i="2"/>
  <c r="P1192" i="2"/>
  <c r="O1192" i="2"/>
  <c r="N1192" i="2"/>
  <c r="M1192" i="2"/>
  <c r="L1192" i="2"/>
  <c r="K1192" i="2"/>
  <c r="J1192" i="2"/>
  <c r="I1192" i="2"/>
  <c r="H1192" i="2"/>
  <c r="G1192" i="2"/>
  <c r="F1192" i="2"/>
  <c r="E1192" i="2"/>
  <c r="D1192" i="2"/>
  <c r="C1192" i="2"/>
  <c r="B1192" i="2"/>
  <c r="A1192" i="2"/>
  <c r="AG1191" i="2"/>
  <c r="AE1191" i="2"/>
  <c r="AD1191" i="2"/>
  <c r="AC1191" i="2"/>
  <c r="AB1191" i="2"/>
  <c r="AA1191" i="2"/>
  <c r="W1191" i="2"/>
  <c r="V1191" i="2"/>
  <c r="U1191" i="2"/>
  <c r="T1191" i="2"/>
  <c r="S1191" i="2"/>
  <c r="R1191" i="2"/>
  <c r="Q1191" i="2"/>
  <c r="P1191" i="2"/>
  <c r="O1191" i="2"/>
  <c r="N1191" i="2"/>
  <c r="M1191" i="2"/>
  <c r="L1191" i="2"/>
  <c r="K1191" i="2"/>
  <c r="J1191" i="2"/>
  <c r="I1191" i="2"/>
  <c r="H1191" i="2"/>
  <c r="G1191" i="2"/>
  <c r="F1191" i="2"/>
  <c r="E1191" i="2"/>
  <c r="D1191" i="2"/>
  <c r="C1191" i="2"/>
  <c r="B1191" i="2"/>
  <c r="A1191" i="2"/>
  <c r="AG1190" i="2"/>
  <c r="AF1190" i="2"/>
  <c r="AE1190" i="2"/>
  <c r="AD1190" i="2"/>
  <c r="AC1190" i="2"/>
  <c r="AB1190" i="2"/>
  <c r="AA1190" i="2"/>
  <c r="Y1190" i="2"/>
  <c r="X1190" i="2"/>
  <c r="W1190" i="2"/>
  <c r="V1190" i="2"/>
  <c r="U1190" i="2"/>
  <c r="T1190" i="2"/>
  <c r="S1190" i="2"/>
  <c r="R1190" i="2"/>
  <c r="Q1190" i="2"/>
  <c r="P1190" i="2"/>
  <c r="O1190" i="2"/>
  <c r="N1190" i="2"/>
  <c r="M1190" i="2"/>
  <c r="L1190" i="2"/>
  <c r="K1190" i="2"/>
  <c r="J1190" i="2"/>
  <c r="I1190" i="2"/>
  <c r="H1190" i="2"/>
  <c r="G1190" i="2"/>
  <c r="F1190" i="2"/>
  <c r="E1190" i="2"/>
  <c r="D1190" i="2"/>
  <c r="C1190" i="2"/>
  <c r="B1190" i="2"/>
  <c r="A1190" i="2"/>
  <c r="AH1189" i="2"/>
  <c r="AG1189" i="2"/>
  <c r="AF1189" i="2"/>
  <c r="AE1189" i="2"/>
  <c r="AD1189" i="2"/>
  <c r="AC1189" i="2"/>
  <c r="AB1189" i="2"/>
  <c r="AA1189" i="2"/>
  <c r="W1189" i="2"/>
  <c r="V1189" i="2"/>
  <c r="U1189" i="2"/>
  <c r="T1189" i="2"/>
  <c r="S1189" i="2"/>
  <c r="R1189" i="2"/>
  <c r="Q1189" i="2"/>
  <c r="P1189" i="2"/>
  <c r="O1189" i="2"/>
  <c r="N1189" i="2"/>
  <c r="M1189" i="2"/>
  <c r="L1189" i="2"/>
  <c r="K1189" i="2"/>
  <c r="J1189" i="2"/>
  <c r="I1189" i="2"/>
  <c r="H1189" i="2"/>
  <c r="G1189" i="2"/>
  <c r="F1189" i="2"/>
  <c r="E1189" i="2"/>
  <c r="D1189" i="2"/>
  <c r="C1189" i="2"/>
  <c r="B1189" i="2"/>
  <c r="A1189" i="2"/>
  <c r="AG1188" i="2"/>
  <c r="AF1188" i="2"/>
  <c r="AE1188" i="2"/>
  <c r="AD1188" i="2"/>
  <c r="AC1188" i="2"/>
  <c r="AB1188" i="2"/>
  <c r="AA1188" i="2"/>
  <c r="Z1188" i="2"/>
  <c r="Y1188" i="2"/>
  <c r="X1188" i="2"/>
  <c r="W1188" i="2"/>
  <c r="V1188" i="2"/>
  <c r="U1188" i="2"/>
  <c r="T1188" i="2"/>
  <c r="S1188" i="2"/>
  <c r="R1188" i="2"/>
  <c r="Q1188" i="2"/>
  <c r="P1188" i="2"/>
  <c r="O1188" i="2"/>
  <c r="N1188" i="2"/>
  <c r="M1188" i="2"/>
  <c r="L1188" i="2"/>
  <c r="K1188" i="2"/>
  <c r="J1188" i="2"/>
  <c r="I1188" i="2"/>
  <c r="H1188" i="2"/>
  <c r="G1188" i="2"/>
  <c r="F1188" i="2"/>
  <c r="E1188" i="2"/>
  <c r="D1188" i="2"/>
  <c r="C1188" i="2"/>
  <c r="B1188" i="2"/>
  <c r="A1188" i="2"/>
  <c r="AH1187" i="2"/>
  <c r="AG1187" i="2"/>
  <c r="AF1187" i="2"/>
  <c r="AD1187" i="2"/>
  <c r="AC1187" i="2"/>
  <c r="AB1187" i="2"/>
  <c r="AA1187" i="2"/>
  <c r="Y1187" i="2"/>
  <c r="W1187" i="2"/>
  <c r="V1187" i="2"/>
  <c r="U1187" i="2"/>
  <c r="T1187" i="2"/>
  <c r="S1187" i="2"/>
  <c r="R1187" i="2"/>
  <c r="Q1187" i="2"/>
  <c r="P1187" i="2"/>
  <c r="O1187" i="2"/>
  <c r="N1187" i="2"/>
  <c r="M1187" i="2"/>
  <c r="L1187" i="2"/>
  <c r="K1187" i="2"/>
  <c r="J1187" i="2"/>
  <c r="I1187" i="2"/>
  <c r="H1187" i="2"/>
  <c r="G1187" i="2"/>
  <c r="F1187" i="2"/>
  <c r="E1187" i="2"/>
  <c r="D1187" i="2"/>
  <c r="C1187" i="2"/>
  <c r="B1187" i="2"/>
  <c r="A1187" i="2"/>
  <c r="AH1186" i="2"/>
  <c r="AG1186" i="2"/>
  <c r="AF1186" i="2"/>
  <c r="AE1186" i="2"/>
  <c r="AD1186" i="2"/>
  <c r="AC1186" i="2"/>
  <c r="AB1186" i="2"/>
  <c r="AA1186" i="2"/>
  <c r="W1186" i="2"/>
  <c r="V1186" i="2"/>
  <c r="U1186" i="2"/>
  <c r="T1186" i="2"/>
  <c r="S1186" i="2"/>
  <c r="R1186" i="2"/>
  <c r="Q1186" i="2"/>
  <c r="P1186" i="2"/>
  <c r="O1186" i="2"/>
  <c r="N1186" i="2"/>
  <c r="M1186" i="2"/>
  <c r="L1186" i="2"/>
  <c r="K1186" i="2"/>
  <c r="J1186" i="2"/>
  <c r="I1186" i="2"/>
  <c r="H1186" i="2"/>
  <c r="G1186" i="2"/>
  <c r="F1186" i="2"/>
  <c r="E1186" i="2"/>
  <c r="D1186" i="2"/>
  <c r="C1186" i="2"/>
  <c r="B1186" i="2"/>
  <c r="A1186" i="2"/>
  <c r="AG1185" i="2"/>
  <c r="AF1185" i="2"/>
  <c r="AE1185" i="2"/>
  <c r="AD1185" i="2"/>
  <c r="AC1185" i="2"/>
  <c r="AB1185" i="2"/>
  <c r="AA1185" i="2"/>
  <c r="Z1185" i="2"/>
  <c r="Y1185" i="2"/>
  <c r="X1185" i="2"/>
  <c r="W1185" i="2"/>
  <c r="V1185" i="2"/>
  <c r="U1185" i="2"/>
  <c r="T1185" i="2"/>
  <c r="S1185" i="2"/>
  <c r="R1185" i="2"/>
  <c r="Q1185" i="2"/>
  <c r="P1185" i="2"/>
  <c r="O1185" i="2"/>
  <c r="N1185" i="2"/>
  <c r="M1185" i="2"/>
  <c r="L1185" i="2"/>
  <c r="K1185" i="2"/>
  <c r="J1185" i="2"/>
  <c r="I1185" i="2"/>
  <c r="H1185" i="2"/>
  <c r="G1185" i="2"/>
  <c r="F1185" i="2"/>
  <c r="E1185" i="2"/>
  <c r="D1185" i="2"/>
  <c r="C1185" i="2"/>
  <c r="B1185" i="2"/>
  <c r="A1185" i="2"/>
  <c r="AH1184" i="2"/>
  <c r="AG1184" i="2"/>
  <c r="AF1184" i="2"/>
  <c r="AE1184" i="2"/>
  <c r="AD1184" i="2"/>
  <c r="AC1184" i="2"/>
  <c r="AB1184" i="2"/>
  <c r="AA1184" i="2"/>
  <c r="Y1184" i="2"/>
  <c r="X1184" i="2"/>
  <c r="W1184" i="2"/>
  <c r="V1184" i="2"/>
  <c r="U1184" i="2"/>
  <c r="T1184" i="2"/>
  <c r="S1184" i="2"/>
  <c r="R1184" i="2"/>
  <c r="Q1184" i="2"/>
  <c r="P1184" i="2"/>
  <c r="O1184" i="2"/>
  <c r="N1184" i="2"/>
  <c r="M1184" i="2"/>
  <c r="L1184" i="2"/>
  <c r="K1184" i="2"/>
  <c r="J1184" i="2"/>
  <c r="I1184" i="2"/>
  <c r="H1184" i="2"/>
  <c r="G1184" i="2"/>
  <c r="F1184" i="2"/>
  <c r="E1184" i="2"/>
  <c r="D1184" i="2"/>
  <c r="C1184" i="2"/>
  <c r="B1184" i="2"/>
  <c r="A1184" i="2"/>
  <c r="AH1183" i="2"/>
  <c r="AG1183" i="2"/>
  <c r="AF1183" i="2"/>
  <c r="AE1183" i="2"/>
  <c r="AD1183" i="2"/>
  <c r="AC1183" i="2"/>
  <c r="AB1183" i="2"/>
  <c r="AA1183" i="2"/>
  <c r="W1183" i="2"/>
  <c r="V1183" i="2"/>
  <c r="U1183" i="2"/>
  <c r="T1183" i="2"/>
  <c r="S1183" i="2"/>
  <c r="R1183" i="2"/>
  <c r="Q1183" i="2"/>
  <c r="P1183" i="2"/>
  <c r="O1183" i="2"/>
  <c r="N1183" i="2"/>
  <c r="M1183" i="2"/>
  <c r="L1183" i="2"/>
  <c r="K1183" i="2"/>
  <c r="J1183" i="2"/>
  <c r="I1183" i="2"/>
  <c r="H1183" i="2"/>
  <c r="G1183" i="2"/>
  <c r="F1183" i="2"/>
  <c r="E1183" i="2"/>
  <c r="D1183" i="2"/>
  <c r="C1183" i="2"/>
  <c r="B1183" i="2"/>
  <c r="A1183" i="2"/>
  <c r="AG1182" i="2"/>
  <c r="AE1182" i="2"/>
  <c r="AD1182" i="2"/>
  <c r="AC1182" i="2"/>
  <c r="AB1182" i="2"/>
  <c r="AA1182" i="2"/>
  <c r="Z1182" i="2"/>
  <c r="Y1182" i="2"/>
  <c r="X1182" i="2"/>
  <c r="W1182" i="2"/>
  <c r="V1182" i="2"/>
  <c r="U1182" i="2"/>
  <c r="T1182" i="2"/>
  <c r="S1182" i="2"/>
  <c r="R1182" i="2"/>
  <c r="Q1182" i="2"/>
  <c r="P1182" i="2"/>
  <c r="O1182" i="2"/>
  <c r="N1182" i="2"/>
  <c r="M1182" i="2"/>
  <c r="L1182" i="2"/>
  <c r="K1182" i="2"/>
  <c r="J1182" i="2"/>
  <c r="I1182" i="2"/>
  <c r="H1182" i="2"/>
  <c r="G1182" i="2"/>
  <c r="F1182" i="2"/>
  <c r="E1182" i="2"/>
  <c r="D1182" i="2"/>
  <c r="C1182" i="2"/>
  <c r="B1182" i="2"/>
  <c r="A1182" i="2"/>
  <c r="AG1181" i="2"/>
  <c r="AF1181" i="2"/>
  <c r="AE1181" i="2"/>
  <c r="AD1181" i="2"/>
  <c r="AC1181" i="2"/>
  <c r="AB1181" i="2"/>
  <c r="AA1181" i="2"/>
  <c r="Y1181" i="2"/>
  <c r="X1181" i="2"/>
  <c r="W1181" i="2"/>
  <c r="V1181" i="2"/>
  <c r="U1181" i="2"/>
  <c r="T1181" i="2"/>
  <c r="S1181" i="2"/>
  <c r="R1181" i="2"/>
  <c r="Q1181" i="2"/>
  <c r="P1181" i="2"/>
  <c r="O1181" i="2"/>
  <c r="N1181" i="2"/>
  <c r="M1181" i="2"/>
  <c r="L1181" i="2"/>
  <c r="K1181" i="2"/>
  <c r="J1181" i="2"/>
  <c r="I1181" i="2"/>
  <c r="H1181" i="2"/>
  <c r="G1181" i="2"/>
  <c r="F1181" i="2"/>
  <c r="E1181" i="2"/>
  <c r="D1181" i="2"/>
  <c r="C1181" i="2"/>
  <c r="B1181" i="2"/>
  <c r="A1181" i="2"/>
  <c r="AH1180" i="2"/>
  <c r="AG1180" i="2"/>
  <c r="AF1180" i="2"/>
  <c r="AE1180" i="2"/>
  <c r="AD1180" i="2"/>
  <c r="AC1180" i="2"/>
  <c r="AB1180" i="2"/>
  <c r="AA1180" i="2"/>
  <c r="Y1180" i="2"/>
  <c r="X1180" i="2"/>
  <c r="W1180" i="2"/>
  <c r="V1180" i="2"/>
  <c r="U1180" i="2"/>
  <c r="T1180" i="2"/>
  <c r="S1180" i="2"/>
  <c r="R1180" i="2"/>
  <c r="Q1180" i="2"/>
  <c r="P1180" i="2"/>
  <c r="O1180" i="2"/>
  <c r="N1180" i="2"/>
  <c r="M1180" i="2"/>
  <c r="L1180" i="2"/>
  <c r="K1180" i="2"/>
  <c r="J1180" i="2"/>
  <c r="I1180" i="2"/>
  <c r="H1180" i="2"/>
  <c r="G1180" i="2"/>
  <c r="F1180" i="2"/>
  <c r="E1180" i="2"/>
  <c r="D1180" i="2"/>
  <c r="C1180" i="2"/>
  <c r="B1180" i="2"/>
  <c r="A1180" i="2"/>
  <c r="AG1179" i="2"/>
  <c r="AE1179" i="2"/>
  <c r="AD1179" i="2"/>
  <c r="AC1179" i="2"/>
  <c r="AB1179" i="2"/>
  <c r="AA1179" i="2"/>
  <c r="Y1179" i="2"/>
  <c r="V1179" i="2"/>
  <c r="U1179" i="2"/>
  <c r="T1179" i="2"/>
  <c r="S1179" i="2"/>
  <c r="R1179" i="2"/>
  <c r="Q1179" i="2"/>
  <c r="P1179" i="2"/>
  <c r="O1179" i="2"/>
  <c r="N1179" i="2"/>
  <c r="M1179" i="2"/>
  <c r="L1179" i="2"/>
  <c r="K1179" i="2"/>
  <c r="J1179" i="2"/>
  <c r="I1179" i="2"/>
  <c r="H1179" i="2"/>
  <c r="G1179" i="2"/>
  <c r="F1179" i="2"/>
  <c r="E1179" i="2"/>
  <c r="D1179" i="2"/>
  <c r="C1179" i="2"/>
  <c r="B1179" i="2"/>
  <c r="A1179" i="2"/>
  <c r="AH1178" i="2"/>
  <c r="AG1178" i="2"/>
  <c r="AE1178" i="2"/>
  <c r="AD1178" i="2"/>
  <c r="AC1178" i="2"/>
  <c r="AB1178" i="2"/>
  <c r="AA1178" i="2"/>
  <c r="Z1178" i="2"/>
  <c r="Y1178" i="2"/>
  <c r="W1178" i="2"/>
  <c r="V1178" i="2"/>
  <c r="U1178" i="2"/>
  <c r="T1178" i="2"/>
  <c r="R1178" i="2"/>
  <c r="Q1178" i="2"/>
  <c r="P1178" i="2"/>
  <c r="O1178" i="2"/>
  <c r="N1178" i="2"/>
  <c r="M1178" i="2"/>
  <c r="L1178" i="2"/>
  <c r="K1178" i="2"/>
  <c r="J1178" i="2"/>
  <c r="I1178" i="2"/>
  <c r="H1178" i="2"/>
  <c r="G1178" i="2"/>
  <c r="F1178" i="2"/>
  <c r="E1178" i="2"/>
  <c r="D1178" i="2"/>
  <c r="C1178" i="2"/>
  <c r="B1178" i="2"/>
  <c r="A1178" i="2"/>
  <c r="AG1177" i="2"/>
  <c r="AF1177" i="2"/>
  <c r="AE1177" i="2"/>
  <c r="AD1177" i="2"/>
  <c r="AC1177" i="2"/>
  <c r="AB1177" i="2"/>
  <c r="AA1177" i="2"/>
  <c r="X1177" i="2"/>
  <c r="W1177" i="2"/>
  <c r="V1177" i="2"/>
  <c r="U1177" i="2"/>
  <c r="T1177" i="2"/>
  <c r="S1177" i="2"/>
  <c r="R1177" i="2"/>
  <c r="Q1177" i="2"/>
  <c r="P1177" i="2"/>
  <c r="O1177" i="2"/>
  <c r="N1177" i="2"/>
  <c r="M1177" i="2"/>
  <c r="L1177" i="2"/>
  <c r="K1177" i="2"/>
  <c r="J1177" i="2"/>
  <c r="I1177" i="2"/>
  <c r="H1177" i="2"/>
  <c r="G1177" i="2"/>
  <c r="F1177" i="2"/>
  <c r="E1177" i="2"/>
  <c r="D1177" i="2"/>
  <c r="C1177" i="2"/>
  <c r="B1177" i="2"/>
  <c r="A1177" i="2"/>
  <c r="AH1176" i="2"/>
  <c r="AG1176" i="2"/>
  <c r="AF1176" i="2"/>
  <c r="AE1176" i="2"/>
  <c r="AD1176" i="2"/>
  <c r="AC1176" i="2"/>
  <c r="AB1176" i="2"/>
  <c r="AA1176" i="2"/>
  <c r="Y1176" i="2"/>
  <c r="X1176" i="2"/>
  <c r="W1176" i="2"/>
  <c r="V1176" i="2"/>
  <c r="U1176" i="2"/>
  <c r="T1176" i="2"/>
  <c r="S1176" i="2"/>
  <c r="R1176" i="2"/>
  <c r="Q1176" i="2"/>
  <c r="P1176" i="2"/>
  <c r="O1176" i="2"/>
  <c r="N1176" i="2"/>
  <c r="M1176" i="2"/>
  <c r="L1176" i="2"/>
  <c r="K1176" i="2"/>
  <c r="J1176" i="2"/>
  <c r="I1176" i="2"/>
  <c r="H1176" i="2"/>
  <c r="G1176" i="2"/>
  <c r="F1176" i="2"/>
  <c r="E1176" i="2"/>
  <c r="D1176" i="2"/>
  <c r="C1176" i="2"/>
  <c r="B1176" i="2"/>
  <c r="A1176" i="2"/>
  <c r="AG1175" i="2"/>
  <c r="AE1175" i="2"/>
  <c r="AC1175" i="2"/>
  <c r="AB1175" i="2"/>
  <c r="AA1175" i="2"/>
  <c r="Y1175" i="2"/>
  <c r="W1175" i="2"/>
  <c r="V1175" i="2"/>
  <c r="U1175" i="2"/>
  <c r="T1175" i="2"/>
  <c r="S1175" i="2"/>
  <c r="R1175" i="2"/>
  <c r="Q1175" i="2"/>
  <c r="P1175" i="2"/>
  <c r="O1175" i="2"/>
  <c r="N1175" i="2"/>
  <c r="M1175" i="2"/>
  <c r="L1175" i="2"/>
  <c r="K1175" i="2"/>
  <c r="J1175" i="2"/>
  <c r="I1175" i="2"/>
  <c r="H1175" i="2"/>
  <c r="G1175" i="2"/>
  <c r="F1175" i="2"/>
  <c r="E1175" i="2"/>
  <c r="D1175" i="2"/>
  <c r="C1175" i="2"/>
  <c r="B1175" i="2"/>
  <c r="A1175" i="2"/>
  <c r="AH1174" i="2"/>
  <c r="AG1174" i="2"/>
  <c r="AF1174" i="2"/>
  <c r="AE1174" i="2"/>
  <c r="AD1174" i="2"/>
  <c r="AC1174" i="2"/>
  <c r="AB1174" i="2"/>
  <c r="AA1174" i="2"/>
  <c r="Y1174" i="2"/>
  <c r="W1174" i="2"/>
  <c r="V1174" i="2"/>
  <c r="U1174" i="2"/>
  <c r="T1174" i="2"/>
  <c r="S1174" i="2"/>
  <c r="R1174" i="2"/>
  <c r="Q1174" i="2"/>
  <c r="P1174" i="2"/>
  <c r="O1174" i="2"/>
  <c r="N1174" i="2"/>
  <c r="M1174" i="2"/>
  <c r="L1174" i="2"/>
  <c r="K1174" i="2"/>
  <c r="J1174" i="2"/>
  <c r="I1174" i="2"/>
  <c r="H1174" i="2"/>
  <c r="G1174" i="2"/>
  <c r="F1174" i="2"/>
  <c r="E1174" i="2"/>
  <c r="D1174" i="2"/>
  <c r="C1174" i="2"/>
  <c r="B1174" i="2"/>
  <c r="A1174" i="2"/>
  <c r="AG1173" i="2"/>
  <c r="AC1173" i="2"/>
  <c r="AB1173" i="2"/>
  <c r="AA1173" i="2"/>
  <c r="X1173" i="2"/>
  <c r="W1173" i="2"/>
  <c r="V1173" i="2"/>
  <c r="U1173" i="2"/>
  <c r="T1173" i="2"/>
  <c r="S1173" i="2"/>
  <c r="R1173" i="2"/>
  <c r="Q1173" i="2"/>
  <c r="P1173" i="2"/>
  <c r="O1173" i="2"/>
  <c r="N1173" i="2"/>
  <c r="M1173" i="2"/>
  <c r="L1173" i="2"/>
  <c r="K1173" i="2"/>
  <c r="J1173" i="2"/>
  <c r="I1173" i="2"/>
  <c r="H1173" i="2"/>
  <c r="G1173" i="2"/>
  <c r="F1173" i="2"/>
  <c r="E1173" i="2"/>
  <c r="D1173" i="2"/>
  <c r="C1173" i="2"/>
  <c r="B1173" i="2"/>
  <c r="A1173" i="2"/>
  <c r="AH1172" i="2"/>
  <c r="AG1172" i="2"/>
  <c r="AF1172" i="2"/>
  <c r="AE1172" i="2"/>
  <c r="AD1172" i="2"/>
  <c r="AC1172" i="2"/>
  <c r="AB1172" i="2"/>
  <c r="AA1172" i="2"/>
  <c r="Z1172" i="2"/>
  <c r="X1172" i="2"/>
  <c r="W1172" i="2"/>
  <c r="V1172" i="2"/>
  <c r="U1172" i="2"/>
  <c r="T1172" i="2"/>
  <c r="S1172" i="2"/>
  <c r="R1172" i="2"/>
  <c r="Q1172" i="2"/>
  <c r="P1172" i="2"/>
  <c r="O1172" i="2"/>
  <c r="N1172" i="2"/>
  <c r="M1172" i="2"/>
  <c r="L1172" i="2"/>
  <c r="K1172" i="2"/>
  <c r="J1172" i="2"/>
  <c r="I1172" i="2"/>
  <c r="H1172" i="2"/>
  <c r="G1172" i="2"/>
  <c r="F1172" i="2"/>
  <c r="E1172" i="2"/>
  <c r="D1172" i="2"/>
  <c r="C1172" i="2"/>
  <c r="B1172" i="2"/>
  <c r="A1172" i="2"/>
  <c r="AG1171" i="2"/>
  <c r="AE1171" i="2"/>
  <c r="AD1171" i="2"/>
  <c r="AC1171" i="2"/>
  <c r="AB1171" i="2"/>
  <c r="AA1171" i="2"/>
  <c r="W1171" i="2"/>
  <c r="V1171" i="2"/>
  <c r="U1171" i="2"/>
  <c r="T1171" i="2"/>
  <c r="S1171" i="2"/>
  <c r="R1171" i="2"/>
  <c r="Q1171" i="2"/>
  <c r="P1171" i="2"/>
  <c r="O1171" i="2"/>
  <c r="N1171" i="2"/>
  <c r="M1171" i="2"/>
  <c r="L1171" i="2"/>
  <c r="K1171" i="2"/>
  <c r="J1171" i="2"/>
  <c r="I1171" i="2"/>
  <c r="H1171" i="2"/>
  <c r="G1171" i="2"/>
  <c r="F1171" i="2"/>
  <c r="E1171" i="2"/>
  <c r="D1171" i="2"/>
  <c r="C1171" i="2"/>
  <c r="B1171" i="2"/>
  <c r="A1171" i="2"/>
  <c r="AH1170" i="2"/>
  <c r="AG1170" i="2"/>
  <c r="AF1170" i="2"/>
  <c r="AE1170" i="2"/>
  <c r="AD1170" i="2"/>
  <c r="AC1170" i="2"/>
  <c r="AB1170" i="2"/>
  <c r="AA1170" i="2"/>
  <c r="Y1170" i="2"/>
  <c r="X1170" i="2"/>
  <c r="W1170" i="2"/>
  <c r="V1170" i="2"/>
  <c r="U1170" i="2"/>
  <c r="T1170" i="2"/>
  <c r="S1170" i="2"/>
  <c r="R1170" i="2"/>
  <c r="Q1170" i="2"/>
  <c r="P1170" i="2"/>
  <c r="O1170" i="2"/>
  <c r="N1170" i="2"/>
  <c r="M1170" i="2"/>
  <c r="L1170" i="2"/>
  <c r="K1170" i="2"/>
  <c r="J1170" i="2"/>
  <c r="I1170" i="2"/>
  <c r="H1170" i="2"/>
  <c r="G1170" i="2"/>
  <c r="F1170" i="2"/>
  <c r="E1170" i="2"/>
  <c r="D1170" i="2"/>
  <c r="C1170" i="2"/>
  <c r="B1170" i="2"/>
  <c r="A1170" i="2"/>
  <c r="AG1169" i="2"/>
  <c r="AF1169" i="2"/>
  <c r="AE1169" i="2"/>
  <c r="AD1169" i="2"/>
  <c r="AC1169" i="2"/>
  <c r="AB1169" i="2"/>
  <c r="AA1169" i="2"/>
  <c r="Z1169" i="2"/>
  <c r="X1169" i="2"/>
  <c r="W1169" i="2"/>
  <c r="V1169" i="2"/>
  <c r="U1169" i="2"/>
  <c r="T1169" i="2"/>
  <c r="S1169" i="2"/>
  <c r="R1169" i="2"/>
  <c r="Q1169" i="2"/>
  <c r="P1169" i="2"/>
  <c r="O1169" i="2"/>
  <c r="N1169" i="2"/>
  <c r="M1169" i="2"/>
  <c r="L1169" i="2"/>
  <c r="K1169" i="2"/>
  <c r="J1169" i="2"/>
  <c r="I1169" i="2"/>
  <c r="H1169" i="2"/>
  <c r="G1169" i="2"/>
  <c r="F1169" i="2"/>
  <c r="E1169" i="2"/>
  <c r="D1169" i="2"/>
  <c r="C1169" i="2"/>
  <c r="B1169" i="2"/>
  <c r="A1169" i="2"/>
  <c r="AH1168" i="2"/>
  <c r="AG1168" i="2"/>
  <c r="AE1168" i="2"/>
  <c r="AD1168" i="2"/>
  <c r="AC1168" i="2"/>
  <c r="AB1168" i="2"/>
  <c r="AA1168" i="2"/>
  <c r="Z1168" i="2"/>
  <c r="Y1168" i="2"/>
  <c r="X1168" i="2"/>
  <c r="W1168" i="2"/>
  <c r="V1168" i="2"/>
  <c r="U1168" i="2"/>
  <c r="T1168" i="2"/>
  <c r="S1168" i="2"/>
  <c r="R1168" i="2"/>
  <c r="Q1168" i="2"/>
  <c r="P1168" i="2"/>
  <c r="O1168" i="2"/>
  <c r="N1168" i="2"/>
  <c r="M1168" i="2"/>
  <c r="L1168" i="2"/>
  <c r="K1168" i="2"/>
  <c r="J1168" i="2"/>
  <c r="I1168" i="2"/>
  <c r="H1168" i="2"/>
  <c r="G1168" i="2"/>
  <c r="F1168" i="2"/>
  <c r="E1168" i="2"/>
  <c r="D1168" i="2"/>
  <c r="C1168" i="2"/>
  <c r="B1168" i="2"/>
  <c r="A1168" i="2"/>
  <c r="AH1167" i="2"/>
  <c r="AG1167" i="2"/>
  <c r="AF1167" i="2"/>
  <c r="AE1167" i="2"/>
  <c r="AD1167" i="2"/>
  <c r="AC1167" i="2"/>
  <c r="AB1167" i="2"/>
  <c r="AA1167" i="2"/>
  <c r="Y1167" i="2"/>
  <c r="X1167" i="2"/>
  <c r="W1167" i="2"/>
  <c r="V1167" i="2"/>
  <c r="U1167" i="2"/>
  <c r="T1167" i="2"/>
  <c r="S1167" i="2"/>
  <c r="R1167" i="2"/>
  <c r="Q1167" i="2"/>
  <c r="P1167" i="2"/>
  <c r="O1167" i="2"/>
  <c r="N1167" i="2"/>
  <c r="M1167" i="2"/>
  <c r="L1167" i="2"/>
  <c r="K1167" i="2"/>
  <c r="J1167" i="2"/>
  <c r="I1167" i="2"/>
  <c r="H1167" i="2"/>
  <c r="G1167" i="2"/>
  <c r="F1167" i="2"/>
  <c r="E1167" i="2"/>
  <c r="D1167" i="2"/>
  <c r="C1167" i="2"/>
  <c r="B1167" i="2"/>
  <c r="A1167" i="2"/>
  <c r="AG1166" i="2"/>
  <c r="AE1166" i="2"/>
  <c r="AD1166" i="2"/>
  <c r="AC1166" i="2"/>
  <c r="AB1166" i="2"/>
  <c r="AA1166" i="2"/>
  <c r="W1166" i="2"/>
  <c r="V1166" i="2"/>
  <c r="U1166" i="2"/>
  <c r="T1166" i="2"/>
  <c r="S1166" i="2"/>
  <c r="R1166" i="2"/>
  <c r="Q1166" i="2"/>
  <c r="P1166" i="2"/>
  <c r="O1166" i="2"/>
  <c r="N1166" i="2"/>
  <c r="M1166" i="2"/>
  <c r="L1166" i="2"/>
  <c r="K1166" i="2"/>
  <c r="J1166" i="2"/>
  <c r="I1166" i="2"/>
  <c r="H1166" i="2"/>
  <c r="G1166" i="2"/>
  <c r="F1166" i="2"/>
  <c r="E1166" i="2"/>
  <c r="D1166" i="2"/>
  <c r="C1166" i="2"/>
  <c r="B1166" i="2"/>
  <c r="A1166" i="2"/>
  <c r="AH1165" i="2"/>
  <c r="AG1165" i="2"/>
  <c r="AE1165" i="2"/>
  <c r="AD1165" i="2"/>
  <c r="AC1165" i="2"/>
  <c r="AB1165" i="2"/>
  <c r="AA1165" i="2"/>
  <c r="W1165" i="2"/>
  <c r="V1165" i="2"/>
  <c r="U1165" i="2"/>
  <c r="T1165" i="2"/>
  <c r="S1165" i="2"/>
  <c r="R1165" i="2"/>
  <c r="Q1165" i="2"/>
  <c r="P1165" i="2"/>
  <c r="O1165" i="2"/>
  <c r="N1165" i="2"/>
  <c r="M1165" i="2"/>
  <c r="L1165" i="2"/>
  <c r="K1165" i="2"/>
  <c r="J1165" i="2"/>
  <c r="I1165" i="2"/>
  <c r="H1165" i="2"/>
  <c r="G1165" i="2"/>
  <c r="F1165" i="2"/>
  <c r="E1165" i="2"/>
  <c r="D1165" i="2"/>
  <c r="C1165" i="2"/>
  <c r="B1165" i="2"/>
  <c r="A1165" i="2"/>
  <c r="AH1164" i="2"/>
  <c r="AG1164" i="2"/>
  <c r="AF1164" i="2"/>
  <c r="AE1164" i="2"/>
  <c r="AD1164" i="2"/>
  <c r="AC1164" i="2"/>
  <c r="AB1164" i="2"/>
  <c r="AA1164" i="2"/>
  <c r="Y1164" i="2"/>
  <c r="X1164" i="2"/>
  <c r="W1164" i="2"/>
  <c r="V1164" i="2"/>
  <c r="U1164" i="2"/>
  <c r="T1164" i="2"/>
  <c r="S1164" i="2"/>
  <c r="R1164" i="2"/>
  <c r="Q1164" i="2"/>
  <c r="P1164" i="2"/>
  <c r="O1164" i="2"/>
  <c r="N1164" i="2"/>
  <c r="M1164" i="2"/>
  <c r="L1164" i="2"/>
  <c r="K1164" i="2"/>
  <c r="J1164" i="2"/>
  <c r="I1164" i="2"/>
  <c r="H1164" i="2"/>
  <c r="G1164" i="2"/>
  <c r="F1164" i="2"/>
  <c r="E1164" i="2"/>
  <c r="D1164" i="2"/>
  <c r="C1164" i="2"/>
  <c r="B1164" i="2"/>
  <c r="A1164" i="2"/>
  <c r="AH1163" i="2"/>
  <c r="AG1163" i="2"/>
  <c r="AE1163" i="2"/>
  <c r="AD1163" i="2"/>
  <c r="AC1163" i="2"/>
  <c r="AB1163" i="2"/>
  <c r="AA1163" i="2"/>
  <c r="W1163" i="2"/>
  <c r="V1163" i="2"/>
  <c r="U1163" i="2"/>
  <c r="T1163" i="2"/>
  <c r="S1163" i="2"/>
  <c r="R1163" i="2"/>
  <c r="Q1163" i="2"/>
  <c r="P1163" i="2"/>
  <c r="O1163" i="2"/>
  <c r="N1163" i="2"/>
  <c r="M1163" i="2"/>
  <c r="L1163" i="2"/>
  <c r="K1163" i="2"/>
  <c r="J1163" i="2"/>
  <c r="I1163" i="2"/>
  <c r="H1163" i="2"/>
  <c r="G1163" i="2"/>
  <c r="F1163" i="2"/>
  <c r="E1163" i="2"/>
  <c r="D1163" i="2"/>
  <c r="C1163" i="2"/>
  <c r="B1163" i="2"/>
  <c r="A1163" i="2"/>
  <c r="AH1162" i="2"/>
  <c r="AG1162" i="2"/>
  <c r="AF1162" i="2"/>
  <c r="AE1162" i="2"/>
  <c r="AD1162" i="2"/>
  <c r="AC1162" i="2"/>
  <c r="AB1162" i="2"/>
  <c r="AA1162" i="2"/>
  <c r="Z1162" i="2"/>
  <c r="Y1162" i="2"/>
  <c r="X1162" i="2"/>
  <c r="W1162" i="2"/>
  <c r="V1162" i="2"/>
  <c r="U1162" i="2"/>
  <c r="T1162" i="2"/>
  <c r="S1162" i="2"/>
  <c r="R1162" i="2"/>
  <c r="Q1162" i="2"/>
  <c r="P1162" i="2"/>
  <c r="O1162" i="2"/>
  <c r="N1162" i="2"/>
  <c r="M1162" i="2"/>
  <c r="L1162" i="2"/>
  <c r="K1162" i="2"/>
  <c r="J1162" i="2"/>
  <c r="I1162" i="2"/>
  <c r="H1162" i="2"/>
  <c r="G1162" i="2"/>
  <c r="F1162" i="2"/>
  <c r="E1162" i="2"/>
  <c r="D1162" i="2"/>
  <c r="C1162" i="2"/>
  <c r="B1162" i="2"/>
  <c r="A1162" i="2"/>
  <c r="AH1161" i="2"/>
  <c r="AG1161" i="2"/>
  <c r="AE1161" i="2"/>
  <c r="AD1161" i="2"/>
  <c r="AC1161" i="2"/>
  <c r="AB1161" i="2"/>
  <c r="AA1161" i="2"/>
  <c r="Y1161" i="2"/>
  <c r="W1161" i="2"/>
  <c r="V1161" i="2"/>
  <c r="U1161" i="2"/>
  <c r="T1161" i="2"/>
  <c r="S1161" i="2"/>
  <c r="R1161" i="2"/>
  <c r="Q1161" i="2"/>
  <c r="P1161" i="2"/>
  <c r="O1161" i="2"/>
  <c r="N1161" i="2"/>
  <c r="M1161" i="2"/>
  <c r="L1161" i="2"/>
  <c r="K1161" i="2"/>
  <c r="J1161" i="2"/>
  <c r="I1161" i="2"/>
  <c r="H1161" i="2"/>
  <c r="G1161" i="2"/>
  <c r="F1161" i="2"/>
  <c r="E1161" i="2"/>
  <c r="D1161" i="2"/>
  <c r="C1161" i="2"/>
  <c r="B1161" i="2"/>
  <c r="A1161" i="2"/>
  <c r="AH1160" i="2"/>
  <c r="AG1160" i="2"/>
  <c r="AF1160" i="2"/>
  <c r="AE1160" i="2"/>
  <c r="AD1160" i="2"/>
  <c r="AC1160" i="2"/>
  <c r="AB1160" i="2"/>
  <c r="AA1160" i="2"/>
  <c r="Z1160" i="2"/>
  <c r="Y1160" i="2"/>
  <c r="X1160" i="2"/>
  <c r="W1160" i="2"/>
  <c r="V1160" i="2"/>
  <c r="U1160" i="2"/>
  <c r="T1160" i="2"/>
  <c r="S1160" i="2"/>
  <c r="R1160" i="2"/>
  <c r="Q1160" i="2"/>
  <c r="P1160" i="2"/>
  <c r="O1160" i="2"/>
  <c r="N1160" i="2"/>
  <c r="M1160" i="2"/>
  <c r="L1160" i="2"/>
  <c r="K1160" i="2"/>
  <c r="J1160" i="2"/>
  <c r="I1160" i="2"/>
  <c r="H1160" i="2"/>
  <c r="G1160" i="2"/>
  <c r="F1160" i="2"/>
  <c r="E1160" i="2"/>
  <c r="D1160" i="2"/>
  <c r="C1160" i="2"/>
  <c r="B1160" i="2"/>
  <c r="A1160" i="2"/>
  <c r="AG1159" i="2"/>
  <c r="AE1159" i="2"/>
  <c r="AD1159" i="2"/>
  <c r="AC1159" i="2"/>
  <c r="AB1159" i="2"/>
  <c r="AA1159" i="2"/>
  <c r="W1159" i="2"/>
  <c r="V1159" i="2"/>
  <c r="U1159" i="2"/>
  <c r="T1159" i="2"/>
  <c r="S1159" i="2"/>
  <c r="R1159" i="2"/>
  <c r="Q1159" i="2"/>
  <c r="P1159" i="2"/>
  <c r="O1159" i="2"/>
  <c r="N1159" i="2"/>
  <c r="M1159" i="2"/>
  <c r="L1159" i="2"/>
  <c r="K1159" i="2"/>
  <c r="J1159" i="2"/>
  <c r="I1159" i="2"/>
  <c r="H1159" i="2"/>
  <c r="G1159" i="2"/>
  <c r="F1159" i="2"/>
  <c r="E1159" i="2"/>
  <c r="D1159" i="2"/>
  <c r="C1159" i="2"/>
  <c r="B1159" i="2"/>
  <c r="A1159" i="2"/>
  <c r="AH1158" i="2"/>
  <c r="AG1158" i="2"/>
  <c r="AF1158" i="2"/>
  <c r="AE1158" i="2"/>
  <c r="AD1158" i="2"/>
  <c r="AC1158" i="2"/>
  <c r="AB1158" i="2"/>
  <c r="AA1158" i="2"/>
  <c r="Z1158" i="2"/>
  <c r="Y1158" i="2"/>
  <c r="X1158" i="2"/>
  <c r="W1158" i="2"/>
  <c r="V1158" i="2"/>
  <c r="U1158" i="2"/>
  <c r="T1158" i="2"/>
  <c r="S1158" i="2"/>
  <c r="R1158" i="2"/>
  <c r="Q1158" i="2"/>
  <c r="P1158" i="2"/>
  <c r="O1158" i="2"/>
  <c r="N1158" i="2"/>
  <c r="M1158" i="2"/>
  <c r="L1158" i="2"/>
  <c r="K1158" i="2"/>
  <c r="J1158" i="2"/>
  <c r="I1158" i="2"/>
  <c r="H1158" i="2"/>
  <c r="G1158" i="2"/>
  <c r="F1158" i="2"/>
  <c r="E1158" i="2"/>
  <c r="D1158" i="2"/>
  <c r="C1158" i="2"/>
  <c r="B1158" i="2"/>
  <c r="A1158" i="2"/>
  <c r="AG1157" i="2"/>
  <c r="AF1157" i="2"/>
  <c r="AE1157" i="2"/>
  <c r="AD1157" i="2"/>
  <c r="AC1157" i="2"/>
  <c r="AB1157" i="2"/>
  <c r="AA1157" i="2"/>
  <c r="X1157" i="2"/>
  <c r="W1157" i="2"/>
  <c r="V1157" i="2"/>
  <c r="U1157" i="2"/>
  <c r="T1157" i="2"/>
  <c r="S1157" i="2"/>
  <c r="R1157" i="2"/>
  <c r="Q1157" i="2"/>
  <c r="P1157" i="2"/>
  <c r="O1157" i="2"/>
  <c r="M1157" i="2"/>
  <c r="L1157" i="2"/>
  <c r="K1157" i="2"/>
  <c r="J1157" i="2"/>
  <c r="I1157" i="2"/>
  <c r="H1157" i="2"/>
  <c r="G1157" i="2"/>
  <c r="F1157" i="2"/>
  <c r="E1157" i="2"/>
  <c r="D1157" i="2"/>
  <c r="C1157" i="2"/>
  <c r="B1157" i="2"/>
  <c r="A1157" i="2"/>
  <c r="AH1156" i="2"/>
  <c r="AG1156" i="2"/>
  <c r="AE1156" i="2"/>
  <c r="AD1156" i="2"/>
  <c r="AC1156" i="2"/>
  <c r="AB1156" i="2"/>
  <c r="AA1156" i="2"/>
  <c r="Y1156" i="2"/>
  <c r="X1156" i="2"/>
  <c r="W1156" i="2"/>
  <c r="V1156" i="2"/>
  <c r="U1156" i="2"/>
  <c r="T1156" i="2"/>
  <c r="S1156" i="2"/>
  <c r="R1156" i="2"/>
  <c r="Q1156" i="2"/>
  <c r="P1156" i="2"/>
  <c r="O1156" i="2"/>
  <c r="N1156" i="2"/>
  <c r="M1156" i="2"/>
  <c r="L1156" i="2"/>
  <c r="K1156" i="2"/>
  <c r="J1156" i="2"/>
  <c r="I1156" i="2"/>
  <c r="H1156" i="2"/>
  <c r="G1156" i="2"/>
  <c r="F1156" i="2"/>
  <c r="E1156" i="2"/>
  <c r="D1156" i="2"/>
  <c r="C1156" i="2"/>
  <c r="B1156" i="2"/>
  <c r="A1156" i="2"/>
  <c r="AH1155" i="2"/>
  <c r="AG1155" i="2"/>
  <c r="AF1155" i="2"/>
  <c r="AE1155" i="2"/>
  <c r="AD1155" i="2"/>
  <c r="AC1155" i="2"/>
  <c r="AB1155" i="2"/>
  <c r="AA1155" i="2"/>
  <c r="Y1155" i="2"/>
  <c r="X1155" i="2"/>
  <c r="W1155" i="2"/>
  <c r="V1155" i="2"/>
  <c r="U1155" i="2"/>
  <c r="T1155" i="2"/>
  <c r="S1155" i="2"/>
  <c r="Q1155" i="2"/>
  <c r="P1155" i="2"/>
  <c r="O1155" i="2"/>
  <c r="N1155" i="2"/>
  <c r="M1155" i="2"/>
  <c r="L1155" i="2"/>
  <c r="K1155" i="2"/>
  <c r="J1155" i="2"/>
  <c r="I1155" i="2"/>
  <c r="H1155" i="2"/>
  <c r="G1155" i="2"/>
  <c r="F1155" i="2"/>
  <c r="E1155" i="2"/>
  <c r="D1155" i="2"/>
  <c r="C1155" i="2"/>
  <c r="B1155" i="2"/>
  <c r="A1155" i="2"/>
  <c r="AG1154" i="2"/>
  <c r="AE1154" i="2"/>
  <c r="AC1154" i="2"/>
  <c r="AB1154" i="2"/>
  <c r="AA1154" i="2"/>
  <c r="W1154" i="2"/>
  <c r="V1154" i="2"/>
  <c r="U1154" i="2"/>
  <c r="T1154" i="2"/>
  <c r="S1154" i="2"/>
  <c r="R1154" i="2"/>
  <c r="Q1154" i="2"/>
  <c r="P1154" i="2"/>
  <c r="O1154" i="2"/>
  <c r="N1154" i="2"/>
  <c r="M1154" i="2"/>
  <c r="L1154" i="2"/>
  <c r="K1154" i="2"/>
  <c r="J1154" i="2"/>
  <c r="I1154" i="2"/>
  <c r="H1154" i="2"/>
  <c r="G1154" i="2"/>
  <c r="F1154" i="2"/>
  <c r="E1154" i="2"/>
  <c r="D1154" i="2"/>
  <c r="C1154" i="2"/>
  <c r="B1154" i="2"/>
  <c r="A1154" i="2"/>
  <c r="AH1153" i="2"/>
  <c r="AG1153" i="2"/>
  <c r="AE1153" i="2"/>
  <c r="AD1153" i="2"/>
  <c r="AC1153" i="2"/>
  <c r="AB1153" i="2"/>
  <c r="AA1153" i="2"/>
  <c r="Y1153" i="2"/>
  <c r="X1153" i="2"/>
  <c r="W1153" i="2"/>
  <c r="V1153" i="2"/>
  <c r="U1153" i="2"/>
  <c r="T1153" i="2"/>
  <c r="S1153" i="2"/>
  <c r="R1153" i="2"/>
  <c r="Q1153" i="2"/>
  <c r="P1153" i="2"/>
  <c r="O1153" i="2"/>
  <c r="N1153" i="2"/>
  <c r="M1153" i="2"/>
  <c r="L1153" i="2"/>
  <c r="K1153" i="2"/>
  <c r="J1153" i="2"/>
  <c r="I1153" i="2"/>
  <c r="H1153" i="2"/>
  <c r="G1153" i="2"/>
  <c r="F1153" i="2"/>
  <c r="E1153" i="2"/>
  <c r="D1153" i="2"/>
  <c r="C1153" i="2"/>
  <c r="B1153" i="2"/>
  <c r="A1153" i="2"/>
  <c r="AG1152" i="2"/>
  <c r="AF1152" i="2"/>
  <c r="AE1152" i="2"/>
  <c r="AD1152" i="2"/>
  <c r="AC1152" i="2"/>
  <c r="AB1152" i="2"/>
  <c r="AA1152" i="2"/>
  <c r="Z1152" i="2"/>
  <c r="Y1152" i="2"/>
  <c r="X1152" i="2"/>
  <c r="W1152" i="2"/>
  <c r="V1152" i="2"/>
  <c r="U1152" i="2"/>
  <c r="T1152" i="2"/>
  <c r="S1152" i="2"/>
  <c r="R1152" i="2"/>
  <c r="Q1152" i="2"/>
  <c r="P1152" i="2"/>
  <c r="O1152" i="2"/>
  <c r="N1152" i="2"/>
  <c r="M1152" i="2"/>
  <c r="L1152" i="2"/>
  <c r="K1152" i="2"/>
  <c r="J1152" i="2"/>
  <c r="I1152" i="2"/>
  <c r="H1152" i="2"/>
  <c r="G1152" i="2"/>
  <c r="F1152" i="2"/>
  <c r="E1152" i="2"/>
  <c r="D1152" i="2"/>
  <c r="C1152" i="2"/>
  <c r="B1152" i="2"/>
  <c r="A1152" i="2"/>
  <c r="AH1151" i="2"/>
  <c r="AG1151" i="2"/>
  <c r="AF1151" i="2"/>
  <c r="AE1151" i="2"/>
  <c r="AD1151" i="2"/>
  <c r="AC1151" i="2"/>
  <c r="AB1151" i="2"/>
  <c r="AA1151" i="2"/>
  <c r="W1151" i="2"/>
  <c r="V1151" i="2"/>
  <c r="U1151" i="2"/>
  <c r="T1151" i="2"/>
  <c r="S1151" i="2"/>
  <c r="R1151" i="2"/>
  <c r="Q1151" i="2"/>
  <c r="P1151" i="2"/>
  <c r="O1151" i="2"/>
  <c r="N1151" i="2"/>
  <c r="M1151" i="2"/>
  <c r="L1151" i="2"/>
  <c r="K1151" i="2"/>
  <c r="J1151" i="2"/>
  <c r="I1151" i="2"/>
  <c r="H1151" i="2"/>
  <c r="G1151" i="2"/>
  <c r="F1151" i="2"/>
  <c r="E1151" i="2"/>
  <c r="D1151" i="2"/>
  <c r="C1151" i="2"/>
  <c r="B1151" i="2"/>
  <c r="A1151" i="2"/>
  <c r="AH1150" i="2"/>
  <c r="AG1150" i="2"/>
  <c r="AF1150" i="2"/>
  <c r="AE1150" i="2"/>
  <c r="AD1150" i="2"/>
  <c r="AC1150" i="2"/>
  <c r="AB1150" i="2"/>
  <c r="AA1150" i="2"/>
  <c r="Y1150" i="2"/>
  <c r="X1150" i="2"/>
  <c r="W1150" i="2"/>
  <c r="V1150" i="2"/>
  <c r="U1150" i="2"/>
  <c r="T1150" i="2"/>
  <c r="S1150" i="2"/>
  <c r="R1150" i="2"/>
  <c r="Q1150" i="2"/>
  <c r="P1150" i="2"/>
  <c r="O1150" i="2"/>
  <c r="N1150" i="2"/>
  <c r="M1150" i="2"/>
  <c r="L1150" i="2"/>
  <c r="K1150" i="2"/>
  <c r="J1150" i="2"/>
  <c r="I1150" i="2"/>
  <c r="H1150" i="2"/>
  <c r="G1150" i="2"/>
  <c r="F1150" i="2"/>
  <c r="E1150" i="2"/>
  <c r="D1150" i="2"/>
  <c r="C1150" i="2"/>
  <c r="B1150" i="2"/>
  <c r="A1150" i="2"/>
  <c r="AG1149" i="2"/>
  <c r="AF1149" i="2"/>
  <c r="AE1149" i="2"/>
  <c r="AD1149" i="2"/>
  <c r="AC1149" i="2"/>
  <c r="AB1149" i="2"/>
  <c r="AA1149" i="2"/>
  <c r="Y1149" i="2"/>
  <c r="X1149" i="2"/>
  <c r="W1149" i="2"/>
  <c r="V1149" i="2"/>
  <c r="U1149" i="2"/>
  <c r="T1149" i="2"/>
  <c r="S1149" i="2"/>
  <c r="R1149" i="2"/>
  <c r="Q1149" i="2"/>
  <c r="P1149" i="2"/>
  <c r="O1149" i="2"/>
  <c r="N1149" i="2"/>
  <c r="M1149" i="2"/>
  <c r="L1149" i="2"/>
  <c r="K1149" i="2"/>
  <c r="J1149" i="2"/>
  <c r="I1149" i="2"/>
  <c r="H1149" i="2"/>
  <c r="G1149" i="2"/>
  <c r="F1149" i="2"/>
  <c r="E1149" i="2"/>
  <c r="D1149" i="2"/>
  <c r="C1149" i="2"/>
  <c r="B1149" i="2"/>
  <c r="A1149" i="2"/>
  <c r="AG1148" i="2"/>
  <c r="AC1148" i="2"/>
  <c r="AB1148" i="2"/>
  <c r="AA1148" i="2"/>
  <c r="Y1148" i="2"/>
  <c r="W1148" i="2"/>
  <c r="V1148" i="2"/>
  <c r="U1148" i="2"/>
  <c r="R1148" i="2"/>
  <c r="Q1148" i="2"/>
  <c r="O1148" i="2"/>
  <c r="N1148" i="2"/>
  <c r="M1148" i="2"/>
  <c r="L1148" i="2"/>
  <c r="K1148" i="2"/>
  <c r="J1148" i="2"/>
  <c r="I1148" i="2"/>
  <c r="H1148" i="2"/>
  <c r="G1148" i="2"/>
  <c r="F1148" i="2"/>
  <c r="E1148" i="2"/>
  <c r="D1148" i="2"/>
  <c r="C1148" i="2"/>
  <c r="B1148" i="2"/>
  <c r="A1148" i="2"/>
  <c r="AG1147" i="2"/>
  <c r="AF1147" i="2"/>
  <c r="AE1147" i="2"/>
  <c r="AC1147" i="2"/>
  <c r="AB1147" i="2"/>
  <c r="AA1147" i="2"/>
  <c r="Z1147" i="2"/>
  <c r="Y1147" i="2"/>
  <c r="X1147" i="2"/>
  <c r="W1147" i="2"/>
  <c r="V1147" i="2"/>
  <c r="U1147" i="2"/>
  <c r="S1147" i="2"/>
  <c r="R1147" i="2"/>
  <c r="Q1147" i="2"/>
  <c r="P1147" i="2"/>
  <c r="O1147" i="2"/>
  <c r="N1147" i="2"/>
  <c r="M1147" i="2"/>
  <c r="L1147" i="2"/>
  <c r="K1147" i="2"/>
  <c r="J1147" i="2"/>
  <c r="I1147" i="2"/>
  <c r="H1147" i="2"/>
  <c r="G1147" i="2"/>
  <c r="F1147" i="2"/>
  <c r="E1147" i="2"/>
  <c r="D1147" i="2"/>
  <c r="C1147" i="2"/>
  <c r="B1147" i="2"/>
  <c r="A1147" i="2"/>
  <c r="AH1146" i="2"/>
  <c r="AG1146" i="2"/>
  <c r="AF1146" i="2"/>
  <c r="AE1146" i="2"/>
  <c r="AD1146" i="2"/>
  <c r="AC1146" i="2"/>
  <c r="AB1146" i="2"/>
  <c r="AA1146" i="2"/>
  <c r="Z1146" i="2"/>
  <c r="Y1146" i="2"/>
  <c r="X1146" i="2"/>
  <c r="W1146" i="2"/>
  <c r="V1146" i="2"/>
  <c r="U1146" i="2"/>
  <c r="T1146" i="2"/>
  <c r="S1146" i="2"/>
  <c r="R1146" i="2"/>
  <c r="Q1146" i="2"/>
  <c r="P1146" i="2"/>
  <c r="O1146" i="2"/>
  <c r="N1146" i="2"/>
  <c r="M1146" i="2"/>
  <c r="L1146" i="2"/>
  <c r="K1146" i="2"/>
  <c r="J1146" i="2"/>
  <c r="I1146" i="2"/>
  <c r="H1146" i="2"/>
  <c r="G1146" i="2"/>
  <c r="F1146" i="2"/>
  <c r="E1146" i="2"/>
  <c r="D1146" i="2"/>
  <c r="C1146" i="2"/>
  <c r="B1146" i="2"/>
  <c r="A1146" i="2"/>
  <c r="AG1145" i="2"/>
  <c r="AE1145" i="2"/>
  <c r="AD1145" i="2"/>
  <c r="AC1145" i="2"/>
  <c r="AB1145" i="2"/>
  <c r="AA1145" i="2"/>
  <c r="W1145" i="2"/>
  <c r="V1145" i="2"/>
  <c r="U1145" i="2"/>
  <c r="T1145" i="2"/>
  <c r="S1145" i="2"/>
  <c r="R1145" i="2"/>
  <c r="Q1145" i="2"/>
  <c r="P1145" i="2"/>
  <c r="O1145" i="2"/>
  <c r="N1145" i="2"/>
  <c r="M1145" i="2"/>
  <c r="L1145" i="2"/>
  <c r="K1145" i="2"/>
  <c r="J1145" i="2"/>
  <c r="I1145" i="2"/>
  <c r="H1145" i="2"/>
  <c r="G1145" i="2"/>
  <c r="F1145" i="2"/>
  <c r="E1145" i="2"/>
  <c r="D1145" i="2"/>
  <c r="C1145" i="2"/>
  <c r="B1145" i="2"/>
  <c r="A1145" i="2"/>
  <c r="AH1144" i="2"/>
  <c r="AG1144" i="2"/>
  <c r="AC1144" i="2"/>
  <c r="AB1144" i="2"/>
  <c r="AA1144" i="2"/>
  <c r="W1144" i="2"/>
  <c r="V1144" i="2"/>
  <c r="U1144" i="2"/>
  <c r="T1144" i="2"/>
  <c r="S1144" i="2"/>
  <c r="R1144" i="2"/>
  <c r="Q1144" i="2"/>
  <c r="P1144" i="2"/>
  <c r="O1144" i="2"/>
  <c r="N1144" i="2"/>
  <c r="M1144" i="2"/>
  <c r="L1144" i="2"/>
  <c r="K1144" i="2"/>
  <c r="J1144" i="2"/>
  <c r="I1144" i="2"/>
  <c r="H1144" i="2"/>
  <c r="G1144" i="2"/>
  <c r="F1144" i="2"/>
  <c r="E1144" i="2"/>
  <c r="D1144" i="2"/>
  <c r="C1144" i="2"/>
  <c r="B1144" i="2"/>
  <c r="A1144" i="2"/>
  <c r="AG1143" i="2"/>
  <c r="AE1143" i="2"/>
  <c r="AD1143" i="2"/>
  <c r="AC1143" i="2"/>
  <c r="AB1143" i="2"/>
  <c r="AA1143" i="2"/>
  <c r="W1143" i="2"/>
  <c r="V1143" i="2"/>
  <c r="U1143" i="2"/>
  <c r="T1143" i="2"/>
  <c r="S1143" i="2"/>
  <c r="R1143" i="2"/>
  <c r="Q1143" i="2"/>
  <c r="P1143" i="2"/>
  <c r="O1143" i="2"/>
  <c r="N1143" i="2"/>
  <c r="M1143" i="2"/>
  <c r="L1143" i="2"/>
  <c r="K1143" i="2"/>
  <c r="J1143" i="2"/>
  <c r="I1143" i="2"/>
  <c r="H1143" i="2"/>
  <c r="G1143" i="2"/>
  <c r="F1143" i="2"/>
  <c r="E1143" i="2"/>
  <c r="D1143" i="2"/>
  <c r="C1143" i="2"/>
  <c r="B1143" i="2"/>
  <c r="A1143" i="2"/>
  <c r="AH1142" i="2"/>
  <c r="AG1142" i="2"/>
  <c r="AE1142" i="2"/>
  <c r="AD1142" i="2"/>
  <c r="AC1142" i="2"/>
  <c r="AB1142" i="2"/>
  <c r="AA1142" i="2"/>
  <c r="Y1142" i="2"/>
  <c r="X1142" i="2"/>
  <c r="W1142" i="2"/>
  <c r="V1142" i="2"/>
  <c r="U1142" i="2"/>
  <c r="T1142" i="2"/>
  <c r="S1142" i="2"/>
  <c r="R1142" i="2"/>
  <c r="Q1142" i="2"/>
  <c r="P1142" i="2"/>
  <c r="O1142" i="2"/>
  <c r="N1142" i="2"/>
  <c r="M1142" i="2"/>
  <c r="L1142" i="2"/>
  <c r="K1142" i="2"/>
  <c r="J1142" i="2"/>
  <c r="I1142" i="2"/>
  <c r="H1142" i="2"/>
  <c r="G1142" i="2"/>
  <c r="F1142" i="2"/>
  <c r="E1142" i="2"/>
  <c r="D1142" i="2"/>
  <c r="C1142" i="2"/>
  <c r="B1142" i="2"/>
  <c r="A1142" i="2"/>
  <c r="AH1141" i="2"/>
  <c r="AG1141" i="2"/>
  <c r="AF1141" i="2"/>
  <c r="AE1141" i="2"/>
  <c r="AD1141" i="2"/>
  <c r="AC1141" i="2"/>
  <c r="AB1141" i="2"/>
  <c r="AA1141" i="2"/>
  <c r="Z1141" i="2"/>
  <c r="Y1141" i="2"/>
  <c r="X1141" i="2"/>
  <c r="W1141" i="2"/>
  <c r="V1141" i="2"/>
  <c r="U1141" i="2"/>
  <c r="T1141" i="2"/>
  <c r="S1141" i="2"/>
  <c r="R1141" i="2"/>
  <c r="Q1141" i="2"/>
  <c r="P1141" i="2"/>
  <c r="O1141" i="2"/>
  <c r="N1141" i="2"/>
  <c r="M1141" i="2"/>
  <c r="L1141" i="2"/>
  <c r="K1141" i="2"/>
  <c r="J1141" i="2"/>
  <c r="I1141" i="2"/>
  <c r="H1141" i="2"/>
  <c r="G1141" i="2"/>
  <c r="F1141" i="2"/>
  <c r="E1141" i="2"/>
  <c r="D1141" i="2"/>
  <c r="C1141" i="2"/>
  <c r="B1141" i="2"/>
  <c r="A1141" i="2"/>
  <c r="AG1140" i="2"/>
  <c r="AE1140" i="2"/>
  <c r="AC1140" i="2"/>
  <c r="AB1140" i="2"/>
  <c r="AA1140" i="2"/>
  <c r="Z1140" i="2"/>
  <c r="Y1140" i="2"/>
  <c r="X1140" i="2"/>
  <c r="V1140" i="2"/>
  <c r="U1140" i="2"/>
  <c r="T1140" i="2"/>
  <c r="S1140" i="2"/>
  <c r="R1140" i="2"/>
  <c r="Q1140" i="2"/>
  <c r="P1140" i="2"/>
  <c r="O1140" i="2"/>
  <c r="N1140" i="2"/>
  <c r="M1140" i="2"/>
  <c r="L1140" i="2"/>
  <c r="K1140" i="2"/>
  <c r="J1140" i="2"/>
  <c r="I1140" i="2"/>
  <c r="H1140" i="2"/>
  <c r="G1140" i="2"/>
  <c r="F1140" i="2"/>
  <c r="E1140" i="2"/>
  <c r="D1140" i="2"/>
  <c r="C1140" i="2"/>
  <c r="B1140" i="2"/>
  <c r="A1140" i="2"/>
  <c r="AH1139" i="2"/>
  <c r="AG1139" i="2"/>
  <c r="AE1139" i="2"/>
  <c r="AD1139" i="2"/>
  <c r="AC1139" i="2"/>
  <c r="AB1139" i="2"/>
  <c r="AA1139" i="2"/>
  <c r="X1139" i="2"/>
  <c r="W1139" i="2"/>
  <c r="V1139" i="2"/>
  <c r="U1139" i="2"/>
  <c r="T1139" i="2"/>
  <c r="S1139" i="2"/>
  <c r="R1139" i="2"/>
  <c r="Q1139" i="2"/>
  <c r="P1139" i="2"/>
  <c r="O1139" i="2"/>
  <c r="N1139" i="2"/>
  <c r="M1139" i="2"/>
  <c r="L1139" i="2"/>
  <c r="K1139" i="2"/>
  <c r="J1139" i="2"/>
  <c r="I1139" i="2"/>
  <c r="H1139" i="2"/>
  <c r="G1139" i="2"/>
  <c r="F1139" i="2"/>
  <c r="E1139" i="2"/>
  <c r="D1139" i="2"/>
  <c r="C1139" i="2"/>
  <c r="B1139" i="2"/>
  <c r="A1139" i="2"/>
  <c r="AH1138" i="2"/>
  <c r="AG1138" i="2"/>
  <c r="AF1138" i="2"/>
  <c r="AE1138" i="2"/>
  <c r="AC1138" i="2"/>
  <c r="AB1138" i="2"/>
  <c r="AA1138" i="2"/>
  <c r="Z1138" i="2"/>
  <c r="Y1138" i="2"/>
  <c r="X1138" i="2"/>
  <c r="W1138" i="2"/>
  <c r="V1138" i="2"/>
  <c r="U1138" i="2"/>
  <c r="T1138" i="2"/>
  <c r="S1138" i="2"/>
  <c r="R1138" i="2"/>
  <c r="Q1138" i="2"/>
  <c r="P1138" i="2"/>
  <c r="O1138" i="2"/>
  <c r="N1138" i="2"/>
  <c r="M1138" i="2"/>
  <c r="L1138" i="2"/>
  <c r="K1138" i="2"/>
  <c r="J1138" i="2"/>
  <c r="I1138" i="2"/>
  <c r="H1138" i="2"/>
  <c r="G1138" i="2"/>
  <c r="F1138" i="2"/>
  <c r="E1138" i="2"/>
  <c r="D1138" i="2"/>
  <c r="C1138" i="2"/>
  <c r="B1138" i="2"/>
  <c r="A1138" i="2"/>
  <c r="AH1137" i="2"/>
  <c r="AG1137" i="2"/>
  <c r="AE1137" i="2"/>
  <c r="AD1137" i="2"/>
  <c r="AC1137" i="2"/>
  <c r="AB1137" i="2"/>
  <c r="AA1137" i="2"/>
  <c r="W1137" i="2"/>
  <c r="V1137" i="2"/>
  <c r="U1137" i="2"/>
  <c r="T1137" i="2"/>
  <c r="S1137" i="2"/>
  <c r="R1137" i="2"/>
  <c r="Q1137" i="2"/>
  <c r="P1137" i="2"/>
  <c r="O1137" i="2"/>
  <c r="N1137" i="2"/>
  <c r="M1137" i="2"/>
  <c r="L1137" i="2"/>
  <c r="K1137" i="2"/>
  <c r="J1137" i="2"/>
  <c r="I1137" i="2"/>
  <c r="H1137" i="2"/>
  <c r="G1137" i="2"/>
  <c r="F1137" i="2"/>
  <c r="E1137" i="2"/>
  <c r="D1137" i="2"/>
  <c r="C1137" i="2"/>
  <c r="B1137" i="2"/>
  <c r="A1137" i="2"/>
  <c r="AH1136" i="2"/>
  <c r="AG1136" i="2"/>
  <c r="AF1136" i="2"/>
  <c r="AE1136" i="2"/>
  <c r="AD1136" i="2"/>
  <c r="AC1136" i="2"/>
  <c r="AB1136" i="2"/>
  <c r="AA1136" i="2"/>
  <c r="Z1136" i="2"/>
  <c r="Y1136" i="2"/>
  <c r="X1136" i="2"/>
  <c r="W1136" i="2"/>
  <c r="V1136" i="2"/>
  <c r="U1136" i="2"/>
  <c r="T1136" i="2"/>
  <c r="S1136" i="2"/>
  <c r="R1136" i="2"/>
  <c r="Q1136" i="2"/>
  <c r="P1136" i="2"/>
  <c r="O1136" i="2"/>
  <c r="N1136" i="2"/>
  <c r="M1136" i="2"/>
  <c r="L1136" i="2"/>
  <c r="K1136" i="2"/>
  <c r="J1136" i="2"/>
  <c r="I1136" i="2"/>
  <c r="H1136" i="2"/>
  <c r="G1136" i="2"/>
  <c r="F1136" i="2"/>
  <c r="E1136" i="2"/>
  <c r="D1136" i="2"/>
  <c r="C1136" i="2"/>
  <c r="B1136" i="2"/>
  <c r="A1136" i="2"/>
  <c r="AH1135" i="2"/>
  <c r="AG1135" i="2"/>
  <c r="AF1135" i="2"/>
  <c r="AE1135" i="2"/>
  <c r="AD1135" i="2"/>
  <c r="AC1135" i="2"/>
  <c r="AB1135" i="2"/>
  <c r="AA1135" i="2"/>
  <c r="X1135" i="2"/>
  <c r="W1135" i="2"/>
  <c r="V1135" i="2"/>
  <c r="U1135" i="2"/>
  <c r="T1135" i="2"/>
  <c r="S1135" i="2"/>
  <c r="R1135" i="2"/>
  <c r="Q1135" i="2"/>
  <c r="P1135" i="2"/>
  <c r="O1135" i="2"/>
  <c r="N1135" i="2"/>
  <c r="M1135" i="2"/>
  <c r="L1135" i="2"/>
  <c r="K1135" i="2"/>
  <c r="J1135" i="2"/>
  <c r="I1135" i="2"/>
  <c r="H1135" i="2"/>
  <c r="G1135" i="2"/>
  <c r="F1135" i="2"/>
  <c r="E1135" i="2"/>
  <c r="D1135" i="2"/>
  <c r="C1135" i="2"/>
  <c r="B1135" i="2"/>
  <c r="A1135" i="2"/>
  <c r="AG1134" i="2"/>
  <c r="AF1134" i="2"/>
  <c r="AE1134" i="2"/>
  <c r="AD1134" i="2"/>
  <c r="AC1134" i="2"/>
  <c r="AB1134" i="2"/>
  <c r="AA1134" i="2"/>
  <c r="Y1134" i="2"/>
  <c r="X1134" i="2"/>
  <c r="W1134" i="2"/>
  <c r="V1134" i="2"/>
  <c r="U1134" i="2"/>
  <c r="T1134" i="2"/>
  <c r="S1134" i="2"/>
  <c r="R1134" i="2"/>
  <c r="Q1134" i="2"/>
  <c r="P1134" i="2"/>
  <c r="O1134" i="2"/>
  <c r="N1134" i="2"/>
  <c r="M1134" i="2"/>
  <c r="L1134" i="2"/>
  <c r="K1134" i="2"/>
  <c r="J1134" i="2"/>
  <c r="I1134" i="2"/>
  <c r="H1134" i="2"/>
  <c r="G1134" i="2"/>
  <c r="F1134" i="2"/>
  <c r="E1134" i="2"/>
  <c r="D1134" i="2"/>
  <c r="C1134" i="2"/>
  <c r="B1134" i="2"/>
  <c r="A1134" i="2"/>
  <c r="AH1133" i="2"/>
  <c r="AG1133" i="2"/>
  <c r="AF1133" i="2"/>
  <c r="AE1133" i="2"/>
  <c r="AD1133" i="2"/>
  <c r="AC1133" i="2"/>
  <c r="AB1133" i="2"/>
  <c r="AA1133" i="2"/>
  <c r="Y1133" i="2"/>
  <c r="X1133" i="2"/>
  <c r="W1133" i="2"/>
  <c r="V1133" i="2"/>
  <c r="U1133" i="2"/>
  <c r="T1133" i="2"/>
  <c r="S1133" i="2"/>
  <c r="R1133" i="2"/>
  <c r="Q1133" i="2"/>
  <c r="P1133" i="2"/>
  <c r="O1133" i="2"/>
  <c r="N1133" i="2"/>
  <c r="M1133" i="2"/>
  <c r="L1133" i="2"/>
  <c r="K1133" i="2"/>
  <c r="J1133" i="2"/>
  <c r="I1133" i="2"/>
  <c r="H1133" i="2"/>
  <c r="G1133" i="2"/>
  <c r="F1133" i="2"/>
  <c r="E1133" i="2"/>
  <c r="D1133" i="2"/>
  <c r="C1133" i="2"/>
  <c r="B1133" i="2"/>
  <c r="A1133" i="2"/>
  <c r="AH1132" i="2"/>
  <c r="AG1132" i="2"/>
  <c r="AE1132" i="2"/>
  <c r="AD1132" i="2"/>
  <c r="AC1132" i="2"/>
  <c r="AB1132" i="2"/>
  <c r="AA1132" i="2"/>
  <c r="Z1132" i="2"/>
  <c r="Y1132" i="2"/>
  <c r="X1132" i="2"/>
  <c r="W1132" i="2"/>
  <c r="V1132" i="2"/>
  <c r="U1132" i="2"/>
  <c r="T1132" i="2"/>
  <c r="S1132" i="2"/>
  <c r="R1132" i="2"/>
  <c r="Q1132" i="2"/>
  <c r="P1132" i="2"/>
  <c r="O1132" i="2"/>
  <c r="N1132" i="2"/>
  <c r="M1132" i="2"/>
  <c r="L1132" i="2"/>
  <c r="K1132" i="2"/>
  <c r="J1132" i="2"/>
  <c r="I1132" i="2"/>
  <c r="H1132" i="2"/>
  <c r="G1132" i="2"/>
  <c r="F1132" i="2"/>
  <c r="E1132" i="2"/>
  <c r="D1132" i="2"/>
  <c r="C1132" i="2"/>
  <c r="B1132" i="2"/>
  <c r="A1132" i="2"/>
  <c r="AH1131" i="2"/>
  <c r="AG1131" i="2"/>
  <c r="AF1131" i="2"/>
  <c r="AE1131" i="2"/>
  <c r="AD1131" i="2"/>
  <c r="AC1131" i="2"/>
  <c r="AB1131" i="2"/>
  <c r="AA1131" i="2"/>
  <c r="Y1131" i="2"/>
  <c r="X1131" i="2"/>
  <c r="W1131" i="2"/>
  <c r="V1131" i="2"/>
  <c r="U1131" i="2"/>
  <c r="T1131" i="2"/>
  <c r="S1131" i="2"/>
  <c r="R1131" i="2"/>
  <c r="Q1131" i="2"/>
  <c r="P1131" i="2"/>
  <c r="O1131" i="2"/>
  <c r="N1131" i="2"/>
  <c r="M1131" i="2"/>
  <c r="L1131" i="2"/>
  <c r="K1131" i="2"/>
  <c r="J1131" i="2"/>
  <c r="I1131" i="2"/>
  <c r="H1131" i="2"/>
  <c r="G1131" i="2"/>
  <c r="F1131" i="2"/>
  <c r="E1131" i="2"/>
  <c r="D1131" i="2"/>
  <c r="C1131" i="2"/>
  <c r="B1131" i="2"/>
  <c r="A1131" i="2"/>
  <c r="AG1130" i="2"/>
  <c r="AF1130" i="2"/>
  <c r="AE1130" i="2"/>
  <c r="AD1130" i="2"/>
  <c r="AC1130" i="2"/>
  <c r="AB1130" i="2"/>
  <c r="AA1130" i="2"/>
  <c r="Z1130" i="2"/>
  <c r="Y1130" i="2"/>
  <c r="X1130" i="2"/>
  <c r="W1130" i="2"/>
  <c r="V1130" i="2"/>
  <c r="U1130" i="2"/>
  <c r="T1130" i="2"/>
  <c r="S1130" i="2"/>
  <c r="R1130" i="2"/>
  <c r="Q1130" i="2"/>
  <c r="P1130" i="2"/>
  <c r="O1130" i="2"/>
  <c r="N1130" i="2"/>
  <c r="M1130" i="2"/>
  <c r="L1130" i="2"/>
  <c r="K1130" i="2"/>
  <c r="J1130" i="2"/>
  <c r="I1130" i="2"/>
  <c r="H1130" i="2"/>
  <c r="G1130" i="2"/>
  <c r="F1130" i="2"/>
  <c r="E1130" i="2"/>
  <c r="D1130" i="2"/>
  <c r="C1130" i="2"/>
  <c r="B1130" i="2"/>
  <c r="A1130" i="2"/>
  <c r="AH1129" i="2"/>
  <c r="AG1129" i="2"/>
  <c r="AE1129" i="2"/>
  <c r="AD1129" i="2"/>
  <c r="AC1129" i="2"/>
  <c r="AB1129" i="2"/>
  <c r="AA1129" i="2"/>
  <c r="X1129" i="2"/>
  <c r="W1129" i="2"/>
  <c r="V1129" i="2"/>
  <c r="U1129" i="2"/>
  <c r="T1129" i="2"/>
  <c r="S1129" i="2"/>
  <c r="R1129" i="2"/>
  <c r="Q1129" i="2"/>
  <c r="P1129" i="2"/>
  <c r="O1129" i="2"/>
  <c r="N1129" i="2"/>
  <c r="M1129" i="2"/>
  <c r="L1129" i="2"/>
  <c r="K1129" i="2"/>
  <c r="J1129" i="2"/>
  <c r="I1129" i="2"/>
  <c r="H1129" i="2"/>
  <c r="G1129" i="2"/>
  <c r="F1129" i="2"/>
  <c r="E1129" i="2"/>
  <c r="D1129" i="2"/>
  <c r="C1129" i="2"/>
  <c r="B1129" i="2"/>
  <c r="A1129" i="2"/>
  <c r="AH1128" i="2"/>
  <c r="AG1128" i="2"/>
  <c r="AF1128" i="2"/>
  <c r="AE1128" i="2"/>
  <c r="AD1128" i="2"/>
  <c r="AC1128" i="2"/>
  <c r="AB1128" i="2"/>
  <c r="AA1128" i="2"/>
  <c r="Y1128" i="2"/>
  <c r="X1128" i="2"/>
  <c r="W1128" i="2"/>
  <c r="V1128" i="2"/>
  <c r="U1128" i="2"/>
  <c r="T1128" i="2"/>
  <c r="S1128" i="2"/>
  <c r="R1128" i="2"/>
  <c r="Q1128" i="2"/>
  <c r="P1128" i="2"/>
  <c r="O1128" i="2"/>
  <c r="N1128" i="2"/>
  <c r="M1128" i="2"/>
  <c r="L1128" i="2"/>
  <c r="K1128" i="2"/>
  <c r="J1128" i="2"/>
  <c r="I1128" i="2"/>
  <c r="H1128" i="2"/>
  <c r="G1128" i="2"/>
  <c r="F1128" i="2"/>
  <c r="E1128" i="2"/>
  <c r="D1128" i="2"/>
  <c r="C1128" i="2"/>
  <c r="B1128" i="2"/>
  <c r="A1128" i="2"/>
  <c r="AG1127" i="2"/>
  <c r="AF1127" i="2"/>
  <c r="AE1127" i="2"/>
  <c r="AD1127" i="2"/>
  <c r="AC1127" i="2"/>
  <c r="AB1127" i="2"/>
  <c r="AA1127" i="2"/>
  <c r="Y1127" i="2"/>
  <c r="X1127" i="2"/>
  <c r="W1127" i="2"/>
  <c r="V1127" i="2"/>
  <c r="U1127" i="2"/>
  <c r="T1127" i="2"/>
  <c r="S1127" i="2"/>
  <c r="R1127" i="2"/>
  <c r="Q1127" i="2"/>
  <c r="P1127" i="2"/>
  <c r="O1127" i="2"/>
  <c r="N1127" i="2"/>
  <c r="M1127" i="2"/>
  <c r="L1127" i="2"/>
  <c r="K1127" i="2"/>
  <c r="J1127" i="2"/>
  <c r="I1127" i="2"/>
  <c r="H1127" i="2"/>
  <c r="G1127" i="2"/>
  <c r="F1127" i="2"/>
  <c r="E1127" i="2"/>
  <c r="D1127" i="2"/>
  <c r="C1127" i="2"/>
  <c r="B1127" i="2"/>
  <c r="A1127" i="2"/>
  <c r="AG1126" i="2"/>
  <c r="AF1126" i="2"/>
  <c r="AE1126" i="2"/>
  <c r="AC1126" i="2"/>
  <c r="AB1126" i="2"/>
  <c r="AA1126" i="2"/>
  <c r="Y1126" i="2"/>
  <c r="W1126" i="2"/>
  <c r="V1126" i="2"/>
  <c r="U1126" i="2"/>
  <c r="S1126" i="2"/>
  <c r="R1126" i="2"/>
  <c r="Q1126" i="2"/>
  <c r="P1126" i="2"/>
  <c r="O1126" i="2"/>
  <c r="N1126" i="2"/>
  <c r="M1126" i="2"/>
  <c r="L1126" i="2"/>
  <c r="K1126" i="2"/>
  <c r="J1126" i="2"/>
  <c r="I1126" i="2"/>
  <c r="H1126" i="2"/>
  <c r="G1126" i="2"/>
  <c r="F1126" i="2"/>
  <c r="E1126" i="2"/>
  <c r="D1126" i="2"/>
  <c r="C1126" i="2"/>
  <c r="B1126" i="2"/>
  <c r="A1126" i="2"/>
  <c r="AH1125" i="2"/>
  <c r="AC1125" i="2"/>
  <c r="AB1125" i="2"/>
  <c r="AA1125" i="2"/>
  <c r="Y1125" i="2"/>
  <c r="X1125" i="2"/>
  <c r="W1125" i="2"/>
  <c r="V1125" i="2"/>
  <c r="U1125" i="2"/>
  <c r="T1125" i="2"/>
  <c r="S1125" i="2"/>
  <c r="R1125" i="2"/>
  <c r="Q1125" i="2"/>
  <c r="P1125" i="2"/>
  <c r="O1125" i="2"/>
  <c r="N1125" i="2"/>
  <c r="M1125" i="2"/>
  <c r="L1125" i="2"/>
  <c r="K1125" i="2"/>
  <c r="J1125" i="2"/>
  <c r="I1125" i="2"/>
  <c r="H1125" i="2"/>
  <c r="G1125" i="2"/>
  <c r="F1125" i="2"/>
  <c r="E1125" i="2"/>
  <c r="D1125" i="2"/>
  <c r="C1125" i="2"/>
  <c r="B1125" i="2"/>
  <c r="A1125" i="2"/>
  <c r="AH1124" i="2"/>
  <c r="AG1124" i="2"/>
  <c r="AF1124" i="2"/>
  <c r="AE1124" i="2"/>
  <c r="AD1124" i="2"/>
  <c r="AC1124" i="2"/>
  <c r="AB1124" i="2"/>
  <c r="AA1124" i="2"/>
  <c r="Z1124" i="2"/>
  <c r="Y1124" i="2"/>
  <c r="X1124" i="2"/>
  <c r="W1124" i="2"/>
  <c r="V1124" i="2"/>
  <c r="U1124" i="2"/>
  <c r="T1124" i="2"/>
  <c r="S1124" i="2"/>
  <c r="R1124" i="2"/>
  <c r="Q1124" i="2"/>
  <c r="P1124" i="2"/>
  <c r="O1124" i="2"/>
  <c r="N1124" i="2"/>
  <c r="M1124" i="2"/>
  <c r="L1124" i="2"/>
  <c r="K1124" i="2"/>
  <c r="J1124" i="2"/>
  <c r="I1124" i="2"/>
  <c r="H1124" i="2"/>
  <c r="G1124" i="2"/>
  <c r="F1124" i="2"/>
  <c r="E1124" i="2"/>
  <c r="D1124" i="2"/>
  <c r="C1124" i="2"/>
  <c r="B1124" i="2"/>
  <c r="A1124" i="2"/>
  <c r="AH1123" i="2"/>
  <c r="AG1123" i="2"/>
  <c r="AF1123" i="2"/>
  <c r="AE1123" i="2"/>
  <c r="AD1123" i="2"/>
  <c r="AC1123" i="2"/>
  <c r="AB1123" i="2"/>
  <c r="AA1123" i="2"/>
  <c r="Y1123" i="2"/>
  <c r="X1123" i="2"/>
  <c r="W1123" i="2"/>
  <c r="V1123" i="2"/>
  <c r="U1123" i="2"/>
  <c r="T1123" i="2"/>
  <c r="S1123" i="2"/>
  <c r="R1123" i="2"/>
  <c r="Q1123" i="2"/>
  <c r="P1123" i="2"/>
  <c r="O1123" i="2"/>
  <c r="N1123" i="2"/>
  <c r="M1123" i="2"/>
  <c r="L1123" i="2"/>
  <c r="K1123" i="2"/>
  <c r="J1123" i="2"/>
  <c r="I1123" i="2"/>
  <c r="H1123" i="2"/>
  <c r="G1123" i="2"/>
  <c r="F1123" i="2"/>
  <c r="E1123" i="2"/>
  <c r="D1123" i="2"/>
  <c r="C1123" i="2"/>
  <c r="B1123" i="2"/>
  <c r="A1123" i="2"/>
  <c r="AH1122" i="2"/>
  <c r="AG1122" i="2"/>
  <c r="AF1122" i="2"/>
  <c r="AE1122" i="2"/>
  <c r="AD1122" i="2"/>
  <c r="AC1122" i="2"/>
  <c r="AB1122" i="2"/>
  <c r="AA1122" i="2"/>
  <c r="Y1122" i="2"/>
  <c r="X1122" i="2"/>
  <c r="W1122" i="2"/>
  <c r="V1122" i="2"/>
  <c r="U1122" i="2"/>
  <c r="T1122" i="2"/>
  <c r="S1122" i="2"/>
  <c r="R1122" i="2"/>
  <c r="Q1122" i="2"/>
  <c r="P1122" i="2"/>
  <c r="O1122" i="2"/>
  <c r="N1122" i="2"/>
  <c r="M1122" i="2"/>
  <c r="L1122" i="2"/>
  <c r="K1122" i="2"/>
  <c r="J1122" i="2"/>
  <c r="I1122" i="2"/>
  <c r="H1122" i="2"/>
  <c r="G1122" i="2"/>
  <c r="F1122" i="2"/>
  <c r="E1122" i="2"/>
  <c r="D1122" i="2"/>
  <c r="C1122" i="2"/>
  <c r="B1122" i="2"/>
  <c r="A1122" i="2"/>
  <c r="AH1121" i="2"/>
  <c r="AG1121" i="2"/>
  <c r="AE1121" i="2"/>
  <c r="AD1121" i="2"/>
  <c r="AC1121" i="2"/>
  <c r="AB1121" i="2"/>
  <c r="AA1121" i="2"/>
  <c r="W1121" i="2"/>
  <c r="V1121" i="2"/>
  <c r="U1121" i="2"/>
  <c r="T1121" i="2"/>
  <c r="S1121" i="2"/>
  <c r="R1121" i="2"/>
  <c r="Q1121" i="2"/>
  <c r="P1121" i="2"/>
  <c r="O1121" i="2"/>
  <c r="N1121" i="2"/>
  <c r="M1121" i="2"/>
  <c r="L1121" i="2"/>
  <c r="K1121" i="2"/>
  <c r="J1121" i="2"/>
  <c r="I1121" i="2"/>
  <c r="H1121" i="2"/>
  <c r="G1121" i="2"/>
  <c r="F1121" i="2"/>
  <c r="E1121" i="2"/>
  <c r="D1121" i="2"/>
  <c r="C1121" i="2"/>
  <c r="B1121" i="2"/>
  <c r="A1121" i="2"/>
  <c r="AH1120" i="2"/>
  <c r="AG1120" i="2"/>
  <c r="AF1120" i="2"/>
  <c r="AE1120" i="2"/>
  <c r="AD1120" i="2"/>
  <c r="AC1120" i="2"/>
  <c r="AB1120" i="2"/>
  <c r="AA1120" i="2"/>
  <c r="Z1120" i="2"/>
  <c r="Y1120" i="2"/>
  <c r="X1120" i="2"/>
  <c r="W1120" i="2"/>
  <c r="V1120" i="2"/>
  <c r="U1120" i="2"/>
  <c r="T1120" i="2"/>
  <c r="S1120" i="2"/>
  <c r="R1120" i="2"/>
  <c r="Q1120" i="2"/>
  <c r="P1120" i="2"/>
  <c r="O1120" i="2"/>
  <c r="N1120" i="2"/>
  <c r="M1120" i="2"/>
  <c r="L1120" i="2"/>
  <c r="K1120" i="2"/>
  <c r="J1120" i="2"/>
  <c r="I1120" i="2"/>
  <c r="H1120" i="2"/>
  <c r="G1120" i="2"/>
  <c r="F1120" i="2"/>
  <c r="E1120" i="2"/>
  <c r="D1120" i="2"/>
  <c r="C1120" i="2"/>
  <c r="B1120" i="2"/>
  <c r="A1120" i="2"/>
  <c r="AG1119" i="2"/>
  <c r="AF1119" i="2"/>
  <c r="AE1119" i="2"/>
  <c r="AD1119" i="2"/>
  <c r="AC1119" i="2"/>
  <c r="AB1119" i="2"/>
  <c r="AA1119" i="2"/>
  <c r="Y1119" i="2"/>
  <c r="W1119" i="2"/>
  <c r="V1119" i="2"/>
  <c r="U1119" i="2"/>
  <c r="T1119" i="2"/>
  <c r="S1119" i="2"/>
  <c r="R1119" i="2"/>
  <c r="Q1119" i="2"/>
  <c r="P1119" i="2"/>
  <c r="O1119" i="2"/>
  <c r="N1119" i="2"/>
  <c r="M1119" i="2"/>
  <c r="L1119" i="2"/>
  <c r="K1119" i="2"/>
  <c r="J1119" i="2"/>
  <c r="I1119" i="2"/>
  <c r="H1119" i="2"/>
  <c r="G1119" i="2"/>
  <c r="F1119" i="2"/>
  <c r="E1119" i="2"/>
  <c r="D1119" i="2"/>
  <c r="C1119" i="2"/>
  <c r="B1119" i="2"/>
  <c r="A1119" i="2"/>
  <c r="AH1118" i="2"/>
  <c r="AG1118" i="2"/>
  <c r="AF1118" i="2"/>
  <c r="AE1118" i="2"/>
  <c r="AD1118" i="2"/>
  <c r="AC1118" i="2"/>
  <c r="AB1118" i="2"/>
  <c r="AA1118" i="2"/>
  <c r="Y1118" i="2"/>
  <c r="W1118" i="2"/>
  <c r="V1118" i="2"/>
  <c r="U1118" i="2"/>
  <c r="T1118" i="2"/>
  <c r="S1118" i="2"/>
  <c r="R1118" i="2"/>
  <c r="Q1118" i="2"/>
  <c r="P1118" i="2"/>
  <c r="O1118" i="2"/>
  <c r="N1118" i="2"/>
  <c r="M1118" i="2"/>
  <c r="L1118" i="2"/>
  <c r="K1118" i="2"/>
  <c r="J1118" i="2"/>
  <c r="I1118" i="2"/>
  <c r="H1118" i="2"/>
  <c r="G1118" i="2"/>
  <c r="F1118" i="2"/>
  <c r="E1118" i="2"/>
  <c r="D1118" i="2"/>
  <c r="C1118" i="2"/>
  <c r="B1118" i="2"/>
  <c r="A1118" i="2"/>
  <c r="AH1117" i="2"/>
  <c r="AG1117" i="2"/>
  <c r="AF1117" i="2"/>
  <c r="AE1117" i="2"/>
  <c r="AD1117" i="2"/>
  <c r="AC1117" i="2"/>
  <c r="AB1117" i="2"/>
  <c r="AA1117" i="2"/>
  <c r="Z1117" i="2"/>
  <c r="Y1117" i="2"/>
  <c r="X1117" i="2"/>
  <c r="W1117" i="2"/>
  <c r="V1117" i="2"/>
  <c r="U1117" i="2"/>
  <c r="T1117" i="2"/>
  <c r="S1117" i="2"/>
  <c r="R1117" i="2"/>
  <c r="Q1117" i="2"/>
  <c r="P1117" i="2"/>
  <c r="O1117" i="2"/>
  <c r="N1117" i="2"/>
  <c r="M1117" i="2"/>
  <c r="L1117" i="2"/>
  <c r="K1117" i="2"/>
  <c r="J1117" i="2"/>
  <c r="I1117" i="2"/>
  <c r="H1117" i="2"/>
  <c r="G1117" i="2"/>
  <c r="F1117" i="2"/>
  <c r="E1117" i="2"/>
  <c r="D1117" i="2"/>
  <c r="C1117" i="2"/>
  <c r="B1117" i="2"/>
  <c r="A1117" i="2"/>
  <c r="AH1116" i="2"/>
  <c r="AG1116" i="2"/>
  <c r="AF1116" i="2"/>
  <c r="AE1116" i="2"/>
  <c r="AD1116" i="2"/>
  <c r="AC1116" i="2"/>
  <c r="AB1116" i="2"/>
  <c r="AA1116" i="2"/>
  <c r="Y1116" i="2"/>
  <c r="X1116" i="2"/>
  <c r="W1116" i="2"/>
  <c r="V1116" i="2"/>
  <c r="U1116" i="2"/>
  <c r="T1116" i="2"/>
  <c r="S1116" i="2"/>
  <c r="R1116" i="2"/>
  <c r="Q1116" i="2"/>
  <c r="P1116" i="2"/>
  <c r="O1116" i="2"/>
  <c r="N1116" i="2"/>
  <c r="M1116" i="2"/>
  <c r="L1116" i="2"/>
  <c r="K1116" i="2"/>
  <c r="J1116" i="2"/>
  <c r="I1116" i="2"/>
  <c r="H1116" i="2"/>
  <c r="G1116" i="2"/>
  <c r="F1116" i="2"/>
  <c r="E1116" i="2"/>
  <c r="D1116" i="2"/>
  <c r="C1116" i="2"/>
  <c r="B1116" i="2"/>
  <c r="A1116" i="2"/>
  <c r="AG1115" i="2"/>
  <c r="AF1115" i="2"/>
  <c r="AE1115" i="2"/>
  <c r="AD1115" i="2"/>
  <c r="AC1115" i="2"/>
  <c r="AB1115" i="2"/>
  <c r="AA1115" i="2"/>
  <c r="Y1115" i="2"/>
  <c r="X1115" i="2"/>
  <c r="W1115" i="2"/>
  <c r="V1115" i="2"/>
  <c r="U1115" i="2"/>
  <c r="T1115" i="2"/>
  <c r="S1115" i="2"/>
  <c r="R1115" i="2"/>
  <c r="Q1115" i="2"/>
  <c r="P1115" i="2"/>
  <c r="O1115" i="2"/>
  <c r="N1115" i="2"/>
  <c r="M1115" i="2"/>
  <c r="L1115" i="2"/>
  <c r="K1115" i="2"/>
  <c r="J1115" i="2"/>
  <c r="I1115" i="2"/>
  <c r="H1115" i="2"/>
  <c r="G1115" i="2"/>
  <c r="F1115" i="2"/>
  <c r="E1115" i="2"/>
  <c r="D1115" i="2"/>
  <c r="C1115" i="2"/>
  <c r="B1115" i="2"/>
  <c r="A1115" i="2"/>
  <c r="AG1114" i="2"/>
  <c r="AF1114" i="2"/>
  <c r="AE1114" i="2"/>
  <c r="AD1114" i="2"/>
  <c r="AC1114" i="2"/>
  <c r="AB1114" i="2"/>
  <c r="AA1114" i="2"/>
  <c r="Z1114" i="2"/>
  <c r="Y1114" i="2"/>
  <c r="W1114" i="2"/>
  <c r="V1114" i="2"/>
  <c r="U1114" i="2"/>
  <c r="T1114" i="2"/>
  <c r="S1114" i="2"/>
  <c r="R1114" i="2"/>
  <c r="Q1114" i="2"/>
  <c r="P1114" i="2"/>
  <c r="O1114" i="2"/>
  <c r="N1114" i="2"/>
  <c r="M1114" i="2"/>
  <c r="L1114" i="2"/>
  <c r="K1114" i="2"/>
  <c r="J1114" i="2"/>
  <c r="I1114" i="2"/>
  <c r="H1114" i="2"/>
  <c r="G1114" i="2"/>
  <c r="F1114" i="2"/>
  <c r="E1114" i="2"/>
  <c r="D1114" i="2"/>
  <c r="C1114" i="2"/>
  <c r="B1114" i="2"/>
  <c r="A1114" i="2"/>
  <c r="AG1113" i="2"/>
  <c r="AE1113" i="2"/>
  <c r="AD1113" i="2"/>
  <c r="AC1113" i="2"/>
  <c r="AB1113" i="2"/>
  <c r="AA1113" i="2"/>
  <c r="X1113" i="2"/>
  <c r="W1113" i="2"/>
  <c r="V1113" i="2"/>
  <c r="U1113" i="2"/>
  <c r="T1113" i="2"/>
  <c r="S1113" i="2"/>
  <c r="R1113" i="2"/>
  <c r="Q1113" i="2"/>
  <c r="P1113" i="2"/>
  <c r="O1113" i="2"/>
  <c r="N1113" i="2"/>
  <c r="M1113" i="2"/>
  <c r="L1113" i="2"/>
  <c r="K1113" i="2"/>
  <c r="J1113" i="2"/>
  <c r="I1113" i="2"/>
  <c r="H1113" i="2"/>
  <c r="G1113" i="2"/>
  <c r="F1113" i="2"/>
  <c r="E1113" i="2"/>
  <c r="D1113" i="2"/>
  <c r="C1113" i="2"/>
  <c r="B1113" i="2"/>
  <c r="A1113" i="2"/>
  <c r="AG1112" i="2"/>
  <c r="AF1112" i="2"/>
  <c r="AE1112" i="2"/>
  <c r="AD1112" i="2"/>
  <c r="AC1112" i="2"/>
  <c r="AB1112" i="2"/>
  <c r="AA1112" i="2"/>
  <c r="Z1112" i="2"/>
  <c r="Y1112" i="2"/>
  <c r="X1112" i="2"/>
  <c r="W1112" i="2"/>
  <c r="V1112" i="2"/>
  <c r="U1112" i="2"/>
  <c r="R1112" i="2"/>
  <c r="Q1112" i="2"/>
  <c r="P1112" i="2"/>
  <c r="O1112" i="2"/>
  <c r="N1112" i="2"/>
  <c r="M1112" i="2"/>
  <c r="L1112" i="2"/>
  <c r="K1112" i="2"/>
  <c r="J1112" i="2"/>
  <c r="I1112" i="2"/>
  <c r="H1112" i="2"/>
  <c r="G1112" i="2"/>
  <c r="F1112" i="2"/>
  <c r="E1112" i="2"/>
  <c r="D1112" i="2"/>
  <c r="C1112" i="2"/>
  <c r="B1112" i="2"/>
  <c r="A1112" i="2"/>
  <c r="AH1111" i="2"/>
  <c r="AG1111" i="2"/>
  <c r="AF1111" i="2"/>
  <c r="AE1111" i="2"/>
  <c r="AD1111" i="2"/>
  <c r="AC1111" i="2"/>
  <c r="AB1111" i="2"/>
  <c r="AA1111" i="2"/>
  <c r="Y1111" i="2"/>
  <c r="X1111" i="2"/>
  <c r="W1111" i="2"/>
  <c r="V1111" i="2"/>
  <c r="U1111" i="2"/>
  <c r="T1111" i="2"/>
  <c r="S1111" i="2"/>
  <c r="R1111" i="2"/>
  <c r="Q1111" i="2"/>
  <c r="P1111" i="2"/>
  <c r="O1111" i="2"/>
  <c r="N1111" i="2"/>
  <c r="M1111" i="2"/>
  <c r="L1111" i="2"/>
  <c r="K1111" i="2"/>
  <c r="J1111" i="2"/>
  <c r="I1111" i="2"/>
  <c r="H1111" i="2"/>
  <c r="G1111" i="2"/>
  <c r="F1111" i="2"/>
  <c r="E1111" i="2"/>
  <c r="D1111" i="2"/>
  <c r="C1111" i="2"/>
  <c r="B1111" i="2"/>
  <c r="A1111" i="2"/>
  <c r="AG1110" i="2"/>
  <c r="AF1110" i="2"/>
  <c r="AE1110" i="2"/>
  <c r="AD1110" i="2"/>
  <c r="AC1110" i="2"/>
  <c r="AB1110" i="2"/>
  <c r="AA1110" i="2"/>
  <c r="Y1110" i="2"/>
  <c r="W1110" i="2"/>
  <c r="V1110" i="2"/>
  <c r="U1110" i="2"/>
  <c r="T1110" i="2"/>
  <c r="S1110" i="2"/>
  <c r="R1110" i="2"/>
  <c r="Q1110" i="2"/>
  <c r="P1110" i="2"/>
  <c r="O1110" i="2"/>
  <c r="N1110" i="2"/>
  <c r="M1110" i="2"/>
  <c r="L1110" i="2"/>
  <c r="K1110" i="2"/>
  <c r="J1110" i="2"/>
  <c r="I1110" i="2"/>
  <c r="H1110" i="2"/>
  <c r="G1110" i="2"/>
  <c r="F1110" i="2"/>
  <c r="E1110" i="2"/>
  <c r="D1110" i="2"/>
  <c r="C1110" i="2"/>
  <c r="B1110" i="2"/>
  <c r="A1110" i="2"/>
  <c r="AG1109" i="2"/>
  <c r="AF1109" i="2"/>
  <c r="AE1109" i="2"/>
  <c r="AD1109" i="2"/>
  <c r="AC1109" i="2"/>
  <c r="AB1109" i="2"/>
  <c r="AA1109" i="2"/>
  <c r="Z1109" i="2"/>
  <c r="Y1109" i="2"/>
  <c r="X1109" i="2"/>
  <c r="W1109" i="2"/>
  <c r="V1109" i="2"/>
  <c r="U1109" i="2"/>
  <c r="T1109" i="2"/>
  <c r="S1109" i="2"/>
  <c r="R1109" i="2"/>
  <c r="Q1109" i="2"/>
  <c r="P1109" i="2"/>
  <c r="O1109" i="2"/>
  <c r="N1109" i="2"/>
  <c r="M1109" i="2"/>
  <c r="L1109" i="2"/>
  <c r="K1109" i="2"/>
  <c r="J1109" i="2"/>
  <c r="I1109" i="2"/>
  <c r="H1109" i="2"/>
  <c r="G1109" i="2"/>
  <c r="F1109" i="2"/>
  <c r="E1109" i="2"/>
  <c r="D1109" i="2"/>
  <c r="C1109" i="2"/>
  <c r="B1109" i="2"/>
  <c r="A1109" i="2"/>
  <c r="AH1108" i="2"/>
  <c r="AG1108" i="2"/>
  <c r="AF1108" i="2"/>
  <c r="AE1108" i="2"/>
  <c r="AD1108" i="2"/>
  <c r="AC1108" i="2"/>
  <c r="AB1108" i="2"/>
  <c r="AA1108" i="2"/>
  <c r="Z1108" i="2"/>
  <c r="Y1108" i="2"/>
  <c r="X1108" i="2"/>
  <c r="W1108" i="2"/>
  <c r="V1108" i="2"/>
  <c r="U1108" i="2"/>
  <c r="T1108" i="2"/>
  <c r="S1108" i="2"/>
  <c r="R1108" i="2"/>
  <c r="Q1108" i="2"/>
  <c r="P1108" i="2"/>
  <c r="O1108" i="2"/>
  <c r="N1108" i="2"/>
  <c r="M1108" i="2"/>
  <c r="L1108" i="2"/>
  <c r="K1108" i="2"/>
  <c r="J1108" i="2"/>
  <c r="I1108" i="2"/>
  <c r="H1108" i="2"/>
  <c r="G1108" i="2"/>
  <c r="F1108" i="2"/>
  <c r="E1108" i="2"/>
  <c r="D1108" i="2"/>
  <c r="C1108" i="2"/>
  <c r="B1108" i="2"/>
  <c r="A1108" i="2"/>
  <c r="AG1107" i="2"/>
  <c r="AF1107" i="2"/>
  <c r="AE1107" i="2"/>
  <c r="AD1107" i="2"/>
  <c r="AC1107" i="2"/>
  <c r="AB1107" i="2"/>
  <c r="AA1107" i="2"/>
  <c r="Z1107" i="2"/>
  <c r="Y1107" i="2"/>
  <c r="X1107" i="2"/>
  <c r="W1107" i="2"/>
  <c r="V1107" i="2"/>
  <c r="U1107" i="2"/>
  <c r="T1107" i="2"/>
  <c r="S1107" i="2"/>
  <c r="R1107" i="2"/>
  <c r="Q1107" i="2"/>
  <c r="P1107" i="2"/>
  <c r="O1107" i="2"/>
  <c r="N1107" i="2"/>
  <c r="M1107" i="2"/>
  <c r="L1107" i="2"/>
  <c r="K1107" i="2"/>
  <c r="J1107" i="2"/>
  <c r="I1107" i="2"/>
  <c r="H1107" i="2"/>
  <c r="G1107" i="2"/>
  <c r="F1107" i="2"/>
  <c r="E1107" i="2"/>
  <c r="D1107" i="2"/>
  <c r="C1107" i="2"/>
  <c r="B1107" i="2"/>
  <c r="A1107" i="2"/>
  <c r="AH1106" i="2"/>
  <c r="AG1106" i="2"/>
  <c r="AF1106" i="2"/>
  <c r="AE1106" i="2"/>
  <c r="AD1106" i="2"/>
  <c r="AC1106" i="2"/>
  <c r="AB1106" i="2"/>
  <c r="AA1106" i="2"/>
  <c r="Y1106" i="2"/>
  <c r="X1106" i="2"/>
  <c r="W1106" i="2"/>
  <c r="V1106" i="2"/>
  <c r="U1106" i="2"/>
  <c r="T1106" i="2"/>
  <c r="S1106" i="2"/>
  <c r="R1106" i="2"/>
  <c r="Q1106" i="2"/>
  <c r="P1106" i="2"/>
  <c r="O1106" i="2"/>
  <c r="N1106" i="2"/>
  <c r="M1106" i="2"/>
  <c r="L1106" i="2"/>
  <c r="K1106" i="2"/>
  <c r="J1106" i="2"/>
  <c r="I1106" i="2"/>
  <c r="H1106" i="2"/>
  <c r="G1106" i="2"/>
  <c r="F1106" i="2"/>
  <c r="E1106" i="2"/>
  <c r="D1106" i="2"/>
  <c r="C1106" i="2"/>
  <c r="B1106" i="2"/>
  <c r="A1106" i="2"/>
  <c r="AH1105" i="2"/>
  <c r="AG1105" i="2"/>
  <c r="AF1105" i="2"/>
  <c r="AE1105" i="2"/>
  <c r="AC1105" i="2"/>
  <c r="AB1105" i="2"/>
  <c r="AA1105" i="2"/>
  <c r="Y1105" i="2"/>
  <c r="X1105" i="2"/>
  <c r="W1105" i="2"/>
  <c r="V1105" i="2"/>
  <c r="U1105" i="2"/>
  <c r="T1105" i="2"/>
  <c r="S1105" i="2"/>
  <c r="R1105" i="2"/>
  <c r="Q1105" i="2"/>
  <c r="P1105" i="2"/>
  <c r="O1105" i="2"/>
  <c r="N1105" i="2"/>
  <c r="M1105" i="2"/>
  <c r="L1105" i="2"/>
  <c r="K1105" i="2"/>
  <c r="J1105" i="2"/>
  <c r="I1105" i="2"/>
  <c r="H1105" i="2"/>
  <c r="G1105" i="2"/>
  <c r="F1105" i="2"/>
  <c r="E1105" i="2"/>
  <c r="D1105" i="2"/>
  <c r="C1105" i="2"/>
  <c r="B1105" i="2"/>
  <c r="A1105" i="2"/>
  <c r="AG1104" i="2"/>
  <c r="AF1104" i="2"/>
  <c r="AE1104" i="2"/>
  <c r="AD1104" i="2"/>
  <c r="AC1104" i="2"/>
  <c r="AB1104" i="2"/>
  <c r="AA1104" i="2"/>
  <c r="Z1104" i="2"/>
  <c r="Y1104" i="2"/>
  <c r="X1104" i="2"/>
  <c r="W1104" i="2"/>
  <c r="V1104" i="2"/>
  <c r="U1104" i="2"/>
  <c r="T1104" i="2"/>
  <c r="S1104" i="2"/>
  <c r="R1104" i="2"/>
  <c r="Q1104" i="2"/>
  <c r="P1104" i="2"/>
  <c r="O1104" i="2"/>
  <c r="N1104" i="2"/>
  <c r="M1104" i="2"/>
  <c r="L1104" i="2"/>
  <c r="K1104" i="2"/>
  <c r="J1104" i="2"/>
  <c r="I1104" i="2"/>
  <c r="H1104" i="2"/>
  <c r="G1104" i="2"/>
  <c r="F1104" i="2"/>
  <c r="E1104" i="2"/>
  <c r="D1104" i="2"/>
  <c r="C1104" i="2"/>
  <c r="B1104" i="2"/>
  <c r="A1104" i="2"/>
  <c r="AG1103" i="2"/>
  <c r="AF1103" i="2"/>
  <c r="AE1103" i="2"/>
  <c r="AD1103" i="2"/>
  <c r="AC1103" i="2"/>
  <c r="AB1103" i="2"/>
  <c r="AA1103" i="2"/>
  <c r="Z1103" i="2"/>
  <c r="Y1103" i="2"/>
  <c r="X1103" i="2"/>
  <c r="W1103" i="2"/>
  <c r="V1103" i="2"/>
  <c r="U1103" i="2"/>
  <c r="T1103" i="2"/>
  <c r="S1103" i="2"/>
  <c r="R1103" i="2"/>
  <c r="Q1103" i="2"/>
  <c r="P1103" i="2"/>
  <c r="O1103" i="2"/>
  <c r="N1103" i="2"/>
  <c r="M1103" i="2"/>
  <c r="L1103" i="2"/>
  <c r="K1103" i="2"/>
  <c r="J1103" i="2"/>
  <c r="I1103" i="2"/>
  <c r="H1103" i="2"/>
  <c r="G1103" i="2"/>
  <c r="F1103" i="2"/>
  <c r="E1103" i="2"/>
  <c r="D1103" i="2"/>
  <c r="C1103" i="2"/>
  <c r="B1103" i="2"/>
  <c r="A1103" i="2"/>
  <c r="AG1102" i="2"/>
  <c r="AF1102" i="2"/>
  <c r="AE1102" i="2"/>
  <c r="AD1102" i="2"/>
  <c r="AC1102" i="2"/>
  <c r="AB1102" i="2"/>
  <c r="AA1102" i="2"/>
  <c r="X1102" i="2"/>
  <c r="W1102" i="2"/>
  <c r="V1102" i="2"/>
  <c r="U1102" i="2"/>
  <c r="S1102" i="2"/>
  <c r="R1102" i="2"/>
  <c r="Q1102" i="2"/>
  <c r="P1102" i="2"/>
  <c r="O1102" i="2"/>
  <c r="N1102" i="2"/>
  <c r="M1102" i="2"/>
  <c r="L1102" i="2"/>
  <c r="K1102" i="2"/>
  <c r="J1102" i="2"/>
  <c r="I1102" i="2"/>
  <c r="H1102" i="2"/>
  <c r="G1102" i="2"/>
  <c r="F1102" i="2"/>
  <c r="E1102" i="2"/>
  <c r="D1102" i="2"/>
  <c r="C1102" i="2"/>
  <c r="B1102" i="2"/>
  <c r="A1102" i="2"/>
  <c r="AG1101" i="2"/>
  <c r="AF1101" i="2"/>
  <c r="AD1101" i="2"/>
  <c r="AC1101" i="2"/>
  <c r="AB1101" i="2"/>
  <c r="AA1101" i="2"/>
  <c r="X1101" i="2"/>
  <c r="W1101" i="2"/>
  <c r="V1101" i="2"/>
  <c r="U1101" i="2"/>
  <c r="T1101" i="2"/>
  <c r="S1101" i="2"/>
  <c r="R1101" i="2"/>
  <c r="Q1101" i="2"/>
  <c r="P1101" i="2"/>
  <c r="O1101" i="2"/>
  <c r="N1101" i="2"/>
  <c r="M1101" i="2"/>
  <c r="L1101" i="2"/>
  <c r="K1101" i="2"/>
  <c r="J1101" i="2"/>
  <c r="I1101" i="2"/>
  <c r="H1101" i="2"/>
  <c r="G1101" i="2"/>
  <c r="F1101" i="2"/>
  <c r="E1101" i="2"/>
  <c r="D1101" i="2"/>
  <c r="C1101" i="2"/>
  <c r="B1101" i="2"/>
  <c r="A1101" i="2"/>
  <c r="AH1100" i="2"/>
  <c r="AG1100" i="2"/>
  <c r="AF1100" i="2"/>
  <c r="AE1100" i="2"/>
  <c r="AD1100" i="2"/>
  <c r="AC1100" i="2"/>
  <c r="AB1100" i="2"/>
  <c r="AA1100" i="2"/>
  <c r="Z1100" i="2"/>
  <c r="Y1100" i="2"/>
  <c r="X1100" i="2"/>
  <c r="W1100" i="2"/>
  <c r="V1100" i="2"/>
  <c r="U1100" i="2"/>
  <c r="T1100" i="2"/>
  <c r="S1100" i="2"/>
  <c r="R1100" i="2"/>
  <c r="Q1100" i="2"/>
  <c r="P1100" i="2"/>
  <c r="O1100" i="2"/>
  <c r="N1100" i="2"/>
  <c r="M1100" i="2"/>
  <c r="L1100" i="2"/>
  <c r="K1100" i="2"/>
  <c r="J1100" i="2"/>
  <c r="I1100" i="2"/>
  <c r="H1100" i="2"/>
  <c r="G1100" i="2"/>
  <c r="F1100" i="2"/>
  <c r="E1100" i="2"/>
  <c r="D1100" i="2"/>
  <c r="C1100" i="2"/>
  <c r="B1100" i="2"/>
  <c r="A1100" i="2"/>
  <c r="AH1099" i="2"/>
  <c r="AG1099" i="2"/>
  <c r="AF1099" i="2"/>
  <c r="AE1099" i="2"/>
  <c r="AD1099" i="2"/>
  <c r="AC1099" i="2"/>
  <c r="AB1099" i="2"/>
  <c r="AA1099" i="2"/>
  <c r="Y1099" i="2"/>
  <c r="W1099" i="2"/>
  <c r="V1099" i="2"/>
  <c r="U1099" i="2"/>
  <c r="T1099" i="2"/>
  <c r="S1099" i="2"/>
  <c r="R1099" i="2"/>
  <c r="Q1099" i="2"/>
  <c r="P1099" i="2"/>
  <c r="O1099" i="2"/>
  <c r="N1099" i="2"/>
  <c r="M1099" i="2"/>
  <c r="L1099" i="2"/>
  <c r="K1099" i="2"/>
  <c r="J1099" i="2"/>
  <c r="I1099" i="2"/>
  <c r="H1099" i="2"/>
  <c r="G1099" i="2"/>
  <c r="F1099" i="2"/>
  <c r="E1099" i="2"/>
  <c r="D1099" i="2"/>
  <c r="C1099" i="2"/>
  <c r="B1099" i="2"/>
  <c r="A1099" i="2"/>
  <c r="AH1098" i="2"/>
  <c r="AG1098" i="2"/>
  <c r="AF1098" i="2"/>
  <c r="AE1098" i="2"/>
  <c r="AD1098" i="2"/>
  <c r="AC1098" i="2"/>
  <c r="AB1098" i="2"/>
  <c r="AA1098" i="2"/>
  <c r="Z1098" i="2"/>
  <c r="X1098" i="2"/>
  <c r="W1098" i="2"/>
  <c r="V1098" i="2"/>
  <c r="U1098" i="2"/>
  <c r="T1098" i="2"/>
  <c r="R1098" i="2"/>
  <c r="Q1098" i="2"/>
  <c r="P1098" i="2"/>
  <c r="O1098" i="2"/>
  <c r="N1098" i="2"/>
  <c r="M1098" i="2"/>
  <c r="L1098" i="2"/>
  <c r="K1098" i="2"/>
  <c r="J1098" i="2"/>
  <c r="I1098" i="2"/>
  <c r="H1098" i="2"/>
  <c r="G1098" i="2"/>
  <c r="F1098" i="2"/>
  <c r="E1098" i="2"/>
  <c r="D1098" i="2"/>
  <c r="C1098" i="2"/>
  <c r="B1098" i="2"/>
  <c r="A1098" i="2"/>
  <c r="AH1097" i="2"/>
  <c r="AG1097" i="2"/>
  <c r="AF1097" i="2"/>
  <c r="AE1097" i="2"/>
  <c r="AD1097" i="2"/>
  <c r="AC1097" i="2"/>
  <c r="AB1097" i="2"/>
  <c r="AA1097" i="2"/>
  <c r="Z1097" i="2"/>
  <c r="Y1097" i="2"/>
  <c r="X1097" i="2"/>
  <c r="W1097" i="2"/>
  <c r="V1097" i="2"/>
  <c r="U1097" i="2"/>
  <c r="T1097" i="2"/>
  <c r="S1097" i="2"/>
  <c r="R1097" i="2"/>
  <c r="Q1097" i="2"/>
  <c r="P1097" i="2"/>
  <c r="O1097" i="2"/>
  <c r="N1097" i="2"/>
  <c r="M1097" i="2"/>
  <c r="L1097" i="2"/>
  <c r="K1097" i="2"/>
  <c r="J1097" i="2"/>
  <c r="I1097" i="2"/>
  <c r="H1097" i="2"/>
  <c r="G1097" i="2"/>
  <c r="F1097" i="2"/>
  <c r="E1097" i="2"/>
  <c r="D1097" i="2"/>
  <c r="C1097" i="2"/>
  <c r="B1097" i="2"/>
  <c r="A1097" i="2"/>
  <c r="AG1096" i="2"/>
  <c r="AF1096" i="2"/>
  <c r="AE1096" i="2"/>
  <c r="AD1096" i="2"/>
  <c r="AC1096" i="2"/>
  <c r="AB1096" i="2"/>
  <c r="AA1096" i="2"/>
  <c r="W1096" i="2"/>
  <c r="V1096" i="2"/>
  <c r="U1096" i="2"/>
  <c r="T1096" i="2"/>
  <c r="S1096" i="2"/>
  <c r="R1096" i="2"/>
  <c r="Q1096" i="2"/>
  <c r="P1096" i="2"/>
  <c r="O1096" i="2"/>
  <c r="N1096" i="2"/>
  <c r="M1096" i="2"/>
  <c r="L1096" i="2"/>
  <c r="K1096" i="2"/>
  <c r="J1096" i="2"/>
  <c r="I1096" i="2"/>
  <c r="H1096" i="2"/>
  <c r="G1096" i="2"/>
  <c r="F1096" i="2"/>
  <c r="E1096" i="2"/>
  <c r="D1096" i="2"/>
  <c r="C1096" i="2"/>
  <c r="B1096" i="2"/>
  <c r="A1096" i="2"/>
  <c r="AH1095" i="2"/>
  <c r="AG1095" i="2"/>
  <c r="AF1095" i="2"/>
  <c r="AE1095" i="2"/>
  <c r="AD1095" i="2"/>
  <c r="AC1095" i="2"/>
  <c r="AB1095" i="2"/>
  <c r="AA1095" i="2"/>
  <c r="X1095" i="2"/>
  <c r="W1095" i="2"/>
  <c r="V1095" i="2"/>
  <c r="U1095" i="2"/>
  <c r="T1095" i="2"/>
  <c r="R1095" i="2"/>
  <c r="Q1095" i="2"/>
  <c r="P1095" i="2"/>
  <c r="O1095" i="2"/>
  <c r="N1095" i="2"/>
  <c r="M1095" i="2"/>
  <c r="L1095" i="2"/>
  <c r="K1095" i="2"/>
  <c r="J1095" i="2"/>
  <c r="I1095" i="2"/>
  <c r="H1095" i="2"/>
  <c r="G1095" i="2"/>
  <c r="F1095" i="2"/>
  <c r="E1095" i="2"/>
  <c r="D1095" i="2"/>
  <c r="C1095" i="2"/>
  <c r="B1095" i="2"/>
  <c r="A1095" i="2"/>
  <c r="AH1094" i="2"/>
  <c r="AG1094" i="2"/>
  <c r="AE1094" i="2"/>
  <c r="AD1094" i="2"/>
  <c r="AC1094" i="2"/>
  <c r="AB1094" i="2"/>
  <c r="AA1094" i="2"/>
  <c r="Z1094" i="2"/>
  <c r="Y1094" i="2"/>
  <c r="W1094" i="2"/>
  <c r="V1094" i="2"/>
  <c r="U1094" i="2"/>
  <c r="T1094" i="2"/>
  <c r="S1094" i="2"/>
  <c r="R1094" i="2"/>
  <c r="Q1094" i="2"/>
  <c r="P1094" i="2"/>
  <c r="O1094" i="2"/>
  <c r="N1094" i="2"/>
  <c r="M1094" i="2"/>
  <c r="L1094" i="2"/>
  <c r="K1094" i="2"/>
  <c r="J1094" i="2"/>
  <c r="I1094" i="2"/>
  <c r="H1094" i="2"/>
  <c r="G1094" i="2"/>
  <c r="F1094" i="2"/>
  <c r="E1094" i="2"/>
  <c r="D1094" i="2"/>
  <c r="C1094" i="2"/>
  <c r="B1094" i="2"/>
  <c r="A1094" i="2"/>
  <c r="AH1093" i="2"/>
  <c r="AG1093" i="2"/>
  <c r="AF1093" i="2"/>
  <c r="AE1093" i="2"/>
  <c r="AD1093" i="2"/>
  <c r="AC1093" i="2"/>
  <c r="AB1093" i="2"/>
  <c r="AA1093" i="2"/>
  <c r="Z1093" i="2"/>
  <c r="Y1093" i="2"/>
  <c r="X1093" i="2"/>
  <c r="W1093" i="2"/>
  <c r="V1093" i="2"/>
  <c r="U1093" i="2"/>
  <c r="T1093" i="2"/>
  <c r="S1093" i="2"/>
  <c r="R1093" i="2"/>
  <c r="Q1093" i="2"/>
  <c r="P1093" i="2"/>
  <c r="O1093" i="2"/>
  <c r="N1093" i="2"/>
  <c r="M1093" i="2"/>
  <c r="L1093" i="2"/>
  <c r="K1093" i="2"/>
  <c r="J1093" i="2"/>
  <c r="I1093" i="2"/>
  <c r="H1093" i="2"/>
  <c r="G1093" i="2"/>
  <c r="F1093" i="2"/>
  <c r="E1093" i="2"/>
  <c r="D1093" i="2"/>
  <c r="C1093" i="2"/>
  <c r="B1093" i="2"/>
  <c r="A1093" i="2"/>
  <c r="AH1092" i="2"/>
  <c r="AG1092" i="2"/>
  <c r="AF1092" i="2"/>
  <c r="AE1092" i="2"/>
  <c r="AC1092" i="2"/>
  <c r="AB1092" i="2"/>
  <c r="AA1092" i="2"/>
  <c r="Y1092" i="2"/>
  <c r="X1092" i="2"/>
  <c r="W1092" i="2"/>
  <c r="V1092" i="2"/>
  <c r="U1092" i="2"/>
  <c r="T1092" i="2"/>
  <c r="S1092" i="2"/>
  <c r="R1092" i="2"/>
  <c r="Q1092" i="2"/>
  <c r="P1092" i="2"/>
  <c r="O1092" i="2"/>
  <c r="N1092" i="2"/>
  <c r="M1092" i="2"/>
  <c r="L1092" i="2"/>
  <c r="K1092" i="2"/>
  <c r="J1092" i="2"/>
  <c r="I1092" i="2"/>
  <c r="H1092" i="2"/>
  <c r="G1092" i="2"/>
  <c r="F1092" i="2"/>
  <c r="E1092" i="2"/>
  <c r="D1092" i="2"/>
  <c r="C1092" i="2"/>
  <c r="B1092" i="2"/>
  <c r="A1092" i="2"/>
  <c r="AH1091" i="2"/>
  <c r="AG1091" i="2"/>
  <c r="AF1091" i="2"/>
  <c r="AE1091" i="2"/>
  <c r="AC1091" i="2"/>
  <c r="AB1091" i="2"/>
  <c r="AA1091" i="2"/>
  <c r="Y1091" i="2"/>
  <c r="X1091" i="2"/>
  <c r="W1091" i="2"/>
  <c r="U1091" i="2"/>
  <c r="T1091" i="2"/>
  <c r="S1091" i="2"/>
  <c r="R1091" i="2"/>
  <c r="Q1091" i="2"/>
  <c r="P1091" i="2"/>
  <c r="O1091" i="2"/>
  <c r="N1091" i="2"/>
  <c r="M1091" i="2"/>
  <c r="L1091" i="2"/>
  <c r="K1091" i="2"/>
  <c r="J1091" i="2"/>
  <c r="I1091" i="2"/>
  <c r="H1091" i="2"/>
  <c r="G1091" i="2"/>
  <c r="F1091" i="2"/>
  <c r="E1091" i="2"/>
  <c r="D1091" i="2"/>
  <c r="C1091" i="2"/>
  <c r="B1091" i="2"/>
  <c r="A1091" i="2"/>
  <c r="AH1090" i="2"/>
  <c r="AG1090" i="2"/>
  <c r="AF1090" i="2"/>
  <c r="AE1090" i="2"/>
  <c r="AD1090" i="2"/>
  <c r="AC1090" i="2"/>
  <c r="AB1090" i="2"/>
  <c r="AA1090" i="2"/>
  <c r="Y1090" i="2"/>
  <c r="X1090" i="2"/>
  <c r="W1090" i="2"/>
  <c r="V1090" i="2"/>
  <c r="U1090" i="2"/>
  <c r="T1090" i="2"/>
  <c r="S1090" i="2"/>
  <c r="R1090" i="2"/>
  <c r="Q1090" i="2"/>
  <c r="P1090" i="2"/>
  <c r="O1090" i="2"/>
  <c r="N1090" i="2"/>
  <c r="M1090" i="2"/>
  <c r="L1090" i="2"/>
  <c r="K1090" i="2"/>
  <c r="J1090" i="2"/>
  <c r="I1090" i="2"/>
  <c r="H1090" i="2"/>
  <c r="G1090" i="2"/>
  <c r="F1090" i="2"/>
  <c r="E1090" i="2"/>
  <c r="D1090" i="2"/>
  <c r="C1090" i="2"/>
  <c r="B1090" i="2"/>
  <c r="A1090" i="2"/>
  <c r="AG1089" i="2"/>
  <c r="AE1089" i="2"/>
  <c r="AD1089" i="2"/>
  <c r="AC1089" i="2"/>
  <c r="AB1089" i="2"/>
  <c r="AA1089" i="2"/>
  <c r="Z1089" i="2"/>
  <c r="W1089" i="2"/>
  <c r="V1089" i="2"/>
  <c r="U1089" i="2"/>
  <c r="T1089" i="2"/>
  <c r="S1089" i="2"/>
  <c r="R1089" i="2"/>
  <c r="Q1089" i="2"/>
  <c r="P1089" i="2"/>
  <c r="O1089" i="2"/>
  <c r="N1089" i="2"/>
  <c r="M1089" i="2"/>
  <c r="L1089" i="2"/>
  <c r="K1089" i="2"/>
  <c r="J1089" i="2"/>
  <c r="I1089" i="2"/>
  <c r="H1089" i="2"/>
  <c r="G1089" i="2"/>
  <c r="F1089" i="2"/>
  <c r="E1089" i="2"/>
  <c r="D1089" i="2"/>
  <c r="C1089" i="2"/>
  <c r="B1089" i="2"/>
  <c r="A1089" i="2"/>
  <c r="AG1088" i="2"/>
  <c r="AE1088" i="2"/>
  <c r="AD1088" i="2"/>
  <c r="AC1088" i="2"/>
  <c r="AB1088" i="2"/>
  <c r="AA1088" i="2"/>
  <c r="Z1088" i="2"/>
  <c r="X1088" i="2"/>
  <c r="W1088" i="2"/>
  <c r="V1088" i="2"/>
  <c r="U1088" i="2"/>
  <c r="T1088" i="2"/>
  <c r="S1088" i="2"/>
  <c r="R1088" i="2"/>
  <c r="Q1088" i="2"/>
  <c r="P1088" i="2"/>
  <c r="O1088" i="2"/>
  <c r="N1088" i="2"/>
  <c r="M1088" i="2"/>
  <c r="L1088" i="2"/>
  <c r="K1088" i="2"/>
  <c r="J1088" i="2"/>
  <c r="I1088" i="2"/>
  <c r="H1088" i="2"/>
  <c r="G1088" i="2"/>
  <c r="F1088" i="2"/>
  <c r="E1088" i="2"/>
  <c r="D1088" i="2"/>
  <c r="C1088" i="2"/>
  <c r="B1088" i="2"/>
  <c r="A1088" i="2"/>
  <c r="AH1087" i="2"/>
  <c r="AG1087" i="2"/>
  <c r="AF1087" i="2"/>
  <c r="AE1087" i="2"/>
  <c r="AD1087" i="2"/>
  <c r="AC1087" i="2"/>
  <c r="AB1087" i="2"/>
  <c r="AA1087" i="2"/>
  <c r="Y1087" i="2"/>
  <c r="X1087" i="2"/>
  <c r="W1087" i="2"/>
  <c r="V1087" i="2"/>
  <c r="U1087" i="2"/>
  <c r="T1087" i="2"/>
  <c r="S1087" i="2"/>
  <c r="R1087" i="2"/>
  <c r="Q1087" i="2"/>
  <c r="P1087" i="2"/>
  <c r="O1087" i="2"/>
  <c r="N1087" i="2"/>
  <c r="M1087" i="2"/>
  <c r="L1087" i="2"/>
  <c r="K1087" i="2"/>
  <c r="J1087" i="2"/>
  <c r="I1087" i="2"/>
  <c r="H1087" i="2"/>
  <c r="G1087" i="2"/>
  <c r="F1087" i="2"/>
  <c r="E1087" i="2"/>
  <c r="D1087" i="2"/>
  <c r="C1087" i="2"/>
  <c r="B1087" i="2"/>
  <c r="A1087" i="2"/>
  <c r="AH1086" i="2"/>
  <c r="AG1086" i="2"/>
  <c r="AF1086" i="2"/>
  <c r="AE1086" i="2"/>
  <c r="AD1086" i="2"/>
  <c r="AC1086" i="2"/>
  <c r="AB1086" i="2"/>
  <c r="AA1086" i="2"/>
  <c r="Y1086" i="2"/>
  <c r="X1086" i="2"/>
  <c r="W1086" i="2"/>
  <c r="V1086" i="2"/>
  <c r="U1086" i="2"/>
  <c r="T1086" i="2"/>
  <c r="S1086" i="2"/>
  <c r="R1086" i="2"/>
  <c r="Q1086" i="2"/>
  <c r="P1086" i="2"/>
  <c r="O1086" i="2"/>
  <c r="N1086" i="2"/>
  <c r="M1086" i="2"/>
  <c r="L1086" i="2"/>
  <c r="K1086" i="2"/>
  <c r="J1086" i="2"/>
  <c r="I1086" i="2"/>
  <c r="H1086" i="2"/>
  <c r="G1086" i="2"/>
  <c r="F1086" i="2"/>
  <c r="E1086" i="2"/>
  <c r="D1086" i="2"/>
  <c r="C1086" i="2"/>
  <c r="B1086" i="2"/>
  <c r="A1086" i="2"/>
  <c r="AH1085" i="2"/>
  <c r="AG1085" i="2"/>
  <c r="AF1085" i="2"/>
  <c r="AE1085" i="2"/>
  <c r="AD1085" i="2"/>
  <c r="AC1085" i="2"/>
  <c r="AB1085" i="2"/>
  <c r="AA1085" i="2"/>
  <c r="Y1085" i="2"/>
  <c r="X1085" i="2"/>
  <c r="W1085" i="2"/>
  <c r="V1085" i="2"/>
  <c r="U1085" i="2"/>
  <c r="T1085" i="2"/>
  <c r="S1085" i="2"/>
  <c r="R1085" i="2"/>
  <c r="Q1085" i="2"/>
  <c r="P1085" i="2"/>
  <c r="O1085" i="2"/>
  <c r="N1085" i="2"/>
  <c r="M1085" i="2"/>
  <c r="L1085" i="2"/>
  <c r="K1085" i="2"/>
  <c r="J1085" i="2"/>
  <c r="I1085" i="2"/>
  <c r="H1085" i="2"/>
  <c r="G1085" i="2"/>
  <c r="F1085" i="2"/>
  <c r="E1085" i="2"/>
  <c r="D1085" i="2"/>
  <c r="C1085" i="2"/>
  <c r="B1085" i="2"/>
  <c r="A1085" i="2"/>
  <c r="AH1084" i="2"/>
  <c r="AG1084" i="2"/>
  <c r="AF1084" i="2"/>
  <c r="AE1084" i="2"/>
  <c r="AD1084" i="2"/>
  <c r="AC1084" i="2"/>
  <c r="AB1084" i="2"/>
  <c r="AA1084" i="2"/>
  <c r="Y1084" i="2"/>
  <c r="W1084" i="2"/>
  <c r="V1084" i="2"/>
  <c r="U1084" i="2"/>
  <c r="T1084" i="2"/>
  <c r="S1084" i="2"/>
  <c r="R1084" i="2"/>
  <c r="Q1084" i="2"/>
  <c r="P1084" i="2"/>
  <c r="O1084" i="2"/>
  <c r="N1084" i="2"/>
  <c r="M1084" i="2"/>
  <c r="L1084" i="2"/>
  <c r="K1084" i="2"/>
  <c r="J1084" i="2"/>
  <c r="I1084" i="2"/>
  <c r="H1084" i="2"/>
  <c r="G1084" i="2"/>
  <c r="F1084" i="2"/>
  <c r="E1084" i="2"/>
  <c r="D1084" i="2"/>
  <c r="C1084" i="2"/>
  <c r="B1084" i="2"/>
  <c r="A1084" i="2"/>
  <c r="AH1083" i="2"/>
  <c r="AG1083" i="2"/>
  <c r="AF1083" i="2"/>
  <c r="AE1083" i="2"/>
  <c r="AD1083" i="2"/>
  <c r="AC1083" i="2"/>
  <c r="AB1083" i="2"/>
  <c r="AA1083" i="2"/>
  <c r="Y1083" i="2"/>
  <c r="X1083" i="2"/>
  <c r="W1083" i="2"/>
  <c r="V1083" i="2"/>
  <c r="U1083" i="2"/>
  <c r="T1083" i="2"/>
  <c r="R1083" i="2"/>
  <c r="Q1083" i="2"/>
  <c r="P1083" i="2"/>
  <c r="O1083" i="2"/>
  <c r="N1083" i="2"/>
  <c r="M1083" i="2"/>
  <c r="L1083" i="2"/>
  <c r="K1083" i="2"/>
  <c r="J1083" i="2"/>
  <c r="I1083" i="2"/>
  <c r="H1083" i="2"/>
  <c r="G1083" i="2"/>
  <c r="F1083" i="2"/>
  <c r="E1083" i="2"/>
  <c r="D1083" i="2"/>
  <c r="C1083" i="2"/>
  <c r="B1083" i="2"/>
  <c r="A1083" i="2"/>
  <c r="AH1082" i="2"/>
  <c r="AG1082" i="2"/>
  <c r="AF1082" i="2"/>
  <c r="AE1082" i="2"/>
  <c r="AD1082" i="2"/>
  <c r="AC1082" i="2"/>
  <c r="AB1082" i="2"/>
  <c r="AA1082" i="2"/>
  <c r="Z1082" i="2"/>
  <c r="X1082" i="2"/>
  <c r="W1082" i="2"/>
  <c r="V1082" i="2"/>
  <c r="U1082" i="2"/>
  <c r="T1082" i="2"/>
  <c r="S1082" i="2"/>
  <c r="R1082" i="2"/>
  <c r="Q1082" i="2"/>
  <c r="P1082" i="2"/>
  <c r="O1082" i="2"/>
  <c r="N1082" i="2"/>
  <c r="M1082" i="2"/>
  <c r="L1082" i="2"/>
  <c r="K1082" i="2"/>
  <c r="J1082" i="2"/>
  <c r="I1082" i="2"/>
  <c r="H1082" i="2"/>
  <c r="G1082" i="2"/>
  <c r="F1082" i="2"/>
  <c r="E1082" i="2"/>
  <c r="D1082" i="2"/>
  <c r="C1082" i="2"/>
  <c r="B1082" i="2"/>
  <c r="A1082" i="2"/>
  <c r="AH1081" i="2"/>
  <c r="AG1081" i="2"/>
  <c r="AF1081" i="2"/>
  <c r="AE1081" i="2"/>
  <c r="AD1081" i="2"/>
  <c r="AC1081" i="2"/>
  <c r="AB1081" i="2"/>
  <c r="AA1081" i="2"/>
  <c r="Y1081" i="2"/>
  <c r="X1081" i="2"/>
  <c r="W1081" i="2"/>
  <c r="V1081" i="2"/>
  <c r="U1081" i="2"/>
  <c r="T1081" i="2"/>
  <c r="S1081" i="2"/>
  <c r="R1081" i="2"/>
  <c r="Q1081" i="2"/>
  <c r="P1081" i="2"/>
  <c r="O1081" i="2"/>
  <c r="N1081" i="2"/>
  <c r="M1081" i="2"/>
  <c r="L1081" i="2"/>
  <c r="K1081" i="2"/>
  <c r="J1081" i="2"/>
  <c r="I1081" i="2"/>
  <c r="H1081" i="2"/>
  <c r="G1081" i="2"/>
  <c r="F1081" i="2"/>
  <c r="E1081" i="2"/>
  <c r="D1081" i="2"/>
  <c r="C1081" i="2"/>
  <c r="B1081" i="2"/>
  <c r="A1081" i="2"/>
  <c r="AH1080" i="2"/>
  <c r="AG1080" i="2"/>
  <c r="AF1080" i="2"/>
  <c r="AE1080" i="2"/>
  <c r="AD1080" i="2"/>
  <c r="AC1080" i="2"/>
  <c r="AB1080" i="2"/>
  <c r="AA1080" i="2"/>
  <c r="Y1080" i="2"/>
  <c r="X1080" i="2"/>
  <c r="W1080" i="2"/>
  <c r="V1080" i="2"/>
  <c r="U1080" i="2"/>
  <c r="T1080" i="2"/>
  <c r="S1080" i="2"/>
  <c r="R1080" i="2"/>
  <c r="Q1080" i="2"/>
  <c r="P1080" i="2"/>
  <c r="O1080" i="2"/>
  <c r="N1080" i="2"/>
  <c r="M1080" i="2"/>
  <c r="L1080" i="2"/>
  <c r="K1080" i="2"/>
  <c r="J1080" i="2"/>
  <c r="I1080" i="2"/>
  <c r="H1080" i="2"/>
  <c r="G1080" i="2"/>
  <c r="F1080" i="2"/>
  <c r="E1080" i="2"/>
  <c r="D1080" i="2"/>
  <c r="C1080" i="2"/>
  <c r="B1080" i="2"/>
  <c r="A1080" i="2"/>
  <c r="AG1079" i="2"/>
  <c r="AF1079" i="2"/>
  <c r="AE1079" i="2"/>
  <c r="AD1079" i="2"/>
  <c r="AC1079" i="2"/>
  <c r="AB1079" i="2"/>
  <c r="AA1079" i="2"/>
  <c r="Z1079" i="2"/>
  <c r="Y1079" i="2"/>
  <c r="X1079" i="2"/>
  <c r="W1079" i="2"/>
  <c r="V1079" i="2"/>
  <c r="U1079" i="2"/>
  <c r="T1079" i="2"/>
  <c r="S1079" i="2"/>
  <c r="R1079" i="2"/>
  <c r="Q1079" i="2"/>
  <c r="P1079" i="2"/>
  <c r="O1079" i="2"/>
  <c r="N1079" i="2"/>
  <c r="M1079" i="2"/>
  <c r="L1079" i="2"/>
  <c r="K1079" i="2"/>
  <c r="J1079" i="2"/>
  <c r="I1079" i="2"/>
  <c r="H1079" i="2"/>
  <c r="G1079" i="2"/>
  <c r="F1079" i="2"/>
  <c r="E1079" i="2"/>
  <c r="D1079" i="2"/>
  <c r="C1079" i="2"/>
  <c r="B1079" i="2"/>
  <c r="A1079" i="2"/>
  <c r="AG1078" i="2"/>
  <c r="AF1078" i="2"/>
  <c r="AE1078" i="2"/>
  <c r="AD1078" i="2"/>
  <c r="AC1078" i="2"/>
  <c r="AB1078" i="2"/>
  <c r="AA1078" i="2"/>
  <c r="Z1078" i="2"/>
  <c r="W1078" i="2"/>
  <c r="V1078" i="2"/>
  <c r="U1078" i="2"/>
  <c r="T1078" i="2"/>
  <c r="S1078" i="2"/>
  <c r="R1078" i="2"/>
  <c r="Q1078" i="2"/>
  <c r="P1078" i="2"/>
  <c r="O1078" i="2"/>
  <c r="N1078" i="2"/>
  <c r="M1078" i="2"/>
  <c r="L1078" i="2"/>
  <c r="K1078" i="2"/>
  <c r="J1078" i="2"/>
  <c r="I1078" i="2"/>
  <c r="H1078" i="2"/>
  <c r="G1078" i="2"/>
  <c r="F1078" i="2"/>
  <c r="E1078" i="2"/>
  <c r="D1078" i="2"/>
  <c r="C1078" i="2"/>
  <c r="B1078" i="2"/>
  <c r="A1078" i="2"/>
  <c r="AG1077" i="2"/>
  <c r="AF1077" i="2"/>
  <c r="AE1077" i="2"/>
  <c r="AD1077" i="2"/>
  <c r="AC1077" i="2"/>
  <c r="AB1077" i="2"/>
  <c r="AA1077" i="2"/>
  <c r="Y1077" i="2"/>
  <c r="X1077" i="2"/>
  <c r="W1077" i="2"/>
  <c r="V1077" i="2"/>
  <c r="U1077" i="2"/>
  <c r="T1077" i="2"/>
  <c r="S1077" i="2"/>
  <c r="R1077" i="2"/>
  <c r="Q1077" i="2"/>
  <c r="P1077" i="2"/>
  <c r="O1077" i="2"/>
  <c r="N1077" i="2"/>
  <c r="M1077" i="2"/>
  <c r="L1077" i="2"/>
  <c r="K1077" i="2"/>
  <c r="J1077" i="2"/>
  <c r="I1077" i="2"/>
  <c r="H1077" i="2"/>
  <c r="G1077" i="2"/>
  <c r="F1077" i="2"/>
  <c r="E1077" i="2"/>
  <c r="D1077" i="2"/>
  <c r="C1077" i="2"/>
  <c r="B1077" i="2"/>
  <c r="A1077" i="2"/>
  <c r="AG1076" i="2"/>
  <c r="AE1076" i="2"/>
  <c r="AD1076" i="2"/>
  <c r="AC1076" i="2"/>
  <c r="AB1076" i="2"/>
  <c r="AA1076" i="2"/>
  <c r="W1076" i="2"/>
  <c r="V1076" i="2"/>
  <c r="U1076" i="2"/>
  <c r="T1076" i="2"/>
  <c r="S1076" i="2"/>
  <c r="R1076" i="2"/>
  <c r="Q1076" i="2"/>
  <c r="P1076" i="2"/>
  <c r="O1076" i="2"/>
  <c r="N1076" i="2"/>
  <c r="M1076" i="2"/>
  <c r="L1076" i="2"/>
  <c r="K1076" i="2"/>
  <c r="J1076" i="2"/>
  <c r="I1076" i="2"/>
  <c r="H1076" i="2"/>
  <c r="G1076" i="2"/>
  <c r="F1076" i="2"/>
  <c r="E1076" i="2"/>
  <c r="D1076" i="2"/>
  <c r="C1076" i="2"/>
  <c r="B1076" i="2"/>
  <c r="A1076" i="2"/>
  <c r="AG1075" i="2"/>
  <c r="AF1075" i="2"/>
  <c r="AE1075" i="2"/>
  <c r="AD1075" i="2"/>
  <c r="AC1075" i="2"/>
  <c r="AB1075" i="2"/>
  <c r="AA1075" i="2"/>
  <c r="X1075" i="2"/>
  <c r="W1075" i="2"/>
  <c r="V1075" i="2"/>
  <c r="U1075" i="2"/>
  <c r="T1075" i="2"/>
  <c r="R1075" i="2"/>
  <c r="Q1075" i="2"/>
  <c r="P1075" i="2"/>
  <c r="O1075" i="2"/>
  <c r="N1075" i="2"/>
  <c r="M1075" i="2"/>
  <c r="L1075" i="2"/>
  <c r="K1075" i="2"/>
  <c r="J1075" i="2"/>
  <c r="I1075" i="2"/>
  <c r="H1075" i="2"/>
  <c r="G1075" i="2"/>
  <c r="F1075" i="2"/>
  <c r="E1075" i="2"/>
  <c r="D1075" i="2"/>
  <c r="C1075" i="2"/>
  <c r="B1075" i="2"/>
  <c r="A1075" i="2"/>
  <c r="AH1074" i="2"/>
  <c r="AG1074" i="2"/>
  <c r="AF1074" i="2"/>
  <c r="AE1074" i="2"/>
  <c r="AD1074" i="2"/>
  <c r="AC1074" i="2"/>
  <c r="AB1074" i="2"/>
  <c r="AA1074" i="2"/>
  <c r="Z1074" i="2"/>
  <c r="Y1074" i="2"/>
  <c r="X1074" i="2"/>
  <c r="W1074" i="2"/>
  <c r="V1074" i="2"/>
  <c r="U1074" i="2"/>
  <c r="T1074" i="2"/>
  <c r="S1074" i="2"/>
  <c r="R1074" i="2"/>
  <c r="Q1074" i="2"/>
  <c r="P1074" i="2"/>
  <c r="O1074" i="2"/>
  <c r="N1074" i="2"/>
  <c r="M1074" i="2"/>
  <c r="L1074" i="2"/>
  <c r="K1074" i="2"/>
  <c r="J1074" i="2"/>
  <c r="I1074" i="2"/>
  <c r="H1074" i="2"/>
  <c r="G1074" i="2"/>
  <c r="F1074" i="2"/>
  <c r="E1074" i="2"/>
  <c r="D1074" i="2"/>
  <c r="C1074" i="2"/>
  <c r="B1074" i="2"/>
  <c r="A1074" i="2"/>
  <c r="AG1073" i="2"/>
  <c r="AE1073" i="2"/>
  <c r="AD1073" i="2"/>
  <c r="AC1073" i="2"/>
  <c r="AB1073" i="2"/>
  <c r="AA1073" i="2"/>
  <c r="X1073" i="2"/>
  <c r="W1073" i="2"/>
  <c r="V1073" i="2"/>
  <c r="U1073" i="2"/>
  <c r="T1073" i="2"/>
  <c r="S1073" i="2"/>
  <c r="R1073" i="2"/>
  <c r="Q1073" i="2"/>
  <c r="P1073" i="2"/>
  <c r="O1073" i="2"/>
  <c r="N1073" i="2"/>
  <c r="M1073" i="2"/>
  <c r="L1073" i="2"/>
  <c r="K1073" i="2"/>
  <c r="J1073" i="2"/>
  <c r="I1073" i="2"/>
  <c r="H1073" i="2"/>
  <c r="G1073" i="2"/>
  <c r="F1073" i="2"/>
  <c r="E1073" i="2"/>
  <c r="D1073" i="2"/>
  <c r="C1073" i="2"/>
  <c r="B1073" i="2"/>
  <c r="A1073" i="2"/>
  <c r="AG1072" i="2"/>
  <c r="AF1072" i="2"/>
  <c r="AE1072" i="2"/>
  <c r="AD1072" i="2"/>
  <c r="AC1072" i="2"/>
  <c r="AB1072" i="2"/>
  <c r="AA1072" i="2"/>
  <c r="Z1072" i="2"/>
  <c r="Y1072" i="2"/>
  <c r="X1072" i="2"/>
  <c r="W1072" i="2"/>
  <c r="V1072" i="2"/>
  <c r="U1072" i="2"/>
  <c r="T1072" i="2"/>
  <c r="S1072" i="2"/>
  <c r="R1072" i="2"/>
  <c r="Q1072" i="2"/>
  <c r="P1072" i="2"/>
  <c r="O1072" i="2"/>
  <c r="N1072" i="2"/>
  <c r="M1072" i="2"/>
  <c r="L1072" i="2"/>
  <c r="K1072" i="2"/>
  <c r="J1072" i="2"/>
  <c r="I1072" i="2"/>
  <c r="H1072" i="2"/>
  <c r="G1072" i="2"/>
  <c r="F1072" i="2"/>
  <c r="E1072" i="2"/>
  <c r="D1072" i="2"/>
  <c r="C1072" i="2"/>
  <c r="B1072" i="2"/>
  <c r="A1072" i="2"/>
  <c r="AG1071" i="2"/>
  <c r="AF1071" i="2"/>
  <c r="AE1071" i="2"/>
  <c r="AD1071" i="2"/>
  <c r="AC1071" i="2"/>
  <c r="AB1071" i="2"/>
  <c r="AA1071" i="2"/>
  <c r="Y1071" i="2"/>
  <c r="X1071" i="2"/>
  <c r="W1071" i="2"/>
  <c r="V1071" i="2"/>
  <c r="U1071" i="2"/>
  <c r="T1071" i="2"/>
  <c r="S1071" i="2"/>
  <c r="R1071" i="2"/>
  <c r="Q1071" i="2"/>
  <c r="P1071" i="2"/>
  <c r="O1071" i="2"/>
  <c r="N1071" i="2"/>
  <c r="M1071" i="2"/>
  <c r="L1071" i="2"/>
  <c r="K1071" i="2"/>
  <c r="J1071" i="2"/>
  <c r="I1071" i="2"/>
  <c r="H1071" i="2"/>
  <c r="G1071" i="2"/>
  <c r="F1071" i="2"/>
  <c r="E1071" i="2"/>
  <c r="D1071" i="2"/>
  <c r="C1071" i="2"/>
  <c r="B1071" i="2"/>
  <c r="A1071" i="2"/>
  <c r="AH1070" i="2"/>
  <c r="AG1070" i="2"/>
  <c r="AE1070" i="2"/>
  <c r="AD1070" i="2"/>
  <c r="AC1070" i="2"/>
  <c r="AB1070" i="2"/>
  <c r="AA1070" i="2"/>
  <c r="X1070" i="2"/>
  <c r="W1070" i="2"/>
  <c r="V1070" i="2"/>
  <c r="U1070" i="2"/>
  <c r="T1070" i="2"/>
  <c r="S1070" i="2"/>
  <c r="R1070" i="2"/>
  <c r="Q1070" i="2"/>
  <c r="P1070" i="2"/>
  <c r="O1070" i="2"/>
  <c r="N1070" i="2"/>
  <c r="M1070" i="2"/>
  <c r="L1070" i="2"/>
  <c r="K1070" i="2"/>
  <c r="J1070" i="2"/>
  <c r="I1070" i="2"/>
  <c r="H1070" i="2"/>
  <c r="G1070" i="2"/>
  <c r="F1070" i="2"/>
  <c r="E1070" i="2"/>
  <c r="D1070" i="2"/>
  <c r="C1070" i="2"/>
  <c r="B1070" i="2"/>
  <c r="A1070" i="2"/>
  <c r="AH1069" i="2"/>
  <c r="AG1069" i="2"/>
  <c r="AF1069" i="2"/>
  <c r="AE1069" i="2"/>
  <c r="AD1069" i="2"/>
  <c r="AC1069" i="2"/>
  <c r="AB1069" i="2"/>
  <c r="AA1069" i="2"/>
  <c r="W1069" i="2"/>
  <c r="V1069" i="2"/>
  <c r="U1069" i="2"/>
  <c r="T1069" i="2"/>
  <c r="S1069" i="2"/>
  <c r="R1069" i="2"/>
  <c r="Q1069" i="2"/>
  <c r="P1069" i="2"/>
  <c r="O1069" i="2"/>
  <c r="N1069" i="2"/>
  <c r="M1069" i="2"/>
  <c r="L1069" i="2"/>
  <c r="K1069" i="2"/>
  <c r="J1069" i="2"/>
  <c r="I1069" i="2"/>
  <c r="H1069" i="2"/>
  <c r="G1069" i="2"/>
  <c r="F1069" i="2"/>
  <c r="E1069" i="2"/>
  <c r="D1069" i="2"/>
  <c r="C1069" i="2"/>
  <c r="B1069" i="2"/>
  <c r="A1069" i="2"/>
  <c r="AG1068" i="2"/>
  <c r="AE1068" i="2"/>
  <c r="AD1068" i="2"/>
  <c r="AC1068" i="2"/>
  <c r="AB1068" i="2"/>
  <c r="AA1068" i="2"/>
  <c r="W1068" i="2"/>
  <c r="V1068" i="2"/>
  <c r="U1068" i="2"/>
  <c r="T1068" i="2"/>
  <c r="S1068" i="2"/>
  <c r="R1068" i="2"/>
  <c r="Q1068" i="2"/>
  <c r="P1068" i="2"/>
  <c r="O1068" i="2"/>
  <c r="N1068" i="2"/>
  <c r="M1068" i="2"/>
  <c r="L1068" i="2"/>
  <c r="K1068" i="2"/>
  <c r="J1068" i="2"/>
  <c r="I1068" i="2"/>
  <c r="H1068" i="2"/>
  <c r="G1068" i="2"/>
  <c r="F1068" i="2"/>
  <c r="E1068" i="2"/>
  <c r="D1068" i="2"/>
  <c r="C1068" i="2"/>
  <c r="B1068" i="2"/>
  <c r="A1068" i="2"/>
  <c r="AG1067" i="2"/>
  <c r="AF1067" i="2"/>
  <c r="AE1067" i="2"/>
  <c r="AD1067" i="2"/>
  <c r="AC1067" i="2"/>
  <c r="AB1067" i="2"/>
  <c r="AA1067" i="2"/>
  <c r="Z1067" i="2"/>
  <c r="Y1067" i="2"/>
  <c r="X1067" i="2"/>
  <c r="W1067" i="2"/>
  <c r="V1067" i="2"/>
  <c r="U1067" i="2"/>
  <c r="T1067" i="2"/>
  <c r="S1067" i="2"/>
  <c r="R1067" i="2"/>
  <c r="Q1067" i="2"/>
  <c r="P1067" i="2"/>
  <c r="O1067" i="2"/>
  <c r="N1067" i="2"/>
  <c r="M1067" i="2"/>
  <c r="L1067" i="2"/>
  <c r="K1067" i="2"/>
  <c r="J1067" i="2"/>
  <c r="I1067" i="2"/>
  <c r="H1067" i="2"/>
  <c r="G1067" i="2"/>
  <c r="F1067" i="2"/>
  <c r="E1067" i="2"/>
  <c r="D1067" i="2"/>
  <c r="C1067" i="2"/>
  <c r="B1067" i="2"/>
  <c r="A1067" i="2"/>
  <c r="AG1066" i="2"/>
  <c r="AE1066" i="2"/>
  <c r="AD1066" i="2"/>
  <c r="AC1066" i="2"/>
  <c r="AB1066" i="2"/>
  <c r="AA1066" i="2"/>
  <c r="Y1066" i="2"/>
  <c r="W1066" i="2"/>
  <c r="V1066" i="2"/>
  <c r="U1066" i="2"/>
  <c r="T1066" i="2"/>
  <c r="S1066" i="2"/>
  <c r="R1066" i="2"/>
  <c r="Q1066" i="2"/>
  <c r="P1066" i="2"/>
  <c r="O1066" i="2"/>
  <c r="N1066" i="2"/>
  <c r="M1066" i="2"/>
  <c r="L1066" i="2"/>
  <c r="K1066" i="2"/>
  <c r="J1066" i="2"/>
  <c r="I1066" i="2"/>
  <c r="H1066" i="2"/>
  <c r="G1066" i="2"/>
  <c r="F1066" i="2"/>
  <c r="E1066" i="2"/>
  <c r="D1066" i="2"/>
  <c r="C1066" i="2"/>
  <c r="B1066" i="2"/>
  <c r="A1066" i="2"/>
  <c r="AG1065" i="2"/>
  <c r="AF1065" i="2"/>
  <c r="AE1065" i="2"/>
  <c r="AD1065" i="2"/>
  <c r="AC1065" i="2"/>
  <c r="AB1065" i="2"/>
  <c r="AA1065" i="2"/>
  <c r="Y1065" i="2"/>
  <c r="X1065" i="2"/>
  <c r="W1065" i="2"/>
  <c r="V1065" i="2"/>
  <c r="U1065" i="2"/>
  <c r="R1065" i="2"/>
  <c r="Q1065" i="2"/>
  <c r="P1065" i="2"/>
  <c r="O1065" i="2"/>
  <c r="N1065" i="2"/>
  <c r="M1065" i="2"/>
  <c r="L1065" i="2"/>
  <c r="K1065" i="2"/>
  <c r="J1065" i="2"/>
  <c r="I1065" i="2"/>
  <c r="H1065" i="2"/>
  <c r="G1065" i="2"/>
  <c r="F1065" i="2"/>
  <c r="E1065" i="2"/>
  <c r="D1065" i="2"/>
  <c r="C1065" i="2"/>
  <c r="B1065" i="2"/>
  <c r="A1065" i="2"/>
  <c r="AG1064" i="2"/>
  <c r="AF1064" i="2"/>
  <c r="AE1064" i="2"/>
  <c r="AD1064" i="2"/>
  <c r="AC1064" i="2"/>
  <c r="AB1064" i="2"/>
  <c r="AA1064" i="2"/>
  <c r="Z1064" i="2"/>
  <c r="Y1064" i="2"/>
  <c r="W1064" i="2"/>
  <c r="V1064" i="2"/>
  <c r="U1064" i="2"/>
  <c r="T1064" i="2"/>
  <c r="S1064" i="2"/>
  <c r="R1064" i="2"/>
  <c r="Q1064" i="2"/>
  <c r="P1064" i="2"/>
  <c r="O1064" i="2"/>
  <c r="N1064" i="2"/>
  <c r="M1064" i="2"/>
  <c r="L1064" i="2"/>
  <c r="K1064" i="2"/>
  <c r="J1064" i="2"/>
  <c r="I1064" i="2"/>
  <c r="H1064" i="2"/>
  <c r="G1064" i="2"/>
  <c r="F1064" i="2"/>
  <c r="E1064" i="2"/>
  <c r="D1064" i="2"/>
  <c r="C1064" i="2"/>
  <c r="B1064" i="2"/>
  <c r="A1064" i="2"/>
  <c r="AG1063" i="2"/>
  <c r="AF1063" i="2"/>
  <c r="AE1063" i="2"/>
  <c r="AD1063" i="2"/>
  <c r="AC1063" i="2"/>
  <c r="AB1063" i="2"/>
  <c r="AA1063" i="2"/>
  <c r="Y1063" i="2"/>
  <c r="X1063" i="2"/>
  <c r="W1063" i="2"/>
  <c r="V1063" i="2"/>
  <c r="U1063" i="2"/>
  <c r="T1063" i="2"/>
  <c r="R1063" i="2"/>
  <c r="Q1063" i="2"/>
  <c r="P1063" i="2"/>
  <c r="O1063" i="2"/>
  <c r="N1063" i="2"/>
  <c r="M1063" i="2"/>
  <c r="L1063" i="2"/>
  <c r="K1063" i="2"/>
  <c r="J1063" i="2"/>
  <c r="I1063" i="2"/>
  <c r="H1063" i="2"/>
  <c r="G1063" i="2"/>
  <c r="F1063" i="2"/>
  <c r="E1063" i="2"/>
  <c r="D1063" i="2"/>
  <c r="C1063" i="2"/>
  <c r="B1063" i="2"/>
  <c r="A1063" i="2"/>
  <c r="AG1062" i="2"/>
  <c r="AF1062" i="2"/>
  <c r="AE1062" i="2"/>
  <c r="AD1062" i="2"/>
  <c r="AC1062" i="2"/>
  <c r="AB1062" i="2"/>
  <c r="AA1062" i="2"/>
  <c r="Y1062" i="2"/>
  <c r="X1062" i="2"/>
  <c r="W1062" i="2"/>
  <c r="V1062" i="2"/>
  <c r="U1062" i="2"/>
  <c r="T1062" i="2"/>
  <c r="R1062" i="2"/>
  <c r="Q1062" i="2"/>
  <c r="P1062" i="2"/>
  <c r="O1062" i="2"/>
  <c r="N1062" i="2"/>
  <c r="M1062" i="2"/>
  <c r="L1062" i="2"/>
  <c r="K1062" i="2"/>
  <c r="J1062" i="2"/>
  <c r="I1062" i="2"/>
  <c r="H1062" i="2"/>
  <c r="G1062" i="2"/>
  <c r="F1062" i="2"/>
  <c r="E1062" i="2"/>
  <c r="D1062" i="2"/>
  <c r="C1062" i="2"/>
  <c r="B1062" i="2"/>
  <c r="A1062" i="2"/>
  <c r="AG1061" i="2"/>
  <c r="AE1061" i="2"/>
  <c r="AD1061" i="2"/>
  <c r="AC1061" i="2"/>
  <c r="AB1061" i="2"/>
  <c r="AA1061" i="2"/>
  <c r="Y1061" i="2"/>
  <c r="W1061" i="2"/>
  <c r="V1061" i="2"/>
  <c r="U1061" i="2"/>
  <c r="T1061" i="2"/>
  <c r="S1061" i="2"/>
  <c r="R1061" i="2"/>
  <c r="Q1061" i="2"/>
  <c r="P1061" i="2"/>
  <c r="O1061" i="2"/>
  <c r="N1061" i="2"/>
  <c r="M1061" i="2"/>
  <c r="L1061" i="2"/>
  <c r="K1061" i="2"/>
  <c r="J1061" i="2"/>
  <c r="I1061" i="2"/>
  <c r="H1061" i="2"/>
  <c r="G1061" i="2"/>
  <c r="F1061" i="2"/>
  <c r="E1061" i="2"/>
  <c r="D1061" i="2"/>
  <c r="C1061" i="2"/>
  <c r="B1061" i="2"/>
  <c r="A1061" i="2"/>
  <c r="AG1060" i="2"/>
  <c r="AF1060" i="2"/>
  <c r="AE1060" i="2"/>
  <c r="AD1060" i="2"/>
  <c r="AC1060" i="2"/>
  <c r="AB1060" i="2"/>
  <c r="AA1060" i="2"/>
  <c r="Y1060" i="2"/>
  <c r="X1060" i="2"/>
  <c r="W1060" i="2"/>
  <c r="V1060" i="2"/>
  <c r="U1060" i="2"/>
  <c r="T1060" i="2"/>
  <c r="S1060" i="2"/>
  <c r="R1060" i="2"/>
  <c r="Q1060" i="2"/>
  <c r="P1060" i="2"/>
  <c r="O1060" i="2"/>
  <c r="N1060" i="2"/>
  <c r="M1060" i="2"/>
  <c r="L1060" i="2"/>
  <c r="K1060" i="2"/>
  <c r="J1060" i="2"/>
  <c r="I1060" i="2"/>
  <c r="H1060" i="2"/>
  <c r="G1060" i="2"/>
  <c r="F1060" i="2"/>
  <c r="E1060" i="2"/>
  <c r="D1060" i="2"/>
  <c r="C1060" i="2"/>
  <c r="B1060" i="2"/>
  <c r="A1060" i="2"/>
  <c r="AH1059" i="2"/>
  <c r="AG1059" i="2"/>
  <c r="AE1059" i="2"/>
  <c r="AC1059" i="2"/>
  <c r="AB1059" i="2"/>
  <c r="AA1059" i="2"/>
  <c r="Y1059" i="2"/>
  <c r="X1059" i="2"/>
  <c r="W1059" i="2"/>
  <c r="V1059" i="2"/>
  <c r="U1059" i="2"/>
  <c r="T1059" i="2"/>
  <c r="S1059" i="2"/>
  <c r="R1059" i="2"/>
  <c r="Q1059" i="2"/>
  <c r="P1059" i="2"/>
  <c r="O1059" i="2"/>
  <c r="N1059" i="2"/>
  <c r="M1059" i="2"/>
  <c r="L1059" i="2"/>
  <c r="J1059" i="2"/>
  <c r="I1059" i="2"/>
  <c r="H1059" i="2"/>
  <c r="G1059" i="2"/>
  <c r="F1059" i="2"/>
  <c r="E1059" i="2"/>
  <c r="D1059" i="2"/>
  <c r="C1059" i="2"/>
  <c r="B1059" i="2"/>
  <c r="A1059" i="2"/>
  <c r="AF1058" i="2"/>
  <c r="AE1058" i="2"/>
  <c r="AD1058" i="2"/>
  <c r="AC1058" i="2"/>
  <c r="AB1058" i="2"/>
  <c r="AA1058" i="2"/>
  <c r="X1058" i="2"/>
  <c r="W1058" i="2"/>
  <c r="V1058" i="2"/>
  <c r="U1058" i="2"/>
  <c r="T1058" i="2"/>
  <c r="S1058" i="2"/>
  <c r="R1058" i="2"/>
  <c r="Q1058" i="2"/>
  <c r="P1058" i="2"/>
  <c r="O1058" i="2"/>
  <c r="N1058" i="2"/>
  <c r="M1058" i="2"/>
  <c r="L1058" i="2"/>
  <c r="K1058" i="2"/>
  <c r="J1058" i="2"/>
  <c r="I1058" i="2"/>
  <c r="H1058" i="2"/>
  <c r="G1058" i="2"/>
  <c r="F1058" i="2"/>
  <c r="E1058" i="2"/>
  <c r="D1058" i="2"/>
  <c r="C1058" i="2"/>
  <c r="B1058" i="2"/>
  <c r="A1058" i="2"/>
  <c r="AG1057" i="2"/>
  <c r="AE1057" i="2"/>
  <c r="AD1057" i="2"/>
  <c r="AC1057" i="2"/>
  <c r="AB1057" i="2"/>
  <c r="AA1057" i="2"/>
  <c r="Y1057" i="2"/>
  <c r="V1057" i="2"/>
  <c r="U1057" i="2"/>
  <c r="T1057" i="2"/>
  <c r="S1057" i="2"/>
  <c r="R1057" i="2"/>
  <c r="Q1057" i="2"/>
  <c r="P1057" i="2"/>
  <c r="O1057" i="2"/>
  <c r="N1057" i="2"/>
  <c r="M1057" i="2"/>
  <c r="L1057" i="2"/>
  <c r="K1057" i="2"/>
  <c r="J1057" i="2"/>
  <c r="I1057" i="2"/>
  <c r="H1057" i="2"/>
  <c r="G1057" i="2"/>
  <c r="F1057" i="2"/>
  <c r="E1057" i="2"/>
  <c r="D1057" i="2"/>
  <c r="C1057" i="2"/>
  <c r="B1057" i="2"/>
  <c r="A1057" i="2"/>
  <c r="AG1056" i="2"/>
  <c r="AE1056" i="2"/>
  <c r="AD1056" i="2"/>
  <c r="AC1056" i="2"/>
  <c r="AB1056" i="2"/>
  <c r="AA1056" i="2"/>
  <c r="V1056" i="2"/>
  <c r="U1056" i="2"/>
  <c r="T1056" i="2"/>
  <c r="S1056" i="2"/>
  <c r="R1056" i="2"/>
  <c r="Q1056" i="2"/>
  <c r="P1056" i="2"/>
  <c r="O1056" i="2"/>
  <c r="N1056" i="2"/>
  <c r="M1056" i="2"/>
  <c r="L1056" i="2"/>
  <c r="K1056" i="2"/>
  <c r="J1056" i="2"/>
  <c r="I1056" i="2"/>
  <c r="H1056" i="2"/>
  <c r="G1056" i="2"/>
  <c r="F1056" i="2"/>
  <c r="E1056" i="2"/>
  <c r="D1056" i="2"/>
  <c r="C1056" i="2"/>
  <c r="B1056" i="2"/>
  <c r="A1056" i="2"/>
  <c r="AH1055" i="2"/>
  <c r="AG1055" i="2"/>
  <c r="AF1055" i="2"/>
  <c r="AE1055" i="2"/>
  <c r="AD1055" i="2"/>
  <c r="AC1055" i="2"/>
  <c r="AB1055" i="2"/>
  <c r="AA1055" i="2"/>
  <c r="Y1055" i="2"/>
  <c r="X1055" i="2"/>
  <c r="W1055" i="2"/>
  <c r="V1055" i="2"/>
  <c r="U1055" i="2"/>
  <c r="T1055" i="2"/>
  <c r="S1055" i="2"/>
  <c r="R1055" i="2"/>
  <c r="Q1055" i="2"/>
  <c r="P1055" i="2"/>
  <c r="O1055" i="2"/>
  <c r="N1055" i="2"/>
  <c r="M1055" i="2"/>
  <c r="L1055" i="2"/>
  <c r="K1055" i="2"/>
  <c r="J1055" i="2"/>
  <c r="I1055" i="2"/>
  <c r="H1055" i="2"/>
  <c r="G1055" i="2"/>
  <c r="F1055" i="2"/>
  <c r="E1055" i="2"/>
  <c r="D1055" i="2"/>
  <c r="C1055" i="2"/>
  <c r="B1055" i="2"/>
  <c r="A1055" i="2"/>
  <c r="AG1054" i="2"/>
  <c r="AE1054" i="2"/>
  <c r="AD1054" i="2"/>
  <c r="AC1054" i="2"/>
  <c r="AB1054" i="2"/>
  <c r="AA1054" i="2"/>
  <c r="X1054" i="2"/>
  <c r="V1054" i="2"/>
  <c r="U1054" i="2"/>
  <c r="T1054" i="2"/>
  <c r="S1054" i="2"/>
  <c r="R1054" i="2"/>
  <c r="Q1054" i="2"/>
  <c r="P1054" i="2"/>
  <c r="O1054" i="2"/>
  <c r="N1054" i="2"/>
  <c r="M1054" i="2"/>
  <c r="L1054" i="2"/>
  <c r="K1054" i="2"/>
  <c r="J1054" i="2"/>
  <c r="I1054" i="2"/>
  <c r="H1054" i="2"/>
  <c r="G1054" i="2"/>
  <c r="F1054" i="2"/>
  <c r="E1054" i="2"/>
  <c r="D1054" i="2"/>
  <c r="C1054" i="2"/>
  <c r="B1054" i="2"/>
  <c r="A1054" i="2"/>
  <c r="AG1053" i="2"/>
  <c r="AF1053" i="2"/>
  <c r="AE1053" i="2"/>
  <c r="AD1053" i="2"/>
  <c r="AC1053" i="2"/>
  <c r="AB1053" i="2"/>
  <c r="AA1053" i="2"/>
  <c r="V1053" i="2"/>
  <c r="U1053" i="2"/>
  <c r="T1053" i="2"/>
  <c r="S1053" i="2"/>
  <c r="R1053" i="2"/>
  <c r="Q1053" i="2"/>
  <c r="P1053" i="2"/>
  <c r="O1053" i="2"/>
  <c r="N1053" i="2"/>
  <c r="M1053" i="2"/>
  <c r="L1053" i="2"/>
  <c r="K1053" i="2"/>
  <c r="J1053" i="2"/>
  <c r="I1053" i="2"/>
  <c r="H1053" i="2"/>
  <c r="G1053" i="2"/>
  <c r="F1053" i="2"/>
  <c r="E1053" i="2"/>
  <c r="D1053" i="2"/>
  <c r="C1053" i="2"/>
  <c r="B1053" i="2"/>
  <c r="A1053" i="2"/>
  <c r="AH1052" i="2"/>
  <c r="AG1052" i="2"/>
  <c r="AF1052" i="2"/>
  <c r="AE1052" i="2"/>
  <c r="AD1052" i="2"/>
  <c r="AC1052" i="2"/>
  <c r="AB1052" i="2"/>
  <c r="AA1052" i="2"/>
  <c r="Y1052" i="2"/>
  <c r="X1052" i="2"/>
  <c r="W1052" i="2"/>
  <c r="V1052" i="2"/>
  <c r="U1052" i="2"/>
  <c r="T1052" i="2"/>
  <c r="S1052" i="2"/>
  <c r="R1052" i="2"/>
  <c r="Q1052" i="2"/>
  <c r="P1052" i="2"/>
  <c r="O1052" i="2"/>
  <c r="N1052" i="2"/>
  <c r="M1052" i="2"/>
  <c r="L1052" i="2"/>
  <c r="K1052" i="2"/>
  <c r="J1052" i="2"/>
  <c r="I1052" i="2"/>
  <c r="H1052" i="2"/>
  <c r="G1052" i="2"/>
  <c r="F1052" i="2"/>
  <c r="E1052" i="2"/>
  <c r="D1052" i="2"/>
  <c r="C1052" i="2"/>
  <c r="B1052" i="2"/>
  <c r="A1052" i="2"/>
  <c r="AG1051" i="2"/>
  <c r="AF1051" i="2"/>
  <c r="AE1051" i="2"/>
  <c r="AD1051" i="2"/>
  <c r="AC1051" i="2"/>
  <c r="AB1051" i="2"/>
  <c r="AA1051" i="2"/>
  <c r="Z1051" i="2"/>
  <c r="Y1051" i="2"/>
  <c r="X1051" i="2"/>
  <c r="W1051" i="2"/>
  <c r="V1051" i="2"/>
  <c r="U1051" i="2"/>
  <c r="T1051" i="2"/>
  <c r="S1051" i="2"/>
  <c r="R1051" i="2"/>
  <c r="Q1051" i="2"/>
  <c r="P1051" i="2"/>
  <c r="O1051" i="2"/>
  <c r="N1051" i="2"/>
  <c r="M1051" i="2"/>
  <c r="L1051" i="2"/>
  <c r="K1051" i="2"/>
  <c r="J1051" i="2"/>
  <c r="I1051" i="2"/>
  <c r="H1051" i="2"/>
  <c r="G1051" i="2"/>
  <c r="F1051" i="2"/>
  <c r="E1051" i="2"/>
  <c r="D1051" i="2"/>
  <c r="C1051" i="2"/>
  <c r="B1051" i="2"/>
  <c r="A1051" i="2"/>
  <c r="AG1050" i="2"/>
  <c r="AE1050" i="2"/>
  <c r="AD1050" i="2"/>
  <c r="AB1050" i="2"/>
  <c r="AA1050" i="2"/>
  <c r="X1050" i="2"/>
  <c r="W1050" i="2"/>
  <c r="V1050" i="2"/>
  <c r="U1050" i="2"/>
  <c r="T1050" i="2"/>
  <c r="S1050" i="2"/>
  <c r="R1050" i="2"/>
  <c r="Q1050" i="2"/>
  <c r="P1050" i="2"/>
  <c r="O1050" i="2"/>
  <c r="M1050" i="2"/>
  <c r="L1050" i="2"/>
  <c r="K1050" i="2"/>
  <c r="J1050" i="2"/>
  <c r="I1050" i="2"/>
  <c r="H1050" i="2"/>
  <c r="G1050" i="2"/>
  <c r="F1050" i="2"/>
  <c r="E1050" i="2"/>
  <c r="D1050" i="2"/>
  <c r="C1050" i="2"/>
  <c r="B1050" i="2"/>
  <c r="A1050" i="2"/>
  <c r="AG1049" i="2"/>
  <c r="AE1049" i="2"/>
  <c r="AD1049" i="2"/>
  <c r="AC1049" i="2"/>
  <c r="AB1049" i="2"/>
  <c r="AA1049" i="2"/>
  <c r="X1049" i="2"/>
  <c r="W1049" i="2"/>
  <c r="V1049" i="2"/>
  <c r="U1049" i="2"/>
  <c r="T1049" i="2"/>
  <c r="S1049" i="2"/>
  <c r="R1049" i="2"/>
  <c r="Q1049" i="2"/>
  <c r="P1049" i="2"/>
  <c r="O1049" i="2"/>
  <c r="N1049" i="2"/>
  <c r="M1049" i="2"/>
  <c r="L1049" i="2"/>
  <c r="K1049" i="2"/>
  <c r="J1049" i="2"/>
  <c r="I1049" i="2"/>
  <c r="H1049" i="2"/>
  <c r="G1049" i="2"/>
  <c r="F1049" i="2"/>
  <c r="E1049" i="2"/>
  <c r="D1049" i="2"/>
  <c r="C1049" i="2"/>
  <c r="B1049" i="2"/>
  <c r="A1049" i="2"/>
  <c r="AG1048" i="2"/>
  <c r="AF1048" i="2"/>
  <c r="AE1048" i="2"/>
  <c r="AD1048" i="2"/>
  <c r="AC1048" i="2"/>
  <c r="AB1048" i="2"/>
  <c r="AA1048" i="2"/>
  <c r="X1048" i="2"/>
  <c r="W1048" i="2"/>
  <c r="V1048" i="2"/>
  <c r="U1048" i="2"/>
  <c r="T1048" i="2"/>
  <c r="S1048" i="2"/>
  <c r="R1048" i="2"/>
  <c r="Q1048" i="2"/>
  <c r="P1048" i="2"/>
  <c r="O1048" i="2"/>
  <c r="M1048" i="2"/>
  <c r="L1048" i="2"/>
  <c r="K1048" i="2"/>
  <c r="J1048" i="2"/>
  <c r="I1048" i="2"/>
  <c r="H1048" i="2"/>
  <c r="G1048" i="2"/>
  <c r="F1048" i="2"/>
  <c r="E1048" i="2"/>
  <c r="D1048" i="2"/>
  <c r="C1048" i="2"/>
  <c r="B1048" i="2"/>
  <c r="A1048" i="2"/>
  <c r="AG1047" i="2"/>
  <c r="AF1047" i="2"/>
  <c r="AE1047" i="2"/>
  <c r="AD1047" i="2"/>
  <c r="AC1047" i="2"/>
  <c r="AB1047" i="2"/>
  <c r="AA1047" i="2"/>
  <c r="Y1047" i="2"/>
  <c r="X1047" i="2"/>
  <c r="W1047" i="2"/>
  <c r="V1047" i="2"/>
  <c r="U1047" i="2"/>
  <c r="T1047" i="2"/>
  <c r="S1047" i="2"/>
  <c r="R1047" i="2"/>
  <c r="Q1047" i="2"/>
  <c r="P1047" i="2"/>
  <c r="O1047" i="2"/>
  <c r="N1047" i="2"/>
  <c r="M1047" i="2"/>
  <c r="L1047" i="2"/>
  <c r="K1047" i="2"/>
  <c r="J1047" i="2"/>
  <c r="I1047" i="2"/>
  <c r="H1047" i="2"/>
  <c r="G1047" i="2"/>
  <c r="F1047" i="2"/>
  <c r="E1047" i="2"/>
  <c r="D1047" i="2"/>
  <c r="C1047" i="2"/>
  <c r="B1047" i="2"/>
  <c r="A1047" i="2"/>
  <c r="AH1046" i="2"/>
  <c r="AG1046" i="2"/>
  <c r="AE1046" i="2"/>
  <c r="AD1046" i="2"/>
  <c r="AC1046" i="2"/>
  <c r="AB1046" i="2"/>
  <c r="AA1046" i="2"/>
  <c r="Z1046" i="2"/>
  <c r="Y1046" i="2"/>
  <c r="X1046" i="2"/>
  <c r="W1046" i="2"/>
  <c r="V1046" i="2"/>
  <c r="U1046" i="2"/>
  <c r="T1046" i="2"/>
  <c r="S1046" i="2"/>
  <c r="R1046" i="2"/>
  <c r="Q1046" i="2"/>
  <c r="P1046" i="2"/>
  <c r="O1046" i="2"/>
  <c r="N1046" i="2"/>
  <c r="M1046" i="2"/>
  <c r="L1046" i="2"/>
  <c r="K1046" i="2"/>
  <c r="J1046" i="2"/>
  <c r="I1046" i="2"/>
  <c r="H1046" i="2"/>
  <c r="G1046" i="2"/>
  <c r="F1046" i="2"/>
  <c r="E1046" i="2"/>
  <c r="D1046" i="2"/>
  <c r="C1046" i="2"/>
  <c r="B1046" i="2"/>
  <c r="A1046" i="2"/>
  <c r="AG1045" i="2"/>
  <c r="AF1045" i="2"/>
  <c r="AE1045" i="2"/>
  <c r="AD1045" i="2"/>
  <c r="AC1045" i="2"/>
  <c r="AB1045" i="2"/>
  <c r="AA1045" i="2"/>
  <c r="Y1045" i="2"/>
  <c r="X1045" i="2"/>
  <c r="W1045" i="2"/>
  <c r="V1045" i="2"/>
  <c r="U1045" i="2"/>
  <c r="T1045" i="2"/>
  <c r="S1045" i="2"/>
  <c r="R1045" i="2"/>
  <c r="Q1045" i="2"/>
  <c r="P1045" i="2"/>
  <c r="O1045" i="2"/>
  <c r="N1045" i="2"/>
  <c r="M1045" i="2"/>
  <c r="L1045" i="2"/>
  <c r="K1045" i="2"/>
  <c r="J1045" i="2"/>
  <c r="I1045" i="2"/>
  <c r="H1045" i="2"/>
  <c r="G1045" i="2"/>
  <c r="F1045" i="2"/>
  <c r="E1045" i="2"/>
  <c r="D1045" i="2"/>
  <c r="C1045" i="2"/>
  <c r="B1045" i="2"/>
  <c r="A1045" i="2"/>
  <c r="AG1044" i="2"/>
  <c r="AE1044" i="2"/>
  <c r="AD1044" i="2"/>
  <c r="AC1044" i="2"/>
  <c r="AB1044" i="2"/>
  <c r="AA1044" i="2"/>
  <c r="Y1044" i="2"/>
  <c r="X1044" i="2"/>
  <c r="W1044" i="2"/>
  <c r="V1044" i="2"/>
  <c r="U1044" i="2"/>
  <c r="T1044" i="2"/>
  <c r="S1044" i="2"/>
  <c r="R1044" i="2"/>
  <c r="Q1044" i="2"/>
  <c r="P1044" i="2"/>
  <c r="O1044" i="2"/>
  <c r="N1044" i="2"/>
  <c r="M1044" i="2"/>
  <c r="L1044" i="2"/>
  <c r="K1044" i="2"/>
  <c r="J1044" i="2"/>
  <c r="I1044" i="2"/>
  <c r="H1044" i="2"/>
  <c r="G1044" i="2"/>
  <c r="F1044" i="2"/>
  <c r="E1044" i="2"/>
  <c r="D1044" i="2"/>
  <c r="C1044" i="2"/>
  <c r="B1044" i="2"/>
  <c r="A1044" i="2"/>
  <c r="AG1043" i="2"/>
  <c r="AE1043" i="2"/>
  <c r="AD1043" i="2"/>
  <c r="AC1043" i="2"/>
  <c r="AB1043" i="2"/>
  <c r="AA1043" i="2"/>
  <c r="V1043" i="2"/>
  <c r="U1043" i="2"/>
  <c r="T1043" i="2"/>
  <c r="S1043" i="2"/>
  <c r="R1043" i="2"/>
  <c r="Q1043" i="2"/>
  <c r="P1043" i="2"/>
  <c r="O1043" i="2"/>
  <c r="N1043" i="2"/>
  <c r="M1043" i="2"/>
  <c r="L1043" i="2"/>
  <c r="K1043" i="2"/>
  <c r="J1043" i="2"/>
  <c r="I1043" i="2"/>
  <c r="H1043" i="2"/>
  <c r="G1043" i="2"/>
  <c r="F1043" i="2"/>
  <c r="E1043" i="2"/>
  <c r="D1043" i="2"/>
  <c r="C1043" i="2"/>
  <c r="B1043" i="2"/>
  <c r="A1043" i="2"/>
  <c r="AG1042" i="2"/>
  <c r="AE1042" i="2"/>
  <c r="AD1042" i="2"/>
  <c r="AC1042" i="2"/>
  <c r="AB1042" i="2"/>
  <c r="AA1042" i="2"/>
  <c r="V1042" i="2"/>
  <c r="U1042" i="2"/>
  <c r="T1042" i="2"/>
  <c r="S1042" i="2"/>
  <c r="R1042" i="2"/>
  <c r="Q1042" i="2"/>
  <c r="P1042" i="2"/>
  <c r="O1042" i="2"/>
  <c r="N1042" i="2"/>
  <c r="M1042" i="2"/>
  <c r="L1042" i="2"/>
  <c r="K1042" i="2"/>
  <c r="J1042" i="2"/>
  <c r="I1042" i="2"/>
  <c r="H1042" i="2"/>
  <c r="G1042" i="2"/>
  <c r="F1042" i="2"/>
  <c r="E1042" i="2"/>
  <c r="D1042" i="2"/>
  <c r="C1042" i="2"/>
  <c r="B1042" i="2"/>
  <c r="A1042" i="2"/>
  <c r="AG1041" i="2"/>
  <c r="AE1041" i="2"/>
  <c r="AD1041" i="2"/>
  <c r="AC1041" i="2"/>
  <c r="AB1041" i="2"/>
  <c r="AA1041" i="2"/>
  <c r="X1041" i="2"/>
  <c r="W1041" i="2"/>
  <c r="V1041" i="2"/>
  <c r="U1041" i="2"/>
  <c r="T1041" i="2"/>
  <c r="S1041" i="2"/>
  <c r="R1041" i="2"/>
  <c r="Q1041" i="2"/>
  <c r="P1041" i="2"/>
  <c r="O1041" i="2"/>
  <c r="N1041" i="2"/>
  <c r="M1041" i="2"/>
  <c r="L1041" i="2"/>
  <c r="J1041" i="2"/>
  <c r="I1041" i="2"/>
  <c r="H1041" i="2"/>
  <c r="G1041" i="2"/>
  <c r="F1041" i="2"/>
  <c r="E1041" i="2"/>
  <c r="D1041" i="2"/>
  <c r="C1041" i="2"/>
  <c r="B1041" i="2"/>
  <c r="A1041" i="2"/>
  <c r="AG1040" i="2"/>
  <c r="AE1040" i="2"/>
  <c r="AD1040" i="2"/>
  <c r="AC1040" i="2"/>
  <c r="AB1040" i="2"/>
  <c r="AA1040" i="2"/>
  <c r="V1040" i="2"/>
  <c r="U1040" i="2"/>
  <c r="T1040" i="2"/>
  <c r="S1040" i="2"/>
  <c r="R1040" i="2"/>
  <c r="Q1040" i="2"/>
  <c r="P1040" i="2"/>
  <c r="O1040" i="2"/>
  <c r="N1040" i="2"/>
  <c r="M1040" i="2"/>
  <c r="L1040" i="2"/>
  <c r="K1040" i="2"/>
  <c r="J1040" i="2"/>
  <c r="I1040" i="2"/>
  <c r="H1040" i="2"/>
  <c r="G1040" i="2"/>
  <c r="F1040" i="2"/>
  <c r="E1040" i="2"/>
  <c r="D1040" i="2"/>
  <c r="C1040" i="2"/>
  <c r="B1040" i="2"/>
  <c r="A1040" i="2"/>
  <c r="AH1039" i="2"/>
  <c r="AG1039" i="2"/>
  <c r="AF1039" i="2"/>
  <c r="AE1039" i="2"/>
  <c r="AD1039" i="2"/>
  <c r="AC1039" i="2"/>
  <c r="AB1039" i="2"/>
  <c r="AA1039" i="2"/>
  <c r="Y1039" i="2"/>
  <c r="X1039" i="2"/>
  <c r="W1039" i="2"/>
  <c r="V1039" i="2"/>
  <c r="U1039" i="2"/>
  <c r="T1039" i="2"/>
  <c r="R1039" i="2"/>
  <c r="Q1039" i="2"/>
  <c r="P1039" i="2"/>
  <c r="O1039" i="2"/>
  <c r="N1039" i="2"/>
  <c r="M1039" i="2"/>
  <c r="L1039" i="2"/>
  <c r="K1039" i="2"/>
  <c r="J1039" i="2"/>
  <c r="I1039" i="2"/>
  <c r="H1039" i="2"/>
  <c r="G1039" i="2"/>
  <c r="F1039" i="2"/>
  <c r="E1039" i="2"/>
  <c r="D1039" i="2"/>
  <c r="C1039" i="2"/>
  <c r="B1039" i="2"/>
  <c r="A1039" i="2"/>
  <c r="AH1038" i="2"/>
  <c r="AG1038" i="2"/>
  <c r="AF1038" i="2"/>
  <c r="AE1038" i="2"/>
  <c r="AD1038" i="2"/>
  <c r="AC1038" i="2"/>
  <c r="AB1038" i="2"/>
  <c r="AA1038" i="2"/>
  <c r="Y1038" i="2"/>
  <c r="X1038" i="2"/>
  <c r="W1038" i="2"/>
  <c r="V1038" i="2"/>
  <c r="U1038" i="2"/>
  <c r="T1038" i="2"/>
  <c r="S1038" i="2"/>
  <c r="R1038" i="2"/>
  <c r="Q1038" i="2"/>
  <c r="P1038" i="2"/>
  <c r="O1038" i="2"/>
  <c r="N1038" i="2"/>
  <c r="M1038" i="2"/>
  <c r="L1038" i="2"/>
  <c r="K1038" i="2"/>
  <c r="J1038" i="2"/>
  <c r="I1038" i="2"/>
  <c r="H1038" i="2"/>
  <c r="G1038" i="2"/>
  <c r="F1038" i="2"/>
  <c r="E1038" i="2"/>
  <c r="D1038" i="2"/>
  <c r="C1038" i="2"/>
  <c r="B1038" i="2"/>
  <c r="A1038" i="2"/>
  <c r="AH1037" i="2"/>
  <c r="AG1037" i="2"/>
  <c r="AF1037" i="2"/>
  <c r="AE1037" i="2"/>
  <c r="AD1037" i="2"/>
  <c r="AC1037" i="2"/>
  <c r="AB1037" i="2"/>
  <c r="AA1037" i="2"/>
  <c r="Z1037" i="2"/>
  <c r="Y1037" i="2"/>
  <c r="X1037" i="2"/>
  <c r="W1037" i="2"/>
  <c r="V1037" i="2"/>
  <c r="U1037" i="2"/>
  <c r="T1037" i="2"/>
  <c r="S1037" i="2"/>
  <c r="R1037" i="2"/>
  <c r="Q1037" i="2"/>
  <c r="P1037" i="2"/>
  <c r="O1037" i="2"/>
  <c r="N1037" i="2"/>
  <c r="M1037" i="2"/>
  <c r="L1037" i="2"/>
  <c r="K1037" i="2"/>
  <c r="J1037" i="2"/>
  <c r="I1037" i="2"/>
  <c r="H1037" i="2"/>
  <c r="G1037" i="2"/>
  <c r="F1037" i="2"/>
  <c r="E1037" i="2"/>
  <c r="D1037" i="2"/>
  <c r="C1037" i="2"/>
  <c r="B1037" i="2"/>
  <c r="A1037" i="2"/>
  <c r="AH1036" i="2"/>
  <c r="AE1036" i="2"/>
  <c r="AD1036" i="2"/>
  <c r="AC1036" i="2"/>
  <c r="AB1036" i="2"/>
  <c r="AA1036" i="2"/>
  <c r="Z1036" i="2"/>
  <c r="Y1036" i="2"/>
  <c r="X1036" i="2"/>
  <c r="W1036" i="2"/>
  <c r="V1036" i="2"/>
  <c r="U1036" i="2"/>
  <c r="R1036" i="2"/>
  <c r="Q1036" i="2"/>
  <c r="P1036" i="2"/>
  <c r="O1036" i="2"/>
  <c r="N1036" i="2"/>
  <c r="M1036" i="2"/>
  <c r="L1036" i="2"/>
  <c r="K1036" i="2"/>
  <c r="J1036" i="2"/>
  <c r="I1036" i="2"/>
  <c r="H1036" i="2"/>
  <c r="G1036" i="2"/>
  <c r="F1036" i="2"/>
  <c r="E1036" i="2"/>
  <c r="D1036" i="2"/>
  <c r="C1036" i="2"/>
  <c r="B1036" i="2"/>
  <c r="A1036" i="2"/>
  <c r="AG1035" i="2"/>
  <c r="AF1035" i="2"/>
  <c r="AE1035" i="2"/>
  <c r="AD1035" i="2"/>
  <c r="AC1035" i="2"/>
  <c r="AB1035" i="2"/>
  <c r="AA1035" i="2"/>
  <c r="Z1035" i="2"/>
  <c r="Y1035" i="2"/>
  <c r="X1035" i="2"/>
  <c r="W1035" i="2"/>
  <c r="V1035" i="2"/>
  <c r="U1035" i="2"/>
  <c r="S1035" i="2"/>
  <c r="R1035" i="2"/>
  <c r="Q1035" i="2"/>
  <c r="P1035" i="2"/>
  <c r="O1035" i="2"/>
  <c r="N1035" i="2"/>
  <c r="M1035" i="2"/>
  <c r="L1035" i="2"/>
  <c r="K1035" i="2"/>
  <c r="J1035" i="2"/>
  <c r="I1035" i="2"/>
  <c r="H1035" i="2"/>
  <c r="G1035" i="2"/>
  <c r="F1035" i="2"/>
  <c r="E1035" i="2"/>
  <c r="D1035" i="2"/>
  <c r="C1035" i="2"/>
  <c r="B1035" i="2"/>
  <c r="A1035" i="2"/>
  <c r="AH1034" i="2"/>
  <c r="AG1034" i="2"/>
  <c r="AE1034" i="2"/>
  <c r="AD1034" i="2"/>
  <c r="AC1034" i="2"/>
  <c r="AB1034" i="2"/>
  <c r="Y1034" i="2"/>
  <c r="V1034" i="2"/>
  <c r="U1034" i="2"/>
  <c r="T1034" i="2"/>
  <c r="S1034" i="2"/>
  <c r="Q1034" i="2"/>
  <c r="P1034" i="2"/>
  <c r="O1034" i="2"/>
  <c r="N1034" i="2"/>
  <c r="M1034" i="2"/>
  <c r="L1034" i="2"/>
  <c r="K1034" i="2"/>
  <c r="J1034" i="2"/>
  <c r="I1034" i="2"/>
  <c r="H1034" i="2"/>
  <c r="G1034" i="2"/>
  <c r="F1034" i="2"/>
  <c r="E1034" i="2"/>
  <c r="D1034" i="2"/>
  <c r="C1034" i="2"/>
  <c r="B1034" i="2"/>
  <c r="A1034" i="2"/>
  <c r="AG1033" i="2"/>
  <c r="AD1033" i="2"/>
  <c r="AC1033" i="2"/>
  <c r="AB1033" i="2"/>
  <c r="AA1033" i="2"/>
  <c r="V1033" i="2"/>
  <c r="U1033" i="2"/>
  <c r="T1033" i="2"/>
  <c r="S1033" i="2"/>
  <c r="R1033" i="2"/>
  <c r="Q1033" i="2"/>
  <c r="P1033" i="2"/>
  <c r="O1033" i="2"/>
  <c r="N1033" i="2"/>
  <c r="M1033" i="2"/>
  <c r="L1033" i="2"/>
  <c r="K1033" i="2"/>
  <c r="J1033" i="2"/>
  <c r="I1033" i="2"/>
  <c r="H1033" i="2"/>
  <c r="G1033" i="2"/>
  <c r="F1033" i="2"/>
  <c r="E1033" i="2"/>
  <c r="D1033" i="2"/>
  <c r="C1033" i="2"/>
  <c r="B1033" i="2"/>
  <c r="A1033" i="2"/>
  <c r="AG1032" i="2"/>
  <c r="AE1032" i="2"/>
  <c r="AD1032" i="2"/>
  <c r="AC1032" i="2"/>
  <c r="AB1032" i="2"/>
  <c r="AA1032" i="2"/>
  <c r="X1032" i="2"/>
  <c r="V1032" i="2"/>
  <c r="U1032" i="2"/>
  <c r="T1032" i="2"/>
  <c r="S1032" i="2"/>
  <c r="R1032" i="2"/>
  <c r="Q1032" i="2"/>
  <c r="P1032" i="2"/>
  <c r="O1032" i="2"/>
  <c r="N1032" i="2"/>
  <c r="M1032" i="2"/>
  <c r="L1032" i="2"/>
  <c r="K1032" i="2"/>
  <c r="J1032" i="2"/>
  <c r="I1032" i="2"/>
  <c r="H1032" i="2"/>
  <c r="G1032" i="2"/>
  <c r="F1032" i="2"/>
  <c r="E1032" i="2"/>
  <c r="D1032" i="2"/>
  <c r="C1032" i="2"/>
  <c r="B1032" i="2"/>
  <c r="A1032" i="2"/>
  <c r="AG1031" i="2"/>
  <c r="AE1031" i="2"/>
  <c r="AD1031" i="2"/>
  <c r="AC1031" i="2"/>
  <c r="AB1031" i="2"/>
  <c r="AA1031" i="2"/>
  <c r="X1031" i="2"/>
  <c r="V1031" i="2"/>
  <c r="U1031" i="2"/>
  <c r="T1031" i="2"/>
  <c r="R1031" i="2"/>
  <c r="Q1031" i="2"/>
  <c r="P1031" i="2"/>
  <c r="O1031" i="2"/>
  <c r="N1031" i="2"/>
  <c r="M1031" i="2"/>
  <c r="L1031" i="2"/>
  <c r="K1031" i="2"/>
  <c r="J1031" i="2"/>
  <c r="I1031" i="2"/>
  <c r="H1031" i="2"/>
  <c r="G1031" i="2"/>
  <c r="F1031" i="2"/>
  <c r="E1031" i="2"/>
  <c r="D1031" i="2"/>
  <c r="C1031" i="2"/>
  <c r="B1031" i="2"/>
  <c r="A1031" i="2"/>
  <c r="AG1030" i="2"/>
  <c r="AF1030" i="2"/>
  <c r="AE1030" i="2"/>
  <c r="AD1030" i="2"/>
  <c r="AC1030" i="2"/>
  <c r="AB1030" i="2"/>
  <c r="AA1030" i="2"/>
  <c r="X1030" i="2"/>
  <c r="W1030" i="2"/>
  <c r="V1030" i="2"/>
  <c r="U1030" i="2"/>
  <c r="T1030" i="2"/>
  <c r="P1030" i="2"/>
  <c r="O1030" i="2"/>
  <c r="M1030" i="2"/>
  <c r="L1030" i="2"/>
  <c r="K1030" i="2"/>
  <c r="J1030" i="2"/>
  <c r="I1030" i="2"/>
  <c r="H1030" i="2"/>
  <c r="G1030" i="2"/>
  <c r="F1030" i="2"/>
  <c r="E1030" i="2"/>
  <c r="D1030" i="2"/>
  <c r="C1030" i="2"/>
  <c r="B1030" i="2"/>
  <c r="A1030" i="2"/>
  <c r="AG1029" i="2"/>
  <c r="AE1029" i="2"/>
  <c r="AD1029" i="2"/>
  <c r="AC1029" i="2"/>
  <c r="AB1029" i="2"/>
  <c r="AA1029" i="2"/>
  <c r="X1029" i="2"/>
  <c r="W1029" i="2"/>
  <c r="V1029" i="2"/>
  <c r="U1029" i="2"/>
  <c r="Q1029" i="2"/>
  <c r="P1029" i="2"/>
  <c r="O1029" i="2"/>
  <c r="N1029" i="2"/>
  <c r="M1029" i="2"/>
  <c r="L1029" i="2"/>
  <c r="K1029" i="2"/>
  <c r="J1029" i="2"/>
  <c r="I1029" i="2"/>
  <c r="H1029" i="2"/>
  <c r="G1029" i="2"/>
  <c r="F1029" i="2"/>
  <c r="E1029" i="2"/>
  <c r="D1029" i="2"/>
  <c r="C1029" i="2"/>
  <c r="B1029" i="2"/>
  <c r="A1029" i="2"/>
  <c r="AG1028" i="2"/>
  <c r="AF1028" i="2"/>
  <c r="AE1028" i="2"/>
  <c r="AD1028" i="2"/>
  <c r="AC1028" i="2"/>
  <c r="AB1028" i="2"/>
  <c r="AA1028" i="2"/>
  <c r="X1028" i="2"/>
  <c r="W1028" i="2"/>
  <c r="V1028" i="2"/>
  <c r="U1028" i="2"/>
  <c r="S1028" i="2"/>
  <c r="R1028" i="2"/>
  <c r="Q1028" i="2"/>
  <c r="P1028" i="2"/>
  <c r="O1028" i="2"/>
  <c r="N1028" i="2"/>
  <c r="M1028" i="2"/>
  <c r="L1028" i="2"/>
  <c r="K1028" i="2"/>
  <c r="J1028" i="2"/>
  <c r="I1028" i="2"/>
  <c r="H1028" i="2"/>
  <c r="G1028" i="2"/>
  <c r="F1028" i="2"/>
  <c r="E1028" i="2"/>
  <c r="D1028" i="2"/>
  <c r="C1028" i="2"/>
  <c r="B1028" i="2"/>
  <c r="A1028" i="2"/>
  <c r="AH1027" i="2"/>
  <c r="AG1027" i="2"/>
  <c r="AF1027" i="2"/>
  <c r="AE1027" i="2"/>
  <c r="AC1027" i="2"/>
  <c r="AB1027" i="2"/>
  <c r="AA1027" i="2"/>
  <c r="Y1027" i="2"/>
  <c r="V1027" i="2"/>
  <c r="U1027" i="2"/>
  <c r="T1027" i="2"/>
  <c r="R1027" i="2"/>
  <c r="Q1027" i="2"/>
  <c r="P1027" i="2"/>
  <c r="O1027" i="2"/>
  <c r="N1027" i="2"/>
  <c r="M1027" i="2"/>
  <c r="L1027" i="2"/>
  <c r="K1027" i="2"/>
  <c r="J1027" i="2"/>
  <c r="I1027" i="2"/>
  <c r="H1027" i="2"/>
  <c r="G1027" i="2"/>
  <c r="F1027" i="2"/>
  <c r="E1027" i="2"/>
  <c r="D1027" i="2"/>
  <c r="C1027" i="2"/>
  <c r="B1027" i="2"/>
  <c r="A1027" i="2"/>
  <c r="AH1026" i="2"/>
  <c r="AG1026" i="2"/>
  <c r="AF1026" i="2"/>
  <c r="AE1026" i="2"/>
  <c r="AD1026" i="2"/>
  <c r="AC1026" i="2"/>
  <c r="AB1026" i="2"/>
  <c r="AA1026" i="2"/>
  <c r="Y1026" i="2"/>
  <c r="X1026" i="2"/>
  <c r="W1026" i="2"/>
  <c r="V1026" i="2"/>
  <c r="U1026" i="2"/>
  <c r="T1026" i="2"/>
  <c r="S1026" i="2"/>
  <c r="N1026" i="2"/>
  <c r="M1026" i="2"/>
  <c r="L1026" i="2"/>
  <c r="K1026" i="2"/>
  <c r="J1026" i="2"/>
  <c r="I1026" i="2"/>
  <c r="H1026" i="2"/>
  <c r="G1026" i="2"/>
  <c r="F1026" i="2"/>
  <c r="E1026" i="2"/>
  <c r="D1026" i="2"/>
  <c r="C1026" i="2"/>
  <c r="B1026" i="2"/>
  <c r="A1026" i="2"/>
  <c r="AG1025" i="2"/>
  <c r="AF1025" i="2"/>
  <c r="AE1025" i="2"/>
  <c r="AD1025" i="2"/>
  <c r="AB1025" i="2"/>
  <c r="AA1025" i="2"/>
  <c r="Y1025" i="2"/>
  <c r="X1025" i="2"/>
  <c r="W1025" i="2"/>
  <c r="V1025" i="2"/>
  <c r="U1025" i="2"/>
  <c r="S1025" i="2"/>
  <c r="R1025" i="2"/>
  <c r="Q1025" i="2"/>
  <c r="P1025" i="2"/>
  <c r="O1025" i="2"/>
  <c r="N1025" i="2"/>
  <c r="M1025" i="2"/>
  <c r="L1025" i="2"/>
  <c r="K1025" i="2"/>
  <c r="J1025" i="2"/>
  <c r="I1025" i="2"/>
  <c r="H1025" i="2"/>
  <c r="G1025" i="2"/>
  <c r="F1025" i="2"/>
  <c r="E1025" i="2"/>
  <c r="D1025" i="2"/>
  <c r="C1025" i="2"/>
  <c r="B1025" i="2"/>
  <c r="A1025" i="2"/>
  <c r="AG1024" i="2"/>
  <c r="AF1024" i="2"/>
  <c r="AE1024" i="2"/>
  <c r="AD1024" i="2"/>
  <c r="AC1024" i="2"/>
  <c r="AB1024" i="2"/>
  <c r="AA1024" i="2"/>
  <c r="Y1024" i="2"/>
  <c r="X1024" i="2"/>
  <c r="W1024" i="2"/>
  <c r="V1024" i="2"/>
  <c r="U1024" i="2"/>
  <c r="T1024" i="2"/>
  <c r="R1024" i="2"/>
  <c r="Q1024" i="2"/>
  <c r="P1024" i="2"/>
  <c r="O1024" i="2"/>
  <c r="N1024" i="2"/>
  <c r="M1024" i="2"/>
  <c r="L1024" i="2"/>
  <c r="K1024" i="2"/>
  <c r="J1024" i="2"/>
  <c r="I1024" i="2"/>
  <c r="H1024" i="2"/>
  <c r="G1024" i="2"/>
  <c r="F1024" i="2"/>
  <c r="E1024" i="2"/>
  <c r="D1024" i="2"/>
  <c r="C1024" i="2"/>
  <c r="B1024" i="2"/>
  <c r="A1024" i="2"/>
  <c r="AH1023" i="2"/>
  <c r="AG1023" i="2"/>
  <c r="AE1023" i="2"/>
  <c r="AD1023" i="2"/>
  <c r="AC1023" i="2"/>
  <c r="AB1023" i="2"/>
  <c r="AA1023" i="2"/>
  <c r="X1023" i="2"/>
  <c r="V1023" i="2"/>
  <c r="U1023" i="2"/>
  <c r="T1023" i="2"/>
  <c r="S1023" i="2"/>
  <c r="R1023" i="2"/>
  <c r="Q1023" i="2"/>
  <c r="P1023" i="2"/>
  <c r="O1023" i="2"/>
  <c r="N1023" i="2"/>
  <c r="M1023" i="2"/>
  <c r="L1023" i="2"/>
  <c r="K1023" i="2"/>
  <c r="J1023" i="2"/>
  <c r="I1023" i="2"/>
  <c r="H1023" i="2"/>
  <c r="G1023" i="2"/>
  <c r="F1023" i="2"/>
  <c r="E1023" i="2"/>
  <c r="D1023" i="2"/>
  <c r="C1023" i="2"/>
  <c r="B1023" i="2"/>
  <c r="A1023" i="2"/>
  <c r="AG1022" i="2"/>
  <c r="AF1022" i="2"/>
  <c r="AE1022" i="2"/>
  <c r="AD1022" i="2"/>
  <c r="AC1022" i="2"/>
  <c r="AB1022" i="2"/>
  <c r="AA1022" i="2"/>
  <c r="Y1022" i="2"/>
  <c r="X1022" i="2"/>
  <c r="W1022" i="2"/>
  <c r="V1022" i="2"/>
  <c r="U1022" i="2"/>
  <c r="T1022" i="2"/>
  <c r="R1022" i="2"/>
  <c r="Q1022" i="2"/>
  <c r="P1022" i="2"/>
  <c r="O1022" i="2"/>
  <c r="M1022" i="2"/>
  <c r="L1022" i="2"/>
  <c r="K1022" i="2"/>
  <c r="J1022" i="2"/>
  <c r="I1022" i="2"/>
  <c r="H1022" i="2"/>
  <c r="G1022" i="2"/>
  <c r="F1022" i="2"/>
  <c r="E1022" i="2"/>
  <c r="D1022" i="2"/>
  <c r="C1022" i="2"/>
  <c r="B1022" i="2"/>
  <c r="A1022" i="2"/>
  <c r="AH1021" i="2"/>
  <c r="AG1021" i="2"/>
  <c r="AF1021" i="2"/>
  <c r="AE1021" i="2"/>
  <c r="AD1021" i="2"/>
  <c r="AC1021" i="2"/>
  <c r="AB1021" i="2"/>
  <c r="AA1021" i="2"/>
  <c r="Z1021" i="2"/>
  <c r="Y1021" i="2"/>
  <c r="X1021" i="2"/>
  <c r="W1021" i="2"/>
  <c r="V1021" i="2"/>
  <c r="U1021" i="2"/>
  <c r="T1021" i="2"/>
  <c r="S1021" i="2"/>
  <c r="R1021" i="2"/>
  <c r="Q1021" i="2"/>
  <c r="P1021" i="2"/>
  <c r="O1021" i="2"/>
  <c r="N1021" i="2"/>
  <c r="M1021" i="2"/>
  <c r="L1021" i="2"/>
  <c r="K1021" i="2"/>
  <c r="J1021" i="2"/>
  <c r="I1021" i="2"/>
  <c r="H1021" i="2"/>
  <c r="G1021" i="2"/>
  <c r="F1021" i="2"/>
  <c r="E1021" i="2"/>
  <c r="D1021" i="2"/>
  <c r="C1021" i="2"/>
  <c r="B1021" i="2"/>
  <c r="A1021" i="2"/>
  <c r="AG1020" i="2"/>
  <c r="AE1020" i="2"/>
  <c r="AD1020" i="2"/>
  <c r="AC1020" i="2"/>
  <c r="AB1020" i="2"/>
  <c r="AA1020" i="2"/>
  <c r="V1020" i="2"/>
  <c r="U1020" i="2"/>
  <c r="T1020" i="2"/>
  <c r="S1020" i="2"/>
  <c r="R1020" i="2"/>
  <c r="Q1020" i="2"/>
  <c r="P1020" i="2"/>
  <c r="O1020" i="2"/>
  <c r="N1020" i="2"/>
  <c r="M1020" i="2"/>
  <c r="L1020" i="2"/>
  <c r="K1020" i="2"/>
  <c r="J1020" i="2"/>
  <c r="I1020" i="2"/>
  <c r="H1020" i="2"/>
  <c r="G1020" i="2"/>
  <c r="F1020" i="2"/>
  <c r="E1020" i="2"/>
  <c r="D1020" i="2"/>
  <c r="C1020" i="2"/>
  <c r="B1020" i="2"/>
  <c r="A1020" i="2"/>
  <c r="AG1019" i="2"/>
  <c r="AF1019" i="2"/>
  <c r="AE1019" i="2"/>
  <c r="AD1019" i="2"/>
  <c r="AC1019" i="2"/>
  <c r="AB1019" i="2"/>
  <c r="AA1019" i="2"/>
  <c r="X1019" i="2"/>
  <c r="W1019" i="2"/>
  <c r="V1019" i="2"/>
  <c r="U1019" i="2"/>
  <c r="T1019" i="2"/>
  <c r="S1019" i="2"/>
  <c r="R1019" i="2"/>
  <c r="Q1019" i="2"/>
  <c r="P1019" i="2"/>
  <c r="O1019" i="2"/>
  <c r="N1019" i="2"/>
  <c r="M1019" i="2"/>
  <c r="L1019" i="2"/>
  <c r="K1019" i="2"/>
  <c r="J1019" i="2"/>
  <c r="I1019" i="2"/>
  <c r="H1019" i="2"/>
  <c r="G1019" i="2"/>
  <c r="F1019" i="2"/>
  <c r="E1019" i="2"/>
  <c r="D1019" i="2"/>
  <c r="C1019" i="2"/>
  <c r="B1019" i="2"/>
  <c r="A1019" i="2"/>
  <c r="AH1018" i="2"/>
  <c r="AG1018" i="2"/>
  <c r="AD1018" i="2"/>
  <c r="AC1018" i="2"/>
  <c r="AB1018" i="2"/>
  <c r="AA1018" i="2"/>
  <c r="V1018" i="2"/>
  <c r="U1018" i="2"/>
  <c r="T1018" i="2"/>
  <c r="S1018" i="2"/>
  <c r="R1018" i="2"/>
  <c r="Q1018" i="2"/>
  <c r="P1018" i="2"/>
  <c r="O1018" i="2"/>
  <c r="N1018" i="2"/>
  <c r="M1018" i="2"/>
  <c r="L1018" i="2"/>
  <c r="K1018" i="2"/>
  <c r="J1018" i="2"/>
  <c r="I1018" i="2"/>
  <c r="H1018" i="2"/>
  <c r="G1018" i="2"/>
  <c r="F1018" i="2"/>
  <c r="E1018" i="2"/>
  <c r="D1018" i="2"/>
  <c r="C1018" i="2"/>
  <c r="B1018" i="2"/>
  <c r="A1018" i="2"/>
  <c r="AG1017" i="2"/>
  <c r="AF1017" i="2"/>
  <c r="AE1017" i="2"/>
  <c r="AD1017" i="2"/>
  <c r="AC1017" i="2"/>
  <c r="AB1017" i="2"/>
  <c r="AA1017" i="2"/>
  <c r="Z1017" i="2"/>
  <c r="Y1017" i="2"/>
  <c r="X1017" i="2"/>
  <c r="W1017" i="2"/>
  <c r="V1017" i="2"/>
  <c r="U1017" i="2"/>
  <c r="T1017" i="2"/>
  <c r="S1017" i="2"/>
  <c r="R1017" i="2"/>
  <c r="Q1017" i="2"/>
  <c r="P1017" i="2"/>
  <c r="O1017" i="2"/>
  <c r="N1017" i="2"/>
  <c r="M1017" i="2"/>
  <c r="L1017" i="2"/>
  <c r="K1017" i="2"/>
  <c r="J1017" i="2"/>
  <c r="I1017" i="2"/>
  <c r="H1017" i="2"/>
  <c r="G1017" i="2"/>
  <c r="F1017" i="2"/>
  <c r="E1017" i="2"/>
  <c r="D1017" i="2"/>
  <c r="C1017" i="2"/>
  <c r="B1017" i="2"/>
  <c r="A1017" i="2"/>
  <c r="AG1016" i="2"/>
  <c r="AE1016" i="2"/>
  <c r="AD1016" i="2"/>
  <c r="AC1016" i="2"/>
  <c r="AB1016" i="2"/>
  <c r="AA1016" i="2"/>
  <c r="X1016" i="2"/>
  <c r="W1016" i="2"/>
  <c r="V1016" i="2"/>
  <c r="U1016" i="2"/>
  <c r="T1016" i="2"/>
  <c r="S1016" i="2"/>
  <c r="R1016" i="2"/>
  <c r="Q1016" i="2"/>
  <c r="P1016" i="2"/>
  <c r="O1016" i="2"/>
  <c r="N1016" i="2"/>
  <c r="M1016" i="2"/>
  <c r="L1016" i="2"/>
  <c r="K1016" i="2"/>
  <c r="J1016" i="2"/>
  <c r="I1016" i="2"/>
  <c r="H1016" i="2"/>
  <c r="G1016" i="2"/>
  <c r="F1016" i="2"/>
  <c r="E1016" i="2"/>
  <c r="D1016" i="2"/>
  <c r="C1016" i="2"/>
  <c r="B1016" i="2"/>
  <c r="A1016" i="2"/>
  <c r="AG1015" i="2"/>
  <c r="AE1015" i="2"/>
  <c r="AD1015" i="2"/>
  <c r="AC1015" i="2"/>
  <c r="AB1015" i="2"/>
  <c r="AA1015" i="2"/>
  <c r="X1015" i="2"/>
  <c r="V1015" i="2"/>
  <c r="U1015" i="2"/>
  <c r="T1015" i="2"/>
  <c r="S1015" i="2"/>
  <c r="R1015" i="2"/>
  <c r="Q1015" i="2"/>
  <c r="P1015" i="2"/>
  <c r="O1015" i="2"/>
  <c r="N1015" i="2"/>
  <c r="M1015" i="2"/>
  <c r="L1015" i="2"/>
  <c r="K1015" i="2"/>
  <c r="J1015" i="2"/>
  <c r="I1015" i="2"/>
  <c r="H1015" i="2"/>
  <c r="G1015" i="2"/>
  <c r="F1015" i="2"/>
  <c r="E1015" i="2"/>
  <c r="D1015" i="2"/>
  <c r="C1015" i="2"/>
  <c r="B1015" i="2"/>
  <c r="A1015" i="2"/>
  <c r="AH1014" i="2"/>
  <c r="AG1014" i="2"/>
  <c r="AF1014" i="2"/>
  <c r="AE1014" i="2"/>
  <c r="AC1014" i="2"/>
  <c r="AB1014" i="2"/>
  <c r="AA1014" i="2"/>
  <c r="X1014" i="2"/>
  <c r="W1014" i="2"/>
  <c r="V1014" i="2"/>
  <c r="U1014" i="2"/>
  <c r="T1014" i="2"/>
  <c r="S1014" i="2"/>
  <c r="R1014" i="2"/>
  <c r="Q1014" i="2"/>
  <c r="P1014" i="2"/>
  <c r="O1014" i="2"/>
  <c r="N1014" i="2"/>
  <c r="M1014" i="2"/>
  <c r="L1014" i="2"/>
  <c r="K1014" i="2"/>
  <c r="J1014" i="2"/>
  <c r="I1014" i="2"/>
  <c r="H1014" i="2"/>
  <c r="G1014" i="2"/>
  <c r="F1014" i="2"/>
  <c r="E1014" i="2"/>
  <c r="D1014" i="2"/>
  <c r="C1014" i="2"/>
  <c r="B1014" i="2"/>
  <c r="A1014" i="2"/>
  <c r="AG1013" i="2"/>
  <c r="AF1013" i="2"/>
  <c r="AE1013" i="2"/>
  <c r="AD1013" i="2"/>
  <c r="AC1013" i="2"/>
  <c r="AB1013" i="2"/>
  <c r="AA1013" i="2"/>
  <c r="Y1013" i="2"/>
  <c r="X1013" i="2"/>
  <c r="W1013" i="2"/>
  <c r="V1013" i="2"/>
  <c r="U1013" i="2"/>
  <c r="S1013" i="2"/>
  <c r="R1013" i="2"/>
  <c r="Q1013" i="2"/>
  <c r="P1013" i="2"/>
  <c r="O1013" i="2"/>
  <c r="N1013" i="2"/>
  <c r="M1013" i="2"/>
  <c r="L1013" i="2"/>
  <c r="K1013" i="2"/>
  <c r="J1013" i="2"/>
  <c r="I1013" i="2"/>
  <c r="H1013" i="2"/>
  <c r="G1013" i="2"/>
  <c r="F1013" i="2"/>
  <c r="E1013" i="2"/>
  <c r="D1013" i="2"/>
  <c r="C1013" i="2"/>
  <c r="B1013" i="2"/>
  <c r="A1013" i="2"/>
  <c r="AG1012" i="2"/>
  <c r="AE1012" i="2"/>
  <c r="AD1012" i="2"/>
  <c r="AC1012" i="2"/>
  <c r="AB1012" i="2"/>
  <c r="AA1012" i="2"/>
  <c r="X1012" i="2"/>
  <c r="V1012" i="2"/>
  <c r="U1012" i="2"/>
  <c r="T1012" i="2"/>
  <c r="S1012" i="2"/>
  <c r="R1012" i="2"/>
  <c r="Q1012" i="2"/>
  <c r="P1012" i="2"/>
  <c r="O1012" i="2"/>
  <c r="N1012" i="2"/>
  <c r="M1012" i="2"/>
  <c r="L1012" i="2"/>
  <c r="K1012" i="2"/>
  <c r="J1012" i="2"/>
  <c r="I1012" i="2"/>
  <c r="H1012" i="2"/>
  <c r="G1012" i="2"/>
  <c r="F1012" i="2"/>
  <c r="E1012" i="2"/>
  <c r="D1012" i="2"/>
  <c r="C1012" i="2"/>
  <c r="B1012" i="2"/>
  <c r="A1012" i="2"/>
  <c r="AH1011" i="2"/>
  <c r="AG1011" i="2"/>
  <c r="AF1011" i="2"/>
  <c r="AE1011" i="2"/>
  <c r="AD1011" i="2"/>
  <c r="AC1011" i="2"/>
  <c r="AB1011" i="2"/>
  <c r="AA1011" i="2"/>
  <c r="Y1011" i="2"/>
  <c r="X1011" i="2"/>
  <c r="W1011" i="2"/>
  <c r="V1011" i="2"/>
  <c r="U1011" i="2"/>
  <c r="T1011" i="2"/>
  <c r="R1011" i="2"/>
  <c r="Q1011" i="2"/>
  <c r="P1011" i="2"/>
  <c r="O1011" i="2"/>
  <c r="N1011" i="2"/>
  <c r="M1011" i="2"/>
  <c r="L1011" i="2"/>
  <c r="K1011" i="2"/>
  <c r="J1011" i="2"/>
  <c r="I1011" i="2"/>
  <c r="H1011" i="2"/>
  <c r="G1011" i="2"/>
  <c r="F1011" i="2"/>
  <c r="E1011" i="2"/>
  <c r="D1011" i="2"/>
  <c r="C1011" i="2"/>
  <c r="B1011" i="2"/>
  <c r="A1011" i="2"/>
  <c r="AG1010" i="2"/>
  <c r="AE1010" i="2"/>
  <c r="AD1010" i="2"/>
  <c r="AC1010" i="2"/>
  <c r="AB1010" i="2"/>
  <c r="AA1010" i="2"/>
  <c r="X1010" i="2"/>
  <c r="V1010" i="2"/>
  <c r="U1010" i="2"/>
  <c r="T1010" i="2"/>
  <c r="R1010" i="2"/>
  <c r="Q1010" i="2"/>
  <c r="P1010" i="2"/>
  <c r="O1010" i="2"/>
  <c r="N1010" i="2"/>
  <c r="M1010" i="2"/>
  <c r="L1010" i="2"/>
  <c r="K1010" i="2"/>
  <c r="J1010" i="2"/>
  <c r="I1010" i="2"/>
  <c r="H1010" i="2"/>
  <c r="G1010" i="2"/>
  <c r="F1010" i="2"/>
  <c r="E1010" i="2"/>
  <c r="D1010" i="2"/>
  <c r="C1010" i="2"/>
  <c r="B1010" i="2"/>
  <c r="A1010" i="2"/>
  <c r="AG1009" i="2"/>
  <c r="AE1009" i="2"/>
  <c r="AD1009" i="2"/>
  <c r="AC1009" i="2"/>
  <c r="AB1009" i="2"/>
  <c r="AA1009" i="2"/>
  <c r="X1009" i="2"/>
  <c r="V1009" i="2"/>
  <c r="U1009" i="2"/>
  <c r="T1009" i="2"/>
  <c r="S1009" i="2"/>
  <c r="R1009" i="2"/>
  <c r="Q1009" i="2"/>
  <c r="P1009" i="2"/>
  <c r="O1009" i="2"/>
  <c r="N1009" i="2"/>
  <c r="M1009" i="2"/>
  <c r="L1009" i="2"/>
  <c r="K1009" i="2"/>
  <c r="J1009" i="2"/>
  <c r="I1009" i="2"/>
  <c r="H1009" i="2"/>
  <c r="G1009" i="2"/>
  <c r="F1009" i="2"/>
  <c r="E1009" i="2"/>
  <c r="D1009" i="2"/>
  <c r="C1009" i="2"/>
  <c r="B1009" i="2"/>
  <c r="A1009" i="2"/>
  <c r="AG1008" i="2"/>
  <c r="AE1008" i="2"/>
  <c r="AD1008" i="2"/>
  <c r="AC1008" i="2"/>
  <c r="AB1008" i="2"/>
  <c r="AA1008" i="2"/>
  <c r="V1008" i="2"/>
  <c r="U1008" i="2"/>
  <c r="T1008" i="2"/>
  <c r="S1008" i="2"/>
  <c r="R1008" i="2"/>
  <c r="Q1008" i="2"/>
  <c r="P1008" i="2"/>
  <c r="O1008" i="2"/>
  <c r="N1008" i="2"/>
  <c r="M1008" i="2"/>
  <c r="L1008" i="2"/>
  <c r="K1008" i="2"/>
  <c r="J1008" i="2"/>
  <c r="I1008" i="2"/>
  <c r="H1008" i="2"/>
  <c r="G1008" i="2"/>
  <c r="F1008" i="2"/>
  <c r="E1008" i="2"/>
  <c r="D1008" i="2"/>
  <c r="C1008" i="2"/>
  <c r="B1008" i="2"/>
  <c r="A1008" i="2"/>
  <c r="AG1007" i="2"/>
  <c r="AF1007" i="2"/>
  <c r="AE1007" i="2"/>
  <c r="AD1007" i="2"/>
  <c r="AC1007" i="2"/>
  <c r="AB1007" i="2"/>
  <c r="AA1007" i="2"/>
  <c r="Y1007" i="2"/>
  <c r="X1007" i="2"/>
  <c r="W1007" i="2"/>
  <c r="V1007" i="2"/>
  <c r="U1007" i="2"/>
  <c r="T1007" i="2"/>
  <c r="S1007" i="2"/>
  <c r="R1007" i="2"/>
  <c r="Q1007" i="2"/>
  <c r="P1007" i="2"/>
  <c r="O1007" i="2"/>
  <c r="N1007" i="2"/>
  <c r="M1007" i="2"/>
  <c r="L1007" i="2"/>
  <c r="K1007" i="2"/>
  <c r="J1007" i="2"/>
  <c r="I1007" i="2"/>
  <c r="H1007" i="2"/>
  <c r="G1007" i="2"/>
  <c r="F1007" i="2"/>
  <c r="E1007" i="2"/>
  <c r="D1007" i="2"/>
  <c r="C1007" i="2"/>
  <c r="B1007" i="2"/>
  <c r="A1007" i="2"/>
  <c r="AH1006" i="2"/>
  <c r="AG1006" i="2"/>
  <c r="AF1006" i="2"/>
  <c r="AE1006" i="2"/>
  <c r="AD1006" i="2"/>
  <c r="AC1006" i="2"/>
  <c r="AB1006" i="2"/>
  <c r="AA1006" i="2"/>
  <c r="Y1006" i="2"/>
  <c r="X1006" i="2"/>
  <c r="W1006" i="2"/>
  <c r="V1006" i="2"/>
  <c r="U1006" i="2"/>
  <c r="T1006" i="2"/>
  <c r="Q1006" i="2"/>
  <c r="P1006" i="2"/>
  <c r="O1006" i="2"/>
  <c r="N1006" i="2"/>
  <c r="M1006" i="2"/>
  <c r="L1006" i="2"/>
  <c r="K1006" i="2"/>
  <c r="J1006" i="2"/>
  <c r="I1006" i="2"/>
  <c r="H1006" i="2"/>
  <c r="G1006" i="2"/>
  <c r="F1006" i="2"/>
  <c r="E1006" i="2"/>
  <c r="D1006" i="2"/>
  <c r="C1006" i="2"/>
  <c r="B1006" i="2"/>
  <c r="A1006" i="2"/>
  <c r="AH1005" i="2"/>
  <c r="AG1005" i="2"/>
  <c r="AF1005" i="2"/>
  <c r="AE1005" i="2"/>
  <c r="AD1005" i="2"/>
  <c r="AC1005" i="2"/>
  <c r="AB1005" i="2"/>
  <c r="AA1005" i="2"/>
  <c r="Y1005" i="2"/>
  <c r="X1005" i="2"/>
  <c r="W1005" i="2"/>
  <c r="V1005" i="2"/>
  <c r="U1005" i="2"/>
  <c r="T1005" i="2"/>
  <c r="S1005" i="2"/>
  <c r="R1005" i="2"/>
  <c r="Q1005" i="2"/>
  <c r="P1005" i="2"/>
  <c r="O1005" i="2"/>
  <c r="N1005" i="2"/>
  <c r="M1005" i="2"/>
  <c r="L1005" i="2"/>
  <c r="J1005" i="2"/>
  <c r="I1005" i="2"/>
  <c r="H1005" i="2"/>
  <c r="G1005" i="2"/>
  <c r="F1005" i="2"/>
  <c r="E1005" i="2"/>
  <c r="D1005" i="2"/>
  <c r="C1005" i="2"/>
  <c r="B1005" i="2"/>
  <c r="A1005" i="2"/>
  <c r="AH1004" i="2"/>
  <c r="AG1004" i="2"/>
  <c r="AF1004" i="2"/>
  <c r="AE1004" i="2"/>
  <c r="AC1004" i="2"/>
  <c r="AB1004" i="2"/>
  <c r="AA1004" i="2"/>
  <c r="Y1004" i="2"/>
  <c r="X1004" i="2"/>
  <c r="W1004" i="2"/>
  <c r="V1004" i="2"/>
  <c r="U1004" i="2"/>
  <c r="S1004" i="2"/>
  <c r="R1004" i="2"/>
  <c r="Q1004" i="2"/>
  <c r="P1004" i="2"/>
  <c r="O1004" i="2"/>
  <c r="N1004" i="2"/>
  <c r="M1004" i="2"/>
  <c r="L1004" i="2"/>
  <c r="K1004" i="2"/>
  <c r="J1004" i="2"/>
  <c r="I1004" i="2"/>
  <c r="H1004" i="2"/>
  <c r="G1004" i="2"/>
  <c r="F1004" i="2"/>
  <c r="E1004" i="2"/>
  <c r="D1004" i="2"/>
  <c r="C1004" i="2"/>
  <c r="B1004" i="2"/>
  <c r="A1004" i="2"/>
  <c r="AH1003" i="2"/>
  <c r="AG1003" i="2"/>
  <c r="AF1003" i="2"/>
  <c r="AC1003" i="2"/>
  <c r="AB1003" i="2"/>
  <c r="AA1003" i="2"/>
  <c r="Y1003" i="2"/>
  <c r="X1003" i="2"/>
  <c r="V1003" i="2"/>
  <c r="U1003" i="2"/>
  <c r="T1003" i="2"/>
  <c r="S1003" i="2"/>
  <c r="R1003" i="2"/>
  <c r="Q1003" i="2"/>
  <c r="P1003" i="2"/>
  <c r="O1003" i="2"/>
  <c r="N1003" i="2"/>
  <c r="M1003" i="2"/>
  <c r="L1003" i="2"/>
  <c r="K1003" i="2"/>
  <c r="J1003" i="2"/>
  <c r="I1003" i="2"/>
  <c r="H1003" i="2"/>
  <c r="G1003" i="2"/>
  <c r="F1003" i="2"/>
  <c r="E1003" i="2"/>
  <c r="D1003" i="2"/>
  <c r="C1003" i="2"/>
  <c r="B1003" i="2"/>
  <c r="A1003" i="2"/>
  <c r="AG1002" i="2"/>
  <c r="AF1002" i="2"/>
  <c r="AE1002" i="2"/>
  <c r="AD1002" i="2"/>
  <c r="AC1002" i="2"/>
  <c r="AB1002" i="2"/>
  <c r="AA1002" i="2"/>
  <c r="Y1002" i="2"/>
  <c r="X1002" i="2"/>
  <c r="W1002" i="2"/>
  <c r="V1002" i="2"/>
  <c r="U1002" i="2"/>
  <c r="T1002" i="2"/>
  <c r="S1002" i="2"/>
  <c r="R1002" i="2"/>
  <c r="Q1002" i="2"/>
  <c r="P1002" i="2"/>
  <c r="O1002" i="2"/>
  <c r="N1002" i="2"/>
  <c r="M1002" i="2"/>
  <c r="L1002" i="2"/>
  <c r="K1002" i="2"/>
  <c r="J1002" i="2"/>
  <c r="I1002" i="2"/>
  <c r="H1002" i="2"/>
  <c r="G1002" i="2"/>
  <c r="F1002" i="2"/>
  <c r="E1002" i="2"/>
  <c r="D1002" i="2"/>
  <c r="C1002" i="2"/>
  <c r="B1002" i="2"/>
  <c r="A1002" i="2"/>
  <c r="AG1001" i="2"/>
  <c r="AE1001" i="2"/>
  <c r="AD1001" i="2"/>
  <c r="AB1001" i="2"/>
  <c r="AA1001" i="2"/>
  <c r="V1001" i="2"/>
  <c r="U1001" i="2"/>
  <c r="T1001" i="2"/>
  <c r="R1001" i="2"/>
  <c r="Q1001" i="2"/>
  <c r="P1001" i="2"/>
  <c r="O1001" i="2"/>
  <c r="N1001" i="2"/>
  <c r="M1001" i="2"/>
  <c r="L1001" i="2"/>
  <c r="K1001" i="2"/>
  <c r="J1001" i="2"/>
  <c r="I1001" i="2"/>
  <c r="H1001" i="2"/>
  <c r="G1001" i="2"/>
  <c r="F1001" i="2"/>
  <c r="E1001" i="2"/>
  <c r="D1001" i="2"/>
  <c r="C1001" i="2"/>
  <c r="B1001" i="2"/>
  <c r="A1001" i="2"/>
  <c r="AG1000" i="2"/>
  <c r="AE1000" i="2"/>
  <c r="AD1000" i="2"/>
  <c r="AC1000" i="2"/>
  <c r="AB1000" i="2"/>
  <c r="AA1000" i="2"/>
  <c r="V1000" i="2"/>
  <c r="U1000" i="2"/>
  <c r="T1000" i="2"/>
  <c r="S1000" i="2"/>
  <c r="R1000" i="2"/>
  <c r="Q1000" i="2"/>
  <c r="P1000" i="2"/>
  <c r="O1000" i="2"/>
  <c r="N1000" i="2"/>
  <c r="M1000" i="2"/>
  <c r="L1000" i="2"/>
  <c r="K1000" i="2"/>
  <c r="J1000" i="2"/>
  <c r="I1000" i="2"/>
  <c r="H1000" i="2"/>
  <c r="G1000" i="2"/>
  <c r="F1000" i="2"/>
  <c r="E1000" i="2"/>
  <c r="D1000" i="2"/>
  <c r="C1000" i="2"/>
  <c r="B1000" i="2"/>
  <c r="A1000" i="2"/>
  <c r="AG999" i="2"/>
  <c r="AE999" i="2"/>
  <c r="AD999" i="2"/>
  <c r="AC999" i="2"/>
  <c r="AB999" i="2"/>
  <c r="AA999" i="2"/>
  <c r="X999" i="2"/>
  <c r="V999" i="2"/>
  <c r="U999" i="2"/>
  <c r="T999" i="2"/>
  <c r="S999" i="2"/>
  <c r="R999" i="2"/>
  <c r="Q999" i="2"/>
  <c r="P999" i="2"/>
  <c r="O999" i="2"/>
  <c r="N999" i="2"/>
  <c r="M999" i="2"/>
  <c r="L999" i="2"/>
  <c r="K999" i="2"/>
  <c r="J999" i="2"/>
  <c r="I999" i="2"/>
  <c r="H999" i="2"/>
  <c r="G999" i="2"/>
  <c r="F999" i="2"/>
  <c r="E999" i="2"/>
  <c r="D999" i="2"/>
  <c r="C999" i="2"/>
  <c r="B999" i="2"/>
  <c r="A999" i="2"/>
  <c r="AH998" i="2"/>
  <c r="AG998" i="2"/>
  <c r="AE998" i="2"/>
  <c r="AC998" i="2"/>
  <c r="AB998" i="2"/>
  <c r="AA998" i="2"/>
  <c r="Y998" i="2"/>
  <c r="V998" i="2"/>
  <c r="U998" i="2"/>
  <c r="T998" i="2"/>
  <c r="S998" i="2"/>
  <c r="R998" i="2"/>
  <c r="Q998" i="2"/>
  <c r="P998" i="2"/>
  <c r="O998" i="2"/>
  <c r="N998" i="2"/>
  <c r="M998" i="2"/>
  <c r="L998" i="2"/>
  <c r="K998" i="2"/>
  <c r="J998" i="2"/>
  <c r="I998" i="2"/>
  <c r="H998" i="2"/>
  <c r="G998" i="2"/>
  <c r="F998" i="2"/>
  <c r="E998" i="2"/>
  <c r="D998" i="2"/>
  <c r="C998" i="2"/>
  <c r="B998" i="2"/>
  <c r="A998" i="2"/>
  <c r="AH997" i="2"/>
  <c r="AG997" i="2"/>
  <c r="AE997" i="2"/>
  <c r="AD997" i="2"/>
  <c r="AC997" i="2"/>
  <c r="AB997" i="2"/>
  <c r="AA997" i="2"/>
  <c r="X997" i="2"/>
  <c r="W997" i="2"/>
  <c r="V997" i="2"/>
  <c r="U997" i="2"/>
  <c r="T997" i="2"/>
  <c r="S997" i="2"/>
  <c r="R997" i="2"/>
  <c r="Q997" i="2"/>
  <c r="P997" i="2"/>
  <c r="O997" i="2"/>
  <c r="N997" i="2"/>
  <c r="M997" i="2"/>
  <c r="L997" i="2"/>
  <c r="K997" i="2"/>
  <c r="J997" i="2"/>
  <c r="I997" i="2"/>
  <c r="H997" i="2"/>
  <c r="G997" i="2"/>
  <c r="F997" i="2"/>
  <c r="E997" i="2"/>
  <c r="D997" i="2"/>
  <c r="C997" i="2"/>
  <c r="B997" i="2"/>
  <c r="A997" i="2"/>
  <c r="AG996" i="2"/>
  <c r="AF996" i="2"/>
  <c r="AE996" i="2"/>
  <c r="AD996" i="2"/>
  <c r="AC996" i="2"/>
  <c r="AB996" i="2"/>
  <c r="AA996" i="2"/>
  <c r="Y996" i="2"/>
  <c r="X996" i="2"/>
  <c r="W996" i="2"/>
  <c r="V996" i="2"/>
  <c r="U996" i="2"/>
  <c r="T996" i="2"/>
  <c r="R996" i="2"/>
  <c r="Q996" i="2"/>
  <c r="P996" i="2"/>
  <c r="O996" i="2"/>
  <c r="N996" i="2"/>
  <c r="M996" i="2"/>
  <c r="L996" i="2"/>
  <c r="K996" i="2"/>
  <c r="J996" i="2"/>
  <c r="I996" i="2"/>
  <c r="H996" i="2"/>
  <c r="G996" i="2"/>
  <c r="F996" i="2"/>
  <c r="E996" i="2"/>
  <c r="D996" i="2"/>
  <c r="C996" i="2"/>
  <c r="B996" i="2"/>
  <c r="A996" i="2"/>
  <c r="AH995" i="2"/>
  <c r="AG995" i="2"/>
  <c r="AD995" i="2"/>
  <c r="AB995" i="2"/>
  <c r="AA995" i="2"/>
  <c r="Y995" i="2"/>
  <c r="X995" i="2"/>
  <c r="V995" i="2"/>
  <c r="U995" i="2"/>
  <c r="T995" i="2"/>
  <c r="S995" i="2"/>
  <c r="R995" i="2"/>
  <c r="Q995" i="2"/>
  <c r="P995" i="2"/>
  <c r="O995" i="2"/>
  <c r="N995" i="2"/>
  <c r="M995" i="2"/>
  <c r="L995" i="2"/>
  <c r="K995" i="2"/>
  <c r="J995" i="2"/>
  <c r="I995" i="2"/>
  <c r="H995" i="2"/>
  <c r="G995" i="2"/>
  <c r="F995" i="2"/>
  <c r="E995" i="2"/>
  <c r="D995" i="2"/>
  <c r="C995" i="2"/>
  <c r="B995" i="2"/>
  <c r="A995" i="2"/>
  <c r="AG994" i="2"/>
  <c r="AE994" i="2"/>
  <c r="AD994" i="2"/>
  <c r="AC994" i="2"/>
  <c r="AB994" i="2"/>
  <c r="AA994" i="2"/>
  <c r="X994" i="2"/>
  <c r="V994" i="2"/>
  <c r="U994" i="2"/>
  <c r="T994" i="2"/>
  <c r="S994" i="2"/>
  <c r="R994" i="2"/>
  <c r="Q994" i="2"/>
  <c r="P994" i="2"/>
  <c r="O994" i="2"/>
  <c r="N994" i="2"/>
  <c r="M994" i="2"/>
  <c r="L994" i="2"/>
  <c r="K994" i="2"/>
  <c r="J994" i="2"/>
  <c r="I994" i="2"/>
  <c r="H994" i="2"/>
  <c r="G994" i="2"/>
  <c r="F994" i="2"/>
  <c r="E994" i="2"/>
  <c r="D994" i="2"/>
  <c r="C994" i="2"/>
  <c r="B994" i="2"/>
  <c r="A994" i="2"/>
  <c r="AH993" i="2"/>
  <c r="AG993" i="2"/>
  <c r="AE993" i="2"/>
  <c r="AD993" i="2"/>
  <c r="AC993" i="2"/>
  <c r="AB993" i="2"/>
  <c r="AA993" i="2"/>
  <c r="Y993" i="2"/>
  <c r="X993" i="2"/>
  <c r="W993" i="2"/>
  <c r="V993" i="2"/>
  <c r="U993" i="2"/>
  <c r="T993" i="2"/>
  <c r="S993" i="2"/>
  <c r="R993" i="2"/>
  <c r="Q993" i="2"/>
  <c r="P993" i="2"/>
  <c r="O993" i="2"/>
  <c r="N993" i="2"/>
  <c r="M993" i="2"/>
  <c r="L993" i="2"/>
  <c r="K993" i="2"/>
  <c r="J993" i="2"/>
  <c r="I993" i="2"/>
  <c r="H993" i="2"/>
  <c r="G993" i="2"/>
  <c r="F993" i="2"/>
  <c r="E993" i="2"/>
  <c r="D993" i="2"/>
  <c r="C993" i="2"/>
  <c r="B993" i="2"/>
  <c r="A993" i="2"/>
  <c r="AH992" i="2"/>
  <c r="AG992" i="2"/>
  <c r="AF992" i="2"/>
  <c r="AE992" i="2"/>
  <c r="AD992" i="2"/>
  <c r="AC992" i="2"/>
  <c r="AB992" i="2"/>
  <c r="AA992" i="2"/>
  <c r="Y992" i="2"/>
  <c r="X992" i="2"/>
  <c r="W992" i="2"/>
  <c r="V992" i="2"/>
  <c r="U992" i="2"/>
  <c r="T992" i="2"/>
  <c r="S992" i="2"/>
  <c r="R992" i="2"/>
  <c r="Q992" i="2"/>
  <c r="P992" i="2"/>
  <c r="O992" i="2"/>
  <c r="N992" i="2"/>
  <c r="M992" i="2"/>
  <c r="L992" i="2"/>
  <c r="K992" i="2"/>
  <c r="J992" i="2"/>
  <c r="I992" i="2"/>
  <c r="H992" i="2"/>
  <c r="G992" i="2"/>
  <c r="F992" i="2"/>
  <c r="E992" i="2"/>
  <c r="D992" i="2"/>
  <c r="C992" i="2"/>
  <c r="B992" i="2"/>
  <c r="A992" i="2"/>
  <c r="AG991" i="2"/>
  <c r="AE991" i="2"/>
  <c r="AC991" i="2"/>
  <c r="AB991" i="2"/>
  <c r="AA991" i="2"/>
  <c r="Y991" i="2"/>
  <c r="X991" i="2"/>
  <c r="V991" i="2"/>
  <c r="U991" i="2"/>
  <c r="T991" i="2"/>
  <c r="R991" i="2"/>
  <c r="Q991" i="2"/>
  <c r="P991" i="2"/>
  <c r="O991" i="2"/>
  <c r="N991" i="2"/>
  <c r="M991" i="2"/>
  <c r="L991" i="2"/>
  <c r="K991" i="2"/>
  <c r="J991" i="2"/>
  <c r="I991" i="2"/>
  <c r="H991" i="2"/>
  <c r="G991" i="2"/>
  <c r="F991" i="2"/>
  <c r="E991" i="2"/>
  <c r="D991" i="2"/>
  <c r="C991" i="2"/>
  <c r="B991" i="2"/>
  <c r="A991" i="2"/>
  <c r="AG990" i="2"/>
  <c r="AF990" i="2"/>
  <c r="AE990" i="2"/>
  <c r="AD990" i="2"/>
  <c r="AC990" i="2"/>
  <c r="AB990" i="2"/>
  <c r="AA990" i="2"/>
  <c r="Y990" i="2"/>
  <c r="X990" i="2"/>
  <c r="V990" i="2"/>
  <c r="U990" i="2"/>
  <c r="T990" i="2"/>
  <c r="S990" i="2"/>
  <c r="R990" i="2"/>
  <c r="Q990" i="2"/>
  <c r="P990" i="2"/>
  <c r="O990" i="2"/>
  <c r="N990" i="2"/>
  <c r="M990" i="2"/>
  <c r="L990" i="2"/>
  <c r="K990" i="2"/>
  <c r="J990" i="2"/>
  <c r="I990" i="2"/>
  <c r="H990" i="2"/>
  <c r="G990" i="2"/>
  <c r="F990" i="2"/>
  <c r="E990" i="2"/>
  <c r="D990" i="2"/>
  <c r="C990" i="2"/>
  <c r="B990" i="2"/>
  <c r="A990" i="2"/>
  <c r="AG989" i="2"/>
  <c r="AE989" i="2"/>
  <c r="AD989" i="2"/>
  <c r="AC989" i="2"/>
  <c r="AB989" i="2"/>
  <c r="AA989" i="2"/>
  <c r="Y989" i="2"/>
  <c r="X989" i="2"/>
  <c r="W989" i="2"/>
  <c r="V989" i="2"/>
  <c r="U989" i="2"/>
  <c r="T989" i="2"/>
  <c r="S989" i="2"/>
  <c r="R989" i="2"/>
  <c r="Q989" i="2"/>
  <c r="P989" i="2"/>
  <c r="O989" i="2"/>
  <c r="N989" i="2"/>
  <c r="M989" i="2"/>
  <c r="L989" i="2"/>
  <c r="K989" i="2"/>
  <c r="J989" i="2"/>
  <c r="I989" i="2"/>
  <c r="H989" i="2"/>
  <c r="G989" i="2"/>
  <c r="F989" i="2"/>
  <c r="E989" i="2"/>
  <c r="D989" i="2"/>
  <c r="C989" i="2"/>
  <c r="B989" i="2"/>
  <c r="A989" i="2"/>
  <c r="AG988" i="2"/>
  <c r="AE988" i="2"/>
  <c r="AD988" i="2"/>
  <c r="AC988" i="2"/>
  <c r="AB988" i="2"/>
  <c r="AA988" i="2"/>
  <c r="X988" i="2"/>
  <c r="V988" i="2"/>
  <c r="U988" i="2"/>
  <c r="S988" i="2"/>
  <c r="R988" i="2"/>
  <c r="Q988" i="2"/>
  <c r="P988" i="2"/>
  <c r="O988" i="2"/>
  <c r="N988" i="2"/>
  <c r="M988" i="2"/>
  <c r="L988" i="2"/>
  <c r="K988" i="2"/>
  <c r="J988" i="2"/>
  <c r="I988" i="2"/>
  <c r="H988" i="2"/>
  <c r="G988" i="2"/>
  <c r="F988" i="2"/>
  <c r="E988" i="2"/>
  <c r="D988" i="2"/>
  <c r="C988" i="2"/>
  <c r="B988" i="2"/>
  <c r="A988" i="2"/>
  <c r="AG987" i="2"/>
  <c r="AE987" i="2"/>
  <c r="AD987" i="2"/>
  <c r="AC987" i="2"/>
  <c r="AB987" i="2"/>
  <c r="AA987" i="2"/>
  <c r="X987" i="2"/>
  <c r="W987" i="2"/>
  <c r="V987" i="2"/>
  <c r="U987" i="2"/>
  <c r="T987" i="2"/>
  <c r="S987" i="2"/>
  <c r="R987" i="2"/>
  <c r="Q987" i="2"/>
  <c r="P987" i="2"/>
  <c r="O987" i="2"/>
  <c r="M987" i="2"/>
  <c r="L987" i="2"/>
  <c r="K987" i="2"/>
  <c r="J987" i="2"/>
  <c r="I987" i="2"/>
  <c r="H987" i="2"/>
  <c r="G987" i="2"/>
  <c r="F987" i="2"/>
  <c r="E987" i="2"/>
  <c r="D987" i="2"/>
  <c r="C987" i="2"/>
  <c r="B987" i="2"/>
  <c r="A987" i="2"/>
  <c r="AG986" i="2"/>
  <c r="AF986" i="2"/>
  <c r="AE986" i="2"/>
  <c r="AD986" i="2"/>
  <c r="AC986" i="2"/>
  <c r="AB986" i="2"/>
  <c r="AA986" i="2"/>
  <c r="Z986" i="2"/>
  <c r="Y986" i="2"/>
  <c r="X986" i="2"/>
  <c r="W986" i="2"/>
  <c r="V986" i="2"/>
  <c r="U986" i="2"/>
  <c r="T986" i="2"/>
  <c r="S986" i="2"/>
  <c r="R986" i="2"/>
  <c r="Q986" i="2"/>
  <c r="P986" i="2"/>
  <c r="O986" i="2"/>
  <c r="N986" i="2"/>
  <c r="M986" i="2"/>
  <c r="L986" i="2"/>
  <c r="K986" i="2"/>
  <c r="J986" i="2"/>
  <c r="I986" i="2"/>
  <c r="H986" i="2"/>
  <c r="G986" i="2"/>
  <c r="F986" i="2"/>
  <c r="E986" i="2"/>
  <c r="D986" i="2"/>
  <c r="C986" i="2"/>
  <c r="B986" i="2"/>
  <c r="A986" i="2"/>
  <c r="AG985" i="2"/>
  <c r="AD985" i="2"/>
  <c r="AC985" i="2"/>
  <c r="AB985" i="2"/>
  <c r="AA985" i="2"/>
  <c r="X985" i="2"/>
  <c r="V985" i="2"/>
  <c r="U985" i="2"/>
  <c r="T985" i="2"/>
  <c r="S985" i="2"/>
  <c r="R985" i="2"/>
  <c r="Q985" i="2"/>
  <c r="P985" i="2"/>
  <c r="O985" i="2"/>
  <c r="N985" i="2"/>
  <c r="M985" i="2"/>
  <c r="L985" i="2"/>
  <c r="K985" i="2"/>
  <c r="J985" i="2"/>
  <c r="I985" i="2"/>
  <c r="H985" i="2"/>
  <c r="G985" i="2"/>
  <c r="F985" i="2"/>
  <c r="E985" i="2"/>
  <c r="D985" i="2"/>
  <c r="C985" i="2"/>
  <c r="B985" i="2"/>
  <c r="A985" i="2"/>
  <c r="AG984" i="2"/>
  <c r="AE984" i="2"/>
  <c r="AD984" i="2"/>
  <c r="AC984" i="2"/>
  <c r="AB984" i="2"/>
  <c r="AA984" i="2"/>
  <c r="X984" i="2"/>
  <c r="V984" i="2"/>
  <c r="U984" i="2"/>
  <c r="T984" i="2"/>
  <c r="S984" i="2"/>
  <c r="R984" i="2"/>
  <c r="Q984" i="2"/>
  <c r="P984" i="2"/>
  <c r="O984" i="2"/>
  <c r="N984" i="2"/>
  <c r="M984" i="2"/>
  <c r="L984" i="2"/>
  <c r="K984" i="2"/>
  <c r="J984" i="2"/>
  <c r="I984" i="2"/>
  <c r="H984" i="2"/>
  <c r="G984" i="2"/>
  <c r="F984" i="2"/>
  <c r="E984" i="2"/>
  <c r="D984" i="2"/>
  <c r="C984" i="2"/>
  <c r="B984" i="2"/>
  <c r="A984" i="2"/>
  <c r="AG983" i="2"/>
  <c r="AD983" i="2"/>
  <c r="AC983" i="2"/>
  <c r="AB983" i="2"/>
  <c r="AA983" i="2"/>
  <c r="X983" i="2"/>
  <c r="V983" i="2"/>
  <c r="U983" i="2"/>
  <c r="T983" i="2"/>
  <c r="S983" i="2"/>
  <c r="R983" i="2"/>
  <c r="Q983" i="2"/>
  <c r="P983" i="2"/>
  <c r="O983" i="2"/>
  <c r="N983" i="2"/>
  <c r="M983" i="2"/>
  <c r="L983" i="2"/>
  <c r="K983" i="2"/>
  <c r="J983" i="2"/>
  <c r="I983" i="2"/>
  <c r="H983" i="2"/>
  <c r="G983" i="2"/>
  <c r="F983" i="2"/>
  <c r="E983" i="2"/>
  <c r="D983" i="2"/>
  <c r="C983" i="2"/>
  <c r="B983" i="2"/>
  <c r="A983" i="2"/>
  <c r="AH982" i="2"/>
  <c r="AG982" i="2"/>
  <c r="AF982" i="2"/>
  <c r="AE982" i="2"/>
  <c r="AD982" i="2"/>
  <c r="AC982" i="2"/>
  <c r="AB982" i="2"/>
  <c r="AA982" i="2"/>
  <c r="Z982" i="2"/>
  <c r="Y982" i="2"/>
  <c r="V982" i="2"/>
  <c r="U982" i="2"/>
  <c r="T982" i="2"/>
  <c r="S982" i="2"/>
  <c r="R982" i="2"/>
  <c r="Q982" i="2"/>
  <c r="P982" i="2"/>
  <c r="O982" i="2"/>
  <c r="N982" i="2"/>
  <c r="M982" i="2"/>
  <c r="L982" i="2"/>
  <c r="K982" i="2"/>
  <c r="J982" i="2"/>
  <c r="I982" i="2"/>
  <c r="H982" i="2"/>
  <c r="G982" i="2"/>
  <c r="F982" i="2"/>
  <c r="E982" i="2"/>
  <c r="D982" i="2"/>
  <c r="C982" i="2"/>
  <c r="B982" i="2"/>
  <c r="A982" i="2"/>
  <c r="AG981" i="2"/>
  <c r="AD981" i="2"/>
  <c r="AC981" i="2"/>
  <c r="AB981" i="2"/>
  <c r="AA981" i="2"/>
  <c r="Y981" i="2"/>
  <c r="V981" i="2"/>
  <c r="U981" i="2"/>
  <c r="T981" i="2"/>
  <c r="S981" i="2"/>
  <c r="R981" i="2"/>
  <c r="Q981" i="2"/>
  <c r="P981" i="2"/>
  <c r="O981" i="2"/>
  <c r="N981" i="2"/>
  <c r="M981" i="2"/>
  <c r="L981" i="2"/>
  <c r="K981" i="2"/>
  <c r="J981" i="2"/>
  <c r="I981" i="2"/>
  <c r="H981" i="2"/>
  <c r="G981" i="2"/>
  <c r="F981" i="2"/>
  <c r="E981" i="2"/>
  <c r="D981" i="2"/>
  <c r="C981" i="2"/>
  <c r="B981" i="2"/>
  <c r="A981" i="2"/>
  <c r="AG980" i="2"/>
  <c r="AD980" i="2"/>
  <c r="AB980" i="2"/>
  <c r="AA980" i="2"/>
  <c r="X980" i="2"/>
  <c r="V980" i="2"/>
  <c r="U980" i="2"/>
  <c r="T980" i="2"/>
  <c r="S980" i="2"/>
  <c r="R980" i="2"/>
  <c r="Q980" i="2"/>
  <c r="P980" i="2"/>
  <c r="O980" i="2"/>
  <c r="N980" i="2"/>
  <c r="M980" i="2"/>
  <c r="L980" i="2"/>
  <c r="K980" i="2"/>
  <c r="J980" i="2"/>
  <c r="I980" i="2"/>
  <c r="H980" i="2"/>
  <c r="G980" i="2"/>
  <c r="F980" i="2"/>
  <c r="E980" i="2"/>
  <c r="D980" i="2"/>
  <c r="C980" i="2"/>
  <c r="B980" i="2"/>
  <c r="A980" i="2"/>
  <c r="AG979" i="2"/>
  <c r="AD979" i="2"/>
  <c r="AC979" i="2"/>
  <c r="AB979" i="2"/>
  <c r="AA979" i="2"/>
  <c r="V979" i="2"/>
  <c r="U979" i="2"/>
  <c r="T979" i="2"/>
  <c r="S979" i="2"/>
  <c r="R979" i="2"/>
  <c r="Q979" i="2"/>
  <c r="P979" i="2"/>
  <c r="O979" i="2"/>
  <c r="N979" i="2"/>
  <c r="M979" i="2"/>
  <c r="L979" i="2"/>
  <c r="K979" i="2"/>
  <c r="J979" i="2"/>
  <c r="I979" i="2"/>
  <c r="H979" i="2"/>
  <c r="G979" i="2"/>
  <c r="F979" i="2"/>
  <c r="E979" i="2"/>
  <c r="D979" i="2"/>
  <c r="C979" i="2"/>
  <c r="B979" i="2"/>
  <c r="A979" i="2"/>
  <c r="AH978" i="2"/>
  <c r="AG978" i="2"/>
  <c r="AF978" i="2"/>
  <c r="AE978" i="2"/>
  <c r="AD978" i="2"/>
  <c r="AC978" i="2"/>
  <c r="AB978" i="2"/>
  <c r="AA978" i="2"/>
  <c r="Z978" i="2"/>
  <c r="Y978" i="2"/>
  <c r="X978" i="2"/>
  <c r="W978" i="2"/>
  <c r="V978" i="2"/>
  <c r="U978" i="2"/>
  <c r="T978" i="2"/>
  <c r="S978" i="2"/>
  <c r="R978" i="2"/>
  <c r="Q978" i="2"/>
  <c r="P978" i="2"/>
  <c r="O978" i="2"/>
  <c r="N978" i="2"/>
  <c r="M978" i="2"/>
  <c r="L978" i="2"/>
  <c r="K978" i="2"/>
  <c r="J978" i="2"/>
  <c r="I978" i="2"/>
  <c r="H978" i="2"/>
  <c r="G978" i="2"/>
  <c r="F978" i="2"/>
  <c r="E978" i="2"/>
  <c r="D978" i="2"/>
  <c r="C978" i="2"/>
  <c r="B978" i="2"/>
  <c r="A978" i="2"/>
  <c r="AH977" i="2"/>
  <c r="AG977" i="2"/>
  <c r="AF977" i="2"/>
  <c r="AE977" i="2"/>
  <c r="AD977" i="2"/>
  <c r="AC977" i="2"/>
  <c r="AB977" i="2"/>
  <c r="AA977" i="2"/>
  <c r="Y977" i="2"/>
  <c r="X977" i="2"/>
  <c r="W977" i="2"/>
  <c r="V977" i="2"/>
  <c r="U977" i="2"/>
  <c r="T977" i="2"/>
  <c r="S977" i="2"/>
  <c r="R977" i="2"/>
  <c r="Q977" i="2"/>
  <c r="P977" i="2"/>
  <c r="O977" i="2"/>
  <c r="N977" i="2"/>
  <c r="M977" i="2"/>
  <c r="L977" i="2"/>
  <c r="J977" i="2"/>
  <c r="I977" i="2"/>
  <c r="H977" i="2"/>
  <c r="G977" i="2"/>
  <c r="F977" i="2"/>
  <c r="E977" i="2"/>
  <c r="D977" i="2"/>
  <c r="C977" i="2"/>
  <c r="B977" i="2"/>
  <c r="A977" i="2"/>
  <c r="AH976" i="2"/>
  <c r="AG976" i="2"/>
  <c r="AF976" i="2"/>
  <c r="AE976" i="2"/>
  <c r="AD976" i="2"/>
  <c r="AC976" i="2"/>
  <c r="AB976" i="2"/>
  <c r="AA976" i="2"/>
  <c r="Y976" i="2"/>
  <c r="X976" i="2"/>
  <c r="W976" i="2"/>
  <c r="V976" i="2"/>
  <c r="U976" i="2"/>
  <c r="T976" i="2"/>
  <c r="S976" i="2"/>
  <c r="R976" i="2"/>
  <c r="Q976" i="2"/>
  <c r="P976" i="2"/>
  <c r="O976" i="2"/>
  <c r="N976" i="2"/>
  <c r="M976" i="2"/>
  <c r="L976" i="2"/>
  <c r="K976" i="2"/>
  <c r="J976" i="2"/>
  <c r="I976" i="2"/>
  <c r="H976" i="2"/>
  <c r="G976" i="2"/>
  <c r="F976" i="2"/>
  <c r="E976" i="2"/>
  <c r="D976" i="2"/>
  <c r="C976" i="2"/>
  <c r="B976" i="2"/>
  <c r="A976" i="2"/>
  <c r="AH975" i="2"/>
  <c r="AG975" i="2"/>
  <c r="AF975" i="2"/>
  <c r="AE975" i="2"/>
  <c r="AD975" i="2"/>
  <c r="AC975" i="2"/>
  <c r="AB975" i="2"/>
  <c r="AA975" i="2"/>
  <c r="Y975" i="2"/>
  <c r="X975" i="2"/>
  <c r="V975" i="2"/>
  <c r="U975" i="2"/>
  <c r="T975" i="2"/>
  <c r="S975" i="2"/>
  <c r="R975" i="2"/>
  <c r="Q975" i="2"/>
  <c r="P975" i="2"/>
  <c r="O975" i="2"/>
  <c r="N975" i="2"/>
  <c r="M975" i="2"/>
  <c r="L975" i="2"/>
  <c r="K975" i="2"/>
  <c r="J975" i="2"/>
  <c r="I975" i="2"/>
  <c r="H975" i="2"/>
  <c r="G975" i="2"/>
  <c r="F975" i="2"/>
  <c r="E975" i="2"/>
  <c r="D975" i="2"/>
  <c r="C975" i="2"/>
  <c r="B975" i="2"/>
  <c r="A975" i="2"/>
  <c r="AH974" i="2"/>
  <c r="AG974" i="2"/>
  <c r="AE974" i="2"/>
  <c r="AD974" i="2"/>
  <c r="AC974" i="2"/>
  <c r="AB974" i="2"/>
  <c r="AA974" i="2"/>
  <c r="Y974" i="2"/>
  <c r="W974" i="2"/>
  <c r="V974" i="2"/>
  <c r="U974" i="2"/>
  <c r="T974" i="2"/>
  <c r="S974" i="2"/>
  <c r="R974" i="2"/>
  <c r="Q974" i="2"/>
  <c r="P974" i="2"/>
  <c r="O974" i="2"/>
  <c r="N974" i="2"/>
  <c r="M974" i="2"/>
  <c r="L974" i="2"/>
  <c r="K974" i="2"/>
  <c r="J974" i="2"/>
  <c r="I974" i="2"/>
  <c r="H974" i="2"/>
  <c r="G974" i="2"/>
  <c r="F974" i="2"/>
  <c r="E974" i="2"/>
  <c r="D974" i="2"/>
  <c r="C974" i="2"/>
  <c r="B974" i="2"/>
  <c r="A974" i="2"/>
  <c r="AH973" i="2"/>
  <c r="AG973" i="2"/>
  <c r="AF973" i="2"/>
  <c r="AE973" i="2"/>
  <c r="AD973" i="2"/>
  <c r="AC973" i="2"/>
  <c r="AB973" i="2"/>
  <c r="AA973" i="2"/>
  <c r="Y973" i="2"/>
  <c r="X973" i="2"/>
  <c r="W973" i="2"/>
  <c r="V973" i="2"/>
  <c r="U973" i="2"/>
  <c r="T973" i="2"/>
  <c r="S973" i="2"/>
  <c r="R973" i="2"/>
  <c r="Q973" i="2"/>
  <c r="P973" i="2"/>
  <c r="O973" i="2"/>
  <c r="N973" i="2"/>
  <c r="M973" i="2"/>
  <c r="L973" i="2"/>
  <c r="K973" i="2"/>
  <c r="J973" i="2"/>
  <c r="I973" i="2"/>
  <c r="H973" i="2"/>
  <c r="G973" i="2"/>
  <c r="F973" i="2"/>
  <c r="E973" i="2"/>
  <c r="D973" i="2"/>
  <c r="C973" i="2"/>
  <c r="B973" i="2"/>
  <c r="A973" i="2"/>
  <c r="AH972" i="2"/>
  <c r="AG972" i="2"/>
  <c r="AD972" i="2"/>
  <c r="AC972" i="2"/>
  <c r="AB972" i="2"/>
  <c r="AA972" i="2"/>
  <c r="Y972" i="2"/>
  <c r="V972" i="2"/>
  <c r="U972" i="2"/>
  <c r="T972" i="2"/>
  <c r="S972" i="2"/>
  <c r="R972" i="2"/>
  <c r="Q972" i="2"/>
  <c r="P972" i="2"/>
  <c r="O972" i="2"/>
  <c r="N972" i="2"/>
  <c r="M972" i="2"/>
  <c r="L972" i="2"/>
  <c r="K972" i="2"/>
  <c r="J972" i="2"/>
  <c r="I972" i="2"/>
  <c r="H972" i="2"/>
  <c r="G972" i="2"/>
  <c r="F972" i="2"/>
  <c r="E972" i="2"/>
  <c r="D972" i="2"/>
  <c r="C972" i="2"/>
  <c r="B972" i="2"/>
  <c r="A972" i="2"/>
  <c r="AH971" i="2"/>
  <c r="AG971" i="2"/>
  <c r="AD971" i="2"/>
  <c r="AC971" i="2"/>
  <c r="AB971" i="2"/>
  <c r="AA971" i="2"/>
  <c r="X971" i="2"/>
  <c r="W971" i="2"/>
  <c r="V971" i="2"/>
  <c r="U971" i="2"/>
  <c r="T971" i="2"/>
  <c r="S971" i="2"/>
  <c r="R971" i="2"/>
  <c r="Q971" i="2"/>
  <c r="P971" i="2"/>
  <c r="O971" i="2"/>
  <c r="N971" i="2"/>
  <c r="M971" i="2"/>
  <c r="L971" i="2"/>
  <c r="K971" i="2"/>
  <c r="J971" i="2"/>
  <c r="I971" i="2"/>
  <c r="H971" i="2"/>
  <c r="G971" i="2"/>
  <c r="F971" i="2"/>
  <c r="E971" i="2"/>
  <c r="D971" i="2"/>
  <c r="C971" i="2"/>
  <c r="B971" i="2"/>
  <c r="A971" i="2"/>
  <c r="AG970" i="2"/>
  <c r="AE970" i="2"/>
  <c r="AD970" i="2"/>
  <c r="AC970" i="2"/>
  <c r="AB970" i="2"/>
  <c r="AA970" i="2"/>
  <c r="X970" i="2"/>
  <c r="V970" i="2"/>
  <c r="U970" i="2"/>
  <c r="T970" i="2"/>
  <c r="S970" i="2"/>
  <c r="R970" i="2"/>
  <c r="Q970" i="2"/>
  <c r="P970" i="2"/>
  <c r="O970" i="2"/>
  <c r="N970" i="2"/>
  <c r="M970" i="2"/>
  <c r="L970" i="2"/>
  <c r="K970" i="2"/>
  <c r="J970" i="2"/>
  <c r="I970" i="2"/>
  <c r="H970" i="2"/>
  <c r="G970" i="2"/>
  <c r="F970" i="2"/>
  <c r="E970" i="2"/>
  <c r="D970" i="2"/>
  <c r="C970" i="2"/>
  <c r="B970" i="2"/>
  <c r="A970" i="2"/>
  <c r="AG969" i="2"/>
  <c r="AD969" i="2"/>
  <c r="AC969" i="2"/>
  <c r="AB969" i="2"/>
  <c r="AA969" i="2"/>
  <c r="Y969" i="2"/>
  <c r="X969" i="2"/>
  <c r="V969" i="2"/>
  <c r="U969" i="2"/>
  <c r="T969" i="2"/>
  <c r="S969" i="2"/>
  <c r="R969" i="2"/>
  <c r="Q969" i="2"/>
  <c r="P969" i="2"/>
  <c r="O969" i="2"/>
  <c r="N969" i="2"/>
  <c r="M969" i="2"/>
  <c r="L969" i="2"/>
  <c r="K969" i="2"/>
  <c r="J969" i="2"/>
  <c r="I969" i="2"/>
  <c r="H969" i="2"/>
  <c r="G969" i="2"/>
  <c r="F969" i="2"/>
  <c r="E969" i="2"/>
  <c r="D969" i="2"/>
  <c r="C969" i="2"/>
  <c r="B969" i="2"/>
  <c r="A969" i="2"/>
  <c r="AH968" i="2"/>
  <c r="AG968" i="2"/>
  <c r="AF968" i="2"/>
  <c r="AE968" i="2"/>
  <c r="AD968" i="2"/>
  <c r="AC968" i="2"/>
  <c r="AB968" i="2"/>
  <c r="AA968" i="2"/>
  <c r="Z968" i="2"/>
  <c r="Y968" i="2"/>
  <c r="X968" i="2"/>
  <c r="W968" i="2"/>
  <c r="V968" i="2"/>
  <c r="U968" i="2"/>
  <c r="T968" i="2"/>
  <c r="S968" i="2"/>
  <c r="R968" i="2"/>
  <c r="Q968" i="2"/>
  <c r="P968" i="2"/>
  <c r="O968" i="2"/>
  <c r="N968" i="2"/>
  <c r="M968" i="2"/>
  <c r="L968" i="2"/>
  <c r="K968" i="2"/>
  <c r="J968" i="2"/>
  <c r="I968" i="2"/>
  <c r="H968" i="2"/>
  <c r="G968" i="2"/>
  <c r="F968" i="2"/>
  <c r="E968" i="2"/>
  <c r="D968" i="2"/>
  <c r="C968" i="2"/>
  <c r="B968" i="2"/>
  <c r="A968" i="2"/>
  <c r="AH967" i="2"/>
  <c r="AG967" i="2"/>
  <c r="AF967" i="2"/>
  <c r="AE967" i="2"/>
  <c r="AD967" i="2"/>
  <c r="AC967" i="2"/>
  <c r="AB967" i="2"/>
  <c r="AA967" i="2"/>
  <c r="Y967" i="2"/>
  <c r="X967" i="2"/>
  <c r="W967" i="2"/>
  <c r="V967" i="2"/>
  <c r="U967" i="2"/>
  <c r="T967" i="2"/>
  <c r="S967" i="2"/>
  <c r="R967" i="2"/>
  <c r="Q967" i="2"/>
  <c r="P967" i="2"/>
  <c r="O967" i="2"/>
  <c r="N967" i="2"/>
  <c r="M967" i="2"/>
  <c r="L967" i="2"/>
  <c r="K967" i="2"/>
  <c r="J967" i="2"/>
  <c r="I967" i="2"/>
  <c r="H967" i="2"/>
  <c r="G967" i="2"/>
  <c r="F967" i="2"/>
  <c r="E967" i="2"/>
  <c r="D967" i="2"/>
  <c r="C967" i="2"/>
  <c r="B967" i="2"/>
  <c r="A967" i="2"/>
  <c r="AG966" i="2"/>
  <c r="AF966" i="2"/>
  <c r="AE966" i="2"/>
  <c r="AC966" i="2"/>
  <c r="AB966" i="2"/>
  <c r="AA966" i="2"/>
  <c r="Z966" i="2"/>
  <c r="Y966" i="2"/>
  <c r="X966" i="2"/>
  <c r="W966" i="2"/>
  <c r="V966" i="2"/>
  <c r="U966" i="2"/>
  <c r="T966" i="2"/>
  <c r="S966" i="2"/>
  <c r="R966" i="2"/>
  <c r="Q966" i="2"/>
  <c r="P966" i="2"/>
  <c r="O966" i="2"/>
  <c r="N966" i="2"/>
  <c r="M966" i="2"/>
  <c r="L966" i="2"/>
  <c r="K966" i="2"/>
  <c r="J966" i="2"/>
  <c r="I966" i="2"/>
  <c r="H966" i="2"/>
  <c r="G966" i="2"/>
  <c r="F966" i="2"/>
  <c r="E966" i="2"/>
  <c r="D966" i="2"/>
  <c r="C966" i="2"/>
  <c r="B966" i="2"/>
  <c r="A966" i="2"/>
  <c r="AG965" i="2"/>
  <c r="AF965" i="2"/>
  <c r="AE965" i="2"/>
  <c r="AD965" i="2"/>
  <c r="AC965" i="2"/>
  <c r="AB965" i="2"/>
  <c r="AA965" i="2"/>
  <c r="Z965" i="2"/>
  <c r="Y965" i="2"/>
  <c r="X965" i="2"/>
  <c r="W965" i="2"/>
  <c r="V965" i="2"/>
  <c r="U965" i="2"/>
  <c r="T965" i="2"/>
  <c r="S965" i="2"/>
  <c r="R965" i="2"/>
  <c r="Q965" i="2"/>
  <c r="P965" i="2"/>
  <c r="O965" i="2"/>
  <c r="N965" i="2"/>
  <c r="M965" i="2"/>
  <c r="L965" i="2"/>
  <c r="K965" i="2"/>
  <c r="J965" i="2"/>
  <c r="I965" i="2"/>
  <c r="H965" i="2"/>
  <c r="G965" i="2"/>
  <c r="F965" i="2"/>
  <c r="E965" i="2"/>
  <c r="D965" i="2"/>
  <c r="C965" i="2"/>
  <c r="B965" i="2"/>
  <c r="A965" i="2"/>
  <c r="AG964" i="2"/>
  <c r="AF964" i="2"/>
  <c r="AE964" i="2"/>
  <c r="AD964" i="2"/>
  <c r="AC964" i="2"/>
  <c r="AB964" i="2"/>
  <c r="AA964" i="2"/>
  <c r="Y964" i="2"/>
  <c r="X964" i="2"/>
  <c r="W964" i="2"/>
  <c r="V964" i="2"/>
  <c r="U964" i="2"/>
  <c r="T964" i="2"/>
  <c r="S964" i="2"/>
  <c r="R964" i="2"/>
  <c r="Q964" i="2"/>
  <c r="P964" i="2"/>
  <c r="O964" i="2"/>
  <c r="N964" i="2"/>
  <c r="M964" i="2"/>
  <c r="L964" i="2"/>
  <c r="K964" i="2"/>
  <c r="J964" i="2"/>
  <c r="I964" i="2"/>
  <c r="H964" i="2"/>
  <c r="G964" i="2"/>
  <c r="F964" i="2"/>
  <c r="E964" i="2"/>
  <c r="D964" i="2"/>
  <c r="C964" i="2"/>
  <c r="B964" i="2"/>
  <c r="A964" i="2"/>
  <c r="AG963" i="2"/>
  <c r="AD963" i="2"/>
  <c r="AC963" i="2"/>
  <c r="AB963" i="2"/>
  <c r="AA963" i="2"/>
  <c r="X963" i="2"/>
  <c r="V963" i="2"/>
  <c r="U963" i="2"/>
  <c r="T963" i="2"/>
  <c r="S963" i="2"/>
  <c r="R963" i="2"/>
  <c r="Q963" i="2"/>
  <c r="P963" i="2"/>
  <c r="O963" i="2"/>
  <c r="N963" i="2"/>
  <c r="M963" i="2"/>
  <c r="L963" i="2"/>
  <c r="K963" i="2"/>
  <c r="J963" i="2"/>
  <c r="I963" i="2"/>
  <c r="H963" i="2"/>
  <c r="G963" i="2"/>
  <c r="F963" i="2"/>
  <c r="E963" i="2"/>
  <c r="D963" i="2"/>
  <c r="C963" i="2"/>
  <c r="B963" i="2"/>
  <c r="A963" i="2"/>
  <c r="AH962" i="2"/>
  <c r="AG962" i="2"/>
  <c r="AE962" i="2"/>
  <c r="AC962" i="2"/>
  <c r="AB962" i="2"/>
  <c r="AA962" i="2"/>
  <c r="Z962" i="2"/>
  <c r="Y962" i="2"/>
  <c r="X962" i="2"/>
  <c r="W962" i="2"/>
  <c r="V962" i="2"/>
  <c r="U962" i="2"/>
  <c r="T962" i="2"/>
  <c r="S962" i="2"/>
  <c r="R962" i="2"/>
  <c r="Q962" i="2"/>
  <c r="P962" i="2"/>
  <c r="O962" i="2"/>
  <c r="N962" i="2"/>
  <c r="M962" i="2"/>
  <c r="L962" i="2"/>
  <c r="K962" i="2"/>
  <c r="J962" i="2"/>
  <c r="I962" i="2"/>
  <c r="H962" i="2"/>
  <c r="G962" i="2"/>
  <c r="F962" i="2"/>
  <c r="E962" i="2"/>
  <c r="D962" i="2"/>
  <c r="C962" i="2"/>
  <c r="B962" i="2"/>
  <c r="A962" i="2"/>
  <c r="AG961" i="2"/>
  <c r="AF961" i="2"/>
  <c r="AE961" i="2"/>
  <c r="AD961" i="2"/>
  <c r="AC961" i="2"/>
  <c r="AB961" i="2"/>
  <c r="AA961" i="2"/>
  <c r="X961" i="2"/>
  <c r="W961" i="2"/>
  <c r="V961" i="2"/>
  <c r="U961" i="2"/>
  <c r="T961" i="2"/>
  <c r="R961" i="2"/>
  <c r="Q961" i="2"/>
  <c r="P961" i="2"/>
  <c r="O961" i="2"/>
  <c r="N961" i="2"/>
  <c r="M961" i="2"/>
  <c r="L961" i="2"/>
  <c r="K961" i="2"/>
  <c r="J961" i="2"/>
  <c r="I961" i="2"/>
  <c r="H961" i="2"/>
  <c r="G961" i="2"/>
  <c r="F961" i="2"/>
  <c r="E961" i="2"/>
  <c r="D961" i="2"/>
  <c r="C961" i="2"/>
  <c r="B961" i="2"/>
  <c r="A961" i="2"/>
  <c r="AG960" i="2"/>
  <c r="AF960" i="2"/>
  <c r="AE960" i="2"/>
  <c r="AD960" i="2"/>
  <c r="AC960" i="2"/>
  <c r="AB960" i="2"/>
  <c r="AA960" i="2"/>
  <c r="Y960" i="2"/>
  <c r="X960" i="2"/>
  <c r="W960" i="2"/>
  <c r="V960" i="2"/>
  <c r="U960" i="2"/>
  <c r="T960" i="2"/>
  <c r="S960" i="2"/>
  <c r="R960" i="2"/>
  <c r="Q960" i="2"/>
  <c r="P960" i="2"/>
  <c r="O960" i="2"/>
  <c r="N960" i="2"/>
  <c r="M960" i="2"/>
  <c r="L960" i="2"/>
  <c r="K960" i="2"/>
  <c r="J960" i="2"/>
  <c r="I960" i="2"/>
  <c r="H960" i="2"/>
  <c r="G960" i="2"/>
  <c r="F960" i="2"/>
  <c r="E960" i="2"/>
  <c r="D960" i="2"/>
  <c r="C960" i="2"/>
  <c r="B960" i="2"/>
  <c r="A960" i="2"/>
  <c r="AH959" i="2"/>
  <c r="AG959" i="2"/>
  <c r="AE959" i="2"/>
  <c r="AC959" i="2"/>
  <c r="AB959" i="2"/>
  <c r="AA959" i="2"/>
  <c r="Y959" i="2"/>
  <c r="X959" i="2"/>
  <c r="W959" i="2"/>
  <c r="V959" i="2"/>
  <c r="U959" i="2"/>
  <c r="T959" i="2"/>
  <c r="S959" i="2"/>
  <c r="R959" i="2"/>
  <c r="Q959" i="2"/>
  <c r="P959" i="2"/>
  <c r="O959" i="2"/>
  <c r="N959" i="2"/>
  <c r="M959" i="2"/>
  <c r="L959" i="2"/>
  <c r="K959" i="2"/>
  <c r="J959" i="2"/>
  <c r="I959" i="2"/>
  <c r="H959" i="2"/>
  <c r="G959" i="2"/>
  <c r="F959" i="2"/>
  <c r="E959" i="2"/>
  <c r="D959" i="2"/>
  <c r="C959" i="2"/>
  <c r="B959" i="2"/>
  <c r="A959" i="2"/>
  <c r="AH958" i="2"/>
  <c r="AG958" i="2"/>
  <c r="AF958" i="2"/>
  <c r="AE958" i="2"/>
  <c r="AD958" i="2"/>
  <c r="AC958" i="2"/>
  <c r="AB958" i="2"/>
  <c r="AA958" i="2"/>
  <c r="Y958" i="2"/>
  <c r="X958" i="2"/>
  <c r="W958" i="2"/>
  <c r="V958" i="2"/>
  <c r="U958" i="2"/>
  <c r="T958" i="2"/>
  <c r="S958" i="2"/>
  <c r="R958" i="2"/>
  <c r="Q958" i="2"/>
  <c r="P958" i="2"/>
  <c r="O958" i="2"/>
  <c r="N958" i="2"/>
  <c r="M958" i="2"/>
  <c r="L958" i="2"/>
  <c r="K958" i="2"/>
  <c r="J958" i="2"/>
  <c r="I958" i="2"/>
  <c r="H958" i="2"/>
  <c r="G958" i="2"/>
  <c r="F958" i="2"/>
  <c r="E958" i="2"/>
  <c r="D958" i="2"/>
  <c r="C958" i="2"/>
  <c r="B958" i="2"/>
  <c r="A958" i="2"/>
  <c r="AG957" i="2"/>
  <c r="AF957" i="2"/>
  <c r="AE957" i="2"/>
  <c r="AD957" i="2"/>
  <c r="AC957" i="2"/>
  <c r="AB957" i="2"/>
  <c r="AA957" i="2"/>
  <c r="Z957" i="2"/>
  <c r="Y957" i="2"/>
  <c r="X957" i="2"/>
  <c r="W957" i="2"/>
  <c r="V957" i="2"/>
  <c r="U957" i="2"/>
  <c r="T957" i="2"/>
  <c r="S957" i="2"/>
  <c r="R957" i="2"/>
  <c r="Q957" i="2"/>
  <c r="P957" i="2"/>
  <c r="O957" i="2"/>
  <c r="N957" i="2"/>
  <c r="M957" i="2"/>
  <c r="L957" i="2"/>
  <c r="K957" i="2"/>
  <c r="J957" i="2"/>
  <c r="I957" i="2"/>
  <c r="H957" i="2"/>
  <c r="G957" i="2"/>
  <c r="F957" i="2"/>
  <c r="E957" i="2"/>
  <c r="D957" i="2"/>
  <c r="C957" i="2"/>
  <c r="B957" i="2"/>
  <c r="A957" i="2"/>
  <c r="AH956" i="2"/>
  <c r="AG956" i="2"/>
  <c r="AF956" i="2"/>
  <c r="AE956" i="2"/>
  <c r="AD956" i="2"/>
  <c r="AC956" i="2"/>
  <c r="AB956" i="2"/>
  <c r="AA956" i="2"/>
  <c r="Y956" i="2"/>
  <c r="X956" i="2"/>
  <c r="V956" i="2"/>
  <c r="U956" i="2"/>
  <c r="T956" i="2"/>
  <c r="S956" i="2"/>
  <c r="R956" i="2"/>
  <c r="Q956" i="2"/>
  <c r="P956" i="2"/>
  <c r="O956" i="2"/>
  <c r="N956" i="2"/>
  <c r="M956" i="2"/>
  <c r="L956" i="2"/>
  <c r="K956" i="2"/>
  <c r="J956" i="2"/>
  <c r="I956" i="2"/>
  <c r="H956" i="2"/>
  <c r="G956" i="2"/>
  <c r="F956" i="2"/>
  <c r="E956" i="2"/>
  <c r="D956" i="2"/>
  <c r="C956" i="2"/>
  <c r="B956" i="2"/>
  <c r="A956" i="2"/>
  <c r="AH955" i="2"/>
  <c r="AG955" i="2"/>
  <c r="AF955" i="2"/>
  <c r="AE955" i="2"/>
  <c r="AD955" i="2"/>
  <c r="AC955" i="2"/>
  <c r="AB955" i="2"/>
  <c r="AA955" i="2"/>
  <c r="Y955" i="2"/>
  <c r="X955" i="2"/>
  <c r="W955" i="2"/>
  <c r="V955" i="2"/>
  <c r="U955" i="2"/>
  <c r="T955" i="2"/>
  <c r="S955" i="2"/>
  <c r="R955" i="2"/>
  <c r="Q955" i="2"/>
  <c r="P955" i="2"/>
  <c r="O955" i="2"/>
  <c r="M955" i="2"/>
  <c r="L955" i="2"/>
  <c r="K955" i="2"/>
  <c r="J955" i="2"/>
  <c r="I955" i="2"/>
  <c r="H955" i="2"/>
  <c r="G955" i="2"/>
  <c r="F955" i="2"/>
  <c r="E955" i="2"/>
  <c r="D955" i="2"/>
  <c r="C955" i="2"/>
  <c r="B955" i="2"/>
  <c r="A955" i="2"/>
  <c r="AG954" i="2"/>
  <c r="AE954" i="2"/>
  <c r="AD954" i="2"/>
  <c r="AC954" i="2"/>
  <c r="AB954" i="2"/>
  <c r="AA954" i="2"/>
  <c r="X954" i="2"/>
  <c r="V954" i="2"/>
  <c r="U954" i="2"/>
  <c r="T954" i="2"/>
  <c r="S954" i="2"/>
  <c r="R954" i="2"/>
  <c r="Q954" i="2"/>
  <c r="P954" i="2"/>
  <c r="O954" i="2"/>
  <c r="N954" i="2"/>
  <c r="M954" i="2"/>
  <c r="L954" i="2"/>
  <c r="K954" i="2"/>
  <c r="J954" i="2"/>
  <c r="I954" i="2"/>
  <c r="H954" i="2"/>
  <c r="G954" i="2"/>
  <c r="F954" i="2"/>
  <c r="E954" i="2"/>
  <c r="D954" i="2"/>
  <c r="C954" i="2"/>
  <c r="B954" i="2"/>
  <c r="A954" i="2"/>
  <c r="AG953" i="2"/>
  <c r="AF953" i="2"/>
  <c r="AE953" i="2"/>
  <c r="AD953" i="2"/>
  <c r="AC953" i="2"/>
  <c r="AB953" i="2"/>
  <c r="AA953" i="2"/>
  <c r="Z953" i="2"/>
  <c r="Y953" i="2"/>
  <c r="X953" i="2"/>
  <c r="W953" i="2"/>
  <c r="V953" i="2"/>
  <c r="U953" i="2"/>
  <c r="T953" i="2"/>
  <c r="S953" i="2"/>
  <c r="R953" i="2"/>
  <c r="Q953" i="2"/>
  <c r="P953" i="2"/>
  <c r="O953" i="2"/>
  <c r="N953" i="2"/>
  <c r="M953" i="2"/>
  <c r="L953" i="2"/>
  <c r="K953" i="2"/>
  <c r="J953" i="2"/>
  <c r="I953" i="2"/>
  <c r="H953" i="2"/>
  <c r="G953" i="2"/>
  <c r="F953" i="2"/>
  <c r="E953" i="2"/>
  <c r="D953" i="2"/>
  <c r="C953" i="2"/>
  <c r="B953" i="2"/>
  <c r="A953" i="2"/>
  <c r="AG952" i="2"/>
  <c r="AF952" i="2"/>
  <c r="AE952" i="2"/>
  <c r="AC952" i="2"/>
  <c r="AB952" i="2"/>
  <c r="AA952" i="2"/>
  <c r="Y952" i="2"/>
  <c r="X952" i="2"/>
  <c r="W952" i="2"/>
  <c r="V952" i="2"/>
  <c r="U952" i="2"/>
  <c r="T952" i="2"/>
  <c r="S952" i="2"/>
  <c r="R952" i="2"/>
  <c r="Q952" i="2"/>
  <c r="P952" i="2"/>
  <c r="O952" i="2"/>
  <c r="N952" i="2"/>
  <c r="M952" i="2"/>
  <c r="L952" i="2"/>
  <c r="K952" i="2"/>
  <c r="J952" i="2"/>
  <c r="I952" i="2"/>
  <c r="H952" i="2"/>
  <c r="G952" i="2"/>
  <c r="F952" i="2"/>
  <c r="E952" i="2"/>
  <c r="D952" i="2"/>
  <c r="C952" i="2"/>
  <c r="B952" i="2"/>
  <c r="A952" i="2"/>
  <c r="AG951" i="2"/>
  <c r="AF951" i="2"/>
  <c r="AE951" i="2"/>
  <c r="AD951" i="2"/>
  <c r="AC951" i="2"/>
  <c r="AB951" i="2"/>
  <c r="AA951" i="2"/>
  <c r="Y951" i="2"/>
  <c r="X951" i="2"/>
  <c r="W951" i="2"/>
  <c r="V951" i="2"/>
  <c r="U951" i="2"/>
  <c r="T951" i="2"/>
  <c r="S951" i="2"/>
  <c r="R951" i="2"/>
  <c r="Q951" i="2"/>
  <c r="P951" i="2"/>
  <c r="O951" i="2"/>
  <c r="N951" i="2"/>
  <c r="M951" i="2"/>
  <c r="L951" i="2"/>
  <c r="K951" i="2"/>
  <c r="J951" i="2"/>
  <c r="I951" i="2"/>
  <c r="H951" i="2"/>
  <c r="G951" i="2"/>
  <c r="F951" i="2"/>
  <c r="E951" i="2"/>
  <c r="D951" i="2"/>
  <c r="C951" i="2"/>
  <c r="B951" i="2"/>
  <c r="A951" i="2"/>
  <c r="AH950" i="2"/>
  <c r="AG950" i="2"/>
  <c r="AF950" i="2"/>
  <c r="AE950" i="2"/>
  <c r="AD950" i="2"/>
  <c r="AC950" i="2"/>
  <c r="AB950" i="2"/>
  <c r="AA950" i="2"/>
  <c r="Y950" i="2"/>
  <c r="X950" i="2"/>
  <c r="W950" i="2"/>
  <c r="V950" i="2"/>
  <c r="U950" i="2"/>
  <c r="T950" i="2"/>
  <c r="S950" i="2"/>
  <c r="R950" i="2"/>
  <c r="Q950" i="2"/>
  <c r="P950" i="2"/>
  <c r="O950" i="2"/>
  <c r="N950" i="2"/>
  <c r="M950" i="2"/>
  <c r="L950" i="2"/>
  <c r="K950" i="2"/>
  <c r="J950" i="2"/>
  <c r="I950" i="2"/>
  <c r="H950" i="2"/>
  <c r="G950" i="2"/>
  <c r="F950" i="2"/>
  <c r="E950" i="2"/>
  <c r="D950" i="2"/>
  <c r="C950" i="2"/>
  <c r="B950" i="2"/>
  <c r="A950" i="2"/>
  <c r="AH949" i="2"/>
  <c r="AG949" i="2"/>
  <c r="AF949" i="2"/>
  <c r="AE949" i="2"/>
  <c r="AD949" i="2"/>
  <c r="AC949" i="2"/>
  <c r="AB949" i="2"/>
  <c r="AA949" i="2"/>
  <c r="Y949" i="2"/>
  <c r="X949" i="2"/>
  <c r="W949" i="2"/>
  <c r="V949" i="2"/>
  <c r="U949" i="2"/>
  <c r="T949" i="2"/>
  <c r="S949" i="2"/>
  <c r="R949" i="2"/>
  <c r="Q949" i="2"/>
  <c r="P949" i="2"/>
  <c r="O949" i="2"/>
  <c r="N949" i="2"/>
  <c r="M949" i="2"/>
  <c r="L949" i="2"/>
  <c r="K949" i="2"/>
  <c r="J949" i="2"/>
  <c r="I949" i="2"/>
  <c r="H949" i="2"/>
  <c r="G949" i="2"/>
  <c r="F949" i="2"/>
  <c r="E949" i="2"/>
  <c r="D949" i="2"/>
  <c r="C949" i="2"/>
  <c r="B949" i="2"/>
  <c r="A949" i="2"/>
  <c r="AH948" i="2"/>
  <c r="AG948" i="2"/>
  <c r="AE948" i="2"/>
  <c r="AD948" i="2"/>
  <c r="AC948" i="2"/>
  <c r="AB948" i="2"/>
  <c r="AA948" i="2"/>
  <c r="Y948" i="2"/>
  <c r="X948" i="2"/>
  <c r="V948" i="2"/>
  <c r="U948" i="2"/>
  <c r="T948" i="2"/>
  <c r="S948" i="2"/>
  <c r="R948" i="2"/>
  <c r="Q948" i="2"/>
  <c r="P948" i="2"/>
  <c r="O948" i="2"/>
  <c r="N948" i="2"/>
  <c r="M948" i="2"/>
  <c r="L948" i="2"/>
  <c r="K948" i="2"/>
  <c r="J948" i="2"/>
  <c r="I948" i="2"/>
  <c r="H948" i="2"/>
  <c r="G948" i="2"/>
  <c r="F948" i="2"/>
  <c r="E948" i="2"/>
  <c r="D948" i="2"/>
  <c r="C948" i="2"/>
  <c r="B948" i="2"/>
  <c r="A948" i="2"/>
  <c r="AG947" i="2"/>
  <c r="AF947" i="2"/>
  <c r="AE947" i="2"/>
  <c r="AD947" i="2"/>
  <c r="AC947" i="2"/>
  <c r="AB947" i="2"/>
  <c r="AA947" i="2"/>
  <c r="Y947" i="2"/>
  <c r="X947" i="2"/>
  <c r="W947" i="2"/>
  <c r="V947" i="2"/>
  <c r="U947" i="2"/>
  <c r="T947" i="2"/>
  <c r="S947" i="2"/>
  <c r="R947" i="2"/>
  <c r="Q947" i="2"/>
  <c r="P947" i="2"/>
  <c r="O947" i="2"/>
  <c r="N947" i="2"/>
  <c r="M947" i="2"/>
  <c r="L947" i="2"/>
  <c r="K947" i="2"/>
  <c r="J947" i="2"/>
  <c r="I947" i="2"/>
  <c r="H947" i="2"/>
  <c r="G947" i="2"/>
  <c r="F947" i="2"/>
  <c r="E947" i="2"/>
  <c r="D947" i="2"/>
  <c r="C947" i="2"/>
  <c r="B947" i="2"/>
  <c r="A947" i="2"/>
  <c r="AH946" i="2"/>
  <c r="AG946" i="2"/>
  <c r="AE946" i="2"/>
  <c r="AD946" i="2"/>
  <c r="AB946" i="2"/>
  <c r="AA946" i="2"/>
  <c r="Z946" i="2"/>
  <c r="Y946" i="2"/>
  <c r="X946" i="2"/>
  <c r="V946" i="2"/>
  <c r="U946" i="2"/>
  <c r="T946" i="2"/>
  <c r="S946" i="2"/>
  <c r="R946" i="2"/>
  <c r="Q946" i="2"/>
  <c r="P946" i="2"/>
  <c r="O946" i="2"/>
  <c r="N946" i="2"/>
  <c r="M946" i="2"/>
  <c r="L946" i="2"/>
  <c r="K946" i="2"/>
  <c r="J946" i="2"/>
  <c r="I946" i="2"/>
  <c r="H946" i="2"/>
  <c r="G946" i="2"/>
  <c r="F946" i="2"/>
  <c r="E946" i="2"/>
  <c r="D946" i="2"/>
  <c r="C946" i="2"/>
  <c r="B946" i="2"/>
  <c r="A946" i="2"/>
  <c r="AG945" i="2"/>
  <c r="AE945" i="2"/>
  <c r="AD945" i="2"/>
  <c r="AC945" i="2"/>
  <c r="AB945" i="2"/>
  <c r="Z945" i="2"/>
  <c r="Y945" i="2"/>
  <c r="X945" i="2"/>
  <c r="W945" i="2"/>
  <c r="V945" i="2"/>
  <c r="U945" i="2"/>
  <c r="T945" i="2"/>
  <c r="S945" i="2"/>
  <c r="R945" i="2"/>
  <c r="Q945" i="2"/>
  <c r="P945" i="2"/>
  <c r="O945" i="2"/>
  <c r="N945" i="2"/>
  <c r="M945" i="2"/>
  <c r="L945" i="2"/>
  <c r="K945" i="2"/>
  <c r="J945" i="2"/>
  <c r="I945" i="2"/>
  <c r="H945" i="2"/>
  <c r="G945" i="2"/>
  <c r="F945" i="2"/>
  <c r="E945" i="2"/>
  <c r="D945" i="2"/>
  <c r="C945" i="2"/>
  <c r="B945" i="2"/>
  <c r="A945" i="2"/>
  <c r="AG944" i="2"/>
  <c r="AE944" i="2"/>
  <c r="AD944" i="2"/>
  <c r="AC944" i="2"/>
  <c r="AB944" i="2"/>
  <c r="AA944" i="2"/>
  <c r="Y944" i="2"/>
  <c r="X944" i="2"/>
  <c r="W944" i="2"/>
  <c r="V944" i="2"/>
  <c r="U944" i="2"/>
  <c r="T944" i="2"/>
  <c r="S944" i="2"/>
  <c r="R944" i="2"/>
  <c r="Q944" i="2"/>
  <c r="P944" i="2"/>
  <c r="O944" i="2"/>
  <c r="N944" i="2"/>
  <c r="M944" i="2"/>
  <c r="L944" i="2"/>
  <c r="K944" i="2"/>
  <c r="J944" i="2"/>
  <c r="I944" i="2"/>
  <c r="H944" i="2"/>
  <c r="G944" i="2"/>
  <c r="F944" i="2"/>
  <c r="E944" i="2"/>
  <c r="D944" i="2"/>
  <c r="C944" i="2"/>
  <c r="B944" i="2"/>
  <c r="A944" i="2"/>
  <c r="AH943" i="2"/>
  <c r="AG943" i="2"/>
  <c r="AF943" i="2"/>
  <c r="AE943" i="2"/>
  <c r="AC943" i="2"/>
  <c r="AB943" i="2"/>
  <c r="AA943" i="2"/>
  <c r="Y943" i="2"/>
  <c r="W943" i="2"/>
  <c r="V943" i="2"/>
  <c r="U943" i="2"/>
  <c r="T943" i="2"/>
  <c r="S943" i="2"/>
  <c r="R943" i="2"/>
  <c r="Q943" i="2"/>
  <c r="P943" i="2"/>
  <c r="O943" i="2"/>
  <c r="N943" i="2"/>
  <c r="M943" i="2"/>
  <c r="L943" i="2"/>
  <c r="K943" i="2"/>
  <c r="J943" i="2"/>
  <c r="I943" i="2"/>
  <c r="H943" i="2"/>
  <c r="G943" i="2"/>
  <c r="F943" i="2"/>
  <c r="E943" i="2"/>
  <c r="D943" i="2"/>
  <c r="C943" i="2"/>
  <c r="B943" i="2"/>
  <c r="A943" i="2"/>
  <c r="AH942" i="2"/>
  <c r="AG942" i="2"/>
  <c r="AF942" i="2"/>
  <c r="AE942" i="2"/>
  <c r="AC942" i="2"/>
  <c r="AB942" i="2"/>
  <c r="AA942" i="2"/>
  <c r="Y942" i="2"/>
  <c r="X942" i="2"/>
  <c r="W942" i="2"/>
  <c r="V942" i="2"/>
  <c r="U942" i="2"/>
  <c r="T942" i="2"/>
  <c r="S942" i="2"/>
  <c r="R942" i="2"/>
  <c r="Q942" i="2"/>
  <c r="P942" i="2"/>
  <c r="O942" i="2"/>
  <c r="N942" i="2"/>
  <c r="M942" i="2"/>
  <c r="L942" i="2"/>
  <c r="K942" i="2"/>
  <c r="J942" i="2"/>
  <c r="I942" i="2"/>
  <c r="H942" i="2"/>
  <c r="G942" i="2"/>
  <c r="F942" i="2"/>
  <c r="E942" i="2"/>
  <c r="D942" i="2"/>
  <c r="C942" i="2"/>
  <c r="B942" i="2"/>
  <c r="A942" i="2"/>
  <c r="AH941" i="2"/>
  <c r="AG941" i="2"/>
  <c r="AF941" i="2"/>
  <c r="AE941" i="2"/>
  <c r="AD941" i="2"/>
  <c r="AC941" i="2"/>
  <c r="AB941" i="2"/>
  <c r="AA941" i="2"/>
  <c r="Y941" i="2"/>
  <c r="X941" i="2"/>
  <c r="W941" i="2"/>
  <c r="V941" i="2"/>
  <c r="U941" i="2"/>
  <c r="T941" i="2"/>
  <c r="S941" i="2"/>
  <c r="R941" i="2"/>
  <c r="Q941" i="2"/>
  <c r="P941" i="2"/>
  <c r="O941" i="2"/>
  <c r="N941" i="2"/>
  <c r="M941" i="2"/>
  <c r="L941" i="2"/>
  <c r="K941" i="2"/>
  <c r="J941" i="2"/>
  <c r="I941" i="2"/>
  <c r="H941" i="2"/>
  <c r="G941" i="2"/>
  <c r="F941" i="2"/>
  <c r="E941" i="2"/>
  <c r="D941" i="2"/>
  <c r="C941" i="2"/>
  <c r="B941" i="2"/>
  <c r="A941" i="2"/>
  <c r="AG940" i="2"/>
  <c r="AF940" i="2"/>
  <c r="AE940" i="2"/>
  <c r="AD940" i="2"/>
  <c r="AC940" i="2"/>
  <c r="AB940" i="2"/>
  <c r="AA940" i="2"/>
  <c r="Y940" i="2"/>
  <c r="X940" i="2"/>
  <c r="W940" i="2"/>
  <c r="V940" i="2"/>
  <c r="U940" i="2"/>
  <c r="T940" i="2"/>
  <c r="S940" i="2"/>
  <c r="R940" i="2"/>
  <c r="Q940" i="2"/>
  <c r="P940" i="2"/>
  <c r="O940" i="2"/>
  <c r="N940" i="2"/>
  <c r="M940" i="2"/>
  <c r="L940" i="2"/>
  <c r="K940" i="2"/>
  <c r="J940" i="2"/>
  <c r="I940" i="2"/>
  <c r="H940" i="2"/>
  <c r="G940" i="2"/>
  <c r="F940" i="2"/>
  <c r="E940" i="2"/>
  <c r="D940" i="2"/>
  <c r="C940" i="2"/>
  <c r="B940" i="2"/>
  <c r="A940" i="2"/>
  <c r="AH939" i="2"/>
  <c r="AG939" i="2"/>
  <c r="AE939" i="2"/>
  <c r="AD939" i="2"/>
  <c r="AC939" i="2"/>
  <c r="AB939" i="2"/>
  <c r="Y939" i="2"/>
  <c r="X939" i="2"/>
  <c r="W939" i="2"/>
  <c r="V939" i="2"/>
  <c r="U939" i="2"/>
  <c r="T939" i="2"/>
  <c r="S939" i="2"/>
  <c r="R939" i="2"/>
  <c r="Q939" i="2"/>
  <c r="P939" i="2"/>
  <c r="O939" i="2"/>
  <c r="N939" i="2"/>
  <c r="M939" i="2"/>
  <c r="L939" i="2"/>
  <c r="K939" i="2"/>
  <c r="J939" i="2"/>
  <c r="I939" i="2"/>
  <c r="H939" i="2"/>
  <c r="G939" i="2"/>
  <c r="F939" i="2"/>
  <c r="E939" i="2"/>
  <c r="D939" i="2"/>
  <c r="C939" i="2"/>
  <c r="B939" i="2"/>
  <c r="A939" i="2"/>
  <c r="AG938" i="2"/>
  <c r="AE938" i="2"/>
  <c r="AD938" i="2"/>
  <c r="AC938" i="2"/>
  <c r="AB938" i="2"/>
  <c r="AA938" i="2"/>
  <c r="Z938" i="2"/>
  <c r="Y938" i="2"/>
  <c r="X938" i="2"/>
  <c r="W938" i="2"/>
  <c r="V938" i="2"/>
  <c r="U938" i="2"/>
  <c r="T938" i="2"/>
  <c r="S938" i="2"/>
  <c r="R938" i="2"/>
  <c r="Q938" i="2"/>
  <c r="P938" i="2"/>
  <c r="O938" i="2"/>
  <c r="N938" i="2"/>
  <c r="M938" i="2"/>
  <c r="L938" i="2"/>
  <c r="K938" i="2"/>
  <c r="J938" i="2"/>
  <c r="I938" i="2"/>
  <c r="H938" i="2"/>
  <c r="G938" i="2"/>
  <c r="F938" i="2"/>
  <c r="E938" i="2"/>
  <c r="D938" i="2"/>
  <c r="C938" i="2"/>
  <c r="B938" i="2"/>
  <c r="A938" i="2"/>
  <c r="AH937" i="2"/>
  <c r="AG937" i="2"/>
  <c r="AF937" i="2"/>
  <c r="AE937" i="2"/>
  <c r="AD937" i="2"/>
  <c r="AC937" i="2"/>
  <c r="AB937" i="2"/>
  <c r="AA937" i="2"/>
  <c r="Y937" i="2"/>
  <c r="X937" i="2"/>
  <c r="W937" i="2"/>
  <c r="V937" i="2"/>
  <c r="U937" i="2"/>
  <c r="T937" i="2"/>
  <c r="S937" i="2"/>
  <c r="R937" i="2"/>
  <c r="Q937" i="2"/>
  <c r="P937" i="2"/>
  <c r="O937" i="2"/>
  <c r="N937" i="2"/>
  <c r="M937" i="2"/>
  <c r="L937" i="2"/>
  <c r="K937" i="2"/>
  <c r="J937" i="2"/>
  <c r="I937" i="2"/>
  <c r="H937" i="2"/>
  <c r="G937" i="2"/>
  <c r="F937" i="2"/>
  <c r="E937" i="2"/>
  <c r="D937" i="2"/>
  <c r="C937" i="2"/>
  <c r="B937" i="2"/>
  <c r="A937" i="2"/>
  <c r="AG936" i="2"/>
  <c r="AF936" i="2"/>
  <c r="AE936" i="2"/>
  <c r="AD936" i="2"/>
  <c r="AC936" i="2"/>
  <c r="AB936" i="2"/>
  <c r="AA936" i="2"/>
  <c r="Y936" i="2"/>
  <c r="X936" i="2"/>
  <c r="W936" i="2"/>
  <c r="V936" i="2"/>
  <c r="U936" i="2"/>
  <c r="T936" i="2"/>
  <c r="S936" i="2"/>
  <c r="R936" i="2"/>
  <c r="Q936" i="2"/>
  <c r="P936" i="2"/>
  <c r="O936" i="2"/>
  <c r="N936" i="2"/>
  <c r="M936" i="2"/>
  <c r="L936" i="2"/>
  <c r="K936" i="2"/>
  <c r="J936" i="2"/>
  <c r="I936" i="2"/>
  <c r="H936" i="2"/>
  <c r="G936" i="2"/>
  <c r="F936" i="2"/>
  <c r="E936" i="2"/>
  <c r="D936" i="2"/>
  <c r="C936" i="2"/>
  <c r="B936" i="2"/>
  <c r="A936" i="2"/>
  <c r="AH935" i="2"/>
  <c r="AG935" i="2"/>
  <c r="AF935" i="2"/>
  <c r="AE935" i="2"/>
  <c r="AC935" i="2"/>
  <c r="AB935" i="2"/>
  <c r="AA935" i="2"/>
  <c r="Y935" i="2"/>
  <c r="X935" i="2"/>
  <c r="W935" i="2"/>
  <c r="V935" i="2"/>
  <c r="U935" i="2"/>
  <c r="T935" i="2"/>
  <c r="R935" i="2"/>
  <c r="Q935" i="2"/>
  <c r="P935" i="2"/>
  <c r="O935" i="2"/>
  <c r="N935" i="2"/>
  <c r="M935" i="2"/>
  <c r="L935" i="2"/>
  <c r="K935" i="2"/>
  <c r="J935" i="2"/>
  <c r="I935" i="2"/>
  <c r="H935" i="2"/>
  <c r="G935" i="2"/>
  <c r="F935" i="2"/>
  <c r="E935" i="2"/>
  <c r="D935" i="2"/>
  <c r="C935" i="2"/>
  <c r="B935" i="2"/>
  <c r="A935" i="2"/>
  <c r="AG934" i="2"/>
  <c r="AE934" i="2"/>
  <c r="AD934" i="2"/>
  <c r="AC934" i="2"/>
  <c r="AB934" i="2"/>
  <c r="AA934" i="2"/>
  <c r="Y934" i="2"/>
  <c r="X934" i="2"/>
  <c r="V934" i="2"/>
  <c r="U934" i="2"/>
  <c r="T934" i="2"/>
  <c r="R934" i="2"/>
  <c r="Q934" i="2"/>
  <c r="P934" i="2"/>
  <c r="O934" i="2"/>
  <c r="N934" i="2"/>
  <c r="M934" i="2"/>
  <c r="L934" i="2"/>
  <c r="K934" i="2"/>
  <c r="J934" i="2"/>
  <c r="I934" i="2"/>
  <c r="H934" i="2"/>
  <c r="G934" i="2"/>
  <c r="F934" i="2"/>
  <c r="E934" i="2"/>
  <c r="D934" i="2"/>
  <c r="C934" i="2"/>
  <c r="B934" i="2"/>
  <c r="A934" i="2"/>
  <c r="AG933" i="2"/>
  <c r="AE933" i="2"/>
  <c r="AC933" i="2"/>
  <c r="AB933" i="2"/>
  <c r="AA933" i="2"/>
  <c r="Y933" i="2"/>
  <c r="V933" i="2"/>
  <c r="U933" i="2"/>
  <c r="T933" i="2"/>
  <c r="S933" i="2"/>
  <c r="R933" i="2"/>
  <c r="Q933" i="2"/>
  <c r="P933" i="2"/>
  <c r="O933" i="2"/>
  <c r="N933" i="2"/>
  <c r="M933" i="2"/>
  <c r="L933" i="2"/>
  <c r="K933" i="2"/>
  <c r="J933" i="2"/>
  <c r="I933" i="2"/>
  <c r="H933" i="2"/>
  <c r="G933" i="2"/>
  <c r="F933" i="2"/>
  <c r="E933" i="2"/>
  <c r="D933" i="2"/>
  <c r="C933" i="2"/>
  <c r="B933" i="2"/>
  <c r="A933" i="2"/>
  <c r="AG932" i="2"/>
  <c r="AE932" i="2"/>
  <c r="AD932" i="2"/>
  <c r="AC932" i="2"/>
  <c r="AB932" i="2"/>
  <c r="AA932" i="2"/>
  <c r="Z932" i="2"/>
  <c r="Y932" i="2"/>
  <c r="X932" i="2"/>
  <c r="W932" i="2"/>
  <c r="V932" i="2"/>
  <c r="U932" i="2"/>
  <c r="T932" i="2"/>
  <c r="S932" i="2"/>
  <c r="R932" i="2"/>
  <c r="Q932" i="2"/>
  <c r="P932" i="2"/>
  <c r="O932" i="2"/>
  <c r="N932" i="2"/>
  <c r="M932" i="2"/>
  <c r="L932" i="2"/>
  <c r="J932" i="2"/>
  <c r="I932" i="2"/>
  <c r="H932" i="2"/>
  <c r="G932" i="2"/>
  <c r="F932" i="2"/>
  <c r="E932" i="2"/>
  <c r="D932" i="2"/>
  <c r="C932" i="2"/>
  <c r="B932" i="2"/>
  <c r="A932" i="2"/>
  <c r="AG931" i="2"/>
  <c r="AE931" i="2"/>
  <c r="AD931" i="2"/>
  <c r="AC931" i="2"/>
  <c r="AB931" i="2"/>
  <c r="AA931" i="2"/>
  <c r="Y931" i="2"/>
  <c r="X931" i="2"/>
  <c r="W931" i="2"/>
  <c r="V931" i="2"/>
  <c r="U931" i="2"/>
  <c r="T931" i="2"/>
  <c r="S931" i="2"/>
  <c r="R931" i="2"/>
  <c r="Q931" i="2"/>
  <c r="P931" i="2"/>
  <c r="O931" i="2"/>
  <c r="N931" i="2"/>
  <c r="M931" i="2"/>
  <c r="L931" i="2"/>
  <c r="J931" i="2"/>
  <c r="I931" i="2"/>
  <c r="H931" i="2"/>
  <c r="G931" i="2"/>
  <c r="F931" i="2"/>
  <c r="E931" i="2"/>
  <c r="D931" i="2"/>
  <c r="C931" i="2"/>
  <c r="B931" i="2"/>
  <c r="A931" i="2"/>
  <c r="AG930" i="2"/>
  <c r="AE930" i="2"/>
  <c r="AD930" i="2"/>
  <c r="AC930" i="2"/>
  <c r="AB930" i="2"/>
  <c r="AA930" i="2"/>
  <c r="Z930" i="2"/>
  <c r="Y930" i="2"/>
  <c r="X930" i="2"/>
  <c r="W930" i="2"/>
  <c r="V930" i="2"/>
  <c r="U930" i="2"/>
  <c r="T930" i="2"/>
  <c r="S930" i="2"/>
  <c r="R930" i="2"/>
  <c r="Q930" i="2"/>
  <c r="P930" i="2"/>
  <c r="O930" i="2"/>
  <c r="N930" i="2"/>
  <c r="M930" i="2"/>
  <c r="L930" i="2"/>
  <c r="K930" i="2"/>
  <c r="J930" i="2"/>
  <c r="I930" i="2"/>
  <c r="H930" i="2"/>
  <c r="G930" i="2"/>
  <c r="F930" i="2"/>
  <c r="E930" i="2"/>
  <c r="D930" i="2"/>
  <c r="C930" i="2"/>
  <c r="B930" i="2"/>
  <c r="A930" i="2"/>
  <c r="AH929" i="2"/>
  <c r="AG929" i="2"/>
  <c r="AE929" i="2"/>
  <c r="AD929" i="2"/>
  <c r="AC929" i="2"/>
  <c r="AB929" i="2"/>
  <c r="AA929" i="2"/>
  <c r="Z929" i="2"/>
  <c r="Y929" i="2"/>
  <c r="X929" i="2"/>
  <c r="W929" i="2"/>
  <c r="V929" i="2"/>
  <c r="U929" i="2"/>
  <c r="T929" i="2"/>
  <c r="S929" i="2"/>
  <c r="R929" i="2"/>
  <c r="Q929" i="2"/>
  <c r="P929" i="2"/>
  <c r="O929" i="2"/>
  <c r="N929" i="2"/>
  <c r="M929" i="2"/>
  <c r="L929" i="2"/>
  <c r="K929" i="2"/>
  <c r="J929" i="2"/>
  <c r="I929" i="2"/>
  <c r="H929" i="2"/>
  <c r="G929" i="2"/>
  <c r="F929" i="2"/>
  <c r="E929" i="2"/>
  <c r="D929" i="2"/>
  <c r="C929" i="2"/>
  <c r="B929" i="2"/>
  <c r="A929" i="2"/>
  <c r="AG928" i="2"/>
  <c r="AF928" i="2"/>
  <c r="AE928" i="2"/>
  <c r="AD928" i="2"/>
  <c r="AC928" i="2"/>
  <c r="AB928" i="2"/>
  <c r="AA928" i="2"/>
  <c r="Y928" i="2"/>
  <c r="X928" i="2"/>
  <c r="W928" i="2"/>
  <c r="V928" i="2"/>
  <c r="U928" i="2"/>
  <c r="T928" i="2"/>
  <c r="S928" i="2"/>
  <c r="R928" i="2"/>
  <c r="Q928" i="2"/>
  <c r="P928" i="2"/>
  <c r="O928" i="2"/>
  <c r="N928" i="2"/>
  <c r="M928" i="2"/>
  <c r="L928" i="2"/>
  <c r="K928" i="2"/>
  <c r="J928" i="2"/>
  <c r="I928" i="2"/>
  <c r="H928" i="2"/>
  <c r="G928" i="2"/>
  <c r="F928" i="2"/>
  <c r="E928" i="2"/>
  <c r="D928" i="2"/>
  <c r="C928" i="2"/>
  <c r="B928" i="2"/>
  <c r="A928" i="2"/>
  <c r="AG927" i="2"/>
  <c r="AE927" i="2"/>
  <c r="AD927" i="2"/>
  <c r="AC927" i="2"/>
  <c r="AB927" i="2"/>
  <c r="AA927" i="2"/>
  <c r="Y927" i="2"/>
  <c r="W927" i="2"/>
  <c r="V927" i="2"/>
  <c r="U927" i="2"/>
  <c r="T927" i="2"/>
  <c r="S927" i="2"/>
  <c r="R927" i="2"/>
  <c r="Q927" i="2"/>
  <c r="P927" i="2"/>
  <c r="O927" i="2"/>
  <c r="N927" i="2"/>
  <c r="M927" i="2"/>
  <c r="L927" i="2"/>
  <c r="J927" i="2"/>
  <c r="I927" i="2"/>
  <c r="H927" i="2"/>
  <c r="G927" i="2"/>
  <c r="F927" i="2"/>
  <c r="E927" i="2"/>
  <c r="D927" i="2"/>
  <c r="C927" i="2"/>
  <c r="B927" i="2"/>
  <c r="A927" i="2"/>
  <c r="AG926" i="2"/>
  <c r="AF926" i="2"/>
  <c r="AE926" i="2"/>
  <c r="AD926" i="2"/>
  <c r="AC926" i="2"/>
  <c r="AB926" i="2"/>
  <c r="AA926" i="2"/>
  <c r="Z926" i="2"/>
  <c r="Y926" i="2"/>
  <c r="X926" i="2"/>
  <c r="W926" i="2"/>
  <c r="V926" i="2"/>
  <c r="U926" i="2"/>
  <c r="T926" i="2"/>
  <c r="S926" i="2"/>
  <c r="R926" i="2"/>
  <c r="Q926" i="2"/>
  <c r="P926" i="2"/>
  <c r="O926" i="2"/>
  <c r="N926" i="2"/>
  <c r="M926" i="2"/>
  <c r="L926" i="2"/>
  <c r="K926" i="2"/>
  <c r="J926" i="2"/>
  <c r="I926" i="2"/>
  <c r="H926" i="2"/>
  <c r="G926" i="2"/>
  <c r="F926" i="2"/>
  <c r="E926" i="2"/>
  <c r="D926" i="2"/>
  <c r="C926" i="2"/>
  <c r="B926" i="2"/>
  <c r="A926" i="2"/>
  <c r="AG925" i="2"/>
  <c r="AF925" i="2"/>
  <c r="AE925" i="2"/>
  <c r="AC925" i="2"/>
  <c r="AB925" i="2"/>
  <c r="AA925" i="2"/>
  <c r="X925" i="2"/>
  <c r="W925" i="2"/>
  <c r="V925" i="2"/>
  <c r="U925" i="2"/>
  <c r="T925" i="2"/>
  <c r="S925" i="2"/>
  <c r="R925" i="2"/>
  <c r="Q925" i="2"/>
  <c r="P925" i="2"/>
  <c r="O925" i="2"/>
  <c r="N925" i="2"/>
  <c r="M925" i="2"/>
  <c r="L925" i="2"/>
  <c r="K925" i="2"/>
  <c r="J925" i="2"/>
  <c r="I925" i="2"/>
  <c r="H925" i="2"/>
  <c r="G925" i="2"/>
  <c r="F925" i="2"/>
  <c r="E925" i="2"/>
  <c r="D925" i="2"/>
  <c r="C925" i="2"/>
  <c r="B925" i="2"/>
  <c r="A925" i="2"/>
  <c r="AH924" i="2"/>
  <c r="AF924" i="2"/>
  <c r="AE924" i="2"/>
  <c r="AD924" i="2"/>
  <c r="AC924" i="2"/>
  <c r="AB924" i="2"/>
  <c r="AA924" i="2"/>
  <c r="Y924" i="2"/>
  <c r="X924" i="2"/>
  <c r="W924" i="2"/>
  <c r="V924" i="2"/>
  <c r="U924" i="2"/>
  <c r="T924" i="2"/>
  <c r="S924" i="2"/>
  <c r="R924" i="2"/>
  <c r="Q924" i="2"/>
  <c r="P924" i="2"/>
  <c r="O924" i="2"/>
  <c r="N924" i="2"/>
  <c r="M924" i="2"/>
  <c r="L924" i="2"/>
  <c r="K924" i="2"/>
  <c r="J924" i="2"/>
  <c r="I924" i="2"/>
  <c r="H924" i="2"/>
  <c r="G924" i="2"/>
  <c r="F924" i="2"/>
  <c r="E924" i="2"/>
  <c r="D924" i="2"/>
  <c r="C924" i="2"/>
  <c r="B924" i="2"/>
  <c r="A924" i="2"/>
  <c r="AG923" i="2"/>
  <c r="AE923" i="2"/>
  <c r="AD923" i="2"/>
  <c r="AC923" i="2"/>
  <c r="AB923" i="2"/>
  <c r="AA923" i="2"/>
  <c r="Y923" i="2"/>
  <c r="X923" i="2"/>
  <c r="V923" i="2"/>
  <c r="U923" i="2"/>
  <c r="T923" i="2"/>
  <c r="S923" i="2"/>
  <c r="R923" i="2"/>
  <c r="Q923" i="2"/>
  <c r="P923" i="2"/>
  <c r="O923" i="2"/>
  <c r="N923" i="2"/>
  <c r="M923" i="2"/>
  <c r="L923" i="2"/>
  <c r="K923" i="2"/>
  <c r="J923" i="2"/>
  <c r="I923" i="2"/>
  <c r="H923" i="2"/>
  <c r="G923" i="2"/>
  <c r="F923" i="2"/>
  <c r="E923" i="2"/>
  <c r="D923" i="2"/>
  <c r="C923" i="2"/>
  <c r="B923" i="2"/>
  <c r="A923" i="2"/>
  <c r="AG922" i="2"/>
  <c r="AF922" i="2"/>
  <c r="AE922" i="2"/>
  <c r="AD922" i="2"/>
  <c r="AC922" i="2"/>
  <c r="AB922" i="2"/>
  <c r="AA922" i="2"/>
  <c r="Y922" i="2"/>
  <c r="X922" i="2"/>
  <c r="W922" i="2"/>
  <c r="V922" i="2"/>
  <c r="U922" i="2"/>
  <c r="T922" i="2"/>
  <c r="S922" i="2"/>
  <c r="R922" i="2"/>
  <c r="Q922" i="2"/>
  <c r="P922" i="2"/>
  <c r="O922" i="2"/>
  <c r="N922" i="2"/>
  <c r="M922" i="2"/>
  <c r="L922" i="2"/>
  <c r="K922" i="2"/>
  <c r="J922" i="2"/>
  <c r="I922" i="2"/>
  <c r="H922" i="2"/>
  <c r="G922" i="2"/>
  <c r="F922" i="2"/>
  <c r="E922" i="2"/>
  <c r="D922" i="2"/>
  <c r="C922" i="2"/>
  <c r="B922" i="2"/>
  <c r="A922" i="2"/>
  <c r="AG921" i="2"/>
  <c r="AE921" i="2"/>
  <c r="AD921" i="2"/>
  <c r="AC921" i="2"/>
  <c r="AB921" i="2"/>
  <c r="AA921" i="2"/>
  <c r="Z921" i="2"/>
  <c r="Y921" i="2"/>
  <c r="V921" i="2"/>
  <c r="U921" i="2"/>
  <c r="T921" i="2"/>
  <c r="S921" i="2"/>
  <c r="R921" i="2"/>
  <c r="Q921" i="2"/>
  <c r="P921" i="2"/>
  <c r="O921" i="2"/>
  <c r="N921" i="2"/>
  <c r="M921" i="2"/>
  <c r="L921" i="2"/>
  <c r="K921" i="2"/>
  <c r="J921" i="2"/>
  <c r="I921" i="2"/>
  <c r="H921" i="2"/>
  <c r="G921" i="2"/>
  <c r="F921" i="2"/>
  <c r="E921" i="2"/>
  <c r="D921" i="2"/>
  <c r="C921" i="2"/>
  <c r="B921" i="2"/>
  <c r="A921" i="2"/>
  <c r="AG920" i="2"/>
  <c r="AF920" i="2"/>
  <c r="AE920" i="2"/>
  <c r="AD920" i="2"/>
  <c r="AC920" i="2"/>
  <c r="AB920" i="2"/>
  <c r="AA920" i="2"/>
  <c r="Z920" i="2"/>
  <c r="Y920" i="2"/>
  <c r="X920" i="2"/>
  <c r="W920" i="2"/>
  <c r="V920" i="2"/>
  <c r="U920" i="2"/>
  <c r="T920" i="2"/>
  <c r="S920" i="2"/>
  <c r="R920" i="2"/>
  <c r="Q920" i="2"/>
  <c r="P920" i="2"/>
  <c r="O920" i="2"/>
  <c r="N920" i="2"/>
  <c r="M920" i="2"/>
  <c r="L920" i="2"/>
  <c r="K920" i="2"/>
  <c r="J920" i="2"/>
  <c r="I920" i="2"/>
  <c r="H920" i="2"/>
  <c r="G920" i="2"/>
  <c r="F920" i="2"/>
  <c r="E920" i="2"/>
  <c r="D920" i="2"/>
  <c r="C920" i="2"/>
  <c r="B920" i="2"/>
  <c r="A920" i="2"/>
  <c r="AG919" i="2"/>
  <c r="AF919" i="2"/>
  <c r="AE919" i="2"/>
  <c r="AD919" i="2"/>
  <c r="AC919" i="2"/>
  <c r="AB919" i="2"/>
  <c r="AA919" i="2"/>
  <c r="Y919" i="2"/>
  <c r="X919" i="2"/>
  <c r="W919" i="2"/>
  <c r="V919" i="2"/>
  <c r="U919" i="2"/>
  <c r="T919" i="2"/>
  <c r="S919" i="2"/>
  <c r="R919" i="2"/>
  <c r="Q919" i="2"/>
  <c r="P919" i="2"/>
  <c r="O919" i="2"/>
  <c r="N919" i="2"/>
  <c r="M919" i="2"/>
  <c r="L919" i="2"/>
  <c r="K919" i="2"/>
  <c r="J919" i="2"/>
  <c r="I919" i="2"/>
  <c r="H919" i="2"/>
  <c r="G919" i="2"/>
  <c r="F919" i="2"/>
  <c r="E919" i="2"/>
  <c r="D919" i="2"/>
  <c r="C919" i="2"/>
  <c r="B919" i="2"/>
  <c r="A919" i="2"/>
  <c r="AG918" i="2"/>
  <c r="AE918" i="2"/>
  <c r="AD918" i="2"/>
  <c r="AC918" i="2"/>
  <c r="AB918" i="2"/>
  <c r="AA918" i="2"/>
  <c r="W918" i="2"/>
  <c r="V918" i="2"/>
  <c r="U918" i="2"/>
  <c r="T918" i="2"/>
  <c r="S918" i="2"/>
  <c r="R918" i="2"/>
  <c r="Q918" i="2"/>
  <c r="P918" i="2"/>
  <c r="O918" i="2"/>
  <c r="N918" i="2"/>
  <c r="M918" i="2"/>
  <c r="L918" i="2"/>
  <c r="K918" i="2"/>
  <c r="J918" i="2"/>
  <c r="I918" i="2"/>
  <c r="H918" i="2"/>
  <c r="G918" i="2"/>
  <c r="F918" i="2"/>
  <c r="E918" i="2"/>
  <c r="D918" i="2"/>
  <c r="C918" i="2"/>
  <c r="B918" i="2"/>
  <c r="A918" i="2"/>
  <c r="AG917" i="2"/>
  <c r="AE917" i="2"/>
  <c r="AD917" i="2"/>
  <c r="AC917" i="2"/>
  <c r="AB917" i="2"/>
  <c r="AA917" i="2"/>
  <c r="X917" i="2"/>
  <c r="W917" i="2"/>
  <c r="V917" i="2"/>
  <c r="U917" i="2"/>
  <c r="T917" i="2"/>
  <c r="S917" i="2"/>
  <c r="R917" i="2"/>
  <c r="Q917" i="2"/>
  <c r="P917" i="2"/>
  <c r="O917" i="2"/>
  <c r="N917" i="2"/>
  <c r="M917" i="2"/>
  <c r="L917" i="2"/>
  <c r="K917" i="2"/>
  <c r="J917" i="2"/>
  <c r="I917" i="2"/>
  <c r="H917" i="2"/>
  <c r="G917" i="2"/>
  <c r="F917" i="2"/>
  <c r="E917" i="2"/>
  <c r="D917" i="2"/>
  <c r="C917" i="2"/>
  <c r="B917" i="2"/>
  <c r="A917" i="2"/>
  <c r="AG916" i="2"/>
  <c r="AE916" i="2"/>
  <c r="AD916" i="2"/>
  <c r="AC916" i="2"/>
  <c r="AB916" i="2"/>
  <c r="AA916" i="2"/>
  <c r="W916" i="2"/>
  <c r="V916" i="2"/>
  <c r="U916" i="2"/>
  <c r="T916" i="2"/>
  <c r="S916" i="2"/>
  <c r="R916" i="2"/>
  <c r="Q916" i="2"/>
  <c r="P916" i="2"/>
  <c r="O916" i="2"/>
  <c r="N916" i="2"/>
  <c r="M916" i="2"/>
  <c r="L916" i="2"/>
  <c r="K916" i="2"/>
  <c r="J916" i="2"/>
  <c r="I916" i="2"/>
  <c r="H916" i="2"/>
  <c r="G916" i="2"/>
  <c r="F916" i="2"/>
  <c r="E916" i="2"/>
  <c r="D916" i="2"/>
  <c r="C916" i="2"/>
  <c r="B916" i="2"/>
  <c r="A916" i="2"/>
  <c r="AG915" i="2"/>
  <c r="AE915" i="2"/>
  <c r="AD915" i="2"/>
  <c r="AC915" i="2"/>
  <c r="AB915" i="2"/>
  <c r="AA915" i="2"/>
  <c r="X915" i="2"/>
  <c r="W915" i="2"/>
  <c r="V915" i="2"/>
  <c r="U915" i="2"/>
  <c r="T915" i="2"/>
  <c r="S915" i="2"/>
  <c r="R915" i="2"/>
  <c r="Q915" i="2"/>
  <c r="P915" i="2"/>
  <c r="O915" i="2"/>
  <c r="N915" i="2"/>
  <c r="M915" i="2"/>
  <c r="L915" i="2"/>
  <c r="K915" i="2"/>
  <c r="J915" i="2"/>
  <c r="I915" i="2"/>
  <c r="H915" i="2"/>
  <c r="G915" i="2"/>
  <c r="F915" i="2"/>
  <c r="E915" i="2"/>
  <c r="D915" i="2"/>
  <c r="C915" i="2"/>
  <c r="B915" i="2"/>
  <c r="A915" i="2"/>
  <c r="AG914" i="2"/>
  <c r="AF914" i="2"/>
  <c r="AE914" i="2"/>
  <c r="AD914" i="2"/>
  <c r="AC914" i="2"/>
  <c r="AB914" i="2"/>
  <c r="AA914" i="2"/>
  <c r="Y914" i="2"/>
  <c r="X914" i="2"/>
  <c r="W914" i="2"/>
  <c r="V914" i="2"/>
  <c r="U914" i="2"/>
  <c r="S914" i="2"/>
  <c r="R914" i="2"/>
  <c r="Q914" i="2"/>
  <c r="P914" i="2"/>
  <c r="O914" i="2"/>
  <c r="N914" i="2"/>
  <c r="M914" i="2"/>
  <c r="L914" i="2"/>
  <c r="K914" i="2"/>
  <c r="J914" i="2"/>
  <c r="I914" i="2"/>
  <c r="H914" i="2"/>
  <c r="G914" i="2"/>
  <c r="F914" i="2"/>
  <c r="E914" i="2"/>
  <c r="D914" i="2"/>
  <c r="C914" i="2"/>
  <c r="B914" i="2"/>
  <c r="A914" i="2"/>
  <c r="AG913" i="2"/>
  <c r="AE913" i="2"/>
  <c r="AD913" i="2"/>
  <c r="AC913" i="2"/>
  <c r="AB913" i="2"/>
  <c r="AA913" i="2"/>
  <c r="Y913" i="2"/>
  <c r="V913" i="2"/>
  <c r="U913" i="2"/>
  <c r="T913" i="2"/>
  <c r="S913" i="2"/>
  <c r="R913" i="2"/>
  <c r="Q913" i="2"/>
  <c r="P913" i="2"/>
  <c r="O913" i="2"/>
  <c r="N913" i="2"/>
  <c r="M913" i="2"/>
  <c r="L913" i="2"/>
  <c r="K913" i="2"/>
  <c r="J913" i="2"/>
  <c r="I913" i="2"/>
  <c r="H913" i="2"/>
  <c r="G913" i="2"/>
  <c r="F913" i="2"/>
  <c r="E913" i="2"/>
  <c r="D913" i="2"/>
  <c r="C913" i="2"/>
  <c r="B913" i="2"/>
  <c r="A913" i="2"/>
  <c r="AG912" i="2"/>
  <c r="AF912" i="2"/>
  <c r="AE912" i="2"/>
  <c r="AD912" i="2"/>
  <c r="AC912" i="2"/>
  <c r="AB912" i="2"/>
  <c r="AA912" i="2"/>
  <c r="Z912" i="2"/>
  <c r="Y912" i="2"/>
  <c r="X912" i="2"/>
  <c r="W912" i="2"/>
  <c r="V912" i="2"/>
  <c r="U912" i="2"/>
  <c r="T912" i="2"/>
  <c r="S912" i="2"/>
  <c r="R912" i="2"/>
  <c r="Q912" i="2"/>
  <c r="P912" i="2"/>
  <c r="O912" i="2"/>
  <c r="N912" i="2"/>
  <c r="M912" i="2"/>
  <c r="L912" i="2"/>
  <c r="K912" i="2"/>
  <c r="J912" i="2"/>
  <c r="I912" i="2"/>
  <c r="H912" i="2"/>
  <c r="G912" i="2"/>
  <c r="F912" i="2"/>
  <c r="E912" i="2"/>
  <c r="D912" i="2"/>
  <c r="C912" i="2"/>
  <c r="B912" i="2"/>
  <c r="A912" i="2"/>
  <c r="AG911" i="2"/>
  <c r="AE911" i="2"/>
  <c r="AD911" i="2"/>
  <c r="AC911" i="2"/>
  <c r="AB911" i="2"/>
  <c r="AA911" i="2"/>
  <c r="W911" i="2"/>
  <c r="V911" i="2"/>
  <c r="U911" i="2"/>
  <c r="T911" i="2"/>
  <c r="S911" i="2"/>
  <c r="R911" i="2"/>
  <c r="Q911" i="2"/>
  <c r="P911" i="2"/>
  <c r="O911" i="2"/>
  <c r="N911" i="2"/>
  <c r="M911" i="2"/>
  <c r="L911" i="2"/>
  <c r="K911" i="2"/>
  <c r="J911" i="2"/>
  <c r="I911" i="2"/>
  <c r="H911" i="2"/>
  <c r="G911" i="2"/>
  <c r="F911" i="2"/>
  <c r="E911" i="2"/>
  <c r="D911" i="2"/>
  <c r="C911" i="2"/>
  <c r="B911" i="2"/>
  <c r="A911" i="2"/>
  <c r="AG910" i="2"/>
  <c r="AE910" i="2"/>
  <c r="AD910" i="2"/>
  <c r="AC910" i="2"/>
  <c r="AB910" i="2"/>
  <c r="AA910" i="2"/>
  <c r="Y910" i="2"/>
  <c r="V910" i="2"/>
  <c r="U910" i="2"/>
  <c r="T910" i="2"/>
  <c r="S910" i="2"/>
  <c r="R910" i="2"/>
  <c r="Q910" i="2"/>
  <c r="P910" i="2"/>
  <c r="O910" i="2"/>
  <c r="N910" i="2"/>
  <c r="M910" i="2"/>
  <c r="L910" i="2"/>
  <c r="K910" i="2"/>
  <c r="J910" i="2"/>
  <c r="I910" i="2"/>
  <c r="H910" i="2"/>
  <c r="G910" i="2"/>
  <c r="F910" i="2"/>
  <c r="E910" i="2"/>
  <c r="D910" i="2"/>
  <c r="C910" i="2"/>
  <c r="B910" i="2"/>
  <c r="A910" i="2"/>
  <c r="AG909" i="2"/>
  <c r="AE909" i="2"/>
  <c r="AD909" i="2"/>
  <c r="AC909" i="2"/>
  <c r="AB909" i="2"/>
  <c r="AA909" i="2"/>
  <c r="V909" i="2"/>
  <c r="U909" i="2"/>
  <c r="T909" i="2"/>
  <c r="S909" i="2"/>
  <c r="R909" i="2"/>
  <c r="Q909" i="2"/>
  <c r="P909" i="2"/>
  <c r="O909" i="2"/>
  <c r="N909" i="2"/>
  <c r="M909" i="2"/>
  <c r="L909" i="2"/>
  <c r="K909" i="2"/>
  <c r="J909" i="2"/>
  <c r="I909" i="2"/>
  <c r="H909" i="2"/>
  <c r="G909" i="2"/>
  <c r="F909" i="2"/>
  <c r="E909" i="2"/>
  <c r="D909" i="2"/>
  <c r="C909" i="2"/>
  <c r="B909" i="2"/>
  <c r="A909" i="2"/>
  <c r="AH908" i="2"/>
  <c r="AG908" i="2"/>
  <c r="AF908" i="2"/>
  <c r="AE908" i="2"/>
  <c r="AD908" i="2"/>
  <c r="AC908" i="2"/>
  <c r="AB908" i="2"/>
  <c r="AA908" i="2"/>
  <c r="Y908" i="2"/>
  <c r="X908" i="2"/>
  <c r="W908" i="2"/>
  <c r="V908" i="2"/>
  <c r="U908" i="2"/>
  <c r="R908" i="2"/>
  <c r="Q908" i="2"/>
  <c r="P908" i="2"/>
  <c r="O908" i="2"/>
  <c r="N908" i="2"/>
  <c r="M908" i="2"/>
  <c r="L908" i="2"/>
  <c r="K908" i="2"/>
  <c r="J908" i="2"/>
  <c r="I908" i="2"/>
  <c r="H908" i="2"/>
  <c r="G908" i="2"/>
  <c r="F908" i="2"/>
  <c r="E908" i="2"/>
  <c r="D908" i="2"/>
  <c r="C908" i="2"/>
  <c r="B908" i="2"/>
  <c r="A908" i="2"/>
  <c r="AH907" i="2"/>
  <c r="AG907" i="2"/>
  <c r="AF907" i="2"/>
  <c r="AE907" i="2"/>
  <c r="AD907" i="2"/>
  <c r="AC907" i="2"/>
  <c r="AB907" i="2"/>
  <c r="AA907" i="2"/>
  <c r="Y907" i="2"/>
  <c r="X907" i="2"/>
  <c r="W907" i="2"/>
  <c r="V907" i="2"/>
  <c r="U907" i="2"/>
  <c r="T907" i="2"/>
  <c r="S907" i="2"/>
  <c r="R907" i="2"/>
  <c r="Q907" i="2"/>
  <c r="P907" i="2"/>
  <c r="O907" i="2"/>
  <c r="N907" i="2"/>
  <c r="M907" i="2"/>
  <c r="L907" i="2"/>
  <c r="K907" i="2"/>
  <c r="J907" i="2"/>
  <c r="I907" i="2"/>
  <c r="H907" i="2"/>
  <c r="G907" i="2"/>
  <c r="F907" i="2"/>
  <c r="E907" i="2"/>
  <c r="D907" i="2"/>
  <c r="C907" i="2"/>
  <c r="B907" i="2"/>
  <c r="A907" i="2"/>
  <c r="AG906" i="2"/>
  <c r="AD906" i="2"/>
  <c r="AC906" i="2"/>
  <c r="AB906" i="2"/>
  <c r="AA906" i="2"/>
  <c r="V906" i="2"/>
  <c r="U906" i="2"/>
  <c r="R906" i="2"/>
  <c r="Q906" i="2"/>
  <c r="P906" i="2"/>
  <c r="O906" i="2"/>
  <c r="N906" i="2"/>
  <c r="M906" i="2"/>
  <c r="L906" i="2"/>
  <c r="K906" i="2"/>
  <c r="J906" i="2"/>
  <c r="I906" i="2"/>
  <c r="H906" i="2"/>
  <c r="G906" i="2"/>
  <c r="F906" i="2"/>
  <c r="E906" i="2"/>
  <c r="D906" i="2"/>
  <c r="C906" i="2"/>
  <c r="B906" i="2"/>
  <c r="A906" i="2"/>
  <c r="AH905" i="2"/>
  <c r="AG905" i="2"/>
  <c r="AF905" i="2"/>
  <c r="AE905" i="2"/>
  <c r="AD905" i="2"/>
  <c r="AC905" i="2"/>
  <c r="AB905" i="2"/>
  <c r="AA905" i="2"/>
  <c r="Y905" i="2"/>
  <c r="X905" i="2"/>
  <c r="W905" i="2"/>
  <c r="V905" i="2"/>
  <c r="U905" i="2"/>
  <c r="T905" i="2"/>
  <c r="S905" i="2"/>
  <c r="R905" i="2"/>
  <c r="Q905" i="2"/>
  <c r="P905" i="2"/>
  <c r="O905" i="2"/>
  <c r="N905" i="2"/>
  <c r="M905" i="2"/>
  <c r="L905" i="2"/>
  <c r="K905" i="2"/>
  <c r="J905" i="2"/>
  <c r="I905" i="2"/>
  <c r="H905" i="2"/>
  <c r="G905" i="2"/>
  <c r="F905" i="2"/>
  <c r="E905" i="2"/>
  <c r="D905" i="2"/>
  <c r="C905" i="2"/>
  <c r="B905" i="2"/>
  <c r="A905" i="2"/>
  <c r="AH904" i="2"/>
  <c r="AG904" i="2"/>
  <c r="AE904" i="2"/>
  <c r="AD904" i="2"/>
  <c r="AC904" i="2"/>
  <c r="AB904" i="2"/>
  <c r="AA904" i="2"/>
  <c r="Y904" i="2"/>
  <c r="V904" i="2"/>
  <c r="U904" i="2"/>
  <c r="T904" i="2"/>
  <c r="S904" i="2"/>
  <c r="R904" i="2"/>
  <c r="Q904" i="2"/>
  <c r="P904" i="2"/>
  <c r="O904" i="2"/>
  <c r="N904" i="2"/>
  <c r="M904" i="2"/>
  <c r="L904" i="2"/>
  <c r="K904" i="2"/>
  <c r="J904" i="2"/>
  <c r="I904" i="2"/>
  <c r="H904" i="2"/>
  <c r="G904" i="2"/>
  <c r="F904" i="2"/>
  <c r="E904" i="2"/>
  <c r="D904" i="2"/>
  <c r="C904" i="2"/>
  <c r="B904" i="2"/>
  <c r="A904" i="2"/>
  <c r="AG903" i="2"/>
  <c r="AE903" i="2"/>
  <c r="AD903" i="2"/>
  <c r="AC903" i="2"/>
  <c r="AB903" i="2"/>
  <c r="AA903" i="2"/>
  <c r="Y903" i="2"/>
  <c r="V903" i="2"/>
  <c r="U903" i="2"/>
  <c r="T903" i="2"/>
  <c r="S903" i="2"/>
  <c r="R903" i="2"/>
  <c r="Q903" i="2"/>
  <c r="P903" i="2"/>
  <c r="O903" i="2"/>
  <c r="N903" i="2"/>
  <c r="M903" i="2"/>
  <c r="L903" i="2"/>
  <c r="K903" i="2"/>
  <c r="J903" i="2"/>
  <c r="I903" i="2"/>
  <c r="H903" i="2"/>
  <c r="G903" i="2"/>
  <c r="F903" i="2"/>
  <c r="E903" i="2"/>
  <c r="D903" i="2"/>
  <c r="C903" i="2"/>
  <c r="B903" i="2"/>
  <c r="A903" i="2"/>
  <c r="AH902" i="2"/>
  <c r="AG902" i="2"/>
  <c r="AF902" i="2"/>
  <c r="AE902" i="2"/>
  <c r="AC902" i="2"/>
  <c r="AB902" i="2"/>
  <c r="AA902" i="2"/>
  <c r="Y902" i="2"/>
  <c r="X902" i="2"/>
  <c r="V902" i="2"/>
  <c r="U902" i="2"/>
  <c r="T902" i="2"/>
  <c r="S902" i="2"/>
  <c r="R902" i="2"/>
  <c r="Q902" i="2"/>
  <c r="P902" i="2"/>
  <c r="O902" i="2"/>
  <c r="N902" i="2"/>
  <c r="M902" i="2"/>
  <c r="L902" i="2"/>
  <c r="K902" i="2"/>
  <c r="J902" i="2"/>
  <c r="I902" i="2"/>
  <c r="H902" i="2"/>
  <c r="G902" i="2"/>
  <c r="F902" i="2"/>
  <c r="E902" i="2"/>
  <c r="D902" i="2"/>
  <c r="C902" i="2"/>
  <c r="B902" i="2"/>
  <c r="A902" i="2"/>
  <c r="AC901" i="2"/>
  <c r="W901" i="2"/>
  <c r="V901" i="2"/>
  <c r="U901" i="2"/>
  <c r="T901" i="2"/>
  <c r="S901" i="2"/>
  <c r="R901" i="2"/>
  <c r="Q901" i="2"/>
  <c r="P901" i="2"/>
  <c r="O901" i="2"/>
  <c r="N901" i="2"/>
  <c r="M901" i="2"/>
  <c r="L901" i="2"/>
  <c r="K901" i="2"/>
  <c r="J901" i="2"/>
  <c r="I901" i="2"/>
  <c r="H901" i="2"/>
  <c r="G901" i="2"/>
  <c r="F901" i="2"/>
  <c r="E901" i="2"/>
  <c r="D901" i="2"/>
  <c r="C901" i="2"/>
  <c r="B901" i="2"/>
  <c r="A901" i="2"/>
  <c r="AG900" i="2"/>
  <c r="AE900" i="2"/>
  <c r="AD900" i="2"/>
  <c r="AC900" i="2"/>
  <c r="AB900" i="2"/>
  <c r="AA900" i="2"/>
  <c r="Y900" i="2"/>
  <c r="X900" i="2"/>
  <c r="W900" i="2"/>
  <c r="V900" i="2"/>
  <c r="U900" i="2"/>
  <c r="T900" i="2"/>
  <c r="S900" i="2"/>
  <c r="R900" i="2"/>
  <c r="Q900" i="2"/>
  <c r="P900" i="2"/>
  <c r="O900" i="2"/>
  <c r="N900" i="2"/>
  <c r="M900" i="2"/>
  <c r="L900" i="2"/>
  <c r="K900" i="2"/>
  <c r="J900" i="2"/>
  <c r="I900" i="2"/>
  <c r="H900" i="2"/>
  <c r="G900" i="2"/>
  <c r="F900" i="2"/>
  <c r="E900" i="2"/>
  <c r="D900" i="2"/>
  <c r="C900" i="2"/>
  <c r="B900" i="2"/>
  <c r="A900" i="2"/>
  <c r="AH899" i="2"/>
  <c r="AG899" i="2"/>
  <c r="AF899" i="2"/>
  <c r="AE899" i="2"/>
  <c r="AD899" i="2"/>
  <c r="AC899" i="2"/>
  <c r="AB899" i="2"/>
  <c r="AA899" i="2"/>
  <c r="Y899" i="2"/>
  <c r="X899" i="2"/>
  <c r="W899" i="2"/>
  <c r="V899" i="2"/>
  <c r="U899" i="2"/>
  <c r="T899" i="2"/>
  <c r="S899" i="2"/>
  <c r="R899" i="2"/>
  <c r="Q899" i="2"/>
  <c r="P899" i="2"/>
  <c r="O899" i="2"/>
  <c r="N899" i="2"/>
  <c r="M899" i="2"/>
  <c r="L899" i="2"/>
  <c r="K899" i="2"/>
  <c r="J899" i="2"/>
  <c r="I899" i="2"/>
  <c r="H899" i="2"/>
  <c r="G899" i="2"/>
  <c r="F899" i="2"/>
  <c r="E899" i="2"/>
  <c r="D899" i="2"/>
  <c r="C899" i="2"/>
  <c r="B899" i="2"/>
  <c r="A899" i="2"/>
  <c r="AG898" i="2"/>
  <c r="AE898" i="2"/>
  <c r="AD898" i="2"/>
  <c r="AC898" i="2"/>
  <c r="AB898" i="2"/>
  <c r="AA898" i="2"/>
  <c r="X898" i="2"/>
  <c r="W898" i="2"/>
  <c r="V898" i="2"/>
  <c r="U898" i="2"/>
  <c r="T898" i="2"/>
  <c r="S898" i="2"/>
  <c r="R898" i="2"/>
  <c r="Q898" i="2"/>
  <c r="P898" i="2"/>
  <c r="O898" i="2"/>
  <c r="N898" i="2"/>
  <c r="M898" i="2"/>
  <c r="L898" i="2"/>
  <c r="K898" i="2"/>
  <c r="J898" i="2"/>
  <c r="I898" i="2"/>
  <c r="H898" i="2"/>
  <c r="G898" i="2"/>
  <c r="F898" i="2"/>
  <c r="E898" i="2"/>
  <c r="D898" i="2"/>
  <c r="C898" i="2"/>
  <c r="B898" i="2"/>
  <c r="A898" i="2"/>
  <c r="AG897" i="2"/>
  <c r="AF897" i="2"/>
  <c r="AE897" i="2"/>
  <c r="AC897" i="2"/>
  <c r="AB897" i="2"/>
  <c r="AA897" i="2"/>
  <c r="X897" i="2"/>
  <c r="W897" i="2"/>
  <c r="V897" i="2"/>
  <c r="U897" i="2"/>
  <c r="R897" i="2"/>
  <c r="P897" i="2"/>
  <c r="O897" i="2"/>
  <c r="M897" i="2"/>
  <c r="L897" i="2"/>
  <c r="K897" i="2"/>
  <c r="J897" i="2"/>
  <c r="I897" i="2"/>
  <c r="H897" i="2"/>
  <c r="G897" i="2"/>
  <c r="F897" i="2"/>
  <c r="E897" i="2"/>
  <c r="D897" i="2"/>
  <c r="C897" i="2"/>
  <c r="B897" i="2"/>
  <c r="A897" i="2"/>
  <c r="AG896" i="2"/>
  <c r="AE896" i="2"/>
  <c r="AD896" i="2"/>
  <c r="AC896" i="2"/>
  <c r="AB896" i="2"/>
  <c r="AA896" i="2"/>
  <c r="Y896" i="2"/>
  <c r="X896" i="2"/>
  <c r="W896" i="2"/>
  <c r="V896" i="2"/>
  <c r="U896" i="2"/>
  <c r="T896" i="2"/>
  <c r="S896" i="2"/>
  <c r="R896" i="2"/>
  <c r="Q896" i="2"/>
  <c r="P896" i="2"/>
  <c r="O896" i="2"/>
  <c r="N896" i="2"/>
  <c r="M896" i="2"/>
  <c r="L896" i="2"/>
  <c r="K896" i="2"/>
  <c r="J896" i="2"/>
  <c r="I896" i="2"/>
  <c r="H896" i="2"/>
  <c r="G896" i="2"/>
  <c r="F896" i="2"/>
  <c r="E896" i="2"/>
  <c r="D896" i="2"/>
  <c r="C896" i="2"/>
  <c r="B896" i="2"/>
  <c r="A896" i="2"/>
  <c r="AG895" i="2"/>
  <c r="AF895" i="2"/>
  <c r="AE895" i="2"/>
  <c r="AD895" i="2"/>
  <c r="AC895" i="2"/>
  <c r="AB895" i="2"/>
  <c r="AA895" i="2"/>
  <c r="Z895" i="2"/>
  <c r="Y895" i="2"/>
  <c r="X895" i="2"/>
  <c r="W895" i="2"/>
  <c r="V895" i="2"/>
  <c r="U895" i="2"/>
  <c r="T895" i="2"/>
  <c r="S895" i="2"/>
  <c r="R895" i="2"/>
  <c r="Q895" i="2"/>
  <c r="P895" i="2"/>
  <c r="O895" i="2"/>
  <c r="N895" i="2"/>
  <c r="M895" i="2"/>
  <c r="L895" i="2"/>
  <c r="K895" i="2"/>
  <c r="J895" i="2"/>
  <c r="I895" i="2"/>
  <c r="H895" i="2"/>
  <c r="G895" i="2"/>
  <c r="F895" i="2"/>
  <c r="E895" i="2"/>
  <c r="D895" i="2"/>
  <c r="C895" i="2"/>
  <c r="B895" i="2"/>
  <c r="A895" i="2"/>
  <c r="AH894" i="2"/>
  <c r="AG894" i="2"/>
  <c r="AE894" i="2"/>
  <c r="AD894" i="2"/>
  <c r="AC894" i="2"/>
  <c r="AB894" i="2"/>
  <c r="AA894" i="2"/>
  <c r="Y894" i="2"/>
  <c r="X894" i="2"/>
  <c r="W894" i="2"/>
  <c r="V894" i="2"/>
  <c r="U894" i="2"/>
  <c r="T894" i="2"/>
  <c r="S894" i="2"/>
  <c r="R894" i="2"/>
  <c r="Q894" i="2"/>
  <c r="P894" i="2"/>
  <c r="O894" i="2"/>
  <c r="N894" i="2"/>
  <c r="M894" i="2"/>
  <c r="L894" i="2"/>
  <c r="K894" i="2"/>
  <c r="J894" i="2"/>
  <c r="I894" i="2"/>
  <c r="H894" i="2"/>
  <c r="G894" i="2"/>
  <c r="F894" i="2"/>
  <c r="E894" i="2"/>
  <c r="D894" i="2"/>
  <c r="C894" i="2"/>
  <c r="B894" i="2"/>
  <c r="A894" i="2"/>
  <c r="AG893" i="2"/>
  <c r="AF893" i="2"/>
  <c r="AE893" i="2"/>
  <c r="AD893" i="2"/>
  <c r="AC893" i="2"/>
  <c r="AB893" i="2"/>
  <c r="AA893" i="2"/>
  <c r="Y893" i="2"/>
  <c r="X893" i="2"/>
  <c r="W893" i="2"/>
  <c r="V893" i="2"/>
  <c r="U893" i="2"/>
  <c r="T893" i="2"/>
  <c r="S893" i="2"/>
  <c r="R893" i="2"/>
  <c r="Q893" i="2"/>
  <c r="P893" i="2"/>
  <c r="O893" i="2"/>
  <c r="N893" i="2"/>
  <c r="M893" i="2"/>
  <c r="L893" i="2"/>
  <c r="K893" i="2"/>
  <c r="J893" i="2"/>
  <c r="I893" i="2"/>
  <c r="H893" i="2"/>
  <c r="G893" i="2"/>
  <c r="F893" i="2"/>
  <c r="E893" i="2"/>
  <c r="D893" i="2"/>
  <c r="C893" i="2"/>
  <c r="B893" i="2"/>
  <c r="A893" i="2"/>
  <c r="AH892" i="2"/>
  <c r="AG892" i="2"/>
  <c r="AD892" i="2"/>
  <c r="AC892" i="2"/>
  <c r="AB892" i="2"/>
  <c r="AA892" i="2"/>
  <c r="X892" i="2"/>
  <c r="V892" i="2"/>
  <c r="U892" i="2"/>
  <c r="T892" i="2"/>
  <c r="S892" i="2"/>
  <c r="R892" i="2"/>
  <c r="Q892" i="2"/>
  <c r="P892" i="2"/>
  <c r="O892" i="2"/>
  <c r="N892" i="2"/>
  <c r="M892" i="2"/>
  <c r="L892" i="2"/>
  <c r="K892" i="2"/>
  <c r="J892" i="2"/>
  <c r="I892" i="2"/>
  <c r="H892" i="2"/>
  <c r="G892" i="2"/>
  <c r="F892" i="2"/>
  <c r="E892" i="2"/>
  <c r="D892" i="2"/>
  <c r="C892" i="2"/>
  <c r="B892" i="2"/>
  <c r="A892" i="2"/>
  <c r="AG891" i="2"/>
  <c r="AE891" i="2"/>
  <c r="AC891" i="2"/>
  <c r="AB891" i="2"/>
  <c r="AA891" i="2"/>
  <c r="X891" i="2"/>
  <c r="W891" i="2"/>
  <c r="V891" i="2"/>
  <c r="U891" i="2"/>
  <c r="T891" i="2"/>
  <c r="S891" i="2"/>
  <c r="R891" i="2"/>
  <c r="Q891" i="2"/>
  <c r="P891" i="2"/>
  <c r="O891" i="2"/>
  <c r="N891" i="2"/>
  <c r="M891" i="2"/>
  <c r="L891" i="2"/>
  <c r="K891" i="2"/>
  <c r="J891" i="2"/>
  <c r="I891" i="2"/>
  <c r="H891" i="2"/>
  <c r="G891" i="2"/>
  <c r="F891" i="2"/>
  <c r="E891" i="2"/>
  <c r="D891" i="2"/>
  <c r="C891" i="2"/>
  <c r="B891" i="2"/>
  <c r="A891" i="2"/>
  <c r="AG890" i="2"/>
  <c r="AF890" i="2"/>
  <c r="AE890" i="2"/>
  <c r="AD890" i="2"/>
  <c r="AC890" i="2"/>
  <c r="AB890" i="2"/>
  <c r="AA890" i="2"/>
  <c r="Y890" i="2"/>
  <c r="X890" i="2"/>
  <c r="W890" i="2"/>
  <c r="V890" i="2"/>
  <c r="U890" i="2"/>
  <c r="T890" i="2"/>
  <c r="S890" i="2"/>
  <c r="R890" i="2"/>
  <c r="Q890" i="2"/>
  <c r="P890" i="2"/>
  <c r="O890" i="2"/>
  <c r="N890" i="2"/>
  <c r="M890" i="2"/>
  <c r="L890" i="2"/>
  <c r="K890" i="2"/>
  <c r="J890" i="2"/>
  <c r="I890" i="2"/>
  <c r="H890" i="2"/>
  <c r="G890" i="2"/>
  <c r="F890" i="2"/>
  <c r="E890" i="2"/>
  <c r="D890" i="2"/>
  <c r="C890" i="2"/>
  <c r="B890" i="2"/>
  <c r="A890" i="2"/>
  <c r="AG889" i="2"/>
  <c r="AF889" i="2"/>
  <c r="AE889" i="2"/>
  <c r="AD889" i="2"/>
  <c r="AC889" i="2"/>
  <c r="AB889" i="2"/>
  <c r="AA889" i="2"/>
  <c r="Y889" i="2"/>
  <c r="X889" i="2"/>
  <c r="W889" i="2"/>
  <c r="V889" i="2"/>
  <c r="U889" i="2"/>
  <c r="T889" i="2"/>
  <c r="S889" i="2"/>
  <c r="R889" i="2"/>
  <c r="Q889" i="2"/>
  <c r="P889" i="2"/>
  <c r="O889" i="2"/>
  <c r="N889" i="2"/>
  <c r="M889" i="2"/>
  <c r="L889" i="2"/>
  <c r="K889" i="2"/>
  <c r="J889" i="2"/>
  <c r="I889" i="2"/>
  <c r="H889" i="2"/>
  <c r="G889" i="2"/>
  <c r="F889" i="2"/>
  <c r="E889" i="2"/>
  <c r="D889" i="2"/>
  <c r="C889" i="2"/>
  <c r="B889" i="2"/>
  <c r="A889" i="2"/>
  <c r="AG888" i="2"/>
  <c r="AF888" i="2"/>
  <c r="AE888" i="2"/>
  <c r="AD888" i="2"/>
  <c r="AC888" i="2"/>
  <c r="AB888" i="2"/>
  <c r="AA888" i="2"/>
  <c r="Y888" i="2"/>
  <c r="X888" i="2"/>
  <c r="V888" i="2"/>
  <c r="U888" i="2"/>
  <c r="T888" i="2"/>
  <c r="S888" i="2"/>
  <c r="R888" i="2"/>
  <c r="Q888" i="2"/>
  <c r="P888" i="2"/>
  <c r="O888" i="2"/>
  <c r="N888" i="2"/>
  <c r="M888" i="2"/>
  <c r="L888" i="2"/>
  <c r="K888" i="2"/>
  <c r="J888" i="2"/>
  <c r="I888" i="2"/>
  <c r="H888" i="2"/>
  <c r="G888" i="2"/>
  <c r="F888" i="2"/>
  <c r="E888" i="2"/>
  <c r="D888" i="2"/>
  <c r="C888" i="2"/>
  <c r="B888" i="2"/>
  <c r="A888" i="2"/>
  <c r="AG887" i="2"/>
  <c r="AF887" i="2"/>
  <c r="AE887" i="2"/>
  <c r="AD887" i="2"/>
  <c r="AC887" i="2"/>
  <c r="AB887" i="2"/>
  <c r="AA887" i="2"/>
  <c r="Y887" i="2"/>
  <c r="X887" i="2"/>
  <c r="W887" i="2"/>
  <c r="V887" i="2"/>
  <c r="U887" i="2"/>
  <c r="T887" i="2"/>
  <c r="S887" i="2"/>
  <c r="R887" i="2"/>
  <c r="Q887" i="2"/>
  <c r="P887" i="2"/>
  <c r="O887" i="2"/>
  <c r="N887" i="2"/>
  <c r="M887" i="2"/>
  <c r="L887" i="2"/>
  <c r="K887" i="2"/>
  <c r="J887" i="2"/>
  <c r="I887" i="2"/>
  <c r="H887" i="2"/>
  <c r="G887" i="2"/>
  <c r="F887" i="2"/>
  <c r="E887" i="2"/>
  <c r="D887" i="2"/>
  <c r="C887" i="2"/>
  <c r="B887" i="2"/>
  <c r="A887" i="2"/>
  <c r="AH886" i="2"/>
  <c r="AG886" i="2"/>
  <c r="AF886" i="2"/>
  <c r="AE886" i="2"/>
  <c r="AD886" i="2"/>
  <c r="AC886" i="2"/>
  <c r="AB886" i="2"/>
  <c r="AA886" i="2"/>
  <c r="Y886" i="2"/>
  <c r="X886" i="2"/>
  <c r="W886" i="2"/>
  <c r="V886" i="2"/>
  <c r="U886" i="2"/>
  <c r="T886" i="2"/>
  <c r="S886" i="2"/>
  <c r="R886" i="2"/>
  <c r="Q886" i="2"/>
  <c r="P886" i="2"/>
  <c r="O886" i="2"/>
  <c r="N886" i="2"/>
  <c r="M886" i="2"/>
  <c r="L886" i="2"/>
  <c r="K886" i="2"/>
  <c r="J886" i="2"/>
  <c r="I886" i="2"/>
  <c r="H886" i="2"/>
  <c r="G886" i="2"/>
  <c r="F886" i="2"/>
  <c r="E886" i="2"/>
  <c r="D886" i="2"/>
  <c r="C886" i="2"/>
  <c r="B886" i="2"/>
  <c r="A886" i="2"/>
  <c r="AG885" i="2"/>
  <c r="AF885" i="2"/>
  <c r="AE885" i="2"/>
  <c r="AD885" i="2"/>
  <c r="AC885" i="2"/>
  <c r="AB885" i="2"/>
  <c r="AA885" i="2"/>
  <c r="X885" i="2"/>
  <c r="W885" i="2"/>
  <c r="V885" i="2"/>
  <c r="U885" i="2"/>
  <c r="T885" i="2"/>
  <c r="S885" i="2"/>
  <c r="R885" i="2"/>
  <c r="Q885" i="2"/>
  <c r="P885" i="2"/>
  <c r="O885" i="2"/>
  <c r="N885" i="2"/>
  <c r="M885" i="2"/>
  <c r="L885" i="2"/>
  <c r="K885" i="2"/>
  <c r="J885" i="2"/>
  <c r="I885" i="2"/>
  <c r="H885" i="2"/>
  <c r="G885" i="2"/>
  <c r="F885" i="2"/>
  <c r="E885" i="2"/>
  <c r="D885" i="2"/>
  <c r="C885" i="2"/>
  <c r="B885" i="2"/>
  <c r="A885" i="2"/>
  <c r="AG884" i="2"/>
  <c r="AF884" i="2"/>
  <c r="AE884" i="2"/>
  <c r="AD884" i="2"/>
  <c r="AC884" i="2"/>
  <c r="AB884" i="2"/>
  <c r="AA884" i="2"/>
  <c r="X884" i="2"/>
  <c r="W884" i="2"/>
  <c r="V884" i="2"/>
  <c r="U884" i="2"/>
  <c r="T884" i="2"/>
  <c r="S884" i="2"/>
  <c r="R884" i="2"/>
  <c r="Q884" i="2"/>
  <c r="P884" i="2"/>
  <c r="O884" i="2"/>
  <c r="N884" i="2"/>
  <c r="M884" i="2"/>
  <c r="L884" i="2"/>
  <c r="K884" i="2"/>
  <c r="J884" i="2"/>
  <c r="I884" i="2"/>
  <c r="H884" i="2"/>
  <c r="G884" i="2"/>
  <c r="F884" i="2"/>
  <c r="E884" i="2"/>
  <c r="D884" i="2"/>
  <c r="C884" i="2"/>
  <c r="B884" i="2"/>
  <c r="A884" i="2"/>
  <c r="AH883" i="2"/>
  <c r="AG883" i="2"/>
  <c r="AF883" i="2"/>
  <c r="AE883" i="2"/>
  <c r="AD883" i="2"/>
  <c r="AC883" i="2"/>
  <c r="AB883" i="2"/>
  <c r="AA883" i="2"/>
  <c r="Y883" i="2"/>
  <c r="X883" i="2"/>
  <c r="W883" i="2"/>
  <c r="V883" i="2"/>
  <c r="U883" i="2"/>
  <c r="T883" i="2"/>
  <c r="R883" i="2"/>
  <c r="Q883" i="2"/>
  <c r="P883" i="2"/>
  <c r="O883" i="2"/>
  <c r="N883" i="2"/>
  <c r="M883" i="2"/>
  <c r="L883" i="2"/>
  <c r="K883" i="2"/>
  <c r="J883" i="2"/>
  <c r="I883" i="2"/>
  <c r="H883" i="2"/>
  <c r="G883" i="2"/>
  <c r="F883" i="2"/>
  <c r="E883" i="2"/>
  <c r="D883" i="2"/>
  <c r="C883" i="2"/>
  <c r="B883" i="2"/>
  <c r="A883" i="2"/>
  <c r="AG882" i="2"/>
  <c r="AE882" i="2"/>
  <c r="AD882" i="2"/>
  <c r="AC882" i="2"/>
  <c r="AB882" i="2"/>
  <c r="AA882" i="2"/>
  <c r="Y882" i="2"/>
  <c r="V882" i="2"/>
  <c r="U882" i="2"/>
  <c r="T882" i="2"/>
  <c r="S882" i="2"/>
  <c r="R882" i="2"/>
  <c r="Q882" i="2"/>
  <c r="P882" i="2"/>
  <c r="O882" i="2"/>
  <c r="N882" i="2"/>
  <c r="M882" i="2"/>
  <c r="L882" i="2"/>
  <c r="K882" i="2"/>
  <c r="J882" i="2"/>
  <c r="I882" i="2"/>
  <c r="H882" i="2"/>
  <c r="G882" i="2"/>
  <c r="F882" i="2"/>
  <c r="E882" i="2"/>
  <c r="D882" i="2"/>
  <c r="C882" i="2"/>
  <c r="B882" i="2"/>
  <c r="A882" i="2"/>
  <c r="AG881" i="2"/>
  <c r="AF881" i="2"/>
  <c r="AE881" i="2"/>
  <c r="AD881" i="2"/>
  <c r="AC881" i="2"/>
  <c r="AB881" i="2"/>
  <c r="AA881" i="2"/>
  <c r="V881" i="2"/>
  <c r="U881" i="2"/>
  <c r="T881" i="2"/>
  <c r="S881" i="2"/>
  <c r="R881" i="2"/>
  <c r="Q881" i="2"/>
  <c r="P881" i="2"/>
  <c r="O881" i="2"/>
  <c r="N881" i="2"/>
  <c r="M881" i="2"/>
  <c r="L881" i="2"/>
  <c r="K881" i="2"/>
  <c r="J881" i="2"/>
  <c r="I881" i="2"/>
  <c r="H881" i="2"/>
  <c r="G881" i="2"/>
  <c r="F881" i="2"/>
  <c r="E881" i="2"/>
  <c r="D881" i="2"/>
  <c r="C881" i="2"/>
  <c r="B881" i="2"/>
  <c r="A881" i="2"/>
  <c r="AG880" i="2"/>
  <c r="AE880" i="2"/>
  <c r="AD880" i="2"/>
  <c r="AC880" i="2"/>
  <c r="AB880" i="2"/>
  <c r="AA880" i="2"/>
  <c r="Y880" i="2"/>
  <c r="X880" i="2"/>
  <c r="W880" i="2"/>
  <c r="V880" i="2"/>
  <c r="U880" i="2"/>
  <c r="T880" i="2"/>
  <c r="S880" i="2"/>
  <c r="R880" i="2"/>
  <c r="Q880" i="2"/>
  <c r="P880" i="2"/>
  <c r="O880" i="2"/>
  <c r="N880" i="2"/>
  <c r="M880" i="2"/>
  <c r="L880" i="2"/>
  <c r="K880" i="2"/>
  <c r="J880" i="2"/>
  <c r="I880" i="2"/>
  <c r="H880" i="2"/>
  <c r="G880" i="2"/>
  <c r="F880" i="2"/>
  <c r="E880" i="2"/>
  <c r="D880" i="2"/>
  <c r="C880" i="2"/>
  <c r="B880" i="2"/>
  <c r="A880" i="2"/>
  <c r="AG879" i="2"/>
  <c r="AF879" i="2"/>
  <c r="AE879" i="2"/>
  <c r="AD879" i="2"/>
  <c r="AC879" i="2"/>
  <c r="AB879" i="2"/>
  <c r="AA879" i="2"/>
  <c r="Y879" i="2"/>
  <c r="X879" i="2"/>
  <c r="W879" i="2"/>
  <c r="V879" i="2"/>
  <c r="U879" i="2"/>
  <c r="T879" i="2"/>
  <c r="S879" i="2"/>
  <c r="R879" i="2"/>
  <c r="Q879" i="2"/>
  <c r="P879" i="2"/>
  <c r="O879" i="2"/>
  <c r="N879" i="2"/>
  <c r="M879" i="2"/>
  <c r="L879" i="2"/>
  <c r="K879" i="2"/>
  <c r="J879" i="2"/>
  <c r="I879" i="2"/>
  <c r="H879" i="2"/>
  <c r="G879" i="2"/>
  <c r="F879" i="2"/>
  <c r="E879" i="2"/>
  <c r="D879" i="2"/>
  <c r="C879" i="2"/>
  <c r="B879" i="2"/>
  <c r="A879" i="2"/>
  <c r="AG878" i="2"/>
  <c r="AE878" i="2"/>
  <c r="AD878" i="2"/>
  <c r="AC878" i="2"/>
  <c r="AB878" i="2"/>
  <c r="AA878" i="2"/>
  <c r="Y878" i="2"/>
  <c r="X878" i="2"/>
  <c r="V878" i="2"/>
  <c r="U878" i="2"/>
  <c r="T878" i="2"/>
  <c r="S878" i="2"/>
  <c r="R878" i="2"/>
  <c r="Q878" i="2"/>
  <c r="P878" i="2"/>
  <c r="O878" i="2"/>
  <c r="N878" i="2"/>
  <c r="M878" i="2"/>
  <c r="L878" i="2"/>
  <c r="K878" i="2"/>
  <c r="J878" i="2"/>
  <c r="I878" i="2"/>
  <c r="H878" i="2"/>
  <c r="G878" i="2"/>
  <c r="F878" i="2"/>
  <c r="E878" i="2"/>
  <c r="D878" i="2"/>
  <c r="C878" i="2"/>
  <c r="B878" i="2"/>
  <c r="A878" i="2"/>
  <c r="AG877" i="2"/>
  <c r="AE877" i="2"/>
  <c r="AD877" i="2"/>
  <c r="AC877" i="2"/>
  <c r="AB877" i="2"/>
  <c r="AA877" i="2"/>
  <c r="Y877" i="2"/>
  <c r="X877" i="2"/>
  <c r="V877" i="2"/>
  <c r="U877" i="2"/>
  <c r="T877" i="2"/>
  <c r="S877" i="2"/>
  <c r="R877" i="2"/>
  <c r="Q877" i="2"/>
  <c r="P877" i="2"/>
  <c r="O877" i="2"/>
  <c r="N877" i="2"/>
  <c r="M877" i="2"/>
  <c r="L877" i="2"/>
  <c r="K877" i="2"/>
  <c r="J877" i="2"/>
  <c r="I877" i="2"/>
  <c r="H877" i="2"/>
  <c r="G877" i="2"/>
  <c r="F877" i="2"/>
  <c r="E877" i="2"/>
  <c r="D877" i="2"/>
  <c r="C877" i="2"/>
  <c r="B877" i="2"/>
  <c r="A877" i="2"/>
  <c r="AG876" i="2"/>
  <c r="AF876" i="2"/>
  <c r="AE876" i="2"/>
  <c r="AC876" i="2"/>
  <c r="AB876" i="2"/>
  <c r="AA876" i="2"/>
  <c r="X876" i="2"/>
  <c r="V876" i="2"/>
  <c r="U876" i="2"/>
  <c r="T876" i="2"/>
  <c r="S876" i="2"/>
  <c r="R876" i="2"/>
  <c r="Q876" i="2"/>
  <c r="P876" i="2"/>
  <c r="O876" i="2"/>
  <c r="N876" i="2"/>
  <c r="M876" i="2"/>
  <c r="L876" i="2"/>
  <c r="K876" i="2"/>
  <c r="J876" i="2"/>
  <c r="I876" i="2"/>
  <c r="H876" i="2"/>
  <c r="G876" i="2"/>
  <c r="F876" i="2"/>
  <c r="E876" i="2"/>
  <c r="D876" i="2"/>
  <c r="C876" i="2"/>
  <c r="B876" i="2"/>
  <c r="A876" i="2"/>
  <c r="AH875" i="2"/>
  <c r="AG875" i="2"/>
  <c r="AF875" i="2"/>
  <c r="AE875" i="2"/>
  <c r="AD875" i="2"/>
  <c r="AC875" i="2"/>
  <c r="AB875" i="2"/>
  <c r="AA875" i="2"/>
  <c r="Y875" i="2"/>
  <c r="X875" i="2"/>
  <c r="W875" i="2"/>
  <c r="V875" i="2"/>
  <c r="U875" i="2"/>
  <c r="T875" i="2"/>
  <c r="S875" i="2"/>
  <c r="R875" i="2"/>
  <c r="Q875" i="2"/>
  <c r="P875" i="2"/>
  <c r="O875" i="2"/>
  <c r="N875" i="2"/>
  <c r="M875" i="2"/>
  <c r="L875" i="2"/>
  <c r="K875" i="2"/>
  <c r="J875" i="2"/>
  <c r="I875" i="2"/>
  <c r="H875" i="2"/>
  <c r="G875" i="2"/>
  <c r="F875" i="2"/>
  <c r="E875" i="2"/>
  <c r="D875" i="2"/>
  <c r="C875" i="2"/>
  <c r="B875" i="2"/>
  <c r="A875" i="2"/>
  <c r="AG874" i="2"/>
  <c r="AE874" i="2"/>
  <c r="AD874" i="2"/>
  <c r="AC874" i="2"/>
  <c r="AB874" i="2"/>
  <c r="AA874" i="2"/>
  <c r="Z874" i="2"/>
  <c r="Y874" i="2"/>
  <c r="X874" i="2"/>
  <c r="W874" i="2"/>
  <c r="V874" i="2"/>
  <c r="U874" i="2"/>
  <c r="T874" i="2"/>
  <c r="S874" i="2"/>
  <c r="R874" i="2"/>
  <c r="Q874" i="2"/>
  <c r="P874" i="2"/>
  <c r="O874" i="2"/>
  <c r="N874" i="2"/>
  <c r="M874" i="2"/>
  <c r="L874" i="2"/>
  <c r="K874" i="2"/>
  <c r="J874" i="2"/>
  <c r="I874" i="2"/>
  <c r="H874" i="2"/>
  <c r="G874" i="2"/>
  <c r="F874" i="2"/>
  <c r="E874" i="2"/>
  <c r="D874" i="2"/>
  <c r="C874" i="2"/>
  <c r="B874" i="2"/>
  <c r="A874" i="2"/>
  <c r="AH873" i="2"/>
  <c r="AG873" i="2"/>
  <c r="AF873" i="2"/>
  <c r="AE873" i="2"/>
  <c r="AD873" i="2"/>
  <c r="AC873" i="2"/>
  <c r="AB873" i="2"/>
  <c r="AA873" i="2"/>
  <c r="Y873" i="2"/>
  <c r="X873" i="2"/>
  <c r="W873" i="2"/>
  <c r="V873" i="2"/>
  <c r="U873" i="2"/>
  <c r="S873" i="2"/>
  <c r="R873" i="2"/>
  <c r="Q873" i="2"/>
  <c r="P873" i="2"/>
  <c r="O873" i="2"/>
  <c r="N873" i="2"/>
  <c r="M873" i="2"/>
  <c r="L873" i="2"/>
  <c r="K873" i="2"/>
  <c r="J873" i="2"/>
  <c r="I873" i="2"/>
  <c r="H873" i="2"/>
  <c r="G873" i="2"/>
  <c r="F873" i="2"/>
  <c r="E873" i="2"/>
  <c r="D873" i="2"/>
  <c r="C873" i="2"/>
  <c r="B873" i="2"/>
  <c r="A873" i="2"/>
  <c r="AG872" i="2"/>
  <c r="AE872" i="2"/>
  <c r="AD872" i="2"/>
  <c r="AC872" i="2"/>
  <c r="AB872" i="2"/>
  <c r="AA872" i="2"/>
  <c r="Y872" i="2"/>
  <c r="X872" i="2"/>
  <c r="W872" i="2"/>
  <c r="V872" i="2"/>
  <c r="U872" i="2"/>
  <c r="T872" i="2"/>
  <c r="S872" i="2"/>
  <c r="R872" i="2"/>
  <c r="Q872" i="2"/>
  <c r="P872" i="2"/>
  <c r="O872" i="2"/>
  <c r="N872" i="2"/>
  <c r="M872" i="2"/>
  <c r="L872" i="2"/>
  <c r="K872" i="2"/>
  <c r="J872" i="2"/>
  <c r="I872" i="2"/>
  <c r="H872" i="2"/>
  <c r="G872" i="2"/>
  <c r="F872" i="2"/>
  <c r="E872" i="2"/>
  <c r="D872" i="2"/>
  <c r="C872" i="2"/>
  <c r="B872" i="2"/>
  <c r="A872" i="2"/>
  <c r="AG871" i="2"/>
  <c r="AE871" i="2"/>
  <c r="AD871" i="2"/>
  <c r="AC871" i="2"/>
  <c r="AB871" i="2"/>
  <c r="AA871" i="2"/>
  <c r="Y871" i="2"/>
  <c r="X871" i="2"/>
  <c r="W871" i="2"/>
  <c r="V871" i="2"/>
  <c r="U871" i="2"/>
  <c r="T871" i="2"/>
  <c r="S871" i="2"/>
  <c r="R871" i="2"/>
  <c r="Q871" i="2"/>
  <c r="P871" i="2"/>
  <c r="O871" i="2"/>
  <c r="N871" i="2"/>
  <c r="M871" i="2"/>
  <c r="L871" i="2"/>
  <c r="K871" i="2"/>
  <c r="J871" i="2"/>
  <c r="I871" i="2"/>
  <c r="H871" i="2"/>
  <c r="G871" i="2"/>
  <c r="F871" i="2"/>
  <c r="E871" i="2"/>
  <c r="D871" i="2"/>
  <c r="C871" i="2"/>
  <c r="B871" i="2"/>
  <c r="A871" i="2"/>
  <c r="AG870" i="2"/>
  <c r="AF870" i="2"/>
  <c r="AE870" i="2"/>
  <c r="AD870" i="2"/>
  <c r="AC870" i="2"/>
  <c r="AB870" i="2"/>
  <c r="AA870" i="2"/>
  <c r="Y870" i="2"/>
  <c r="X870" i="2"/>
  <c r="W870" i="2"/>
  <c r="V870" i="2"/>
  <c r="U870" i="2"/>
  <c r="T870" i="2"/>
  <c r="S870" i="2"/>
  <c r="R870" i="2"/>
  <c r="Q870" i="2"/>
  <c r="P870" i="2"/>
  <c r="O870" i="2"/>
  <c r="M870" i="2"/>
  <c r="L870" i="2"/>
  <c r="K870" i="2"/>
  <c r="J870" i="2"/>
  <c r="I870" i="2"/>
  <c r="H870" i="2"/>
  <c r="G870" i="2"/>
  <c r="F870" i="2"/>
  <c r="E870" i="2"/>
  <c r="D870" i="2"/>
  <c r="C870" i="2"/>
  <c r="B870" i="2"/>
  <c r="A870" i="2"/>
  <c r="AG869" i="2"/>
  <c r="AE869" i="2"/>
  <c r="AD869" i="2"/>
  <c r="AC869" i="2"/>
  <c r="AB869" i="2"/>
  <c r="AA869" i="2"/>
  <c r="Y869" i="2"/>
  <c r="X869" i="2"/>
  <c r="V869" i="2"/>
  <c r="U869" i="2"/>
  <c r="T869" i="2"/>
  <c r="S869" i="2"/>
  <c r="R869" i="2"/>
  <c r="Q869" i="2"/>
  <c r="P869" i="2"/>
  <c r="O869" i="2"/>
  <c r="N869" i="2"/>
  <c r="M869" i="2"/>
  <c r="L869" i="2"/>
  <c r="K869" i="2"/>
  <c r="J869" i="2"/>
  <c r="I869" i="2"/>
  <c r="H869" i="2"/>
  <c r="G869" i="2"/>
  <c r="F869" i="2"/>
  <c r="E869" i="2"/>
  <c r="D869" i="2"/>
  <c r="C869" i="2"/>
  <c r="B869" i="2"/>
  <c r="A869" i="2"/>
  <c r="AH868" i="2"/>
  <c r="AG868" i="2"/>
  <c r="AF868" i="2"/>
  <c r="AE868" i="2"/>
  <c r="AD868" i="2"/>
  <c r="AC868" i="2"/>
  <c r="AB868" i="2"/>
  <c r="AA868" i="2"/>
  <c r="Y868" i="2"/>
  <c r="X868" i="2"/>
  <c r="V868" i="2"/>
  <c r="U868" i="2"/>
  <c r="T868" i="2"/>
  <c r="S868" i="2"/>
  <c r="R868" i="2"/>
  <c r="Q868" i="2"/>
  <c r="P868" i="2"/>
  <c r="O868" i="2"/>
  <c r="N868" i="2"/>
  <c r="M868" i="2"/>
  <c r="L868" i="2"/>
  <c r="K868" i="2"/>
  <c r="J868" i="2"/>
  <c r="I868" i="2"/>
  <c r="H868" i="2"/>
  <c r="G868" i="2"/>
  <c r="F868" i="2"/>
  <c r="E868" i="2"/>
  <c r="D868" i="2"/>
  <c r="C868" i="2"/>
  <c r="B868" i="2"/>
  <c r="A868" i="2"/>
  <c r="AG867" i="2"/>
  <c r="AE867" i="2"/>
  <c r="AD867" i="2"/>
  <c r="AC867" i="2"/>
  <c r="AB867" i="2"/>
  <c r="AA867" i="2"/>
  <c r="Y867" i="2"/>
  <c r="X867" i="2"/>
  <c r="W867" i="2"/>
  <c r="V867" i="2"/>
  <c r="U867" i="2"/>
  <c r="T867" i="2"/>
  <c r="S867" i="2"/>
  <c r="R867" i="2"/>
  <c r="Q867" i="2"/>
  <c r="P867" i="2"/>
  <c r="O867" i="2"/>
  <c r="N867" i="2"/>
  <c r="M867" i="2"/>
  <c r="L867" i="2"/>
  <c r="K867" i="2"/>
  <c r="J867" i="2"/>
  <c r="I867" i="2"/>
  <c r="H867" i="2"/>
  <c r="G867" i="2"/>
  <c r="F867" i="2"/>
  <c r="E867" i="2"/>
  <c r="D867" i="2"/>
  <c r="C867" i="2"/>
  <c r="B867" i="2"/>
  <c r="A867" i="2"/>
  <c r="AH866" i="2"/>
  <c r="AG866" i="2"/>
  <c r="AF866" i="2"/>
  <c r="AE866" i="2"/>
  <c r="AD866" i="2"/>
  <c r="AC866" i="2"/>
  <c r="AB866" i="2"/>
  <c r="AA866" i="2"/>
  <c r="Z866" i="2"/>
  <c r="Y866" i="2"/>
  <c r="X866" i="2"/>
  <c r="W866" i="2"/>
  <c r="V866" i="2"/>
  <c r="U866" i="2"/>
  <c r="S866" i="2"/>
  <c r="R866" i="2"/>
  <c r="Q866" i="2"/>
  <c r="P866" i="2"/>
  <c r="O866" i="2"/>
  <c r="N866" i="2"/>
  <c r="M866" i="2"/>
  <c r="L866" i="2"/>
  <c r="K866" i="2"/>
  <c r="J866" i="2"/>
  <c r="I866" i="2"/>
  <c r="H866" i="2"/>
  <c r="G866" i="2"/>
  <c r="F866" i="2"/>
  <c r="E866" i="2"/>
  <c r="D866" i="2"/>
  <c r="C866" i="2"/>
  <c r="B866" i="2"/>
  <c r="A866" i="2"/>
  <c r="AG865" i="2"/>
  <c r="AF865" i="2"/>
  <c r="AE865" i="2"/>
  <c r="AD865" i="2"/>
  <c r="AC865" i="2"/>
  <c r="AB865" i="2"/>
  <c r="AA865" i="2"/>
  <c r="Y865" i="2"/>
  <c r="X865" i="2"/>
  <c r="W865" i="2"/>
  <c r="V865" i="2"/>
  <c r="U865" i="2"/>
  <c r="T865" i="2"/>
  <c r="S865" i="2"/>
  <c r="R865" i="2"/>
  <c r="Q865" i="2"/>
  <c r="P865" i="2"/>
  <c r="O865" i="2"/>
  <c r="N865" i="2"/>
  <c r="M865" i="2"/>
  <c r="L865" i="2"/>
  <c r="K865" i="2"/>
  <c r="J865" i="2"/>
  <c r="I865" i="2"/>
  <c r="H865" i="2"/>
  <c r="G865" i="2"/>
  <c r="F865" i="2"/>
  <c r="E865" i="2"/>
  <c r="D865" i="2"/>
  <c r="C865" i="2"/>
  <c r="B865" i="2"/>
  <c r="A865" i="2"/>
  <c r="AH864" i="2"/>
  <c r="AG864" i="2"/>
  <c r="AE864" i="2"/>
  <c r="AD864" i="2"/>
  <c r="AC864" i="2"/>
  <c r="AB864" i="2"/>
  <c r="AA864" i="2"/>
  <c r="Y864" i="2"/>
  <c r="X864" i="2"/>
  <c r="W864" i="2"/>
  <c r="V864" i="2"/>
  <c r="U864" i="2"/>
  <c r="T864" i="2"/>
  <c r="S864" i="2"/>
  <c r="R864" i="2"/>
  <c r="Q864" i="2"/>
  <c r="P864" i="2"/>
  <c r="O864" i="2"/>
  <c r="N864" i="2"/>
  <c r="M864" i="2"/>
  <c r="L864" i="2"/>
  <c r="K864" i="2"/>
  <c r="J864" i="2"/>
  <c r="I864" i="2"/>
  <c r="H864" i="2"/>
  <c r="G864" i="2"/>
  <c r="F864" i="2"/>
  <c r="E864" i="2"/>
  <c r="D864" i="2"/>
  <c r="C864" i="2"/>
  <c r="B864" i="2"/>
  <c r="A864" i="2"/>
  <c r="AH863" i="2"/>
  <c r="AG863" i="2"/>
  <c r="AF863" i="2"/>
  <c r="AE863" i="2"/>
  <c r="AD863" i="2"/>
  <c r="AC863" i="2"/>
  <c r="AB863" i="2"/>
  <c r="AA863" i="2"/>
  <c r="Y863" i="2"/>
  <c r="X863" i="2"/>
  <c r="W863" i="2"/>
  <c r="V863" i="2"/>
  <c r="U863" i="2"/>
  <c r="T863" i="2"/>
  <c r="S863" i="2"/>
  <c r="R863" i="2"/>
  <c r="Q863" i="2"/>
  <c r="P863" i="2"/>
  <c r="O863" i="2"/>
  <c r="N863" i="2"/>
  <c r="M863" i="2"/>
  <c r="L863" i="2"/>
  <c r="K863" i="2"/>
  <c r="J863" i="2"/>
  <c r="I863" i="2"/>
  <c r="H863" i="2"/>
  <c r="G863" i="2"/>
  <c r="F863" i="2"/>
  <c r="E863" i="2"/>
  <c r="D863" i="2"/>
  <c r="C863" i="2"/>
  <c r="B863" i="2"/>
  <c r="A863" i="2"/>
  <c r="AG862" i="2"/>
  <c r="AE862" i="2"/>
  <c r="AD862" i="2"/>
  <c r="AC862" i="2"/>
  <c r="AB862" i="2"/>
  <c r="AA862" i="2"/>
  <c r="Z862" i="2"/>
  <c r="Y862" i="2"/>
  <c r="X862" i="2"/>
  <c r="V862" i="2"/>
  <c r="U862" i="2"/>
  <c r="T862" i="2"/>
  <c r="S862" i="2"/>
  <c r="R862" i="2"/>
  <c r="Q862" i="2"/>
  <c r="P862" i="2"/>
  <c r="O862" i="2"/>
  <c r="N862" i="2"/>
  <c r="M862" i="2"/>
  <c r="L862" i="2"/>
  <c r="K862" i="2"/>
  <c r="J862" i="2"/>
  <c r="I862" i="2"/>
  <c r="H862" i="2"/>
  <c r="G862" i="2"/>
  <c r="F862" i="2"/>
  <c r="E862" i="2"/>
  <c r="D862" i="2"/>
  <c r="C862" i="2"/>
  <c r="B862" i="2"/>
  <c r="A862" i="2"/>
  <c r="AG861" i="2"/>
  <c r="AE861" i="2"/>
  <c r="AD861" i="2"/>
  <c r="AC861" i="2"/>
  <c r="AB861" i="2"/>
  <c r="AA861" i="2"/>
  <c r="Y861" i="2"/>
  <c r="X861" i="2"/>
  <c r="W861" i="2"/>
  <c r="V861" i="2"/>
  <c r="U861" i="2"/>
  <c r="T861" i="2"/>
  <c r="S861" i="2"/>
  <c r="R861" i="2"/>
  <c r="Q861" i="2"/>
  <c r="P861" i="2"/>
  <c r="O861" i="2"/>
  <c r="N861" i="2"/>
  <c r="M861" i="2"/>
  <c r="L861" i="2"/>
  <c r="K861" i="2"/>
  <c r="J861" i="2"/>
  <c r="I861" i="2"/>
  <c r="H861" i="2"/>
  <c r="G861" i="2"/>
  <c r="F861" i="2"/>
  <c r="E861" i="2"/>
  <c r="D861" i="2"/>
  <c r="C861" i="2"/>
  <c r="B861" i="2"/>
  <c r="A861" i="2"/>
  <c r="AH860" i="2"/>
  <c r="AG860" i="2"/>
  <c r="AE860" i="2"/>
  <c r="AD860" i="2"/>
  <c r="AC860" i="2"/>
  <c r="AB860" i="2"/>
  <c r="AA860" i="2"/>
  <c r="Z860" i="2"/>
  <c r="Y860" i="2"/>
  <c r="X860" i="2"/>
  <c r="W860" i="2"/>
  <c r="V860" i="2"/>
  <c r="U860" i="2"/>
  <c r="T860" i="2"/>
  <c r="S860" i="2"/>
  <c r="R860" i="2"/>
  <c r="Q860" i="2"/>
  <c r="P860" i="2"/>
  <c r="O860" i="2"/>
  <c r="N860" i="2"/>
  <c r="M860" i="2"/>
  <c r="L860" i="2"/>
  <c r="K860" i="2"/>
  <c r="J860" i="2"/>
  <c r="I860" i="2"/>
  <c r="H860" i="2"/>
  <c r="G860" i="2"/>
  <c r="F860" i="2"/>
  <c r="E860" i="2"/>
  <c r="D860" i="2"/>
  <c r="C860" i="2"/>
  <c r="B860" i="2"/>
  <c r="A860" i="2"/>
  <c r="AG859" i="2"/>
  <c r="AF859" i="2"/>
  <c r="AE859" i="2"/>
  <c r="AD859" i="2"/>
  <c r="AC859" i="2"/>
  <c r="AB859" i="2"/>
  <c r="AA859" i="2"/>
  <c r="X859" i="2"/>
  <c r="W859" i="2"/>
  <c r="V859" i="2"/>
  <c r="U859" i="2"/>
  <c r="T859" i="2"/>
  <c r="S859" i="2"/>
  <c r="R859" i="2"/>
  <c r="Q859" i="2"/>
  <c r="P859" i="2"/>
  <c r="O859" i="2"/>
  <c r="N859" i="2"/>
  <c r="M859" i="2"/>
  <c r="L859" i="2"/>
  <c r="J859" i="2"/>
  <c r="I859" i="2"/>
  <c r="H859" i="2"/>
  <c r="G859" i="2"/>
  <c r="F859" i="2"/>
  <c r="E859" i="2"/>
  <c r="D859" i="2"/>
  <c r="C859" i="2"/>
  <c r="B859" i="2"/>
  <c r="A859" i="2"/>
  <c r="AH858" i="2"/>
  <c r="AG858" i="2"/>
  <c r="AF858" i="2"/>
  <c r="AE858" i="2"/>
  <c r="AD858" i="2"/>
  <c r="AC858" i="2"/>
  <c r="AB858" i="2"/>
  <c r="AA858" i="2"/>
  <c r="Y858" i="2"/>
  <c r="X858" i="2"/>
  <c r="W858" i="2"/>
  <c r="V858" i="2"/>
  <c r="U858" i="2"/>
  <c r="T858" i="2"/>
  <c r="S858" i="2"/>
  <c r="R858" i="2"/>
  <c r="Q858" i="2"/>
  <c r="P858" i="2"/>
  <c r="O858" i="2"/>
  <c r="N858" i="2"/>
  <c r="M858" i="2"/>
  <c r="L858" i="2"/>
  <c r="K858" i="2"/>
  <c r="J858" i="2"/>
  <c r="I858" i="2"/>
  <c r="H858" i="2"/>
  <c r="G858" i="2"/>
  <c r="F858" i="2"/>
  <c r="E858" i="2"/>
  <c r="D858" i="2"/>
  <c r="C858" i="2"/>
  <c r="B858" i="2"/>
  <c r="A858" i="2"/>
  <c r="AH857" i="2"/>
  <c r="AG857" i="2"/>
  <c r="AE857" i="2"/>
  <c r="AD857" i="2"/>
  <c r="AC857" i="2"/>
  <c r="AB857" i="2"/>
  <c r="AA857" i="2"/>
  <c r="Y857" i="2"/>
  <c r="X857" i="2"/>
  <c r="W857" i="2"/>
  <c r="V857" i="2"/>
  <c r="U857" i="2"/>
  <c r="T857" i="2"/>
  <c r="S857" i="2"/>
  <c r="R857" i="2"/>
  <c r="Q857" i="2"/>
  <c r="P857" i="2"/>
  <c r="O857" i="2"/>
  <c r="N857" i="2"/>
  <c r="M857" i="2"/>
  <c r="L857" i="2"/>
  <c r="K857" i="2"/>
  <c r="J857" i="2"/>
  <c r="I857" i="2"/>
  <c r="H857" i="2"/>
  <c r="G857" i="2"/>
  <c r="F857" i="2"/>
  <c r="E857" i="2"/>
  <c r="D857" i="2"/>
  <c r="C857" i="2"/>
  <c r="B857" i="2"/>
  <c r="A857" i="2"/>
  <c r="AH856" i="2"/>
  <c r="AG856" i="2"/>
  <c r="AF856" i="2"/>
  <c r="AE856" i="2"/>
  <c r="AD856" i="2"/>
  <c r="AC856" i="2"/>
  <c r="AB856" i="2"/>
  <c r="AA856" i="2"/>
  <c r="Y856" i="2"/>
  <c r="X856" i="2"/>
  <c r="W856" i="2"/>
  <c r="V856" i="2"/>
  <c r="U856" i="2"/>
  <c r="T856" i="2"/>
  <c r="S856" i="2"/>
  <c r="R856" i="2"/>
  <c r="Q856" i="2"/>
  <c r="P856" i="2"/>
  <c r="O856" i="2"/>
  <c r="N856" i="2"/>
  <c r="M856" i="2"/>
  <c r="L856" i="2"/>
  <c r="K856" i="2"/>
  <c r="J856" i="2"/>
  <c r="I856" i="2"/>
  <c r="H856" i="2"/>
  <c r="G856" i="2"/>
  <c r="F856" i="2"/>
  <c r="E856" i="2"/>
  <c r="D856" i="2"/>
  <c r="C856" i="2"/>
  <c r="B856" i="2"/>
  <c r="A856" i="2"/>
  <c r="AH855" i="2"/>
  <c r="AG855" i="2"/>
  <c r="AF855" i="2"/>
  <c r="AE855" i="2"/>
  <c r="AD855" i="2"/>
  <c r="AC855" i="2"/>
  <c r="AB855" i="2"/>
  <c r="AA855" i="2"/>
  <c r="Y855" i="2"/>
  <c r="X855" i="2"/>
  <c r="W855" i="2"/>
  <c r="V855" i="2"/>
  <c r="U855" i="2"/>
  <c r="T855" i="2"/>
  <c r="S855" i="2"/>
  <c r="R855" i="2"/>
  <c r="Q855" i="2"/>
  <c r="P855" i="2"/>
  <c r="O855" i="2"/>
  <c r="N855" i="2"/>
  <c r="M855" i="2"/>
  <c r="L855" i="2"/>
  <c r="K855" i="2"/>
  <c r="J855" i="2"/>
  <c r="I855" i="2"/>
  <c r="H855" i="2"/>
  <c r="G855" i="2"/>
  <c r="F855" i="2"/>
  <c r="E855" i="2"/>
  <c r="D855" i="2"/>
  <c r="C855" i="2"/>
  <c r="B855" i="2"/>
  <c r="A855" i="2"/>
  <c r="AH854" i="2"/>
  <c r="AG854" i="2"/>
  <c r="AE854" i="2"/>
  <c r="AD854" i="2"/>
  <c r="AC854" i="2"/>
  <c r="AB854" i="2"/>
  <c r="AA854" i="2"/>
  <c r="Z854" i="2"/>
  <c r="Y854" i="2"/>
  <c r="X854" i="2"/>
  <c r="V854" i="2"/>
  <c r="U854" i="2"/>
  <c r="T854" i="2"/>
  <c r="S854" i="2"/>
  <c r="R854" i="2"/>
  <c r="Q854" i="2"/>
  <c r="P854" i="2"/>
  <c r="O854" i="2"/>
  <c r="N854" i="2"/>
  <c r="M854" i="2"/>
  <c r="L854" i="2"/>
  <c r="K854" i="2"/>
  <c r="J854" i="2"/>
  <c r="I854" i="2"/>
  <c r="H854" i="2"/>
  <c r="G854" i="2"/>
  <c r="F854" i="2"/>
  <c r="E854" i="2"/>
  <c r="D854" i="2"/>
  <c r="C854" i="2"/>
  <c r="B854" i="2"/>
  <c r="A854" i="2"/>
  <c r="AH853" i="2"/>
  <c r="AG853" i="2"/>
  <c r="AE853" i="2"/>
  <c r="AD853" i="2"/>
  <c r="AC853" i="2"/>
  <c r="AB853" i="2"/>
  <c r="AA853" i="2"/>
  <c r="Y853" i="2"/>
  <c r="V853" i="2"/>
  <c r="U853" i="2"/>
  <c r="T853" i="2"/>
  <c r="S853" i="2"/>
  <c r="R853" i="2"/>
  <c r="Q853" i="2"/>
  <c r="P853" i="2"/>
  <c r="O853" i="2"/>
  <c r="N853" i="2"/>
  <c r="M853" i="2"/>
  <c r="L853" i="2"/>
  <c r="K853" i="2"/>
  <c r="J853" i="2"/>
  <c r="I853" i="2"/>
  <c r="H853" i="2"/>
  <c r="G853" i="2"/>
  <c r="F853" i="2"/>
  <c r="E853" i="2"/>
  <c r="D853" i="2"/>
  <c r="C853" i="2"/>
  <c r="B853" i="2"/>
  <c r="A853" i="2"/>
  <c r="AG852" i="2"/>
  <c r="AF852" i="2"/>
  <c r="AE852" i="2"/>
  <c r="AD852" i="2"/>
  <c r="AC852" i="2"/>
  <c r="AB852" i="2"/>
  <c r="AA852" i="2"/>
  <c r="Y852" i="2"/>
  <c r="X852" i="2"/>
  <c r="V852" i="2"/>
  <c r="U852" i="2"/>
  <c r="T852" i="2"/>
  <c r="S852" i="2"/>
  <c r="R852" i="2"/>
  <c r="Q852" i="2"/>
  <c r="P852" i="2"/>
  <c r="O852" i="2"/>
  <c r="N852" i="2"/>
  <c r="M852" i="2"/>
  <c r="L852" i="2"/>
  <c r="K852" i="2"/>
  <c r="J852" i="2"/>
  <c r="I852" i="2"/>
  <c r="H852" i="2"/>
  <c r="G852" i="2"/>
  <c r="F852" i="2"/>
  <c r="E852" i="2"/>
  <c r="D852" i="2"/>
  <c r="C852" i="2"/>
  <c r="B852" i="2"/>
  <c r="A852" i="2"/>
  <c r="AG851" i="2"/>
  <c r="AF851" i="2"/>
  <c r="AE851" i="2"/>
  <c r="AD851" i="2"/>
  <c r="AC851" i="2"/>
  <c r="AB851" i="2"/>
  <c r="AA851" i="2"/>
  <c r="V851" i="2"/>
  <c r="U851" i="2"/>
  <c r="R851" i="2"/>
  <c r="Q851" i="2"/>
  <c r="P851" i="2"/>
  <c r="O851" i="2"/>
  <c r="N851" i="2"/>
  <c r="M851" i="2"/>
  <c r="L851" i="2"/>
  <c r="K851" i="2"/>
  <c r="J851" i="2"/>
  <c r="I851" i="2"/>
  <c r="H851" i="2"/>
  <c r="G851" i="2"/>
  <c r="F851" i="2"/>
  <c r="E851" i="2"/>
  <c r="D851" i="2"/>
  <c r="C851" i="2"/>
  <c r="B851" i="2"/>
  <c r="A851" i="2"/>
  <c r="AH850" i="2"/>
  <c r="AG850" i="2"/>
  <c r="AE850" i="2"/>
  <c r="AD850" i="2"/>
  <c r="AC850" i="2"/>
  <c r="AB850" i="2"/>
  <c r="AA850" i="2"/>
  <c r="Y850" i="2"/>
  <c r="X850" i="2"/>
  <c r="V850" i="2"/>
  <c r="U850" i="2"/>
  <c r="T850" i="2"/>
  <c r="S850" i="2"/>
  <c r="R850" i="2"/>
  <c r="Q850" i="2"/>
  <c r="P850" i="2"/>
  <c r="O850" i="2"/>
  <c r="N850" i="2"/>
  <c r="M850" i="2"/>
  <c r="L850" i="2"/>
  <c r="K850" i="2"/>
  <c r="J850" i="2"/>
  <c r="I850" i="2"/>
  <c r="H850" i="2"/>
  <c r="G850" i="2"/>
  <c r="F850" i="2"/>
  <c r="E850" i="2"/>
  <c r="D850" i="2"/>
  <c r="C850" i="2"/>
  <c r="B850" i="2"/>
  <c r="A850" i="2"/>
  <c r="AH849" i="2"/>
  <c r="AG849" i="2"/>
  <c r="AF849" i="2"/>
  <c r="AE849" i="2"/>
  <c r="AD849" i="2"/>
  <c r="AC849" i="2"/>
  <c r="AB849" i="2"/>
  <c r="AA849" i="2"/>
  <c r="Y849" i="2"/>
  <c r="X849" i="2"/>
  <c r="W849" i="2"/>
  <c r="V849" i="2"/>
  <c r="U849" i="2"/>
  <c r="T849" i="2"/>
  <c r="S849" i="2"/>
  <c r="R849" i="2"/>
  <c r="Q849" i="2"/>
  <c r="P849" i="2"/>
  <c r="O849" i="2"/>
  <c r="N849" i="2"/>
  <c r="M849" i="2"/>
  <c r="L849" i="2"/>
  <c r="K849" i="2"/>
  <c r="J849" i="2"/>
  <c r="I849" i="2"/>
  <c r="H849" i="2"/>
  <c r="G849" i="2"/>
  <c r="F849" i="2"/>
  <c r="E849" i="2"/>
  <c r="D849" i="2"/>
  <c r="C849" i="2"/>
  <c r="B849" i="2"/>
  <c r="A849" i="2"/>
  <c r="AG848" i="2"/>
  <c r="AE848" i="2"/>
  <c r="AD848" i="2"/>
  <c r="AC848" i="2"/>
  <c r="AB848" i="2"/>
  <c r="AA848" i="2"/>
  <c r="Y848" i="2"/>
  <c r="V848" i="2"/>
  <c r="U848" i="2"/>
  <c r="T848" i="2"/>
  <c r="S848" i="2"/>
  <c r="R848" i="2"/>
  <c r="Q848" i="2"/>
  <c r="P848" i="2"/>
  <c r="O848" i="2"/>
  <c r="N848" i="2"/>
  <c r="M848" i="2"/>
  <c r="L848" i="2"/>
  <c r="K848" i="2"/>
  <c r="J848" i="2"/>
  <c r="I848" i="2"/>
  <c r="H848" i="2"/>
  <c r="G848" i="2"/>
  <c r="F848" i="2"/>
  <c r="E848" i="2"/>
  <c r="D848" i="2"/>
  <c r="C848" i="2"/>
  <c r="B848" i="2"/>
  <c r="A848" i="2"/>
  <c r="AH847" i="2"/>
  <c r="AG847" i="2"/>
  <c r="AE847" i="2"/>
  <c r="AD847" i="2"/>
  <c r="AC847" i="2"/>
  <c r="AB847" i="2"/>
  <c r="AA847" i="2"/>
  <c r="Y847" i="2"/>
  <c r="X847" i="2"/>
  <c r="W847" i="2"/>
  <c r="V847" i="2"/>
  <c r="U847" i="2"/>
  <c r="T847" i="2"/>
  <c r="S847" i="2"/>
  <c r="R847" i="2"/>
  <c r="Q847" i="2"/>
  <c r="P847" i="2"/>
  <c r="O847" i="2"/>
  <c r="N847" i="2"/>
  <c r="M847" i="2"/>
  <c r="L847" i="2"/>
  <c r="K847" i="2"/>
  <c r="J847" i="2"/>
  <c r="I847" i="2"/>
  <c r="H847" i="2"/>
  <c r="G847" i="2"/>
  <c r="F847" i="2"/>
  <c r="E847" i="2"/>
  <c r="D847" i="2"/>
  <c r="C847" i="2"/>
  <c r="B847" i="2"/>
  <c r="A847" i="2"/>
  <c r="AG846" i="2"/>
  <c r="AE846" i="2"/>
  <c r="AD846" i="2"/>
  <c r="AC846" i="2"/>
  <c r="AB846" i="2"/>
  <c r="AA846" i="2"/>
  <c r="Y846" i="2"/>
  <c r="X846" i="2"/>
  <c r="W846" i="2"/>
  <c r="V846" i="2"/>
  <c r="U846" i="2"/>
  <c r="T846" i="2"/>
  <c r="S846" i="2"/>
  <c r="R846" i="2"/>
  <c r="Q846" i="2"/>
  <c r="P846" i="2"/>
  <c r="O846" i="2"/>
  <c r="N846" i="2"/>
  <c r="M846" i="2"/>
  <c r="L846" i="2"/>
  <c r="K846" i="2"/>
  <c r="J846" i="2"/>
  <c r="I846" i="2"/>
  <c r="H846" i="2"/>
  <c r="G846" i="2"/>
  <c r="F846" i="2"/>
  <c r="E846" i="2"/>
  <c r="D846" i="2"/>
  <c r="C846" i="2"/>
  <c r="B846" i="2"/>
  <c r="A846" i="2"/>
  <c r="AH845" i="2"/>
  <c r="AG845" i="2"/>
  <c r="AE845" i="2"/>
  <c r="AD845" i="2"/>
  <c r="AC845" i="2"/>
  <c r="AB845" i="2"/>
  <c r="AA845" i="2"/>
  <c r="Y845" i="2"/>
  <c r="W845" i="2"/>
  <c r="V845" i="2"/>
  <c r="U845" i="2"/>
  <c r="T845" i="2"/>
  <c r="S845" i="2"/>
  <c r="R845" i="2"/>
  <c r="Q845" i="2"/>
  <c r="P845" i="2"/>
  <c r="O845" i="2"/>
  <c r="N845" i="2"/>
  <c r="M845" i="2"/>
  <c r="L845" i="2"/>
  <c r="K845" i="2"/>
  <c r="J845" i="2"/>
  <c r="I845" i="2"/>
  <c r="H845" i="2"/>
  <c r="G845" i="2"/>
  <c r="F845" i="2"/>
  <c r="E845" i="2"/>
  <c r="D845" i="2"/>
  <c r="C845" i="2"/>
  <c r="B845" i="2"/>
  <c r="A845" i="2"/>
  <c r="AG844" i="2"/>
  <c r="AE844" i="2"/>
  <c r="AD844" i="2"/>
  <c r="AC844" i="2"/>
  <c r="AB844" i="2"/>
  <c r="AA844" i="2"/>
  <c r="Y844" i="2"/>
  <c r="V844" i="2"/>
  <c r="U844" i="2"/>
  <c r="T844" i="2"/>
  <c r="S844" i="2"/>
  <c r="R844" i="2"/>
  <c r="Q844" i="2"/>
  <c r="P844" i="2"/>
  <c r="O844" i="2"/>
  <c r="N844" i="2"/>
  <c r="M844" i="2"/>
  <c r="L844" i="2"/>
  <c r="K844" i="2"/>
  <c r="J844" i="2"/>
  <c r="I844" i="2"/>
  <c r="H844" i="2"/>
  <c r="G844" i="2"/>
  <c r="F844" i="2"/>
  <c r="E844" i="2"/>
  <c r="D844" i="2"/>
  <c r="C844" i="2"/>
  <c r="B844" i="2"/>
  <c r="A844" i="2"/>
  <c r="AG843" i="2"/>
  <c r="AF843" i="2"/>
  <c r="AE843" i="2"/>
  <c r="AD843" i="2"/>
  <c r="AC843" i="2"/>
  <c r="AB843" i="2"/>
  <c r="AA843" i="2"/>
  <c r="Y843" i="2"/>
  <c r="X843" i="2"/>
  <c r="W843" i="2"/>
  <c r="V843" i="2"/>
  <c r="U843" i="2"/>
  <c r="T843" i="2"/>
  <c r="S843" i="2"/>
  <c r="R843" i="2"/>
  <c r="Q843" i="2"/>
  <c r="P843" i="2"/>
  <c r="O843" i="2"/>
  <c r="N843" i="2"/>
  <c r="M843" i="2"/>
  <c r="L843" i="2"/>
  <c r="K843" i="2"/>
  <c r="J843" i="2"/>
  <c r="I843" i="2"/>
  <c r="H843" i="2"/>
  <c r="G843" i="2"/>
  <c r="F843" i="2"/>
  <c r="E843" i="2"/>
  <c r="D843" i="2"/>
  <c r="C843" i="2"/>
  <c r="B843" i="2"/>
  <c r="A843" i="2"/>
  <c r="AG842" i="2"/>
  <c r="AE842" i="2"/>
  <c r="AD842" i="2"/>
  <c r="AC842" i="2"/>
  <c r="AB842" i="2"/>
  <c r="AA842" i="2"/>
  <c r="Y842" i="2"/>
  <c r="X842" i="2"/>
  <c r="V842" i="2"/>
  <c r="U842" i="2"/>
  <c r="T842" i="2"/>
  <c r="S842" i="2"/>
  <c r="R842" i="2"/>
  <c r="Q842" i="2"/>
  <c r="P842" i="2"/>
  <c r="O842" i="2"/>
  <c r="N842" i="2"/>
  <c r="M842" i="2"/>
  <c r="L842" i="2"/>
  <c r="K842" i="2"/>
  <c r="J842" i="2"/>
  <c r="I842" i="2"/>
  <c r="H842" i="2"/>
  <c r="G842" i="2"/>
  <c r="F842" i="2"/>
  <c r="E842" i="2"/>
  <c r="D842" i="2"/>
  <c r="C842" i="2"/>
  <c r="B842" i="2"/>
  <c r="A842" i="2"/>
  <c r="AG841" i="2"/>
  <c r="AE841" i="2"/>
  <c r="AD841" i="2"/>
  <c r="AC841" i="2"/>
  <c r="AB841" i="2"/>
  <c r="AA841" i="2"/>
  <c r="Z841" i="2"/>
  <c r="Y841" i="2"/>
  <c r="V841" i="2"/>
  <c r="U841" i="2"/>
  <c r="T841" i="2"/>
  <c r="S841" i="2"/>
  <c r="R841" i="2"/>
  <c r="Q841" i="2"/>
  <c r="P841" i="2"/>
  <c r="O841" i="2"/>
  <c r="N841" i="2"/>
  <c r="M841" i="2"/>
  <c r="L841" i="2"/>
  <c r="K841" i="2"/>
  <c r="J841" i="2"/>
  <c r="I841" i="2"/>
  <c r="H841" i="2"/>
  <c r="G841" i="2"/>
  <c r="F841" i="2"/>
  <c r="E841" i="2"/>
  <c r="D841" i="2"/>
  <c r="C841" i="2"/>
  <c r="B841" i="2"/>
  <c r="A841" i="2"/>
  <c r="AH840" i="2"/>
  <c r="AG840" i="2"/>
  <c r="AE840" i="2"/>
  <c r="AD840" i="2"/>
  <c r="AC840" i="2"/>
  <c r="AB840" i="2"/>
  <c r="AA840" i="2"/>
  <c r="Y840" i="2"/>
  <c r="X840" i="2"/>
  <c r="W840" i="2"/>
  <c r="V840" i="2"/>
  <c r="U840" i="2"/>
  <c r="T840" i="2"/>
  <c r="S840" i="2"/>
  <c r="R840" i="2"/>
  <c r="Q840" i="2"/>
  <c r="P840" i="2"/>
  <c r="O840" i="2"/>
  <c r="N840" i="2"/>
  <c r="M840" i="2"/>
  <c r="L840" i="2"/>
  <c r="K840" i="2"/>
  <c r="J840" i="2"/>
  <c r="I840" i="2"/>
  <c r="H840" i="2"/>
  <c r="G840" i="2"/>
  <c r="F840" i="2"/>
  <c r="E840" i="2"/>
  <c r="D840" i="2"/>
  <c r="C840" i="2"/>
  <c r="B840" i="2"/>
  <c r="A840" i="2"/>
  <c r="AG839" i="2"/>
  <c r="AF839" i="2"/>
  <c r="AE839" i="2"/>
  <c r="AD839" i="2"/>
  <c r="AC839" i="2"/>
  <c r="AB839" i="2"/>
  <c r="AA839" i="2"/>
  <c r="Y839" i="2"/>
  <c r="X839" i="2"/>
  <c r="W839" i="2"/>
  <c r="V839" i="2"/>
  <c r="U839" i="2"/>
  <c r="T839" i="2"/>
  <c r="S839" i="2"/>
  <c r="R839" i="2"/>
  <c r="Q839" i="2"/>
  <c r="P839" i="2"/>
  <c r="O839" i="2"/>
  <c r="N839" i="2"/>
  <c r="M839" i="2"/>
  <c r="L839" i="2"/>
  <c r="K839" i="2"/>
  <c r="J839" i="2"/>
  <c r="I839" i="2"/>
  <c r="H839" i="2"/>
  <c r="G839" i="2"/>
  <c r="F839" i="2"/>
  <c r="E839" i="2"/>
  <c r="D839" i="2"/>
  <c r="C839" i="2"/>
  <c r="B839" i="2"/>
  <c r="A839" i="2"/>
  <c r="AG838" i="2"/>
  <c r="AF838" i="2"/>
  <c r="AE838" i="2"/>
  <c r="AD838" i="2"/>
  <c r="AC838" i="2"/>
  <c r="AB838" i="2"/>
  <c r="AA838" i="2"/>
  <c r="Y838" i="2"/>
  <c r="X838" i="2"/>
  <c r="W838" i="2"/>
  <c r="V838" i="2"/>
  <c r="U838" i="2"/>
  <c r="T838" i="2"/>
  <c r="S838" i="2"/>
  <c r="R838" i="2"/>
  <c r="Q838" i="2"/>
  <c r="P838" i="2"/>
  <c r="O838" i="2"/>
  <c r="N838" i="2"/>
  <c r="M838" i="2"/>
  <c r="L838" i="2"/>
  <c r="K838" i="2"/>
  <c r="J838" i="2"/>
  <c r="I838" i="2"/>
  <c r="H838" i="2"/>
  <c r="G838" i="2"/>
  <c r="F838" i="2"/>
  <c r="E838" i="2"/>
  <c r="D838" i="2"/>
  <c r="C838" i="2"/>
  <c r="B838" i="2"/>
  <c r="A838" i="2"/>
  <c r="AG837" i="2"/>
  <c r="AF837" i="2"/>
  <c r="AE837" i="2"/>
  <c r="AD837" i="2"/>
  <c r="AC837" i="2"/>
  <c r="AB837" i="2"/>
  <c r="AA837" i="2"/>
  <c r="Z837" i="2"/>
  <c r="Y837" i="2"/>
  <c r="X837" i="2"/>
  <c r="W837" i="2"/>
  <c r="V837" i="2"/>
  <c r="U837" i="2"/>
  <c r="T837" i="2"/>
  <c r="S837" i="2"/>
  <c r="R837" i="2"/>
  <c r="Q837" i="2"/>
  <c r="P837" i="2"/>
  <c r="O837" i="2"/>
  <c r="N837" i="2"/>
  <c r="M837" i="2"/>
  <c r="L837" i="2"/>
  <c r="K837" i="2"/>
  <c r="J837" i="2"/>
  <c r="I837" i="2"/>
  <c r="H837" i="2"/>
  <c r="G837" i="2"/>
  <c r="F837" i="2"/>
  <c r="E837" i="2"/>
  <c r="D837" i="2"/>
  <c r="C837" i="2"/>
  <c r="B837" i="2"/>
  <c r="A837" i="2"/>
  <c r="AG836" i="2"/>
  <c r="AF836" i="2"/>
  <c r="AE836" i="2"/>
  <c r="AD836" i="2"/>
  <c r="AC836" i="2"/>
  <c r="AB836" i="2"/>
  <c r="AA836" i="2"/>
  <c r="Y836" i="2"/>
  <c r="X836" i="2"/>
  <c r="W836" i="2"/>
  <c r="V836" i="2"/>
  <c r="U836" i="2"/>
  <c r="T836" i="2"/>
  <c r="S836" i="2"/>
  <c r="R836" i="2"/>
  <c r="Q836" i="2"/>
  <c r="P836" i="2"/>
  <c r="O836" i="2"/>
  <c r="N836" i="2"/>
  <c r="M836" i="2"/>
  <c r="L836" i="2"/>
  <c r="K836" i="2"/>
  <c r="J836" i="2"/>
  <c r="I836" i="2"/>
  <c r="H836" i="2"/>
  <c r="G836" i="2"/>
  <c r="F836" i="2"/>
  <c r="E836" i="2"/>
  <c r="D836" i="2"/>
  <c r="C836" i="2"/>
  <c r="B836" i="2"/>
  <c r="A836" i="2"/>
  <c r="AG835" i="2"/>
  <c r="AE835" i="2"/>
  <c r="AD835" i="2"/>
  <c r="AC835" i="2"/>
  <c r="AB835" i="2"/>
  <c r="AA835" i="2"/>
  <c r="Y835" i="2"/>
  <c r="X835" i="2"/>
  <c r="V835" i="2"/>
  <c r="U835" i="2"/>
  <c r="T835" i="2"/>
  <c r="S835" i="2"/>
  <c r="R835" i="2"/>
  <c r="Q835" i="2"/>
  <c r="P835" i="2"/>
  <c r="O835" i="2"/>
  <c r="N835" i="2"/>
  <c r="M835" i="2"/>
  <c r="L835" i="2"/>
  <c r="K835" i="2"/>
  <c r="J835" i="2"/>
  <c r="I835" i="2"/>
  <c r="H835" i="2"/>
  <c r="G835" i="2"/>
  <c r="F835" i="2"/>
  <c r="E835" i="2"/>
  <c r="D835" i="2"/>
  <c r="C835" i="2"/>
  <c r="B835" i="2"/>
  <c r="A835" i="2"/>
  <c r="AG834" i="2"/>
  <c r="AE834" i="2"/>
  <c r="AD834" i="2"/>
  <c r="AC834" i="2"/>
  <c r="AB834" i="2"/>
  <c r="AA834" i="2"/>
  <c r="Y834" i="2"/>
  <c r="X834" i="2"/>
  <c r="W834" i="2"/>
  <c r="V834" i="2"/>
  <c r="U834" i="2"/>
  <c r="T834" i="2"/>
  <c r="S834" i="2"/>
  <c r="R834" i="2"/>
  <c r="Q834" i="2"/>
  <c r="P834" i="2"/>
  <c r="O834" i="2"/>
  <c r="N834" i="2"/>
  <c r="M834" i="2"/>
  <c r="L834" i="2"/>
  <c r="K834" i="2"/>
  <c r="J834" i="2"/>
  <c r="I834" i="2"/>
  <c r="H834" i="2"/>
  <c r="G834" i="2"/>
  <c r="F834" i="2"/>
  <c r="E834" i="2"/>
  <c r="D834" i="2"/>
  <c r="C834" i="2"/>
  <c r="B834" i="2"/>
  <c r="A834" i="2"/>
  <c r="AG833" i="2"/>
  <c r="AE833" i="2"/>
  <c r="AD833" i="2"/>
  <c r="AC833" i="2"/>
  <c r="AB833" i="2"/>
  <c r="AA833" i="2"/>
  <c r="Y833" i="2"/>
  <c r="V833" i="2"/>
  <c r="U833" i="2"/>
  <c r="T833" i="2"/>
  <c r="S833" i="2"/>
  <c r="R833" i="2"/>
  <c r="Q833" i="2"/>
  <c r="P833" i="2"/>
  <c r="O833" i="2"/>
  <c r="N833" i="2"/>
  <c r="M833" i="2"/>
  <c r="L833" i="2"/>
  <c r="K833" i="2"/>
  <c r="J833" i="2"/>
  <c r="I833" i="2"/>
  <c r="H833" i="2"/>
  <c r="G833" i="2"/>
  <c r="F833" i="2"/>
  <c r="E833" i="2"/>
  <c r="D833" i="2"/>
  <c r="C833" i="2"/>
  <c r="B833" i="2"/>
  <c r="A833" i="2"/>
  <c r="AH832" i="2"/>
  <c r="AG832" i="2"/>
  <c r="AF832" i="2"/>
  <c r="AE832" i="2"/>
  <c r="AD832" i="2"/>
  <c r="AC832" i="2"/>
  <c r="AB832" i="2"/>
  <c r="AA832" i="2"/>
  <c r="Y832" i="2"/>
  <c r="X832" i="2"/>
  <c r="W832" i="2"/>
  <c r="V832" i="2"/>
  <c r="U832" i="2"/>
  <c r="T832" i="2"/>
  <c r="R832" i="2"/>
  <c r="Q832" i="2"/>
  <c r="P832" i="2"/>
  <c r="O832" i="2"/>
  <c r="N832" i="2"/>
  <c r="M832" i="2"/>
  <c r="L832" i="2"/>
  <c r="K832" i="2"/>
  <c r="J832" i="2"/>
  <c r="I832" i="2"/>
  <c r="H832" i="2"/>
  <c r="G832" i="2"/>
  <c r="F832" i="2"/>
  <c r="E832" i="2"/>
  <c r="D832" i="2"/>
  <c r="C832" i="2"/>
  <c r="B832" i="2"/>
  <c r="A832" i="2"/>
  <c r="AG831" i="2"/>
  <c r="AF831" i="2"/>
  <c r="AE831" i="2"/>
  <c r="AD831" i="2"/>
  <c r="AC831" i="2"/>
  <c r="AB831" i="2"/>
  <c r="AA831" i="2"/>
  <c r="Y831" i="2"/>
  <c r="X831" i="2"/>
  <c r="W831" i="2"/>
  <c r="V831" i="2"/>
  <c r="U831" i="2"/>
  <c r="T831" i="2"/>
  <c r="S831" i="2"/>
  <c r="R831" i="2"/>
  <c r="Q831" i="2"/>
  <c r="P831" i="2"/>
  <c r="O831" i="2"/>
  <c r="N831" i="2"/>
  <c r="M831" i="2"/>
  <c r="L831" i="2"/>
  <c r="K831" i="2"/>
  <c r="J831" i="2"/>
  <c r="I831" i="2"/>
  <c r="H831" i="2"/>
  <c r="G831" i="2"/>
  <c r="F831" i="2"/>
  <c r="E831" i="2"/>
  <c r="D831" i="2"/>
  <c r="C831" i="2"/>
  <c r="B831" i="2"/>
  <c r="A831" i="2"/>
  <c r="AG830" i="2"/>
  <c r="AE830" i="2"/>
  <c r="AD830" i="2"/>
  <c r="AC830" i="2"/>
  <c r="AB830" i="2"/>
  <c r="AA830" i="2"/>
  <c r="Y830" i="2"/>
  <c r="X830" i="2"/>
  <c r="V830" i="2"/>
  <c r="U830" i="2"/>
  <c r="T830" i="2"/>
  <c r="S830" i="2"/>
  <c r="R830" i="2"/>
  <c r="Q830" i="2"/>
  <c r="P830" i="2"/>
  <c r="O830" i="2"/>
  <c r="N830" i="2"/>
  <c r="M830" i="2"/>
  <c r="L830" i="2"/>
  <c r="K830" i="2"/>
  <c r="J830" i="2"/>
  <c r="I830" i="2"/>
  <c r="H830" i="2"/>
  <c r="G830" i="2"/>
  <c r="F830" i="2"/>
  <c r="E830" i="2"/>
  <c r="D830" i="2"/>
  <c r="C830" i="2"/>
  <c r="B830" i="2"/>
  <c r="A830" i="2"/>
  <c r="AG829" i="2"/>
  <c r="AF829" i="2"/>
  <c r="AE829" i="2"/>
  <c r="AD829" i="2"/>
  <c r="AC829" i="2"/>
  <c r="AB829" i="2"/>
  <c r="Y829" i="2"/>
  <c r="X829" i="2"/>
  <c r="W829" i="2"/>
  <c r="V829" i="2"/>
  <c r="U829" i="2"/>
  <c r="T829" i="2"/>
  <c r="S829" i="2"/>
  <c r="R829" i="2"/>
  <c r="Q829" i="2"/>
  <c r="P829" i="2"/>
  <c r="O829" i="2"/>
  <c r="N829" i="2"/>
  <c r="M829" i="2"/>
  <c r="L829" i="2"/>
  <c r="K829" i="2"/>
  <c r="J829" i="2"/>
  <c r="I829" i="2"/>
  <c r="H829" i="2"/>
  <c r="G829" i="2"/>
  <c r="F829" i="2"/>
  <c r="E829" i="2"/>
  <c r="D829" i="2"/>
  <c r="C829" i="2"/>
  <c r="B829" i="2"/>
  <c r="A829" i="2"/>
  <c r="AH828" i="2"/>
  <c r="AG828" i="2"/>
  <c r="AE828" i="2"/>
  <c r="AD828" i="2"/>
  <c r="AC828" i="2"/>
  <c r="AB828" i="2"/>
  <c r="AA828" i="2"/>
  <c r="Y828" i="2"/>
  <c r="X828" i="2"/>
  <c r="W828" i="2"/>
  <c r="V828" i="2"/>
  <c r="U828" i="2"/>
  <c r="T828" i="2"/>
  <c r="S828" i="2"/>
  <c r="R828" i="2"/>
  <c r="Q828" i="2"/>
  <c r="P828" i="2"/>
  <c r="O828" i="2"/>
  <c r="N828" i="2"/>
  <c r="M828" i="2"/>
  <c r="L828" i="2"/>
  <c r="K828" i="2"/>
  <c r="J828" i="2"/>
  <c r="I828" i="2"/>
  <c r="H828" i="2"/>
  <c r="G828" i="2"/>
  <c r="F828" i="2"/>
  <c r="E828" i="2"/>
  <c r="D828" i="2"/>
  <c r="C828" i="2"/>
  <c r="B828" i="2"/>
  <c r="A828" i="2"/>
  <c r="AG827" i="2"/>
  <c r="AF827" i="2"/>
  <c r="AE827" i="2"/>
  <c r="AC827" i="2"/>
  <c r="AB827" i="2"/>
  <c r="AA827" i="2"/>
  <c r="Y827" i="2"/>
  <c r="V827" i="2"/>
  <c r="U827" i="2"/>
  <c r="S827" i="2"/>
  <c r="R827" i="2"/>
  <c r="Q827" i="2"/>
  <c r="P827" i="2"/>
  <c r="O827" i="2"/>
  <c r="N827" i="2"/>
  <c r="M827" i="2"/>
  <c r="L827" i="2"/>
  <c r="K827" i="2"/>
  <c r="J827" i="2"/>
  <c r="I827" i="2"/>
  <c r="H827" i="2"/>
  <c r="G827" i="2"/>
  <c r="F827" i="2"/>
  <c r="E827" i="2"/>
  <c r="D827" i="2"/>
  <c r="C827" i="2"/>
  <c r="B827" i="2"/>
  <c r="A827" i="2"/>
  <c r="AG826" i="2"/>
  <c r="AF826" i="2"/>
  <c r="AE826" i="2"/>
  <c r="AD826" i="2"/>
  <c r="AC826" i="2"/>
  <c r="AB826" i="2"/>
  <c r="AA826" i="2"/>
  <c r="Y826" i="2"/>
  <c r="X826" i="2"/>
  <c r="V826" i="2"/>
  <c r="U826" i="2"/>
  <c r="T826" i="2"/>
  <c r="S826" i="2"/>
  <c r="R826" i="2"/>
  <c r="Q826" i="2"/>
  <c r="P826" i="2"/>
  <c r="O826" i="2"/>
  <c r="N826" i="2"/>
  <c r="M826" i="2"/>
  <c r="L826" i="2"/>
  <c r="K826" i="2"/>
  <c r="J826" i="2"/>
  <c r="I826" i="2"/>
  <c r="H826" i="2"/>
  <c r="G826" i="2"/>
  <c r="F826" i="2"/>
  <c r="E826" i="2"/>
  <c r="D826" i="2"/>
  <c r="C826" i="2"/>
  <c r="B826" i="2"/>
  <c r="A826" i="2"/>
  <c r="AH825" i="2"/>
  <c r="AG825" i="2"/>
  <c r="AF825" i="2"/>
  <c r="AE825" i="2"/>
  <c r="AD825" i="2"/>
  <c r="AC825" i="2"/>
  <c r="AB825" i="2"/>
  <c r="AA825" i="2"/>
  <c r="Y825" i="2"/>
  <c r="X825" i="2"/>
  <c r="W825" i="2"/>
  <c r="V825" i="2"/>
  <c r="U825" i="2"/>
  <c r="T825" i="2"/>
  <c r="S825" i="2"/>
  <c r="R825" i="2"/>
  <c r="Q825" i="2"/>
  <c r="P825" i="2"/>
  <c r="O825" i="2"/>
  <c r="N825" i="2"/>
  <c r="M825" i="2"/>
  <c r="L825" i="2"/>
  <c r="K825" i="2"/>
  <c r="J825" i="2"/>
  <c r="I825" i="2"/>
  <c r="H825" i="2"/>
  <c r="G825" i="2"/>
  <c r="F825" i="2"/>
  <c r="E825" i="2"/>
  <c r="D825" i="2"/>
  <c r="C825" i="2"/>
  <c r="B825" i="2"/>
  <c r="A825" i="2"/>
  <c r="AH824" i="2"/>
  <c r="AG824" i="2"/>
  <c r="AF824" i="2"/>
  <c r="AE824" i="2"/>
  <c r="AD824" i="2"/>
  <c r="AC824" i="2"/>
  <c r="AB824" i="2"/>
  <c r="AA824" i="2"/>
  <c r="Y824" i="2"/>
  <c r="X824" i="2"/>
  <c r="W824" i="2"/>
  <c r="V824" i="2"/>
  <c r="U824" i="2"/>
  <c r="T824" i="2"/>
  <c r="S824" i="2"/>
  <c r="R824" i="2"/>
  <c r="Q824" i="2"/>
  <c r="P824" i="2"/>
  <c r="O824" i="2"/>
  <c r="N824" i="2"/>
  <c r="M824" i="2"/>
  <c r="L824" i="2"/>
  <c r="K824" i="2"/>
  <c r="J824" i="2"/>
  <c r="I824" i="2"/>
  <c r="H824" i="2"/>
  <c r="G824" i="2"/>
  <c r="F824" i="2"/>
  <c r="E824" i="2"/>
  <c r="D824" i="2"/>
  <c r="C824" i="2"/>
  <c r="B824" i="2"/>
  <c r="A824" i="2"/>
  <c r="AH823" i="2"/>
  <c r="AG823" i="2"/>
  <c r="AE823" i="2"/>
  <c r="AC823" i="2"/>
  <c r="AB823" i="2"/>
  <c r="AA823" i="2"/>
  <c r="Z823" i="2"/>
  <c r="Y823" i="2"/>
  <c r="X823" i="2"/>
  <c r="W823" i="2"/>
  <c r="V823" i="2"/>
  <c r="U823" i="2"/>
  <c r="T823" i="2"/>
  <c r="S823" i="2"/>
  <c r="R823" i="2"/>
  <c r="Q823" i="2"/>
  <c r="P823" i="2"/>
  <c r="O823" i="2"/>
  <c r="N823" i="2"/>
  <c r="M823" i="2"/>
  <c r="L823" i="2"/>
  <c r="K823" i="2"/>
  <c r="J823" i="2"/>
  <c r="I823" i="2"/>
  <c r="H823" i="2"/>
  <c r="G823" i="2"/>
  <c r="F823" i="2"/>
  <c r="E823" i="2"/>
  <c r="D823" i="2"/>
  <c r="C823" i="2"/>
  <c r="B823" i="2"/>
  <c r="A823" i="2"/>
  <c r="AH822" i="2"/>
  <c r="AG822" i="2"/>
  <c r="AE822" i="2"/>
  <c r="AD822" i="2"/>
  <c r="AC822" i="2"/>
  <c r="AB822" i="2"/>
  <c r="AA822" i="2"/>
  <c r="Y822" i="2"/>
  <c r="X822" i="2"/>
  <c r="W822" i="2"/>
  <c r="V822" i="2"/>
  <c r="U822" i="2"/>
  <c r="T822" i="2"/>
  <c r="S822" i="2"/>
  <c r="R822" i="2"/>
  <c r="Q822" i="2"/>
  <c r="P822" i="2"/>
  <c r="O822" i="2"/>
  <c r="N822" i="2"/>
  <c r="M822" i="2"/>
  <c r="L822" i="2"/>
  <c r="K822" i="2"/>
  <c r="J822" i="2"/>
  <c r="I822" i="2"/>
  <c r="H822" i="2"/>
  <c r="G822" i="2"/>
  <c r="F822" i="2"/>
  <c r="E822" i="2"/>
  <c r="D822" i="2"/>
  <c r="C822" i="2"/>
  <c r="B822" i="2"/>
  <c r="A822" i="2"/>
  <c r="AH821" i="2"/>
  <c r="AG821" i="2"/>
  <c r="AE821" i="2"/>
  <c r="AD821" i="2"/>
  <c r="AC821" i="2"/>
  <c r="AB821" i="2"/>
  <c r="AA821" i="2"/>
  <c r="X821" i="2"/>
  <c r="W821" i="2"/>
  <c r="V821" i="2"/>
  <c r="U821" i="2"/>
  <c r="T821" i="2"/>
  <c r="S821" i="2"/>
  <c r="R821" i="2"/>
  <c r="Q821" i="2"/>
  <c r="P821" i="2"/>
  <c r="O821" i="2"/>
  <c r="N821" i="2"/>
  <c r="M821" i="2"/>
  <c r="L821" i="2"/>
  <c r="K821" i="2"/>
  <c r="J821" i="2"/>
  <c r="I821" i="2"/>
  <c r="H821" i="2"/>
  <c r="G821" i="2"/>
  <c r="F821" i="2"/>
  <c r="E821" i="2"/>
  <c r="D821" i="2"/>
  <c r="C821" i="2"/>
  <c r="B821" i="2"/>
  <c r="A821" i="2"/>
  <c r="AG820" i="2"/>
  <c r="AF820" i="2"/>
  <c r="AE820" i="2"/>
  <c r="AD820" i="2"/>
  <c r="AC820" i="2"/>
  <c r="AB820" i="2"/>
  <c r="AA820" i="2"/>
  <c r="Y820" i="2"/>
  <c r="X820" i="2"/>
  <c r="W820" i="2"/>
  <c r="V820" i="2"/>
  <c r="U820" i="2"/>
  <c r="T820" i="2"/>
  <c r="S820" i="2"/>
  <c r="R820" i="2"/>
  <c r="Q820" i="2"/>
  <c r="P820" i="2"/>
  <c r="O820" i="2"/>
  <c r="N820" i="2"/>
  <c r="M820" i="2"/>
  <c r="L820" i="2"/>
  <c r="K820" i="2"/>
  <c r="J820" i="2"/>
  <c r="I820" i="2"/>
  <c r="H820" i="2"/>
  <c r="G820" i="2"/>
  <c r="F820" i="2"/>
  <c r="E820" i="2"/>
  <c r="D820" i="2"/>
  <c r="C820" i="2"/>
  <c r="B820" i="2"/>
  <c r="A820" i="2"/>
  <c r="AH819" i="2"/>
  <c r="AG819" i="2"/>
  <c r="AE819" i="2"/>
  <c r="AD819" i="2"/>
  <c r="AC819" i="2"/>
  <c r="AB819" i="2"/>
  <c r="AA819" i="2"/>
  <c r="Y819" i="2"/>
  <c r="X819" i="2"/>
  <c r="W819" i="2"/>
  <c r="V819" i="2"/>
  <c r="U819" i="2"/>
  <c r="T819" i="2"/>
  <c r="S819" i="2"/>
  <c r="R819" i="2"/>
  <c r="Q819" i="2"/>
  <c r="P819" i="2"/>
  <c r="O819" i="2"/>
  <c r="N819" i="2"/>
  <c r="M819" i="2"/>
  <c r="L819" i="2"/>
  <c r="K819" i="2"/>
  <c r="J819" i="2"/>
  <c r="I819" i="2"/>
  <c r="H819" i="2"/>
  <c r="G819" i="2"/>
  <c r="F819" i="2"/>
  <c r="E819" i="2"/>
  <c r="D819" i="2"/>
  <c r="C819" i="2"/>
  <c r="B819" i="2"/>
  <c r="A819" i="2"/>
  <c r="AH818" i="2"/>
  <c r="AG818" i="2"/>
  <c r="AF818" i="2"/>
  <c r="AE818" i="2"/>
  <c r="AD818" i="2"/>
  <c r="AC818" i="2"/>
  <c r="AB818" i="2"/>
  <c r="AA818" i="2"/>
  <c r="Z818" i="2"/>
  <c r="Y818" i="2"/>
  <c r="X818" i="2"/>
  <c r="W818" i="2"/>
  <c r="V818" i="2"/>
  <c r="U818" i="2"/>
  <c r="S818" i="2"/>
  <c r="R818" i="2"/>
  <c r="Q818" i="2"/>
  <c r="P818" i="2"/>
  <c r="O818" i="2"/>
  <c r="N818" i="2"/>
  <c r="M818" i="2"/>
  <c r="L818" i="2"/>
  <c r="K818" i="2"/>
  <c r="J818" i="2"/>
  <c r="I818" i="2"/>
  <c r="H818" i="2"/>
  <c r="G818" i="2"/>
  <c r="F818" i="2"/>
  <c r="E818" i="2"/>
  <c r="D818" i="2"/>
  <c r="C818" i="2"/>
  <c r="B818" i="2"/>
  <c r="A818" i="2"/>
  <c r="AH817" i="2"/>
  <c r="AG817" i="2"/>
  <c r="AE817" i="2"/>
  <c r="AD817" i="2"/>
  <c r="AC817" i="2"/>
  <c r="AB817" i="2"/>
  <c r="AA817" i="2"/>
  <c r="V817" i="2"/>
  <c r="U817" i="2"/>
  <c r="T817" i="2"/>
  <c r="P817" i="2"/>
  <c r="O817" i="2"/>
  <c r="N817" i="2"/>
  <c r="M817" i="2"/>
  <c r="L817" i="2"/>
  <c r="K817" i="2"/>
  <c r="J817" i="2"/>
  <c r="I817" i="2"/>
  <c r="H817" i="2"/>
  <c r="G817" i="2"/>
  <c r="F817" i="2"/>
  <c r="E817" i="2"/>
  <c r="D817" i="2"/>
  <c r="C817" i="2"/>
  <c r="B817" i="2"/>
  <c r="A817" i="2"/>
  <c r="AG816" i="2"/>
  <c r="AF816" i="2"/>
  <c r="AE816" i="2"/>
  <c r="AD816" i="2"/>
  <c r="AC816" i="2"/>
  <c r="AB816" i="2"/>
  <c r="AA816" i="2"/>
  <c r="Y816" i="2"/>
  <c r="X816" i="2"/>
  <c r="W816" i="2"/>
  <c r="V816" i="2"/>
  <c r="U816" i="2"/>
  <c r="Q816" i="2"/>
  <c r="P816" i="2"/>
  <c r="O816" i="2"/>
  <c r="N816" i="2"/>
  <c r="M816" i="2"/>
  <c r="L816" i="2"/>
  <c r="K816" i="2"/>
  <c r="J816" i="2"/>
  <c r="I816" i="2"/>
  <c r="H816" i="2"/>
  <c r="G816" i="2"/>
  <c r="F816" i="2"/>
  <c r="E816" i="2"/>
  <c r="D816" i="2"/>
  <c r="C816" i="2"/>
  <c r="B816" i="2"/>
  <c r="A816" i="2"/>
  <c r="AG815" i="2"/>
  <c r="AE815" i="2"/>
  <c r="AD815" i="2"/>
  <c r="AC815" i="2"/>
  <c r="AB815" i="2"/>
  <c r="AA815" i="2"/>
  <c r="Y815" i="2"/>
  <c r="V815" i="2"/>
  <c r="U815" i="2"/>
  <c r="T815" i="2"/>
  <c r="S815" i="2"/>
  <c r="R815" i="2"/>
  <c r="Q815" i="2"/>
  <c r="P815" i="2"/>
  <c r="O815" i="2"/>
  <c r="N815" i="2"/>
  <c r="M815" i="2"/>
  <c r="L815" i="2"/>
  <c r="K815" i="2"/>
  <c r="J815" i="2"/>
  <c r="I815" i="2"/>
  <c r="H815" i="2"/>
  <c r="G815" i="2"/>
  <c r="F815" i="2"/>
  <c r="E815" i="2"/>
  <c r="D815" i="2"/>
  <c r="C815" i="2"/>
  <c r="B815" i="2"/>
  <c r="A815" i="2"/>
  <c r="AH814" i="2"/>
  <c r="AG814" i="2"/>
  <c r="AF814" i="2"/>
  <c r="AD814" i="2"/>
  <c r="AC814" i="2"/>
  <c r="AB814" i="2"/>
  <c r="AA814" i="2"/>
  <c r="Y814" i="2"/>
  <c r="X814" i="2"/>
  <c r="V814" i="2"/>
  <c r="U814" i="2"/>
  <c r="T814" i="2"/>
  <c r="S814" i="2"/>
  <c r="R814" i="2"/>
  <c r="Q814" i="2"/>
  <c r="P814" i="2"/>
  <c r="O814" i="2"/>
  <c r="N814" i="2"/>
  <c r="M814" i="2"/>
  <c r="L814" i="2"/>
  <c r="K814" i="2"/>
  <c r="J814" i="2"/>
  <c r="I814" i="2"/>
  <c r="H814" i="2"/>
  <c r="G814" i="2"/>
  <c r="F814" i="2"/>
  <c r="E814" i="2"/>
  <c r="D814" i="2"/>
  <c r="C814" i="2"/>
  <c r="B814" i="2"/>
  <c r="A814" i="2"/>
  <c r="AG813" i="2"/>
  <c r="AE813" i="2"/>
  <c r="AD813" i="2"/>
  <c r="AC813" i="2"/>
  <c r="AB813" i="2"/>
  <c r="Y813" i="2"/>
  <c r="X813" i="2"/>
  <c r="W813" i="2"/>
  <c r="V813" i="2"/>
  <c r="U813" i="2"/>
  <c r="T813" i="2"/>
  <c r="S813" i="2"/>
  <c r="R813" i="2"/>
  <c r="Q813" i="2"/>
  <c r="P813" i="2"/>
  <c r="O813" i="2"/>
  <c r="N813" i="2"/>
  <c r="M813" i="2"/>
  <c r="L813" i="2"/>
  <c r="K813" i="2"/>
  <c r="J813" i="2"/>
  <c r="I813" i="2"/>
  <c r="H813" i="2"/>
  <c r="G813" i="2"/>
  <c r="F813" i="2"/>
  <c r="E813" i="2"/>
  <c r="D813" i="2"/>
  <c r="C813" i="2"/>
  <c r="B813" i="2"/>
  <c r="A813" i="2"/>
  <c r="AH812" i="2"/>
  <c r="AG812" i="2"/>
  <c r="AF812" i="2"/>
  <c r="AE812" i="2"/>
  <c r="AC812" i="2"/>
  <c r="AB812" i="2"/>
  <c r="AA812" i="2"/>
  <c r="Y812" i="2"/>
  <c r="X812" i="2"/>
  <c r="W812" i="2"/>
  <c r="V812" i="2"/>
  <c r="U812" i="2"/>
  <c r="T812" i="2"/>
  <c r="S812" i="2"/>
  <c r="R812" i="2"/>
  <c r="Q812" i="2"/>
  <c r="P812" i="2"/>
  <c r="O812" i="2"/>
  <c r="N812" i="2"/>
  <c r="M812" i="2"/>
  <c r="L812" i="2"/>
  <c r="K812" i="2"/>
  <c r="J812" i="2"/>
  <c r="I812" i="2"/>
  <c r="H812" i="2"/>
  <c r="G812" i="2"/>
  <c r="F812" i="2"/>
  <c r="E812" i="2"/>
  <c r="D812" i="2"/>
  <c r="C812" i="2"/>
  <c r="B812" i="2"/>
  <c r="A812" i="2"/>
  <c r="AH811" i="2"/>
  <c r="AG811" i="2"/>
  <c r="AF811" i="2"/>
  <c r="AE811" i="2"/>
  <c r="AD811" i="2"/>
  <c r="AC811" i="2"/>
  <c r="AB811" i="2"/>
  <c r="AA811" i="2"/>
  <c r="Y811" i="2"/>
  <c r="X811" i="2"/>
  <c r="W811" i="2"/>
  <c r="V811" i="2"/>
  <c r="U811" i="2"/>
  <c r="T811" i="2"/>
  <c r="S811" i="2"/>
  <c r="R811" i="2"/>
  <c r="Q811" i="2"/>
  <c r="P811" i="2"/>
  <c r="O811" i="2"/>
  <c r="N811" i="2"/>
  <c r="M811" i="2"/>
  <c r="L811" i="2"/>
  <c r="K811" i="2"/>
  <c r="J811" i="2"/>
  <c r="I811" i="2"/>
  <c r="H811" i="2"/>
  <c r="G811" i="2"/>
  <c r="F811" i="2"/>
  <c r="E811" i="2"/>
  <c r="D811" i="2"/>
  <c r="C811" i="2"/>
  <c r="B811" i="2"/>
  <c r="A811" i="2"/>
  <c r="AH810" i="2"/>
  <c r="AG810" i="2"/>
  <c r="AE810" i="2"/>
  <c r="AD810" i="2"/>
  <c r="AC810" i="2"/>
  <c r="AB810" i="2"/>
  <c r="AA810" i="2"/>
  <c r="X810" i="2"/>
  <c r="W810" i="2"/>
  <c r="V810" i="2"/>
  <c r="U810" i="2"/>
  <c r="T810" i="2"/>
  <c r="S810" i="2"/>
  <c r="R810" i="2"/>
  <c r="Q810" i="2"/>
  <c r="P810" i="2"/>
  <c r="O810" i="2"/>
  <c r="N810" i="2"/>
  <c r="M810" i="2"/>
  <c r="L810" i="2"/>
  <c r="K810" i="2"/>
  <c r="J810" i="2"/>
  <c r="I810" i="2"/>
  <c r="H810" i="2"/>
  <c r="G810" i="2"/>
  <c r="F810" i="2"/>
  <c r="E810" i="2"/>
  <c r="D810" i="2"/>
  <c r="C810" i="2"/>
  <c r="B810" i="2"/>
  <c r="A810" i="2"/>
  <c r="AH809" i="2"/>
  <c r="AG809" i="2"/>
  <c r="AF809" i="2"/>
  <c r="AE809" i="2"/>
  <c r="AD809" i="2"/>
  <c r="AC809" i="2"/>
  <c r="AB809" i="2"/>
  <c r="AA809" i="2"/>
  <c r="Y809" i="2"/>
  <c r="X809" i="2"/>
  <c r="W809" i="2"/>
  <c r="V809" i="2"/>
  <c r="U809" i="2"/>
  <c r="T809" i="2"/>
  <c r="S809" i="2"/>
  <c r="R809" i="2"/>
  <c r="Q809" i="2"/>
  <c r="P809" i="2"/>
  <c r="O809" i="2"/>
  <c r="N809" i="2"/>
  <c r="M809" i="2"/>
  <c r="L809" i="2"/>
  <c r="K809" i="2"/>
  <c r="J809" i="2"/>
  <c r="I809" i="2"/>
  <c r="H809" i="2"/>
  <c r="G809" i="2"/>
  <c r="F809" i="2"/>
  <c r="E809" i="2"/>
  <c r="D809" i="2"/>
  <c r="C809" i="2"/>
  <c r="B809" i="2"/>
  <c r="A809" i="2"/>
  <c r="AG808" i="2"/>
  <c r="AE808" i="2"/>
  <c r="AD808" i="2"/>
  <c r="AC808" i="2"/>
  <c r="AB808" i="2"/>
  <c r="AA808" i="2"/>
  <c r="X808" i="2"/>
  <c r="W808" i="2"/>
  <c r="V808" i="2"/>
  <c r="U808" i="2"/>
  <c r="T808" i="2"/>
  <c r="R808" i="2"/>
  <c r="Q808" i="2"/>
  <c r="P808" i="2"/>
  <c r="O808" i="2"/>
  <c r="N808" i="2"/>
  <c r="M808" i="2"/>
  <c r="L808" i="2"/>
  <c r="K808" i="2"/>
  <c r="J808" i="2"/>
  <c r="I808" i="2"/>
  <c r="H808" i="2"/>
  <c r="G808" i="2"/>
  <c r="F808" i="2"/>
  <c r="E808" i="2"/>
  <c r="D808" i="2"/>
  <c r="C808" i="2"/>
  <c r="B808" i="2"/>
  <c r="A808" i="2"/>
  <c r="AG807" i="2"/>
  <c r="AF807" i="2"/>
  <c r="AE807" i="2"/>
  <c r="AD807" i="2"/>
  <c r="AC807" i="2"/>
  <c r="AB807" i="2"/>
  <c r="AA807" i="2"/>
  <c r="Y807" i="2"/>
  <c r="X807" i="2"/>
  <c r="W807" i="2"/>
  <c r="V807" i="2"/>
  <c r="U807" i="2"/>
  <c r="T807" i="2"/>
  <c r="S807" i="2"/>
  <c r="R807" i="2"/>
  <c r="Q807" i="2"/>
  <c r="P807" i="2"/>
  <c r="O807" i="2"/>
  <c r="N807" i="2"/>
  <c r="M807" i="2"/>
  <c r="L807" i="2"/>
  <c r="K807" i="2"/>
  <c r="J807" i="2"/>
  <c r="I807" i="2"/>
  <c r="H807" i="2"/>
  <c r="G807" i="2"/>
  <c r="F807" i="2"/>
  <c r="E807" i="2"/>
  <c r="D807" i="2"/>
  <c r="C807" i="2"/>
  <c r="B807" i="2"/>
  <c r="A807" i="2"/>
  <c r="AG806" i="2"/>
  <c r="AF806" i="2"/>
  <c r="AE806" i="2"/>
  <c r="AD806" i="2"/>
  <c r="AC806" i="2"/>
  <c r="AB806" i="2"/>
  <c r="AA806" i="2"/>
  <c r="Y806" i="2"/>
  <c r="X806" i="2"/>
  <c r="V806" i="2"/>
  <c r="U806" i="2"/>
  <c r="T806" i="2"/>
  <c r="S806" i="2"/>
  <c r="R806" i="2"/>
  <c r="Q806" i="2"/>
  <c r="P806" i="2"/>
  <c r="O806" i="2"/>
  <c r="N806" i="2"/>
  <c r="M806" i="2"/>
  <c r="L806" i="2"/>
  <c r="K806" i="2"/>
  <c r="J806" i="2"/>
  <c r="I806" i="2"/>
  <c r="H806" i="2"/>
  <c r="G806" i="2"/>
  <c r="F806" i="2"/>
  <c r="E806" i="2"/>
  <c r="D806" i="2"/>
  <c r="C806" i="2"/>
  <c r="B806" i="2"/>
  <c r="A806" i="2"/>
  <c r="AG805" i="2"/>
  <c r="AE805" i="2"/>
  <c r="AD805" i="2"/>
  <c r="AC805" i="2"/>
  <c r="AB805" i="2"/>
  <c r="AA805" i="2"/>
  <c r="Y805" i="2"/>
  <c r="V805" i="2"/>
  <c r="U805" i="2"/>
  <c r="T805" i="2"/>
  <c r="S805" i="2"/>
  <c r="R805" i="2"/>
  <c r="Q805" i="2"/>
  <c r="P805" i="2"/>
  <c r="O805" i="2"/>
  <c r="N805" i="2"/>
  <c r="M805" i="2"/>
  <c r="L805" i="2"/>
  <c r="K805" i="2"/>
  <c r="J805" i="2"/>
  <c r="I805" i="2"/>
  <c r="H805" i="2"/>
  <c r="G805" i="2"/>
  <c r="F805" i="2"/>
  <c r="E805" i="2"/>
  <c r="D805" i="2"/>
  <c r="C805" i="2"/>
  <c r="B805" i="2"/>
  <c r="A805" i="2"/>
  <c r="AG804" i="2"/>
  <c r="AE804" i="2"/>
  <c r="AD804" i="2"/>
  <c r="AC804" i="2"/>
  <c r="AB804" i="2"/>
  <c r="AA804" i="2"/>
  <c r="X804" i="2"/>
  <c r="W804" i="2"/>
  <c r="V804" i="2"/>
  <c r="U804" i="2"/>
  <c r="T804" i="2"/>
  <c r="S804" i="2"/>
  <c r="R804" i="2"/>
  <c r="Q804" i="2"/>
  <c r="P804" i="2"/>
  <c r="O804" i="2"/>
  <c r="N804" i="2"/>
  <c r="M804" i="2"/>
  <c r="L804" i="2"/>
  <c r="K804" i="2"/>
  <c r="J804" i="2"/>
  <c r="I804" i="2"/>
  <c r="H804" i="2"/>
  <c r="G804" i="2"/>
  <c r="F804" i="2"/>
  <c r="E804" i="2"/>
  <c r="D804" i="2"/>
  <c r="C804" i="2"/>
  <c r="B804" i="2"/>
  <c r="A804" i="2"/>
  <c r="AH803" i="2"/>
  <c r="AG803" i="2"/>
  <c r="AE803" i="2"/>
  <c r="AD803" i="2"/>
  <c r="AC803" i="2"/>
  <c r="AB803" i="2"/>
  <c r="AA803" i="2"/>
  <c r="Y803" i="2"/>
  <c r="X803" i="2"/>
  <c r="W803" i="2"/>
  <c r="V803" i="2"/>
  <c r="U803" i="2"/>
  <c r="T803" i="2"/>
  <c r="S803" i="2"/>
  <c r="R803" i="2"/>
  <c r="Q803" i="2"/>
  <c r="P803" i="2"/>
  <c r="O803" i="2"/>
  <c r="N803" i="2"/>
  <c r="M803" i="2"/>
  <c r="L803" i="2"/>
  <c r="K803" i="2"/>
  <c r="J803" i="2"/>
  <c r="I803" i="2"/>
  <c r="H803" i="2"/>
  <c r="G803" i="2"/>
  <c r="F803" i="2"/>
  <c r="E803" i="2"/>
  <c r="D803" i="2"/>
  <c r="C803" i="2"/>
  <c r="B803" i="2"/>
  <c r="A803" i="2"/>
  <c r="AG802" i="2"/>
  <c r="AE802" i="2"/>
  <c r="AD802" i="2"/>
  <c r="AC802" i="2"/>
  <c r="AB802" i="2"/>
  <c r="AA802" i="2"/>
  <c r="Y802" i="2"/>
  <c r="X802" i="2"/>
  <c r="V802" i="2"/>
  <c r="U802" i="2"/>
  <c r="T802" i="2"/>
  <c r="S802" i="2"/>
  <c r="R802" i="2"/>
  <c r="Q802" i="2"/>
  <c r="P802" i="2"/>
  <c r="O802" i="2"/>
  <c r="N802" i="2"/>
  <c r="M802" i="2"/>
  <c r="L802" i="2"/>
  <c r="K802" i="2"/>
  <c r="J802" i="2"/>
  <c r="I802" i="2"/>
  <c r="H802" i="2"/>
  <c r="G802" i="2"/>
  <c r="F802" i="2"/>
  <c r="E802" i="2"/>
  <c r="D802" i="2"/>
  <c r="C802" i="2"/>
  <c r="B802" i="2"/>
  <c r="A802" i="2"/>
  <c r="AG801" i="2"/>
  <c r="AF801" i="2"/>
  <c r="AE801" i="2"/>
  <c r="AD801" i="2"/>
  <c r="AC801" i="2"/>
  <c r="AB801" i="2"/>
  <c r="AA801" i="2"/>
  <c r="Z801" i="2"/>
  <c r="Y801" i="2"/>
  <c r="X801" i="2"/>
  <c r="W801" i="2"/>
  <c r="V801" i="2"/>
  <c r="U801" i="2"/>
  <c r="T801" i="2"/>
  <c r="S801" i="2"/>
  <c r="R801" i="2"/>
  <c r="Q801" i="2"/>
  <c r="P801" i="2"/>
  <c r="O801" i="2"/>
  <c r="N801" i="2"/>
  <c r="M801" i="2"/>
  <c r="L801" i="2"/>
  <c r="K801" i="2"/>
  <c r="J801" i="2"/>
  <c r="I801" i="2"/>
  <c r="H801" i="2"/>
  <c r="G801" i="2"/>
  <c r="F801" i="2"/>
  <c r="E801" i="2"/>
  <c r="D801" i="2"/>
  <c r="C801" i="2"/>
  <c r="B801" i="2"/>
  <c r="A801" i="2"/>
  <c r="AH800" i="2"/>
  <c r="AG800" i="2"/>
  <c r="AE800" i="2"/>
  <c r="AD800" i="2"/>
  <c r="AC800" i="2"/>
  <c r="AB800" i="2"/>
  <c r="AA800" i="2"/>
  <c r="X800" i="2"/>
  <c r="W800" i="2"/>
  <c r="V800" i="2"/>
  <c r="U800" i="2"/>
  <c r="T800" i="2"/>
  <c r="S800" i="2"/>
  <c r="R800" i="2"/>
  <c r="Q800" i="2"/>
  <c r="P800" i="2"/>
  <c r="O800" i="2"/>
  <c r="N800" i="2"/>
  <c r="M800" i="2"/>
  <c r="L800" i="2"/>
  <c r="K800" i="2"/>
  <c r="J800" i="2"/>
  <c r="I800" i="2"/>
  <c r="H800" i="2"/>
  <c r="G800" i="2"/>
  <c r="F800" i="2"/>
  <c r="E800" i="2"/>
  <c r="D800" i="2"/>
  <c r="C800" i="2"/>
  <c r="B800" i="2"/>
  <c r="A800" i="2"/>
  <c r="AG799" i="2"/>
  <c r="AF799" i="2"/>
  <c r="AE799" i="2"/>
  <c r="AD799" i="2"/>
  <c r="AC799" i="2"/>
  <c r="AB799" i="2"/>
  <c r="AA799" i="2"/>
  <c r="Z799" i="2"/>
  <c r="Y799" i="2"/>
  <c r="X799" i="2"/>
  <c r="W799" i="2"/>
  <c r="V799" i="2"/>
  <c r="U799" i="2"/>
  <c r="T799" i="2"/>
  <c r="S799" i="2"/>
  <c r="R799" i="2"/>
  <c r="Q799" i="2"/>
  <c r="P799" i="2"/>
  <c r="O799" i="2"/>
  <c r="N799" i="2"/>
  <c r="M799" i="2"/>
  <c r="L799" i="2"/>
  <c r="K799" i="2"/>
  <c r="J799" i="2"/>
  <c r="I799" i="2"/>
  <c r="H799" i="2"/>
  <c r="G799" i="2"/>
  <c r="F799" i="2"/>
  <c r="E799" i="2"/>
  <c r="D799" i="2"/>
  <c r="C799" i="2"/>
  <c r="B799" i="2"/>
  <c r="A799" i="2"/>
  <c r="AG798" i="2"/>
  <c r="AE798" i="2"/>
  <c r="AD798" i="2"/>
  <c r="AC798" i="2"/>
  <c r="AB798" i="2"/>
  <c r="AA798" i="2"/>
  <c r="Y798" i="2"/>
  <c r="X798" i="2"/>
  <c r="V798" i="2"/>
  <c r="U798" i="2"/>
  <c r="T798" i="2"/>
  <c r="S798" i="2"/>
  <c r="R798" i="2"/>
  <c r="Q798" i="2"/>
  <c r="P798" i="2"/>
  <c r="O798" i="2"/>
  <c r="N798" i="2"/>
  <c r="M798" i="2"/>
  <c r="L798" i="2"/>
  <c r="K798" i="2"/>
  <c r="J798" i="2"/>
  <c r="I798" i="2"/>
  <c r="H798" i="2"/>
  <c r="G798" i="2"/>
  <c r="F798" i="2"/>
  <c r="E798" i="2"/>
  <c r="D798" i="2"/>
  <c r="C798" i="2"/>
  <c r="B798" i="2"/>
  <c r="A798" i="2"/>
  <c r="AG797" i="2"/>
  <c r="AE797" i="2"/>
  <c r="AD797" i="2"/>
  <c r="AC797" i="2"/>
  <c r="AB797" i="2"/>
  <c r="AA797" i="2"/>
  <c r="Z797" i="2"/>
  <c r="Y797" i="2"/>
  <c r="X797" i="2"/>
  <c r="V797" i="2"/>
  <c r="U797" i="2"/>
  <c r="T797" i="2"/>
  <c r="S797" i="2"/>
  <c r="R797" i="2"/>
  <c r="Q797" i="2"/>
  <c r="P797" i="2"/>
  <c r="O797" i="2"/>
  <c r="N797" i="2"/>
  <c r="M797" i="2"/>
  <c r="L797" i="2"/>
  <c r="J797" i="2"/>
  <c r="I797" i="2"/>
  <c r="H797" i="2"/>
  <c r="G797" i="2"/>
  <c r="F797" i="2"/>
  <c r="E797" i="2"/>
  <c r="D797" i="2"/>
  <c r="C797" i="2"/>
  <c r="B797" i="2"/>
  <c r="A797" i="2"/>
  <c r="AH796" i="2"/>
  <c r="AG796" i="2"/>
  <c r="AF796" i="2"/>
  <c r="AE796" i="2"/>
  <c r="AD796" i="2"/>
  <c r="AC796" i="2"/>
  <c r="AB796" i="2"/>
  <c r="AA796" i="2"/>
  <c r="Y796" i="2"/>
  <c r="X796" i="2"/>
  <c r="W796" i="2"/>
  <c r="V796" i="2"/>
  <c r="U796" i="2"/>
  <c r="T796" i="2"/>
  <c r="S796" i="2"/>
  <c r="R796" i="2"/>
  <c r="Q796" i="2"/>
  <c r="P796" i="2"/>
  <c r="O796" i="2"/>
  <c r="N796" i="2"/>
  <c r="M796" i="2"/>
  <c r="L796" i="2"/>
  <c r="K796" i="2"/>
  <c r="J796" i="2"/>
  <c r="I796" i="2"/>
  <c r="H796" i="2"/>
  <c r="G796" i="2"/>
  <c r="F796" i="2"/>
  <c r="E796" i="2"/>
  <c r="D796" i="2"/>
  <c r="C796" i="2"/>
  <c r="B796" i="2"/>
  <c r="A796" i="2"/>
  <c r="AH795" i="2"/>
  <c r="AG795" i="2"/>
  <c r="AF795" i="2"/>
  <c r="AE795" i="2"/>
  <c r="AD795" i="2"/>
  <c r="AC795" i="2"/>
  <c r="AB795" i="2"/>
  <c r="AA795" i="2"/>
  <c r="Y795" i="2"/>
  <c r="X795" i="2"/>
  <c r="W795" i="2"/>
  <c r="V795" i="2"/>
  <c r="U795" i="2"/>
  <c r="T795" i="2"/>
  <c r="S795" i="2"/>
  <c r="R795" i="2"/>
  <c r="Q795" i="2"/>
  <c r="P795" i="2"/>
  <c r="O795" i="2"/>
  <c r="N795" i="2"/>
  <c r="M795" i="2"/>
  <c r="L795" i="2"/>
  <c r="J795" i="2"/>
  <c r="I795" i="2"/>
  <c r="H795" i="2"/>
  <c r="G795" i="2"/>
  <c r="F795" i="2"/>
  <c r="E795" i="2"/>
  <c r="D795" i="2"/>
  <c r="C795" i="2"/>
  <c r="B795" i="2"/>
  <c r="A795" i="2"/>
  <c r="AH794" i="2"/>
  <c r="AG794" i="2"/>
  <c r="AE794" i="2"/>
  <c r="AD794" i="2"/>
  <c r="AC794" i="2"/>
  <c r="AB794" i="2"/>
  <c r="AA794" i="2"/>
  <c r="Y794" i="2"/>
  <c r="X794" i="2"/>
  <c r="W794" i="2"/>
  <c r="V794" i="2"/>
  <c r="U794" i="2"/>
  <c r="T794" i="2"/>
  <c r="S794" i="2"/>
  <c r="R794" i="2"/>
  <c r="Q794" i="2"/>
  <c r="P794" i="2"/>
  <c r="O794" i="2"/>
  <c r="N794" i="2"/>
  <c r="M794" i="2"/>
  <c r="L794" i="2"/>
  <c r="K794" i="2"/>
  <c r="J794" i="2"/>
  <c r="I794" i="2"/>
  <c r="H794" i="2"/>
  <c r="G794" i="2"/>
  <c r="F794" i="2"/>
  <c r="E794" i="2"/>
  <c r="D794" i="2"/>
  <c r="C794" i="2"/>
  <c r="B794" i="2"/>
  <c r="A794" i="2"/>
  <c r="AG793" i="2"/>
  <c r="AF793" i="2"/>
  <c r="AE793" i="2"/>
  <c r="AD793" i="2"/>
  <c r="AC793" i="2"/>
  <c r="AB793" i="2"/>
  <c r="AA793" i="2"/>
  <c r="Y793" i="2"/>
  <c r="X793" i="2"/>
  <c r="W793" i="2"/>
  <c r="V793" i="2"/>
  <c r="U793" i="2"/>
  <c r="T793" i="2"/>
  <c r="S793" i="2"/>
  <c r="R793" i="2"/>
  <c r="Q793" i="2"/>
  <c r="P793" i="2"/>
  <c r="O793" i="2"/>
  <c r="N793" i="2"/>
  <c r="M793" i="2"/>
  <c r="L793" i="2"/>
  <c r="K793" i="2"/>
  <c r="J793" i="2"/>
  <c r="I793" i="2"/>
  <c r="H793" i="2"/>
  <c r="G793" i="2"/>
  <c r="F793" i="2"/>
  <c r="E793" i="2"/>
  <c r="D793" i="2"/>
  <c r="C793" i="2"/>
  <c r="B793" i="2"/>
  <c r="A793" i="2"/>
  <c r="AH792" i="2"/>
  <c r="AG792" i="2"/>
  <c r="AF792" i="2"/>
  <c r="AE792" i="2"/>
  <c r="AD792" i="2"/>
  <c r="AC792" i="2"/>
  <c r="AB792" i="2"/>
  <c r="AA792" i="2"/>
  <c r="Y792" i="2"/>
  <c r="X792" i="2"/>
  <c r="W792" i="2"/>
  <c r="V792" i="2"/>
  <c r="U792" i="2"/>
  <c r="T792" i="2"/>
  <c r="S792" i="2"/>
  <c r="R792" i="2"/>
  <c r="Q792" i="2"/>
  <c r="P792" i="2"/>
  <c r="O792" i="2"/>
  <c r="N792" i="2"/>
  <c r="M792" i="2"/>
  <c r="L792" i="2"/>
  <c r="K792" i="2"/>
  <c r="J792" i="2"/>
  <c r="I792" i="2"/>
  <c r="H792" i="2"/>
  <c r="G792" i="2"/>
  <c r="F792" i="2"/>
  <c r="E792" i="2"/>
  <c r="D792" i="2"/>
  <c r="C792" i="2"/>
  <c r="B792" i="2"/>
  <c r="A792" i="2"/>
  <c r="AH791" i="2"/>
  <c r="AG791" i="2"/>
  <c r="AE791" i="2"/>
  <c r="AD791" i="2"/>
  <c r="AC791" i="2"/>
  <c r="AB791" i="2"/>
  <c r="AA791" i="2"/>
  <c r="Z791" i="2"/>
  <c r="Y791" i="2"/>
  <c r="X791" i="2"/>
  <c r="W791" i="2"/>
  <c r="V791" i="2"/>
  <c r="U791" i="2"/>
  <c r="T791" i="2"/>
  <c r="S791" i="2"/>
  <c r="R791" i="2"/>
  <c r="Q791" i="2"/>
  <c r="P791" i="2"/>
  <c r="O791" i="2"/>
  <c r="N791" i="2"/>
  <c r="M791" i="2"/>
  <c r="L791" i="2"/>
  <c r="K791" i="2"/>
  <c r="J791" i="2"/>
  <c r="I791" i="2"/>
  <c r="H791" i="2"/>
  <c r="G791" i="2"/>
  <c r="F791" i="2"/>
  <c r="E791" i="2"/>
  <c r="D791" i="2"/>
  <c r="C791" i="2"/>
  <c r="B791" i="2"/>
  <c r="A791" i="2"/>
  <c r="AH790" i="2"/>
  <c r="AG790" i="2"/>
  <c r="AF790" i="2"/>
  <c r="AE790" i="2"/>
  <c r="AD790" i="2"/>
  <c r="AC790" i="2"/>
  <c r="AB790" i="2"/>
  <c r="AA790" i="2"/>
  <c r="Y790" i="2"/>
  <c r="X790" i="2"/>
  <c r="W790" i="2"/>
  <c r="V790" i="2"/>
  <c r="U790" i="2"/>
  <c r="T790" i="2"/>
  <c r="S790" i="2"/>
  <c r="R790" i="2"/>
  <c r="Q790" i="2"/>
  <c r="P790" i="2"/>
  <c r="O790" i="2"/>
  <c r="N790" i="2"/>
  <c r="M790" i="2"/>
  <c r="L790" i="2"/>
  <c r="J790" i="2"/>
  <c r="I790" i="2"/>
  <c r="H790" i="2"/>
  <c r="G790" i="2"/>
  <c r="F790" i="2"/>
  <c r="E790" i="2"/>
  <c r="D790" i="2"/>
  <c r="C790" i="2"/>
  <c r="B790" i="2"/>
  <c r="A790" i="2"/>
  <c r="AH789" i="2"/>
  <c r="AG789" i="2"/>
  <c r="AF789" i="2"/>
  <c r="AE789" i="2"/>
  <c r="AD789" i="2"/>
  <c r="AC789" i="2"/>
  <c r="AB789" i="2"/>
  <c r="AA789" i="2"/>
  <c r="Y789" i="2"/>
  <c r="X789" i="2"/>
  <c r="W789" i="2"/>
  <c r="V789" i="2"/>
  <c r="U789" i="2"/>
  <c r="T789" i="2"/>
  <c r="S789" i="2"/>
  <c r="R789" i="2"/>
  <c r="Q789" i="2"/>
  <c r="P789" i="2"/>
  <c r="O789" i="2"/>
  <c r="N789" i="2"/>
  <c r="M789" i="2"/>
  <c r="L789" i="2"/>
  <c r="K789" i="2"/>
  <c r="J789" i="2"/>
  <c r="I789" i="2"/>
  <c r="H789" i="2"/>
  <c r="G789" i="2"/>
  <c r="F789" i="2"/>
  <c r="E789" i="2"/>
  <c r="D789" i="2"/>
  <c r="C789" i="2"/>
  <c r="B789" i="2"/>
  <c r="A789" i="2"/>
  <c r="AG788" i="2"/>
  <c r="AE788" i="2"/>
  <c r="AD788" i="2"/>
  <c r="AC788" i="2"/>
  <c r="AB788" i="2"/>
  <c r="AA788" i="2"/>
  <c r="Y788" i="2"/>
  <c r="X788" i="2"/>
  <c r="W788" i="2"/>
  <c r="V788" i="2"/>
  <c r="U788" i="2"/>
  <c r="T788" i="2"/>
  <c r="S788" i="2"/>
  <c r="R788" i="2"/>
  <c r="Q788" i="2"/>
  <c r="P788" i="2"/>
  <c r="O788" i="2"/>
  <c r="N788" i="2"/>
  <c r="M788" i="2"/>
  <c r="L788" i="2"/>
  <c r="K788" i="2"/>
  <c r="J788" i="2"/>
  <c r="I788" i="2"/>
  <c r="H788" i="2"/>
  <c r="G788" i="2"/>
  <c r="F788" i="2"/>
  <c r="E788" i="2"/>
  <c r="D788" i="2"/>
  <c r="C788" i="2"/>
  <c r="B788" i="2"/>
  <c r="A788" i="2"/>
  <c r="AH787" i="2"/>
  <c r="AG787" i="2"/>
  <c r="AF787" i="2"/>
  <c r="AE787" i="2"/>
  <c r="AD787" i="2"/>
  <c r="AC787" i="2"/>
  <c r="AB787" i="2"/>
  <c r="AA787" i="2"/>
  <c r="Y787" i="2"/>
  <c r="X787" i="2"/>
  <c r="W787" i="2"/>
  <c r="V787" i="2"/>
  <c r="U787" i="2"/>
  <c r="T787" i="2"/>
  <c r="S787" i="2"/>
  <c r="R787" i="2"/>
  <c r="Q787" i="2"/>
  <c r="P787" i="2"/>
  <c r="O787" i="2"/>
  <c r="N787" i="2"/>
  <c r="M787" i="2"/>
  <c r="L787" i="2"/>
  <c r="K787" i="2"/>
  <c r="J787" i="2"/>
  <c r="I787" i="2"/>
  <c r="H787" i="2"/>
  <c r="G787" i="2"/>
  <c r="F787" i="2"/>
  <c r="E787" i="2"/>
  <c r="D787" i="2"/>
  <c r="C787" i="2"/>
  <c r="B787" i="2"/>
  <c r="A787" i="2"/>
  <c r="AG786" i="2"/>
  <c r="AF786" i="2"/>
  <c r="AE786" i="2"/>
  <c r="AD786" i="2"/>
  <c r="AC786" i="2"/>
  <c r="AB786" i="2"/>
  <c r="AA786" i="2"/>
  <c r="Z786" i="2"/>
  <c r="Y786" i="2"/>
  <c r="X786" i="2"/>
  <c r="W786" i="2"/>
  <c r="V786" i="2"/>
  <c r="U786" i="2"/>
  <c r="T786" i="2"/>
  <c r="S786" i="2"/>
  <c r="R786" i="2"/>
  <c r="Q786" i="2"/>
  <c r="P786" i="2"/>
  <c r="O786" i="2"/>
  <c r="N786" i="2"/>
  <c r="M786" i="2"/>
  <c r="L786" i="2"/>
  <c r="K786" i="2"/>
  <c r="J786" i="2"/>
  <c r="I786" i="2"/>
  <c r="H786" i="2"/>
  <c r="G786" i="2"/>
  <c r="F786" i="2"/>
  <c r="E786" i="2"/>
  <c r="D786" i="2"/>
  <c r="C786" i="2"/>
  <c r="B786" i="2"/>
  <c r="A786" i="2"/>
  <c r="AH785" i="2"/>
  <c r="AG785" i="2"/>
  <c r="AE785" i="2"/>
  <c r="AD785" i="2"/>
  <c r="AC785" i="2"/>
  <c r="AB785" i="2"/>
  <c r="AA785" i="2"/>
  <c r="Y785" i="2"/>
  <c r="X785" i="2"/>
  <c r="W785" i="2"/>
  <c r="V785" i="2"/>
  <c r="U785" i="2"/>
  <c r="T785" i="2"/>
  <c r="S785" i="2"/>
  <c r="R785" i="2"/>
  <c r="Q785" i="2"/>
  <c r="P785" i="2"/>
  <c r="O785" i="2"/>
  <c r="N785" i="2"/>
  <c r="M785" i="2"/>
  <c r="L785" i="2"/>
  <c r="K785" i="2"/>
  <c r="J785" i="2"/>
  <c r="I785" i="2"/>
  <c r="H785" i="2"/>
  <c r="G785" i="2"/>
  <c r="F785" i="2"/>
  <c r="E785" i="2"/>
  <c r="D785" i="2"/>
  <c r="C785" i="2"/>
  <c r="B785" i="2"/>
  <c r="A785" i="2"/>
  <c r="AG784" i="2"/>
  <c r="AE784" i="2"/>
  <c r="AD784" i="2"/>
  <c r="AC784" i="2"/>
  <c r="AB784" i="2"/>
  <c r="AA784" i="2"/>
  <c r="Z784" i="2"/>
  <c r="Y784" i="2"/>
  <c r="X784" i="2"/>
  <c r="W784" i="2"/>
  <c r="V784" i="2"/>
  <c r="U784" i="2"/>
  <c r="T784" i="2"/>
  <c r="S784" i="2"/>
  <c r="R784" i="2"/>
  <c r="Q784" i="2"/>
  <c r="P784" i="2"/>
  <c r="O784" i="2"/>
  <c r="N784" i="2"/>
  <c r="M784" i="2"/>
  <c r="L784" i="2"/>
  <c r="K784" i="2"/>
  <c r="J784" i="2"/>
  <c r="I784" i="2"/>
  <c r="H784" i="2"/>
  <c r="G784" i="2"/>
  <c r="F784" i="2"/>
  <c r="E784" i="2"/>
  <c r="D784" i="2"/>
  <c r="C784" i="2"/>
  <c r="B784" i="2"/>
  <c r="A784" i="2"/>
  <c r="AH783" i="2"/>
  <c r="AG783" i="2"/>
  <c r="AF783" i="2"/>
  <c r="AE783" i="2"/>
  <c r="AD783" i="2"/>
  <c r="AC783" i="2"/>
  <c r="AB783" i="2"/>
  <c r="AA783" i="2"/>
  <c r="Y783" i="2"/>
  <c r="X783" i="2"/>
  <c r="W783" i="2"/>
  <c r="V783" i="2"/>
  <c r="U783" i="2"/>
  <c r="T783" i="2"/>
  <c r="S783" i="2"/>
  <c r="R783" i="2"/>
  <c r="Q783" i="2"/>
  <c r="P783" i="2"/>
  <c r="O783" i="2"/>
  <c r="M783" i="2"/>
  <c r="L783" i="2"/>
  <c r="K783" i="2"/>
  <c r="J783" i="2"/>
  <c r="I783" i="2"/>
  <c r="H783" i="2"/>
  <c r="G783" i="2"/>
  <c r="F783" i="2"/>
  <c r="E783" i="2"/>
  <c r="D783" i="2"/>
  <c r="C783" i="2"/>
  <c r="B783" i="2"/>
  <c r="A783" i="2"/>
  <c r="AG782" i="2"/>
  <c r="AE782" i="2"/>
  <c r="AD782" i="2"/>
  <c r="AC782" i="2"/>
  <c r="AB782" i="2"/>
  <c r="AA782" i="2"/>
  <c r="Y782" i="2"/>
  <c r="V782" i="2"/>
  <c r="U782" i="2"/>
  <c r="T782" i="2"/>
  <c r="S782" i="2"/>
  <c r="R782" i="2"/>
  <c r="Q782" i="2"/>
  <c r="P782" i="2"/>
  <c r="O782" i="2"/>
  <c r="N782" i="2"/>
  <c r="M782" i="2"/>
  <c r="L782" i="2"/>
  <c r="K782" i="2"/>
  <c r="J782" i="2"/>
  <c r="I782" i="2"/>
  <c r="H782" i="2"/>
  <c r="G782" i="2"/>
  <c r="F782" i="2"/>
  <c r="E782" i="2"/>
  <c r="D782" i="2"/>
  <c r="C782" i="2"/>
  <c r="B782" i="2"/>
  <c r="A782" i="2"/>
  <c r="AH781" i="2"/>
  <c r="AG781" i="2"/>
  <c r="AF781" i="2"/>
  <c r="AE781" i="2"/>
  <c r="AD781" i="2"/>
  <c r="AC781" i="2"/>
  <c r="AB781" i="2"/>
  <c r="AA781" i="2"/>
  <c r="Y781" i="2"/>
  <c r="X781" i="2"/>
  <c r="W781" i="2"/>
  <c r="V781" i="2"/>
  <c r="U781" i="2"/>
  <c r="T781" i="2"/>
  <c r="S781" i="2"/>
  <c r="R781" i="2"/>
  <c r="Q781" i="2"/>
  <c r="P781" i="2"/>
  <c r="O781" i="2"/>
  <c r="N781" i="2"/>
  <c r="M781" i="2"/>
  <c r="L781" i="2"/>
  <c r="K781" i="2"/>
  <c r="J781" i="2"/>
  <c r="I781" i="2"/>
  <c r="H781" i="2"/>
  <c r="G781" i="2"/>
  <c r="F781" i="2"/>
  <c r="E781" i="2"/>
  <c r="D781" i="2"/>
  <c r="C781" i="2"/>
  <c r="B781" i="2"/>
  <c r="A781" i="2"/>
  <c r="AH780" i="2"/>
  <c r="AG780" i="2"/>
  <c r="AF780" i="2"/>
  <c r="AE780" i="2"/>
  <c r="AD780" i="2"/>
  <c r="AC780" i="2"/>
  <c r="AB780" i="2"/>
  <c r="AA780" i="2"/>
  <c r="Z780" i="2"/>
  <c r="Y780" i="2"/>
  <c r="X780" i="2"/>
  <c r="W780" i="2"/>
  <c r="V780" i="2"/>
  <c r="U780" i="2"/>
  <c r="T780" i="2"/>
  <c r="S780" i="2"/>
  <c r="R780" i="2"/>
  <c r="Q780" i="2"/>
  <c r="P780" i="2"/>
  <c r="O780" i="2"/>
  <c r="N780" i="2"/>
  <c r="M780" i="2"/>
  <c r="L780" i="2"/>
  <c r="K780" i="2"/>
  <c r="J780" i="2"/>
  <c r="I780" i="2"/>
  <c r="H780" i="2"/>
  <c r="G780" i="2"/>
  <c r="F780" i="2"/>
  <c r="E780" i="2"/>
  <c r="D780" i="2"/>
  <c r="C780" i="2"/>
  <c r="B780" i="2"/>
  <c r="A780" i="2"/>
  <c r="AG779" i="2"/>
  <c r="AE779" i="2"/>
  <c r="AD779" i="2"/>
  <c r="AC779" i="2"/>
  <c r="AB779" i="2"/>
  <c r="AA779" i="2"/>
  <c r="X779" i="2"/>
  <c r="V779" i="2"/>
  <c r="U779" i="2"/>
  <c r="T779" i="2"/>
  <c r="S779" i="2"/>
  <c r="R779" i="2"/>
  <c r="Q779" i="2"/>
  <c r="P779" i="2"/>
  <c r="O779" i="2"/>
  <c r="M779" i="2"/>
  <c r="L779" i="2"/>
  <c r="K779" i="2"/>
  <c r="J779" i="2"/>
  <c r="I779" i="2"/>
  <c r="H779" i="2"/>
  <c r="G779" i="2"/>
  <c r="F779" i="2"/>
  <c r="E779" i="2"/>
  <c r="D779" i="2"/>
  <c r="C779" i="2"/>
  <c r="B779" i="2"/>
  <c r="A779" i="2"/>
  <c r="AG778" i="2"/>
  <c r="AE778" i="2"/>
  <c r="AD778" i="2"/>
  <c r="AC778" i="2"/>
  <c r="AB778" i="2"/>
  <c r="AA778" i="2"/>
  <c r="Y778" i="2"/>
  <c r="X778" i="2"/>
  <c r="V778" i="2"/>
  <c r="U778" i="2"/>
  <c r="T778" i="2"/>
  <c r="S778" i="2"/>
  <c r="R778" i="2"/>
  <c r="Q778" i="2"/>
  <c r="P778" i="2"/>
  <c r="O778" i="2"/>
  <c r="N778" i="2"/>
  <c r="M778" i="2"/>
  <c r="L778" i="2"/>
  <c r="K778" i="2"/>
  <c r="J778" i="2"/>
  <c r="I778" i="2"/>
  <c r="H778" i="2"/>
  <c r="G778" i="2"/>
  <c r="F778" i="2"/>
  <c r="E778" i="2"/>
  <c r="D778" i="2"/>
  <c r="C778" i="2"/>
  <c r="B778" i="2"/>
  <c r="A778" i="2"/>
  <c r="AG777" i="2"/>
  <c r="AE777" i="2"/>
  <c r="AD777" i="2"/>
  <c r="AC777" i="2"/>
  <c r="AB777" i="2"/>
  <c r="AA777" i="2"/>
  <c r="X777" i="2"/>
  <c r="V777" i="2"/>
  <c r="U777" i="2"/>
  <c r="T777" i="2"/>
  <c r="S777" i="2"/>
  <c r="R777" i="2"/>
  <c r="Q777" i="2"/>
  <c r="P777" i="2"/>
  <c r="O777" i="2"/>
  <c r="M777" i="2"/>
  <c r="L777" i="2"/>
  <c r="K777" i="2"/>
  <c r="J777" i="2"/>
  <c r="I777" i="2"/>
  <c r="H777" i="2"/>
  <c r="G777" i="2"/>
  <c r="F777" i="2"/>
  <c r="E777" i="2"/>
  <c r="D777" i="2"/>
  <c r="C777" i="2"/>
  <c r="B777" i="2"/>
  <c r="A777" i="2"/>
  <c r="AH776" i="2"/>
  <c r="AG776" i="2"/>
  <c r="AF776" i="2"/>
  <c r="AE776" i="2"/>
  <c r="AC776" i="2"/>
  <c r="AB776" i="2"/>
  <c r="AA776" i="2"/>
  <c r="X776" i="2"/>
  <c r="W776" i="2"/>
  <c r="V776" i="2"/>
  <c r="U776" i="2"/>
  <c r="T776" i="2"/>
  <c r="S776" i="2"/>
  <c r="R776" i="2"/>
  <c r="Q776" i="2"/>
  <c r="P776" i="2"/>
  <c r="O776" i="2"/>
  <c r="N776" i="2"/>
  <c r="M776" i="2"/>
  <c r="L776" i="2"/>
  <c r="K776" i="2"/>
  <c r="J776" i="2"/>
  <c r="I776" i="2"/>
  <c r="H776" i="2"/>
  <c r="G776" i="2"/>
  <c r="F776" i="2"/>
  <c r="E776" i="2"/>
  <c r="D776" i="2"/>
  <c r="C776" i="2"/>
  <c r="B776" i="2"/>
  <c r="A776" i="2"/>
  <c r="AG775" i="2"/>
  <c r="AD775" i="2"/>
  <c r="AC775" i="2"/>
  <c r="AB775" i="2"/>
  <c r="AA775" i="2"/>
  <c r="X775" i="2"/>
  <c r="V775" i="2"/>
  <c r="U775" i="2"/>
  <c r="T775" i="2"/>
  <c r="S775" i="2"/>
  <c r="R775" i="2"/>
  <c r="Q775" i="2"/>
  <c r="P775" i="2"/>
  <c r="O775" i="2"/>
  <c r="N775" i="2"/>
  <c r="M775" i="2"/>
  <c r="L775" i="2"/>
  <c r="K775" i="2"/>
  <c r="J775" i="2"/>
  <c r="I775" i="2"/>
  <c r="H775" i="2"/>
  <c r="G775" i="2"/>
  <c r="F775" i="2"/>
  <c r="E775" i="2"/>
  <c r="D775" i="2"/>
  <c r="C775" i="2"/>
  <c r="B775" i="2"/>
  <c r="A775" i="2"/>
  <c r="AG774" i="2"/>
  <c r="AE774" i="2"/>
  <c r="AD774" i="2"/>
  <c r="AC774" i="2"/>
  <c r="AB774" i="2"/>
  <c r="AA774" i="2"/>
  <c r="Z774" i="2"/>
  <c r="Y774" i="2"/>
  <c r="X774" i="2"/>
  <c r="W774" i="2"/>
  <c r="V774" i="2"/>
  <c r="U774" i="2"/>
  <c r="T774" i="2"/>
  <c r="S774" i="2"/>
  <c r="P774" i="2"/>
  <c r="O774" i="2"/>
  <c r="N774" i="2"/>
  <c r="M774" i="2"/>
  <c r="L774" i="2"/>
  <c r="K774" i="2"/>
  <c r="J774" i="2"/>
  <c r="I774" i="2"/>
  <c r="H774" i="2"/>
  <c r="G774" i="2"/>
  <c r="F774" i="2"/>
  <c r="E774" i="2"/>
  <c r="D774" i="2"/>
  <c r="C774" i="2"/>
  <c r="B774" i="2"/>
  <c r="A774" i="2"/>
  <c r="AG773" i="2"/>
  <c r="AF773" i="2"/>
  <c r="AE773" i="2"/>
  <c r="AD773" i="2"/>
  <c r="AC773" i="2"/>
  <c r="AB773" i="2"/>
  <c r="AA773" i="2"/>
  <c r="Y773" i="2"/>
  <c r="X773" i="2"/>
  <c r="W773" i="2"/>
  <c r="V773" i="2"/>
  <c r="U773" i="2"/>
  <c r="T773" i="2"/>
  <c r="S773" i="2"/>
  <c r="R773" i="2"/>
  <c r="Q773" i="2"/>
  <c r="P773" i="2"/>
  <c r="O773" i="2"/>
  <c r="M773" i="2"/>
  <c r="L773" i="2"/>
  <c r="K773" i="2"/>
  <c r="J773" i="2"/>
  <c r="I773" i="2"/>
  <c r="H773" i="2"/>
  <c r="G773" i="2"/>
  <c r="F773" i="2"/>
  <c r="E773" i="2"/>
  <c r="D773" i="2"/>
  <c r="C773" i="2"/>
  <c r="B773" i="2"/>
  <c r="A773" i="2"/>
  <c r="AG772" i="2"/>
  <c r="AE772" i="2"/>
  <c r="AD772" i="2"/>
  <c r="AC772" i="2"/>
  <c r="AB772" i="2"/>
  <c r="AA772" i="2"/>
  <c r="Y772" i="2"/>
  <c r="V772" i="2"/>
  <c r="U772" i="2"/>
  <c r="T772" i="2"/>
  <c r="S772" i="2"/>
  <c r="R772" i="2"/>
  <c r="Q772" i="2"/>
  <c r="P772" i="2"/>
  <c r="O772" i="2"/>
  <c r="N772" i="2"/>
  <c r="M772" i="2"/>
  <c r="L772" i="2"/>
  <c r="K772" i="2"/>
  <c r="J772" i="2"/>
  <c r="I772" i="2"/>
  <c r="H772" i="2"/>
  <c r="G772" i="2"/>
  <c r="F772" i="2"/>
  <c r="E772" i="2"/>
  <c r="D772" i="2"/>
  <c r="C772" i="2"/>
  <c r="B772" i="2"/>
  <c r="A772" i="2"/>
  <c r="AG771" i="2"/>
  <c r="AF771" i="2"/>
  <c r="AE771" i="2"/>
  <c r="AC771" i="2"/>
  <c r="AB771" i="2"/>
  <c r="AA771" i="2"/>
  <c r="V771" i="2"/>
  <c r="U771" i="2"/>
  <c r="T771" i="2"/>
  <c r="R771" i="2"/>
  <c r="Q771" i="2"/>
  <c r="P771" i="2"/>
  <c r="O771" i="2"/>
  <c r="N771" i="2"/>
  <c r="M771" i="2"/>
  <c r="L771" i="2"/>
  <c r="K771" i="2"/>
  <c r="J771" i="2"/>
  <c r="I771" i="2"/>
  <c r="H771" i="2"/>
  <c r="G771" i="2"/>
  <c r="F771" i="2"/>
  <c r="E771" i="2"/>
  <c r="D771" i="2"/>
  <c r="C771" i="2"/>
  <c r="B771" i="2"/>
  <c r="A771" i="2"/>
  <c r="AG770" i="2"/>
  <c r="AE770" i="2"/>
  <c r="AD770" i="2"/>
  <c r="AC770" i="2"/>
  <c r="AB770" i="2"/>
  <c r="AA770" i="2"/>
  <c r="Y770" i="2"/>
  <c r="X770" i="2"/>
  <c r="W770" i="2"/>
  <c r="V770" i="2"/>
  <c r="U770" i="2"/>
  <c r="T770" i="2"/>
  <c r="S770" i="2"/>
  <c r="R770" i="2"/>
  <c r="Q770" i="2"/>
  <c r="P770" i="2"/>
  <c r="O770" i="2"/>
  <c r="N770" i="2"/>
  <c r="M770" i="2"/>
  <c r="L770" i="2"/>
  <c r="K770" i="2"/>
  <c r="J770" i="2"/>
  <c r="I770" i="2"/>
  <c r="H770" i="2"/>
  <c r="G770" i="2"/>
  <c r="F770" i="2"/>
  <c r="E770" i="2"/>
  <c r="D770" i="2"/>
  <c r="C770" i="2"/>
  <c r="B770" i="2"/>
  <c r="A770" i="2"/>
  <c r="AG769" i="2"/>
  <c r="AF769" i="2"/>
  <c r="AE769" i="2"/>
  <c r="AC769" i="2"/>
  <c r="AB769" i="2"/>
  <c r="AA769" i="2"/>
  <c r="Y769" i="2"/>
  <c r="X769" i="2"/>
  <c r="W769" i="2"/>
  <c r="V769" i="2"/>
  <c r="U769" i="2"/>
  <c r="T769" i="2"/>
  <c r="S769" i="2"/>
  <c r="R769" i="2"/>
  <c r="Q769" i="2"/>
  <c r="P769" i="2"/>
  <c r="O769" i="2"/>
  <c r="N769" i="2"/>
  <c r="M769" i="2"/>
  <c r="L769" i="2"/>
  <c r="K769" i="2"/>
  <c r="J769" i="2"/>
  <c r="I769" i="2"/>
  <c r="H769" i="2"/>
  <c r="G769" i="2"/>
  <c r="F769" i="2"/>
  <c r="E769" i="2"/>
  <c r="D769" i="2"/>
  <c r="C769" i="2"/>
  <c r="B769" i="2"/>
  <c r="A769" i="2"/>
  <c r="AG768" i="2"/>
  <c r="AE768" i="2"/>
  <c r="AD768" i="2"/>
  <c r="AC768" i="2"/>
  <c r="AB768" i="2"/>
  <c r="AA768" i="2"/>
  <c r="Y768" i="2"/>
  <c r="V768" i="2"/>
  <c r="U768" i="2"/>
  <c r="T768" i="2"/>
  <c r="S768" i="2"/>
  <c r="R768" i="2"/>
  <c r="Q768" i="2"/>
  <c r="P768" i="2"/>
  <c r="O768" i="2"/>
  <c r="N768" i="2"/>
  <c r="M768" i="2"/>
  <c r="L768" i="2"/>
  <c r="K768" i="2"/>
  <c r="J768" i="2"/>
  <c r="I768" i="2"/>
  <c r="H768" i="2"/>
  <c r="G768" i="2"/>
  <c r="F768" i="2"/>
  <c r="E768" i="2"/>
  <c r="D768" i="2"/>
  <c r="C768" i="2"/>
  <c r="B768" i="2"/>
  <c r="A768" i="2"/>
  <c r="AG767" i="2"/>
  <c r="AF767" i="2"/>
  <c r="AE767" i="2"/>
  <c r="AD767" i="2"/>
  <c r="AC767" i="2"/>
  <c r="AB767" i="2"/>
  <c r="AA767" i="2"/>
  <c r="Y767" i="2"/>
  <c r="X767" i="2"/>
  <c r="W767" i="2"/>
  <c r="V767" i="2"/>
  <c r="U767" i="2"/>
  <c r="T767" i="2"/>
  <c r="S767" i="2"/>
  <c r="R767" i="2"/>
  <c r="Q767" i="2"/>
  <c r="P767" i="2"/>
  <c r="O767" i="2"/>
  <c r="M767" i="2"/>
  <c r="L767" i="2"/>
  <c r="K767" i="2"/>
  <c r="J767" i="2"/>
  <c r="I767" i="2"/>
  <c r="H767" i="2"/>
  <c r="G767" i="2"/>
  <c r="F767" i="2"/>
  <c r="E767" i="2"/>
  <c r="D767" i="2"/>
  <c r="C767" i="2"/>
  <c r="B767" i="2"/>
  <c r="A767" i="2"/>
  <c r="AH766" i="2"/>
  <c r="AG766" i="2"/>
  <c r="AF766" i="2"/>
  <c r="AE766" i="2"/>
  <c r="AC766" i="2"/>
  <c r="AB766" i="2"/>
  <c r="AA766" i="2"/>
  <c r="Y766" i="2"/>
  <c r="X766" i="2"/>
  <c r="W766" i="2"/>
  <c r="V766" i="2"/>
  <c r="U766" i="2"/>
  <c r="T766" i="2"/>
  <c r="S766" i="2"/>
  <c r="R766" i="2"/>
  <c r="Q766" i="2"/>
  <c r="P766" i="2"/>
  <c r="O766" i="2"/>
  <c r="N766" i="2"/>
  <c r="M766" i="2"/>
  <c r="L766" i="2"/>
  <c r="K766" i="2"/>
  <c r="J766" i="2"/>
  <c r="I766" i="2"/>
  <c r="H766" i="2"/>
  <c r="G766" i="2"/>
  <c r="F766" i="2"/>
  <c r="E766" i="2"/>
  <c r="D766" i="2"/>
  <c r="C766" i="2"/>
  <c r="B766" i="2"/>
  <c r="A766" i="2"/>
  <c r="AH765" i="2"/>
  <c r="AG765" i="2"/>
  <c r="AF765" i="2"/>
  <c r="AE765" i="2"/>
  <c r="AD765" i="2"/>
  <c r="AC765" i="2"/>
  <c r="AB765" i="2"/>
  <c r="AA765" i="2"/>
  <c r="Z765" i="2"/>
  <c r="Y765" i="2"/>
  <c r="X765" i="2"/>
  <c r="W765" i="2"/>
  <c r="V765" i="2"/>
  <c r="U765" i="2"/>
  <c r="T765" i="2"/>
  <c r="S765" i="2"/>
  <c r="R765" i="2"/>
  <c r="Q765" i="2"/>
  <c r="P765" i="2"/>
  <c r="O765" i="2"/>
  <c r="N765" i="2"/>
  <c r="M765" i="2"/>
  <c r="L765" i="2"/>
  <c r="K765" i="2"/>
  <c r="J765" i="2"/>
  <c r="I765" i="2"/>
  <c r="H765" i="2"/>
  <c r="G765" i="2"/>
  <c r="F765" i="2"/>
  <c r="E765" i="2"/>
  <c r="D765" i="2"/>
  <c r="C765" i="2"/>
  <c r="B765" i="2"/>
  <c r="A765" i="2"/>
  <c r="AG764" i="2"/>
  <c r="AE764" i="2"/>
  <c r="AD764" i="2"/>
  <c r="AC764" i="2"/>
  <c r="AB764" i="2"/>
  <c r="AA764" i="2"/>
  <c r="Y764" i="2"/>
  <c r="X764" i="2"/>
  <c r="W764" i="2"/>
  <c r="V764" i="2"/>
  <c r="U764" i="2"/>
  <c r="T764" i="2"/>
  <c r="S764" i="2"/>
  <c r="R764" i="2"/>
  <c r="Q764" i="2"/>
  <c r="P764" i="2"/>
  <c r="O764" i="2"/>
  <c r="N764" i="2"/>
  <c r="M764" i="2"/>
  <c r="L764" i="2"/>
  <c r="K764" i="2"/>
  <c r="J764" i="2"/>
  <c r="I764" i="2"/>
  <c r="H764" i="2"/>
  <c r="G764" i="2"/>
  <c r="F764" i="2"/>
  <c r="E764" i="2"/>
  <c r="D764" i="2"/>
  <c r="C764" i="2"/>
  <c r="B764" i="2"/>
  <c r="A764" i="2"/>
  <c r="AH763" i="2"/>
  <c r="AG763" i="2"/>
  <c r="AF763" i="2"/>
  <c r="AE763" i="2"/>
  <c r="AD763" i="2"/>
  <c r="AC763" i="2"/>
  <c r="AB763" i="2"/>
  <c r="AA763" i="2"/>
  <c r="Y763" i="2"/>
  <c r="X763" i="2"/>
  <c r="W763" i="2"/>
  <c r="V763" i="2"/>
  <c r="U763" i="2"/>
  <c r="T763" i="2"/>
  <c r="S763" i="2"/>
  <c r="R763" i="2"/>
  <c r="Q763" i="2"/>
  <c r="P763" i="2"/>
  <c r="O763" i="2"/>
  <c r="N763" i="2"/>
  <c r="M763" i="2"/>
  <c r="L763" i="2"/>
  <c r="K763" i="2"/>
  <c r="J763" i="2"/>
  <c r="I763" i="2"/>
  <c r="H763" i="2"/>
  <c r="G763" i="2"/>
  <c r="F763" i="2"/>
  <c r="E763" i="2"/>
  <c r="D763" i="2"/>
  <c r="C763" i="2"/>
  <c r="B763" i="2"/>
  <c r="A763" i="2"/>
  <c r="AH762" i="2"/>
  <c r="AG762" i="2"/>
  <c r="AD762" i="2"/>
  <c r="AC762" i="2"/>
  <c r="AB762" i="2"/>
  <c r="AA762" i="2"/>
  <c r="Y762" i="2"/>
  <c r="X762" i="2"/>
  <c r="V762" i="2"/>
  <c r="U762" i="2"/>
  <c r="T762" i="2"/>
  <c r="S762" i="2"/>
  <c r="R762" i="2"/>
  <c r="Q762" i="2"/>
  <c r="P762" i="2"/>
  <c r="O762" i="2"/>
  <c r="N762" i="2"/>
  <c r="M762" i="2"/>
  <c r="L762" i="2"/>
  <c r="K762" i="2"/>
  <c r="J762" i="2"/>
  <c r="I762" i="2"/>
  <c r="H762" i="2"/>
  <c r="G762" i="2"/>
  <c r="F762" i="2"/>
  <c r="E762" i="2"/>
  <c r="D762" i="2"/>
  <c r="C762" i="2"/>
  <c r="B762" i="2"/>
  <c r="A762" i="2"/>
  <c r="AH761" i="2"/>
  <c r="AG761" i="2"/>
  <c r="AE761" i="2"/>
  <c r="AC761" i="2"/>
  <c r="AB761" i="2"/>
  <c r="AA761" i="2"/>
  <c r="Y761" i="2"/>
  <c r="X761" i="2"/>
  <c r="V761" i="2"/>
  <c r="U761" i="2"/>
  <c r="T761" i="2"/>
  <c r="S761" i="2"/>
  <c r="R761" i="2"/>
  <c r="Q761" i="2"/>
  <c r="P761" i="2"/>
  <c r="O761" i="2"/>
  <c r="N761" i="2"/>
  <c r="M761" i="2"/>
  <c r="L761" i="2"/>
  <c r="K761" i="2"/>
  <c r="J761" i="2"/>
  <c r="I761" i="2"/>
  <c r="H761" i="2"/>
  <c r="G761" i="2"/>
  <c r="F761" i="2"/>
  <c r="E761" i="2"/>
  <c r="D761" i="2"/>
  <c r="C761" i="2"/>
  <c r="B761" i="2"/>
  <c r="A761" i="2"/>
  <c r="AG760" i="2"/>
  <c r="AF760" i="2"/>
  <c r="AE760" i="2"/>
  <c r="AD760" i="2"/>
  <c r="AC760" i="2"/>
  <c r="AB760" i="2"/>
  <c r="AA760" i="2"/>
  <c r="Y760" i="2"/>
  <c r="X760" i="2"/>
  <c r="W760" i="2"/>
  <c r="V760" i="2"/>
  <c r="U760" i="2"/>
  <c r="T760" i="2"/>
  <c r="S760" i="2"/>
  <c r="R760" i="2"/>
  <c r="Q760" i="2"/>
  <c r="P760" i="2"/>
  <c r="O760" i="2"/>
  <c r="N760" i="2"/>
  <c r="M760" i="2"/>
  <c r="L760" i="2"/>
  <c r="K760" i="2"/>
  <c r="J760" i="2"/>
  <c r="I760" i="2"/>
  <c r="H760" i="2"/>
  <c r="G760" i="2"/>
  <c r="F760" i="2"/>
  <c r="E760" i="2"/>
  <c r="D760" i="2"/>
  <c r="C760" i="2"/>
  <c r="B760" i="2"/>
  <c r="A760" i="2"/>
  <c r="AG759" i="2"/>
  <c r="AD759" i="2"/>
  <c r="AC759" i="2"/>
  <c r="AB759" i="2"/>
  <c r="AA759" i="2"/>
  <c r="Z759" i="2"/>
  <c r="Y759" i="2"/>
  <c r="X759" i="2"/>
  <c r="V759" i="2"/>
  <c r="U759" i="2"/>
  <c r="T759" i="2"/>
  <c r="S759" i="2"/>
  <c r="R759" i="2"/>
  <c r="Q759" i="2"/>
  <c r="P759" i="2"/>
  <c r="O759" i="2"/>
  <c r="N759" i="2"/>
  <c r="M759" i="2"/>
  <c r="L759" i="2"/>
  <c r="K759" i="2"/>
  <c r="J759" i="2"/>
  <c r="I759" i="2"/>
  <c r="H759" i="2"/>
  <c r="G759" i="2"/>
  <c r="F759" i="2"/>
  <c r="E759" i="2"/>
  <c r="D759" i="2"/>
  <c r="C759" i="2"/>
  <c r="B759" i="2"/>
  <c r="A759" i="2"/>
  <c r="AH758" i="2"/>
  <c r="AG758" i="2"/>
  <c r="AE758" i="2"/>
  <c r="AC758" i="2"/>
  <c r="AB758" i="2"/>
  <c r="AA758" i="2"/>
  <c r="Z758" i="2"/>
  <c r="Y758" i="2"/>
  <c r="X758" i="2"/>
  <c r="V758" i="2"/>
  <c r="U758" i="2"/>
  <c r="T758" i="2"/>
  <c r="S758" i="2"/>
  <c r="R758" i="2"/>
  <c r="Q758" i="2"/>
  <c r="P758" i="2"/>
  <c r="O758" i="2"/>
  <c r="N758" i="2"/>
  <c r="M758" i="2"/>
  <c r="L758" i="2"/>
  <c r="K758" i="2"/>
  <c r="J758" i="2"/>
  <c r="I758" i="2"/>
  <c r="H758" i="2"/>
  <c r="G758" i="2"/>
  <c r="F758" i="2"/>
  <c r="E758" i="2"/>
  <c r="D758" i="2"/>
  <c r="C758" i="2"/>
  <c r="B758" i="2"/>
  <c r="A758" i="2"/>
  <c r="AH757" i="2"/>
  <c r="AG757" i="2"/>
  <c r="AE757" i="2"/>
  <c r="AD757" i="2"/>
  <c r="AC757" i="2"/>
  <c r="AB757" i="2"/>
  <c r="Y757" i="2"/>
  <c r="X757" i="2"/>
  <c r="W757" i="2"/>
  <c r="V757" i="2"/>
  <c r="U757" i="2"/>
  <c r="T757" i="2"/>
  <c r="S757" i="2"/>
  <c r="R757" i="2"/>
  <c r="Q757" i="2"/>
  <c r="P757" i="2"/>
  <c r="O757" i="2"/>
  <c r="N757" i="2"/>
  <c r="M757" i="2"/>
  <c r="L757" i="2"/>
  <c r="K757" i="2"/>
  <c r="J757" i="2"/>
  <c r="I757" i="2"/>
  <c r="H757" i="2"/>
  <c r="G757" i="2"/>
  <c r="F757" i="2"/>
  <c r="E757" i="2"/>
  <c r="D757" i="2"/>
  <c r="C757" i="2"/>
  <c r="B757" i="2"/>
  <c r="A757" i="2"/>
  <c r="AG756" i="2"/>
  <c r="AD756" i="2"/>
  <c r="AC756" i="2"/>
  <c r="AB756" i="2"/>
  <c r="AA756" i="2"/>
  <c r="X756" i="2"/>
  <c r="V756" i="2"/>
  <c r="U756" i="2"/>
  <c r="T756" i="2"/>
  <c r="S756" i="2"/>
  <c r="R756" i="2"/>
  <c r="Q756" i="2"/>
  <c r="P756" i="2"/>
  <c r="O756" i="2"/>
  <c r="N756" i="2"/>
  <c r="M756" i="2"/>
  <c r="L756" i="2"/>
  <c r="K756" i="2"/>
  <c r="J756" i="2"/>
  <c r="I756" i="2"/>
  <c r="H756" i="2"/>
  <c r="G756" i="2"/>
  <c r="F756" i="2"/>
  <c r="E756" i="2"/>
  <c r="D756" i="2"/>
  <c r="C756" i="2"/>
  <c r="B756" i="2"/>
  <c r="A756" i="2"/>
  <c r="AG755" i="2"/>
  <c r="AE755" i="2"/>
  <c r="AD755" i="2"/>
  <c r="AC755" i="2"/>
  <c r="AB755" i="2"/>
  <c r="AA755" i="2"/>
  <c r="V755" i="2"/>
  <c r="U755" i="2"/>
  <c r="T755" i="2"/>
  <c r="S755" i="2"/>
  <c r="R755" i="2"/>
  <c r="Q755" i="2"/>
  <c r="P755" i="2"/>
  <c r="O755" i="2"/>
  <c r="N755" i="2"/>
  <c r="M755" i="2"/>
  <c r="L755" i="2"/>
  <c r="K755" i="2"/>
  <c r="J755" i="2"/>
  <c r="I755" i="2"/>
  <c r="H755" i="2"/>
  <c r="G755" i="2"/>
  <c r="F755" i="2"/>
  <c r="E755" i="2"/>
  <c r="D755" i="2"/>
  <c r="C755" i="2"/>
  <c r="B755" i="2"/>
  <c r="A755" i="2"/>
  <c r="AG754" i="2"/>
  <c r="AF754" i="2"/>
  <c r="AE754" i="2"/>
  <c r="AD754" i="2"/>
  <c r="AC754" i="2"/>
  <c r="AB754" i="2"/>
  <c r="AA754" i="2"/>
  <c r="Y754" i="2"/>
  <c r="X754" i="2"/>
  <c r="W754" i="2"/>
  <c r="V754" i="2"/>
  <c r="U754" i="2"/>
  <c r="T754" i="2"/>
  <c r="S754" i="2"/>
  <c r="R754" i="2"/>
  <c r="Q754" i="2"/>
  <c r="P754" i="2"/>
  <c r="O754" i="2"/>
  <c r="N754" i="2"/>
  <c r="M754" i="2"/>
  <c r="L754" i="2"/>
  <c r="K754" i="2"/>
  <c r="J754" i="2"/>
  <c r="I754" i="2"/>
  <c r="H754" i="2"/>
  <c r="G754" i="2"/>
  <c r="F754" i="2"/>
  <c r="E754" i="2"/>
  <c r="D754" i="2"/>
  <c r="C754" i="2"/>
  <c r="B754" i="2"/>
  <c r="A754" i="2"/>
  <c r="AG753" i="2"/>
  <c r="AF753" i="2"/>
  <c r="AE753" i="2"/>
  <c r="AD753" i="2"/>
  <c r="AC753" i="2"/>
  <c r="AB753" i="2"/>
  <c r="AA753" i="2"/>
  <c r="Z753" i="2"/>
  <c r="Y753" i="2"/>
  <c r="X753" i="2"/>
  <c r="W753" i="2"/>
  <c r="V753" i="2"/>
  <c r="U753" i="2"/>
  <c r="T753" i="2"/>
  <c r="S753" i="2"/>
  <c r="R753" i="2"/>
  <c r="Q753" i="2"/>
  <c r="P753" i="2"/>
  <c r="O753" i="2"/>
  <c r="N753" i="2"/>
  <c r="M753" i="2"/>
  <c r="L753" i="2"/>
  <c r="K753" i="2"/>
  <c r="J753" i="2"/>
  <c r="I753" i="2"/>
  <c r="H753" i="2"/>
  <c r="G753" i="2"/>
  <c r="F753" i="2"/>
  <c r="E753" i="2"/>
  <c r="D753" i="2"/>
  <c r="C753" i="2"/>
  <c r="B753" i="2"/>
  <c r="A753" i="2"/>
  <c r="AG752" i="2"/>
  <c r="AF752" i="2"/>
  <c r="AE752" i="2"/>
  <c r="AD752" i="2"/>
  <c r="AC752" i="2"/>
  <c r="AB752" i="2"/>
  <c r="AA752" i="2"/>
  <c r="Y752" i="2"/>
  <c r="X752" i="2"/>
  <c r="W752" i="2"/>
  <c r="V752" i="2"/>
  <c r="U752" i="2"/>
  <c r="T752" i="2"/>
  <c r="S752" i="2"/>
  <c r="R752" i="2"/>
  <c r="Q752" i="2"/>
  <c r="P752" i="2"/>
  <c r="O752" i="2"/>
  <c r="N752" i="2"/>
  <c r="M752" i="2"/>
  <c r="L752" i="2"/>
  <c r="K752" i="2"/>
  <c r="J752" i="2"/>
  <c r="I752" i="2"/>
  <c r="H752" i="2"/>
  <c r="G752" i="2"/>
  <c r="F752" i="2"/>
  <c r="E752" i="2"/>
  <c r="D752" i="2"/>
  <c r="C752" i="2"/>
  <c r="B752" i="2"/>
  <c r="A752" i="2"/>
  <c r="AG751" i="2"/>
  <c r="AD751" i="2"/>
  <c r="AC751" i="2"/>
  <c r="AB751" i="2"/>
  <c r="AA751" i="2"/>
  <c r="Y751" i="2"/>
  <c r="X751" i="2"/>
  <c r="V751" i="2"/>
  <c r="U751" i="2"/>
  <c r="T751" i="2"/>
  <c r="S751" i="2"/>
  <c r="R751" i="2"/>
  <c r="Q751" i="2"/>
  <c r="P751" i="2"/>
  <c r="O751" i="2"/>
  <c r="N751" i="2"/>
  <c r="M751" i="2"/>
  <c r="L751" i="2"/>
  <c r="K751" i="2"/>
  <c r="J751" i="2"/>
  <c r="I751" i="2"/>
  <c r="H751" i="2"/>
  <c r="G751" i="2"/>
  <c r="F751" i="2"/>
  <c r="E751" i="2"/>
  <c r="D751" i="2"/>
  <c r="C751" i="2"/>
  <c r="B751" i="2"/>
  <c r="A751" i="2"/>
  <c r="AH750" i="2"/>
  <c r="AG750" i="2"/>
  <c r="AF750" i="2"/>
  <c r="AE750" i="2"/>
  <c r="AD750" i="2"/>
  <c r="AC750" i="2"/>
  <c r="AB750" i="2"/>
  <c r="AA750" i="2"/>
  <c r="Z750" i="2"/>
  <c r="Y750" i="2"/>
  <c r="X750" i="2"/>
  <c r="W750" i="2"/>
  <c r="V750" i="2"/>
  <c r="U750" i="2"/>
  <c r="T750" i="2"/>
  <c r="S750" i="2"/>
  <c r="R750" i="2"/>
  <c r="Q750" i="2"/>
  <c r="P750" i="2"/>
  <c r="O750" i="2"/>
  <c r="N750" i="2"/>
  <c r="M750" i="2"/>
  <c r="L750" i="2"/>
  <c r="K750" i="2"/>
  <c r="J750" i="2"/>
  <c r="I750" i="2"/>
  <c r="H750" i="2"/>
  <c r="G750" i="2"/>
  <c r="F750" i="2"/>
  <c r="E750" i="2"/>
  <c r="D750" i="2"/>
  <c r="C750" i="2"/>
  <c r="B750" i="2"/>
  <c r="A750" i="2"/>
  <c r="AG749" i="2"/>
  <c r="AF749" i="2"/>
  <c r="AE749" i="2"/>
  <c r="AD749" i="2"/>
  <c r="AC749" i="2"/>
  <c r="AB749" i="2"/>
  <c r="AA749" i="2"/>
  <c r="Y749" i="2"/>
  <c r="X749" i="2"/>
  <c r="W749" i="2"/>
  <c r="V749" i="2"/>
  <c r="U749" i="2"/>
  <c r="T749" i="2"/>
  <c r="S749" i="2"/>
  <c r="R749" i="2"/>
  <c r="Q749" i="2"/>
  <c r="P749" i="2"/>
  <c r="O749" i="2"/>
  <c r="N749" i="2"/>
  <c r="M749" i="2"/>
  <c r="L749" i="2"/>
  <c r="K749" i="2"/>
  <c r="J749" i="2"/>
  <c r="I749" i="2"/>
  <c r="H749" i="2"/>
  <c r="G749" i="2"/>
  <c r="F749" i="2"/>
  <c r="E749" i="2"/>
  <c r="D749" i="2"/>
  <c r="C749" i="2"/>
  <c r="B749" i="2"/>
  <c r="A749" i="2"/>
  <c r="AH748" i="2"/>
  <c r="AG748" i="2"/>
  <c r="AE748" i="2"/>
  <c r="AD748" i="2"/>
  <c r="AC748" i="2"/>
  <c r="AB748" i="2"/>
  <c r="AA748" i="2"/>
  <c r="Y748" i="2"/>
  <c r="V748" i="2"/>
  <c r="U748" i="2"/>
  <c r="T748" i="2"/>
  <c r="S748" i="2"/>
  <c r="R748" i="2"/>
  <c r="Q748" i="2"/>
  <c r="P748" i="2"/>
  <c r="O748" i="2"/>
  <c r="N748" i="2"/>
  <c r="M748" i="2"/>
  <c r="L748" i="2"/>
  <c r="K748" i="2"/>
  <c r="J748" i="2"/>
  <c r="I748" i="2"/>
  <c r="H748" i="2"/>
  <c r="G748" i="2"/>
  <c r="F748" i="2"/>
  <c r="E748" i="2"/>
  <c r="D748" i="2"/>
  <c r="C748" i="2"/>
  <c r="B748" i="2"/>
  <c r="A748" i="2"/>
  <c r="AH747" i="2"/>
  <c r="AG747" i="2"/>
  <c r="AF747" i="2"/>
  <c r="AE747" i="2"/>
  <c r="AD747" i="2"/>
  <c r="AC747" i="2"/>
  <c r="AB747" i="2"/>
  <c r="AA747" i="2"/>
  <c r="Y747" i="2"/>
  <c r="X747" i="2"/>
  <c r="W747" i="2"/>
  <c r="V747" i="2"/>
  <c r="U747" i="2"/>
  <c r="T747" i="2"/>
  <c r="S747" i="2"/>
  <c r="R747" i="2"/>
  <c r="Q747" i="2"/>
  <c r="P747" i="2"/>
  <c r="O747" i="2"/>
  <c r="N747" i="2"/>
  <c r="M747" i="2"/>
  <c r="L747" i="2"/>
  <c r="K747" i="2"/>
  <c r="J747" i="2"/>
  <c r="I747" i="2"/>
  <c r="H747" i="2"/>
  <c r="G747" i="2"/>
  <c r="F747" i="2"/>
  <c r="E747" i="2"/>
  <c r="D747" i="2"/>
  <c r="C747" i="2"/>
  <c r="B747" i="2"/>
  <c r="A747" i="2"/>
  <c r="AG746" i="2"/>
  <c r="AF746" i="2"/>
  <c r="AE746" i="2"/>
  <c r="AD746" i="2"/>
  <c r="AC746" i="2"/>
  <c r="AB746" i="2"/>
  <c r="AA746" i="2"/>
  <c r="Z746" i="2"/>
  <c r="Y746" i="2"/>
  <c r="X746" i="2"/>
  <c r="W746" i="2"/>
  <c r="V746" i="2"/>
  <c r="U746" i="2"/>
  <c r="T746" i="2"/>
  <c r="S746" i="2"/>
  <c r="R746" i="2"/>
  <c r="Q746" i="2"/>
  <c r="P746" i="2"/>
  <c r="O746" i="2"/>
  <c r="N746" i="2"/>
  <c r="M746" i="2"/>
  <c r="L746" i="2"/>
  <c r="K746" i="2"/>
  <c r="J746" i="2"/>
  <c r="I746" i="2"/>
  <c r="H746" i="2"/>
  <c r="G746" i="2"/>
  <c r="F746" i="2"/>
  <c r="E746" i="2"/>
  <c r="D746" i="2"/>
  <c r="C746" i="2"/>
  <c r="B746" i="2"/>
  <c r="A746" i="2"/>
  <c r="AH745" i="2"/>
  <c r="AG745" i="2"/>
  <c r="AE745" i="2"/>
  <c r="AD745" i="2"/>
  <c r="AC745" i="2"/>
  <c r="AB745" i="2"/>
  <c r="AA745" i="2"/>
  <c r="Y745" i="2"/>
  <c r="X745" i="2"/>
  <c r="W745" i="2"/>
  <c r="V745" i="2"/>
  <c r="U745" i="2"/>
  <c r="T745" i="2"/>
  <c r="S745" i="2"/>
  <c r="R745" i="2"/>
  <c r="Q745" i="2"/>
  <c r="P745" i="2"/>
  <c r="O745" i="2"/>
  <c r="N745" i="2"/>
  <c r="M745" i="2"/>
  <c r="L745" i="2"/>
  <c r="K745" i="2"/>
  <c r="J745" i="2"/>
  <c r="I745" i="2"/>
  <c r="H745" i="2"/>
  <c r="G745" i="2"/>
  <c r="F745" i="2"/>
  <c r="E745" i="2"/>
  <c r="D745" i="2"/>
  <c r="C745" i="2"/>
  <c r="B745" i="2"/>
  <c r="A745" i="2"/>
  <c r="AG744" i="2"/>
  <c r="AE744" i="2"/>
  <c r="AD744" i="2"/>
  <c r="AC744" i="2"/>
  <c r="AB744" i="2"/>
  <c r="AA744" i="2"/>
  <c r="Y744" i="2"/>
  <c r="V744" i="2"/>
  <c r="U744" i="2"/>
  <c r="T744" i="2"/>
  <c r="S744" i="2"/>
  <c r="R744" i="2"/>
  <c r="Q744" i="2"/>
  <c r="P744" i="2"/>
  <c r="O744" i="2"/>
  <c r="N744" i="2"/>
  <c r="M744" i="2"/>
  <c r="L744" i="2"/>
  <c r="K744" i="2"/>
  <c r="J744" i="2"/>
  <c r="I744" i="2"/>
  <c r="H744" i="2"/>
  <c r="G744" i="2"/>
  <c r="F744" i="2"/>
  <c r="E744" i="2"/>
  <c r="D744" i="2"/>
  <c r="C744" i="2"/>
  <c r="B744" i="2"/>
  <c r="A744" i="2"/>
  <c r="AG743" i="2"/>
  <c r="AE743" i="2"/>
  <c r="AC743" i="2"/>
  <c r="AB743" i="2"/>
  <c r="AA743" i="2"/>
  <c r="Y743" i="2"/>
  <c r="X743" i="2"/>
  <c r="W743" i="2"/>
  <c r="V743" i="2"/>
  <c r="U743" i="2"/>
  <c r="T743" i="2"/>
  <c r="S743" i="2"/>
  <c r="R743" i="2"/>
  <c r="Q743" i="2"/>
  <c r="P743" i="2"/>
  <c r="O743" i="2"/>
  <c r="N743" i="2"/>
  <c r="M743" i="2"/>
  <c r="L743" i="2"/>
  <c r="K743" i="2"/>
  <c r="J743" i="2"/>
  <c r="I743" i="2"/>
  <c r="H743" i="2"/>
  <c r="G743" i="2"/>
  <c r="F743" i="2"/>
  <c r="E743" i="2"/>
  <c r="D743" i="2"/>
  <c r="C743" i="2"/>
  <c r="B743" i="2"/>
  <c r="A743" i="2"/>
  <c r="AH742" i="2"/>
  <c r="AG742" i="2"/>
  <c r="AF742" i="2"/>
  <c r="AE742" i="2"/>
  <c r="AD742" i="2"/>
  <c r="AC742" i="2"/>
  <c r="AB742" i="2"/>
  <c r="AA742" i="2"/>
  <c r="Z742" i="2"/>
  <c r="Y742" i="2"/>
  <c r="X742" i="2"/>
  <c r="W742" i="2"/>
  <c r="U742" i="2"/>
  <c r="T742" i="2"/>
  <c r="S742" i="2"/>
  <c r="R742" i="2"/>
  <c r="Q742" i="2"/>
  <c r="P742" i="2"/>
  <c r="O742" i="2"/>
  <c r="N742" i="2"/>
  <c r="M742" i="2"/>
  <c r="L742" i="2"/>
  <c r="K742" i="2"/>
  <c r="J742" i="2"/>
  <c r="I742" i="2"/>
  <c r="H742" i="2"/>
  <c r="G742" i="2"/>
  <c r="F742" i="2"/>
  <c r="E742" i="2"/>
  <c r="D742" i="2"/>
  <c r="C742" i="2"/>
  <c r="B742" i="2"/>
  <c r="A742" i="2"/>
  <c r="AG741" i="2"/>
  <c r="AE741" i="2"/>
  <c r="AD741" i="2"/>
  <c r="AC741" i="2"/>
  <c r="AB741" i="2"/>
  <c r="AA741" i="2"/>
  <c r="Z741" i="2"/>
  <c r="Y741" i="2"/>
  <c r="X741" i="2"/>
  <c r="W741" i="2"/>
  <c r="V741" i="2"/>
  <c r="U741" i="2"/>
  <c r="T741" i="2"/>
  <c r="S741" i="2"/>
  <c r="R741" i="2"/>
  <c r="Q741" i="2"/>
  <c r="P741" i="2"/>
  <c r="O741" i="2"/>
  <c r="N741" i="2"/>
  <c r="M741" i="2"/>
  <c r="L741" i="2"/>
  <c r="K741" i="2"/>
  <c r="J741" i="2"/>
  <c r="I741" i="2"/>
  <c r="H741" i="2"/>
  <c r="G741" i="2"/>
  <c r="F741" i="2"/>
  <c r="E741" i="2"/>
  <c r="D741" i="2"/>
  <c r="C741" i="2"/>
  <c r="B741" i="2"/>
  <c r="A741" i="2"/>
  <c r="AG740" i="2"/>
  <c r="AF740" i="2"/>
  <c r="AE740" i="2"/>
  <c r="AD740" i="2"/>
  <c r="AC740" i="2"/>
  <c r="AB740" i="2"/>
  <c r="AA740" i="2"/>
  <c r="Y740" i="2"/>
  <c r="V740" i="2"/>
  <c r="U740" i="2"/>
  <c r="T740" i="2"/>
  <c r="S740" i="2"/>
  <c r="R740" i="2"/>
  <c r="Q740" i="2"/>
  <c r="P740" i="2"/>
  <c r="O740" i="2"/>
  <c r="M740" i="2"/>
  <c r="L740" i="2"/>
  <c r="K740" i="2"/>
  <c r="J740" i="2"/>
  <c r="I740" i="2"/>
  <c r="H740" i="2"/>
  <c r="G740" i="2"/>
  <c r="F740" i="2"/>
  <c r="E740" i="2"/>
  <c r="D740" i="2"/>
  <c r="C740" i="2"/>
  <c r="B740" i="2"/>
  <c r="A740" i="2"/>
  <c r="AH739" i="2"/>
  <c r="AG739" i="2"/>
  <c r="AF739" i="2"/>
  <c r="AE739" i="2"/>
  <c r="AD739" i="2"/>
  <c r="AC739" i="2"/>
  <c r="AB739" i="2"/>
  <c r="AA739" i="2"/>
  <c r="Y739" i="2"/>
  <c r="X739" i="2"/>
  <c r="W739" i="2"/>
  <c r="V739" i="2"/>
  <c r="U739" i="2"/>
  <c r="T739" i="2"/>
  <c r="S739" i="2"/>
  <c r="R739" i="2"/>
  <c r="Q739" i="2"/>
  <c r="P739" i="2"/>
  <c r="O739" i="2"/>
  <c r="N739" i="2"/>
  <c r="M739" i="2"/>
  <c r="L739" i="2"/>
  <c r="K739" i="2"/>
  <c r="J739" i="2"/>
  <c r="I739" i="2"/>
  <c r="H739" i="2"/>
  <c r="G739" i="2"/>
  <c r="F739" i="2"/>
  <c r="E739" i="2"/>
  <c r="D739" i="2"/>
  <c r="C739" i="2"/>
  <c r="B739" i="2"/>
  <c r="A739" i="2"/>
  <c r="AH738" i="2"/>
  <c r="AG738" i="2"/>
  <c r="AF738" i="2"/>
  <c r="AE738" i="2"/>
  <c r="AD738" i="2"/>
  <c r="AC738" i="2"/>
  <c r="AB738" i="2"/>
  <c r="AA738" i="2"/>
  <c r="Z738" i="2"/>
  <c r="Y738" i="2"/>
  <c r="X738" i="2"/>
  <c r="V738" i="2"/>
  <c r="U738" i="2"/>
  <c r="T738" i="2"/>
  <c r="S738" i="2"/>
  <c r="R738" i="2"/>
  <c r="Q738" i="2"/>
  <c r="P738" i="2"/>
  <c r="O738" i="2"/>
  <c r="N738" i="2"/>
  <c r="M738" i="2"/>
  <c r="L738" i="2"/>
  <c r="K738" i="2"/>
  <c r="J738" i="2"/>
  <c r="I738" i="2"/>
  <c r="H738" i="2"/>
  <c r="G738" i="2"/>
  <c r="F738" i="2"/>
  <c r="E738" i="2"/>
  <c r="D738" i="2"/>
  <c r="C738" i="2"/>
  <c r="B738" i="2"/>
  <c r="A738" i="2"/>
  <c r="AG737" i="2"/>
  <c r="AE737" i="2"/>
  <c r="AD737" i="2"/>
  <c r="AC737" i="2"/>
  <c r="AB737" i="2"/>
  <c r="AA737" i="2"/>
  <c r="Y737" i="2"/>
  <c r="X737" i="2"/>
  <c r="W737" i="2"/>
  <c r="V737" i="2"/>
  <c r="U737" i="2"/>
  <c r="T737" i="2"/>
  <c r="S737" i="2"/>
  <c r="R737" i="2"/>
  <c r="Q737" i="2"/>
  <c r="P737" i="2"/>
  <c r="O737" i="2"/>
  <c r="N737" i="2"/>
  <c r="M737" i="2"/>
  <c r="L737" i="2"/>
  <c r="K737" i="2"/>
  <c r="J737" i="2"/>
  <c r="I737" i="2"/>
  <c r="H737" i="2"/>
  <c r="G737" i="2"/>
  <c r="F737" i="2"/>
  <c r="E737" i="2"/>
  <c r="D737" i="2"/>
  <c r="C737" i="2"/>
  <c r="B737" i="2"/>
  <c r="A737" i="2"/>
  <c r="AH736" i="2"/>
  <c r="AG736" i="2"/>
  <c r="AE736" i="2"/>
  <c r="AD736" i="2"/>
  <c r="AC736" i="2"/>
  <c r="AB736" i="2"/>
  <c r="AA736" i="2"/>
  <c r="Y736" i="2"/>
  <c r="V736" i="2"/>
  <c r="U736" i="2"/>
  <c r="T736" i="2"/>
  <c r="S736" i="2"/>
  <c r="R736" i="2"/>
  <c r="Q736" i="2"/>
  <c r="P736" i="2"/>
  <c r="O736" i="2"/>
  <c r="N736" i="2"/>
  <c r="M736" i="2"/>
  <c r="L736" i="2"/>
  <c r="K736" i="2"/>
  <c r="J736" i="2"/>
  <c r="I736" i="2"/>
  <c r="H736" i="2"/>
  <c r="G736" i="2"/>
  <c r="F736" i="2"/>
  <c r="E736" i="2"/>
  <c r="D736" i="2"/>
  <c r="C736" i="2"/>
  <c r="B736" i="2"/>
  <c r="A736" i="2"/>
  <c r="AH735" i="2"/>
  <c r="AG735" i="2"/>
  <c r="AF735" i="2"/>
  <c r="AE735" i="2"/>
  <c r="AD735" i="2"/>
  <c r="AC735" i="2"/>
  <c r="AB735" i="2"/>
  <c r="AA735" i="2"/>
  <c r="Y735" i="2"/>
  <c r="W735" i="2"/>
  <c r="V735" i="2"/>
  <c r="U735" i="2"/>
  <c r="T735" i="2"/>
  <c r="S735" i="2"/>
  <c r="R735" i="2"/>
  <c r="Q735" i="2"/>
  <c r="P735" i="2"/>
  <c r="O735" i="2"/>
  <c r="N735" i="2"/>
  <c r="M735" i="2"/>
  <c r="L735" i="2"/>
  <c r="K735" i="2"/>
  <c r="J735" i="2"/>
  <c r="I735" i="2"/>
  <c r="H735" i="2"/>
  <c r="G735" i="2"/>
  <c r="F735" i="2"/>
  <c r="E735" i="2"/>
  <c r="D735" i="2"/>
  <c r="C735" i="2"/>
  <c r="B735" i="2"/>
  <c r="A735" i="2"/>
  <c r="AG734" i="2"/>
  <c r="AF734" i="2"/>
  <c r="AE734" i="2"/>
  <c r="AD734" i="2"/>
  <c r="AC734" i="2"/>
  <c r="AB734" i="2"/>
  <c r="AA734" i="2"/>
  <c r="Z734" i="2"/>
  <c r="Y734" i="2"/>
  <c r="X734" i="2"/>
  <c r="W734" i="2"/>
  <c r="V734" i="2"/>
  <c r="U734" i="2"/>
  <c r="T734" i="2"/>
  <c r="S734" i="2"/>
  <c r="R734" i="2"/>
  <c r="Q734" i="2"/>
  <c r="P734" i="2"/>
  <c r="O734" i="2"/>
  <c r="N734" i="2"/>
  <c r="M734" i="2"/>
  <c r="L734" i="2"/>
  <c r="K734" i="2"/>
  <c r="J734" i="2"/>
  <c r="I734" i="2"/>
  <c r="H734" i="2"/>
  <c r="G734" i="2"/>
  <c r="F734" i="2"/>
  <c r="E734" i="2"/>
  <c r="D734" i="2"/>
  <c r="C734" i="2"/>
  <c r="B734" i="2"/>
  <c r="A734" i="2"/>
  <c r="AG733" i="2"/>
  <c r="AE733" i="2"/>
  <c r="AD733" i="2"/>
  <c r="AC733" i="2"/>
  <c r="AB733" i="2"/>
  <c r="AA733" i="2"/>
  <c r="Y733" i="2"/>
  <c r="X733" i="2"/>
  <c r="V733" i="2"/>
  <c r="U733" i="2"/>
  <c r="T733" i="2"/>
  <c r="S733" i="2"/>
  <c r="R733" i="2"/>
  <c r="Q733" i="2"/>
  <c r="P733" i="2"/>
  <c r="O733" i="2"/>
  <c r="N733" i="2"/>
  <c r="M733" i="2"/>
  <c r="L733" i="2"/>
  <c r="K733" i="2"/>
  <c r="J733" i="2"/>
  <c r="I733" i="2"/>
  <c r="H733" i="2"/>
  <c r="G733" i="2"/>
  <c r="F733" i="2"/>
  <c r="E733" i="2"/>
  <c r="D733" i="2"/>
  <c r="C733" i="2"/>
  <c r="B733" i="2"/>
  <c r="A733" i="2"/>
  <c r="AH732" i="2"/>
  <c r="AG732" i="2"/>
  <c r="AF732" i="2"/>
  <c r="AE732" i="2"/>
  <c r="AD732" i="2"/>
  <c r="AC732" i="2"/>
  <c r="AB732" i="2"/>
  <c r="AA732" i="2"/>
  <c r="Y732" i="2"/>
  <c r="X732" i="2"/>
  <c r="W732" i="2"/>
  <c r="V732" i="2"/>
  <c r="U732" i="2"/>
  <c r="T732" i="2"/>
  <c r="S732" i="2"/>
  <c r="R732" i="2"/>
  <c r="Q732" i="2"/>
  <c r="P732" i="2"/>
  <c r="O732" i="2"/>
  <c r="N732" i="2"/>
  <c r="M732" i="2"/>
  <c r="L732" i="2"/>
  <c r="K732" i="2"/>
  <c r="J732" i="2"/>
  <c r="I732" i="2"/>
  <c r="H732" i="2"/>
  <c r="G732" i="2"/>
  <c r="F732" i="2"/>
  <c r="E732" i="2"/>
  <c r="D732" i="2"/>
  <c r="C732" i="2"/>
  <c r="B732" i="2"/>
  <c r="A732" i="2"/>
  <c r="AG731" i="2"/>
  <c r="AE731" i="2"/>
  <c r="AD731" i="2"/>
  <c r="AC731" i="2"/>
  <c r="AB731" i="2"/>
  <c r="AA731" i="2"/>
  <c r="Z731" i="2"/>
  <c r="Y731" i="2"/>
  <c r="X731" i="2"/>
  <c r="W731" i="2"/>
  <c r="V731" i="2"/>
  <c r="U731" i="2"/>
  <c r="T731" i="2"/>
  <c r="S731" i="2"/>
  <c r="R731" i="2"/>
  <c r="Q731" i="2"/>
  <c r="P731" i="2"/>
  <c r="O731" i="2"/>
  <c r="N731" i="2"/>
  <c r="M731" i="2"/>
  <c r="L731" i="2"/>
  <c r="K731" i="2"/>
  <c r="J731" i="2"/>
  <c r="I731" i="2"/>
  <c r="H731" i="2"/>
  <c r="G731" i="2"/>
  <c r="F731" i="2"/>
  <c r="E731" i="2"/>
  <c r="D731" i="2"/>
  <c r="C731" i="2"/>
  <c r="B731" i="2"/>
  <c r="A731" i="2"/>
  <c r="AG730" i="2"/>
  <c r="AE730" i="2"/>
  <c r="AD730" i="2"/>
  <c r="AC730" i="2"/>
  <c r="AB730" i="2"/>
  <c r="AA730" i="2"/>
  <c r="Z730" i="2"/>
  <c r="Y730" i="2"/>
  <c r="X730" i="2"/>
  <c r="V730" i="2"/>
  <c r="U730" i="2"/>
  <c r="T730" i="2"/>
  <c r="S730" i="2"/>
  <c r="R730" i="2"/>
  <c r="Q730" i="2"/>
  <c r="P730" i="2"/>
  <c r="O730" i="2"/>
  <c r="N730" i="2"/>
  <c r="M730" i="2"/>
  <c r="L730" i="2"/>
  <c r="K730" i="2"/>
  <c r="J730" i="2"/>
  <c r="I730" i="2"/>
  <c r="H730" i="2"/>
  <c r="G730" i="2"/>
  <c r="F730" i="2"/>
  <c r="E730" i="2"/>
  <c r="D730" i="2"/>
  <c r="C730" i="2"/>
  <c r="B730" i="2"/>
  <c r="A730" i="2"/>
  <c r="AH729" i="2"/>
  <c r="AG729" i="2"/>
  <c r="AE729" i="2"/>
  <c r="AD729" i="2"/>
  <c r="AC729" i="2"/>
  <c r="AB729" i="2"/>
  <c r="AA729" i="2"/>
  <c r="Y729" i="2"/>
  <c r="W729" i="2"/>
  <c r="V729" i="2"/>
  <c r="U729" i="2"/>
  <c r="T729" i="2"/>
  <c r="S729" i="2"/>
  <c r="R729" i="2"/>
  <c r="Q729" i="2"/>
  <c r="P729" i="2"/>
  <c r="O729" i="2"/>
  <c r="N729" i="2"/>
  <c r="M729" i="2"/>
  <c r="L729" i="2"/>
  <c r="K729" i="2"/>
  <c r="J729" i="2"/>
  <c r="I729" i="2"/>
  <c r="H729" i="2"/>
  <c r="G729" i="2"/>
  <c r="F729" i="2"/>
  <c r="E729" i="2"/>
  <c r="D729" i="2"/>
  <c r="C729" i="2"/>
  <c r="B729" i="2"/>
  <c r="A729" i="2"/>
  <c r="AH728" i="2"/>
  <c r="AG728" i="2"/>
  <c r="AE728" i="2"/>
  <c r="AD728" i="2"/>
  <c r="AC728" i="2"/>
  <c r="AB728" i="2"/>
  <c r="AA728" i="2"/>
  <c r="Y728" i="2"/>
  <c r="X728" i="2"/>
  <c r="W728" i="2"/>
  <c r="V728" i="2"/>
  <c r="U728" i="2"/>
  <c r="T728" i="2"/>
  <c r="S728" i="2"/>
  <c r="R728" i="2"/>
  <c r="Q728" i="2"/>
  <c r="P728" i="2"/>
  <c r="O728" i="2"/>
  <c r="N728" i="2"/>
  <c r="M728" i="2"/>
  <c r="L728" i="2"/>
  <c r="K728" i="2"/>
  <c r="J728" i="2"/>
  <c r="I728" i="2"/>
  <c r="H728" i="2"/>
  <c r="G728" i="2"/>
  <c r="F728" i="2"/>
  <c r="E728" i="2"/>
  <c r="D728" i="2"/>
  <c r="C728" i="2"/>
  <c r="B728" i="2"/>
  <c r="A728" i="2"/>
  <c r="AH727" i="2"/>
  <c r="AG727" i="2"/>
  <c r="AE727" i="2"/>
  <c r="AD727" i="2"/>
  <c r="AC727" i="2"/>
  <c r="AB727" i="2"/>
  <c r="AA727" i="2"/>
  <c r="Y727" i="2"/>
  <c r="X727" i="2"/>
  <c r="W727" i="2"/>
  <c r="V727" i="2"/>
  <c r="U727" i="2"/>
  <c r="T727" i="2"/>
  <c r="S727" i="2"/>
  <c r="R727" i="2"/>
  <c r="Q727" i="2"/>
  <c r="P727" i="2"/>
  <c r="O727" i="2"/>
  <c r="N727" i="2"/>
  <c r="M727" i="2"/>
  <c r="L727" i="2"/>
  <c r="K727" i="2"/>
  <c r="J727" i="2"/>
  <c r="I727" i="2"/>
  <c r="H727" i="2"/>
  <c r="G727" i="2"/>
  <c r="F727" i="2"/>
  <c r="E727" i="2"/>
  <c r="D727" i="2"/>
  <c r="C727" i="2"/>
  <c r="B727" i="2"/>
  <c r="A727" i="2"/>
  <c r="AG726" i="2"/>
  <c r="AE726" i="2"/>
  <c r="AD726" i="2"/>
  <c r="AC726" i="2"/>
  <c r="AB726" i="2"/>
  <c r="AA726" i="2"/>
  <c r="Y726" i="2"/>
  <c r="X726" i="2"/>
  <c r="V726" i="2"/>
  <c r="U726" i="2"/>
  <c r="T726" i="2"/>
  <c r="S726" i="2"/>
  <c r="R726" i="2"/>
  <c r="Q726" i="2"/>
  <c r="P726" i="2"/>
  <c r="O726" i="2"/>
  <c r="N726" i="2"/>
  <c r="M726" i="2"/>
  <c r="L726" i="2"/>
  <c r="K726" i="2"/>
  <c r="J726" i="2"/>
  <c r="I726" i="2"/>
  <c r="H726" i="2"/>
  <c r="G726" i="2"/>
  <c r="F726" i="2"/>
  <c r="E726" i="2"/>
  <c r="D726" i="2"/>
  <c r="C726" i="2"/>
  <c r="B726" i="2"/>
  <c r="A726" i="2"/>
  <c r="AG725" i="2"/>
  <c r="AE725" i="2"/>
  <c r="AD725" i="2"/>
  <c r="AC725" i="2"/>
  <c r="AB725" i="2"/>
  <c r="AA725" i="2"/>
  <c r="Y725" i="2"/>
  <c r="X725" i="2"/>
  <c r="V725" i="2"/>
  <c r="U725" i="2"/>
  <c r="T725" i="2"/>
  <c r="S725" i="2"/>
  <c r="R725" i="2"/>
  <c r="Q725" i="2"/>
  <c r="P725" i="2"/>
  <c r="O725" i="2"/>
  <c r="N725" i="2"/>
  <c r="M725" i="2"/>
  <c r="L725" i="2"/>
  <c r="K725" i="2"/>
  <c r="J725" i="2"/>
  <c r="I725" i="2"/>
  <c r="H725" i="2"/>
  <c r="G725" i="2"/>
  <c r="F725" i="2"/>
  <c r="E725" i="2"/>
  <c r="D725" i="2"/>
  <c r="C725" i="2"/>
  <c r="B725" i="2"/>
  <c r="A725" i="2"/>
  <c r="AH724" i="2"/>
  <c r="AG724" i="2"/>
  <c r="AF724" i="2"/>
  <c r="AE724" i="2"/>
  <c r="AD724" i="2"/>
  <c r="AC724" i="2"/>
  <c r="AB724" i="2"/>
  <c r="AA724" i="2"/>
  <c r="Z724" i="2"/>
  <c r="Y724" i="2"/>
  <c r="X724" i="2"/>
  <c r="W724" i="2"/>
  <c r="V724" i="2"/>
  <c r="U724" i="2"/>
  <c r="T724" i="2"/>
  <c r="S724" i="2"/>
  <c r="R724" i="2"/>
  <c r="Q724" i="2"/>
  <c r="P724" i="2"/>
  <c r="O724" i="2"/>
  <c r="N724" i="2"/>
  <c r="M724" i="2"/>
  <c r="L724" i="2"/>
  <c r="K724" i="2"/>
  <c r="J724" i="2"/>
  <c r="I724" i="2"/>
  <c r="H724" i="2"/>
  <c r="G724" i="2"/>
  <c r="F724" i="2"/>
  <c r="E724" i="2"/>
  <c r="D724" i="2"/>
  <c r="C724" i="2"/>
  <c r="B724" i="2"/>
  <c r="A724" i="2"/>
  <c r="AH723" i="2"/>
  <c r="AG723" i="2"/>
  <c r="AF723" i="2"/>
  <c r="AE723" i="2"/>
  <c r="AD723" i="2"/>
  <c r="AC723" i="2"/>
  <c r="AB723" i="2"/>
  <c r="AA723" i="2"/>
  <c r="Z723" i="2"/>
  <c r="Y723" i="2"/>
  <c r="X723" i="2"/>
  <c r="W723" i="2"/>
  <c r="V723" i="2"/>
  <c r="U723" i="2"/>
  <c r="T723" i="2"/>
  <c r="S723" i="2"/>
  <c r="R723" i="2"/>
  <c r="Q723" i="2"/>
  <c r="P723" i="2"/>
  <c r="O723" i="2"/>
  <c r="N723" i="2"/>
  <c r="M723" i="2"/>
  <c r="L723" i="2"/>
  <c r="K723" i="2"/>
  <c r="J723" i="2"/>
  <c r="I723" i="2"/>
  <c r="H723" i="2"/>
  <c r="G723" i="2"/>
  <c r="F723" i="2"/>
  <c r="E723" i="2"/>
  <c r="D723" i="2"/>
  <c r="C723" i="2"/>
  <c r="B723" i="2"/>
  <c r="A723" i="2"/>
  <c r="AG722" i="2"/>
  <c r="AE722" i="2"/>
  <c r="AD722" i="2"/>
  <c r="AC722" i="2"/>
  <c r="AB722" i="2"/>
  <c r="AA722" i="2"/>
  <c r="Y722" i="2"/>
  <c r="X722" i="2"/>
  <c r="V722" i="2"/>
  <c r="U722" i="2"/>
  <c r="T722" i="2"/>
  <c r="S722" i="2"/>
  <c r="R722" i="2"/>
  <c r="Q722" i="2"/>
  <c r="P722" i="2"/>
  <c r="O722" i="2"/>
  <c r="N722" i="2"/>
  <c r="M722" i="2"/>
  <c r="L722" i="2"/>
  <c r="K722" i="2"/>
  <c r="J722" i="2"/>
  <c r="I722" i="2"/>
  <c r="H722" i="2"/>
  <c r="G722" i="2"/>
  <c r="F722" i="2"/>
  <c r="E722" i="2"/>
  <c r="D722" i="2"/>
  <c r="C722" i="2"/>
  <c r="B722" i="2"/>
  <c r="A722" i="2"/>
  <c r="AH721" i="2"/>
  <c r="AG721" i="2"/>
  <c r="AE721" i="2"/>
  <c r="AD721" i="2"/>
  <c r="AC721" i="2"/>
  <c r="AB721" i="2"/>
  <c r="AA721" i="2"/>
  <c r="Y721" i="2"/>
  <c r="X721" i="2"/>
  <c r="V721" i="2"/>
  <c r="U721" i="2"/>
  <c r="T721" i="2"/>
  <c r="S721" i="2"/>
  <c r="R721" i="2"/>
  <c r="Q721" i="2"/>
  <c r="P721" i="2"/>
  <c r="O721" i="2"/>
  <c r="N721" i="2"/>
  <c r="M721" i="2"/>
  <c r="L721" i="2"/>
  <c r="K721" i="2"/>
  <c r="J721" i="2"/>
  <c r="I721" i="2"/>
  <c r="H721" i="2"/>
  <c r="G721" i="2"/>
  <c r="F721" i="2"/>
  <c r="E721" i="2"/>
  <c r="D721" i="2"/>
  <c r="C721" i="2"/>
  <c r="B721" i="2"/>
  <c r="A721" i="2"/>
  <c r="AH720" i="2"/>
  <c r="AG720" i="2"/>
  <c r="AF720" i="2"/>
  <c r="AE720" i="2"/>
  <c r="AD720" i="2"/>
  <c r="AC720" i="2"/>
  <c r="AB720" i="2"/>
  <c r="AA720" i="2"/>
  <c r="Z720" i="2"/>
  <c r="Y720" i="2"/>
  <c r="X720" i="2"/>
  <c r="W720" i="2"/>
  <c r="V720" i="2"/>
  <c r="U720" i="2"/>
  <c r="T720" i="2"/>
  <c r="S720" i="2"/>
  <c r="R720" i="2"/>
  <c r="Q720" i="2"/>
  <c r="P720" i="2"/>
  <c r="O720" i="2"/>
  <c r="N720" i="2"/>
  <c r="M720" i="2"/>
  <c r="L720" i="2"/>
  <c r="K720" i="2"/>
  <c r="J720" i="2"/>
  <c r="I720" i="2"/>
  <c r="H720" i="2"/>
  <c r="G720" i="2"/>
  <c r="F720" i="2"/>
  <c r="E720" i="2"/>
  <c r="D720" i="2"/>
  <c r="C720" i="2"/>
  <c r="B720" i="2"/>
  <c r="A720" i="2"/>
  <c r="AH719" i="2"/>
  <c r="AG719" i="2"/>
  <c r="AE719" i="2"/>
  <c r="AD719" i="2"/>
  <c r="AC719" i="2"/>
  <c r="AB719" i="2"/>
  <c r="AA719" i="2"/>
  <c r="Y719" i="2"/>
  <c r="V719" i="2"/>
  <c r="U719" i="2"/>
  <c r="T719" i="2"/>
  <c r="S719" i="2"/>
  <c r="R719" i="2"/>
  <c r="Q719" i="2"/>
  <c r="P719" i="2"/>
  <c r="O719" i="2"/>
  <c r="N719" i="2"/>
  <c r="M719" i="2"/>
  <c r="L719" i="2"/>
  <c r="K719" i="2"/>
  <c r="J719" i="2"/>
  <c r="I719" i="2"/>
  <c r="H719" i="2"/>
  <c r="G719" i="2"/>
  <c r="F719" i="2"/>
  <c r="E719" i="2"/>
  <c r="D719" i="2"/>
  <c r="C719" i="2"/>
  <c r="B719" i="2"/>
  <c r="A719" i="2"/>
  <c r="AH718" i="2"/>
  <c r="AG718" i="2"/>
  <c r="AF718" i="2"/>
  <c r="AE718" i="2"/>
  <c r="AD718" i="2"/>
  <c r="AC718" i="2"/>
  <c r="AB718" i="2"/>
  <c r="AA718" i="2"/>
  <c r="Y718" i="2"/>
  <c r="X718" i="2"/>
  <c r="W718" i="2"/>
  <c r="V718" i="2"/>
  <c r="U718" i="2"/>
  <c r="T718" i="2"/>
  <c r="S718" i="2"/>
  <c r="R718" i="2"/>
  <c r="Q718" i="2"/>
  <c r="P718" i="2"/>
  <c r="O718" i="2"/>
  <c r="N718" i="2"/>
  <c r="M718" i="2"/>
  <c r="L718" i="2"/>
  <c r="K718" i="2"/>
  <c r="J718" i="2"/>
  <c r="I718" i="2"/>
  <c r="H718" i="2"/>
  <c r="G718" i="2"/>
  <c r="F718" i="2"/>
  <c r="E718" i="2"/>
  <c r="D718" i="2"/>
  <c r="C718" i="2"/>
  <c r="B718" i="2"/>
  <c r="A718" i="2"/>
  <c r="AH717" i="2"/>
  <c r="AG717" i="2"/>
  <c r="AF717" i="2"/>
  <c r="AE717" i="2"/>
  <c r="AD717" i="2"/>
  <c r="AC717" i="2"/>
  <c r="AB717" i="2"/>
  <c r="AA717" i="2"/>
  <c r="Y717" i="2"/>
  <c r="X717" i="2"/>
  <c r="W717" i="2"/>
  <c r="V717" i="2"/>
  <c r="U717" i="2"/>
  <c r="T717" i="2"/>
  <c r="S717" i="2"/>
  <c r="R717" i="2"/>
  <c r="Q717" i="2"/>
  <c r="P717" i="2"/>
  <c r="O717" i="2"/>
  <c r="N717" i="2"/>
  <c r="M717" i="2"/>
  <c r="L717" i="2"/>
  <c r="K717" i="2"/>
  <c r="J717" i="2"/>
  <c r="I717" i="2"/>
  <c r="H717" i="2"/>
  <c r="G717" i="2"/>
  <c r="F717" i="2"/>
  <c r="E717" i="2"/>
  <c r="D717" i="2"/>
  <c r="C717" i="2"/>
  <c r="B717" i="2"/>
  <c r="A717" i="2"/>
  <c r="AG716" i="2"/>
  <c r="AF716" i="2"/>
  <c r="AE716" i="2"/>
  <c r="AD716" i="2"/>
  <c r="AC716" i="2"/>
  <c r="AB716" i="2"/>
  <c r="AA716" i="2"/>
  <c r="Y716" i="2"/>
  <c r="V716" i="2"/>
  <c r="U716" i="2"/>
  <c r="T716" i="2"/>
  <c r="S716" i="2"/>
  <c r="R716" i="2"/>
  <c r="Q716" i="2"/>
  <c r="P716" i="2"/>
  <c r="O716" i="2"/>
  <c r="N716" i="2"/>
  <c r="M716" i="2"/>
  <c r="L716" i="2"/>
  <c r="K716" i="2"/>
  <c r="J716" i="2"/>
  <c r="I716" i="2"/>
  <c r="H716" i="2"/>
  <c r="G716" i="2"/>
  <c r="F716" i="2"/>
  <c r="E716" i="2"/>
  <c r="D716" i="2"/>
  <c r="C716" i="2"/>
  <c r="B716" i="2"/>
  <c r="A716" i="2"/>
  <c r="AG715" i="2"/>
  <c r="AE715" i="2"/>
  <c r="AD715" i="2"/>
  <c r="AC715" i="2"/>
  <c r="AB715" i="2"/>
  <c r="AA715" i="2"/>
  <c r="Y715" i="2"/>
  <c r="X715" i="2"/>
  <c r="V715" i="2"/>
  <c r="U715" i="2"/>
  <c r="T715" i="2"/>
  <c r="S715" i="2"/>
  <c r="R715" i="2"/>
  <c r="Q715" i="2"/>
  <c r="P715" i="2"/>
  <c r="O715" i="2"/>
  <c r="N715" i="2"/>
  <c r="M715" i="2"/>
  <c r="L715" i="2"/>
  <c r="K715" i="2"/>
  <c r="J715" i="2"/>
  <c r="I715" i="2"/>
  <c r="H715" i="2"/>
  <c r="G715" i="2"/>
  <c r="F715" i="2"/>
  <c r="E715" i="2"/>
  <c r="D715" i="2"/>
  <c r="C715" i="2"/>
  <c r="B715" i="2"/>
  <c r="A715" i="2"/>
  <c r="AH714" i="2"/>
  <c r="AG714" i="2"/>
  <c r="AF714" i="2"/>
  <c r="AE714" i="2"/>
  <c r="AD714" i="2"/>
  <c r="AC714" i="2"/>
  <c r="AB714" i="2"/>
  <c r="AA714" i="2"/>
  <c r="Y714" i="2"/>
  <c r="X714" i="2"/>
  <c r="W714" i="2"/>
  <c r="V714" i="2"/>
  <c r="U714" i="2"/>
  <c r="T714" i="2"/>
  <c r="S714" i="2"/>
  <c r="R714" i="2"/>
  <c r="Q714" i="2"/>
  <c r="P714" i="2"/>
  <c r="O714" i="2"/>
  <c r="N714" i="2"/>
  <c r="M714" i="2"/>
  <c r="L714" i="2"/>
  <c r="K714" i="2"/>
  <c r="J714" i="2"/>
  <c r="I714" i="2"/>
  <c r="H714" i="2"/>
  <c r="G714" i="2"/>
  <c r="F714" i="2"/>
  <c r="E714" i="2"/>
  <c r="D714" i="2"/>
  <c r="C714" i="2"/>
  <c r="B714" i="2"/>
  <c r="A714" i="2"/>
  <c r="AH713" i="2"/>
  <c r="AG713" i="2"/>
  <c r="AE713" i="2"/>
  <c r="AD713" i="2"/>
  <c r="AC713" i="2"/>
  <c r="AB713" i="2"/>
  <c r="AA713" i="2"/>
  <c r="Y713" i="2"/>
  <c r="X713" i="2"/>
  <c r="V713" i="2"/>
  <c r="U713" i="2"/>
  <c r="T713" i="2"/>
  <c r="S713" i="2"/>
  <c r="R713" i="2"/>
  <c r="Q713" i="2"/>
  <c r="P713" i="2"/>
  <c r="O713" i="2"/>
  <c r="N713" i="2"/>
  <c r="M713" i="2"/>
  <c r="L713" i="2"/>
  <c r="K713" i="2"/>
  <c r="J713" i="2"/>
  <c r="I713" i="2"/>
  <c r="H713" i="2"/>
  <c r="G713" i="2"/>
  <c r="F713" i="2"/>
  <c r="E713" i="2"/>
  <c r="D713" i="2"/>
  <c r="C713" i="2"/>
  <c r="B713" i="2"/>
  <c r="A713" i="2"/>
  <c r="AH712" i="2"/>
  <c r="AG712" i="2"/>
  <c r="AE712" i="2"/>
  <c r="AD712" i="2"/>
  <c r="AC712" i="2"/>
  <c r="AB712" i="2"/>
  <c r="AA712" i="2"/>
  <c r="Y712" i="2"/>
  <c r="W712" i="2"/>
  <c r="V712" i="2"/>
  <c r="U712" i="2"/>
  <c r="T712" i="2"/>
  <c r="S712" i="2"/>
  <c r="R712" i="2"/>
  <c r="Q712" i="2"/>
  <c r="P712" i="2"/>
  <c r="O712" i="2"/>
  <c r="N712" i="2"/>
  <c r="M712" i="2"/>
  <c r="L712" i="2"/>
  <c r="K712" i="2"/>
  <c r="J712" i="2"/>
  <c r="I712" i="2"/>
  <c r="H712" i="2"/>
  <c r="G712" i="2"/>
  <c r="F712" i="2"/>
  <c r="E712" i="2"/>
  <c r="D712" i="2"/>
  <c r="C712" i="2"/>
  <c r="B712" i="2"/>
  <c r="A712" i="2"/>
  <c r="AH711" i="2"/>
  <c r="AG711" i="2"/>
  <c r="AE711" i="2"/>
  <c r="AD711" i="2"/>
  <c r="AC711" i="2"/>
  <c r="AB711" i="2"/>
  <c r="AA711" i="2"/>
  <c r="Y711" i="2"/>
  <c r="X711" i="2"/>
  <c r="W711" i="2"/>
  <c r="V711" i="2"/>
  <c r="U711" i="2"/>
  <c r="T711" i="2"/>
  <c r="S711" i="2"/>
  <c r="R711" i="2"/>
  <c r="Q711" i="2"/>
  <c r="P711" i="2"/>
  <c r="O711" i="2"/>
  <c r="N711" i="2"/>
  <c r="M711" i="2"/>
  <c r="L711" i="2"/>
  <c r="K711" i="2"/>
  <c r="J711" i="2"/>
  <c r="I711" i="2"/>
  <c r="H711" i="2"/>
  <c r="G711" i="2"/>
  <c r="F711" i="2"/>
  <c r="E711" i="2"/>
  <c r="D711" i="2"/>
  <c r="C711" i="2"/>
  <c r="B711" i="2"/>
  <c r="A711" i="2"/>
  <c r="AG710" i="2"/>
  <c r="AE710" i="2"/>
  <c r="AD710" i="2"/>
  <c r="AC710" i="2"/>
  <c r="AB710" i="2"/>
  <c r="AA710" i="2"/>
  <c r="Z710" i="2"/>
  <c r="Y710" i="2"/>
  <c r="X710" i="2"/>
  <c r="W710" i="2"/>
  <c r="V710" i="2"/>
  <c r="U710" i="2"/>
  <c r="T710" i="2"/>
  <c r="S710" i="2"/>
  <c r="R710" i="2"/>
  <c r="Q710" i="2"/>
  <c r="P710" i="2"/>
  <c r="O710" i="2"/>
  <c r="N710" i="2"/>
  <c r="M710" i="2"/>
  <c r="L710" i="2"/>
  <c r="K710" i="2"/>
  <c r="J710" i="2"/>
  <c r="I710" i="2"/>
  <c r="H710" i="2"/>
  <c r="G710" i="2"/>
  <c r="F710" i="2"/>
  <c r="E710" i="2"/>
  <c r="D710" i="2"/>
  <c r="C710" i="2"/>
  <c r="B710" i="2"/>
  <c r="A710" i="2"/>
  <c r="AG709" i="2"/>
  <c r="AE709" i="2"/>
  <c r="AD709" i="2"/>
  <c r="AC709" i="2"/>
  <c r="AB709" i="2"/>
  <c r="AA709" i="2"/>
  <c r="V709" i="2"/>
  <c r="U709" i="2"/>
  <c r="T709" i="2"/>
  <c r="S709" i="2"/>
  <c r="R709" i="2"/>
  <c r="Q709" i="2"/>
  <c r="P709" i="2"/>
  <c r="O709" i="2"/>
  <c r="N709" i="2"/>
  <c r="M709" i="2"/>
  <c r="L709" i="2"/>
  <c r="K709" i="2"/>
  <c r="J709" i="2"/>
  <c r="I709" i="2"/>
  <c r="H709" i="2"/>
  <c r="G709" i="2"/>
  <c r="F709" i="2"/>
  <c r="E709" i="2"/>
  <c r="D709" i="2"/>
  <c r="C709" i="2"/>
  <c r="B709" i="2"/>
  <c r="A709" i="2"/>
  <c r="AH708" i="2"/>
  <c r="AG708" i="2"/>
  <c r="AF708" i="2"/>
  <c r="AE708" i="2"/>
  <c r="AD708" i="2"/>
  <c r="AC708" i="2"/>
  <c r="AB708" i="2"/>
  <c r="AA708" i="2"/>
  <c r="Y708" i="2"/>
  <c r="X708" i="2"/>
  <c r="W708" i="2"/>
  <c r="V708" i="2"/>
  <c r="U708" i="2"/>
  <c r="T708" i="2"/>
  <c r="S708" i="2"/>
  <c r="R708" i="2"/>
  <c r="Q708" i="2"/>
  <c r="P708" i="2"/>
  <c r="O708" i="2"/>
  <c r="N708" i="2"/>
  <c r="M708" i="2"/>
  <c r="L708" i="2"/>
  <c r="K708" i="2"/>
  <c r="J708" i="2"/>
  <c r="I708" i="2"/>
  <c r="H708" i="2"/>
  <c r="G708" i="2"/>
  <c r="F708" i="2"/>
  <c r="E708" i="2"/>
  <c r="D708" i="2"/>
  <c r="C708" i="2"/>
  <c r="B708" i="2"/>
  <c r="A708" i="2"/>
  <c r="AH707" i="2"/>
  <c r="AG707" i="2"/>
  <c r="AF707" i="2"/>
  <c r="AE707" i="2"/>
  <c r="AD707" i="2"/>
  <c r="AC707" i="2"/>
  <c r="AB707" i="2"/>
  <c r="AA707" i="2"/>
  <c r="Y707" i="2"/>
  <c r="X707" i="2"/>
  <c r="W707" i="2"/>
  <c r="V707" i="2"/>
  <c r="U707" i="2"/>
  <c r="T707" i="2"/>
  <c r="S707" i="2"/>
  <c r="R707" i="2"/>
  <c r="Q707" i="2"/>
  <c r="P707" i="2"/>
  <c r="O707" i="2"/>
  <c r="N707" i="2"/>
  <c r="M707" i="2"/>
  <c r="L707" i="2"/>
  <c r="K707" i="2"/>
  <c r="J707" i="2"/>
  <c r="I707" i="2"/>
  <c r="H707" i="2"/>
  <c r="G707" i="2"/>
  <c r="F707" i="2"/>
  <c r="E707" i="2"/>
  <c r="D707" i="2"/>
  <c r="C707" i="2"/>
  <c r="B707" i="2"/>
  <c r="A707" i="2"/>
  <c r="AH706" i="2"/>
  <c r="AG706" i="2"/>
  <c r="AF706" i="2"/>
  <c r="AE706" i="2"/>
  <c r="AD706" i="2"/>
  <c r="AC706" i="2"/>
  <c r="AB706" i="2"/>
  <c r="AA706" i="2"/>
  <c r="Z706" i="2"/>
  <c r="Y706" i="2"/>
  <c r="X706" i="2"/>
  <c r="W706" i="2"/>
  <c r="V706" i="2"/>
  <c r="U706" i="2"/>
  <c r="T706" i="2"/>
  <c r="S706" i="2"/>
  <c r="R706" i="2"/>
  <c r="Q706" i="2"/>
  <c r="P706" i="2"/>
  <c r="O706" i="2"/>
  <c r="N706" i="2"/>
  <c r="M706" i="2"/>
  <c r="L706" i="2"/>
  <c r="K706" i="2"/>
  <c r="J706" i="2"/>
  <c r="I706" i="2"/>
  <c r="H706" i="2"/>
  <c r="G706" i="2"/>
  <c r="F706" i="2"/>
  <c r="E706" i="2"/>
  <c r="D706" i="2"/>
  <c r="C706" i="2"/>
  <c r="B706" i="2"/>
  <c r="A706" i="2"/>
  <c r="AG705" i="2"/>
  <c r="AD705" i="2"/>
  <c r="AC705" i="2"/>
  <c r="AB705" i="2"/>
  <c r="AA705" i="2"/>
  <c r="Y705" i="2"/>
  <c r="V705" i="2"/>
  <c r="U705" i="2"/>
  <c r="T705" i="2"/>
  <c r="S705" i="2"/>
  <c r="R705" i="2"/>
  <c r="Q705" i="2"/>
  <c r="P705" i="2"/>
  <c r="O705" i="2"/>
  <c r="N705" i="2"/>
  <c r="M705" i="2"/>
  <c r="L705" i="2"/>
  <c r="K705" i="2"/>
  <c r="J705" i="2"/>
  <c r="I705" i="2"/>
  <c r="H705" i="2"/>
  <c r="G705" i="2"/>
  <c r="F705" i="2"/>
  <c r="E705" i="2"/>
  <c r="D705" i="2"/>
  <c r="C705" i="2"/>
  <c r="B705" i="2"/>
  <c r="A705" i="2"/>
  <c r="AH704" i="2"/>
  <c r="AG704" i="2"/>
  <c r="AE704" i="2"/>
  <c r="AD704" i="2"/>
  <c r="AC704" i="2"/>
  <c r="AB704" i="2"/>
  <c r="AA704" i="2"/>
  <c r="Z704" i="2"/>
  <c r="Y704" i="2"/>
  <c r="X704" i="2"/>
  <c r="W704" i="2"/>
  <c r="V704" i="2"/>
  <c r="U704" i="2"/>
  <c r="T704" i="2"/>
  <c r="S704" i="2"/>
  <c r="R704" i="2"/>
  <c r="Q704" i="2"/>
  <c r="P704" i="2"/>
  <c r="O704" i="2"/>
  <c r="N704" i="2"/>
  <c r="M704" i="2"/>
  <c r="L704" i="2"/>
  <c r="K704" i="2"/>
  <c r="J704" i="2"/>
  <c r="I704" i="2"/>
  <c r="H704" i="2"/>
  <c r="G704" i="2"/>
  <c r="F704" i="2"/>
  <c r="E704" i="2"/>
  <c r="D704" i="2"/>
  <c r="C704" i="2"/>
  <c r="B704" i="2"/>
  <c r="A704" i="2"/>
  <c r="AH703" i="2"/>
  <c r="AG703" i="2"/>
  <c r="AF703" i="2"/>
  <c r="AE703" i="2"/>
  <c r="AD703" i="2"/>
  <c r="AC703" i="2"/>
  <c r="AB703" i="2"/>
  <c r="AA703" i="2"/>
  <c r="Y703" i="2"/>
  <c r="X703" i="2"/>
  <c r="W703" i="2"/>
  <c r="V703" i="2"/>
  <c r="U703" i="2"/>
  <c r="T703" i="2"/>
  <c r="S703" i="2"/>
  <c r="R703" i="2"/>
  <c r="Q703" i="2"/>
  <c r="P703" i="2"/>
  <c r="O703" i="2"/>
  <c r="N703" i="2"/>
  <c r="M703" i="2"/>
  <c r="L703" i="2"/>
  <c r="K703" i="2"/>
  <c r="J703" i="2"/>
  <c r="I703" i="2"/>
  <c r="H703" i="2"/>
  <c r="G703" i="2"/>
  <c r="F703" i="2"/>
  <c r="E703" i="2"/>
  <c r="D703" i="2"/>
  <c r="C703" i="2"/>
  <c r="B703" i="2"/>
  <c r="A703" i="2"/>
  <c r="AH702" i="2"/>
  <c r="AG702" i="2"/>
  <c r="AE702" i="2"/>
  <c r="AD702" i="2"/>
  <c r="AC702" i="2"/>
  <c r="AB702" i="2"/>
  <c r="AA702" i="2"/>
  <c r="Y702" i="2"/>
  <c r="X702" i="2"/>
  <c r="W702" i="2"/>
  <c r="V702" i="2"/>
  <c r="U702" i="2"/>
  <c r="T702" i="2"/>
  <c r="S702" i="2"/>
  <c r="R702" i="2"/>
  <c r="Q702" i="2"/>
  <c r="P702" i="2"/>
  <c r="O702" i="2"/>
  <c r="N702" i="2"/>
  <c r="M702" i="2"/>
  <c r="L702" i="2"/>
  <c r="K702" i="2"/>
  <c r="J702" i="2"/>
  <c r="I702" i="2"/>
  <c r="H702" i="2"/>
  <c r="G702" i="2"/>
  <c r="F702" i="2"/>
  <c r="E702" i="2"/>
  <c r="D702" i="2"/>
  <c r="C702" i="2"/>
  <c r="B702" i="2"/>
  <c r="A702" i="2"/>
  <c r="AH701" i="2"/>
  <c r="AG701" i="2"/>
  <c r="AF701" i="2"/>
  <c r="AE701" i="2"/>
  <c r="AD701" i="2"/>
  <c r="AC701" i="2"/>
  <c r="AB701" i="2"/>
  <c r="AA701" i="2"/>
  <c r="Y701" i="2"/>
  <c r="X701" i="2"/>
  <c r="W701" i="2"/>
  <c r="V701" i="2"/>
  <c r="U701" i="2"/>
  <c r="T701" i="2"/>
  <c r="S701" i="2"/>
  <c r="R701" i="2"/>
  <c r="Q701" i="2"/>
  <c r="P701" i="2"/>
  <c r="O701" i="2"/>
  <c r="N701" i="2"/>
  <c r="M701" i="2"/>
  <c r="L701" i="2"/>
  <c r="K701" i="2"/>
  <c r="J701" i="2"/>
  <c r="I701" i="2"/>
  <c r="H701" i="2"/>
  <c r="G701" i="2"/>
  <c r="F701" i="2"/>
  <c r="E701" i="2"/>
  <c r="D701" i="2"/>
  <c r="C701" i="2"/>
  <c r="B701" i="2"/>
  <c r="A701" i="2"/>
  <c r="AH700" i="2"/>
  <c r="AG700" i="2"/>
  <c r="AF700" i="2"/>
  <c r="AE700" i="2"/>
  <c r="AD700" i="2"/>
  <c r="AC700" i="2"/>
  <c r="AB700" i="2"/>
  <c r="AA700" i="2"/>
  <c r="X700" i="2"/>
  <c r="W700" i="2"/>
  <c r="V700" i="2"/>
  <c r="U700" i="2"/>
  <c r="T700" i="2"/>
  <c r="S700" i="2"/>
  <c r="R700" i="2"/>
  <c r="Q700" i="2"/>
  <c r="P700" i="2"/>
  <c r="O700" i="2"/>
  <c r="N700" i="2"/>
  <c r="M700" i="2"/>
  <c r="L700" i="2"/>
  <c r="K700" i="2"/>
  <c r="J700" i="2"/>
  <c r="I700" i="2"/>
  <c r="H700" i="2"/>
  <c r="G700" i="2"/>
  <c r="F700" i="2"/>
  <c r="E700" i="2"/>
  <c r="D700" i="2"/>
  <c r="C700" i="2"/>
  <c r="B700" i="2"/>
  <c r="A700" i="2"/>
  <c r="AH699" i="2"/>
  <c r="AG699" i="2"/>
  <c r="AF699" i="2"/>
  <c r="AE699" i="2"/>
  <c r="AD699" i="2"/>
  <c r="AC699" i="2"/>
  <c r="AB699" i="2"/>
  <c r="AA699" i="2"/>
  <c r="Y699" i="2"/>
  <c r="X699" i="2"/>
  <c r="W699" i="2"/>
  <c r="V699" i="2"/>
  <c r="U699" i="2"/>
  <c r="T699" i="2"/>
  <c r="S699" i="2"/>
  <c r="R699" i="2"/>
  <c r="Q699" i="2"/>
  <c r="P699" i="2"/>
  <c r="O699" i="2"/>
  <c r="N699" i="2"/>
  <c r="M699" i="2"/>
  <c r="L699" i="2"/>
  <c r="K699" i="2"/>
  <c r="J699" i="2"/>
  <c r="I699" i="2"/>
  <c r="H699" i="2"/>
  <c r="G699" i="2"/>
  <c r="F699" i="2"/>
  <c r="E699" i="2"/>
  <c r="D699" i="2"/>
  <c r="C699" i="2"/>
  <c r="B699" i="2"/>
  <c r="A699" i="2"/>
  <c r="AH698" i="2"/>
  <c r="AG698" i="2"/>
  <c r="AF698" i="2"/>
  <c r="AE698" i="2"/>
  <c r="AD698" i="2"/>
  <c r="AC698" i="2"/>
  <c r="AB698" i="2"/>
  <c r="AA698" i="2"/>
  <c r="Y698" i="2"/>
  <c r="X698" i="2"/>
  <c r="W698" i="2"/>
  <c r="V698" i="2"/>
  <c r="U698" i="2"/>
  <c r="T698" i="2"/>
  <c r="S698" i="2"/>
  <c r="R698" i="2"/>
  <c r="Q698" i="2"/>
  <c r="P698" i="2"/>
  <c r="O698" i="2"/>
  <c r="N698" i="2"/>
  <c r="M698" i="2"/>
  <c r="L698" i="2"/>
  <c r="K698" i="2"/>
  <c r="J698" i="2"/>
  <c r="I698" i="2"/>
  <c r="H698" i="2"/>
  <c r="G698" i="2"/>
  <c r="F698" i="2"/>
  <c r="E698" i="2"/>
  <c r="D698" i="2"/>
  <c r="C698" i="2"/>
  <c r="B698" i="2"/>
  <c r="A698" i="2"/>
  <c r="AH697" i="2"/>
  <c r="AG697" i="2"/>
  <c r="AF697" i="2"/>
  <c r="AE697" i="2"/>
  <c r="AD697" i="2"/>
  <c r="AC697" i="2"/>
  <c r="AB697" i="2"/>
  <c r="AA697" i="2"/>
  <c r="Y697" i="2"/>
  <c r="X697" i="2"/>
  <c r="W697" i="2"/>
  <c r="V697" i="2"/>
  <c r="U697" i="2"/>
  <c r="T697" i="2"/>
  <c r="S697" i="2"/>
  <c r="R697" i="2"/>
  <c r="Q697" i="2"/>
  <c r="P697" i="2"/>
  <c r="O697" i="2"/>
  <c r="N697" i="2"/>
  <c r="M697" i="2"/>
  <c r="L697" i="2"/>
  <c r="K697" i="2"/>
  <c r="J697" i="2"/>
  <c r="I697" i="2"/>
  <c r="H697" i="2"/>
  <c r="G697" i="2"/>
  <c r="F697" i="2"/>
  <c r="E697" i="2"/>
  <c r="D697" i="2"/>
  <c r="C697" i="2"/>
  <c r="B697" i="2"/>
  <c r="A697" i="2"/>
  <c r="AG696" i="2"/>
  <c r="AE696" i="2"/>
  <c r="AD696" i="2"/>
  <c r="AC696" i="2"/>
  <c r="AB696" i="2"/>
  <c r="AA696" i="2"/>
  <c r="Y696" i="2"/>
  <c r="X696" i="2"/>
  <c r="V696" i="2"/>
  <c r="U696" i="2"/>
  <c r="T696" i="2"/>
  <c r="S696" i="2"/>
  <c r="R696" i="2"/>
  <c r="Q696" i="2"/>
  <c r="P696" i="2"/>
  <c r="O696" i="2"/>
  <c r="N696" i="2"/>
  <c r="M696" i="2"/>
  <c r="L696" i="2"/>
  <c r="K696" i="2"/>
  <c r="J696" i="2"/>
  <c r="I696" i="2"/>
  <c r="H696" i="2"/>
  <c r="G696" i="2"/>
  <c r="F696" i="2"/>
  <c r="E696" i="2"/>
  <c r="D696" i="2"/>
  <c r="C696" i="2"/>
  <c r="B696" i="2"/>
  <c r="A696" i="2"/>
  <c r="AH695" i="2"/>
  <c r="AG695" i="2"/>
  <c r="AE695" i="2"/>
  <c r="AD695" i="2"/>
  <c r="AC695" i="2"/>
  <c r="AB695" i="2"/>
  <c r="AA695" i="2"/>
  <c r="Y695" i="2"/>
  <c r="X695" i="2"/>
  <c r="W695" i="2"/>
  <c r="V695" i="2"/>
  <c r="U695" i="2"/>
  <c r="T695" i="2"/>
  <c r="S695" i="2"/>
  <c r="R695" i="2"/>
  <c r="Q695" i="2"/>
  <c r="P695" i="2"/>
  <c r="O695" i="2"/>
  <c r="N695" i="2"/>
  <c r="M695" i="2"/>
  <c r="L695" i="2"/>
  <c r="K695" i="2"/>
  <c r="J695" i="2"/>
  <c r="I695" i="2"/>
  <c r="H695" i="2"/>
  <c r="G695" i="2"/>
  <c r="F695" i="2"/>
  <c r="E695" i="2"/>
  <c r="D695" i="2"/>
  <c r="C695" i="2"/>
  <c r="B695" i="2"/>
  <c r="A695" i="2"/>
  <c r="AH694" i="2"/>
  <c r="AG694" i="2"/>
  <c r="AF694" i="2"/>
  <c r="AE694" i="2"/>
  <c r="AD694" i="2"/>
  <c r="AC694" i="2"/>
  <c r="AB694" i="2"/>
  <c r="AA694" i="2"/>
  <c r="Y694" i="2"/>
  <c r="V694" i="2"/>
  <c r="U694" i="2"/>
  <c r="T694" i="2"/>
  <c r="Q694" i="2"/>
  <c r="P694" i="2"/>
  <c r="O694" i="2"/>
  <c r="N694" i="2"/>
  <c r="M694" i="2"/>
  <c r="L694" i="2"/>
  <c r="K694" i="2"/>
  <c r="J694" i="2"/>
  <c r="I694" i="2"/>
  <c r="H694" i="2"/>
  <c r="G694" i="2"/>
  <c r="F694" i="2"/>
  <c r="E694" i="2"/>
  <c r="D694" i="2"/>
  <c r="C694" i="2"/>
  <c r="B694" i="2"/>
  <c r="A694" i="2"/>
  <c r="AH693" i="2"/>
  <c r="AG693" i="2"/>
  <c r="AF693" i="2"/>
  <c r="AE693" i="2"/>
  <c r="AD693" i="2"/>
  <c r="AC693" i="2"/>
  <c r="AB693" i="2"/>
  <c r="AA693" i="2"/>
  <c r="Y693" i="2"/>
  <c r="X693" i="2"/>
  <c r="W693" i="2"/>
  <c r="V693" i="2"/>
  <c r="U693" i="2"/>
  <c r="T693" i="2"/>
  <c r="S693" i="2"/>
  <c r="R693" i="2"/>
  <c r="Q693" i="2"/>
  <c r="P693" i="2"/>
  <c r="O693" i="2"/>
  <c r="N693" i="2"/>
  <c r="M693" i="2"/>
  <c r="L693" i="2"/>
  <c r="K693" i="2"/>
  <c r="J693" i="2"/>
  <c r="I693" i="2"/>
  <c r="H693" i="2"/>
  <c r="G693" i="2"/>
  <c r="F693" i="2"/>
  <c r="E693" i="2"/>
  <c r="D693" i="2"/>
  <c r="C693" i="2"/>
  <c r="B693" i="2"/>
  <c r="A693" i="2"/>
  <c r="AH692" i="2"/>
  <c r="AG692" i="2"/>
  <c r="AF692" i="2"/>
  <c r="AE692" i="2"/>
  <c r="AD692" i="2"/>
  <c r="AC692" i="2"/>
  <c r="AB692" i="2"/>
  <c r="AA692" i="2"/>
  <c r="Y692" i="2"/>
  <c r="X692" i="2"/>
  <c r="W692" i="2"/>
  <c r="V692" i="2"/>
  <c r="U692" i="2"/>
  <c r="T692" i="2"/>
  <c r="S692" i="2"/>
  <c r="R692" i="2"/>
  <c r="Q692" i="2"/>
  <c r="P692" i="2"/>
  <c r="O692" i="2"/>
  <c r="N692" i="2"/>
  <c r="M692" i="2"/>
  <c r="L692" i="2"/>
  <c r="K692" i="2"/>
  <c r="J692" i="2"/>
  <c r="I692" i="2"/>
  <c r="H692" i="2"/>
  <c r="G692" i="2"/>
  <c r="F692" i="2"/>
  <c r="E692" i="2"/>
  <c r="D692" i="2"/>
  <c r="C692" i="2"/>
  <c r="B692" i="2"/>
  <c r="A692" i="2"/>
  <c r="AH691" i="2"/>
  <c r="AG691" i="2"/>
  <c r="AF691" i="2"/>
  <c r="AE691" i="2"/>
  <c r="AD691" i="2"/>
  <c r="AC691" i="2"/>
  <c r="AB691" i="2"/>
  <c r="AA691" i="2"/>
  <c r="Z691" i="2"/>
  <c r="Y691" i="2"/>
  <c r="X691" i="2"/>
  <c r="W691" i="2"/>
  <c r="V691" i="2"/>
  <c r="U691" i="2"/>
  <c r="T691" i="2"/>
  <c r="S691" i="2"/>
  <c r="R691" i="2"/>
  <c r="Q691" i="2"/>
  <c r="P691" i="2"/>
  <c r="O691" i="2"/>
  <c r="N691" i="2"/>
  <c r="M691" i="2"/>
  <c r="L691" i="2"/>
  <c r="K691" i="2"/>
  <c r="J691" i="2"/>
  <c r="I691" i="2"/>
  <c r="H691" i="2"/>
  <c r="G691" i="2"/>
  <c r="F691" i="2"/>
  <c r="E691" i="2"/>
  <c r="D691" i="2"/>
  <c r="C691" i="2"/>
  <c r="B691" i="2"/>
  <c r="A691" i="2"/>
  <c r="AH690" i="2"/>
  <c r="AG690" i="2"/>
  <c r="AE690" i="2"/>
  <c r="AD690" i="2"/>
  <c r="AC690" i="2"/>
  <c r="AB690" i="2"/>
  <c r="AA690" i="2"/>
  <c r="Z690" i="2"/>
  <c r="Y690" i="2"/>
  <c r="X690" i="2"/>
  <c r="W690" i="2"/>
  <c r="V690" i="2"/>
  <c r="U690" i="2"/>
  <c r="T690" i="2"/>
  <c r="S690" i="2"/>
  <c r="R690" i="2"/>
  <c r="Q690" i="2"/>
  <c r="P690" i="2"/>
  <c r="O690" i="2"/>
  <c r="N690" i="2"/>
  <c r="M690" i="2"/>
  <c r="L690" i="2"/>
  <c r="K690" i="2"/>
  <c r="J690" i="2"/>
  <c r="I690" i="2"/>
  <c r="H690" i="2"/>
  <c r="G690" i="2"/>
  <c r="F690" i="2"/>
  <c r="E690" i="2"/>
  <c r="D690" i="2"/>
  <c r="C690" i="2"/>
  <c r="B690" i="2"/>
  <c r="A690" i="2"/>
  <c r="AH689" i="2"/>
  <c r="AG689" i="2"/>
  <c r="AE689" i="2"/>
  <c r="AD689" i="2"/>
  <c r="AC689" i="2"/>
  <c r="AB689" i="2"/>
  <c r="AA689" i="2"/>
  <c r="Y689" i="2"/>
  <c r="X689" i="2"/>
  <c r="W689" i="2"/>
  <c r="V689" i="2"/>
  <c r="U689" i="2"/>
  <c r="T689" i="2"/>
  <c r="S689" i="2"/>
  <c r="R689" i="2"/>
  <c r="Q689" i="2"/>
  <c r="P689" i="2"/>
  <c r="O689" i="2"/>
  <c r="N689" i="2"/>
  <c r="M689" i="2"/>
  <c r="L689" i="2"/>
  <c r="K689" i="2"/>
  <c r="J689" i="2"/>
  <c r="I689" i="2"/>
  <c r="H689" i="2"/>
  <c r="G689" i="2"/>
  <c r="F689" i="2"/>
  <c r="E689" i="2"/>
  <c r="D689" i="2"/>
  <c r="C689" i="2"/>
  <c r="B689" i="2"/>
  <c r="A689" i="2"/>
  <c r="AH688" i="2"/>
  <c r="AG688" i="2"/>
  <c r="AF688" i="2"/>
  <c r="AE688" i="2"/>
  <c r="AD688" i="2"/>
  <c r="AC688" i="2"/>
  <c r="AB688" i="2"/>
  <c r="AA688" i="2"/>
  <c r="Y688" i="2"/>
  <c r="X688" i="2"/>
  <c r="W688" i="2"/>
  <c r="V688" i="2"/>
  <c r="U688" i="2"/>
  <c r="T688" i="2"/>
  <c r="S688" i="2"/>
  <c r="R688" i="2"/>
  <c r="Q688" i="2"/>
  <c r="P688" i="2"/>
  <c r="O688" i="2"/>
  <c r="N688" i="2"/>
  <c r="M688" i="2"/>
  <c r="L688" i="2"/>
  <c r="K688" i="2"/>
  <c r="J688" i="2"/>
  <c r="I688" i="2"/>
  <c r="H688" i="2"/>
  <c r="G688" i="2"/>
  <c r="F688" i="2"/>
  <c r="E688" i="2"/>
  <c r="D688" i="2"/>
  <c r="C688" i="2"/>
  <c r="B688" i="2"/>
  <c r="A688" i="2"/>
  <c r="AH687" i="2"/>
  <c r="AG687" i="2"/>
  <c r="AF687" i="2"/>
  <c r="AE687" i="2"/>
  <c r="AD687" i="2"/>
  <c r="AC687" i="2"/>
  <c r="AB687" i="2"/>
  <c r="AA687" i="2"/>
  <c r="Y687" i="2"/>
  <c r="X687" i="2"/>
  <c r="V687" i="2"/>
  <c r="U687" i="2"/>
  <c r="T687" i="2"/>
  <c r="S687" i="2"/>
  <c r="R687" i="2"/>
  <c r="Q687" i="2"/>
  <c r="P687" i="2"/>
  <c r="O687" i="2"/>
  <c r="N687" i="2"/>
  <c r="M687" i="2"/>
  <c r="L687" i="2"/>
  <c r="K687" i="2"/>
  <c r="J687" i="2"/>
  <c r="I687" i="2"/>
  <c r="H687" i="2"/>
  <c r="G687" i="2"/>
  <c r="F687" i="2"/>
  <c r="E687" i="2"/>
  <c r="D687" i="2"/>
  <c r="C687" i="2"/>
  <c r="B687" i="2"/>
  <c r="A687" i="2"/>
  <c r="AH686" i="2"/>
  <c r="AG686" i="2"/>
  <c r="AE686" i="2"/>
  <c r="AD686" i="2"/>
  <c r="AC686" i="2"/>
  <c r="AB686" i="2"/>
  <c r="AA686" i="2"/>
  <c r="Y686" i="2"/>
  <c r="X686" i="2"/>
  <c r="V686" i="2"/>
  <c r="U686" i="2"/>
  <c r="T686" i="2"/>
  <c r="S686" i="2"/>
  <c r="R686" i="2"/>
  <c r="Q686" i="2"/>
  <c r="P686" i="2"/>
  <c r="O686" i="2"/>
  <c r="N686" i="2"/>
  <c r="M686" i="2"/>
  <c r="L686" i="2"/>
  <c r="K686" i="2"/>
  <c r="J686" i="2"/>
  <c r="I686" i="2"/>
  <c r="H686" i="2"/>
  <c r="G686" i="2"/>
  <c r="F686" i="2"/>
  <c r="E686" i="2"/>
  <c r="D686" i="2"/>
  <c r="C686" i="2"/>
  <c r="B686" i="2"/>
  <c r="A686" i="2"/>
  <c r="AH685" i="2"/>
  <c r="AG685" i="2"/>
  <c r="AF685" i="2"/>
  <c r="AE685" i="2"/>
  <c r="AD685" i="2"/>
  <c r="AC685" i="2"/>
  <c r="AB685" i="2"/>
  <c r="AA685" i="2"/>
  <c r="Y685" i="2"/>
  <c r="X685" i="2"/>
  <c r="W685" i="2"/>
  <c r="V685" i="2"/>
  <c r="U685" i="2"/>
  <c r="T685" i="2"/>
  <c r="S685" i="2"/>
  <c r="R685" i="2"/>
  <c r="Q685" i="2"/>
  <c r="P685" i="2"/>
  <c r="O685" i="2"/>
  <c r="N685" i="2"/>
  <c r="M685" i="2"/>
  <c r="L685" i="2"/>
  <c r="K685" i="2"/>
  <c r="J685" i="2"/>
  <c r="I685" i="2"/>
  <c r="H685" i="2"/>
  <c r="G685" i="2"/>
  <c r="F685" i="2"/>
  <c r="E685" i="2"/>
  <c r="D685" i="2"/>
  <c r="C685" i="2"/>
  <c r="B685" i="2"/>
  <c r="A685" i="2"/>
  <c r="AH684" i="2"/>
  <c r="AG684" i="2"/>
  <c r="AE684" i="2"/>
  <c r="AD684" i="2"/>
  <c r="AC684" i="2"/>
  <c r="AB684" i="2"/>
  <c r="AA684" i="2"/>
  <c r="Y684" i="2"/>
  <c r="X684" i="2"/>
  <c r="W684" i="2"/>
  <c r="V684" i="2"/>
  <c r="U684" i="2"/>
  <c r="T684" i="2"/>
  <c r="S684" i="2"/>
  <c r="R684" i="2"/>
  <c r="Q684" i="2"/>
  <c r="P684" i="2"/>
  <c r="O684" i="2"/>
  <c r="N684" i="2"/>
  <c r="M684" i="2"/>
  <c r="L684" i="2"/>
  <c r="K684" i="2"/>
  <c r="J684" i="2"/>
  <c r="I684" i="2"/>
  <c r="H684" i="2"/>
  <c r="G684" i="2"/>
  <c r="F684" i="2"/>
  <c r="E684" i="2"/>
  <c r="D684" i="2"/>
  <c r="C684" i="2"/>
  <c r="B684" i="2"/>
  <c r="A684" i="2"/>
  <c r="AH683" i="2"/>
  <c r="AG683" i="2"/>
  <c r="AF683" i="2"/>
  <c r="AE683" i="2"/>
  <c r="AD683" i="2"/>
  <c r="AC683" i="2"/>
  <c r="AB683" i="2"/>
  <c r="AA683" i="2"/>
  <c r="Y683" i="2"/>
  <c r="X683" i="2"/>
  <c r="W683" i="2"/>
  <c r="V683" i="2"/>
  <c r="U683" i="2"/>
  <c r="T683" i="2"/>
  <c r="S683" i="2"/>
  <c r="R683" i="2"/>
  <c r="Q683" i="2"/>
  <c r="P683" i="2"/>
  <c r="O683" i="2"/>
  <c r="N683" i="2"/>
  <c r="M683" i="2"/>
  <c r="L683" i="2"/>
  <c r="K683" i="2"/>
  <c r="J683" i="2"/>
  <c r="I683" i="2"/>
  <c r="H683" i="2"/>
  <c r="G683" i="2"/>
  <c r="F683" i="2"/>
  <c r="E683" i="2"/>
  <c r="D683" i="2"/>
  <c r="C683" i="2"/>
  <c r="B683" i="2"/>
  <c r="A683" i="2"/>
  <c r="AG682" i="2"/>
  <c r="AF682" i="2"/>
  <c r="AE682" i="2"/>
  <c r="AD682" i="2"/>
  <c r="AC682" i="2"/>
  <c r="AB682" i="2"/>
  <c r="AA682" i="2"/>
  <c r="Y682" i="2"/>
  <c r="X682" i="2"/>
  <c r="W682" i="2"/>
  <c r="V682" i="2"/>
  <c r="U682" i="2"/>
  <c r="T682" i="2"/>
  <c r="S682" i="2"/>
  <c r="R682" i="2"/>
  <c r="Q682" i="2"/>
  <c r="P682" i="2"/>
  <c r="O682" i="2"/>
  <c r="N682" i="2"/>
  <c r="M682" i="2"/>
  <c r="L682" i="2"/>
  <c r="K682" i="2"/>
  <c r="J682" i="2"/>
  <c r="I682" i="2"/>
  <c r="H682" i="2"/>
  <c r="G682" i="2"/>
  <c r="F682" i="2"/>
  <c r="E682" i="2"/>
  <c r="D682" i="2"/>
  <c r="C682" i="2"/>
  <c r="B682" i="2"/>
  <c r="A682" i="2"/>
  <c r="AH681" i="2"/>
  <c r="AG681" i="2"/>
  <c r="AF681" i="2"/>
  <c r="AE681" i="2"/>
  <c r="AD681" i="2"/>
  <c r="AC681" i="2"/>
  <c r="AB681" i="2"/>
  <c r="AA681" i="2"/>
  <c r="Z681" i="2"/>
  <c r="Y681" i="2"/>
  <c r="X681" i="2"/>
  <c r="W681" i="2"/>
  <c r="V681" i="2"/>
  <c r="U681" i="2"/>
  <c r="T681" i="2"/>
  <c r="Q681" i="2"/>
  <c r="P681" i="2"/>
  <c r="O681" i="2"/>
  <c r="N681" i="2"/>
  <c r="M681" i="2"/>
  <c r="L681" i="2"/>
  <c r="K681" i="2"/>
  <c r="J681" i="2"/>
  <c r="I681" i="2"/>
  <c r="H681" i="2"/>
  <c r="G681" i="2"/>
  <c r="F681" i="2"/>
  <c r="E681" i="2"/>
  <c r="D681" i="2"/>
  <c r="C681" i="2"/>
  <c r="B681" i="2"/>
  <c r="A681" i="2"/>
  <c r="AG680" i="2"/>
  <c r="AE680" i="2"/>
  <c r="AD680" i="2"/>
  <c r="AC680" i="2"/>
  <c r="AB680" i="2"/>
  <c r="AA680" i="2"/>
  <c r="Y680" i="2"/>
  <c r="V680" i="2"/>
  <c r="U680" i="2"/>
  <c r="T680" i="2"/>
  <c r="R680" i="2"/>
  <c r="Q680" i="2"/>
  <c r="P680" i="2"/>
  <c r="O680" i="2"/>
  <c r="N680" i="2"/>
  <c r="M680" i="2"/>
  <c r="L680" i="2"/>
  <c r="K680" i="2"/>
  <c r="J680" i="2"/>
  <c r="I680" i="2"/>
  <c r="H680" i="2"/>
  <c r="G680" i="2"/>
  <c r="F680" i="2"/>
  <c r="E680" i="2"/>
  <c r="D680" i="2"/>
  <c r="C680" i="2"/>
  <c r="B680" i="2"/>
  <c r="A680" i="2"/>
  <c r="AH679" i="2"/>
  <c r="AG679" i="2"/>
  <c r="AF679" i="2"/>
  <c r="AE679" i="2"/>
  <c r="AD679" i="2"/>
  <c r="AC679" i="2"/>
  <c r="AB679" i="2"/>
  <c r="Z679" i="2"/>
  <c r="Y679" i="2"/>
  <c r="X679" i="2"/>
  <c r="W679" i="2"/>
  <c r="V679" i="2"/>
  <c r="U679" i="2"/>
  <c r="T679" i="2"/>
  <c r="S679" i="2"/>
  <c r="R679" i="2"/>
  <c r="Q679" i="2"/>
  <c r="P679" i="2"/>
  <c r="O679" i="2"/>
  <c r="N679" i="2"/>
  <c r="M679" i="2"/>
  <c r="L679" i="2"/>
  <c r="K679" i="2"/>
  <c r="J679" i="2"/>
  <c r="I679" i="2"/>
  <c r="H679" i="2"/>
  <c r="G679" i="2"/>
  <c r="F679" i="2"/>
  <c r="E679" i="2"/>
  <c r="D679" i="2"/>
  <c r="C679" i="2"/>
  <c r="B679" i="2"/>
  <c r="A679" i="2"/>
  <c r="AH678" i="2"/>
  <c r="AG678" i="2"/>
  <c r="AF678" i="2"/>
  <c r="AE678" i="2"/>
  <c r="AD678" i="2"/>
  <c r="AC678" i="2"/>
  <c r="AB678" i="2"/>
  <c r="AA678" i="2"/>
  <c r="Y678" i="2"/>
  <c r="W678" i="2"/>
  <c r="V678" i="2"/>
  <c r="U678" i="2"/>
  <c r="T678" i="2"/>
  <c r="R678" i="2"/>
  <c r="Q678" i="2"/>
  <c r="P678" i="2"/>
  <c r="O678" i="2"/>
  <c r="N678" i="2"/>
  <c r="M678" i="2"/>
  <c r="L678" i="2"/>
  <c r="K678" i="2"/>
  <c r="J678" i="2"/>
  <c r="I678" i="2"/>
  <c r="H678" i="2"/>
  <c r="G678" i="2"/>
  <c r="F678" i="2"/>
  <c r="E678" i="2"/>
  <c r="D678" i="2"/>
  <c r="C678" i="2"/>
  <c r="B678" i="2"/>
  <c r="A678" i="2"/>
  <c r="AH677" i="2"/>
  <c r="AG677" i="2"/>
  <c r="AE677" i="2"/>
  <c r="AD677" i="2"/>
  <c r="AC677" i="2"/>
  <c r="AB677" i="2"/>
  <c r="AA677" i="2"/>
  <c r="Z677" i="2"/>
  <c r="Y677" i="2"/>
  <c r="X677" i="2"/>
  <c r="W677" i="2"/>
  <c r="V677" i="2"/>
  <c r="U677" i="2"/>
  <c r="T677" i="2"/>
  <c r="S677" i="2"/>
  <c r="R677" i="2"/>
  <c r="Q677" i="2"/>
  <c r="P677" i="2"/>
  <c r="O677" i="2"/>
  <c r="N677" i="2"/>
  <c r="M677" i="2"/>
  <c r="L677" i="2"/>
  <c r="K677" i="2"/>
  <c r="J677" i="2"/>
  <c r="I677" i="2"/>
  <c r="H677" i="2"/>
  <c r="G677" i="2"/>
  <c r="F677" i="2"/>
  <c r="E677" i="2"/>
  <c r="D677" i="2"/>
  <c r="C677" i="2"/>
  <c r="B677" i="2"/>
  <c r="A677" i="2"/>
  <c r="AH676" i="2"/>
  <c r="AG676" i="2"/>
  <c r="AE676" i="2"/>
  <c r="AD676" i="2"/>
  <c r="AC676" i="2"/>
  <c r="AB676" i="2"/>
  <c r="AA676" i="2"/>
  <c r="Y676" i="2"/>
  <c r="X676" i="2"/>
  <c r="W676" i="2"/>
  <c r="V676" i="2"/>
  <c r="U676" i="2"/>
  <c r="T676" i="2"/>
  <c r="S676" i="2"/>
  <c r="R676" i="2"/>
  <c r="Q676" i="2"/>
  <c r="P676" i="2"/>
  <c r="O676" i="2"/>
  <c r="N676" i="2"/>
  <c r="M676" i="2"/>
  <c r="L676" i="2"/>
  <c r="K676" i="2"/>
  <c r="J676" i="2"/>
  <c r="I676" i="2"/>
  <c r="H676" i="2"/>
  <c r="G676" i="2"/>
  <c r="F676" i="2"/>
  <c r="E676" i="2"/>
  <c r="D676" i="2"/>
  <c r="C676" i="2"/>
  <c r="B676" i="2"/>
  <c r="A676" i="2"/>
  <c r="AH675" i="2"/>
  <c r="AG675" i="2"/>
  <c r="AF675" i="2"/>
  <c r="AE675" i="2"/>
  <c r="AD675" i="2"/>
  <c r="AC675" i="2"/>
  <c r="AB675" i="2"/>
  <c r="AA675" i="2"/>
  <c r="Y675" i="2"/>
  <c r="X675" i="2"/>
  <c r="W675" i="2"/>
  <c r="V675" i="2"/>
  <c r="U675" i="2"/>
  <c r="T675" i="2"/>
  <c r="S675" i="2"/>
  <c r="R675" i="2"/>
  <c r="Q675" i="2"/>
  <c r="P675" i="2"/>
  <c r="O675" i="2"/>
  <c r="N675" i="2"/>
  <c r="M675" i="2"/>
  <c r="L675" i="2"/>
  <c r="K675" i="2"/>
  <c r="J675" i="2"/>
  <c r="I675" i="2"/>
  <c r="H675" i="2"/>
  <c r="G675" i="2"/>
  <c r="F675" i="2"/>
  <c r="E675" i="2"/>
  <c r="D675" i="2"/>
  <c r="C675" i="2"/>
  <c r="B675" i="2"/>
  <c r="A675" i="2"/>
  <c r="AH674" i="2"/>
  <c r="AG674" i="2"/>
  <c r="AF674" i="2"/>
  <c r="AE674" i="2"/>
  <c r="AD674" i="2"/>
  <c r="AC674" i="2"/>
  <c r="AB674" i="2"/>
  <c r="AA674" i="2"/>
  <c r="Y674" i="2"/>
  <c r="X674" i="2"/>
  <c r="W674" i="2"/>
  <c r="V674" i="2"/>
  <c r="U674" i="2"/>
  <c r="T674" i="2"/>
  <c r="S674" i="2"/>
  <c r="R674" i="2"/>
  <c r="Q674" i="2"/>
  <c r="P674" i="2"/>
  <c r="O674" i="2"/>
  <c r="N674" i="2"/>
  <c r="M674" i="2"/>
  <c r="L674" i="2"/>
  <c r="K674" i="2"/>
  <c r="J674" i="2"/>
  <c r="I674" i="2"/>
  <c r="H674" i="2"/>
  <c r="G674" i="2"/>
  <c r="F674" i="2"/>
  <c r="E674" i="2"/>
  <c r="D674" i="2"/>
  <c r="C674" i="2"/>
  <c r="B674" i="2"/>
  <c r="A674" i="2"/>
  <c r="AH673" i="2"/>
  <c r="AG673" i="2"/>
  <c r="AF673" i="2"/>
  <c r="AE673" i="2"/>
  <c r="AD673" i="2"/>
  <c r="AC673" i="2"/>
  <c r="AB673" i="2"/>
  <c r="AA673" i="2"/>
  <c r="Y673" i="2"/>
  <c r="V673" i="2"/>
  <c r="U673" i="2"/>
  <c r="T673" i="2"/>
  <c r="S673" i="2"/>
  <c r="R673" i="2"/>
  <c r="Q673" i="2"/>
  <c r="P673" i="2"/>
  <c r="O673" i="2"/>
  <c r="N673" i="2"/>
  <c r="M673" i="2"/>
  <c r="L673" i="2"/>
  <c r="K673" i="2"/>
  <c r="J673" i="2"/>
  <c r="I673" i="2"/>
  <c r="H673" i="2"/>
  <c r="G673" i="2"/>
  <c r="F673" i="2"/>
  <c r="E673" i="2"/>
  <c r="D673" i="2"/>
  <c r="C673" i="2"/>
  <c r="B673" i="2"/>
  <c r="A673" i="2"/>
  <c r="AH672" i="2"/>
  <c r="AG672" i="2"/>
  <c r="AF672" i="2"/>
  <c r="AE672" i="2"/>
  <c r="AD672" i="2"/>
  <c r="AC672" i="2"/>
  <c r="AB672" i="2"/>
  <c r="AA672" i="2"/>
  <c r="Y672" i="2"/>
  <c r="X672" i="2"/>
  <c r="W672" i="2"/>
  <c r="V672" i="2"/>
  <c r="U672" i="2"/>
  <c r="T672" i="2"/>
  <c r="S672" i="2"/>
  <c r="R672" i="2"/>
  <c r="Q672" i="2"/>
  <c r="P672" i="2"/>
  <c r="O672" i="2"/>
  <c r="N672" i="2"/>
  <c r="M672" i="2"/>
  <c r="L672" i="2"/>
  <c r="K672" i="2"/>
  <c r="J672" i="2"/>
  <c r="I672" i="2"/>
  <c r="H672" i="2"/>
  <c r="G672" i="2"/>
  <c r="F672" i="2"/>
  <c r="E672" i="2"/>
  <c r="D672" i="2"/>
  <c r="C672" i="2"/>
  <c r="B672" i="2"/>
  <c r="A672" i="2"/>
  <c r="AH671" i="2"/>
  <c r="AG671" i="2"/>
  <c r="AF671" i="2"/>
  <c r="AE671" i="2"/>
  <c r="AD671" i="2"/>
  <c r="AC671" i="2"/>
  <c r="AB671" i="2"/>
  <c r="AA671" i="2"/>
  <c r="Z671" i="2"/>
  <c r="Y671" i="2"/>
  <c r="X671" i="2"/>
  <c r="W671" i="2"/>
  <c r="V671" i="2"/>
  <c r="U671" i="2"/>
  <c r="T671" i="2"/>
  <c r="S671" i="2"/>
  <c r="R671" i="2"/>
  <c r="Q671" i="2"/>
  <c r="P671" i="2"/>
  <c r="O671" i="2"/>
  <c r="N671" i="2"/>
  <c r="M671" i="2"/>
  <c r="L671" i="2"/>
  <c r="K671" i="2"/>
  <c r="J671" i="2"/>
  <c r="I671" i="2"/>
  <c r="H671" i="2"/>
  <c r="G671" i="2"/>
  <c r="F671" i="2"/>
  <c r="E671" i="2"/>
  <c r="D671" i="2"/>
  <c r="C671" i="2"/>
  <c r="B671" i="2"/>
  <c r="A671" i="2"/>
  <c r="AH670" i="2"/>
  <c r="AG670" i="2"/>
  <c r="AF670" i="2"/>
  <c r="AE670" i="2"/>
  <c r="AD670" i="2"/>
  <c r="AC670" i="2"/>
  <c r="AB670" i="2"/>
  <c r="AA670" i="2"/>
  <c r="Y670" i="2"/>
  <c r="X670" i="2"/>
  <c r="W670" i="2"/>
  <c r="V670" i="2"/>
  <c r="U670" i="2"/>
  <c r="T670" i="2"/>
  <c r="S670" i="2"/>
  <c r="R670" i="2"/>
  <c r="Q670" i="2"/>
  <c r="P670" i="2"/>
  <c r="O670" i="2"/>
  <c r="N670" i="2"/>
  <c r="M670" i="2"/>
  <c r="L670" i="2"/>
  <c r="K670" i="2"/>
  <c r="J670" i="2"/>
  <c r="I670" i="2"/>
  <c r="H670" i="2"/>
  <c r="G670" i="2"/>
  <c r="F670" i="2"/>
  <c r="E670" i="2"/>
  <c r="D670" i="2"/>
  <c r="C670" i="2"/>
  <c r="B670" i="2"/>
  <c r="A670" i="2"/>
  <c r="AH669" i="2"/>
  <c r="AG669" i="2"/>
  <c r="AF669" i="2"/>
  <c r="AE669" i="2"/>
  <c r="AD669" i="2"/>
  <c r="AC669" i="2"/>
  <c r="AB669" i="2"/>
  <c r="AA669" i="2"/>
  <c r="Y669" i="2"/>
  <c r="X669" i="2"/>
  <c r="V669" i="2"/>
  <c r="U669" i="2"/>
  <c r="T669" i="2"/>
  <c r="S669" i="2"/>
  <c r="R669" i="2"/>
  <c r="Q669" i="2"/>
  <c r="P669" i="2"/>
  <c r="O669" i="2"/>
  <c r="N669" i="2"/>
  <c r="M669" i="2"/>
  <c r="L669" i="2"/>
  <c r="K669" i="2"/>
  <c r="J669" i="2"/>
  <c r="I669" i="2"/>
  <c r="H669" i="2"/>
  <c r="G669" i="2"/>
  <c r="F669" i="2"/>
  <c r="E669" i="2"/>
  <c r="D669" i="2"/>
  <c r="C669" i="2"/>
  <c r="B669" i="2"/>
  <c r="A669" i="2"/>
  <c r="AH668" i="2"/>
  <c r="AG668" i="2"/>
  <c r="AF668" i="2"/>
  <c r="AE668" i="2"/>
  <c r="AD668" i="2"/>
  <c r="AC668" i="2"/>
  <c r="AB668" i="2"/>
  <c r="AA668" i="2"/>
  <c r="Y668" i="2"/>
  <c r="X668" i="2"/>
  <c r="W668" i="2"/>
  <c r="V668" i="2"/>
  <c r="U668" i="2"/>
  <c r="T668" i="2"/>
  <c r="S668" i="2"/>
  <c r="R668" i="2"/>
  <c r="Q668" i="2"/>
  <c r="P668" i="2"/>
  <c r="O668" i="2"/>
  <c r="N668" i="2"/>
  <c r="M668" i="2"/>
  <c r="L668" i="2"/>
  <c r="K668" i="2"/>
  <c r="J668" i="2"/>
  <c r="I668" i="2"/>
  <c r="H668" i="2"/>
  <c r="G668" i="2"/>
  <c r="F668" i="2"/>
  <c r="E668" i="2"/>
  <c r="D668" i="2"/>
  <c r="C668" i="2"/>
  <c r="B668" i="2"/>
  <c r="A668" i="2"/>
  <c r="AH667" i="2"/>
  <c r="AG667" i="2"/>
  <c r="AE667" i="2"/>
  <c r="AD667" i="2"/>
  <c r="AC667" i="2"/>
  <c r="AB667" i="2"/>
  <c r="AA667" i="2"/>
  <c r="Z667" i="2"/>
  <c r="Y667" i="2"/>
  <c r="X667" i="2"/>
  <c r="W667" i="2"/>
  <c r="V667" i="2"/>
  <c r="U667" i="2"/>
  <c r="T667" i="2"/>
  <c r="S667" i="2"/>
  <c r="R667" i="2"/>
  <c r="Q667" i="2"/>
  <c r="P667" i="2"/>
  <c r="O667" i="2"/>
  <c r="N667" i="2"/>
  <c r="M667" i="2"/>
  <c r="L667" i="2"/>
  <c r="K667" i="2"/>
  <c r="J667" i="2"/>
  <c r="I667" i="2"/>
  <c r="H667" i="2"/>
  <c r="G667" i="2"/>
  <c r="F667" i="2"/>
  <c r="E667" i="2"/>
  <c r="D667" i="2"/>
  <c r="C667" i="2"/>
  <c r="B667" i="2"/>
  <c r="A667" i="2"/>
  <c r="AH666" i="2"/>
  <c r="AG666" i="2"/>
  <c r="AF666" i="2"/>
  <c r="AE666" i="2"/>
  <c r="AD666" i="2"/>
  <c r="AC666" i="2"/>
  <c r="AB666" i="2"/>
  <c r="AA666" i="2"/>
  <c r="Y666" i="2"/>
  <c r="X666" i="2"/>
  <c r="W666" i="2"/>
  <c r="V666" i="2"/>
  <c r="U666" i="2"/>
  <c r="T666" i="2"/>
  <c r="S666" i="2"/>
  <c r="R666" i="2"/>
  <c r="Q666" i="2"/>
  <c r="P666" i="2"/>
  <c r="O666" i="2"/>
  <c r="N666" i="2"/>
  <c r="M666" i="2"/>
  <c r="L666" i="2"/>
  <c r="K666" i="2"/>
  <c r="J666" i="2"/>
  <c r="I666" i="2"/>
  <c r="H666" i="2"/>
  <c r="G666" i="2"/>
  <c r="F666" i="2"/>
  <c r="E666" i="2"/>
  <c r="D666" i="2"/>
  <c r="C666" i="2"/>
  <c r="B666" i="2"/>
  <c r="A666" i="2"/>
  <c r="AH665" i="2"/>
  <c r="AG665" i="2"/>
  <c r="AF665" i="2"/>
  <c r="AE665" i="2"/>
  <c r="AD665" i="2"/>
  <c r="AC665" i="2"/>
  <c r="AB665" i="2"/>
  <c r="AA665" i="2"/>
  <c r="Y665" i="2"/>
  <c r="X665" i="2"/>
  <c r="W665" i="2"/>
  <c r="V665" i="2"/>
  <c r="U665" i="2"/>
  <c r="T665" i="2"/>
  <c r="S665" i="2"/>
  <c r="R665" i="2"/>
  <c r="Q665" i="2"/>
  <c r="P665" i="2"/>
  <c r="O665" i="2"/>
  <c r="N665" i="2"/>
  <c r="M665" i="2"/>
  <c r="L665" i="2"/>
  <c r="K665" i="2"/>
  <c r="J665" i="2"/>
  <c r="I665" i="2"/>
  <c r="H665" i="2"/>
  <c r="G665" i="2"/>
  <c r="F665" i="2"/>
  <c r="E665" i="2"/>
  <c r="D665" i="2"/>
  <c r="C665" i="2"/>
  <c r="B665" i="2"/>
  <c r="A665" i="2"/>
  <c r="AH664" i="2"/>
  <c r="AG664" i="2"/>
  <c r="AE664" i="2"/>
  <c r="AD664" i="2"/>
  <c r="AC664" i="2"/>
  <c r="AB664" i="2"/>
  <c r="AA664" i="2"/>
  <c r="Y664" i="2"/>
  <c r="X664" i="2"/>
  <c r="V664" i="2"/>
  <c r="U664" i="2"/>
  <c r="T664" i="2"/>
  <c r="S664" i="2"/>
  <c r="R664" i="2"/>
  <c r="Q664" i="2"/>
  <c r="P664" i="2"/>
  <c r="O664" i="2"/>
  <c r="N664" i="2"/>
  <c r="M664" i="2"/>
  <c r="L664" i="2"/>
  <c r="K664" i="2"/>
  <c r="J664" i="2"/>
  <c r="I664" i="2"/>
  <c r="H664" i="2"/>
  <c r="G664" i="2"/>
  <c r="F664" i="2"/>
  <c r="E664" i="2"/>
  <c r="D664" i="2"/>
  <c r="C664" i="2"/>
  <c r="B664" i="2"/>
  <c r="A664" i="2"/>
  <c r="AH663" i="2"/>
  <c r="AG663" i="2"/>
  <c r="AF663" i="2"/>
  <c r="AE663" i="2"/>
  <c r="AD663" i="2"/>
  <c r="AC663" i="2"/>
  <c r="AB663" i="2"/>
  <c r="AA663" i="2"/>
  <c r="Y663" i="2"/>
  <c r="X663" i="2"/>
  <c r="W663" i="2"/>
  <c r="V663" i="2"/>
  <c r="U663" i="2"/>
  <c r="T663" i="2"/>
  <c r="S663" i="2"/>
  <c r="R663" i="2"/>
  <c r="Q663" i="2"/>
  <c r="P663" i="2"/>
  <c r="O663" i="2"/>
  <c r="N663" i="2"/>
  <c r="M663" i="2"/>
  <c r="L663" i="2"/>
  <c r="K663" i="2"/>
  <c r="J663" i="2"/>
  <c r="I663" i="2"/>
  <c r="H663" i="2"/>
  <c r="G663" i="2"/>
  <c r="F663" i="2"/>
  <c r="E663" i="2"/>
  <c r="D663" i="2"/>
  <c r="C663" i="2"/>
  <c r="B663" i="2"/>
  <c r="A663" i="2"/>
  <c r="AH662" i="2"/>
  <c r="AG662" i="2"/>
  <c r="AE662" i="2"/>
  <c r="AD662" i="2"/>
  <c r="AC662" i="2"/>
  <c r="AB662" i="2"/>
  <c r="AA662" i="2"/>
  <c r="Y662" i="2"/>
  <c r="X662" i="2"/>
  <c r="W662" i="2"/>
  <c r="V662" i="2"/>
  <c r="U662" i="2"/>
  <c r="T662" i="2"/>
  <c r="R662" i="2"/>
  <c r="Q662" i="2"/>
  <c r="P662" i="2"/>
  <c r="O662" i="2"/>
  <c r="N662" i="2"/>
  <c r="M662" i="2"/>
  <c r="L662" i="2"/>
  <c r="K662" i="2"/>
  <c r="J662" i="2"/>
  <c r="I662" i="2"/>
  <c r="H662" i="2"/>
  <c r="G662" i="2"/>
  <c r="F662" i="2"/>
  <c r="E662" i="2"/>
  <c r="D662" i="2"/>
  <c r="C662" i="2"/>
  <c r="B662" i="2"/>
  <c r="A662" i="2"/>
  <c r="AH661" i="2"/>
  <c r="AG661" i="2"/>
  <c r="AF661" i="2"/>
  <c r="AE661" i="2"/>
  <c r="AD661" i="2"/>
  <c r="AC661" i="2"/>
  <c r="AB661" i="2"/>
  <c r="AA661" i="2"/>
  <c r="Z661" i="2"/>
  <c r="Y661" i="2"/>
  <c r="X661" i="2"/>
  <c r="W661" i="2"/>
  <c r="V661" i="2"/>
  <c r="U661" i="2"/>
  <c r="T661" i="2"/>
  <c r="S661" i="2"/>
  <c r="R661" i="2"/>
  <c r="Q661" i="2"/>
  <c r="P661" i="2"/>
  <c r="O661" i="2"/>
  <c r="N661" i="2"/>
  <c r="M661" i="2"/>
  <c r="L661" i="2"/>
  <c r="K661" i="2"/>
  <c r="J661" i="2"/>
  <c r="I661" i="2"/>
  <c r="H661" i="2"/>
  <c r="G661" i="2"/>
  <c r="F661" i="2"/>
  <c r="E661" i="2"/>
  <c r="D661" i="2"/>
  <c r="C661" i="2"/>
  <c r="B661" i="2"/>
  <c r="A661" i="2"/>
  <c r="AH660" i="2"/>
  <c r="AG660" i="2"/>
  <c r="AF660" i="2"/>
  <c r="AE660" i="2"/>
  <c r="AD660" i="2"/>
  <c r="AC660" i="2"/>
  <c r="AB660" i="2"/>
  <c r="AA660" i="2"/>
  <c r="Y660" i="2"/>
  <c r="X660" i="2"/>
  <c r="W660" i="2"/>
  <c r="V660" i="2"/>
  <c r="U660" i="2"/>
  <c r="T660" i="2"/>
  <c r="S660" i="2"/>
  <c r="R660" i="2"/>
  <c r="Q660" i="2"/>
  <c r="P660" i="2"/>
  <c r="O660" i="2"/>
  <c r="N660" i="2"/>
  <c r="M660" i="2"/>
  <c r="L660" i="2"/>
  <c r="K660" i="2"/>
  <c r="J660" i="2"/>
  <c r="I660" i="2"/>
  <c r="H660" i="2"/>
  <c r="G660" i="2"/>
  <c r="F660" i="2"/>
  <c r="E660" i="2"/>
  <c r="D660" i="2"/>
  <c r="C660" i="2"/>
  <c r="B660" i="2"/>
  <c r="A660" i="2"/>
  <c r="AH659" i="2"/>
  <c r="AG659" i="2"/>
  <c r="AF659" i="2"/>
  <c r="AE659" i="2"/>
  <c r="AD659" i="2"/>
  <c r="AC659" i="2"/>
  <c r="AB659" i="2"/>
  <c r="AA659" i="2"/>
  <c r="Y659" i="2"/>
  <c r="X659" i="2"/>
  <c r="W659" i="2"/>
  <c r="V659" i="2"/>
  <c r="U659" i="2"/>
  <c r="T659" i="2"/>
  <c r="S659" i="2"/>
  <c r="R659" i="2"/>
  <c r="Q659" i="2"/>
  <c r="P659" i="2"/>
  <c r="O659" i="2"/>
  <c r="N659" i="2"/>
  <c r="M659" i="2"/>
  <c r="L659" i="2"/>
  <c r="K659" i="2"/>
  <c r="J659" i="2"/>
  <c r="I659" i="2"/>
  <c r="H659" i="2"/>
  <c r="G659" i="2"/>
  <c r="F659" i="2"/>
  <c r="E659" i="2"/>
  <c r="D659" i="2"/>
  <c r="C659" i="2"/>
  <c r="B659" i="2"/>
  <c r="A659" i="2"/>
  <c r="AH658" i="2"/>
  <c r="AG658" i="2"/>
  <c r="AF658" i="2"/>
  <c r="AE658" i="2"/>
  <c r="AD658" i="2"/>
  <c r="AC658" i="2"/>
  <c r="AB658" i="2"/>
  <c r="AA658" i="2"/>
  <c r="Y658" i="2"/>
  <c r="W658" i="2"/>
  <c r="V658" i="2"/>
  <c r="U658" i="2"/>
  <c r="T658" i="2"/>
  <c r="S658" i="2"/>
  <c r="R658" i="2"/>
  <c r="Q658" i="2"/>
  <c r="P658" i="2"/>
  <c r="O658" i="2"/>
  <c r="N658" i="2"/>
  <c r="M658" i="2"/>
  <c r="L658" i="2"/>
  <c r="K658" i="2"/>
  <c r="J658" i="2"/>
  <c r="I658" i="2"/>
  <c r="H658" i="2"/>
  <c r="G658" i="2"/>
  <c r="F658" i="2"/>
  <c r="E658" i="2"/>
  <c r="D658" i="2"/>
  <c r="C658" i="2"/>
  <c r="B658" i="2"/>
  <c r="A658" i="2"/>
  <c r="AH657" i="2"/>
  <c r="AG657" i="2"/>
  <c r="AC657" i="2"/>
  <c r="W657" i="2"/>
  <c r="V657" i="2"/>
  <c r="U657" i="2"/>
  <c r="T657" i="2"/>
  <c r="S657" i="2"/>
  <c r="R657" i="2"/>
  <c r="Q657" i="2"/>
  <c r="P657" i="2"/>
  <c r="O657" i="2"/>
  <c r="N657" i="2"/>
  <c r="M657" i="2"/>
  <c r="L657" i="2"/>
  <c r="K657" i="2"/>
  <c r="J657" i="2"/>
  <c r="I657" i="2"/>
  <c r="H657" i="2"/>
  <c r="G657" i="2"/>
  <c r="F657" i="2"/>
  <c r="E657" i="2"/>
  <c r="D657" i="2"/>
  <c r="C657" i="2"/>
  <c r="B657" i="2"/>
  <c r="A657" i="2"/>
  <c r="AH656" i="2"/>
  <c r="AG656" i="2"/>
  <c r="AF656" i="2"/>
  <c r="AE656" i="2"/>
  <c r="AD656" i="2"/>
  <c r="AC656" i="2"/>
  <c r="AB656" i="2"/>
  <c r="AA656" i="2"/>
  <c r="Y656" i="2"/>
  <c r="X656" i="2"/>
  <c r="V656" i="2"/>
  <c r="U656" i="2"/>
  <c r="T656" i="2"/>
  <c r="S656" i="2"/>
  <c r="R656" i="2"/>
  <c r="Q656" i="2"/>
  <c r="P656" i="2"/>
  <c r="O656" i="2"/>
  <c r="N656" i="2"/>
  <c r="M656" i="2"/>
  <c r="L656" i="2"/>
  <c r="K656" i="2"/>
  <c r="J656" i="2"/>
  <c r="I656" i="2"/>
  <c r="H656" i="2"/>
  <c r="G656" i="2"/>
  <c r="F656" i="2"/>
  <c r="E656" i="2"/>
  <c r="D656" i="2"/>
  <c r="C656" i="2"/>
  <c r="B656" i="2"/>
  <c r="A656" i="2"/>
  <c r="AH655" i="2"/>
  <c r="AG655" i="2"/>
  <c r="AF655" i="2"/>
  <c r="AE655" i="2"/>
  <c r="AD655" i="2"/>
  <c r="AC655" i="2"/>
  <c r="AB655" i="2"/>
  <c r="AA655" i="2"/>
  <c r="Y655" i="2"/>
  <c r="X655" i="2"/>
  <c r="W655" i="2"/>
  <c r="V655" i="2"/>
  <c r="U655" i="2"/>
  <c r="T655" i="2"/>
  <c r="S655" i="2"/>
  <c r="R655" i="2"/>
  <c r="Q655" i="2"/>
  <c r="P655" i="2"/>
  <c r="O655" i="2"/>
  <c r="N655" i="2"/>
  <c r="M655" i="2"/>
  <c r="L655" i="2"/>
  <c r="K655" i="2"/>
  <c r="J655" i="2"/>
  <c r="I655" i="2"/>
  <c r="H655" i="2"/>
  <c r="G655" i="2"/>
  <c r="F655" i="2"/>
  <c r="E655" i="2"/>
  <c r="D655" i="2"/>
  <c r="C655" i="2"/>
  <c r="B655" i="2"/>
  <c r="A655" i="2"/>
  <c r="AH654" i="2"/>
  <c r="AG654" i="2"/>
  <c r="AF654" i="2"/>
  <c r="AE654" i="2"/>
  <c r="AD654" i="2"/>
  <c r="AC654" i="2"/>
  <c r="AB654" i="2"/>
  <c r="AA654" i="2"/>
  <c r="Y654" i="2"/>
  <c r="X654" i="2"/>
  <c r="W654" i="2"/>
  <c r="V654" i="2"/>
  <c r="U654" i="2"/>
  <c r="T654" i="2"/>
  <c r="S654" i="2"/>
  <c r="R654" i="2"/>
  <c r="Q654" i="2"/>
  <c r="P654" i="2"/>
  <c r="O654" i="2"/>
  <c r="N654" i="2"/>
  <c r="M654" i="2"/>
  <c r="L654" i="2"/>
  <c r="K654" i="2"/>
  <c r="J654" i="2"/>
  <c r="I654" i="2"/>
  <c r="H654" i="2"/>
  <c r="G654" i="2"/>
  <c r="F654" i="2"/>
  <c r="E654" i="2"/>
  <c r="D654" i="2"/>
  <c r="C654" i="2"/>
  <c r="B654" i="2"/>
  <c r="A654" i="2"/>
  <c r="AH653" i="2"/>
  <c r="AG653" i="2"/>
  <c r="AF653" i="2"/>
  <c r="AE653" i="2"/>
  <c r="AD653" i="2"/>
  <c r="AC653" i="2"/>
  <c r="AB653" i="2"/>
  <c r="AA653" i="2"/>
  <c r="Y653" i="2"/>
  <c r="X653" i="2"/>
  <c r="W653" i="2"/>
  <c r="V653" i="2"/>
  <c r="U653" i="2"/>
  <c r="T653" i="2"/>
  <c r="S653" i="2"/>
  <c r="R653" i="2"/>
  <c r="Q653" i="2"/>
  <c r="P653" i="2"/>
  <c r="O653" i="2"/>
  <c r="N653" i="2"/>
  <c r="M653" i="2"/>
  <c r="L653" i="2"/>
  <c r="K653" i="2"/>
  <c r="J653" i="2"/>
  <c r="I653" i="2"/>
  <c r="H653" i="2"/>
  <c r="G653" i="2"/>
  <c r="F653" i="2"/>
  <c r="E653" i="2"/>
  <c r="D653" i="2"/>
  <c r="C653" i="2"/>
  <c r="B653" i="2"/>
  <c r="A653" i="2"/>
  <c r="AH652" i="2"/>
  <c r="AG652" i="2"/>
  <c r="AF652" i="2"/>
  <c r="AE652" i="2"/>
  <c r="AC652" i="2"/>
  <c r="AB652" i="2"/>
  <c r="AA652" i="2"/>
  <c r="Y652" i="2"/>
  <c r="X652" i="2"/>
  <c r="W652" i="2"/>
  <c r="V652" i="2"/>
  <c r="U652" i="2"/>
  <c r="T652" i="2"/>
  <c r="S652" i="2"/>
  <c r="R652" i="2"/>
  <c r="Q652" i="2"/>
  <c r="P652" i="2"/>
  <c r="O652" i="2"/>
  <c r="N652" i="2"/>
  <c r="M652" i="2"/>
  <c r="L652" i="2"/>
  <c r="K652" i="2"/>
  <c r="J652" i="2"/>
  <c r="I652" i="2"/>
  <c r="H652" i="2"/>
  <c r="G652" i="2"/>
  <c r="F652" i="2"/>
  <c r="E652" i="2"/>
  <c r="D652" i="2"/>
  <c r="C652" i="2"/>
  <c r="B652" i="2"/>
  <c r="A652" i="2"/>
  <c r="AH651" i="2"/>
  <c r="AG651" i="2"/>
  <c r="AE651" i="2"/>
  <c r="AD651" i="2"/>
  <c r="AC651" i="2"/>
  <c r="AB651" i="2"/>
  <c r="AA651" i="2"/>
  <c r="Y651" i="2"/>
  <c r="X651" i="2"/>
  <c r="W651" i="2"/>
  <c r="V651" i="2"/>
  <c r="U651" i="2"/>
  <c r="T651" i="2"/>
  <c r="S651" i="2"/>
  <c r="R651" i="2"/>
  <c r="Q651" i="2"/>
  <c r="P651" i="2"/>
  <c r="O651" i="2"/>
  <c r="N651" i="2"/>
  <c r="M651" i="2"/>
  <c r="L651" i="2"/>
  <c r="K651" i="2"/>
  <c r="J651" i="2"/>
  <c r="I651" i="2"/>
  <c r="H651" i="2"/>
  <c r="G651" i="2"/>
  <c r="F651" i="2"/>
  <c r="E651" i="2"/>
  <c r="D651" i="2"/>
  <c r="C651" i="2"/>
  <c r="B651" i="2"/>
  <c r="A651" i="2"/>
  <c r="AH650" i="2"/>
  <c r="AG650" i="2"/>
  <c r="AE650" i="2"/>
  <c r="AC650" i="2"/>
  <c r="AB650" i="2"/>
  <c r="AA650" i="2"/>
  <c r="Y650" i="2"/>
  <c r="X650" i="2"/>
  <c r="V650" i="2"/>
  <c r="U650" i="2"/>
  <c r="T650" i="2"/>
  <c r="S650" i="2"/>
  <c r="R650" i="2"/>
  <c r="Q650" i="2"/>
  <c r="P650" i="2"/>
  <c r="O650" i="2"/>
  <c r="N650" i="2"/>
  <c r="M650" i="2"/>
  <c r="L650" i="2"/>
  <c r="K650" i="2"/>
  <c r="J650" i="2"/>
  <c r="I650" i="2"/>
  <c r="H650" i="2"/>
  <c r="G650" i="2"/>
  <c r="F650" i="2"/>
  <c r="E650" i="2"/>
  <c r="D650" i="2"/>
  <c r="C650" i="2"/>
  <c r="B650" i="2"/>
  <c r="A650" i="2"/>
  <c r="AH649" i="2"/>
  <c r="AG649" i="2"/>
  <c r="AE649" i="2"/>
  <c r="AD649" i="2"/>
  <c r="AC649" i="2"/>
  <c r="AB649" i="2"/>
  <c r="AA649" i="2"/>
  <c r="Y649" i="2"/>
  <c r="X649" i="2"/>
  <c r="V649" i="2"/>
  <c r="U649" i="2"/>
  <c r="T649" i="2"/>
  <c r="S649" i="2"/>
  <c r="R649" i="2"/>
  <c r="Q649" i="2"/>
  <c r="P649" i="2"/>
  <c r="O649" i="2"/>
  <c r="N649" i="2"/>
  <c r="M649" i="2"/>
  <c r="L649" i="2"/>
  <c r="K649" i="2"/>
  <c r="J649" i="2"/>
  <c r="I649" i="2"/>
  <c r="H649" i="2"/>
  <c r="G649" i="2"/>
  <c r="F649" i="2"/>
  <c r="E649" i="2"/>
  <c r="D649" i="2"/>
  <c r="C649" i="2"/>
  <c r="B649" i="2"/>
  <c r="A649" i="2"/>
  <c r="AH648" i="2"/>
  <c r="AG648" i="2"/>
  <c r="AF648" i="2"/>
  <c r="AE648" i="2"/>
  <c r="AD648" i="2"/>
  <c r="AC648" i="2"/>
  <c r="AB648" i="2"/>
  <c r="AA648" i="2"/>
  <c r="Z648" i="2"/>
  <c r="Y648" i="2"/>
  <c r="X648" i="2"/>
  <c r="W648" i="2"/>
  <c r="V648" i="2"/>
  <c r="U648" i="2"/>
  <c r="T648" i="2"/>
  <c r="S648" i="2"/>
  <c r="R648" i="2"/>
  <c r="Q648" i="2"/>
  <c r="P648" i="2"/>
  <c r="O648" i="2"/>
  <c r="N648" i="2"/>
  <c r="M648" i="2"/>
  <c r="L648" i="2"/>
  <c r="K648" i="2"/>
  <c r="J648" i="2"/>
  <c r="I648" i="2"/>
  <c r="H648" i="2"/>
  <c r="G648" i="2"/>
  <c r="F648" i="2"/>
  <c r="E648" i="2"/>
  <c r="D648" i="2"/>
  <c r="C648" i="2"/>
  <c r="B648" i="2"/>
  <c r="A648" i="2"/>
  <c r="AH647" i="2"/>
  <c r="AG647" i="2"/>
  <c r="AF647" i="2"/>
  <c r="AE647" i="2"/>
  <c r="AC647" i="2"/>
  <c r="AB647" i="2"/>
  <c r="AA647" i="2"/>
  <c r="Z647" i="2"/>
  <c r="Y647" i="2"/>
  <c r="X647" i="2"/>
  <c r="V647" i="2"/>
  <c r="U647" i="2"/>
  <c r="T647" i="2"/>
  <c r="S647" i="2"/>
  <c r="R647" i="2"/>
  <c r="Q647" i="2"/>
  <c r="P647" i="2"/>
  <c r="O647" i="2"/>
  <c r="N647" i="2"/>
  <c r="M647" i="2"/>
  <c r="L647" i="2"/>
  <c r="K647" i="2"/>
  <c r="J647" i="2"/>
  <c r="I647" i="2"/>
  <c r="H647" i="2"/>
  <c r="G647" i="2"/>
  <c r="F647" i="2"/>
  <c r="E647" i="2"/>
  <c r="D647" i="2"/>
  <c r="C647" i="2"/>
  <c r="B647" i="2"/>
  <c r="A647" i="2"/>
  <c r="AH646" i="2"/>
  <c r="AG646" i="2"/>
  <c r="AE646" i="2"/>
  <c r="AD646" i="2"/>
  <c r="AC646" i="2"/>
  <c r="AB646" i="2"/>
  <c r="AA646" i="2"/>
  <c r="Y646" i="2"/>
  <c r="X646" i="2"/>
  <c r="V646" i="2"/>
  <c r="U646" i="2"/>
  <c r="T646" i="2"/>
  <c r="S646" i="2"/>
  <c r="R646" i="2"/>
  <c r="Q646" i="2"/>
  <c r="P646" i="2"/>
  <c r="O646" i="2"/>
  <c r="N646" i="2"/>
  <c r="M646" i="2"/>
  <c r="L646" i="2"/>
  <c r="K646" i="2"/>
  <c r="J646" i="2"/>
  <c r="I646" i="2"/>
  <c r="H646" i="2"/>
  <c r="G646" i="2"/>
  <c r="F646" i="2"/>
  <c r="E646" i="2"/>
  <c r="D646" i="2"/>
  <c r="C646" i="2"/>
  <c r="B646" i="2"/>
  <c r="A646" i="2"/>
  <c r="AH645" i="2"/>
  <c r="AG645" i="2"/>
  <c r="AE645" i="2"/>
  <c r="AD645" i="2"/>
  <c r="AC645" i="2"/>
  <c r="AB645" i="2"/>
  <c r="AA645" i="2"/>
  <c r="Y645" i="2"/>
  <c r="V645" i="2"/>
  <c r="U645" i="2"/>
  <c r="T645" i="2"/>
  <c r="S645" i="2"/>
  <c r="R645" i="2"/>
  <c r="Q645" i="2"/>
  <c r="P645" i="2"/>
  <c r="O645" i="2"/>
  <c r="N645" i="2"/>
  <c r="M645" i="2"/>
  <c r="L645" i="2"/>
  <c r="K645" i="2"/>
  <c r="J645" i="2"/>
  <c r="I645" i="2"/>
  <c r="H645" i="2"/>
  <c r="G645" i="2"/>
  <c r="F645" i="2"/>
  <c r="E645" i="2"/>
  <c r="D645" i="2"/>
  <c r="C645" i="2"/>
  <c r="B645" i="2"/>
  <c r="A645" i="2"/>
  <c r="AH644" i="2"/>
  <c r="AG644" i="2"/>
  <c r="AF644" i="2"/>
  <c r="AE644" i="2"/>
  <c r="AC644" i="2"/>
  <c r="AB644" i="2"/>
  <c r="AA644" i="2"/>
  <c r="Y644" i="2"/>
  <c r="X644" i="2"/>
  <c r="V644" i="2"/>
  <c r="U644" i="2"/>
  <c r="T644" i="2"/>
  <c r="S644" i="2"/>
  <c r="R644" i="2"/>
  <c r="Q644" i="2"/>
  <c r="P644" i="2"/>
  <c r="O644" i="2"/>
  <c r="N644" i="2"/>
  <c r="M644" i="2"/>
  <c r="L644" i="2"/>
  <c r="K644" i="2"/>
  <c r="J644" i="2"/>
  <c r="I644" i="2"/>
  <c r="H644" i="2"/>
  <c r="G644" i="2"/>
  <c r="F644" i="2"/>
  <c r="E644" i="2"/>
  <c r="D644" i="2"/>
  <c r="C644" i="2"/>
  <c r="B644" i="2"/>
  <c r="A644" i="2"/>
  <c r="AH643" i="2"/>
  <c r="AG643" i="2"/>
  <c r="AF643" i="2"/>
  <c r="AE643" i="2"/>
  <c r="AD643" i="2"/>
  <c r="AC643" i="2"/>
  <c r="AB643" i="2"/>
  <c r="AA643" i="2"/>
  <c r="Z643" i="2"/>
  <c r="Y643" i="2"/>
  <c r="X643" i="2"/>
  <c r="W643" i="2"/>
  <c r="V643" i="2"/>
  <c r="U643" i="2"/>
  <c r="T643" i="2"/>
  <c r="S643" i="2"/>
  <c r="R643" i="2"/>
  <c r="Q643" i="2"/>
  <c r="P643" i="2"/>
  <c r="O643" i="2"/>
  <c r="N643" i="2"/>
  <c r="M643" i="2"/>
  <c r="L643" i="2"/>
  <c r="K643" i="2"/>
  <c r="J643" i="2"/>
  <c r="I643" i="2"/>
  <c r="H643" i="2"/>
  <c r="G643" i="2"/>
  <c r="F643" i="2"/>
  <c r="E643" i="2"/>
  <c r="D643" i="2"/>
  <c r="C643" i="2"/>
  <c r="B643" i="2"/>
  <c r="A643" i="2"/>
  <c r="AH642" i="2"/>
  <c r="AG642" i="2"/>
  <c r="AF642" i="2"/>
  <c r="AE642" i="2"/>
  <c r="AD642" i="2"/>
  <c r="AC642" i="2"/>
  <c r="AB642" i="2"/>
  <c r="AA642" i="2"/>
  <c r="Y642" i="2"/>
  <c r="X642" i="2"/>
  <c r="W642" i="2"/>
  <c r="V642" i="2"/>
  <c r="U642" i="2"/>
  <c r="T642" i="2"/>
  <c r="S642" i="2"/>
  <c r="R642" i="2"/>
  <c r="Q642" i="2"/>
  <c r="P642" i="2"/>
  <c r="O642" i="2"/>
  <c r="N642" i="2"/>
  <c r="M642" i="2"/>
  <c r="L642" i="2"/>
  <c r="K642" i="2"/>
  <c r="J642" i="2"/>
  <c r="I642" i="2"/>
  <c r="H642" i="2"/>
  <c r="G642" i="2"/>
  <c r="F642" i="2"/>
  <c r="E642" i="2"/>
  <c r="D642" i="2"/>
  <c r="C642" i="2"/>
  <c r="B642" i="2"/>
  <c r="A642" i="2"/>
  <c r="AH641" i="2"/>
  <c r="AG641" i="2"/>
  <c r="AD641" i="2"/>
  <c r="AC641" i="2"/>
  <c r="AB641" i="2"/>
  <c r="AA641" i="2"/>
  <c r="Y641" i="2"/>
  <c r="V641" i="2"/>
  <c r="U641" i="2"/>
  <c r="T641" i="2"/>
  <c r="S641" i="2"/>
  <c r="R641" i="2"/>
  <c r="Q641" i="2"/>
  <c r="P641" i="2"/>
  <c r="O641" i="2"/>
  <c r="N641" i="2"/>
  <c r="M641" i="2"/>
  <c r="L641" i="2"/>
  <c r="K641" i="2"/>
  <c r="J641" i="2"/>
  <c r="I641" i="2"/>
  <c r="H641" i="2"/>
  <c r="G641" i="2"/>
  <c r="F641" i="2"/>
  <c r="E641" i="2"/>
  <c r="D641" i="2"/>
  <c r="C641" i="2"/>
  <c r="B641" i="2"/>
  <c r="A641" i="2"/>
  <c r="AG640" i="2"/>
  <c r="W640" i="2"/>
  <c r="V640" i="2"/>
  <c r="U640" i="2"/>
  <c r="T640" i="2"/>
  <c r="S640" i="2"/>
  <c r="R640" i="2"/>
  <c r="Q640" i="2"/>
  <c r="P640" i="2"/>
  <c r="O640" i="2"/>
  <c r="N640" i="2"/>
  <c r="M640" i="2"/>
  <c r="L640" i="2"/>
  <c r="K640" i="2"/>
  <c r="J640" i="2"/>
  <c r="I640" i="2"/>
  <c r="H640" i="2"/>
  <c r="G640" i="2"/>
  <c r="F640" i="2"/>
  <c r="E640" i="2"/>
  <c r="D640" i="2"/>
  <c r="C640" i="2"/>
  <c r="B640" i="2"/>
  <c r="A640" i="2"/>
  <c r="AH639" i="2"/>
  <c r="AG639" i="2"/>
  <c r="AF639" i="2"/>
  <c r="AE639" i="2"/>
  <c r="AD639" i="2"/>
  <c r="AC639" i="2"/>
  <c r="AB639" i="2"/>
  <c r="AA639" i="2"/>
  <c r="X639" i="2"/>
  <c r="V639" i="2"/>
  <c r="U639" i="2"/>
  <c r="T639" i="2"/>
  <c r="S639" i="2"/>
  <c r="R639" i="2"/>
  <c r="Q639" i="2"/>
  <c r="P639" i="2"/>
  <c r="O639" i="2"/>
  <c r="N639" i="2"/>
  <c r="M639" i="2"/>
  <c r="L639" i="2"/>
  <c r="K639" i="2"/>
  <c r="J639" i="2"/>
  <c r="I639" i="2"/>
  <c r="H639" i="2"/>
  <c r="G639" i="2"/>
  <c r="F639" i="2"/>
  <c r="E639" i="2"/>
  <c r="D639" i="2"/>
  <c r="C639" i="2"/>
  <c r="B639" i="2"/>
  <c r="A639" i="2"/>
  <c r="AH638" i="2"/>
  <c r="AG638" i="2"/>
  <c r="AF638" i="2"/>
  <c r="AE638" i="2"/>
  <c r="AC638" i="2"/>
  <c r="AB638" i="2"/>
  <c r="AA638" i="2"/>
  <c r="Y638" i="2"/>
  <c r="X638" i="2"/>
  <c r="W638" i="2"/>
  <c r="V638" i="2"/>
  <c r="U638" i="2"/>
  <c r="T638" i="2"/>
  <c r="S638" i="2"/>
  <c r="R638" i="2"/>
  <c r="Q638" i="2"/>
  <c r="P638" i="2"/>
  <c r="O638" i="2"/>
  <c r="N638" i="2"/>
  <c r="M638" i="2"/>
  <c r="L638" i="2"/>
  <c r="K638" i="2"/>
  <c r="J638" i="2"/>
  <c r="I638" i="2"/>
  <c r="H638" i="2"/>
  <c r="G638" i="2"/>
  <c r="F638" i="2"/>
  <c r="E638" i="2"/>
  <c r="D638" i="2"/>
  <c r="C638" i="2"/>
  <c r="B638" i="2"/>
  <c r="A638" i="2"/>
  <c r="AH637" i="2"/>
  <c r="AG637" i="2"/>
  <c r="AE637" i="2"/>
  <c r="AD637" i="2"/>
  <c r="AC637" i="2"/>
  <c r="AB637" i="2"/>
  <c r="AA637" i="2"/>
  <c r="Y637" i="2"/>
  <c r="V637" i="2"/>
  <c r="U637" i="2"/>
  <c r="T637" i="2"/>
  <c r="S637" i="2"/>
  <c r="R637" i="2"/>
  <c r="Q637" i="2"/>
  <c r="P637" i="2"/>
  <c r="O637" i="2"/>
  <c r="N637" i="2"/>
  <c r="M637" i="2"/>
  <c r="L637" i="2"/>
  <c r="K637" i="2"/>
  <c r="J637" i="2"/>
  <c r="I637" i="2"/>
  <c r="H637" i="2"/>
  <c r="G637" i="2"/>
  <c r="F637" i="2"/>
  <c r="E637" i="2"/>
  <c r="D637" i="2"/>
  <c r="C637" i="2"/>
  <c r="B637" i="2"/>
  <c r="A637" i="2"/>
  <c r="AG636" i="2"/>
  <c r="AE636" i="2"/>
  <c r="AD636" i="2"/>
  <c r="AC636" i="2"/>
  <c r="AB636" i="2"/>
  <c r="AA636" i="2"/>
  <c r="Z636" i="2"/>
  <c r="Y636" i="2"/>
  <c r="X636" i="2"/>
  <c r="W636" i="2"/>
  <c r="V636" i="2"/>
  <c r="U636" i="2"/>
  <c r="T636" i="2"/>
  <c r="S636" i="2"/>
  <c r="R636" i="2"/>
  <c r="Q636" i="2"/>
  <c r="P636" i="2"/>
  <c r="O636" i="2"/>
  <c r="N636" i="2"/>
  <c r="M636" i="2"/>
  <c r="L636" i="2"/>
  <c r="K636" i="2"/>
  <c r="J636" i="2"/>
  <c r="I636" i="2"/>
  <c r="H636" i="2"/>
  <c r="G636" i="2"/>
  <c r="F636" i="2"/>
  <c r="E636" i="2"/>
  <c r="D636" i="2"/>
  <c r="C636" i="2"/>
  <c r="B636" i="2"/>
  <c r="A636" i="2"/>
  <c r="AH635" i="2"/>
  <c r="AG635" i="2"/>
  <c r="AF635" i="2"/>
  <c r="AE635" i="2"/>
  <c r="AD635" i="2"/>
  <c r="AC635" i="2"/>
  <c r="AB635" i="2"/>
  <c r="AA635" i="2"/>
  <c r="Y635" i="2"/>
  <c r="X635" i="2"/>
  <c r="W635" i="2"/>
  <c r="V635" i="2"/>
  <c r="U635" i="2"/>
  <c r="T635" i="2"/>
  <c r="S635" i="2"/>
  <c r="R635" i="2"/>
  <c r="Q635" i="2"/>
  <c r="P635" i="2"/>
  <c r="O635" i="2"/>
  <c r="N635" i="2"/>
  <c r="M635" i="2"/>
  <c r="L635" i="2"/>
  <c r="K635" i="2"/>
  <c r="J635" i="2"/>
  <c r="I635" i="2"/>
  <c r="H635" i="2"/>
  <c r="G635" i="2"/>
  <c r="F635" i="2"/>
  <c r="E635" i="2"/>
  <c r="D635" i="2"/>
  <c r="C635" i="2"/>
  <c r="B635" i="2"/>
  <c r="A635" i="2"/>
  <c r="AH634" i="2"/>
  <c r="AG634" i="2"/>
  <c r="AE634" i="2"/>
  <c r="AD634" i="2"/>
  <c r="AC634" i="2"/>
  <c r="AB634" i="2"/>
  <c r="AA634" i="2"/>
  <c r="Z634" i="2"/>
  <c r="Y634" i="2"/>
  <c r="X634" i="2"/>
  <c r="W634" i="2"/>
  <c r="V634" i="2"/>
  <c r="U634" i="2"/>
  <c r="T634" i="2"/>
  <c r="S634" i="2"/>
  <c r="R634" i="2"/>
  <c r="Q634" i="2"/>
  <c r="P634" i="2"/>
  <c r="O634" i="2"/>
  <c r="N634" i="2"/>
  <c r="M634" i="2"/>
  <c r="L634" i="2"/>
  <c r="K634" i="2"/>
  <c r="J634" i="2"/>
  <c r="I634" i="2"/>
  <c r="H634" i="2"/>
  <c r="G634" i="2"/>
  <c r="F634" i="2"/>
  <c r="E634" i="2"/>
  <c r="D634" i="2"/>
  <c r="C634" i="2"/>
  <c r="B634" i="2"/>
  <c r="A634" i="2"/>
  <c r="AG633" i="2"/>
  <c r="AE633" i="2"/>
  <c r="AD633" i="2"/>
  <c r="AC633" i="2"/>
  <c r="AB633" i="2"/>
  <c r="AA633" i="2"/>
  <c r="Y633" i="2"/>
  <c r="X633" i="2"/>
  <c r="V633" i="2"/>
  <c r="U633" i="2"/>
  <c r="T633" i="2"/>
  <c r="S633" i="2"/>
  <c r="R633" i="2"/>
  <c r="Q633" i="2"/>
  <c r="P633" i="2"/>
  <c r="O633" i="2"/>
  <c r="N633" i="2"/>
  <c r="M633" i="2"/>
  <c r="L633" i="2"/>
  <c r="K633" i="2"/>
  <c r="J633" i="2"/>
  <c r="I633" i="2"/>
  <c r="H633" i="2"/>
  <c r="G633" i="2"/>
  <c r="F633" i="2"/>
  <c r="E633" i="2"/>
  <c r="D633" i="2"/>
  <c r="C633" i="2"/>
  <c r="B633" i="2"/>
  <c r="A633" i="2"/>
  <c r="AH632" i="2"/>
  <c r="AG632" i="2"/>
  <c r="AF632" i="2"/>
  <c r="AE632" i="2"/>
  <c r="AC632" i="2"/>
  <c r="AB632" i="2"/>
  <c r="AA632" i="2"/>
  <c r="Y632" i="2"/>
  <c r="X632" i="2"/>
  <c r="W632" i="2"/>
  <c r="V632" i="2"/>
  <c r="U632" i="2"/>
  <c r="T632" i="2"/>
  <c r="S632" i="2"/>
  <c r="R632" i="2"/>
  <c r="Q632" i="2"/>
  <c r="P632" i="2"/>
  <c r="O632" i="2"/>
  <c r="N632" i="2"/>
  <c r="M632" i="2"/>
  <c r="L632" i="2"/>
  <c r="K632" i="2"/>
  <c r="J632" i="2"/>
  <c r="I632" i="2"/>
  <c r="H632" i="2"/>
  <c r="G632" i="2"/>
  <c r="F632" i="2"/>
  <c r="E632" i="2"/>
  <c r="D632" i="2"/>
  <c r="C632" i="2"/>
  <c r="B632" i="2"/>
  <c r="A632" i="2"/>
  <c r="AH631" i="2"/>
  <c r="AG631" i="2"/>
  <c r="AF631" i="2"/>
  <c r="AE631" i="2"/>
  <c r="AC631" i="2"/>
  <c r="AB631" i="2"/>
  <c r="AA631" i="2"/>
  <c r="Y631" i="2"/>
  <c r="X631" i="2"/>
  <c r="W631" i="2"/>
  <c r="V631" i="2"/>
  <c r="U631" i="2"/>
  <c r="T631" i="2"/>
  <c r="S631" i="2"/>
  <c r="R631" i="2"/>
  <c r="Q631" i="2"/>
  <c r="P631" i="2"/>
  <c r="O631" i="2"/>
  <c r="N631" i="2"/>
  <c r="M631" i="2"/>
  <c r="L631" i="2"/>
  <c r="K631" i="2"/>
  <c r="J631" i="2"/>
  <c r="I631" i="2"/>
  <c r="H631" i="2"/>
  <c r="G631" i="2"/>
  <c r="F631" i="2"/>
  <c r="E631" i="2"/>
  <c r="D631" i="2"/>
  <c r="C631" i="2"/>
  <c r="B631" i="2"/>
  <c r="A631" i="2"/>
  <c r="AC630" i="2"/>
  <c r="W630" i="2"/>
  <c r="V630" i="2"/>
  <c r="U630" i="2"/>
  <c r="T630" i="2"/>
  <c r="S630" i="2"/>
  <c r="R630" i="2"/>
  <c r="Q630" i="2"/>
  <c r="P630" i="2"/>
  <c r="O630" i="2"/>
  <c r="N630" i="2"/>
  <c r="M630" i="2"/>
  <c r="L630" i="2"/>
  <c r="K630" i="2"/>
  <c r="J630" i="2"/>
  <c r="I630" i="2"/>
  <c r="H630" i="2"/>
  <c r="G630" i="2"/>
  <c r="F630" i="2"/>
  <c r="E630" i="2"/>
  <c r="D630" i="2"/>
  <c r="C630" i="2"/>
  <c r="B630" i="2"/>
  <c r="A630" i="2"/>
  <c r="AH629" i="2"/>
  <c r="AG629" i="2"/>
  <c r="AF629" i="2"/>
  <c r="AE629" i="2"/>
  <c r="AD629" i="2"/>
  <c r="AC629" i="2"/>
  <c r="AB629" i="2"/>
  <c r="AA629" i="2"/>
  <c r="Y629" i="2"/>
  <c r="X629" i="2"/>
  <c r="W629" i="2"/>
  <c r="V629" i="2"/>
  <c r="U629" i="2"/>
  <c r="T629" i="2"/>
  <c r="S629" i="2"/>
  <c r="R629" i="2"/>
  <c r="Q629" i="2"/>
  <c r="P629" i="2"/>
  <c r="O629" i="2"/>
  <c r="N629" i="2"/>
  <c r="M629" i="2"/>
  <c r="L629" i="2"/>
  <c r="K629" i="2"/>
  <c r="J629" i="2"/>
  <c r="I629" i="2"/>
  <c r="H629" i="2"/>
  <c r="G629" i="2"/>
  <c r="F629" i="2"/>
  <c r="E629" i="2"/>
  <c r="D629" i="2"/>
  <c r="C629" i="2"/>
  <c r="B629" i="2"/>
  <c r="A629" i="2"/>
  <c r="AG628" i="2"/>
  <c r="AD628" i="2"/>
  <c r="AC628" i="2"/>
  <c r="AB628" i="2"/>
  <c r="AA628" i="2"/>
  <c r="X628" i="2"/>
  <c r="V628" i="2"/>
  <c r="U628" i="2"/>
  <c r="T628" i="2"/>
  <c r="S628" i="2"/>
  <c r="R628" i="2"/>
  <c r="Q628" i="2"/>
  <c r="P628" i="2"/>
  <c r="O628" i="2"/>
  <c r="N628" i="2"/>
  <c r="M628" i="2"/>
  <c r="L628" i="2"/>
  <c r="K628" i="2"/>
  <c r="J628" i="2"/>
  <c r="I628" i="2"/>
  <c r="H628" i="2"/>
  <c r="G628" i="2"/>
  <c r="F628" i="2"/>
  <c r="E628" i="2"/>
  <c r="D628" i="2"/>
  <c r="C628" i="2"/>
  <c r="B628" i="2"/>
  <c r="A628" i="2"/>
  <c r="AH627" i="2"/>
  <c r="AG627" i="2"/>
  <c r="AF627" i="2"/>
  <c r="AE627" i="2"/>
  <c r="AD627" i="2"/>
  <c r="AC627" i="2"/>
  <c r="AB627" i="2"/>
  <c r="AA627" i="2"/>
  <c r="Y627" i="2"/>
  <c r="X627" i="2"/>
  <c r="W627" i="2"/>
  <c r="V627" i="2"/>
  <c r="U627" i="2"/>
  <c r="T627" i="2"/>
  <c r="S627" i="2"/>
  <c r="R627" i="2"/>
  <c r="Q627" i="2"/>
  <c r="P627" i="2"/>
  <c r="O627" i="2"/>
  <c r="N627" i="2"/>
  <c r="M627" i="2"/>
  <c r="L627" i="2"/>
  <c r="K627" i="2"/>
  <c r="J627" i="2"/>
  <c r="I627" i="2"/>
  <c r="H627" i="2"/>
  <c r="G627" i="2"/>
  <c r="F627" i="2"/>
  <c r="E627" i="2"/>
  <c r="D627" i="2"/>
  <c r="C627" i="2"/>
  <c r="B627" i="2"/>
  <c r="A627" i="2"/>
  <c r="AH626" i="2"/>
  <c r="AG626" i="2"/>
  <c r="AE626" i="2"/>
  <c r="AD626" i="2"/>
  <c r="AC626" i="2"/>
  <c r="AB626" i="2"/>
  <c r="AA626" i="2"/>
  <c r="X626" i="2"/>
  <c r="W626" i="2"/>
  <c r="V626" i="2"/>
  <c r="U626" i="2"/>
  <c r="T626" i="2"/>
  <c r="S626" i="2"/>
  <c r="R626" i="2"/>
  <c r="Q626" i="2"/>
  <c r="P626" i="2"/>
  <c r="O626" i="2"/>
  <c r="N626" i="2"/>
  <c r="M626" i="2"/>
  <c r="L626" i="2"/>
  <c r="K626" i="2"/>
  <c r="J626" i="2"/>
  <c r="I626" i="2"/>
  <c r="H626" i="2"/>
  <c r="G626" i="2"/>
  <c r="F626" i="2"/>
  <c r="E626" i="2"/>
  <c r="D626" i="2"/>
  <c r="C626" i="2"/>
  <c r="B626" i="2"/>
  <c r="A626" i="2"/>
  <c r="AH625" i="2"/>
  <c r="AG625" i="2"/>
  <c r="AF625" i="2"/>
  <c r="AE625" i="2"/>
  <c r="AD625" i="2"/>
  <c r="AC625" i="2"/>
  <c r="AB625" i="2"/>
  <c r="AA625" i="2"/>
  <c r="Y625" i="2"/>
  <c r="X625" i="2"/>
  <c r="W625" i="2"/>
  <c r="V625" i="2"/>
  <c r="U625" i="2"/>
  <c r="T625" i="2"/>
  <c r="S625" i="2"/>
  <c r="R625" i="2"/>
  <c r="Q625" i="2"/>
  <c r="P625" i="2"/>
  <c r="O625" i="2"/>
  <c r="N625" i="2"/>
  <c r="M625" i="2"/>
  <c r="L625" i="2"/>
  <c r="K625" i="2"/>
  <c r="J625" i="2"/>
  <c r="I625" i="2"/>
  <c r="H625" i="2"/>
  <c r="G625" i="2"/>
  <c r="F625" i="2"/>
  <c r="E625" i="2"/>
  <c r="D625" i="2"/>
  <c r="C625" i="2"/>
  <c r="B625" i="2"/>
  <c r="A625" i="2"/>
  <c r="AH624" i="2"/>
  <c r="AG624" i="2"/>
  <c r="AF624" i="2"/>
  <c r="AE624" i="2"/>
  <c r="AC624" i="2"/>
  <c r="AB624" i="2"/>
  <c r="AA624" i="2"/>
  <c r="Y624" i="2"/>
  <c r="X624" i="2"/>
  <c r="W624" i="2"/>
  <c r="V624" i="2"/>
  <c r="U624" i="2"/>
  <c r="T624" i="2"/>
  <c r="S624" i="2"/>
  <c r="R624" i="2"/>
  <c r="Q624" i="2"/>
  <c r="P624" i="2"/>
  <c r="O624" i="2"/>
  <c r="N624" i="2"/>
  <c r="M624" i="2"/>
  <c r="L624" i="2"/>
  <c r="K624" i="2"/>
  <c r="J624" i="2"/>
  <c r="I624" i="2"/>
  <c r="H624" i="2"/>
  <c r="G624" i="2"/>
  <c r="F624" i="2"/>
  <c r="E624" i="2"/>
  <c r="D624" i="2"/>
  <c r="C624" i="2"/>
  <c r="B624" i="2"/>
  <c r="A624" i="2"/>
  <c r="AH623" i="2"/>
  <c r="AG623" i="2"/>
  <c r="AF623" i="2"/>
  <c r="AE623" i="2"/>
  <c r="AD623" i="2"/>
  <c r="AC623" i="2"/>
  <c r="AB623" i="2"/>
  <c r="AA623" i="2"/>
  <c r="Y623" i="2"/>
  <c r="X623" i="2"/>
  <c r="V623" i="2"/>
  <c r="U623" i="2"/>
  <c r="T623" i="2"/>
  <c r="S623" i="2"/>
  <c r="R623" i="2"/>
  <c r="Q623" i="2"/>
  <c r="P623" i="2"/>
  <c r="O623" i="2"/>
  <c r="N623" i="2"/>
  <c r="M623" i="2"/>
  <c r="L623" i="2"/>
  <c r="K623" i="2"/>
  <c r="J623" i="2"/>
  <c r="I623" i="2"/>
  <c r="H623" i="2"/>
  <c r="G623" i="2"/>
  <c r="F623" i="2"/>
  <c r="E623" i="2"/>
  <c r="D623" i="2"/>
  <c r="C623" i="2"/>
  <c r="B623" i="2"/>
  <c r="A623" i="2"/>
  <c r="AH622" i="2"/>
  <c r="AG622" i="2"/>
  <c r="AE622" i="2"/>
  <c r="AD622" i="2"/>
  <c r="AC622" i="2"/>
  <c r="AB622" i="2"/>
  <c r="AA622" i="2"/>
  <c r="Z622" i="2"/>
  <c r="Y622" i="2"/>
  <c r="X622" i="2"/>
  <c r="W622" i="2"/>
  <c r="V622" i="2"/>
  <c r="U622" i="2"/>
  <c r="T622" i="2"/>
  <c r="S622" i="2"/>
  <c r="R622" i="2"/>
  <c r="Q622" i="2"/>
  <c r="P622" i="2"/>
  <c r="O622" i="2"/>
  <c r="N622" i="2"/>
  <c r="M622" i="2"/>
  <c r="L622" i="2"/>
  <c r="K622" i="2"/>
  <c r="J622" i="2"/>
  <c r="I622" i="2"/>
  <c r="H622" i="2"/>
  <c r="G622" i="2"/>
  <c r="F622" i="2"/>
  <c r="E622" i="2"/>
  <c r="D622" i="2"/>
  <c r="C622" i="2"/>
  <c r="B622" i="2"/>
  <c r="A622" i="2"/>
  <c r="AH621" i="2"/>
  <c r="AG621" i="2"/>
  <c r="AE621" i="2"/>
  <c r="AD621" i="2"/>
  <c r="AC621" i="2"/>
  <c r="AB621" i="2"/>
  <c r="AA621" i="2"/>
  <c r="Y621" i="2"/>
  <c r="X621" i="2"/>
  <c r="W621" i="2"/>
  <c r="V621" i="2"/>
  <c r="U621" i="2"/>
  <c r="T621" i="2"/>
  <c r="S621" i="2"/>
  <c r="R621" i="2"/>
  <c r="Q621" i="2"/>
  <c r="P621" i="2"/>
  <c r="O621" i="2"/>
  <c r="N621" i="2"/>
  <c r="M621" i="2"/>
  <c r="L621" i="2"/>
  <c r="K621" i="2"/>
  <c r="J621" i="2"/>
  <c r="I621" i="2"/>
  <c r="H621" i="2"/>
  <c r="G621" i="2"/>
  <c r="F621" i="2"/>
  <c r="E621" i="2"/>
  <c r="D621" i="2"/>
  <c r="C621" i="2"/>
  <c r="B621" i="2"/>
  <c r="A621" i="2"/>
  <c r="AH620" i="2"/>
  <c r="AG620" i="2"/>
  <c r="AF620" i="2"/>
  <c r="AE620" i="2"/>
  <c r="AD620" i="2"/>
  <c r="AC620" i="2"/>
  <c r="AB620" i="2"/>
  <c r="AA620" i="2"/>
  <c r="Y620" i="2"/>
  <c r="X620" i="2"/>
  <c r="W620" i="2"/>
  <c r="V620" i="2"/>
  <c r="U620" i="2"/>
  <c r="T620" i="2"/>
  <c r="S620" i="2"/>
  <c r="R620" i="2"/>
  <c r="Q620" i="2"/>
  <c r="P620" i="2"/>
  <c r="O620" i="2"/>
  <c r="N620" i="2"/>
  <c r="M620" i="2"/>
  <c r="L620" i="2"/>
  <c r="K620" i="2"/>
  <c r="J620" i="2"/>
  <c r="I620" i="2"/>
  <c r="H620" i="2"/>
  <c r="G620" i="2"/>
  <c r="F620" i="2"/>
  <c r="E620" i="2"/>
  <c r="D620" i="2"/>
  <c r="C620" i="2"/>
  <c r="B620" i="2"/>
  <c r="A620" i="2"/>
  <c r="AG619" i="2"/>
  <c r="AE619" i="2"/>
  <c r="AD619" i="2"/>
  <c r="AC619" i="2"/>
  <c r="AB619" i="2"/>
  <c r="AA619" i="2"/>
  <c r="Z619" i="2"/>
  <c r="Y619" i="2"/>
  <c r="X619" i="2"/>
  <c r="V619" i="2"/>
  <c r="U619" i="2"/>
  <c r="T619" i="2"/>
  <c r="S619" i="2"/>
  <c r="R619" i="2"/>
  <c r="Q619" i="2"/>
  <c r="P619" i="2"/>
  <c r="O619" i="2"/>
  <c r="N619" i="2"/>
  <c r="M619" i="2"/>
  <c r="L619" i="2"/>
  <c r="K619" i="2"/>
  <c r="J619" i="2"/>
  <c r="I619" i="2"/>
  <c r="H619" i="2"/>
  <c r="G619" i="2"/>
  <c r="F619" i="2"/>
  <c r="E619" i="2"/>
  <c r="D619" i="2"/>
  <c r="C619" i="2"/>
  <c r="B619" i="2"/>
  <c r="A619" i="2"/>
  <c r="AG618" i="2"/>
  <c r="AC618" i="2"/>
  <c r="W618" i="2"/>
  <c r="V618" i="2"/>
  <c r="U618" i="2"/>
  <c r="T618" i="2"/>
  <c r="S618" i="2"/>
  <c r="R618" i="2"/>
  <c r="Q618" i="2"/>
  <c r="P618" i="2"/>
  <c r="O618" i="2"/>
  <c r="N618" i="2"/>
  <c r="M618" i="2"/>
  <c r="L618" i="2"/>
  <c r="K618" i="2"/>
  <c r="J618" i="2"/>
  <c r="I618" i="2"/>
  <c r="H618" i="2"/>
  <c r="G618" i="2"/>
  <c r="F618" i="2"/>
  <c r="E618" i="2"/>
  <c r="D618" i="2"/>
  <c r="C618" i="2"/>
  <c r="B618" i="2"/>
  <c r="A618" i="2"/>
  <c r="AG617" i="2"/>
  <c r="AE617" i="2"/>
  <c r="AD617" i="2"/>
  <c r="AC617" i="2"/>
  <c r="AB617" i="2"/>
  <c r="AA617" i="2"/>
  <c r="V617" i="2"/>
  <c r="U617" i="2"/>
  <c r="T617" i="2"/>
  <c r="S617" i="2"/>
  <c r="R617" i="2"/>
  <c r="Q617" i="2"/>
  <c r="P617" i="2"/>
  <c r="O617" i="2"/>
  <c r="N617" i="2"/>
  <c r="M617" i="2"/>
  <c r="L617" i="2"/>
  <c r="K617" i="2"/>
  <c r="J617" i="2"/>
  <c r="I617" i="2"/>
  <c r="H617" i="2"/>
  <c r="G617" i="2"/>
  <c r="F617" i="2"/>
  <c r="E617" i="2"/>
  <c r="D617" i="2"/>
  <c r="C617" i="2"/>
  <c r="B617" i="2"/>
  <c r="A617" i="2"/>
  <c r="AG616" i="2"/>
  <c r="AE616" i="2"/>
  <c r="AD616" i="2"/>
  <c r="AC616" i="2"/>
  <c r="AB616" i="2"/>
  <c r="AA616" i="2"/>
  <c r="Y616" i="2"/>
  <c r="X616" i="2"/>
  <c r="V616" i="2"/>
  <c r="U616" i="2"/>
  <c r="T616" i="2"/>
  <c r="S616" i="2"/>
  <c r="R616" i="2"/>
  <c r="Q616" i="2"/>
  <c r="P616" i="2"/>
  <c r="O616" i="2"/>
  <c r="N616" i="2"/>
  <c r="M616" i="2"/>
  <c r="L616" i="2"/>
  <c r="K616" i="2"/>
  <c r="J616" i="2"/>
  <c r="I616" i="2"/>
  <c r="H616" i="2"/>
  <c r="G616" i="2"/>
  <c r="F616" i="2"/>
  <c r="E616" i="2"/>
  <c r="D616" i="2"/>
  <c r="C616" i="2"/>
  <c r="B616" i="2"/>
  <c r="A616" i="2"/>
  <c r="AH615" i="2"/>
  <c r="AG615" i="2"/>
  <c r="AF615" i="2"/>
  <c r="AE615" i="2"/>
  <c r="AD615" i="2"/>
  <c r="AC615" i="2"/>
  <c r="AB615" i="2"/>
  <c r="AA615" i="2"/>
  <c r="Z615" i="2"/>
  <c r="Y615" i="2"/>
  <c r="X615" i="2"/>
  <c r="W615" i="2"/>
  <c r="V615" i="2"/>
  <c r="U615" i="2"/>
  <c r="T615" i="2"/>
  <c r="S615" i="2"/>
  <c r="R615" i="2"/>
  <c r="Q615" i="2"/>
  <c r="P615" i="2"/>
  <c r="O615" i="2"/>
  <c r="N615" i="2"/>
  <c r="M615" i="2"/>
  <c r="L615" i="2"/>
  <c r="K615" i="2"/>
  <c r="J615" i="2"/>
  <c r="I615" i="2"/>
  <c r="H615" i="2"/>
  <c r="G615" i="2"/>
  <c r="F615" i="2"/>
  <c r="E615" i="2"/>
  <c r="D615" i="2"/>
  <c r="C615" i="2"/>
  <c r="B615" i="2"/>
  <c r="A615" i="2"/>
  <c r="AH614" i="2"/>
  <c r="AG614" i="2"/>
  <c r="AE614" i="2"/>
  <c r="AD614" i="2"/>
  <c r="AC614" i="2"/>
  <c r="AB614" i="2"/>
  <c r="AA614" i="2"/>
  <c r="X614" i="2"/>
  <c r="W614" i="2"/>
  <c r="V614" i="2"/>
  <c r="U614" i="2"/>
  <c r="T614" i="2"/>
  <c r="S614" i="2"/>
  <c r="R614" i="2"/>
  <c r="Q614" i="2"/>
  <c r="P614" i="2"/>
  <c r="O614" i="2"/>
  <c r="N614" i="2"/>
  <c r="M614" i="2"/>
  <c r="L614" i="2"/>
  <c r="K614" i="2"/>
  <c r="J614" i="2"/>
  <c r="I614" i="2"/>
  <c r="H614" i="2"/>
  <c r="G614" i="2"/>
  <c r="F614" i="2"/>
  <c r="E614" i="2"/>
  <c r="D614" i="2"/>
  <c r="C614" i="2"/>
  <c r="B614" i="2"/>
  <c r="A614" i="2"/>
  <c r="AH613" i="2"/>
  <c r="AG613" i="2"/>
  <c r="AE613" i="2"/>
  <c r="AD613" i="2"/>
  <c r="AC613" i="2"/>
  <c r="AB613" i="2"/>
  <c r="AA613" i="2"/>
  <c r="Y613" i="2"/>
  <c r="X613" i="2"/>
  <c r="W613" i="2"/>
  <c r="V613" i="2"/>
  <c r="U613" i="2"/>
  <c r="T613" i="2"/>
  <c r="S613" i="2"/>
  <c r="R613" i="2"/>
  <c r="Q613" i="2"/>
  <c r="P613" i="2"/>
  <c r="O613" i="2"/>
  <c r="N613" i="2"/>
  <c r="M613" i="2"/>
  <c r="L613" i="2"/>
  <c r="K613" i="2"/>
  <c r="J613" i="2"/>
  <c r="I613" i="2"/>
  <c r="H613" i="2"/>
  <c r="G613" i="2"/>
  <c r="F613" i="2"/>
  <c r="E613" i="2"/>
  <c r="D613" i="2"/>
  <c r="C613" i="2"/>
  <c r="B613" i="2"/>
  <c r="A613" i="2"/>
  <c r="AH612" i="2"/>
  <c r="AG612" i="2"/>
  <c r="AF612" i="2"/>
  <c r="AE612" i="2"/>
  <c r="AD612" i="2"/>
  <c r="AC612" i="2"/>
  <c r="AB612" i="2"/>
  <c r="AA612" i="2"/>
  <c r="Y612" i="2"/>
  <c r="X612" i="2"/>
  <c r="W612" i="2"/>
  <c r="V612" i="2"/>
  <c r="U612" i="2"/>
  <c r="T612" i="2"/>
  <c r="S612" i="2"/>
  <c r="R612" i="2"/>
  <c r="Q612" i="2"/>
  <c r="P612" i="2"/>
  <c r="O612" i="2"/>
  <c r="N612" i="2"/>
  <c r="M612" i="2"/>
  <c r="L612" i="2"/>
  <c r="K612" i="2"/>
  <c r="J612" i="2"/>
  <c r="I612" i="2"/>
  <c r="H612" i="2"/>
  <c r="G612" i="2"/>
  <c r="F612" i="2"/>
  <c r="E612" i="2"/>
  <c r="D612" i="2"/>
  <c r="C612" i="2"/>
  <c r="B612" i="2"/>
  <c r="A612" i="2"/>
  <c r="AH611" i="2"/>
  <c r="AG611" i="2"/>
  <c r="AE611" i="2"/>
  <c r="AD611" i="2"/>
  <c r="AC611" i="2"/>
  <c r="AB611" i="2"/>
  <c r="AA611" i="2"/>
  <c r="Y611" i="2"/>
  <c r="X611" i="2"/>
  <c r="W611" i="2"/>
  <c r="V611" i="2"/>
  <c r="U611" i="2"/>
  <c r="T611" i="2"/>
  <c r="S611" i="2"/>
  <c r="R611" i="2"/>
  <c r="Q611" i="2"/>
  <c r="P611" i="2"/>
  <c r="O611" i="2"/>
  <c r="N611" i="2"/>
  <c r="M611" i="2"/>
  <c r="L611" i="2"/>
  <c r="K611" i="2"/>
  <c r="J611" i="2"/>
  <c r="I611" i="2"/>
  <c r="H611" i="2"/>
  <c r="G611" i="2"/>
  <c r="F611" i="2"/>
  <c r="E611" i="2"/>
  <c r="D611" i="2"/>
  <c r="C611" i="2"/>
  <c r="B611" i="2"/>
  <c r="A611" i="2"/>
  <c r="AH610" i="2"/>
  <c r="AG610" i="2"/>
  <c r="AE610" i="2"/>
  <c r="AD610" i="2"/>
  <c r="AC610" i="2"/>
  <c r="AB610" i="2"/>
  <c r="AA610" i="2"/>
  <c r="Y610" i="2"/>
  <c r="X610" i="2"/>
  <c r="W610" i="2"/>
  <c r="V610" i="2"/>
  <c r="U610" i="2"/>
  <c r="T610" i="2"/>
  <c r="S610" i="2"/>
  <c r="R610" i="2"/>
  <c r="Q610" i="2"/>
  <c r="P610" i="2"/>
  <c r="O610" i="2"/>
  <c r="N610" i="2"/>
  <c r="M610" i="2"/>
  <c r="L610" i="2"/>
  <c r="K610" i="2"/>
  <c r="J610" i="2"/>
  <c r="I610" i="2"/>
  <c r="H610" i="2"/>
  <c r="G610" i="2"/>
  <c r="F610" i="2"/>
  <c r="E610" i="2"/>
  <c r="D610" i="2"/>
  <c r="C610" i="2"/>
  <c r="B610" i="2"/>
  <c r="A610" i="2"/>
  <c r="AH609" i="2"/>
  <c r="AG609" i="2"/>
  <c r="AF609" i="2"/>
  <c r="AE609" i="2"/>
  <c r="AD609" i="2"/>
  <c r="AC609" i="2"/>
  <c r="AB609" i="2"/>
  <c r="AA609" i="2"/>
  <c r="Y609" i="2"/>
  <c r="X609" i="2"/>
  <c r="W609" i="2"/>
  <c r="V609" i="2"/>
  <c r="U609" i="2"/>
  <c r="T609" i="2"/>
  <c r="S609" i="2"/>
  <c r="R609" i="2"/>
  <c r="Q609" i="2"/>
  <c r="P609" i="2"/>
  <c r="O609" i="2"/>
  <c r="N609" i="2"/>
  <c r="M609" i="2"/>
  <c r="L609" i="2"/>
  <c r="K609" i="2"/>
  <c r="J609" i="2"/>
  <c r="I609" i="2"/>
  <c r="H609" i="2"/>
  <c r="G609" i="2"/>
  <c r="F609" i="2"/>
  <c r="E609" i="2"/>
  <c r="D609" i="2"/>
  <c r="C609" i="2"/>
  <c r="B609" i="2"/>
  <c r="A609" i="2"/>
  <c r="AH608" i="2"/>
  <c r="AG608" i="2"/>
  <c r="AE608" i="2"/>
  <c r="AD608" i="2"/>
  <c r="AC608" i="2"/>
  <c r="AB608" i="2"/>
  <c r="AA608" i="2"/>
  <c r="Z608" i="2"/>
  <c r="Y608" i="2"/>
  <c r="X608" i="2"/>
  <c r="W608" i="2"/>
  <c r="V608" i="2"/>
  <c r="U608" i="2"/>
  <c r="T608" i="2"/>
  <c r="S608" i="2"/>
  <c r="R608" i="2"/>
  <c r="Q608" i="2"/>
  <c r="P608" i="2"/>
  <c r="O608" i="2"/>
  <c r="N608" i="2"/>
  <c r="M608" i="2"/>
  <c r="L608" i="2"/>
  <c r="K608" i="2"/>
  <c r="J608" i="2"/>
  <c r="I608" i="2"/>
  <c r="H608" i="2"/>
  <c r="G608" i="2"/>
  <c r="F608" i="2"/>
  <c r="E608" i="2"/>
  <c r="D608" i="2"/>
  <c r="C608" i="2"/>
  <c r="B608" i="2"/>
  <c r="A608" i="2"/>
  <c r="AH607" i="2"/>
  <c r="AG607" i="2"/>
  <c r="AE607" i="2"/>
  <c r="AD607" i="2"/>
  <c r="AC607" i="2"/>
  <c r="AB607" i="2"/>
  <c r="AA607" i="2"/>
  <c r="Y607" i="2"/>
  <c r="X607" i="2"/>
  <c r="W607" i="2"/>
  <c r="V607" i="2"/>
  <c r="U607" i="2"/>
  <c r="T607" i="2"/>
  <c r="S607" i="2"/>
  <c r="R607" i="2"/>
  <c r="Q607" i="2"/>
  <c r="P607" i="2"/>
  <c r="O607" i="2"/>
  <c r="N607" i="2"/>
  <c r="M607" i="2"/>
  <c r="L607" i="2"/>
  <c r="K607" i="2"/>
  <c r="J607" i="2"/>
  <c r="I607" i="2"/>
  <c r="H607" i="2"/>
  <c r="G607" i="2"/>
  <c r="F607" i="2"/>
  <c r="E607" i="2"/>
  <c r="D607" i="2"/>
  <c r="C607" i="2"/>
  <c r="B607" i="2"/>
  <c r="A607" i="2"/>
  <c r="AH606" i="2"/>
  <c r="AG606" i="2"/>
  <c r="AF606" i="2"/>
  <c r="AE606" i="2"/>
  <c r="AD606" i="2"/>
  <c r="AC606" i="2"/>
  <c r="AB606" i="2"/>
  <c r="AA606" i="2"/>
  <c r="Y606" i="2"/>
  <c r="X606" i="2"/>
  <c r="W606" i="2"/>
  <c r="V606" i="2"/>
  <c r="U606" i="2"/>
  <c r="T606" i="2"/>
  <c r="S606" i="2"/>
  <c r="R606" i="2"/>
  <c r="Q606" i="2"/>
  <c r="P606" i="2"/>
  <c r="O606" i="2"/>
  <c r="N606" i="2"/>
  <c r="M606" i="2"/>
  <c r="L606" i="2"/>
  <c r="K606" i="2"/>
  <c r="J606" i="2"/>
  <c r="I606" i="2"/>
  <c r="H606" i="2"/>
  <c r="G606" i="2"/>
  <c r="F606" i="2"/>
  <c r="E606" i="2"/>
  <c r="D606" i="2"/>
  <c r="C606" i="2"/>
  <c r="B606" i="2"/>
  <c r="A606" i="2"/>
  <c r="AH605" i="2"/>
  <c r="AG605" i="2"/>
  <c r="AF605" i="2"/>
  <c r="AE605" i="2"/>
  <c r="AD605" i="2"/>
  <c r="AC605" i="2"/>
  <c r="AB605" i="2"/>
  <c r="AA605" i="2"/>
  <c r="Y605" i="2"/>
  <c r="X605" i="2"/>
  <c r="W605" i="2"/>
  <c r="V605" i="2"/>
  <c r="U605" i="2"/>
  <c r="T605" i="2"/>
  <c r="S605" i="2"/>
  <c r="R605" i="2"/>
  <c r="Q605" i="2"/>
  <c r="P605" i="2"/>
  <c r="O605" i="2"/>
  <c r="N605" i="2"/>
  <c r="M605" i="2"/>
  <c r="L605" i="2"/>
  <c r="K605" i="2"/>
  <c r="J605" i="2"/>
  <c r="I605" i="2"/>
  <c r="H605" i="2"/>
  <c r="G605" i="2"/>
  <c r="F605" i="2"/>
  <c r="E605" i="2"/>
  <c r="D605" i="2"/>
  <c r="C605" i="2"/>
  <c r="B605" i="2"/>
  <c r="A605" i="2"/>
  <c r="AH604" i="2"/>
  <c r="AG604" i="2"/>
  <c r="AF604" i="2"/>
  <c r="AE604" i="2"/>
  <c r="AD604" i="2"/>
  <c r="AC604" i="2"/>
  <c r="AB604" i="2"/>
  <c r="AA604" i="2"/>
  <c r="Y604" i="2"/>
  <c r="X604" i="2"/>
  <c r="V604" i="2"/>
  <c r="U604" i="2"/>
  <c r="T604" i="2"/>
  <c r="S604" i="2"/>
  <c r="R604" i="2"/>
  <c r="Q604" i="2"/>
  <c r="P604" i="2"/>
  <c r="O604" i="2"/>
  <c r="N604" i="2"/>
  <c r="M604" i="2"/>
  <c r="L604" i="2"/>
  <c r="K604" i="2"/>
  <c r="J604" i="2"/>
  <c r="I604" i="2"/>
  <c r="H604" i="2"/>
  <c r="G604" i="2"/>
  <c r="F604" i="2"/>
  <c r="E604" i="2"/>
  <c r="D604" i="2"/>
  <c r="C604" i="2"/>
  <c r="B604" i="2"/>
  <c r="A604" i="2"/>
  <c r="AG603" i="2"/>
  <c r="AD603" i="2"/>
  <c r="AC603" i="2"/>
  <c r="AB603" i="2"/>
  <c r="AA603" i="2"/>
  <c r="Y603" i="2"/>
  <c r="X603" i="2"/>
  <c r="V603" i="2"/>
  <c r="U603" i="2"/>
  <c r="T603" i="2"/>
  <c r="S603" i="2"/>
  <c r="R603" i="2"/>
  <c r="Q603" i="2"/>
  <c r="P603" i="2"/>
  <c r="O603" i="2"/>
  <c r="N603" i="2"/>
  <c r="M603" i="2"/>
  <c r="L603" i="2"/>
  <c r="K603" i="2"/>
  <c r="J603" i="2"/>
  <c r="I603" i="2"/>
  <c r="H603" i="2"/>
  <c r="G603" i="2"/>
  <c r="F603" i="2"/>
  <c r="E603" i="2"/>
  <c r="D603" i="2"/>
  <c r="C603" i="2"/>
  <c r="B603" i="2"/>
  <c r="A603" i="2"/>
  <c r="AH602" i="2"/>
  <c r="AG602" i="2"/>
  <c r="AE602" i="2"/>
  <c r="AC602" i="2"/>
  <c r="AB602" i="2"/>
  <c r="AA602" i="2"/>
  <c r="Y602" i="2"/>
  <c r="X602" i="2"/>
  <c r="V602" i="2"/>
  <c r="U602" i="2"/>
  <c r="T602" i="2"/>
  <c r="S602" i="2"/>
  <c r="R602" i="2"/>
  <c r="Q602" i="2"/>
  <c r="P602" i="2"/>
  <c r="O602" i="2"/>
  <c r="N602" i="2"/>
  <c r="M602" i="2"/>
  <c r="L602" i="2"/>
  <c r="K602" i="2"/>
  <c r="J602" i="2"/>
  <c r="I602" i="2"/>
  <c r="H602" i="2"/>
  <c r="G602" i="2"/>
  <c r="F602" i="2"/>
  <c r="E602" i="2"/>
  <c r="D602" i="2"/>
  <c r="C602" i="2"/>
  <c r="B602" i="2"/>
  <c r="A602" i="2"/>
  <c r="AH601" i="2"/>
  <c r="AG601" i="2"/>
  <c r="AE601" i="2"/>
  <c r="AD601" i="2"/>
  <c r="AC601" i="2"/>
  <c r="AB601" i="2"/>
  <c r="AA601" i="2"/>
  <c r="X601" i="2"/>
  <c r="W601" i="2"/>
  <c r="V601" i="2"/>
  <c r="U601" i="2"/>
  <c r="T601" i="2"/>
  <c r="S601" i="2"/>
  <c r="R601" i="2"/>
  <c r="Q601" i="2"/>
  <c r="P601" i="2"/>
  <c r="O601" i="2"/>
  <c r="N601" i="2"/>
  <c r="M601" i="2"/>
  <c r="L601" i="2"/>
  <c r="K601" i="2"/>
  <c r="J601" i="2"/>
  <c r="I601" i="2"/>
  <c r="H601" i="2"/>
  <c r="G601" i="2"/>
  <c r="F601" i="2"/>
  <c r="E601" i="2"/>
  <c r="D601" i="2"/>
  <c r="C601" i="2"/>
  <c r="B601" i="2"/>
  <c r="A601" i="2"/>
  <c r="AG600" i="2"/>
  <c r="AE600" i="2"/>
  <c r="AD600" i="2"/>
  <c r="AC600" i="2"/>
  <c r="AB600" i="2"/>
  <c r="AA600" i="2"/>
  <c r="Y600" i="2"/>
  <c r="X600" i="2"/>
  <c r="W600" i="2"/>
  <c r="V600" i="2"/>
  <c r="U600" i="2"/>
  <c r="T600" i="2"/>
  <c r="S600" i="2"/>
  <c r="R600" i="2"/>
  <c r="Q600" i="2"/>
  <c r="P600" i="2"/>
  <c r="O600" i="2"/>
  <c r="N600" i="2"/>
  <c r="M600" i="2"/>
  <c r="L600" i="2"/>
  <c r="K600" i="2"/>
  <c r="J600" i="2"/>
  <c r="I600" i="2"/>
  <c r="H600" i="2"/>
  <c r="G600" i="2"/>
  <c r="F600" i="2"/>
  <c r="E600" i="2"/>
  <c r="D600" i="2"/>
  <c r="C600" i="2"/>
  <c r="B600" i="2"/>
  <c r="A600" i="2"/>
  <c r="AH599" i="2"/>
  <c r="AG599" i="2"/>
  <c r="AF599" i="2"/>
  <c r="AC599" i="2"/>
  <c r="AB599" i="2"/>
  <c r="AA599" i="2"/>
  <c r="Y599" i="2"/>
  <c r="X599" i="2"/>
  <c r="W599" i="2"/>
  <c r="V599" i="2"/>
  <c r="U599" i="2"/>
  <c r="T599" i="2"/>
  <c r="S599" i="2"/>
  <c r="R599" i="2"/>
  <c r="Q599" i="2"/>
  <c r="P599" i="2"/>
  <c r="O599" i="2"/>
  <c r="N599" i="2"/>
  <c r="M599" i="2"/>
  <c r="L599" i="2"/>
  <c r="K599" i="2"/>
  <c r="J599" i="2"/>
  <c r="I599" i="2"/>
  <c r="H599" i="2"/>
  <c r="G599" i="2"/>
  <c r="F599" i="2"/>
  <c r="E599" i="2"/>
  <c r="D599" i="2"/>
  <c r="C599" i="2"/>
  <c r="B599" i="2"/>
  <c r="A599" i="2"/>
  <c r="AH598" i="2"/>
  <c r="AG598" i="2"/>
  <c r="AE598" i="2"/>
  <c r="AC598" i="2"/>
  <c r="AB598" i="2"/>
  <c r="AA598" i="2"/>
  <c r="Y598" i="2"/>
  <c r="W598" i="2"/>
  <c r="V598" i="2"/>
  <c r="U598" i="2"/>
  <c r="T598" i="2"/>
  <c r="S598" i="2"/>
  <c r="R598" i="2"/>
  <c r="Q598" i="2"/>
  <c r="P598" i="2"/>
  <c r="O598" i="2"/>
  <c r="N598" i="2"/>
  <c r="M598" i="2"/>
  <c r="L598" i="2"/>
  <c r="K598" i="2"/>
  <c r="J598" i="2"/>
  <c r="I598" i="2"/>
  <c r="H598" i="2"/>
  <c r="G598" i="2"/>
  <c r="F598" i="2"/>
  <c r="E598" i="2"/>
  <c r="D598" i="2"/>
  <c r="C598" i="2"/>
  <c r="B598" i="2"/>
  <c r="A598" i="2"/>
  <c r="AH597" i="2"/>
  <c r="AG597" i="2"/>
  <c r="AF597" i="2"/>
  <c r="AE597" i="2"/>
  <c r="AD597" i="2"/>
  <c r="AC597" i="2"/>
  <c r="AB597" i="2"/>
  <c r="AA597" i="2"/>
  <c r="Y597" i="2"/>
  <c r="X597" i="2"/>
  <c r="W597" i="2"/>
  <c r="V597" i="2"/>
  <c r="U597" i="2"/>
  <c r="T597" i="2"/>
  <c r="R597" i="2"/>
  <c r="Q597" i="2"/>
  <c r="P597" i="2"/>
  <c r="O597" i="2"/>
  <c r="N597" i="2"/>
  <c r="M597" i="2"/>
  <c r="L597" i="2"/>
  <c r="K597" i="2"/>
  <c r="J597" i="2"/>
  <c r="I597" i="2"/>
  <c r="H597" i="2"/>
  <c r="G597" i="2"/>
  <c r="F597" i="2"/>
  <c r="E597" i="2"/>
  <c r="D597" i="2"/>
  <c r="C597" i="2"/>
  <c r="B597" i="2"/>
  <c r="A597" i="2"/>
  <c r="AH596" i="2"/>
  <c r="AG596" i="2"/>
  <c r="AD596" i="2"/>
  <c r="AC596" i="2"/>
  <c r="AB596" i="2"/>
  <c r="AA596" i="2"/>
  <c r="X596" i="2"/>
  <c r="V596" i="2"/>
  <c r="U596" i="2"/>
  <c r="T596" i="2"/>
  <c r="S596" i="2"/>
  <c r="R596" i="2"/>
  <c r="Q596" i="2"/>
  <c r="P596" i="2"/>
  <c r="O596" i="2"/>
  <c r="N596" i="2"/>
  <c r="M596" i="2"/>
  <c r="L596" i="2"/>
  <c r="K596" i="2"/>
  <c r="J596" i="2"/>
  <c r="I596" i="2"/>
  <c r="H596" i="2"/>
  <c r="G596" i="2"/>
  <c r="F596" i="2"/>
  <c r="E596" i="2"/>
  <c r="D596" i="2"/>
  <c r="C596" i="2"/>
  <c r="B596" i="2"/>
  <c r="A596" i="2"/>
  <c r="AH595" i="2"/>
  <c r="AG595" i="2"/>
  <c r="AF595" i="2"/>
  <c r="AE595" i="2"/>
  <c r="AD595" i="2"/>
  <c r="AC595" i="2"/>
  <c r="AB595" i="2"/>
  <c r="AA595" i="2"/>
  <c r="Y595" i="2"/>
  <c r="X595" i="2"/>
  <c r="W595" i="2"/>
  <c r="V595" i="2"/>
  <c r="U595" i="2"/>
  <c r="T595" i="2"/>
  <c r="S595" i="2"/>
  <c r="R595" i="2"/>
  <c r="Q595" i="2"/>
  <c r="P595" i="2"/>
  <c r="O595" i="2"/>
  <c r="N595" i="2"/>
  <c r="M595" i="2"/>
  <c r="L595" i="2"/>
  <c r="K595" i="2"/>
  <c r="J595" i="2"/>
  <c r="I595" i="2"/>
  <c r="H595" i="2"/>
  <c r="G595" i="2"/>
  <c r="F595" i="2"/>
  <c r="E595" i="2"/>
  <c r="D595" i="2"/>
  <c r="C595" i="2"/>
  <c r="B595" i="2"/>
  <c r="A595" i="2"/>
  <c r="AH594" i="2"/>
  <c r="AG594" i="2"/>
  <c r="AE594" i="2"/>
  <c r="AD594" i="2"/>
  <c r="AC594" i="2"/>
  <c r="AB594" i="2"/>
  <c r="AA594" i="2"/>
  <c r="Z594" i="2"/>
  <c r="Y594" i="2"/>
  <c r="X594" i="2"/>
  <c r="W594" i="2"/>
  <c r="V594" i="2"/>
  <c r="U594" i="2"/>
  <c r="T594" i="2"/>
  <c r="S594" i="2"/>
  <c r="R594" i="2"/>
  <c r="Q594" i="2"/>
  <c r="P594" i="2"/>
  <c r="O594" i="2"/>
  <c r="N594" i="2"/>
  <c r="M594" i="2"/>
  <c r="L594" i="2"/>
  <c r="K594" i="2"/>
  <c r="J594" i="2"/>
  <c r="I594" i="2"/>
  <c r="H594" i="2"/>
  <c r="G594" i="2"/>
  <c r="F594" i="2"/>
  <c r="E594" i="2"/>
  <c r="D594" i="2"/>
  <c r="C594" i="2"/>
  <c r="B594" i="2"/>
  <c r="A594" i="2"/>
  <c r="AH593" i="2"/>
  <c r="AG593" i="2"/>
  <c r="AE593" i="2"/>
  <c r="AD593" i="2"/>
  <c r="AC593" i="2"/>
  <c r="AB593" i="2"/>
  <c r="AA593" i="2"/>
  <c r="Y593" i="2"/>
  <c r="X593" i="2"/>
  <c r="V593" i="2"/>
  <c r="U593" i="2"/>
  <c r="T593" i="2"/>
  <c r="S593" i="2"/>
  <c r="R593" i="2"/>
  <c r="Q593" i="2"/>
  <c r="P593" i="2"/>
  <c r="O593" i="2"/>
  <c r="N593" i="2"/>
  <c r="M593" i="2"/>
  <c r="L593" i="2"/>
  <c r="K593" i="2"/>
  <c r="J593" i="2"/>
  <c r="I593" i="2"/>
  <c r="H593" i="2"/>
  <c r="G593" i="2"/>
  <c r="F593" i="2"/>
  <c r="E593" i="2"/>
  <c r="D593" i="2"/>
  <c r="C593" i="2"/>
  <c r="B593" i="2"/>
  <c r="A593" i="2"/>
  <c r="AH592" i="2"/>
  <c r="AG592" i="2"/>
  <c r="AF592" i="2"/>
  <c r="AE592" i="2"/>
  <c r="AD592" i="2"/>
  <c r="AC592" i="2"/>
  <c r="AB592" i="2"/>
  <c r="AA592" i="2"/>
  <c r="Y592" i="2"/>
  <c r="X592" i="2"/>
  <c r="W592" i="2"/>
  <c r="V592" i="2"/>
  <c r="U592" i="2"/>
  <c r="T592" i="2"/>
  <c r="S592" i="2"/>
  <c r="R592" i="2"/>
  <c r="Q592" i="2"/>
  <c r="P592" i="2"/>
  <c r="O592" i="2"/>
  <c r="N592" i="2"/>
  <c r="M592" i="2"/>
  <c r="L592" i="2"/>
  <c r="K592" i="2"/>
  <c r="J592" i="2"/>
  <c r="I592" i="2"/>
  <c r="H592" i="2"/>
  <c r="G592" i="2"/>
  <c r="F592" i="2"/>
  <c r="E592" i="2"/>
  <c r="D592" i="2"/>
  <c r="C592" i="2"/>
  <c r="B592" i="2"/>
  <c r="A592" i="2"/>
  <c r="AG591" i="2"/>
  <c r="AF591" i="2"/>
  <c r="AE591" i="2"/>
  <c r="AD591" i="2"/>
  <c r="AC591" i="2"/>
  <c r="AB591" i="2"/>
  <c r="AA591" i="2"/>
  <c r="Y591" i="2"/>
  <c r="X591" i="2"/>
  <c r="W591" i="2"/>
  <c r="V591" i="2"/>
  <c r="U591" i="2"/>
  <c r="T591" i="2"/>
  <c r="S591" i="2"/>
  <c r="R591" i="2"/>
  <c r="Q591" i="2"/>
  <c r="P591" i="2"/>
  <c r="O591" i="2"/>
  <c r="N591" i="2"/>
  <c r="M591" i="2"/>
  <c r="L591" i="2"/>
  <c r="K591" i="2"/>
  <c r="J591" i="2"/>
  <c r="I591" i="2"/>
  <c r="H591" i="2"/>
  <c r="G591" i="2"/>
  <c r="F591" i="2"/>
  <c r="E591" i="2"/>
  <c r="D591" i="2"/>
  <c r="C591" i="2"/>
  <c r="B591" i="2"/>
  <c r="A591" i="2"/>
  <c r="AH590" i="2"/>
  <c r="AG590" i="2"/>
  <c r="AE590" i="2"/>
  <c r="AD590" i="2"/>
  <c r="AC590" i="2"/>
  <c r="AB590" i="2"/>
  <c r="AA590" i="2"/>
  <c r="X590" i="2"/>
  <c r="W590" i="2"/>
  <c r="V590" i="2"/>
  <c r="U590" i="2"/>
  <c r="T590" i="2"/>
  <c r="S590" i="2"/>
  <c r="R590" i="2"/>
  <c r="Q590" i="2"/>
  <c r="P590" i="2"/>
  <c r="O590" i="2"/>
  <c r="N590" i="2"/>
  <c r="M590" i="2"/>
  <c r="L590" i="2"/>
  <c r="K590" i="2"/>
  <c r="J590" i="2"/>
  <c r="I590" i="2"/>
  <c r="H590" i="2"/>
  <c r="G590" i="2"/>
  <c r="F590" i="2"/>
  <c r="E590" i="2"/>
  <c r="D590" i="2"/>
  <c r="C590" i="2"/>
  <c r="B590" i="2"/>
  <c r="A590" i="2"/>
  <c r="AH589" i="2"/>
  <c r="AG589" i="2"/>
  <c r="AE589" i="2"/>
  <c r="AD589" i="2"/>
  <c r="AC589" i="2"/>
  <c r="AB589" i="2"/>
  <c r="AA589" i="2"/>
  <c r="V589" i="2"/>
  <c r="U589" i="2"/>
  <c r="T589" i="2"/>
  <c r="S589" i="2"/>
  <c r="R589" i="2"/>
  <c r="Q589" i="2"/>
  <c r="P589" i="2"/>
  <c r="O589" i="2"/>
  <c r="N589" i="2"/>
  <c r="M589" i="2"/>
  <c r="L589" i="2"/>
  <c r="K589" i="2"/>
  <c r="J589" i="2"/>
  <c r="I589" i="2"/>
  <c r="H589" i="2"/>
  <c r="G589" i="2"/>
  <c r="F589" i="2"/>
  <c r="E589" i="2"/>
  <c r="D589" i="2"/>
  <c r="C589" i="2"/>
  <c r="B589" i="2"/>
  <c r="A589" i="2"/>
  <c r="AH588" i="2"/>
  <c r="AG588" i="2"/>
  <c r="AE588" i="2"/>
  <c r="AD588" i="2"/>
  <c r="AC588" i="2"/>
  <c r="AB588" i="2"/>
  <c r="AA588" i="2"/>
  <c r="X588" i="2"/>
  <c r="V588" i="2"/>
  <c r="U588" i="2"/>
  <c r="T588" i="2"/>
  <c r="S588" i="2"/>
  <c r="R588" i="2"/>
  <c r="Q588" i="2"/>
  <c r="P588" i="2"/>
  <c r="O588" i="2"/>
  <c r="N588" i="2"/>
  <c r="M588" i="2"/>
  <c r="L588" i="2"/>
  <c r="K588" i="2"/>
  <c r="J588" i="2"/>
  <c r="I588" i="2"/>
  <c r="H588" i="2"/>
  <c r="G588" i="2"/>
  <c r="F588" i="2"/>
  <c r="E588" i="2"/>
  <c r="D588" i="2"/>
  <c r="C588" i="2"/>
  <c r="B588" i="2"/>
  <c r="A588" i="2"/>
  <c r="AG587" i="2"/>
  <c r="W587" i="2"/>
  <c r="V587" i="2"/>
  <c r="U587" i="2"/>
  <c r="T587" i="2"/>
  <c r="S587" i="2"/>
  <c r="R587" i="2"/>
  <c r="Q587" i="2"/>
  <c r="P587" i="2"/>
  <c r="O587" i="2"/>
  <c r="N587" i="2"/>
  <c r="M587" i="2"/>
  <c r="L587" i="2"/>
  <c r="K587" i="2"/>
  <c r="J587" i="2"/>
  <c r="I587" i="2"/>
  <c r="H587" i="2"/>
  <c r="G587" i="2"/>
  <c r="F587" i="2"/>
  <c r="E587" i="2"/>
  <c r="D587" i="2"/>
  <c r="C587" i="2"/>
  <c r="B587" i="2"/>
  <c r="A587" i="2"/>
  <c r="AH586" i="2"/>
  <c r="AG586" i="2"/>
  <c r="AE586" i="2"/>
  <c r="AD586" i="2"/>
  <c r="AC586" i="2"/>
  <c r="AB586" i="2"/>
  <c r="AA586" i="2"/>
  <c r="X586" i="2"/>
  <c r="W586" i="2"/>
  <c r="V586" i="2"/>
  <c r="U586" i="2"/>
  <c r="T586" i="2"/>
  <c r="S586" i="2"/>
  <c r="R586" i="2"/>
  <c r="Q586" i="2"/>
  <c r="P586" i="2"/>
  <c r="O586" i="2"/>
  <c r="N586" i="2"/>
  <c r="M586" i="2"/>
  <c r="L586" i="2"/>
  <c r="K586" i="2"/>
  <c r="J586" i="2"/>
  <c r="I586" i="2"/>
  <c r="H586" i="2"/>
  <c r="G586" i="2"/>
  <c r="F586" i="2"/>
  <c r="E586" i="2"/>
  <c r="D586" i="2"/>
  <c r="C586" i="2"/>
  <c r="B586" i="2"/>
  <c r="A586" i="2"/>
  <c r="AH585" i="2"/>
  <c r="AG585" i="2"/>
  <c r="AE585" i="2"/>
  <c r="AD585" i="2"/>
  <c r="AC585" i="2"/>
  <c r="AB585" i="2"/>
  <c r="AA585" i="2"/>
  <c r="Y585" i="2"/>
  <c r="X585" i="2"/>
  <c r="W585" i="2"/>
  <c r="V585" i="2"/>
  <c r="U585" i="2"/>
  <c r="T585" i="2"/>
  <c r="S585" i="2"/>
  <c r="R585" i="2"/>
  <c r="Q585" i="2"/>
  <c r="P585" i="2"/>
  <c r="O585" i="2"/>
  <c r="N585" i="2"/>
  <c r="M585" i="2"/>
  <c r="L585" i="2"/>
  <c r="K585" i="2"/>
  <c r="J585" i="2"/>
  <c r="I585" i="2"/>
  <c r="H585" i="2"/>
  <c r="G585" i="2"/>
  <c r="F585" i="2"/>
  <c r="E585" i="2"/>
  <c r="D585" i="2"/>
  <c r="C585" i="2"/>
  <c r="B585" i="2"/>
  <c r="A585" i="2"/>
  <c r="AH584" i="2"/>
  <c r="AG584" i="2"/>
  <c r="AE584" i="2"/>
  <c r="AD584" i="2"/>
  <c r="AC584" i="2"/>
  <c r="AB584" i="2"/>
  <c r="AA584" i="2"/>
  <c r="Y584" i="2"/>
  <c r="X584" i="2"/>
  <c r="V584" i="2"/>
  <c r="U584" i="2"/>
  <c r="T584" i="2"/>
  <c r="S584" i="2"/>
  <c r="R584" i="2"/>
  <c r="Q584" i="2"/>
  <c r="P584" i="2"/>
  <c r="O584" i="2"/>
  <c r="N584" i="2"/>
  <c r="M584" i="2"/>
  <c r="L584" i="2"/>
  <c r="K584" i="2"/>
  <c r="J584" i="2"/>
  <c r="I584" i="2"/>
  <c r="H584" i="2"/>
  <c r="G584" i="2"/>
  <c r="F584" i="2"/>
  <c r="E584" i="2"/>
  <c r="D584" i="2"/>
  <c r="C584" i="2"/>
  <c r="B584" i="2"/>
  <c r="A584" i="2"/>
  <c r="AG583" i="2"/>
  <c r="AF583" i="2"/>
  <c r="AE583" i="2"/>
  <c r="AD583" i="2"/>
  <c r="AC583" i="2"/>
  <c r="AB583" i="2"/>
  <c r="AA583" i="2"/>
  <c r="Z583" i="2"/>
  <c r="Y583" i="2"/>
  <c r="X583" i="2"/>
  <c r="W583" i="2"/>
  <c r="V583" i="2"/>
  <c r="U583" i="2"/>
  <c r="T583" i="2"/>
  <c r="S583" i="2"/>
  <c r="R583" i="2"/>
  <c r="Q583" i="2"/>
  <c r="P583" i="2"/>
  <c r="O583" i="2"/>
  <c r="N583" i="2"/>
  <c r="M583" i="2"/>
  <c r="L583" i="2"/>
  <c r="K583" i="2"/>
  <c r="J583" i="2"/>
  <c r="I583" i="2"/>
  <c r="H583" i="2"/>
  <c r="G583" i="2"/>
  <c r="F583" i="2"/>
  <c r="E583" i="2"/>
  <c r="D583" i="2"/>
  <c r="C583" i="2"/>
  <c r="B583" i="2"/>
  <c r="A583" i="2"/>
  <c r="AH582" i="2"/>
  <c r="AG582" i="2"/>
  <c r="AE582" i="2"/>
  <c r="AD582" i="2"/>
  <c r="AC582" i="2"/>
  <c r="AB582" i="2"/>
  <c r="AA582" i="2"/>
  <c r="Y582" i="2"/>
  <c r="X582" i="2"/>
  <c r="W582" i="2"/>
  <c r="V582" i="2"/>
  <c r="U582" i="2"/>
  <c r="T582" i="2"/>
  <c r="S582" i="2"/>
  <c r="R582" i="2"/>
  <c r="Q582" i="2"/>
  <c r="P582" i="2"/>
  <c r="O582" i="2"/>
  <c r="N582" i="2"/>
  <c r="M582" i="2"/>
  <c r="L582" i="2"/>
  <c r="K582" i="2"/>
  <c r="J582" i="2"/>
  <c r="I582" i="2"/>
  <c r="H582" i="2"/>
  <c r="G582" i="2"/>
  <c r="F582" i="2"/>
  <c r="E582" i="2"/>
  <c r="D582" i="2"/>
  <c r="C582" i="2"/>
  <c r="B582" i="2"/>
  <c r="A582" i="2"/>
  <c r="AH581" i="2"/>
  <c r="AG581" i="2"/>
  <c r="AF581" i="2"/>
  <c r="AE581" i="2"/>
  <c r="AD581" i="2"/>
  <c r="AC581" i="2"/>
  <c r="AB581" i="2"/>
  <c r="AA581" i="2"/>
  <c r="Y581" i="2"/>
  <c r="X581" i="2"/>
  <c r="W581" i="2"/>
  <c r="V581" i="2"/>
  <c r="U581" i="2"/>
  <c r="T581" i="2"/>
  <c r="S581" i="2"/>
  <c r="R581" i="2"/>
  <c r="Q581" i="2"/>
  <c r="P581" i="2"/>
  <c r="O581" i="2"/>
  <c r="N581" i="2"/>
  <c r="M581" i="2"/>
  <c r="L581" i="2"/>
  <c r="K581" i="2"/>
  <c r="J581" i="2"/>
  <c r="I581" i="2"/>
  <c r="H581" i="2"/>
  <c r="G581" i="2"/>
  <c r="F581" i="2"/>
  <c r="E581" i="2"/>
  <c r="D581" i="2"/>
  <c r="C581" i="2"/>
  <c r="B581" i="2"/>
  <c r="A581" i="2"/>
  <c r="AH580" i="2"/>
  <c r="AG580" i="2"/>
  <c r="AE580" i="2"/>
  <c r="AD580" i="2"/>
  <c r="AC580" i="2"/>
  <c r="AB580" i="2"/>
  <c r="AA580" i="2"/>
  <c r="Y580" i="2"/>
  <c r="V580" i="2"/>
  <c r="U580" i="2"/>
  <c r="T580" i="2"/>
  <c r="S580" i="2"/>
  <c r="R580" i="2"/>
  <c r="Q580" i="2"/>
  <c r="P580" i="2"/>
  <c r="O580" i="2"/>
  <c r="N580" i="2"/>
  <c r="M580" i="2"/>
  <c r="L580" i="2"/>
  <c r="K580" i="2"/>
  <c r="J580" i="2"/>
  <c r="I580" i="2"/>
  <c r="H580" i="2"/>
  <c r="G580" i="2"/>
  <c r="F580" i="2"/>
  <c r="E580" i="2"/>
  <c r="D580" i="2"/>
  <c r="C580" i="2"/>
  <c r="B580" i="2"/>
  <c r="A580" i="2"/>
  <c r="AH579" i="2"/>
  <c r="AG579" i="2"/>
  <c r="AF579" i="2"/>
  <c r="AE579" i="2"/>
  <c r="AD579" i="2"/>
  <c r="AC579" i="2"/>
  <c r="AB579" i="2"/>
  <c r="AA579" i="2"/>
  <c r="Z579" i="2"/>
  <c r="Y579" i="2"/>
  <c r="X579" i="2"/>
  <c r="W579" i="2"/>
  <c r="V579" i="2"/>
  <c r="U579" i="2"/>
  <c r="T579" i="2"/>
  <c r="S579" i="2"/>
  <c r="R579" i="2"/>
  <c r="Q579" i="2"/>
  <c r="P579" i="2"/>
  <c r="O579" i="2"/>
  <c r="N579" i="2"/>
  <c r="M579" i="2"/>
  <c r="L579" i="2"/>
  <c r="K579" i="2"/>
  <c r="J579" i="2"/>
  <c r="I579" i="2"/>
  <c r="H579" i="2"/>
  <c r="G579" i="2"/>
  <c r="F579" i="2"/>
  <c r="E579" i="2"/>
  <c r="D579" i="2"/>
  <c r="C579" i="2"/>
  <c r="B579" i="2"/>
  <c r="A579" i="2"/>
  <c r="AH578" i="2"/>
  <c r="AG578" i="2"/>
  <c r="AF578" i="2"/>
  <c r="AE578" i="2"/>
  <c r="AD578" i="2"/>
  <c r="AC578" i="2"/>
  <c r="AB578" i="2"/>
  <c r="AA578" i="2"/>
  <c r="Y578" i="2"/>
  <c r="X578" i="2"/>
  <c r="W578" i="2"/>
  <c r="V578" i="2"/>
  <c r="U578" i="2"/>
  <c r="T578" i="2"/>
  <c r="S578" i="2"/>
  <c r="R578" i="2"/>
  <c r="Q578" i="2"/>
  <c r="P578" i="2"/>
  <c r="O578" i="2"/>
  <c r="N578" i="2"/>
  <c r="M578" i="2"/>
  <c r="L578" i="2"/>
  <c r="K578" i="2"/>
  <c r="J578" i="2"/>
  <c r="I578" i="2"/>
  <c r="H578" i="2"/>
  <c r="G578" i="2"/>
  <c r="F578" i="2"/>
  <c r="E578" i="2"/>
  <c r="D578" i="2"/>
  <c r="C578" i="2"/>
  <c r="B578" i="2"/>
  <c r="A578" i="2"/>
  <c r="AH577" i="2"/>
  <c r="AG577" i="2"/>
  <c r="AE577" i="2"/>
  <c r="AD577" i="2"/>
  <c r="AC577" i="2"/>
  <c r="AB577" i="2"/>
  <c r="AA577" i="2"/>
  <c r="Y577" i="2"/>
  <c r="V577" i="2"/>
  <c r="U577" i="2"/>
  <c r="T577" i="2"/>
  <c r="S577" i="2"/>
  <c r="R577" i="2"/>
  <c r="Q577" i="2"/>
  <c r="P577" i="2"/>
  <c r="O577" i="2"/>
  <c r="N577" i="2"/>
  <c r="M577" i="2"/>
  <c r="L577" i="2"/>
  <c r="K577" i="2"/>
  <c r="J577" i="2"/>
  <c r="I577" i="2"/>
  <c r="H577" i="2"/>
  <c r="G577" i="2"/>
  <c r="F577" i="2"/>
  <c r="E577" i="2"/>
  <c r="D577" i="2"/>
  <c r="C577" i="2"/>
  <c r="B577" i="2"/>
  <c r="A577" i="2"/>
  <c r="AH576" i="2"/>
  <c r="AG576" i="2"/>
  <c r="AF576" i="2"/>
  <c r="AE576" i="2"/>
  <c r="AD576" i="2"/>
  <c r="AC576" i="2"/>
  <c r="AB576" i="2"/>
  <c r="AA576" i="2"/>
  <c r="Y576" i="2"/>
  <c r="X576" i="2"/>
  <c r="W576" i="2"/>
  <c r="V576" i="2"/>
  <c r="U576" i="2"/>
  <c r="T576" i="2"/>
  <c r="S576" i="2"/>
  <c r="R576" i="2"/>
  <c r="Q576" i="2"/>
  <c r="P576" i="2"/>
  <c r="O576" i="2"/>
  <c r="N576" i="2"/>
  <c r="M576" i="2"/>
  <c r="L576" i="2"/>
  <c r="K576" i="2"/>
  <c r="J576" i="2"/>
  <c r="I576" i="2"/>
  <c r="H576" i="2"/>
  <c r="G576" i="2"/>
  <c r="F576" i="2"/>
  <c r="E576" i="2"/>
  <c r="D576" i="2"/>
  <c r="C576" i="2"/>
  <c r="B576" i="2"/>
  <c r="A576" i="2"/>
  <c r="AG575" i="2"/>
  <c r="AF575" i="2"/>
  <c r="AE575" i="2"/>
  <c r="AD575" i="2"/>
  <c r="AC575" i="2"/>
  <c r="AB575" i="2"/>
  <c r="AA575" i="2"/>
  <c r="Y575" i="2"/>
  <c r="X575" i="2"/>
  <c r="W575" i="2"/>
  <c r="V575" i="2"/>
  <c r="U575" i="2"/>
  <c r="T575" i="2"/>
  <c r="S575" i="2"/>
  <c r="R575" i="2"/>
  <c r="Q575" i="2"/>
  <c r="P575" i="2"/>
  <c r="O575" i="2"/>
  <c r="N575" i="2"/>
  <c r="M575" i="2"/>
  <c r="L575" i="2"/>
  <c r="K575" i="2"/>
  <c r="J575" i="2"/>
  <c r="I575" i="2"/>
  <c r="H575" i="2"/>
  <c r="G575" i="2"/>
  <c r="F575" i="2"/>
  <c r="E575" i="2"/>
  <c r="D575" i="2"/>
  <c r="C575" i="2"/>
  <c r="B575" i="2"/>
  <c r="A575" i="2"/>
  <c r="AH574" i="2"/>
  <c r="AG574" i="2"/>
  <c r="AE574" i="2"/>
  <c r="AD574" i="2"/>
  <c r="AC574" i="2"/>
  <c r="AB574" i="2"/>
  <c r="AA574" i="2"/>
  <c r="Y574" i="2"/>
  <c r="X574" i="2"/>
  <c r="V574" i="2"/>
  <c r="U574" i="2"/>
  <c r="T574" i="2"/>
  <c r="R574" i="2"/>
  <c r="Q574" i="2"/>
  <c r="P574" i="2"/>
  <c r="O574" i="2"/>
  <c r="N574" i="2"/>
  <c r="M574" i="2"/>
  <c r="L574" i="2"/>
  <c r="K574" i="2"/>
  <c r="J574" i="2"/>
  <c r="I574" i="2"/>
  <c r="H574" i="2"/>
  <c r="G574" i="2"/>
  <c r="F574" i="2"/>
  <c r="E574" i="2"/>
  <c r="D574" i="2"/>
  <c r="C574" i="2"/>
  <c r="B574" i="2"/>
  <c r="A574" i="2"/>
  <c r="AH573" i="2"/>
  <c r="AG573" i="2"/>
  <c r="AE573" i="2"/>
  <c r="AD573" i="2"/>
  <c r="AC573" i="2"/>
  <c r="AB573" i="2"/>
  <c r="AA573" i="2"/>
  <c r="Y573" i="2"/>
  <c r="X573" i="2"/>
  <c r="W573" i="2"/>
  <c r="V573" i="2"/>
  <c r="U573" i="2"/>
  <c r="T573" i="2"/>
  <c r="S573" i="2"/>
  <c r="R573" i="2"/>
  <c r="Q573" i="2"/>
  <c r="P573" i="2"/>
  <c r="O573" i="2"/>
  <c r="N573" i="2"/>
  <c r="M573" i="2"/>
  <c r="L573" i="2"/>
  <c r="K573" i="2"/>
  <c r="J573" i="2"/>
  <c r="I573" i="2"/>
  <c r="H573" i="2"/>
  <c r="G573" i="2"/>
  <c r="F573" i="2"/>
  <c r="E573" i="2"/>
  <c r="D573" i="2"/>
  <c r="C573" i="2"/>
  <c r="B573" i="2"/>
  <c r="A573" i="2"/>
  <c r="AH572" i="2"/>
  <c r="AG572" i="2"/>
  <c r="AE572" i="2"/>
  <c r="AD572" i="2"/>
  <c r="AC572" i="2"/>
  <c r="AB572" i="2"/>
  <c r="AA572" i="2"/>
  <c r="Y572" i="2"/>
  <c r="X572" i="2"/>
  <c r="V572" i="2"/>
  <c r="U572" i="2"/>
  <c r="T572" i="2"/>
  <c r="S572" i="2"/>
  <c r="R572" i="2"/>
  <c r="Q572" i="2"/>
  <c r="P572" i="2"/>
  <c r="O572" i="2"/>
  <c r="N572" i="2"/>
  <c r="M572" i="2"/>
  <c r="L572" i="2"/>
  <c r="K572" i="2"/>
  <c r="J572" i="2"/>
  <c r="I572" i="2"/>
  <c r="H572" i="2"/>
  <c r="G572" i="2"/>
  <c r="F572" i="2"/>
  <c r="E572" i="2"/>
  <c r="D572" i="2"/>
  <c r="C572" i="2"/>
  <c r="B572" i="2"/>
  <c r="A572" i="2"/>
  <c r="AH571" i="2"/>
  <c r="AG571" i="2"/>
  <c r="AE571" i="2"/>
  <c r="AD571" i="2"/>
  <c r="AC571" i="2"/>
  <c r="AB571" i="2"/>
  <c r="AA571" i="2"/>
  <c r="Y571" i="2"/>
  <c r="X571" i="2"/>
  <c r="V571" i="2"/>
  <c r="U571" i="2"/>
  <c r="T571" i="2"/>
  <c r="S571" i="2"/>
  <c r="R571" i="2"/>
  <c r="Q571" i="2"/>
  <c r="P571" i="2"/>
  <c r="O571" i="2"/>
  <c r="N571" i="2"/>
  <c r="M571" i="2"/>
  <c r="L571" i="2"/>
  <c r="K571" i="2"/>
  <c r="J571" i="2"/>
  <c r="I571" i="2"/>
  <c r="H571" i="2"/>
  <c r="G571" i="2"/>
  <c r="F571" i="2"/>
  <c r="E571" i="2"/>
  <c r="D571" i="2"/>
  <c r="C571" i="2"/>
  <c r="B571" i="2"/>
  <c r="A571" i="2"/>
  <c r="AH570" i="2"/>
  <c r="AG570" i="2"/>
  <c r="AF570" i="2"/>
  <c r="AE570" i="2"/>
  <c r="AD570" i="2"/>
  <c r="AC570" i="2"/>
  <c r="AB570" i="2"/>
  <c r="AA570" i="2"/>
  <c r="Y570" i="2"/>
  <c r="X570" i="2"/>
  <c r="W570" i="2"/>
  <c r="V570" i="2"/>
  <c r="U570" i="2"/>
  <c r="T570" i="2"/>
  <c r="S570" i="2"/>
  <c r="R570" i="2"/>
  <c r="Q570" i="2"/>
  <c r="P570" i="2"/>
  <c r="O570" i="2"/>
  <c r="N570" i="2"/>
  <c r="M570" i="2"/>
  <c r="L570" i="2"/>
  <c r="K570" i="2"/>
  <c r="J570" i="2"/>
  <c r="I570" i="2"/>
  <c r="H570" i="2"/>
  <c r="G570" i="2"/>
  <c r="F570" i="2"/>
  <c r="E570" i="2"/>
  <c r="D570" i="2"/>
  <c r="C570" i="2"/>
  <c r="B570" i="2"/>
  <c r="A570" i="2"/>
  <c r="AG569" i="2"/>
  <c r="AE569" i="2"/>
  <c r="AD569" i="2"/>
  <c r="AC569" i="2"/>
  <c r="AB569" i="2"/>
  <c r="AA569" i="2"/>
  <c r="Y569" i="2"/>
  <c r="V569" i="2"/>
  <c r="U569" i="2"/>
  <c r="T569" i="2"/>
  <c r="S569" i="2"/>
  <c r="R569" i="2"/>
  <c r="Q569" i="2"/>
  <c r="P569" i="2"/>
  <c r="O569" i="2"/>
  <c r="N569" i="2"/>
  <c r="M569" i="2"/>
  <c r="L569" i="2"/>
  <c r="K569" i="2"/>
  <c r="J569" i="2"/>
  <c r="I569" i="2"/>
  <c r="H569" i="2"/>
  <c r="G569" i="2"/>
  <c r="F569" i="2"/>
  <c r="E569" i="2"/>
  <c r="D569" i="2"/>
  <c r="C569" i="2"/>
  <c r="B569" i="2"/>
  <c r="A569" i="2"/>
  <c r="AH568" i="2"/>
  <c r="AG568" i="2"/>
  <c r="AF568" i="2"/>
  <c r="AE568" i="2"/>
  <c r="AD568" i="2"/>
  <c r="AC568" i="2"/>
  <c r="AB568" i="2"/>
  <c r="AA568" i="2"/>
  <c r="Y568" i="2"/>
  <c r="X568" i="2"/>
  <c r="W568" i="2"/>
  <c r="V568" i="2"/>
  <c r="U568" i="2"/>
  <c r="T568" i="2"/>
  <c r="S568" i="2"/>
  <c r="R568" i="2"/>
  <c r="Q568" i="2"/>
  <c r="P568" i="2"/>
  <c r="O568" i="2"/>
  <c r="N568" i="2"/>
  <c r="M568" i="2"/>
  <c r="L568" i="2"/>
  <c r="K568" i="2"/>
  <c r="J568" i="2"/>
  <c r="I568" i="2"/>
  <c r="H568" i="2"/>
  <c r="G568" i="2"/>
  <c r="F568" i="2"/>
  <c r="E568" i="2"/>
  <c r="D568" i="2"/>
  <c r="C568" i="2"/>
  <c r="B568" i="2"/>
  <c r="A568" i="2"/>
  <c r="AH567" i="2"/>
  <c r="AG567" i="2"/>
  <c r="AD567" i="2"/>
  <c r="AC567" i="2"/>
  <c r="AB567" i="2"/>
  <c r="AA567" i="2"/>
  <c r="Y567" i="2"/>
  <c r="X567" i="2"/>
  <c r="W567" i="2"/>
  <c r="V567" i="2"/>
  <c r="U567" i="2"/>
  <c r="T567" i="2"/>
  <c r="S567" i="2"/>
  <c r="R567" i="2"/>
  <c r="Q567" i="2"/>
  <c r="P567" i="2"/>
  <c r="O567" i="2"/>
  <c r="N567" i="2"/>
  <c r="M567" i="2"/>
  <c r="L567" i="2"/>
  <c r="K567" i="2"/>
  <c r="J567" i="2"/>
  <c r="I567" i="2"/>
  <c r="H567" i="2"/>
  <c r="G567" i="2"/>
  <c r="F567" i="2"/>
  <c r="E567" i="2"/>
  <c r="D567" i="2"/>
  <c r="C567" i="2"/>
  <c r="B567" i="2"/>
  <c r="A567" i="2"/>
  <c r="AH566" i="2"/>
  <c r="AG566" i="2"/>
  <c r="AE566" i="2"/>
  <c r="AD566" i="2"/>
  <c r="AC566" i="2"/>
  <c r="AB566" i="2"/>
  <c r="AA566" i="2"/>
  <c r="Y566" i="2"/>
  <c r="V566" i="2"/>
  <c r="U566" i="2"/>
  <c r="T566" i="2"/>
  <c r="S566" i="2"/>
  <c r="R566" i="2"/>
  <c r="Q566" i="2"/>
  <c r="P566" i="2"/>
  <c r="O566" i="2"/>
  <c r="N566" i="2"/>
  <c r="M566" i="2"/>
  <c r="L566" i="2"/>
  <c r="K566" i="2"/>
  <c r="J566" i="2"/>
  <c r="I566" i="2"/>
  <c r="H566" i="2"/>
  <c r="G566" i="2"/>
  <c r="F566" i="2"/>
  <c r="E566" i="2"/>
  <c r="D566" i="2"/>
  <c r="C566" i="2"/>
  <c r="B566" i="2"/>
  <c r="A566" i="2"/>
  <c r="AH565" i="2"/>
  <c r="AG565" i="2"/>
  <c r="AF565" i="2"/>
  <c r="AE565" i="2"/>
  <c r="AD565" i="2"/>
  <c r="AC565" i="2"/>
  <c r="AB565" i="2"/>
  <c r="AA565" i="2"/>
  <c r="Y565" i="2"/>
  <c r="X565" i="2"/>
  <c r="W565" i="2"/>
  <c r="V565" i="2"/>
  <c r="U565" i="2"/>
  <c r="T565" i="2"/>
  <c r="S565" i="2"/>
  <c r="R565" i="2"/>
  <c r="Q565" i="2"/>
  <c r="P565" i="2"/>
  <c r="O565" i="2"/>
  <c r="N565" i="2"/>
  <c r="M565" i="2"/>
  <c r="L565" i="2"/>
  <c r="K565" i="2"/>
  <c r="J565" i="2"/>
  <c r="I565" i="2"/>
  <c r="H565" i="2"/>
  <c r="G565" i="2"/>
  <c r="F565" i="2"/>
  <c r="E565" i="2"/>
  <c r="D565" i="2"/>
  <c r="C565" i="2"/>
  <c r="B565" i="2"/>
  <c r="A565" i="2"/>
  <c r="AH564" i="2"/>
  <c r="AG564" i="2"/>
  <c r="AE564" i="2"/>
  <c r="AD564" i="2"/>
  <c r="AC564" i="2"/>
  <c r="AB564" i="2"/>
  <c r="AA564" i="2"/>
  <c r="Y564" i="2"/>
  <c r="V564" i="2"/>
  <c r="U564" i="2"/>
  <c r="T564" i="2"/>
  <c r="S564" i="2"/>
  <c r="R564" i="2"/>
  <c r="Q564" i="2"/>
  <c r="P564" i="2"/>
  <c r="O564" i="2"/>
  <c r="N564" i="2"/>
  <c r="M564" i="2"/>
  <c r="L564" i="2"/>
  <c r="K564" i="2"/>
  <c r="J564" i="2"/>
  <c r="I564" i="2"/>
  <c r="H564" i="2"/>
  <c r="G564" i="2"/>
  <c r="F564" i="2"/>
  <c r="E564" i="2"/>
  <c r="D564" i="2"/>
  <c r="C564" i="2"/>
  <c r="B564" i="2"/>
  <c r="A564" i="2"/>
  <c r="AH563" i="2"/>
  <c r="AG563" i="2"/>
  <c r="AE563" i="2"/>
  <c r="AC563" i="2"/>
  <c r="AB563" i="2"/>
  <c r="AA563" i="2"/>
  <c r="Y563" i="2"/>
  <c r="W563" i="2"/>
  <c r="V563" i="2"/>
  <c r="U563" i="2"/>
  <c r="T563" i="2"/>
  <c r="S563" i="2"/>
  <c r="R563" i="2"/>
  <c r="Q563" i="2"/>
  <c r="P563" i="2"/>
  <c r="O563" i="2"/>
  <c r="N563" i="2"/>
  <c r="M563" i="2"/>
  <c r="L563" i="2"/>
  <c r="K563" i="2"/>
  <c r="J563" i="2"/>
  <c r="I563" i="2"/>
  <c r="H563" i="2"/>
  <c r="G563" i="2"/>
  <c r="F563" i="2"/>
  <c r="E563" i="2"/>
  <c r="D563" i="2"/>
  <c r="C563" i="2"/>
  <c r="B563" i="2"/>
  <c r="A563" i="2"/>
  <c r="AH562" i="2"/>
  <c r="AG562" i="2"/>
  <c r="AE562" i="2"/>
  <c r="AD562" i="2"/>
  <c r="AC562" i="2"/>
  <c r="AB562" i="2"/>
  <c r="AA562" i="2"/>
  <c r="Y562" i="2"/>
  <c r="X562" i="2"/>
  <c r="W562" i="2"/>
  <c r="V562" i="2"/>
  <c r="U562" i="2"/>
  <c r="T562" i="2"/>
  <c r="S562" i="2"/>
  <c r="R562" i="2"/>
  <c r="Q562" i="2"/>
  <c r="P562" i="2"/>
  <c r="O562" i="2"/>
  <c r="N562" i="2"/>
  <c r="M562" i="2"/>
  <c r="L562" i="2"/>
  <c r="K562" i="2"/>
  <c r="J562" i="2"/>
  <c r="I562" i="2"/>
  <c r="H562" i="2"/>
  <c r="G562" i="2"/>
  <c r="F562" i="2"/>
  <c r="E562" i="2"/>
  <c r="D562" i="2"/>
  <c r="C562" i="2"/>
  <c r="B562" i="2"/>
  <c r="A562" i="2"/>
  <c r="AH561" i="2"/>
  <c r="AG561" i="2"/>
  <c r="AE561" i="2"/>
  <c r="AC561" i="2"/>
  <c r="AB561" i="2"/>
  <c r="AA561" i="2"/>
  <c r="Z561" i="2"/>
  <c r="Y561" i="2"/>
  <c r="X561" i="2"/>
  <c r="W561" i="2"/>
  <c r="V561" i="2"/>
  <c r="U561" i="2"/>
  <c r="T561" i="2"/>
  <c r="S561" i="2"/>
  <c r="R561" i="2"/>
  <c r="Q561" i="2"/>
  <c r="P561" i="2"/>
  <c r="O561" i="2"/>
  <c r="N561" i="2"/>
  <c r="M561" i="2"/>
  <c r="L561" i="2"/>
  <c r="K561" i="2"/>
  <c r="J561" i="2"/>
  <c r="I561" i="2"/>
  <c r="H561" i="2"/>
  <c r="G561" i="2"/>
  <c r="F561" i="2"/>
  <c r="E561" i="2"/>
  <c r="D561" i="2"/>
  <c r="C561" i="2"/>
  <c r="B561" i="2"/>
  <c r="A561" i="2"/>
  <c r="AH560" i="2"/>
  <c r="AG560" i="2"/>
  <c r="AF560" i="2"/>
  <c r="AC560" i="2"/>
  <c r="AB560" i="2"/>
  <c r="AA560" i="2"/>
  <c r="Y560" i="2"/>
  <c r="X560" i="2"/>
  <c r="W560" i="2"/>
  <c r="V560" i="2"/>
  <c r="U560" i="2"/>
  <c r="T560" i="2"/>
  <c r="S560" i="2"/>
  <c r="R560" i="2"/>
  <c r="Q560" i="2"/>
  <c r="P560" i="2"/>
  <c r="O560" i="2"/>
  <c r="N560" i="2"/>
  <c r="M560" i="2"/>
  <c r="L560" i="2"/>
  <c r="K560" i="2"/>
  <c r="J560" i="2"/>
  <c r="I560" i="2"/>
  <c r="H560" i="2"/>
  <c r="G560" i="2"/>
  <c r="F560" i="2"/>
  <c r="E560" i="2"/>
  <c r="D560" i="2"/>
  <c r="C560" i="2"/>
  <c r="B560" i="2"/>
  <c r="A560" i="2"/>
  <c r="AH559" i="2"/>
  <c r="AG559" i="2"/>
  <c r="AF559" i="2"/>
  <c r="AE559" i="2"/>
  <c r="AD559" i="2"/>
  <c r="AC559" i="2"/>
  <c r="AB559" i="2"/>
  <c r="AA559" i="2"/>
  <c r="Z559" i="2"/>
  <c r="Y559" i="2"/>
  <c r="X559" i="2"/>
  <c r="W559" i="2"/>
  <c r="V559" i="2"/>
  <c r="U559" i="2"/>
  <c r="T559" i="2"/>
  <c r="S559" i="2"/>
  <c r="R559" i="2"/>
  <c r="Q559" i="2"/>
  <c r="P559" i="2"/>
  <c r="O559" i="2"/>
  <c r="N559" i="2"/>
  <c r="M559" i="2"/>
  <c r="L559" i="2"/>
  <c r="K559" i="2"/>
  <c r="J559" i="2"/>
  <c r="I559" i="2"/>
  <c r="H559" i="2"/>
  <c r="G559" i="2"/>
  <c r="F559" i="2"/>
  <c r="E559" i="2"/>
  <c r="D559" i="2"/>
  <c r="C559" i="2"/>
  <c r="B559" i="2"/>
  <c r="A559" i="2"/>
  <c r="AH558" i="2"/>
  <c r="AG558" i="2"/>
  <c r="AE558" i="2"/>
  <c r="AD558" i="2"/>
  <c r="AC558" i="2"/>
  <c r="AB558" i="2"/>
  <c r="AA558" i="2"/>
  <c r="Z558" i="2"/>
  <c r="Y558" i="2"/>
  <c r="X558" i="2"/>
  <c r="W558" i="2"/>
  <c r="V558" i="2"/>
  <c r="U558" i="2"/>
  <c r="T558" i="2"/>
  <c r="S558" i="2"/>
  <c r="R558" i="2"/>
  <c r="Q558" i="2"/>
  <c r="P558" i="2"/>
  <c r="O558" i="2"/>
  <c r="N558" i="2"/>
  <c r="M558" i="2"/>
  <c r="L558" i="2"/>
  <c r="K558" i="2"/>
  <c r="J558" i="2"/>
  <c r="I558" i="2"/>
  <c r="H558" i="2"/>
  <c r="G558" i="2"/>
  <c r="F558" i="2"/>
  <c r="E558" i="2"/>
  <c r="D558" i="2"/>
  <c r="C558" i="2"/>
  <c r="B558" i="2"/>
  <c r="A558" i="2"/>
  <c r="AH557" i="2"/>
  <c r="AG557" i="2"/>
  <c r="AF557" i="2"/>
  <c r="AE557" i="2"/>
  <c r="AD557" i="2"/>
  <c r="AC557" i="2"/>
  <c r="AB557" i="2"/>
  <c r="AA557" i="2"/>
  <c r="Y557" i="2"/>
  <c r="X557" i="2"/>
  <c r="W557" i="2"/>
  <c r="V557" i="2"/>
  <c r="U557" i="2"/>
  <c r="T557" i="2"/>
  <c r="S557" i="2"/>
  <c r="R557" i="2"/>
  <c r="Q557" i="2"/>
  <c r="P557" i="2"/>
  <c r="O557" i="2"/>
  <c r="N557" i="2"/>
  <c r="M557" i="2"/>
  <c r="L557" i="2"/>
  <c r="K557" i="2"/>
  <c r="J557" i="2"/>
  <c r="I557" i="2"/>
  <c r="H557" i="2"/>
  <c r="G557" i="2"/>
  <c r="F557" i="2"/>
  <c r="E557" i="2"/>
  <c r="D557" i="2"/>
  <c r="C557" i="2"/>
  <c r="B557" i="2"/>
  <c r="A557" i="2"/>
  <c r="AH556" i="2"/>
  <c r="AG556" i="2"/>
  <c r="AF556" i="2"/>
  <c r="AE556" i="2"/>
  <c r="AD556" i="2"/>
  <c r="AC556" i="2"/>
  <c r="AB556" i="2"/>
  <c r="AA556" i="2"/>
  <c r="Y556" i="2"/>
  <c r="X556" i="2"/>
  <c r="W556" i="2"/>
  <c r="V556" i="2"/>
  <c r="U556" i="2"/>
  <c r="T556" i="2"/>
  <c r="S556" i="2"/>
  <c r="R556" i="2"/>
  <c r="Q556" i="2"/>
  <c r="P556" i="2"/>
  <c r="O556" i="2"/>
  <c r="N556" i="2"/>
  <c r="M556" i="2"/>
  <c r="L556" i="2"/>
  <c r="K556" i="2"/>
  <c r="J556" i="2"/>
  <c r="I556" i="2"/>
  <c r="H556" i="2"/>
  <c r="G556" i="2"/>
  <c r="F556" i="2"/>
  <c r="E556" i="2"/>
  <c r="D556" i="2"/>
  <c r="C556" i="2"/>
  <c r="B556" i="2"/>
  <c r="A556" i="2"/>
  <c r="AH555" i="2"/>
  <c r="AG555" i="2"/>
  <c r="AE555" i="2"/>
  <c r="AD555" i="2"/>
  <c r="AC555" i="2"/>
  <c r="AB555" i="2"/>
  <c r="AA555" i="2"/>
  <c r="Y555" i="2"/>
  <c r="X555" i="2"/>
  <c r="W555" i="2"/>
  <c r="V555" i="2"/>
  <c r="U555" i="2"/>
  <c r="T555" i="2"/>
  <c r="S555" i="2"/>
  <c r="R555" i="2"/>
  <c r="Q555" i="2"/>
  <c r="P555" i="2"/>
  <c r="O555" i="2"/>
  <c r="N555" i="2"/>
  <c r="M555" i="2"/>
  <c r="L555" i="2"/>
  <c r="K555" i="2"/>
  <c r="J555" i="2"/>
  <c r="I555" i="2"/>
  <c r="H555" i="2"/>
  <c r="G555" i="2"/>
  <c r="F555" i="2"/>
  <c r="E555" i="2"/>
  <c r="D555" i="2"/>
  <c r="C555" i="2"/>
  <c r="B555" i="2"/>
  <c r="A555" i="2"/>
  <c r="AH554" i="2"/>
  <c r="AG554" i="2"/>
  <c r="AE554" i="2"/>
  <c r="AD554" i="2"/>
  <c r="AC554" i="2"/>
  <c r="AB554" i="2"/>
  <c r="AA554" i="2"/>
  <c r="Y554" i="2"/>
  <c r="X554" i="2"/>
  <c r="W554" i="2"/>
  <c r="V554" i="2"/>
  <c r="U554" i="2"/>
  <c r="T554" i="2"/>
  <c r="S554" i="2"/>
  <c r="R554" i="2"/>
  <c r="Q554" i="2"/>
  <c r="P554" i="2"/>
  <c r="O554" i="2"/>
  <c r="N554" i="2"/>
  <c r="M554" i="2"/>
  <c r="L554" i="2"/>
  <c r="K554" i="2"/>
  <c r="J554" i="2"/>
  <c r="I554" i="2"/>
  <c r="H554" i="2"/>
  <c r="G554" i="2"/>
  <c r="F554" i="2"/>
  <c r="E554" i="2"/>
  <c r="D554" i="2"/>
  <c r="C554" i="2"/>
  <c r="B554" i="2"/>
  <c r="A554" i="2"/>
  <c r="AH553" i="2"/>
  <c r="AG553" i="2"/>
  <c r="AE553" i="2"/>
  <c r="AC553" i="2"/>
  <c r="AB553" i="2"/>
  <c r="AA553" i="2"/>
  <c r="Y553" i="2"/>
  <c r="X553" i="2"/>
  <c r="W553" i="2"/>
  <c r="V553" i="2"/>
  <c r="U553" i="2"/>
  <c r="T553" i="2"/>
  <c r="S553" i="2"/>
  <c r="R553" i="2"/>
  <c r="Q553" i="2"/>
  <c r="P553" i="2"/>
  <c r="O553" i="2"/>
  <c r="N553" i="2"/>
  <c r="M553" i="2"/>
  <c r="L553" i="2"/>
  <c r="K553" i="2"/>
  <c r="J553" i="2"/>
  <c r="I553" i="2"/>
  <c r="H553" i="2"/>
  <c r="G553" i="2"/>
  <c r="F553" i="2"/>
  <c r="E553" i="2"/>
  <c r="D553" i="2"/>
  <c r="C553" i="2"/>
  <c r="B553" i="2"/>
  <c r="A553" i="2"/>
  <c r="AH552" i="2"/>
  <c r="AG552" i="2"/>
  <c r="AE552" i="2"/>
  <c r="AD552" i="2"/>
  <c r="AC552" i="2"/>
  <c r="AB552" i="2"/>
  <c r="AA552" i="2"/>
  <c r="Z552" i="2"/>
  <c r="Y552" i="2"/>
  <c r="X552" i="2"/>
  <c r="W552" i="2"/>
  <c r="V552" i="2"/>
  <c r="U552" i="2"/>
  <c r="T552" i="2"/>
  <c r="S552" i="2"/>
  <c r="R552" i="2"/>
  <c r="Q552" i="2"/>
  <c r="P552" i="2"/>
  <c r="O552" i="2"/>
  <c r="N552" i="2"/>
  <c r="M552" i="2"/>
  <c r="L552" i="2"/>
  <c r="K552" i="2"/>
  <c r="J552" i="2"/>
  <c r="I552" i="2"/>
  <c r="H552" i="2"/>
  <c r="G552" i="2"/>
  <c r="F552" i="2"/>
  <c r="E552" i="2"/>
  <c r="D552" i="2"/>
  <c r="C552" i="2"/>
  <c r="B552" i="2"/>
  <c r="A552" i="2"/>
  <c r="AH551" i="2"/>
  <c r="AG551" i="2"/>
  <c r="AE551" i="2"/>
  <c r="AC551" i="2"/>
  <c r="AB551" i="2"/>
  <c r="AA551" i="2"/>
  <c r="V551" i="2"/>
  <c r="U551" i="2"/>
  <c r="T551" i="2"/>
  <c r="S551" i="2"/>
  <c r="R551" i="2"/>
  <c r="Q551" i="2"/>
  <c r="P551" i="2"/>
  <c r="O551" i="2"/>
  <c r="N551" i="2"/>
  <c r="M551" i="2"/>
  <c r="L551" i="2"/>
  <c r="K551" i="2"/>
  <c r="J551" i="2"/>
  <c r="I551" i="2"/>
  <c r="H551" i="2"/>
  <c r="G551" i="2"/>
  <c r="F551" i="2"/>
  <c r="E551" i="2"/>
  <c r="D551" i="2"/>
  <c r="C551" i="2"/>
  <c r="B551" i="2"/>
  <c r="A551" i="2"/>
  <c r="AH550" i="2"/>
  <c r="AG550" i="2"/>
  <c r="AE550" i="2"/>
  <c r="AD550" i="2"/>
  <c r="AC550" i="2"/>
  <c r="AB550" i="2"/>
  <c r="AA550" i="2"/>
  <c r="Y550" i="2"/>
  <c r="X550" i="2"/>
  <c r="V550" i="2"/>
  <c r="U550" i="2"/>
  <c r="T550" i="2"/>
  <c r="S550" i="2"/>
  <c r="R550" i="2"/>
  <c r="Q550" i="2"/>
  <c r="P550" i="2"/>
  <c r="O550" i="2"/>
  <c r="N550" i="2"/>
  <c r="M550" i="2"/>
  <c r="L550" i="2"/>
  <c r="K550" i="2"/>
  <c r="J550" i="2"/>
  <c r="I550" i="2"/>
  <c r="H550" i="2"/>
  <c r="G550" i="2"/>
  <c r="F550" i="2"/>
  <c r="E550" i="2"/>
  <c r="D550" i="2"/>
  <c r="C550" i="2"/>
  <c r="B550" i="2"/>
  <c r="A550" i="2"/>
  <c r="AH549" i="2"/>
  <c r="AG549" i="2"/>
  <c r="AF549" i="2"/>
  <c r="AE549" i="2"/>
  <c r="AD549" i="2"/>
  <c r="AC549" i="2"/>
  <c r="AB549" i="2"/>
  <c r="AA549" i="2"/>
  <c r="Y549" i="2"/>
  <c r="X549" i="2"/>
  <c r="W549" i="2"/>
  <c r="V549" i="2"/>
  <c r="U549" i="2"/>
  <c r="T549" i="2"/>
  <c r="S549" i="2"/>
  <c r="R549" i="2"/>
  <c r="Q549" i="2"/>
  <c r="P549" i="2"/>
  <c r="O549" i="2"/>
  <c r="N549" i="2"/>
  <c r="M549" i="2"/>
  <c r="L549" i="2"/>
  <c r="K549" i="2"/>
  <c r="J549" i="2"/>
  <c r="I549" i="2"/>
  <c r="H549" i="2"/>
  <c r="G549" i="2"/>
  <c r="F549" i="2"/>
  <c r="E549" i="2"/>
  <c r="D549" i="2"/>
  <c r="C549" i="2"/>
  <c r="B549" i="2"/>
  <c r="A549" i="2"/>
  <c r="AH548" i="2"/>
  <c r="AG548" i="2"/>
  <c r="AE548" i="2"/>
  <c r="AD548" i="2"/>
  <c r="AC548" i="2"/>
  <c r="AB548" i="2"/>
  <c r="AA548" i="2"/>
  <c r="Y548" i="2"/>
  <c r="X548" i="2"/>
  <c r="W548" i="2"/>
  <c r="V548" i="2"/>
  <c r="U548" i="2"/>
  <c r="T548" i="2"/>
  <c r="S548" i="2"/>
  <c r="R548" i="2"/>
  <c r="Q548" i="2"/>
  <c r="P548" i="2"/>
  <c r="O548" i="2"/>
  <c r="N548" i="2"/>
  <c r="M548" i="2"/>
  <c r="L548" i="2"/>
  <c r="K548" i="2"/>
  <c r="J548" i="2"/>
  <c r="I548" i="2"/>
  <c r="H548" i="2"/>
  <c r="G548" i="2"/>
  <c r="F548" i="2"/>
  <c r="E548" i="2"/>
  <c r="D548" i="2"/>
  <c r="C548" i="2"/>
  <c r="B548" i="2"/>
  <c r="A548" i="2"/>
  <c r="AH547" i="2"/>
  <c r="AG547" i="2"/>
  <c r="AE547" i="2"/>
  <c r="AD547" i="2"/>
  <c r="AC547" i="2"/>
  <c r="AB547" i="2"/>
  <c r="AA547" i="2"/>
  <c r="Y547" i="2"/>
  <c r="X547" i="2"/>
  <c r="W547" i="2"/>
  <c r="V547" i="2"/>
  <c r="U547" i="2"/>
  <c r="T547" i="2"/>
  <c r="S547" i="2"/>
  <c r="R547" i="2"/>
  <c r="Q547" i="2"/>
  <c r="P547" i="2"/>
  <c r="O547" i="2"/>
  <c r="N547" i="2"/>
  <c r="M547" i="2"/>
  <c r="L547" i="2"/>
  <c r="K547" i="2"/>
  <c r="J547" i="2"/>
  <c r="I547" i="2"/>
  <c r="H547" i="2"/>
  <c r="G547" i="2"/>
  <c r="F547" i="2"/>
  <c r="E547" i="2"/>
  <c r="D547" i="2"/>
  <c r="C547" i="2"/>
  <c r="B547" i="2"/>
  <c r="A547" i="2"/>
  <c r="AH546" i="2"/>
  <c r="AG546" i="2"/>
  <c r="AE546" i="2"/>
  <c r="AC546" i="2"/>
  <c r="AB546" i="2"/>
  <c r="AA546" i="2"/>
  <c r="Z546" i="2"/>
  <c r="Y546" i="2"/>
  <c r="X546" i="2"/>
  <c r="W546" i="2"/>
  <c r="V546" i="2"/>
  <c r="U546" i="2"/>
  <c r="T546" i="2"/>
  <c r="S546" i="2"/>
  <c r="R546" i="2"/>
  <c r="Q546" i="2"/>
  <c r="P546" i="2"/>
  <c r="O546" i="2"/>
  <c r="N546" i="2"/>
  <c r="M546" i="2"/>
  <c r="L546" i="2"/>
  <c r="K546" i="2"/>
  <c r="J546" i="2"/>
  <c r="I546" i="2"/>
  <c r="H546" i="2"/>
  <c r="G546" i="2"/>
  <c r="F546" i="2"/>
  <c r="E546" i="2"/>
  <c r="D546" i="2"/>
  <c r="C546" i="2"/>
  <c r="B546" i="2"/>
  <c r="A546" i="2"/>
  <c r="AH545" i="2"/>
  <c r="AG545" i="2"/>
  <c r="AE545" i="2"/>
  <c r="AD545" i="2"/>
  <c r="AC545" i="2"/>
  <c r="AB545" i="2"/>
  <c r="AA545" i="2"/>
  <c r="Y545" i="2"/>
  <c r="X545" i="2"/>
  <c r="V545" i="2"/>
  <c r="U545" i="2"/>
  <c r="T545" i="2"/>
  <c r="S545" i="2"/>
  <c r="R545" i="2"/>
  <c r="Q545" i="2"/>
  <c r="P545" i="2"/>
  <c r="O545" i="2"/>
  <c r="N545" i="2"/>
  <c r="M545" i="2"/>
  <c r="L545" i="2"/>
  <c r="K545" i="2"/>
  <c r="J545" i="2"/>
  <c r="I545" i="2"/>
  <c r="H545" i="2"/>
  <c r="G545" i="2"/>
  <c r="F545" i="2"/>
  <c r="E545" i="2"/>
  <c r="D545" i="2"/>
  <c r="C545" i="2"/>
  <c r="B545" i="2"/>
  <c r="A545" i="2"/>
  <c r="AH544" i="2"/>
  <c r="AG544" i="2"/>
  <c r="AF544" i="2"/>
  <c r="AE544" i="2"/>
  <c r="AD544" i="2"/>
  <c r="AC544" i="2"/>
  <c r="AB544" i="2"/>
  <c r="AA544" i="2"/>
  <c r="Y544" i="2"/>
  <c r="X544" i="2"/>
  <c r="W544" i="2"/>
  <c r="V544" i="2"/>
  <c r="U544" i="2"/>
  <c r="T544" i="2"/>
  <c r="S544" i="2"/>
  <c r="R544" i="2"/>
  <c r="Q544" i="2"/>
  <c r="P544" i="2"/>
  <c r="O544" i="2"/>
  <c r="N544" i="2"/>
  <c r="M544" i="2"/>
  <c r="L544" i="2"/>
  <c r="K544" i="2"/>
  <c r="J544" i="2"/>
  <c r="I544" i="2"/>
  <c r="H544" i="2"/>
  <c r="G544" i="2"/>
  <c r="F544" i="2"/>
  <c r="E544" i="2"/>
  <c r="D544" i="2"/>
  <c r="C544" i="2"/>
  <c r="B544" i="2"/>
  <c r="A544" i="2"/>
  <c r="AH543" i="2"/>
  <c r="AG543" i="2"/>
  <c r="AE543" i="2"/>
  <c r="AD543" i="2"/>
  <c r="AC543" i="2"/>
  <c r="AB543" i="2"/>
  <c r="AA543" i="2"/>
  <c r="Z543" i="2"/>
  <c r="Y543" i="2"/>
  <c r="X543" i="2"/>
  <c r="W543" i="2"/>
  <c r="V543" i="2"/>
  <c r="U543" i="2"/>
  <c r="T543" i="2"/>
  <c r="P543" i="2"/>
  <c r="O543" i="2"/>
  <c r="N543" i="2"/>
  <c r="M543" i="2"/>
  <c r="L543" i="2"/>
  <c r="K543" i="2"/>
  <c r="J543" i="2"/>
  <c r="I543" i="2"/>
  <c r="H543" i="2"/>
  <c r="G543" i="2"/>
  <c r="F543" i="2"/>
  <c r="E543" i="2"/>
  <c r="D543" i="2"/>
  <c r="C543" i="2"/>
  <c r="B543" i="2"/>
  <c r="A543" i="2"/>
  <c r="AH542" i="2"/>
  <c r="AG542" i="2"/>
  <c r="AE542" i="2"/>
  <c r="AD542" i="2"/>
  <c r="AC542" i="2"/>
  <c r="AB542" i="2"/>
  <c r="AA542" i="2"/>
  <c r="Z542" i="2"/>
  <c r="Y542" i="2"/>
  <c r="V542" i="2"/>
  <c r="U542" i="2"/>
  <c r="T542" i="2"/>
  <c r="S542" i="2"/>
  <c r="R542" i="2"/>
  <c r="Q542" i="2"/>
  <c r="P542" i="2"/>
  <c r="O542" i="2"/>
  <c r="N542" i="2"/>
  <c r="M542" i="2"/>
  <c r="L542" i="2"/>
  <c r="K542" i="2"/>
  <c r="J542" i="2"/>
  <c r="I542" i="2"/>
  <c r="H542" i="2"/>
  <c r="G542" i="2"/>
  <c r="F542" i="2"/>
  <c r="E542" i="2"/>
  <c r="D542" i="2"/>
  <c r="C542" i="2"/>
  <c r="B542" i="2"/>
  <c r="A542" i="2"/>
  <c r="AH541" i="2"/>
  <c r="AG541" i="2"/>
  <c r="AE541" i="2"/>
  <c r="AD541" i="2"/>
  <c r="AC541" i="2"/>
  <c r="AB541" i="2"/>
  <c r="AA541" i="2"/>
  <c r="Y541" i="2"/>
  <c r="X541" i="2"/>
  <c r="W541" i="2"/>
  <c r="V541" i="2"/>
  <c r="U541" i="2"/>
  <c r="T541" i="2"/>
  <c r="S541" i="2"/>
  <c r="R541" i="2"/>
  <c r="Q541" i="2"/>
  <c r="P541" i="2"/>
  <c r="O541" i="2"/>
  <c r="N541" i="2"/>
  <c r="M541" i="2"/>
  <c r="L541" i="2"/>
  <c r="K541" i="2"/>
  <c r="J541" i="2"/>
  <c r="I541" i="2"/>
  <c r="H541" i="2"/>
  <c r="G541" i="2"/>
  <c r="F541" i="2"/>
  <c r="E541" i="2"/>
  <c r="D541" i="2"/>
  <c r="C541" i="2"/>
  <c r="B541" i="2"/>
  <c r="A541" i="2"/>
  <c r="AH540" i="2"/>
  <c r="AG540" i="2"/>
  <c r="AE540" i="2"/>
  <c r="AD540" i="2"/>
  <c r="AC540" i="2"/>
  <c r="AB540" i="2"/>
  <c r="AA540" i="2"/>
  <c r="Y540" i="2"/>
  <c r="V540" i="2"/>
  <c r="U540" i="2"/>
  <c r="T540" i="2"/>
  <c r="S540" i="2"/>
  <c r="R540" i="2"/>
  <c r="Q540" i="2"/>
  <c r="P540" i="2"/>
  <c r="O540" i="2"/>
  <c r="N540" i="2"/>
  <c r="M540" i="2"/>
  <c r="L540" i="2"/>
  <c r="K540" i="2"/>
  <c r="J540" i="2"/>
  <c r="I540" i="2"/>
  <c r="H540" i="2"/>
  <c r="G540" i="2"/>
  <c r="F540" i="2"/>
  <c r="E540" i="2"/>
  <c r="D540" i="2"/>
  <c r="C540" i="2"/>
  <c r="B540" i="2"/>
  <c r="A540" i="2"/>
  <c r="AH539" i="2"/>
  <c r="AG539" i="2"/>
  <c r="AE539" i="2"/>
  <c r="AD539" i="2"/>
  <c r="AC539" i="2"/>
  <c r="AB539" i="2"/>
  <c r="AA539" i="2"/>
  <c r="Z539" i="2"/>
  <c r="Y539" i="2"/>
  <c r="X539" i="2"/>
  <c r="W539" i="2"/>
  <c r="V539" i="2"/>
  <c r="U539" i="2"/>
  <c r="T539" i="2"/>
  <c r="S539" i="2"/>
  <c r="R539" i="2"/>
  <c r="Q539" i="2"/>
  <c r="P539" i="2"/>
  <c r="O539" i="2"/>
  <c r="N539" i="2"/>
  <c r="M539" i="2"/>
  <c r="L539" i="2"/>
  <c r="K539" i="2"/>
  <c r="J539" i="2"/>
  <c r="I539" i="2"/>
  <c r="H539" i="2"/>
  <c r="G539" i="2"/>
  <c r="F539" i="2"/>
  <c r="E539" i="2"/>
  <c r="D539" i="2"/>
  <c r="C539" i="2"/>
  <c r="B539" i="2"/>
  <c r="A539" i="2"/>
  <c r="AG538" i="2"/>
  <c r="AC538" i="2"/>
  <c r="AB538" i="2"/>
  <c r="AA538" i="2"/>
  <c r="V538" i="2"/>
  <c r="U538" i="2"/>
  <c r="T538" i="2"/>
  <c r="S538" i="2"/>
  <c r="R538" i="2"/>
  <c r="Q538" i="2"/>
  <c r="P538" i="2"/>
  <c r="O538" i="2"/>
  <c r="N538" i="2"/>
  <c r="M538" i="2"/>
  <c r="L538" i="2"/>
  <c r="K538" i="2"/>
  <c r="J538" i="2"/>
  <c r="I538" i="2"/>
  <c r="H538" i="2"/>
  <c r="G538" i="2"/>
  <c r="F538" i="2"/>
  <c r="E538" i="2"/>
  <c r="D538" i="2"/>
  <c r="C538" i="2"/>
  <c r="B538" i="2"/>
  <c r="A538" i="2"/>
  <c r="AH537" i="2"/>
  <c r="AG537" i="2"/>
  <c r="AE537" i="2"/>
  <c r="AD537" i="2"/>
  <c r="AC537" i="2"/>
  <c r="AB537" i="2"/>
  <c r="AA537" i="2"/>
  <c r="Y537" i="2"/>
  <c r="V537" i="2"/>
  <c r="U537" i="2"/>
  <c r="T537" i="2"/>
  <c r="S537" i="2"/>
  <c r="R537" i="2"/>
  <c r="Q537" i="2"/>
  <c r="P537" i="2"/>
  <c r="O537" i="2"/>
  <c r="N537" i="2"/>
  <c r="M537" i="2"/>
  <c r="L537" i="2"/>
  <c r="K537" i="2"/>
  <c r="J537" i="2"/>
  <c r="I537" i="2"/>
  <c r="H537" i="2"/>
  <c r="G537" i="2"/>
  <c r="F537" i="2"/>
  <c r="E537" i="2"/>
  <c r="D537" i="2"/>
  <c r="C537" i="2"/>
  <c r="B537" i="2"/>
  <c r="A537" i="2"/>
  <c r="AH536" i="2"/>
  <c r="AG536" i="2"/>
  <c r="AE536" i="2"/>
  <c r="AC536" i="2"/>
  <c r="AB536" i="2"/>
  <c r="AA536" i="2"/>
  <c r="Y536" i="2"/>
  <c r="X536" i="2"/>
  <c r="W536" i="2"/>
  <c r="V536" i="2"/>
  <c r="U536" i="2"/>
  <c r="T536" i="2"/>
  <c r="S536" i="2"/>
  <c r="R536" i="2"/>
  <c r="Q536" i="2"/>
  <c r="P536" i="2"/>
  <c r="O536" i="2"/>
  <c r="N536" i="2"/>
  <c r="M536" i="2"/>
  <c r="L536" i="2"/>
  <c r="K536" i="2"/>
  <c r="J536" i="2"/>
  <c r="I536" i="2"/>
  <c r="H536" i="2"/>
  <c r="G536" i="2"/>
  <c r="F536" i="2"/>
  <c r="E536" i="2"/>
  <c r="D536" i="2"/>
  <c r="C536" i="2"/>
  <c r="B536" i="2"/>
  <c r="A536" i="2"/>
  <c r="AH535" i="2"/>
  <c r="AG535" i="2"/>
  <c r="AE535" i="2"/>
  <c r="AC535" i="2"/>
  <c r="AB535" i="2"/>
  <c r="AA535" i="2"/>
  <c r="Y535" i="2"/>
  <c r="V535" i="2"/>
  <c r="U535" i="2"/>
  <c r="T535" i="2"/>
  <c r="S535" i="2"/>
  <c r="R535" i="2"/>
  <c r="Q535" i="2"/>
  <c r="P535" i="2"/>
  <c r="O535" i="2"/>
  <c r="N535" i="2"/>
  <c r="M535" i="2"/>
  <c r="L535" i="2"/>
  <c r="K535" i="2"/>
  <c r="J535" i="2"/>
  <c r="I535" i="2"/>
  <c r="H535" i="2"/>
  <c r="G535" i="2"/>
  <c r="F535" i="2"/>
  <c r="E535" i="2"/>
  <c r="D535" i="2"/>
  <c r="C535" i="2"/>
  <c r="B535" i="2"/>
  <c r="A535" i="2"/>
  <c r="AH534" i="2"/>
  <c r="AG534" i="2"/>
  <c r="AE534" i="2"/>
  <c r="AD534" i="2"/>
  <c r="AC534" i="2"/>
  <c r="AB534" i="2"/>
  <c r="AA534" i="2"/>
  <c r="Z534" i="2"/>
  <c r="Y534" i="2"/>
  <c r="X534" i="2"/>
  <c r="W534" i="2"/>
  <c r="V534" i="2"/>
  <c r="U534" i="2"/>
  <c r="T534" i="2"/>
  <c r="S534" i="2"/>
  <c r="R534" i="2"/>
  <c r="Q534" i="2"/>
  <c r="P534" i="2"/>
  <c r="O534" i="2"/>
  <c r="N534" i="2"/>
  <c r="M534" i="2"/>
  <c r="L534" i="2"/>
  <c r="K534" i="2"/>
  <c r="J534" i="2"/>
  <c r="I534" i="2"/>
  <c r="H534" i="2"/>
  <c r="G534" i="2"/>
  <c r="F534" i="2"/>
  <c r="E534" i="2"/>
  <c r="D534" i="2"/>
  <c r="C534" i="2"/>
  <c r="B534" i="2"/>
  <c r="A534" i="2"/>
  <c r="AH533" i="2"/>
  <c r="AG533" i="2"/>
  <c r="AF533" i="2"/>
  <c r="AE533" i="2"/>
  <c r="AD533" i="2"/>
  <c r="AC533" i="2"/>
  <c r="AB533" i="2"/>
  <c r="AA533" i="2"/>
  <c r="Y533" i="2"/>
  <c r="X533" i="2"/>
  <c r="W533" i="2"/>
  <c r="V533" i="2"/>
  <c r="U533" i="2"/>
  <c r="T533" i="2"/>
  <c r="S533" i="2"/>
  <c r="R533" i="2"/>
  <c r="Q533" i="2"/>
  <c r="P533" i="2"/>
  <c r="O533" i="2"/>
  <c r="N533" i="2"/>
  <c r="M533" i="2"/>
  <c r="L533" i="2"/>
  <c r="K533" i="2"/>
  <c r="J533" i="2"/>
  <c r="I533" i="2"/>
  <c r="H533" i="2"/>
  <c r="G533" i="2"/>
  <c r="F533" i="2"/>
  <c r="E533" i="2"/>
  <c r="D533" i="2"/>
  <c r="C533" i="2"/>
  <c r="B533" i="2"/>
  <c r="A533" i="2"/>
  <c r="AH532" i="2"/>
  <c r="AG532" i="2"/>
  <c r="AF532" i="2"/>
  <c r="AE532" i="2"/>
  <c r="AD532" i="2"/>
  <c r="AC532" i="2"/>
  <c r="AB532" i="2"/>
  <c r="AA532" i="2"/>
  <c r="Y532" i="2"/>
  <c r="X532" i="2"/>
  <c r="W532" i="2"/>
  <c r="V532" i="2"/>
  <c r="U532" i="2"/>
  <c r="T532" i="2"/>
  <c r="S532" i="2"/>
  <c r="R532" i="2"/>
  <c r="Q532" i="2"/>
  <c r="P532" i="2"/>
  <c r="O532" i="2"/>
  <c r="N532" i="2"/>
  <c r="M532" i="2"/>
  <c r="L532" i="2"/>
  <c r="K532" i="2"/>
  <c r="J532" i="2"/>
  <c r="I532" i="2"/>
  <c r="H532" i="2"/>
  <c r="G532" i="2"/>
  <c r="F532" i="2"/>
  <c r="E532" i="2"/>
  <c r="D532" i="2"/>
  <c r="C532" i="2"/>
  <c r="B532" i="2"/>
  <c r="A532" i="2"/>
  <c r="AH531" i="2"/>
  <c r="AG531" i="2"/>
  <c r="AF531" i="2"/>
  <c r="AE531" i="2"/>
  <c r="AD531" i="2"/>
  <c r="AC531" i="2"/>
  <c r="AB531" i="2"/>
  <c r="AA531" i="2"/>
  <c r="Y531" i="2"/>
  <c r="X531" i="2"/>
  <c r="W531" i="2"/>
  <c r="V531" i="2"/>
  <c r="U531" i="2"/>
  <c r="T531" i="2"/>
  <c r="R531" i="2"/>
  <c r="Q531" i="2"/>
  <c r="P531" i="2"/>
  <c r="O531" i="2"/>
  <c r="N531" i="2"/>
  <c r="M531" i="2"/>
  <c r="L531" i="2"/>
  <c r="K531" i="2"/>
  <c r="J531" i="2"/>
  <c r="I531" i="2"/>
  <c r="H531" i="2"/>
  <c r="G531" i="2"/>
  <c r="F531" i="2"/>
  <c r="E531" i="2"/>
  <c r="D531" i="2"/>
  <c r="C531" i="2"/>
  <c r="B531" i="2"/>
  <c r="A531" i="2"/>
  <c r="AH530" i="2"/>
  <c r="AG530" i="2"/>
  <c r="AF530" i="2"/>
  <c r="AE530" i="2"/>
  <c r="AD530" i="2"/>
  <c r="AC530" i="2"/>
  <c r="AB530" i="2"/>
  <c r="AA530" i="2"/>
  <c r="Y530" i="2"/>
  <c r="X530" i="2"/>
  <c r="W530" i="2"/>
  <c r="V530" i="2"/>
  <c r="U530" i="2"/>
  <c r="T530" i="2"/>
  <c r="S530" i="2"/>
  <c r="R530" i="2"/>
  <c r="Q530" i="2"/>
  <c r="P530" i="2"/>
  <c r="O530" i="2"/>
  <c r="N530" i="2"/>
  <c r="M530" i="2"/>
  <c r="L530" i="2"/>
  <c r="K530" i="2"/>
  <c r="J530" i="2"/>
  <c r="I530" i="2"/>
  <c r="H530" i="2"/>
  <c r="G530" i="2"/>
  <c r="F530" i="2"/>
  <c r="E530" i="2"/>
  <c r="D530" i="2"/>
  <c r="C530" i="2"/>
  <c r="B530" i="2"/>
  <c r="A530" i="2"/>
  <c r="AH529" i="2"/>
  <c r="AG529" i="2"/>
  <c r="AF529" i="2"/>
  <c r="AE529" i="2"/>
  <c r="AD529" i="2"/>
  <c r="AC529" i="2"/>
  <c r="AB529" i="2"/>
  <c r="AA529" i="2"/>
  <c r="Y529" i="2"/>
  <c r="X529" i="2"/>
  <c r="W529" i="2"/>
  <c r="V529" i="2"/>
  <c r="U529" i="2"/>
  <c r="T529" i="2"/>
  <c r="S529" i="2"/>
  <c r="R529" i="2"/>
  <c r="Q529" i="2"/>
  <c r="P529" i="2"/>
  <c r="O529" i="2"/>
  <c r="N529" i="2"/>
  <c r="M529" i="2"/>
  <c r="L529" i="2"/>
  <c r="K529" i="2"/>
  <c r="J529" i="2"/>
  <c r="I529" i="2"/>
  <c r="H529" i="2"/>
  <c r="G529" i="2"/>
  <c r="F529" i="2"/>
  <c r="E529" i="2"/>
  <c r="D529" i="2"/>
  <c r="C529" i="2"/>
  <c r="B529" i="2"/>
  <c r="A529" i="2"/>
  <c r="AH528" i="2"/>
  <c r="AG528" i="2"/>
  <c r="AF528" i="2"/>
  <c r="AE528" i="2"/>
  <c r="AC528" i="2"/>
  <c r="AB528" i="2"/>
  <c r="AA528" i="2"/>
  <c r="Y528" i="2"/>
  <c r="X528" i="2"/>
  <c r="W528" i="2"/>
  <c r="V528" i="2"/>
  <c r="U528" i="2"/>
  <c r="T528" i="2"/>
  <c r="S528" i="2"/>
  <c r="R528" i="2"/>
  <c r="Q528" i="2"/>
  <c r="P528" i="2"/>
  <c r="O528" i="2"/>
  <c r="N528" i="2"/>
  <c r="M528" i="2"/>
  <c r="L528" i="2"/>
  <c r="K528" i="2"/>
  <c r="J528" i="2"/>
  <c r="I528" i="2"/>
  <c r="H528" i="2"/>
  <c r="G528" i="2"/>
  <c r="F528" i="2"/>
  <c r="E528" i="2"/>
  <c r="D528" i="2"/>
  <c r="C528" i="2"/>
  <c r="B528" i="2"/>
  <c r="A528" i="2"/>
  <c r="AH527" i="2"/>
  <c r="AG527" i="2"/>
  <c r="AF527" i="2"/>
  <c r="AE527" i="2"/>
  <c r="AD527" i="2"/>
  <c r="AC527" i="2"/>
  <c r="AB527" i="2"/>
  <c r="AA527" i="2"/>
  <c r="Y527" i="2"/>
  <c r="X527" i="2"/>
  <c r="W527" i="2"/>
  <c r="V527" i="2"/>
  <c r="U527" i="2"/>
  <c r="T527" i="2"/>
  <c r="S527" i="2"/>
  <c r="R527" i="2"/>
  <c r="Q527" i="2"/>
  <c r="P527" i="2"/>
  <c r="O527" i="2"/>
  <c r="N527" i="2"/>
  <c r="M527" i="2"/>
  <c r="L527" i="2"/>
  <c r="K527" i="2"/>
  <c r="J527" i="2"/>
  <c r="I527" i="2"/>
  <c r="H527" i="2"/>
  <c r="G527" i="2"/>
  <c r="F527" i="2"/>
  <c r="E527" i="2"/>
  <c r="D527" i="2"/>
  <c r="C527" i="2"/>
  <c r="B527" i="2"/>
  <c r="A527" i="2"/>
  <c r="AH526" i="2"/>
  <c r="AG526" i="2"/>
  <c r="AE526" i="2"/>
  <c r="AD526" i="2"/>
  <c r="AC526" i="2"/>
  <c r="AB526" i="2"/>
  <c r="AA526" i="2"/>
  <c r="Y526" i="2"/>
  <c r="X526" i="2"/>
  <c r="W526" i="2"/>
  <c r="V526" i="2"/>
  <c r="U526" i="2"/>
  <c r="T526" i="2"/>
  <c r="S526" i="2"/>
  <c r="R526" i="2"/>
  <c r="Q526" i="2"/>
  <c r="P526" i="2"/>
  <c r="O526" i="2"/>
  <c r="N526" i="2"/>
  <c r="M526" i="2"/>
  <c r="L526" i="2"/>
  <c r="K526" i="2"/>
  <c r="J526" i="2"/>
  <c r="I526" i="2"/>
  <c r="H526" i="2"/>
  <c r="G526" i="2"/>
  <c r="F526" i="2"/>
  <c r="E526" i="2"/>
  <c r="D526" i="2"/>
  <c r="C526" i="2"/>
  <c r="B526" i="2"/>
  <c r="A526" i="2"/>
  <c r="AH525" i="2"/>
  <c r="AG525" i="2"/>
  <c r="AE525" i="2"/>
  <c r="AD525" i="2"/>
  <c r="AC525" i="2"/>
  <c r="AB525" i="2"/>
  <c r="AA525" i="2"/>
  <c r="Z525" i="2"/>
  <c r="Y525" i="2"/>
  <c r="X525" i="2"/>
  <c r="W525" i="2"/>
  <c r="V525" i="2"/>
  <c r="U525" i="2"/>
  <c r="T525" i="2"/>
  <c r="S525" i="2"/>
  <c r="R525" i="2"/>
  <c r="Q525" i="2"/>
  <c r="P525" i="2"/>
  <c r="O525" i="2"/>
  <c r="N525" i="2"/>
  <c r="M525" i="2"/>
  <c r="L525" i="2"/>
  <c r="K525" i="2"/>
  <c r="J525" i="2"/>
  <c r="I525" i="2"/>
  <c r="H525" i="2"/>
  <c r="G525" i="2"/>
  <c r="F525" i="2"/>
  <c r="E525" i="2"/>
  <c r="D525" i="2"/>
  <c r="C525" i="2"/>
  <c r="B525" i="2"/>
  <c r="A525" i="2"/>
  <c r="AH524" i="2"/>
  <c r="AG524" i="2"/>
  <c r="AE524" i="2"/>
  <c r="AD524" i="2"/>
  <c r="AC524" i="2"/>
  <c r="AB524" i="2"/>
  <c r="AA524" i="2"/>
  <c r="Y524" i="2"/>
  <c r="X524" i="2"/>
  <c r="W524" i="2"/>
  <c r="V524" i="2"/>
  <c r="U524" i="2"/>
  <c r="T524" i="2"/>
  <c r="S524" i="2"/>
  <c r="R524" i="2"/>
  <c r="Q524" i="2"/>
  <c r="P524" i="2"/>
  <c r="O524" i="2"/>
  <c r="N524" i="2"/>
  <c r="M524" i="2"/>
  <c r="L524" i="2"/>
  <c r="K524" i="2"/>
  <c r="J524" i="2"/>
  <c r="I524" i="2"/>
  <c r="H524" i="2"/>
  <c r="G524" i="2"/>
  <c r="F524" i="2"/>
  <c r="E524" i="2"/>
  <c r="D524" i="2"/>
  <c r="C524" i="2"/>
  <c r="B524" i="2"/>
  <c r="A524" i="2"/>
  <c r="AH523" i="2"/>
  <c r="AG523" i="2"/>
  <c r="AE523" i="2"/>
  <c r="AD523" i="2"/>
  <c r="AC523" i="2"/>
  <c r="AB523" i="2"/>
  <c r="AA523" i="2"/>
  <c r="Y523" i="2"/>
  <c r="X523" i="2"/>
  <c r="W523" i="2"/>
  <c r="V523" i="2"/>
  <c r="U523" i="2"/>
  <c r="T523" i="2"/>
  <c r="S523" i="2"/>
  <c r="R523" i="2"/>
  <c r="Q523" i="2"/>
  <c r="P523" i="2"/>
  <c r="O523" i="2"/>
  <c r="N523" i="2"/>
  <c r="M523" i="2"/>
  <c r="L523" i="2"/>
  <c r="K523" i="2"/>
  <c r="J523" i="2"/>
  <c r="I523" i="2"/>
  <c r="H523" i="2"/>
  <c r="G523" i="2"/>
  <c r="F523" i="2"/>
  <c r="E523" i="2"/>
  <c r="D523" i="2"/>
  <c r="C523" i="2"/>
  <c r="B523" i="2"/>
  <c r="A523" i="2"/>
  <c r="AH522" i="2"/>
  <c r="AG522" i="2"/>
  <c r="AE522" i="2"/>
  <c r="AD522" i="2"/>
  <c r="AC522" i="2"/>
  <c r="AB522" i="2"/>
  <c r="AA522" i="2"/>
  <c r="Y522" i="2"/>
  <c r="V522" i="2"/>
  <c r="U522" i="2"/>
  <c r="T522" i="2"/>
  <c r="S522" i="2"/>
  <c r="R522" i="2"/>
  <c r="Q522" i="2"/>
  <c r="P522" i="2"/>
  <c r="O522" i="2"/>
  <c r="N522" i="2"/>
  <c r="M522" i="2"/>
  <c r="L522" i="2"/>
  <c r="K522" i="2"/>
  <c r="J522" i="2"/>
  <c r="I522" i="2"/>
  <c r="H522" i="2"/>
  <c r="G522" i="2"/>
  <c r="F522" i="2"/>
  <c r="E522" i="2"/>
  <c r="D522" i="2"/>
  <c r="C522" i="2"/>
  <c r="B522" i="2"/>
  <c r="A522" i="2"/>
  <c r="AG521" i="2"/>
  <c r="AE521" i="2"/>
  <c r="AD521" i="2"/>
  <c r="AC521" i="2"/>
  <c r="AB521" i="2"/>
  <c r="AA521" i="2"/>
  <c r="Y521" i="2"/>
  <c r="X521" i="2"/>
  <c r="V521" i="2"/>
  <c r="U521" i="2"/>
  <c r="T521" i="2"/>
  <c r="S521" i="2"/>
  <c r="R521" i="2"/>
  <c r="Q521" i="2"/>
  <c r="P521" i="2"/>
  <c r="O521" i="2"/>
  <c r="N521" i="2"/>
  <c r="M521" i="2"/>
  <c r="L521" i="2"/>
  <c r="K521" i="2"/>
  <c r="J521" i="2"/>
  <c r="I521" i="2"/>
  <c r="H521" i="2"/>
  <c r="G521" i="2"/>
  <c r="F521" i="2"/>
  <c r="E521" i="2"/>
  <c r="D521" i="2"/>
  <c r="C521" i="2"/>
  <c r="B521" i="2"/>
  <c r="A521" i="2"/>
  <c r="AH520" i="2"/>
  <c r="AG520" i="2"/>
  <c r="AE520" i="2"/>
  <c r="AD520" i="2"/>
  <c r="AC520" i="2"/>
  <c r="AB520" i="2"/>
  <c r="AA520" i="2"/>
  <c r="Y520" i="2"/>
  <c r="X520" i="2"/>
  <c r="V520" i="2"/>
  <c r="U520" i="2"/>
  <c r="T520" i="2"/>
  <c r="S520" i="2"/>
  <c r="R520" i="2"/>
  <c r="Q520" i="2"/>
  <c r="P520" i="2"/>
  <c r="O520" i="2"/>
  <c r="N520" i="2"/>
  <c r="M520" i="2"/>
  <c r="L520" i="2"/>
  <c r="K520" i="2"/>
  <c r="J520" i="2"/>
  <c r="I520" i="2"/>
  <c r="H520" i="2"/>
  <c r="G520" i="2"/>
  <c r="F520" i="2"/>
  <c r="E520" i="2"/>
  <c r="D520" i="2"/>
  <c r="C520" i="2"/>
  <c r="B520" i="2"/>
  <c r="A520" i="2"/>
  <c r="AH519" i="2"/>
  <c r="AG519" i="2"/>
  <c r="AE519" i="2"/>
  <c r="AD519" i="2"/>
  <c r="AC519" i="2"/>
  <c r="AB519" i="2"/>
  <c r="AA519" i="2"/>
  <c r="Z519" i="2"/>
  <c r="Y519" i="2"/>
  <c r="X519" i="2"/>
  <c r="W519" i="2"/>
  <c r="V519" i="2"/>
  <c r="U519" i="2"/>
  <c r="T519" i="2"/>
  <c r="S519" i="2"/>
  <c r="R519" i="2"/>
  <c r="Q519" i="2"/>
  <c r="P519" i="2"/>
  <c r="O519" i="2"/>
  <c r="N519" i="2"/>
  <c r="M519" i="2"/>
  <c r="L519" i="2"/>
  <c r="K519" i="2"/>
  <c r="J519" i="2"/>
  <c r="I519" i="2"/>
  <c r="H519" i="2"/>
  <c r="G519" i="2"/>
  <c r="F519" i="2"/>
  <c r="E519" i="2"/>
  <c r="D519" i="2"/>
  <c r="C519" i="2"/>
  <c r="B519" i="2"/>
  <c r="A519" i="2"/>
  <c r="AH518" i="2"/>
  <c r="AG518" i="2"/>
  <c r="AE518" i="2"/>
  <c r="AD518" i="2"/>
  <c r="AC518" i="2"/>
  <c r="AB518" i="2"/>
  <c r="AA518" i="2"/>
  <c r="Y518" i="2"/>
  <c r="X518" i="2"/>
  <c r="W518" i="2"/>
  <c r="V518" i="2"/>
  <c r="U518" i="2"/>
  <c r="T518" i="2"/>
  <c r="S518" i="2"/>
  <c r="R518" i="2"/>
  <c r="Q518" i="2"/>
  <c r="P518" i="2"/>
  <c r="O518" i="2"/>
  <c r="N518" i="2"/>
  <c r="M518" i="2"/>
  <c r="L518" i="2"/>
  <c r="K518" i="2"/>
  <c r="J518" i="2"/>
  <c r="I518" i="2"/>
  <c r="H518" i="2"/>
  <c r="G518" i="2"/>
  <c r="F518" i="2"/>
  <c r="E518" i="2"/>
  <c r="D518" i="2"/>
  <c r="C518" i="2"/>
  <c r="B518" i="2"/>
  <c r="A518" i="2"/>
  <c r="AH517" i="2"/>
  <c r="AG517" i="2"/>
  <c r="AF517" i="2"/>
  <c r="AE517" i="2"/>
  <c r="AD517" i="2"/>
  <c r="AC517" i="2"/>
  <c r="AB517" i="2"/>
  <c r="AA517" i="2"/>
  <c r="Z517" i="2"/>
  <c r="Y517" i="2"/>
  <c r="X517" i="2"/>
  <c r="W517" i="2"/>
  <c r="V517" i="2"/>
  <c r="U517" i="2"/>
  <c r="S517" i="2"/>
  <c r="R517" i="2"/>
  <c r="Q517" i="2"/>
  <c r="P517" i="2"/>
  <c r="O517" i="2"/>
  <c r="N517" i="2"/>
  <c r="M517" i="2"/>
  <c r="L517" i="2"/>
  <c r="K517" i="2"/>
  <c r="J517" i="2"/>
  <c r="I517" i="2"/>
  <c r="H517" i="2"/>
  <c r="G517" i="2"/>
  <c r="F517" i="2"/>
  <c r="E517" i="2"/>
  <c r="D517" i="2"/>
  <c r="C517" i="2"/>
  <c r="B517" i="2"/>
  <c r="A517" i="2"/>
  <c r="AH516" i="2"/>
  <c r="AG516" i="2"/>
  <c r="AE516" i="2"/>
  <c r="AD516" i="2"/>
  <c r="AC516" i="2"/>
  <c r="AB516" i="2"/>
  <c r="AA516" i="2"/>
  <c r="Y516" i="2"/>
  <c r="X516" i="2"/>
  <c r="W516" i="2"/>
  <c r="V516" i="2"/>
  <c r="U516" i="2"/>
  <c r="T516" i="2"/>
  <c r="S516" i="2"/>
  <c r="R516" i="2"/>
  <c r="Q516" i="2"/>
  <c r="P516" i="2"/>
  <c r="O516" i="2"/>
  <c r="N516" i="2"/>
  <c r="M516" i="2"/>
  <c r="L516" i="2"/>
  <c r="K516" i="2"/>
  <c r="J516" i="2"/>
  <c r="I516" i="2"/>
  <c r="H516" i="2"/>
  <c r="G516" i="2"/>
  <c r="F516" i="2"/>
  <c r="E516" i="2"/>
  <c r="D516" i="2"/>
  <c r="C516" i="2"/>
  <c r="B516" i="2"/>
  <c r="A516" i="2"/>
  <c r="AH515" i="2"/>
  <c r="AG515" i="2"/>
  <c r="AE515" i="2"/>
  <c r="AD515" i="2"/>
  <c r="AC515" i="2"/>
  <c r="AB515" i="2"/>
  <c r="AA515" i="2"/>
  <c r="Y515" i="2"/>
  <c r="X515" i="2"/>
  <c r="W515" i="2"/>
  <c r="V515" i="2"/>
  <c r="U515" i="2"/>
  <c r="T515" i="2"/>
  <c r="S515" i="2"/>
  <c r="R515" i="2"/>
  <c r="Q515" i="2"/>
  <c r="P515" i="2"/>
  <c r="O515" i="2"/>
  <c r="N515" i="2"/>
  <c r="M515" i="2"/>
  <c r="L515" i="2"/>
  <c r="K515" i="2"/>
  <c r="J515" i="2"/>
  <c r="I515" i="2"/>
  <c r="H515" i="2"/>
  <c r="G515" i="2"/>
  <c r="F515" i="2"/>
  <c r="E515" i="2"/>
  <c r="D515" i="2"/>
  <c r="C515" i="2"/>
  <c r="B515" i="2"/>
  <c r="A515" i="2"/>
  <c r="AH514" i="2"/>
  <c r="AG514" i="2"/>
  <c r="AE514" i="2"/>
  <c r="AD514" i="2"/>
  <c r="AC514" i="2"/>
  <c r="AB514" i="2"/>
  <c r="AA514" i="2"/>
  <c r="Y514" i="2"/>
  <c r="V514" i="2"/>
  <c r="U514" i="2"/>
  <c r="T514" i="2"/>
  <c r="S514" i="2"/>
  <c r="R514" i="2"/>
  <c r="Q514" i="2"/>
  <c r="P514" i="2"/>
  <c r="O514" i="2"/>
  <c r="N514" i="2"/>
  <c r="M514" i="2"/>
  <c r="L514" i="2"/>
  <c r="K514" i="2"/>
  <c r="J514" i="2"/>
  <c r="I514" i="2"/>
  <c r="H514" i="2"/>
  <c r="G514" i="2"/>
  <c r="F514" i="2"/>
  <c r="E514" i="2"/>
  <c r="D514" i="2"/>
  <c r="C514" i="2"/>
  <c r="B514" i="2"/>
  <c r="A514" i="2"/>
  <c r="AH513" i="2"/>
  <c r="AG513" i="2"/>
  <c r="AE513" i="2"/>
  <c r="AD513" i="2"/>
  <c r="AC513" i="2"/>
  <c r="AB513" i="2"/>
  <c r="AA513" i="2"/>
  <c r="Y513" i="2"/>
  <c r="X513" i="2"/>
  <c r="V513" i="2"/>
  <c r="U513" i="2"/>
  <c r="T513" i="2"/>
  <c r="S513" i="2"/>
  <c r="R513" i="2"/>
  <c r="Q513" i="2"/>
  <c r="P513" i="2"/>
  <c r="O513" i="2"/>
  <c r="N513" i="2"/>
  <c r="M513" i="2"/>
  <c r="L513" i="2"/>
  <c r="K513" i="2"/>
  <c r="J513" i="2"/>
  <c r="I513" i="2"/>
  <c r="H513" i="2"/>
  <c r="G513" i="2"/>
  <c r="F513" i="2"/>
  <c r="E513" i="2"/>
  <c r="D513" i="2"/>
  <c r="C513" i="2"/>
  <c r="B513" i="2"/>
  <c r="A513" i="2"/>
  <c r="AH512" i="2"/>
  <c r="AG512" i="2"/>
  <c r="AE512" i="2"/>
  <c r="AD512" i="2"/>
  <c r="AC512" i="2"/>
  <c r="AB512" i="2"/>
  <c r="AA512" i="2"/>
  <c r="Y512" i="2"/>
  <c r="X512" i="2"/>
  <c r="W512" i="2"/>
  <c r="V512" i="2"/>
  <c r="U512" i="2"/>
  <c r="T512" i="2"/>
  <c r="Q512" i="2"/>
  <c r="P512" i="2"/>
  <c r="O512" i="2"/>
  <c r="N512" i="2"/>
  <c r="M512" i="2"/>
  <c r="L512" i="2"/>
  <c r="K512" i="2"/>
  <c r="J512" i="2"/>
  <c r="I512" i="2"/>
  <c r="H512" i="2"/>
  <c r="G512" i="2"/>
  <c r="F512" i="2"/>
  <c r="E512" i="2"/>
  <c r="D512" i="2"/>
  <c r="C512" i="2"/>
  <c r="B512" i="2"/>
  <c r="A512" i="2"/>
  <c r="AG511" i="2"/>
  <c r="AE511" i="2"/>
  <c r="AC511" i="2"/>
  <c r="AB511" i="2"/>
  <c r="AA511" i="2"/>
  <c r="Y511" i="2"/>
  <c r="X511" i="2"/>
  <c r="V511" i="2"/>
  <c r="U511" i="2"/>
  <c r="T511" i="2"/>
  <c r="S511" i="2"/>
  <c r="R511" i="2"/>
  <c r="Q511" i="2"/>
  <c r="P511" i="2"/>
  <c r="O511" i="2"/>
  <c r="N511" i="2"/>
  <c r="M511" i="2"/>
  <c r="L511" i="2"/>
  <c r="K511" i="2"/>
  <c r="J511" i="2"/>
  <c r="I511" i="2"/>
  <c r="H511" i="2"/>
  <c r="G511" i="2"/>
  <c r="F511" i="2"/>
  <c r="E511" i="2"/>
  <c r="D511" i="2"/>
  <c r="C511" i="2"/>
  <c r="B511" i="2"/>
  <c r="A511" i="2"/>
  <c r="AG510" i="2"/>
  <c r="AE510" i="2"/>
  <c r="AD510" i="2"/>
  <c r="AC510" i="2"/>
  <c r="AB510" i="2"/>
  <c r="AA510" i="2"/>
  <c r="Y510" i="2"/>
  <c r="X510" i="2"/>
  <c r="W510" i="2"/>
  <c r="V510" i="2"/>
  <c r="U510" i="2"/>
  <c r="T510" i="2"/>
  <c r="S510" i="2"/>
  <c r="R510" i="2"/>
  <c r="Q510" i="2"/>
  <c r="P510" i="2"/>
  <c r="O510" i="2"/>
  <c r="N510" i="2"/>
  <c r="M510" i="2"/>
  <c r="L510" i="2"/>
  <c r="K510" i="2"/>
  <c r="J510" i="2"/>
  <c r="I510" i="2"/>
  <c r="H510" i="2"/>
  <c r="G510" i="2"/>
  <c r="F510" i="2"/>
  <c r="E510" i="2"/>
  <c r="D510" i="2"/>
  <c r="C510" i="2"/>
  <c r="B510" i="2"/>
  <c r="A510" i="2"/>
  <c r="AH509" i="2"/>
  <c r="AG509" i="2"/>
  <c r="AF509" i="2"/>
  <c r="AE509" i="2"/>
  <c r="AD509" i="2"/>
  <c r="AC509" i="2"/>
  <c r="AB509" i="2"/>
  <c r="AA509" i="2"/>
  <c r="Y509" i="2"/>
  <c r="X509" i="2"/>
  <c r="W509" i="2"/>
  <c r="V509" i="2"/>
  <c r="U509" i="2"/>
  <c r="T509" i="2"/>
  <c r="S509" i="2"/>
  <c r="R509" i="2"/>
  <c r="Q509" i="2"/>
  <c r="P509" i="2"/>
  <c r="O509" i="2"/>
  <c r="N509" i="2"/>
  <c r="M509" i="2"/>
  <c r="L509" i="2"/>
  <c r="K509" i="2"/>
  <c r="J509" i="2"/>
  <c r="I509" i="2"/>
  <c r="H509" i="2"/>
  <c r="G509" i="2"/>
  <c r="F509" i="2"/>
  <c r="E509" i="2"/>
  <c r="D509" i="2"/>
  <c r="C509" i="2"/>
  <c r="B509" i="2"/>
  <c r="A509" i="2"/>
  <c r="AH508" i="2"/>
  <c r="AG508" i="2"/>
  <c r="AE508" i="2"/>
  <c r="AD508" i="2"/>
  <c r="AC508" i="2"/>
  <c r="AB508" i="2"/>
  <c r="AA508" i="2"/>
  <c r="Y508" i="2"/>
  <c r="V508" i="2"/>
  <c r="U508" i="2"/>
  <c r="T508" i="2"/>
  <c r="S508" i="2"/>
  <c r="R508" i="2"/>
  <c r="Q508" i="2"/>
  <c r="P508" i="2"/>
  <c r="O508" i="2"/>
  <c r="N508" i="2"/>
  <c r="M508" i="2"/>
  <c r="L508" i="2"/>
  <c r="K508" i="2"/>
  <c r="J508" i="2"/>
  <c r="I508" i="2"/>
  <c r="H508" i="2"/>
  <c r="G508" i="2"/>
  <c r="F508" i="2"/>
  <c r="E508" i="2"/>
  <c r="D508" i="2"/>
  <c r="C508" i="2"/>
  <c r="B508" i="2"/>
  <c r="A508" i="2"/>
  <c r="AH507" i="2"/>
  <c r="AG507" i="2"/>
  <c r="AE507" i="2"/>
  <c r="AD507" i="2"/>
  <c r="AC507" i="2"/>
  <c r="AB507" i="2"/>
  <c r="AA507" i="2"/>
  <c r="Y507" i="2"/>
  <c r="W507" i="2"/>
  <c r="V507" i="2"/>
  <c r="U507" i="2"/>
  <c r="T507" i="2"/>
  <c r="S507" i="2"/>
  <c r="R507" i="2"/>
  <c r="Q507" i="2"/>
  <c r="P507" i="2"/>
  <c r="O507" i="2"/>
  <c r="N507" i="2"/>
  <c r="M507" i="2"/>
  <c r="L507" i="2"/>
  <c r="K507" i="2"/>
  <c r="J507" i="2"/>
  <c r="I507" i="2"/>
  <c r="H507" i="2"/>
  <c r="G507" i="2"/>
  <c r="F507" i="2"/>
  <c r="E507" i="2"/>
  <c r="D507" i="2"/>
  <c r="C507" i="2"/>
  <c r="B507" i="2"/>
  <c r="A507" i="2"/>
  <c r="AH506" i="2"/>
  <c r="AG506" i="2"/>
  <c r="AE506" i="2"/>
  <c r="AD506" i="2"/>
  <c r="AC506" i="2"/>
  <c r="AB506" i="2"/>
  <c r="AA506" i="2"/>
  <c r="Y506" i="2"/>
  <c r="V506" i="2"/>
  <c r="U506" i="2"/>
  <c r="T506" i="2"/>
  <c r="S506" i="2"/>
  <c r="R506" i="2"/>
  <c r="Q506" i="2"/>
  <c r="P506" i="2"/>
  <c r="O506" i="2"/>
  <c r="N506" i="2"/>
  <c r="M506" i="2"/>
  <c r="L506" i="2"/>
  <c r="K506" i="2"/>
  <c r="J506" i="2"/>
  <c r="I506" i="2"/>
  <c r="H506" i="2"/>
  <c r="G506" i="2"/>
  <c r="F506" i="2"/>
  <c r="E506" i="2"/>
  <c r="D506" i="2"/>
  <c r="C506" i="2"/>
  <c r="B506" i="2"/>
  <c r="A506" i="2"/>
  <c r="AH505" i="2"/>
  <c r="AG505" i="2"/>
  <c r="AF505" i="2"/>
  <c r="AE505" i="2"/>
  <c r="AD505" i="2"/>
  <c r="AC505" i="2"/>
  <c r="AB505" i="2"/>
  <c r="AA505" i="2"/>
  <c r="Y505" i="2"/>
  <c r="X505" i="2"/>
  <c r="W505" i="2"/>
  <c r="V505" i="2"/>
  <c r="U505" i="2"/>
  <c r="T505" i="2"/>
  <c r="S505" i="2"/>
  <c r="R505" i="2"/>
  <c r="Q505" i="2"/>
  <c r="P505" i="2"/>
  <c r="O505" i="2"/>
  <c r="N505" i="2"/>
  <c r="M505" i="2"/>
  <c r="L505" i="2"/>
  <c r="K505" i="2"/>
  <c r="J505" i="2"/>
  <c r="I505" i="2"/>
  <c r="H505" i="2"/>
  <c r="G505" i="2"/>
  <c r="F505" i="2"/>
  <c r="E505" i="2"/>
  <c r="D505" i="2"/>
  <c r="C505" i="2"/>
  <c r="B505" i="2"/>
  <c r="A505" i="2"/>
  <c r="AH504" i="2"/>
  <c r="AG504" i="2"/>
  <c r="AE504" i="2"/>
  <c r="AD504" i="2"/>
  <c r="AC504" i="2"/>
  <c r="AB504" i="2"/>
  <c r="AA504" i="2"/>
  <c r="Y504" i="2"/>
  <c r="W504" i="2"/>
  <c r="V504" i="2"/>
  <c r="U504" i="2"/>
  <c r="T504" i="2"/>
  <c r="S504" i="2"/>
  <c r="R504" i="2"/>
  <c r="Q504" i="2"/>
  <c r="P504" i="2"/>
  <c r="O504" i="2"/>
  <c r="N504" i="2"/>
  <c r="M504" i="2"/>
  <c r="L504" i="2"/>
  <c r="K504" i="2"/>
  <c r="J504" i="2"/>
  <c r="I504" i="2"/>
  <c r="H504" i="2"/>
  <c r="G504" i="2"/>
  <c r="F504" i="2"/>
  <c r="E504" i="2"/>
  <c r="D504" i="2"/>
  <c r="C504" i="2"/>
  <c r="B504" i="2"/>
  <c r="A504" i="2"/>
  <c r="AG503" i="2"/>
  <c r="AE503" i="2"/>
  <c r="AD503" i="2"/>
  <c r="AC503" i="2"/>
  <c r="AB503" i="2"/>
  <c r="AA503" i="2"/>
  <c r="Y503" i="2"/>
  <c r="V503" i="2"/>
  <c r="U503" i="2"/>
  <c r="T503" i="2"/>
  <c r="S503" i="2"/>
  <c r="R503" i="2"/>
  <c r="Q503" i="2"/>
  <c r="P503" i="2"/>
  <c r="O503" i="2"/>
  <c r="N503" i="2"/>
  <c r="M503" i="2"/>
  <c r="L503" i="2"/>
  <c r="K503" i="2"/>
  <c r="J503" i="2"/>
  <c r="I503" i="2"/>
  <c r="H503" i="2"/>
  <c r="G503" i="2"/>
  <c r="F503" i="2"/>
  <c r="E503" i="2"/>
  <c r="D503" i="2"/>
  <c r="C503" i="2"/>
  <c r="B503" i="2"/>
  <c r="A503" i="2"/>
  <c r="AH502" i="2"/>
  <c r="AG502" i="2"/>
  <c r="AE502" i="2"/>
  <c r="AD502" i="2"/>
  <c r="AC502" i="2"/>
  <c r="AB502" i="2"/>
  <c r="AA502" i="2"/>
  <c r="Y502" i="2"/>
  <c r="V502" i="2"/>
  <c r="U502" i="2"/>
  <c r="T502" i="2"/>
  <c r="S502" i="2"/>
  <c r="R502" i="2"/>
  <c r="Q502" i="2"/>
  <c r="P502" i="2"/>
  <c r="O502" i="2"/>
  <c r="N502" i="2"/>
  <c r="M502" i="2"/>
  <c r="L502" i="2"/>
  <c r="K502" i="2"/>
  <c r="J502" i="2"/>
  <c r="I502" i="2"/>
  <c r="H502" i="2"/>
  <c r="G502" i="2"/>
  <c r="F502" i="2"/>
  <c r="E502" i="2"/>
  <c r="D502" i="2"/>
  <c r="C502" i="2"/>
  <c r="B502" i="2"/>
  <c r="A502" i="2"/>
  <c r="AH501" i="2"/>
  <c r="AG501" i="2"/>
  <c r="AE501" i="2"/>
  <c r="AD501" i="2"/>
  <c r="AC501" i="2"/>
  <c r="AB501" i="2"/>
  <c r="AA501" i="2"/>
  <c r="Y501" i="2"/>
  <c r="V501" i="2"/>
  <c r="U501" i="2"/>
  <c r="T501" i="2"/>
  <c r="S501" i="2"/>
  <c r="R501" i="2"/>
  <c r="Q501" i="2"/>
  <c r="P501" i="2"/>
  <c r="O501" i="2"/>
  <c r="N501" i="2"/>
  <c r="M501" i="2"/>
  <c r="L501" i="2"/>
  <c r="K501" i="2"/>
  <c r="J501" i="2"/>
  <c r="I501" i="2"/>
  <c r="H501" i="2"/>
  <c r="G501" i="2"/>
  <c r="F501" i="2"/>
  <c r="E501" i="2"/>
  <c r="D501" i="2"/>
  <c r="C501" i="2"/>
  <c r="B501" i="2"/>
  <c r="A501" i="2"/>
  <c r="AH500" i="2"/>
  <c r="AG500" i="2"/>
  <c r="AE500" i="2"/>
  <c r="AD500" i="2"/>
  <c r="AC500" i="2"/>
  <c r="AB500" i="2"/>
  <c r="AA500" i="2"/>
  <c r="Y500" i="2"/>
  <c r="W500" i="2"/>
  <c r="V500" i="2"/>
  <c r="U500" i="2"/>
  <c r="T500" i="2"/>
  <c r="S500" i="2"/>
  <c r="R500" i="2"/>
  <c r="Q500" i="2"/>
  <c r="P500" i="2"/>
  <c r="O500" i="2"/>
  <c r="N500" i="2"/>
  <c r="M500" i="2"/>
  <c r="L500" i="2"/>
  <c r="K500" i="2"/>
  <c r="J500" i="2"/>
  <c r="I500" i="2"/>
  <c r="H500" i="2"/>
  <c r="G500" i="2"/>
  <c r="F500" i="2"/>
  <c r="E500" i="2"/>
  <c r="D500" i="2"/>
  <c r="C500" i="2"/>
  <c r="B500" i="2"/>
  <c r="A500" i="2"/>
  <c r="AH499" i="2"/>
  <c r="AG499" i="2"/>
  <c r="AE499" i="2"/>
  <c r="AD499" i="2"/>
  <c r="AC499" i="2"/>
  <c r="AB499" i="2"/>
  <c r="AA499" i="2"/>
  <c r="Z499" i="2"/>
  <c r="Y499" i="2"/>
  <c r="W499" i="2"/>
  <c r="V499" i="2"/>
  <c r="U499" i="2"/>
  <c r="T499" i="2"/>
  <c r="S499" i="2"/>
  <c r="R499" i="2"/>
  <c r="Q499" i="2"/>
  <c r="P499" i="2"/>
  <c r="O499" i="2"/>
  <c r="N499" i="2"/>
  <c r="M499" i="2"/>
  <c r="L499" i="2"/>
  <c r="K499" i="2"/>
  <c r="J499" i="2"/>
  <c r="I499" i="2"/>
  <c r="H499" i="2"/>
  <c r="G499" i="2"/>
  <c r="F499" i="2"/>
  <c r="E499" i="2"/>
  <c r="D499" i="2"/>
  <c r="C499" i="2"/>
  <c r="B499" i="2"/>
  <c r="A499" i="2"/>
  <c r="AH498" i="2"/>
  <c r="AG498" i="2"/>
  <c r="AE498" i="2"/>
  <c r="AD498" i="2"/>
  <c r="AC498" i="2"/>
  <c r="AB498" i="2"/>
  <c r="AA498" i="2"/>
  <c r="Z498" i="2"/>
  <c r="Y498" i="2"/>
  <c r="X498" i="2"/>
  <c r="V498" i="2"/>
  <c r="U498" i="2"/>
  <c r="T498" i="2"/>
  <c r="S498" i="2"/>
  <c r="R498" i="2"/>
  <c r="Q498" i="2"/>
  <c r="P498" i="2"/>
  <c r="O498" i="2"/>
  <c r="N498" i="2"/>
  <c r="M498" i="2"/>
  <c r="L498" i="2"/>
  <c r="K498" i="2"/>
  <c r="J498" i="2"/>
  <c r="I498" i="2"/>
  <c r="H498" i="2"/>
  <c r="G498" i="2"/>
  <c r="F498" i="2"/>
  <c r="E498" i="2"/>
  <c r="D498" i="2"/>
  <c r="C498" i="2"/>
  <c r="B498" i="2"/>
  <c r="A498" i="2"/>
  <c r="AH497" i="2"/>
  <c r="AG497" i="2"/>
  <c r="AE497" i="2"/>
  <c r="AD497" i="2"/>
  <c r="AC497" i="2"/>
  <c r="AB497" i="2"/>
  <c r="AA497" i="2"/>
  <c r="Y497" i="2"/>
  <c r="X497" i="2"/>
  <c r="W497" i="2"/>
  <c r="V497" i="2"/>
  <c r="U497" i="2"/>
  <c r="T497" i="2"/>
  <c r="S497" i="2"/>
  <c r="R497" i="2"/>
  <c r="Q497" i="2"/>
  <c r="P497" i="2"/>
  <c r="O497" i="2"/>
  <c r="N497" i="2"/>
  <c r="M497" i="2"/>
  <c r="L497" i="2"/>
  <c r="K497" i="2"/>
  <c r="J497" i="2"/>
  <c r="I497" i="2"/>
  <c r="H497" i="2"/>
  <c r="G497" i="2"/>
  <c r="F497" i="2"/>
  <c r="E497" i="2"/>
  <c r="D497" i="2"/>
  <c r="C497" i="2"/>
  <c r="B497" i="2"/>
  <c r="A497" i="2"/>
  <c r="AH496" i="2"/>
  <c r="AG496" i="2"/>
  <c r="AE496" i="2"/>
  <c r="AD496" i="2"/>
  <c r="AC496" i="2"/>
  <c r="AB496" i="2"/>
  <c r="AA496" i="2"/>
  <c r="Y496" i="2"/>
  <c r="V496" i="2"/>
  <c r="U496" i="2"/>
  <c r="T496" i="2"/>
  <c r="S496" i="2"/>
  <c r="R496" i="2"/>
  <c r="Q496" i="2"/>
  <c r="P496" i="2"/>
  <c r="O496" i="2"/>
  <c r="N496" i="2"/>
  <c r="M496" i="2"/>
  <c r="L496" i="2"/>
  <c r="K496" i="2"/>
  <c r="J496" i="2"/>
  <c r="I496" i="2"/>
  <c r="H496" i="2"/>
  <c r="G496" i="2"/>
  <c r="F496" i="2"/>
  <c r="E496" i="2"/>
  <c r="D496" i="2"/>
  <c r="C496" i="2"/>
  <c r="B496" i="2"/>
  <c r="A496" i="2"/>
  <c r="AH495" i="2"/>
  <c r="AG495" i="2"/>
  <c r="AE495" i="2"/>
  <c r="AD495" i="2"/>
  <c r="AC495" i="2"/>
  <c r="AB495" i="2"/>
  <c r="AA495" i="2"/>
  <c r="V495" i="2"/>
  <c r="U495" i="2"/>
  <c r="T495" i="2"/>
  <c r="S495" i="2"/>
  <c r="R495" i="2"/>
  <c r="Q495" i="2"/>
  <c r="P495" i="2"/>
  <c r="O495" i="2"/>
  <c r="N495" i="2"/>
  <c r="M495" i="2"/>
  <c r="L495" i="2"/>
  <c r="K495" i="2"/>
  <c r="J495" i="2"/>
  <c r="I495" i="2"/>
  <c r="H495" i="2"/>
  <c r="G495" i="2"/>
  <c r="F495" i="2"/>
  <c r="E495" i="2"/>
  <c r="D495" i="2"/>
  <c r="C495" i="2"/>
  <c r="B495" i="2"/>
  <c r="A495" i="2"/>
  <c r="AH494" i="2"/>
  <c r="AG494" i="2"/>
  <c r="AE494" i="2"/>
  <c r="AD494" i="2"/>
  <c r="AC494" i="2"/>
  <c r="AB494" i="2"/>
  <c r="AA494" i="2"/>
  <c r="Y494" i="2"/>
  <c r="X494" i="2"/>
  <c r="W494" i="2"/>
  <c r="V494" i="2"/>
  <c r="U494" i="2"/>
  <c r="T494" i="2"/>
  <c r="S494" i="2"/>
  <c r="R494" i="2"/>
  <c r="Q494" i="2"/>
  <c r="P494" i="2"/>
  <c r="O494" i="2"/>
  <c r="N494" i="2"/>
  <c r="M494" i="2"/>
  <c r="L494" i="2"/>
  <c r="K494" i="2"/>
  <c r="J494" i="2"/>
  <c r="I494" i="2"/>
  <c r="H494" i="2"/>
  <c r="G494" i="2"/>
  <c r="F494" i="2"/>
  <c r="E494" i="2"/>
  <c r="D494" i="2"/>
  <c r="C494" i="2"/>
  <c r="B494" i="2"/>
  <c r="A494" i="2"/>
  <c r="AH493" i="2"/>
  <c r="AG493" i="2"/>
  <c r="AE493" i="2"/>
  <c r="AD493" i="2"/>
  <c r="AC493" i="2"/>
  <c r="AB493" i="2"/>
  <c r="AA493" i="2"/>
  <c r="Y493" i="2"/>
  <c r="X493" i="2"/>
  <c r="W493" i="2"/>
  <c r="V493" i="2"/>
  <c r="U493" i="2"/>
  <c r="T493" i="2"/>
  <c r="S493" i="2"/>
  <c r="R493" i="2"/>
  <c r="Q493" i="2"/>
  <c r="P493" i="2"/>
  <c r="O493" i="2"/>
  <c r="N493" i="2"/>
  <c r="M493" i="2"/>
  <c r="L493" i="2"/>
  <c r="K493" i="2"/>
  <c r="J493" i="2"/>
  <c r="I493" i="2"/>
  <c r="H493" i="2"/>
  <c r="G493" i="2"/>
  <c r="F493" i="2"/>
  <c r="E493" i="2"/>
  <c r="D493" i="2"/>
  <c r="C493" i="2"/>
  <c r="B493" i="2"/>
  <c r="A493" i="2"/>
  <c r="AH492" i="2"/>
  <c r="AG492" i="2"/>
  <c r="AE492" i="2"/>
  <c r="AD492" i="2"/>
  <c r="AC492" i="2"/>
  <c r="AB492" i="2"/>
  <c r="AA492" i="2"/>
  <c r="Y492" i="2"/>
  <c r="X492" i="2"/>
  <c r="W492" i="2"/>
  <c r="V492" i="2"/>
  <c r="U492" i="2"/>
  <c r="T492" i="2"/>
  <c r="S492" i="2"/>
  <c r="R492" i="2"/>
  <c r="Q492" i="2"/>
  <c r="P492" i="2"/>
  <c r="O492" i="2"/>
  <c r="N492" i="2"/>
  <c r="M492" i="2"/>
  <c r="L492" i="2"/>
  <c r="K492" i="2"/>
  <c r="J492" i="2"/>
  <c r="I492" i="2"/>
  <c r="H492" i="2"/>
  <c r="G492" i="2"/>
  <c r="F492" i="2"/>
  <c r="E492" i="2"/>
  <c r="D492" i="2"/>
  <c r="C492" i="2"/>
  <c r="B492" i="2"/>
  <c r="A492" i="2"/>
  <c r="AH491" i="2"/>
  <c r="AG491" i="2"/>
  <c r="AE491" i="2"/>
  <c r="AD491" i="2"/>
  <c r="AC491" i="2"/>
  <c r="AB491" i="2"/>
  <c r="AA491" i="2"/>
  <c r="V491" i="2"/>
  <c r="U491" i="2"/>
  <c r="T491" i="2"/>
  <c r="S491" i="2"/>
  <c r="R491" i="2"/>
  <c r="Q491" i="2"/>
  <c r="P491" i="2"/>
  <c r="O491" i="2"/>
  <c r="N491" i="2"/>
  <c r="M491" i="2"/>
  <c r="L491" i="2"/>
  <c r="K491" i="2"/>
  <c r="J491" i="2"/>
  <c r="I491" i="2"/>
  <c r="H491" i="2"/>
  <c r="G491" i="2"/>
  <c r="F491" i="2"/>
  <c r="E491" i="2"/>
  <c r="D491" i="2"/>
  <c r="C491" i="2"/>
  <c r="B491" i="2"/>
  <c r="A491" i="2"/>
  <c r="AH490" i="2"/>
  <c r="AG490" i="2"/>
  <c r="AF490" i="2"/>
  <c r="AE490" i="2"/>
  <c r="AD490" i="2"/>
  <c r="AC490" i="2"/>
  <c r="AB490" i="2"/>
  <c r="AA490" i="2"/>
  <c r="X490" i="2"/>
  <c r="W490" i="2"/>
  <c r="V490" i="2"/>
  <c r="U490" i="2"/>
  <c r="T490" i="2"/>
  <c r="S490" i="2"/>
  <c r="R490" i="2"/>
  <c r="Q490" i="2"/>
  <c r="P490" i="2"/>
  <c r="O490" i="2"/>
  <c r="N490" i="2"/>
  <c r="M490" i="2"/>
  <c r="L490" i="2"/>
  <c r="K490" i="2"/>
  <c r="J490" i="2"/>
  <c r="I490" i="2"/>
  <c r="H490" i="2"/>
  <c r="G490" i="2"/>
  <c r="F490" i="2"/>
  <c r="E490" i="2"/>
  <c r="D490" i="2"/>
  <c r="C490" i="2"/>
  <c r="B490" i="2"/>
  <c r="A490" i="2"/>
  <c r="AH489" i="2"/>
  <c r="AG489" i="2"/>
  <c r="AF489" i="2"/>
  <c r="AE489" i="2"/>
  <c r="AD489" i="2"/>
  <c r="AC489" i="2"/>
  <c r="AB489" i="2"/>
  <c r="AA489" i="2"/>
  <c r="Y489" i="2"/>
  <c r="X489" i="2"/>
  <c r="W489" i="2"/>
  <c r="V489" i="2"/>
  <c r="U489" i="2"/>
  <c r="T489" i="2"/>
  <c r="S489" i="2"/>
  <c r="R489" i="2"/>
  <c r="Q489" i="2"/>
  <c r="P489" i="2"/>
  <c r="O489" i="2"/>
  <c r="N489" i="2"/>
  <c r="M489" i="2"/>
  <c r="L489" i="2"/>
  <c r="K489" i="2"/>
  <c r="J489" i="2"/>
  <c r="I489" i="2"/>
  <c r="H489" i="2"/>
  <c r="G489" i="2"/>
  <c r="F489" i="2"/>
  <c r="E489" i="2"/>
  <c r="D489" i="2"/>
  <c r="C489" i="2"/>
  <c r="B489" i="2"/>
  <c r="A489" i="2"/>
  <c r="AG488" i="2"/>
  <c r="AF488" i="2"/>
  <c r="AE488" i="2"/>
  <c r="AD488" i="2"/>
  <c r="AC488" i="2"/>
  <c r="AB488" i="2"/>
  <c r="AA488" i="2"/>
  <c r="X488" i="2"/>
  <c r="V488" i="2"/>
  <c r="U488" i="2"/>
  <c r="T488" i="2"/>
  <c r="S488" i="2"/>
  <c r="R488" i="2"/>
  <c r="Q488" i="2"/>
  <c r="P488" i="2"/>
  <c r="O488" i="2"/>
  <c r="N488" i="2"/>
  <c r="M488" i="2"/>
  <c r="L488" i="2"/>
  <c r="K488" i="2"/>
  <c r="J488" i="2"/>
  <c r="I488" i="2"/>
  <c r="H488" i="2"/>
  <c r="G488" i="2"/>
  <c r="F488" i="2"/>
  <c r="E488" i="2"/>
  <c r="D488" i="2"/>
  <c r="C488" i="2"/>
  <c r="B488" i="2"/>
  <c r="A488" i="2"/>
  <c r="AH487" i="2"/>
  <c r="AG487" i="2"/>
  <c r="AF487" i="2"/>
  <c r="AE487" i="2"/>
  <c r="AD487" i="2"/>
  <c r="AC487" i="2"/>
  <c r="AB487" i="2"/>
  <c r="AA487" i="2"/>
  <c r="X487" i="2"/>
  <c r="W487" i="2"/>
  <c r="V487" i="2"/>
  <c r="U487" i="2"/>
  <c r="T487" i="2"/>
  <c r="S487" i="2"/>
  <c r="R487" i="2"/>
  <c r="Q487" i="2"/>
  <c r="P487" i="2"/>
  <c r="O487" i="2"/>
  <c r="N487" i="2"/>
  <c r="M487" i="2"/>
  <c r="L487" i="2"/>
  <c r="K487" i="2"/>
  <c r="J487" i="2"/>
  <c r="I487" i="2"/>
  <c r="H487" i="2"/>
  <c r="G487" i="2"/>
  <c r="F487" i="2"/>
  <c r="E487" i="2"/>
  <c r="D487" i="2"/>
  <c r="C487" i="2"/>
  <c r="B487" i="2"/>
  <c r="A487" i="2"/>
  <c r="AH486" i="2"/>
  <c r="AG486" i="2"/>
  <c r="AF486" i="2"/>
  <c r="AE486" i="2"/>
  <c r="AD486" i="2"/>
  <c r="AC486" i="2"/>
  <c r="AB486" i="2"/>
  <c r="AA486" i="2"/>
  <c r="X486" i="2"/>
  <c r="W486" i="2"/>
  <c r="V486" i="2"/>
  <c r="U486" i="2"/>
  <c r="T486" i="2"/>
  <c r="S486" i="2"/>
  <c r="R486" i="2"/>
  <c r="Q486" i="2"/>
  <c r="P486" i="2"/>
  <c r="O486" i="2"/>
  <c r="N486" i="2"/>
  <c r="M486" i="2"/>
  <c r="L486" i="2"/>
  <c r="K486" i="2"/>
  <c r="J486" i="2"/>
  <c r="I486" i="2"/>
  <c r="H486" i="2"/>
  <c r="G486" i="2"/>
  <c r="F486" i="2"/>
  <c r="E486" i="2"/>
  <c r="D486" i="2"/>
  <c r="C486" i="2"/>
  <c r="B486" i="2"/>
  <c r="A486" i="2"/>
  <c r="AH485" i="2"/>
  <c r="AG485" i="2"/>
  <c r="AF485" i="2"/>
  <c r="AE485" i="2"/>
  <c r="AD485" i="2"/>
  <c r="AC485" i="2"/>
  <c r="AB485" i="2"/>
  <c r="AA485" i="2"/>
  <c r="Y485" i="2"/>
  <c r="X485" i="2"/>
  <c r="V485" i="2"/>
  <c r="U485" i="2"/>
  <c r="T485" i="2"/>
  <c r="S485" i="2"/>
  <c r="R485" i="2"/>
  <c r="Q485" i="2"/>
  <c r="P485" i="2"/>
  <c r="O485" i="2"/>
  <c r="N485" i="2"/>
  <c r="M485" i="2"/>
  <c r="L485" i="2"/>
  <c r="K485" i="2"/>
  <c r="J485" i="2"/>
  <c r="I485" i="2"/>
  <c r="H485" i="2"/>
  <c r="G485" i="2"/>
  <c r="F485" i="2"/>
  <c r="E485" i="2"/>
  <c r="D485" i="2"/>
  <c r="C485" i="2"/>
  <c r="B485" i="2"/>
  <c r="A485" i="2"/>
  <c r="AH484" i="2"/>
  <c r="AG484" i="2"/>
  <c r="AE484" i="2"/>
  <c r="AD484" i="2"/>
  <c r="AC484" i="2"/>
  <c r="AB484" i="2"/>
  <c r="AA484" i="2"/>
  <c r="Y484" i="2"/>
  <c r="X484" i="2"/>
  <c r="V484" i="2"/>
  <c r="U484" i="2"/>
  <c r="T484" i="2"/>
  <c r="S484" i="2"/>
  <c r="R484" i="2"/>
  <c r="Q484" i="2"/>
  <c r="P484" i="2"/>
  <c r="O484" i="2"/>
  <c r="N484" i="2"/>
  <c r="M484" i="2"/>
  <c r="L484" i="2"/>
  <c r="K484" i="2"/>
  <c r="J484" i="2"/>
  <c r="I484" i="2"/>
  <c r="H484" i="2"/>
  <c r="G484" i="2"/>
  <c r="F484" i="2"/>
  <c r="E484" i="2"/>
  <c r="D484" i="2"/>
  <c r="C484" i="2"/>
  <c r="B484" i="2"/>
  <c r="A484" i="2"/>
  <c r="AH483" i="2"/>
  <c r="AG483" i="2"/>
  <c r="AE483" i="2"/>
  <c r="AD483" i="2"/>
  <c r="AC483" i="2"/>
  <c r="AB483" i="2"/>
  <c r="AA483" i="2"/>
  <c r="Y483" i="2"/>
  <c r="W483" i="2"/>
  <c r="V483" i="2"/>
  <c r="U483" i="2"/>
  <c r="T483" i="2"/>
  <c r="S483" i="2"/>
  <c r="R483" i="2"/>
  <c r="Q483" i="2"/>
  <c r="P483" i="2"/>
  <c r="O483" i="2"/>
  <c r="N483" i="2"/>
  <c r="M483" i="2"/>
  <c r="L483" i="2"/>
  <c r="K483" i="2"/>
  <c r="J483" i="2"/>
  <c r="I483" i="2"/>
  <c r="H483" i="2"/>
  <c r="G483" i="2"/>
  <c r="F483" i="2"/>
  <c r="E483" i="2"/>
  <c r="D483" i="2"/>
  <c r="C483" i="2"/>
  <c r="B483" i="2"/>
  <c r="A483" i="2"/>
  <c r="AH482" i="2"/>
  <c r="AG482" i="2"/>
  <c r="AF482" i="2"/>
  <c r="AE482" i="2"/>
  <c r="AD482" i="2"/>
  <c r="AC482" i="2"/>
  <c r="AB482" i="2"/>
  <c r="AA482" i="2"/>
  <c r="Y482" i="2"/>
  <c r="X482" i="2"/>
  <c r="W482" i="2"/>
  <c r="V482" i="2"/>
  <c r="U482" i="2"/>
  <c r="T482" i="2"/>
  <c r="S482" i="2"/>
  <c r="R482" i="2"/>
  <c r="Q482" i="2"/>
  <c r="P482" i="2"/>
  <c r="O482" i="2"/>
  <c r="N482" i="2"/>
  <c r="M482" i="2"/>
  <c r="L482" i="2"/>
  <c r="K482" i="2"/>
  <c r="J482" i="2"/>
  <c r="I482" i="2"/>
  <c r="H482" i="2"/>
  <c r="G482" i="2"/>
  <c r="F482" i="2"/>
  <c r="E482" i="2"/>
  <c r="D482" i="2"/>
  <c r="C482" i="2"/>
  <c r="B482" i="2"/>
  <c r="A482" i="2"/>
  <c r="AH481" i="2"/>
  <c r="AG481" i="2"/>
  <c r="AE481" i="2"/>
  <c r="AD481" i="2"/>
  <c r="AC481" i="2"/>
  <c r="AB481" i="2"/>
  <c r="AA481" i="2"/>
  <c r="Z481" i="2"/>
  <c r="Y481" i="2"/>
  <c r="X481" i="2"/>
  <c r="W481" i="2"/>
  <c r="V481" i="2"/>
  <c r="U481" i="2"/>
  <c r="T481" i="2"/>
  <c r="S481" i="2"/>
  <c r="R481" i="2"/>
  <c r="Q481" i="2"/>
  <c r="P481" i="2"/>
  <c r="O481" i="2"/>
  <c r="N481" i="2"/>
  <c r="M481" i="2"/>
  <c r="L481" i="2"/>
  <c r="K481" i="2"/>
  <c r="J481" i="2"/>
  <c r="I481" i="2"/>
  <c r="H481" i="2"/>
  <c r="G481" i="2"/>
  <c r="F481" i="2"/>
  <c r="E481" i="2"/>
  <c r="D481" i="2"/>
  <c r="C481" i="2"/>
  <c r="B481" i="2"/>
  <c r="A481" i="2"/>
  <c r="AH480" i="2"/>
  <c r="AG480" i="2"/>
  <c r="AE480" i="2"/>
  <c r="AD480" i="2"/>
  <c r="AC480" i="2"/>
  <c r="AB480" i="2"/>
  <c r="AA480" i="2"/>
  <c r="Y480" i="2"/>
  <c r="X480" i="2"/>
  <c r="V480" i="2"/>
  <c r="U480" i="2"/>
  <c r="T480" i="2"/>
  <c r="S480" i="2"/>
  <c r="R480" i="2"/>
  <c r="Q480" i="2"/>
  <c r="P480" i="2"/>
  <c r="O480" i="2"/>
  <c r="N480" i="2"/>
  <c r="M480" i="2"/>
  <c r="L480" i="2"/>
  <c r="K480" i="2"/>
  <c r="J480" i="2"/>
  <c r="I480" i="2"/>
  <c r="H480" i="2"/>
  <c r="G480" i="2"/>
  <c r="F480" i="2"/>
  <c r="E480" i="2"/>
  <c r="D480" i="2"/>
  <c r="C480" i="2"/>
  <c r="B480" i="2"/>
  <c r="A480" i="2"/>
  <c r="AH479" i="2"/>
  <c r="AG479" i="2"/>
  <c r="AF479" i="2"/>
  <c r="AE479" i="2"/>
  <c r="AC479" i="2"/>
  <c r="AB479" i="2"/>
  <c r="AA479" i="2"/>
  <c r="Y479" i="2"/>
  <c r="X479" i="2"/>
  <c r="W479" i="2"/>
  <c r="V479" i="2"/>
  <c r="U479" i="2"/>
  <c r="T479" i="2"/>
  <c r="S479" i="2"/>
  <c r="R479" i="2"/>
  <c r="Q479" i="2"/>
  <c r="P479" i="2"/>
  <c r="O479" i="2"/>
  <c r="N479" i="2"/>
  <c r="M479" i="2"/>
  <c r="L479" i="2"/>
  <c r="K479" i="2"/>
  <c r="J479" i="2"/>
  <c r="I479" i="2"/>
  <c r="H479" i="2"/>
  <c r="G479" i="2"/>
  <c r="F479" i="2"/>
  <c r="E479" i="2"/>
  <c r="D479" i="2"/>
  <c r="C479" i="2"/>
  <c r="B479" i="2"/>
  <c r="A479" i="2"/>
  <c r="AH478" i="2"/>
  <c r="AG478" i="2"/>
  <c r="AE478" i="2"/>
  <c r="AC478" i="2"/>
  <c r="AB478" i="2"/>
  <c r="AA478" i="2"/>
  <c r="Z478" i="2"/>
  <c r="Y478" i="2"/>
  <c r="X478" i="2"/>
  <c r="W478" i="2"/>
  <c r="V478" i="2"/>
  <c r="U478" i="2"/>
  <c r="T478" i="2"/>
  <c r="S478" i="2"/>
  <c r="R478" i="2"/>
  <c r="Q478" i="2"/>
  <c r="P478" i="2"/>
  <c r="O478" i="2"/>
  <c r="N478" i="2"/>
  <c r="M478" i="2"/>
  <c r="L478" i="2"/>
  <c r="K478" i="2"/>
  <c r="J478" i="2"/>
  <c r="I478" i="2"/>
  <c r="H478" i="2"/>
  <c r="G478" i="2"/>
  <c r="F478" i="2"/>
  <c r="E478" i="2"/>
  <c r="D478" i="2"/>
  <c r="C478" i="2"/>
  <c r="B478" i="2"/>
  <c r="A478" i="2"/>
  <c r="AH477" i="2"/>
  <c r="AG477" i="2"/>
  <c r="AE477" i="2"/>
  <c r="AD477" i="2"/>
  <c r="AC477" i="2"/>
  <c r="AB477" i="2"/>
  <c r="AA477" i="2"/>
  <c r="Y477" i="2"/>
  <c r="V477" i="2"/>
  <c r="U477" i="2"/>
  <c r="T477" i="2"/>
  <c r="S477" i="2"/>
  <c r="R477" i="2"/>
  <c r="Q477" i="2"/>
  <c r="P477" i="2"/>
  <c r="O477" i="2"/>
  <c r="N477" i="2"/>
  <c r="M477" i="2"/>
  <c r="L477" i="2"/>
  <c r="K477" i="2"/>
  <c r="J477" i="2"/>
  <c r="I477" i="2"/>
  <c r="H477" i="2"/>
  <c r="G477" i="2"/>
  <c r="F477" i="2"/>
  <c r="E477" i="2"/>
  <c r="D477" i="2"/>
  <c r="C477" i="2"/>
  <c r="B477" i="2"/>
  <c r="A477" i="2"/>
  <c r="AH476" i="2"/>
  <c r="AG476" i="2"/>
  <c r="AE476" i="2"/>
  <c r="AD476" i="2"/>
  <c r="AC476" i="2"/>
  <c r="AB476" i="2"/>
  <c r="AA476" i="2"/>
  <c r="X476" i="2"/>
  <c r="V476" i="2"/>
  <c r="U476" i="2"/>
  <c r="T476" i="2"/>
  <c r="S476" i="2"/>
  <c r="R476" i="2"/>
  <c r="Q476" i="2"/>
  <c r="P476" i="2"/>
  <c r="O476" i="2"/>
  <c r="N476" i="2"/>
  <c r="M476" i="2"/>
  <c r="L476" i="2"/>
  <c r="K476" i="2"/>
  <c r="J476" i="2"/>
  <c r="I476" i="2"/>
  <c r="H476" i="2"/>
  <c r="G476" i="2"/>
  <c r="F476" i="2"/>
  <c r="E476" i="2"/>
  <c r="D476" i="2"/>
  <c r="C476" i="2"/>
  <c r="B476" i="2"/>
  <c r="A476" i="2"/>
  <c r="AH475" i="2"/>
  <c r="AG475" i="2"/>
  <c r="AF475" i="2"/>
  <c r="AE475" i="2"/>
  <c r="AD475" i="2"/>
  <c r="AC475" i="2"/>
  <c r="AB475" i="2"/>
  <c r="AA475" i="2"/>
  <c r="Y475" i="2"/>
  <c r="X475" i="2"/>
  <c r="W475" i="2"/>
  <c r="V475" i="2"/>
  <c r="U475" i="2"/>
  <c r="T475" i="2"/>
  <c r="Q475" i="2"/>
  <c r="P475" i="2"/>
  <c r="O475" i="2"/>
  <c r="N475" i="2"/>
  <c r="M475" i="2"/>
  <c r="L475" i="2"/>
  <c r="K475" i="2"/>
  <c r="J475" i="2"/>
  <c r="I475" i="2"/>
  <c r="H475" i="2"/>
  <c r="G475" i="2"/>
  <c r="F475" i="2"/>
  <c r="E475" i="2"/>
  <c r="D475" i="2"/>
  <c r="C475" i="2"/>
  <c r="B475" i="2"/>
  <c r="A475" i="2"/>
  <c r="AH474" i="2"/>
  <c r="AG474" i="2"/>
  <c r="AE474" i="2"/>
  <c r="AD474" i="2"/>
  <c r="AC474" i="2"/>
  <c r="AB474" i="2"/>
  <c r="AA474" i="2"/>
  <c r="Y474" i="2"/>
  <c r="X474" i="2"/>
  <c r="W474" i="2"/>
  <c r="V474" i="2"/>
  <c r="U474" i="2"/>
  <c r="T474" i="2"/>
  <c r="S474" i="2"/>
  <c r="R474" i="2"/>
  <c r="Q474" i="2"/>
  <c r="P474" i="2"/>
  <c r="O474" i="2"/>
  <c r="N474" i="2"/>
  <c r="M474" i="2"/>
  <c r="L474" i="2"/>
  <c r="K474" i="2"/>
  <c r="J474" i="2"/>
  <c r="I474" i="2"/>
  <c r="H474" i="2"/>
  <c r="G474" i="2"/>
  <c r="F474" i="2"/>
  <c r="E474" i="2"/>
  <c r="D474" i="2"/>
  <c r="C474" i="2"/>
  <c r="B474" i="2"/>
  <c r="A474" i="2"/>
  <c r="AH473" i="2"/>
  <c r="AG473" i="2"/>
  <c r="AE473" i="2"/>
  <c r="AD473" i="2"/>
  <c r="AC473" i="2"/>
  <c r="AB473" i="2"/>
  <c r="AA473" i="2"/>
  <c r="Y473" i="2"/>
  <c r="X473" i="2"/>
  <c r="W473" i="2"/>
  <c r="V473" i="2"/>
  <c r="U473" i="2"/>
  <c r="T473" i="2"/>
  <c r="S473" i="2"/>
  <c r="R473" i="2"/>
  <c r="Q473" i="2"/>
  <c r="P473" i="2"/>
  <c r="O473" i="2"/>
  <c r="N473" i="2"/>
  <c r="M473" i="2"/>
  <c r="L473" i="2"/>
  <c r="K473" i="2"/>
  <c r="J473" i="2"/>
  <c r="I473" i="2"/>
  <c r="H473" i="2"/>
  <c r="G473" i="2"/>
  <c r="F473" i="2"/>
  <c r="E473" i="2"/>
  <c r="D473" i="2"/>
  <c r="C473" i="2"/>
  <c r="B473" i="2"/>
  <c r="A473" i="2"/>
  <c r="AH472" i="2"/>
  <c r="AG472" i="2"/>
  <c r="AE472" i="2"/>
  <c r="AC472" i="2"/>
  <c r="AB472" i="2"/>
  <c r="AA472" i="2"/>
  <c r="Z472" i="2"/>
  <c r="Y472" i="2"/>
  <c r="X472" i="2"/>
  <c r="W472" i="2"/>
  <c r="V472" i="2"/>
  <c r="U472" i="2"/>
  <c r="T472" i="2"/>
  <c r="S472" i="2"/>
  <c r="R472" i="2"/>
  <c r="Q472" i="2"/>
  <c r="P472" i="2"/>
  <c r="O472" i="2"/>
  <c r="N472" i="2"/>
  <c r="M472" i="2"/>
  <c r="L472" i="2"/>
  <c r="K472" i="2"/>
  <c r="J472" i="2"/>
  <c r="I472" i="2"/>
  <c r="H472" i="2"/>
  <c r="G472" i="2"/>
  <c r="F472" i="2"/>
  <c r="E472" i="2"/>
  <c r="D472" i="2"/>
  <c r="C472" i="2"/>
  <c r="B472" i="2"/>
  <c r="A472" i="2"/>
  <c r="AH471" i="2"/>
  <c r="AG471" i="2"/>
  <c r="AE471" i="2"/>
  <c r="AD471" i="2"/>
  <c r="AC471" i="2"/>
  <c r="AB471" i="2"/>
  <c r="AA471" i="2"/>
  <c r="Y471" i="2"/>
  <c r="X471" i="2"/>
  <c r="W471" i="2"/>
  <c r="V471" i="2"/>
  <c r="U471" i="2"/>
  <c r="T471" i="2"/>
  <c r="S471" i="2"/>
  <c r="R471" i="2"/>
  <c r="Q471" i="2"/>
  <c r="P471" i="2"/>
  <c r="O471" i="2"/>
  <c r="N471" i="2"/>
  <c r="M471" i="2"/>
  <c r="L471" i="2"/>
  <c r="K471" i="2"/>
  <c r="J471" i="2"/>
  <c r="I471" i="2"/>
  <c r="H471" i="2"/>
  <c r="G471" i="2"/>
  <c r="F471" i="2"/>
  <c r="E471" i="2"/>
  <c r="D471" i="2"/>
  <c r="C471" i="2"/>
  <c r="B471" i="2"/>
  <c r="A471" i="2"/>
  <c r="AH470" i="2"/>
  <c r="AG470" i="2"/>
  <c r="AE470" i="2"/>
  <c r="AC470" i="2"/>
  <c r="AB470" i="2"/>
  <c r="AA470" i="2"/>
  <c r="Z470" i="2"/>
  <c r="Y470" i="2"/>
  <c r="X470" i="2"/>
  <c r="W470" i="2"/>
  <c r="V470" i="2"/>
  <c r="U470" i="2"/>
  <c r="T470" i="2"/>
  <c r="S470" i="2"/>
  <c r="R470" i="2"/>
  <c r="Q470" i="2"/>
  <c r="P470" i="2"/>
  <c r="O470" i="2"/>
  <c r="N470" i="2"/>
  <c r="M470" i="2"/>
  <c r="L470" i="2"/>
  <c r="K470" i="2"/>
  <c r="J470" i="2"/>
  <c r="I470" i="2"/>
  <c r="H470" i="2"/>
  <c r="G470" i="2"/>
  <c r="F470" i="2"/>
  <c r="E470" i="2"/>
  <c r="D470" i="2"/>
  <c r="C470" i="2"/>
  <c r="B470" i="2"/>
  <c r="A470" i="2"/>
  <c r="AH469" i="2"/>
  <c r="AG469" i="2"/>
  <c r="AE469" i="2"/>
  <c r="AD469" i="2"/>
  <c r="AC469" i="2"/>
  <c r="AB469" i="2"/>
  <c r="AA469" i="2"/>
  <c r="Z469" i="2"/>
  <c r="Y469" i="2"/>
  <c r="V469" i="2"/>
  <c r="U469" i="2"/>
  <c r="T469" i="2"/>
  <c r="S469" i="2"/>
  <c r="R469" i="2"/>
  <c r="Q469" i="2"/>
  <c r="P469" i="2"/>
  <c r="O469" i="2"/>
  <c r="N469" i="2"/>
  <c r="M469" i="2"/>
  <c r="L469" i="2"/>
  <c r="K469" i="2"/>
  <c r="J469" i="2"/>
  <c r="I469" i="2"/>
  <c r="H469" i="2"/>
  <c r="G469" i="2"/>
  <c r="F469" i="2"/>
  <c r="E469" i="2"/>
  <c r="D469" i="2"/>
  <c r="C469" i="2"/>
  <c r="B469" i="2"/>
  <c r="A469" i="2"/>
  <c r="AG468" i="2"/>
  <c r="AD468" i="2"/>
  <c r="AC468" i="2"/>
  <c r="AB468" i="2"/>
  <c r="AA468" i="2"/>
  <c r="Y468" i="2"/>
  <c r="V468" i="2"/>
  <c r="U468" i="2"/>
  <c r="T468" i="2"/>
  <c r="S468" i="2"/>
  <c r="R468" i="2"/>
  <c r="Q468" i="2"/>
  <c r="P468" i="2"/>
  <c r="O468" i="2"/>
  <c r="N468" i="2"/>
  <c r="M468" i="2"/>
  <c r="L468" i="2"/>
  <c r="K468" i="2"/>
  <c r="J468" i="2"/>
  <c r="I468" i="2"/>
  <c r="H468" i="2"/>
  <c r="G468" i="2"/>
  <c r="F468" i="2"/>
  <c r="E468" i="2"/>
  <c r="D468" i="2"/>
  <c r="C468" i="2"/>
  <c r="B468" i="2"/>
  <c r="A468" i="2"/>
  <c r="AH467" i="2"/>
  <c r="AG467" i="2"/>
  <c r="AE467" i="2"/>
  <c r="AD467" i="2"/>
  <c r="AC467" i="2"/>
  <c r="AB467" i="2"/>
  <c r="AA467" i="2"/>
  <c r="Y467" i="2"/>
  <c r="X467" i="2"/>
  <c r="W467" i="2"/>
  <c r="V467" i="2"/>
  <c r="U467" i="2"/>
  <c r="T467" i="2"/>
  <c r="S467" i="2"/>
  <c r="R467" i="2"/>
  <c r="Q467" i="2"/>
  <c r="P467" i="2"/>
  <c r="O467" i="2"/>
  <c r="N467" i="2"/>
  <c r="M467" i="2"/>
  <c r="L467" i="2"/>
  <c r="K467" i="2"/>
  <c r="J467" i="2"/>
  <c r="I467" i="2"/>
  <c r="H467" i="2"/>
  <c r="G467" i="2"/>
  <c r="F467" i="2"/>
  <c r="E467" i="2"/>
  <c r="D467" i="2"/>
  <c r="C467" i="2"/>
  <c r="B467" i="2"/>
  <c r="A467" i="2"/>
  <c r="AG466" i="2"/>
  <c r="AF466" i="2"/>
  <c r="AE466" i="2"/>
  <c r="AD466" i="2"/>
  <c r="AC466" i="2"/>
  <c r="AB466" i="2"/>
  <c r="AA466" i="2"/>
  <c r="Y466" i="2"/>
  <c r="X466" i="2"/>
  <c r="W466" i="2"/>
  <c r="V466" i="2"/>
  <c r="U466" i="2"/>
  <c r="T466" i="2"/>
  <c r="S466" i="2"/>
  <c r="R466" i="2"/>
  <c r="Q466" i="2"/>
  <c r="P466" i="2"/>
  <c r="O466" i="2"/>
  <c r="N466" i="2"/>
  <c r="M466" i="2"/>
  <c r="L466" i="2"/>
  <c r="K466" i="2"/>
  <c r="J466" i="2"/>
  <c r="I466" i="2"/>
  <c r="H466" i="2"/>
  <c r="G466" i="2"/>
  <c r="F466" i="2"/>
  <c r="E466" i="2"/>
  <c r="D466" i="2"/>
  <c r="C466" i="2"/>
  <c r="B466" i="2"/>
  <c r="A466" i="2"/>
  <c r="AH465" i="2"/>
  <c r="AG465" i="2"/>
  <c r="AE465" i="2"/>
  <c r="AD465" i="2"/>
  <c r="AC465" i="2"/>
  <c r="AB465" i="2"/>
  <c r="AA465" i="2"/>
  <c r="Z465" i="2"/>
  <c r="Y465" i="2"/>
  <c r="X465" i="2"/>
  <c r="V465" i="2"/>
  <c r="U465" i="2"/>
  <c r="T465" i="2"/>
  <c r="S465" i="2"/>
  <c r="R465" i="2"/>
  <c r="Q465" i="2"/>
  <c r="P465" i="2"/>
  <c r="O465" i="2"/>
  <c r="N465" i="2"/>
  <c r="M465" i="2"/>
  <c r="L465" i="2"/>
  <c r="K465" i="2"/>
  <c r="J465" i="2"/>
  <c r="I465" i="2"/>
  <c r="H465" i="2"/>
  <c r="G465" i="2"/>
  <c r="F465" i="2"/>
  <c r="E465" i="2"/>
  <c r="D465" i="2"/>
  <c r="C465" i="2"/>
  <c r="B465" i="2"/>
  <c r="A465" i="2"/>
  <c r="AG464" i="2"/>
  <c r="AE464" i="2"/>
  <c r="AC464" i="2"/>
  <c r="AB464" i="2"/>
  <c r="AA464" i="2"/>
  <c r="Z464" i="2"/>
  <c r="Y464" i="2"/>
  <c r="X464" i="2"/>
  <c r="W464" i="2"/>
  <c r="V464" i="2"/>
  <c r="U464" i="2"/>
  <c r="T464" i="2"/>
  <c r="S464" i="2"/>
  <c r="R464" i="2"/>
  <c r="Q464" i="2"/>
  <c r="P464" i="2"/>
  <c r="O464" i="2"/>
  <c r="N464" i="2"/>
  <c r="M464" i="2"/>
  <c r="L464" i="2"/>
  <c r="K464" i="2"/>
  <c r="J464" i="2"/>
  <c r="I464" i="2"/>
  <c r="H464" i="2"/>
  <c r="G464" i="2"/>
  <c r="F464" i="2"/>
  <c r="E464" i="2"/>
  <c r="D464" i="2"/>
  <c r="C464" i="2"/>
  <c r="B464" i="2"/>
  <c r="A464" i="2"/>
  <c r="AH463" i="2"/>
  <c r="AG463" i="2"/>
  <c r="AF463" i="2"/>
  <c r="AE463" i="2"/>
  <c r="AD463" i="2"/>
  <c r="AC463" i="2"/>
  <c r="AB463" i="2"/>
  <c r="AA463" i="2"/>
  <c r="Y463" i="2"/>
  <c r="X463" i="2"/>
  <c r="W463" i="2"/>
  <c r="V463" i="2"/>
  <c r="U463" i="2"/>
  <c r="T463" i="2"/>
  <c r="S463" i="2"/>
  <c r="R463" i="2"/>
  <c r="Q463" i="2"/>
  <c r="P463" i="2"/>
  <c r="O463" i="2"/>
  <c r="N463" i="2"/>
  <c r="M463" i="2"/>
  <c r="L463" i="2"/>
  <c r="K463" i="2"/>
  <c r="J463" i="2"/>
  <c r="I463" i="2"/>
  <c r="H463" i="2"/>
  <c r="G463" i="2"/>
  <c r="F463" i="2"/>
  <c r="E463" i="2"/>
  <c r="D463" i="2"/>
  <c r="C463" i="2"/>
  <c r="B463" i="2"/>
  <c r="A463" i="2"/>
  <c r="AG462" i="2"/>
  <c r="AE462" i="2"/>
  <c r="AD462" i="2"/>
  <c r="AC462" i="2"/>
  <c r="AB462" i="2"/>
  <c r="AA462" i="2"/>
  <c r="X462" i="2"/>
  <c r="V462" i="2"/>
  <c r="U462" i="2"/>
  <c r="T462" i="2"/>
  <c r="S462" i="2"/>
  <c r="R462" i="2"/>
  <c r="Q462" i="2"/>
  <c r="P462" i="2"/>
  <c r="O462" i="2"/>
  <c r="N462" i="2"/>
  <c r="M462" i="2"/>
  <c r="L462" i="2"/>
  <c r="K462" i="2"/>
  <c r="J462" i="2"/>
  <c r="I462" i="2"/>
  <c r="H462" i="2"/>
  <c r="G462" i="2"/>
  <c r="F462" i="2"/>
  <c r="E462" i="2"/>
  <c r="D462" i="2"/>
  <c r="C462" i="2"/>
  <c r="B462" i="2"/>
  <c r="A462" i="2"/>
  <c r="AH461" i="2"/>
  <c r="AG461" i="2"/>
  <c r="AE461" i="2"/>
  <c r="AD461" i="2"/>
  <c r="AC461" i="2"/>
  <c r="AB461" i="2"/>
  <c r="AA461" i="2"/>
  <c r="Z461" i="2"/>
  <c r="Y461" i="2"/>
  <c r="X461" i="2"/>
  <c r="W461" i="2"/>
  <c r="V461" i="2"/>
  <c r="U461" i="2"/>
  <c r="T461" i="2"/>
  <c r="S461" i="2"/>
  <c r="R461" i="2"/>
  <c r="Q461" i="2"/>
  <c r="P461" i="2"/>
  <c r="O461" i="2"/>
  <c r="N461" i="2"/>
  <c r="M461" i="2"/>
  <c r="L461" i="2"/>
  <c r="K461" i="2"/>
  <c r="J461" i="2"/>
  <c r="I461" i="2"/>
  <c r="H461" i="2"/>
  <c r="G461" i="2"/>
  <c r="F461" i="2"/>
  <c r="E461" i="2"/>
  <c r="D461" i="2"/>
  <c r="C461" i="2"/>
  <c r="B461" i="2"/>
  <c r="A461" i="2"/>
  <c r="AH460" i="2"/>
  <c r="AG460" i="2"/>
  <c r="AE460" i="2"/>
  <c r="AD460" i="2"/>
  <c r="AC460" i="2"/>
  <c r="AB460" i="2"/>
  <c r="AA460" i="2"/>
  <c r="X460" i="2"/>
  <c r="W460" i="2"/>
  <c r="V460" i="2"/>
  <c r="U460" i="2"/>
  <c r="T460" i="2"/>
  <c r="S460" i="2"/>
  <c r="R460" i="2"/>
  <c r="Q460" i="2"/>
  <c r="P460" i="2"/>
  <c r="O460" i="2"/>
  <c r="N460" i="2"/>
  <c r="M460" i="2"/>
  <c r="L460" i="2"/>
  <c r="K460" i="2"/>
  <c r="J460" i="2"/>
  <c r="I460" i="2"/>
  <c r="H460" i="2"/>
  <c r="G460" i="2"/>
  <c r="F460" i="2"/>
  <c r="E460" i="2"/>
  <c r="D460" i="2"/>
  <c r="C460" i="2"/>
  <c r="B460" i="2"/>
  <c r="A460" i="2"/>
  <c r="AH459" i="2"/>
  <c r="AG459" i="2"/>
  <c r="AF459" i="2"/>
  <c r="AE459" i="2"/>
  <c r="AD459" i="2"/>
  <c r="AC459" i="2"/>
  <c r="AB459" i="2"/>
  <c r="AA459" i="2"/>
  <c r="Y459" i="2"/>
  <c r="X459" i="2"/>
  <c r="W459" i="2"/>
  <c r="V459" i="2"/>
  <c r="U459" i="2"/>
  <c r="T459" i="2"/>
  <c r="S459" i="2"/>
  <c r="R459" i="2"/>
  <c r="Q459" i="2"/>
  <c r="P459" i="2"/>
  <c r="O459" i="2"/>
  <c r="N459" i="2"/>
  <c r="M459" i="2"/>
  <c r="L459" i="2"/>
  <c r="K459" i="2"/>
  <c r="J459" i="2"/>
  <c r="I459" i="2"/>
  <c r="H459" i="2"/>
  <c r="G459" i="2"/>
  <c r="F459" i="2"/>
  <c r="E459" i="2"/>
  <c r="D459" i="2"/>
  <c r="C459" i="2"/>
  <c r="B459" i="2"/>
  <c r="A459" i="2"/>
  <c r="AH458" i="2"/>
  <c r="AG458" i="2"/>
  <c r="AD458" i="2"/>
  <c r="AC458" i="2"/>
  <c r="AB458" i="2"/>
  <c r="AA458" i="2"/>
  <c r="Y458" i="2"/>
  <c r="X458" i="2"/>
  <c r="V458" i="2"/>
  <c r="U458" i="2"/>
  <c r="T458" i="2"/>
  <c r="S458" i="2"/>
  <c r="R458" i="2"/>
  <c r="Q458" i="2"/>
  <c r="P458" i="2"/>
  <c r="O458" i="2"/>
  <c r="N458" i="2"/>
  <c r="M458" i="2"/>
  <c r="L458" i="2"/>
  <c r="K458" i="2"/>
  <c r="J458" i="2"/>
  <c r="I458" i="2"/>
  <c r="H458" i="2"/>
  <c r="G458" i="2"/>
  <c r="F458" i="2"/>
  <c r="E458" i="2"/>
  <c r="D458" i="2"/>
  <c r="C458" i="2"/>
  <c r="B458" i="2"/>
  <c r="A458" i="2"/>
  <c r="AH457" i="2"/>
  <c r="AG457" i="2"/>
  <c r="AF457" i="2"/>
  <c r="AE457" i="2"/>
  <c r="AD457" i="2"/>
  <c r="AC457" i="2"/>
  <c r="AB457" i="2"/>
  <c r="AA457" i="2"/>
  <c r="X457" i="2"/>
  <c r="W457" i="2"/>
  <c r="V457" i="2"/>
  <c r="U457" i="2"/>
  <c r="T457" i="2"/>
  <c r="S457" i="2"/>
  <c r="R457" i="2"/>
  <c r="Q457" i="2"/>
  <c r="P457" i="2"/>
  <c r="O457" i="2"/>
  <c r="N457" i="2"/>
  <c r="M457" i="2"/>
  <c r="L457" i="2"/>
  <c r="K457" i="2"/>
  <c r="J457" i="2"/>
  <c r="I457" i="2"/>
  <c r="H457" i="2"/>
  <c r="G457" i="2"/>
  <c r="F457" i="2"/>
  <c r="E457" i="2"/>
  <c r="D457" i="2"/>
  <c r="C457" i="2"/>
  <c r="B457" i="2"/>
  <c r="A457" i="2"/>
  <c r="AH456" i="2"/>
  <c r="AG456" i="2"/>
  <c r="AF456" i="2"/>
  <c r="AE456" i="2"/>
  <c r="AD456" i="2"/>
  <c r="AC456" i="2"/>
  <c r="AB456" i="2"/>
  <c r="AA456" i="2"/>
  <c r="Y456" i="2"/>
  <c r="X456" i="2"/>
  <c r="W456" i="2"/>
  <c r="V456" i="2"/>
  <c r="U456" i="2"/>
  <c r="T456" i="2"/>
  <c r="S456" i="2"/>
  <c r="R456" i="2"/>
  <c r="Q456" i="2"/>
  <c r="P456" i="2"/>
  <c r="O456" i="2"/>
  <c r="N456" i="2"/>
  <c r="M456" i="2"/>
  <c r="L456" i="2"/>
  <c r="K456" i="2"/>
  <c r="J456" i="2"/>
  <c r="I456" i="2"/>
  <c r="H456" i="2"/>
  <c r="G456" i="2"/>
  <c r="F456" i="2"/>
  <c r="E456" i="2"/>
  <c r="D456" i="2"/>
  <c r="C456" i="2"/>
  <c r="B456" i="2"/>
  <c r="A456" i="2"/>
  <c r="AH455" i="2"/>
  <c r="AG455" i="2"/>
  <c r="AE455" i="2"/>
  <c r="AD455" i="2"/>
  <c r="AC455" i="2"/>
  <c r="AB455" i="2"/>
  <c r="AA455" i="2"/>
  <c r="V455" i="2"/>
  <c r="U455" i="2"/>
  <c r="T455" i="2"/>
  <c r="S455" i="2"/>
  <c r="R455" i="2"/>
  <c r="Q455" i="2"/>
  <c r="P455" i="2"/>
  <c r="O455" i="2"/>
  <c r="N455" i="2"/>
  <c r="M455" i="2"/>
  <c r="L455" i="2"/>
  <c r="K455" i="2"/>
  <c r="J455" i="2"/>
  <c r="I455" i="2"/>
  <c r="H455" i="2"/>
  <c r="G455" i="2"/>
  <c r="F455" i="2"/>
  <c r="E455" i="2"/>
  <c r="D455" i="2"/>
  <c r="C455" i="2"/>
  <c r="B455" i="2"/>
  <c r="A455" i="2"/>
  <c r="AH454" i="2"/>
  <c r="AG454" i="2"/>
  <c r="AE454" i="2"/>
  <c r="AD454" i="2"/>
  <c r="AC454" i="2"/>
  <c r="AB454" i="2"/>
  <c r="AA454" i="2"/>
  <c r="Z454" i="2"/>
  <c r="Y454" i="2"/>
  <c r="V454" i="2"/>
  <c r="U454" i="2"/>
  <c r="T454" i="2"/>
  <c r="S454" i="2"/>
  <c r="R454" i="2"/>
  <c r="Q454" i="2"/>
  <c r="P454" i="2"/>
  <c r="O454" i="2"/>
  <c r="N454" i="2"/>
  <c r="M454" i="2"/>
  <c r="L454" i="2"/>
  <c r="K454" i="2"/>
  <c r="J454" i="2"/>
  <c r="I454" i="2"/>
  <c r="H454" i="2"/>
  <c r="G454" i="2"/>
  <c r="F454" i="2"/>
  <c r="E454" i="2"/>
  <c r="D454" i="2"/>
  <c r="C454" i="2"/>
  <c r="B454" i="2"/>
  <c r="A454" i="2"/>
  <c r="AH453" i="2"/>
  <c r="AG453" i="2"/>
  <c r="AE453" i="2"/>
  <c r="AD453" i="2"/>
  <c r="AC453" i="2"/>
  <c r="AB453" i="2"/>
  <c r="AA453" i="2"/>
  <c r="V453" i="2"/>
  <c r="U453" i="2"/>
  <c r="T453" i="2"/>
  <c r="S453" i="2"/>
  <c r="R453" i="2"/>
  <c r="Q453" i="2"/>
  <c r="P453" i="2"/>
  <c r="O453" i="2"/>
  <c r="N453" i="2"/>
  <c r="M453" i="2"/>
  <c r="L453" i="2"/>
  <c r="K453" i="2"/>
  <c r="J453" i="2"/>
  <c r="I453" i="2"/>
  <c r="H453" i="2"/>
  <c r="G453" i="2"/>
  <c r="F453" i="2"/>
  <c r="E453" i="2"/>
  <c r="D453" i="2"/>
  <c r="C453" i="2"/>
  <c r="B453" i="2"/>
  <c r="A453" i="2"/>
  <c r="AH452" i="2"/>
  <c r="AG452" i="2"/>
  <c r="AE452" i="2"/>
  <c r="AD452" i="2"/>
  <c r="AC452" i="2"/>
  <c r="AB452" i="2"/>
  <c r="AA452" i="2"/>
  <c r="Z452" i="2"/>
  <c r="Y452" i="2"/>
  <c r="X452" i="2"/>
  <c r="W452" i="2"/>
  <c r="V452" i="2"/>
  <c r="U452" i="2"/>
  <c r="T452" i="2"/>
  <c r="S452" i="2"/>
  <c r="R452" i="2"/>
  <c r="Q452" i="2"/>
  <c r="P452" i="2"/>
  <c r="O452" i="2"/>
  <c r="N452" i="2"/>
  <c r="M452" i="2"/>
  <c r="L452" i="2"/>
  <c r="K452" i="2"/>
  <c r="J452" i="2"/>
  <c r="I452" i="2"/>
  <c r="H452" i="2"/>
  <c r="G452" i="2"/>
  <c r="F452" i="2"/>
  <c r="E452" i="2"/>
  <c r="D452" i="2"/>
  <c r="C452" i="2"/>
  <c r="B452" i="2"/>
  <c r="A452" i="2"/>
  <c r="AH451" i="2"/>
  <c r="AG451" i="2"/>
  <c r="AE451" i="2"/>
  <c r="AD451" i="2"/>
  <c r="AC451" i="2"/>
  <c r="AB451" i="2"/>
  <c r="AA451" i="2"/>
  <c r="Y451" i="2"/>
  <c r="X451" i="2"/>
  <c r="W451" i="2"/>
  <c r="V451" i="2"/>
  <c r="U451" i="2"/>
  <c r="T451" i="2"/>
  <c r="S451" i="2"/>
  <c r="R451" i="2"/>
  <c r="Q451" i="2"/>
  <c r="P451" i="2"/>
  <c r="O451" i="2"/>
  <c r="N451" i="2"/>
  <c r="M451" i="2"/>
  <c r="L451" i="2"/>
  <c r="K451" i="2"/>
  <c r="J451" i="2"/>
  <c r="I451" i="2"/>
  <c r="H451" i="2"/>
  <c r="G451" i="2"/>
  <c r="F451" i="2"/>
  <c r="E451" i="2"/>
  <c r="D451" i="2"/>
  <c r="C451" i="2"/>
  <c r="B451" i="2"/>
  <c r="A451" i="2"/>
  <c r="AH450" i="2"/>
  <c r="AG450" i="2"/>
  <c r="AE450" i="2"/>
  <c r="AD450" i="2"/>
  <c r="AC450" i="2"/>
  <c r="AB450" i="2"/>
  <c r="AA450" i="2"/>
  <c r="Y450" i="2"/>
  <c r="X450" i="2"/>
  <c r="W450" i="2"/>
  <c r="V450" i="2"/>
  <c r="U450" i="2"/>
  <c r="T450" i="2"/>
  <c r="S450" i="2"/>
  <c r="R450" i="2"/>
  <c r="Q450" i="2"/>
  <c r="P450" i="2"/>
  <c r="O450" i="2"/>
  <c r="N450" i="2"/>
  <c r="M450" i="2"/>
  <c r="L450" i="2"/>
  <c r="K450" i="2"/>
  <c r="J450" i="2"/>
  <c r="I450" i="2"/>
  <c r="H450" i="2"/>
  <c r="G450" i="2"/>
  <c r="F450" i="2"/>
  <c r="E450" i="2"/>
  <c r="D450" i="2"/>
  <c r="C450" i="2"/>
  <c r="B450" i="2"/>
  <c r="A450" i="2"/>
  <c r="AH449" i="2"/>
  <c r="AG449" i="2"/>
  <c r="AE449" i="2"/>
  <c r="AD449" i="2"/>
  <c r="AC449" i="2"/>
  <c r="AB449" i="2"/>
  <c r="AA449" i="2"/>
  <c r="X449" i="2"/>
  <c r="W449" i="2"/>
  <c r="V449" i="2"/>
  <c r="U449" i="2"/>
  <c r="T449" i="2"/>
  <c r="S449" i="2"/>
  <c r="R449" i="2"/>
  <c r="Q449" i="2"/>
  <c r="P449" i="2"/>
  <c r="O449" i="2"/>
  <c r="N449" i="2"/>
  <c r="M449" i="2"/>
  <c r="L449" i="2"/>
  <c r="K449" i="2"/>
  <c r="J449" i="2"/>
  <c r="I449" i="2"/>
  <c r="H449" i="2"/>
  <c r="G449" i="2"/>
  <c r="F449" i="2"/>
  <c r="E449" i="2"/>
  <c r="D449" i="2"/>
  <c r="C449" i="2"/>
  <c r="B449" i="2"/>
  <c r="A449" i="2"/>
  <c r="AH448" i="2"/>
  <c r="AG448" i="2"/>
  <c r="AE448" i="2"/>
  <c r="AC448" i="2"/>
  <c r="AB448" i="2"/>
  <c r="AA448" i="2"/>
  <c r="W448" i="2"/>
  <c r="V448" i="2"/>
  <c r="U448" i="2"/>
  <c r="T448" i="2"/>
  <c r="S448" i="2"/>
  <c r="R448" i="2"/>
  <c r="Q448" i="2"/>
  <c r="P448" i="2"/>
  <c r="O448" i="2"/>
  <c r="N448" i="2"/>
  <c r="M448" i="2"/>
  <c r="L448" i="2"/>
  <c r="K448" i="2"/>
  <c r="J448" i="2"/>
  <c r="I448" i="2"/>
  <c r="H448" i="2"/>
  <c r="G448" i="2"/>
  <c r="F448" i="2"/>
  <c r="E448" i="2"/>
  <c r="D448" i="2"/>
  <c r="C448" i="2"/>
  <c r="B448" i="2"/>
  <c r="A448" i="2"/>
  <c r="AH447" i="2"/>
  <c r="AG447" i="2"/>
  <c r="AC447" i="2"/>
  <c r="AB447" i="2"/>
  <c r="AA447" i="2"/>
  <c r="Y447" i="2"/>
  <c r="V447" i="2"/>
  <c r="U447" i="2"/>
  <c r="T447" i="2"/>
  <c r="S447" i="2"/>
  <c r="R447" i="2"/>
  <c r="Q447" i="2"/>
  <c r="P447" i="2"/>
  <c r="O447" i="2"/>
  <c r="N447" i="2"/>
  <c r="M447" i="2"/>
  <c r="L447" i="2"/>
  <c r="K447" i="2"/>
  <c r="J447" i="2"/>
  <c r="I447" i="2"/>
  <c r="H447" i="2"/>
  <c r="G447" i="2"/>
  <c r="F447" i="2"/>
  <c r="E447" i="2"/>
  <c r="D447" i="2"/>
  <c r="C447" i="2"/>
  <c r="B447" i="2"/>
  <c r="A447" i="2"/>
  <c r="AH446" i="2"/>
  <c r="AG446" i="2"/>
  <c r="AE446" i="2"/>
  <c r="AD446" i="2"/>
  <c r="AC446" i="2"/>
  <c r="AB446" i="2"/>
  <c r="AA446" i="2"/>
  <c r="Y446" i="2"/>
  <c r="V446" i="2"/>
  <c r="U446" i="2"/>
  <c r="T446" i="2"/>
  <c r="S446" i="2"/>
  <c r="R446" i="2"/>
  <c r="Q446" i="2"/>
  <c r="P446" i="2"/>
  <c r="O446" i="2"/>
  <c r="N446" i="2"/>
  <c r="M446" i="2"/>
  <c r="L446" i="2"/>
  <c r="K446" i="2"/>
  <c r="J446" i="2"/>
  <c r="I446" i="2"/>
  <c r="H446" i="2"/>
  <c r="G446" i="2"/>
  <c r="F446" i="2"/>
  <c r="E446" i="2"/>
  <c r="D446" i="2"/>
  <c r="C446" i="2"/>
  <c r="B446" i="2"/>
  <c r="A446" i="2"/>
  <c r="AH445" i="2"/>
  <c r="AF445" i="2"/>
  <c r="AE445" i="2"/>
  <c r="AC445" i="2"/>
  <c r="AB445" i="2"/>
  <c r="AA445" i="2"/>
  <c r="Y445" i="2"/>
  <c r="V445" i="2"/>
  <c r="U445" i="2"/>
  <c r="T445" i="2"/>
  <c r="S445" i="2"/>
  <c r="R445" i="2"/>
  <c r="Q445" i="2"/>
  <c r="P445" i="2"/>
  <c r="O445" i="2"/>
  <c r="N445" i="2"/>
  <c r="M445" i="2"/>
  <c r="L445" i="2"/>
  <c r="K445" i="2"/>
  <c r="J445" i="2"/>
  <c r="I445" i="2"/>
  <c r="H445" i="2"/>
  <c r="G445" i="2"/>
  <c r="F445" i="2"/>
  <c r="E445" i="2"/>
  <c r="D445" i="2"/>
  <c r="C445" i="2"/>
  <c r="B445" i="2"/>
  <c r="A445" i="2"/>
  <c r="AH444" i="2"/>
  <c r="AG444" i="2"/>
  <c r="AF444" i="2"/>
  <c r="AE444" i="2"/>
  <c r="AD444" i="2"/>
  <c r="AC444" i="2"/>
  <c r="AB444" i="2"/>
  <c r="AA444" i="2"/>
  <c r="Z444" i="2"/>
  <c r="Y444" i="2"/>
  <c r="W444" i="2"/>
  <c r="V444" i="2"/>
  <c r="U444" i="2"/>
  <c r="T444" i="2"/>
  <c r="S444" i="2"/>
  <c r="R444" i="2"/>
  <c r="Q444" i="2"/>
  <c r="P444" i="2"/>
  <c r="O444" i="2"/>
  <c r="N444" i="2"/>
  <c r="M444" i="2"/>
  <c r="L444" i="2"/>
  <c r="K444" i="2"/>
  <c r="J444" i="2"/>
  <c r="I444" i="2"/>
  <c r="H444" i="2"/>
  <c r="G444" i="2"/>
  <c r="F444" i="2"/>
  <c r="E444" i="2"/>
  <c r="D444" i="2"/>
  <c r="C444" i="2"/>
  <c r="B444" i="2"/>
  <c r="A444" i="2"/>
  <c r="AH443" i="2"/>
  <c r="AG443" i="2"/>
  <c r="AF443" i="2"/>
  <c r="AE443" i="2"/>
  <c r="AD443" i="2"/>
  <c r="AC443" i="2"/>
  <c r="AB443" i="2"/>
  <c r="AA443" i="2"/>
  <c r="Y443" i="2"/>
  <c r="X443" i="2"/>
  <c r="W443" i="2"/>
  <c r="V443" i="2"/>
  <c r="U443" i="2"/>
  <c r="T443" i="2"/>
  <c r="S443" i="2"/>
  <c r="R443" i="2"/>
  <c r="Q443" i="2"/>
  <c r="P443" i="2"/>
  <c r="O443" i="2"/>
  <c r="N443" i="2"/>
  <c r="M443" i="2"/>
  <c r="L443" i="2"/>
  <c r="K443" i="2"/>
  <c r="J443" i="2"/>
  <c r="I443" i="2"/>
  <c r="H443" i="2"/>
  <c r="G443" i="2"/>
  <c r="F443" i="2"/>
  <c r="E443" i="2"/>
  <c r="D443" i="2"/>
  <c r="C443" i="2"/>
  <c r="B443" i="2"/>
  <c r="A443" i="2"/>
  <c r="AH442" i="2"/>
  <c r="AG442" i="2"/>
  <c r="AE442" i="2"/>
  <c r="AC442" i="2"/>
  <c r="AB442" i="2"/>
  <c r="AA442" i="2"/>
  <c r="Z442" i="2"/>
  <c r="Y442" i="2"/>
  <c r="X442" i="2"/>
  <c r="W442" i="2"/>
  <c r="V442" i="2"/>
  <c r="U442" i="2"/>
  <c r="T442" i="2"/>
  <c r="S442" i="2"/>
  <c r="R442" i="2"/>
  <c r="Q442" i="2"/>
  <c r="P442" i="2"/>
  <c r="O442" i="2"/>
  <c r="N442" i="2"/>
  <c r="M442" i="2"/>
  <c r="L442" i="2"/>
  <c r="K442" i="2"/>
  <c r="J442" i="2"/>
  <c r="I442" i="2"/>
  <c r="H442" i="2"/>
  <c r="G442" i="2"/>
  <c r="F442" i="2"/>
  <c r="E442" i="2"/>
  <c r="D442" i="2"/>
  <c r="C442" i="2"/>
  <c r="B442" i="2"/>
  <c r="A442" i="2"/>
  <c r="AH441" i="2"/>
  <c r="AG441" i="2"/>
  <c r="AE441" i="2"/>
  <c r="AC441" i="2"/>
  <c r="AB441" i="2"/>
  <c r="AA441" i="2"/>
  <c r="Y441" i="2"/>
  <c r="W441" i="2"/>
  <c r="V441" i="2"/>
  <c r="U441" i="2"/>
  <c r="T441" i="2"/>
  <c r="S441" i="2"/>
  <c r="R441" i="2"/>
  <c r="Q441" i="2"/>
  <c r="P441" i="2"/>
  <c r="O441" i="2"/>
  <c r="N441" i="2"/>
  <c r="M441" i="2"/>
  <c r="L441" i="2"/>
  <c r="K441" i="2"/>
  <c r="J441" i="2"/>
  <c r="I441" i="2"/>
  <c r="H441" i="2"/>
  <c r="G441" i="2"/>
  <c r="F441" i="2"/>
  <c r="E441" i="2"/>
  <c r="D441" i="2"/>
  <c r="C441" i="2"/>
  <c r="B441" i="2"/>
  <c r="A441" i="2"/>
  <c r="AH440" i="2"/>
  <c r="AG440" i="2"/>
  <c r="AE440" i="2"/>
  <c r="AD440" i="2"/>
  <c r="AC440" i="2"/>
  <c r="AB440" i="2"/>
  <c r="AA440" i="2"/>
  <c r="Y440" i="2"/>
  <c r="X440" i="2"/>
  <c r="W440" i="2"/>
  <c r="V440" i="2"/>
  <c r="U440" i="2"/>
  <c r="T440" i="2"/>
  <c r="S440" i="2"/>
  <c r="R440" i="2"/>
  <c r="Q440" i="2"/>
  <c r="P440" i="2"/>
  <c r="O440" i="2"/>
  <c r="N440" i="2"/>
  <c r="M440" i="2"/>
  <c r="L440" i="2"/>
  <c r="K440" i="2"/>
  <c r="J440" i="2"/>
  <c r="I440" i="2"/>
  <c r="H440" i="2"/>
  <c r="G440" i="2"/>
  <c r="F440" i="2"/>
  <c r="E440" i="2"/>
  <c r="D440" i="2"/>
  <c r="C440" i="2"/>
  <c r="B440" i="2"/>
  <c r="A440" i="2"/>
  <c r="AH439" i="2"/>
  <c r="AG439" i="2"/>
  <c r="AE439" i="2"/>
  <c r="AD439" i="2"/>
  <c r="AC439" i="2"/>
  <c r="AB439" i="2"/>
  <c r="AA439" i="2"/>
  <c r="X439" i="2"/>
  <c r="V439" i="2"/>
  <c r="U439" i="2"/>
  <c r="T439" i="2"/>
  <c r="S439" i="2"/>
  <c r="R439" i="2"/>
  <c r="Q439" i="2"/>
  <c r="P439" i="2"/>
  <c r="O439" i="2"/>
  <c r="N439" i="2"/>
  <c r="M439" i="2"/>
  <c r="L439" i="2"/>
  <c r="K439" i="2"/>
  <c r="J439" i="2"/>
  <c r="I439" i="2"/>
  <c r="H439" i="2"/>
  <c r="G439" i="2"/>
  <c r="F439" i="2"/>
  <c r="E439" i="2"/>
  <c r="D439" i="2"/>
  <c r="C439" i="2"/>
  <c r="B439" i="2"/>
  <c r="A439" i="2"/>
  <c r="AH438" i="2"/>
  <c r="AG438" i="2"/>
  <c r="AE438" i="2"/>
  <c r="AC438" i="2"/>
  <c r="AB438" i="2"/>
  <c r="AA438" i="2"/>
  <c r="V438" i="2"/>
  <c r="U438" i="2"/>
  <c r="T438" i="2"/>
  <c r="S438" i="2"/>
  <c r="R438" i="2"/>
  <c r="Q438" i="2"/>
  <c r="P438" i="2"/>
  <c r="O438" i="2"/>
  <c r="N438" i="2"/>
  <c r="M438" i="2"/>
  <c r="L438" i="2"/>
  <c r="K438" i="2"/>
  <c r="J438" i="2"/>
  <c r="I438" i="2"/>
  <c r="H438" i="2"/>
  <c r="G438" i="2"/>
  <c r="F438" i="2"/>
  <c r="E438" i="2"/>
  <c r="D438" i="2"/>
  <c r="C438" i="2"/>
  <c r="B438" i="2"/>
  <c r="A438" i="2"/>
  <c r="AH437" i="2"/>
  <c r="AG437" i="2"/>
  <c r="AE437" i="2"/>
  <c r="AD437" i="2"/>
  <c r="AC437" i="2"/>
  <c r="AB437" i="2"/>
  <c r="AA437" i="2"/>
  <c r="X437" i="2"/>
  <c r="V437" i="2"/>
  <c r="U437" i="2"/>
  <c r="T437" i="2"/>
  <c r="S437" i="2"/>
  <c r="R437" i="2"/>
  <c r="Q437" i="2"/>
  <c r="P437" i="2"/>
  <c r="O437" i="2"/>
  <c r="N437" i="2"/>
  <c r="M437" i="2"/>
  <c r="L437" i="2"/>
  <c r="K437" i="2"/>
  <c r="J437" i="2"/>
  <c r="I437" i="2"/>
  <c r="H437" i="2"/>
  <c r="G437" i="2"/>
  <c r="F437" i="2"/>
  <c r="E437" i="2"/>
  <c r="D437" i="2"/>
  <c r="C437" i="2"/>
  <c r="B437" i="2"/>
  <c r="A437" i="2"/>
  <c r="AH436" i="2"/>
  <c r="AG436" i="2"/>
  <c r="AE436" i="2"/>
  <c r="AC436" i="2"/>
  <c r="AB436" i="2"/>
  <c r="AA436" i="2"/>
  <c r="V436" i="2"/>
  <c r="U436" i="2"/>
  <c r="T436" i="2"/>
  <c r="S436" i="2"/>
  <c r="R436" i="2"/>
  <c r="Q436" i="2"/>
  <c r="P436" i="2"/>
  <c r="O436" i="2"/>
  <c r="N436" i="2"/>
  <c r="M436" i="2"/>
  <c r="L436" i="2"/>
  <c r="K436" i="2"/>
  <c r="J436" i="2"/>
  <c r="I436" i="2"/>
  <c r="H436" i="2"/>
  <c r="G436" i="2"/>
  <c r="F436" i="2"/>
  <c r="E436" i="2"/>
  <c r="D436" i="2"/>
  <c r="C436" i="2"/>
  <c r="B436" i="2"/>
  <c r="A436" i="2"/>
  <c r="AH435" i="2"/>
  <c r="AG435" i="2"/>
  <c r="AE435" i="2"/>
  <c r="AC435" i="2"/>
  <c r="AB435" i="2"/>
  <c r="AA435" i="2"/>
  <c r="Y435" i="2"/>
  <c r="X435" i="2"/>
  <c r="W435" i="2"/>
  <c r="V435" i="2"/>
  <c r="U435" i="2"/>
  <c r="T435" i="2"/>
  <c r="S435" i="2"/>
  <c r="R435" i="2"/>
  <c r="Q435" i="2"/>
  <c r="P435" i="2"/>
  <c r="O435" i="2"/>
  <c r="N435" i="2"/>
  <c r="M435" i="2"/>
  <c r="L435" i="2"/>
  <c r="K435" i="2"/>
  <c r="J435" i="2"/>
  <c r="I435" i="2"/>
  <c r="H435" i="2"/>
  <c r="G435" i="2"/>
  <c r="F435" i="2"/>
  <c r="E435" i="2"/>
  <c r="D435" i="2"/>
  <c r="C435" i="2"/>
  <c r="B435" i="2"/>
  <c r="A435" i="2"/>
  <c r="AH434" i="2"/>
  <c r="AG434" i="2"/>
  <c r="AE434" i="2"/>
  <c r="AD434" i="2"/>
  <c r="AC434" i="2"/>
  <c r="AB434" i="2"/>
  <c r="AA434" i="2"/>
  <c r="Y434" i="2"/>
  <c r="X434" i="2"/>
  <c r="W434" i="2"/>
  <c r="V434" i="2"/>
  <c r="U434" i="2"/>
  <c r="T434" i="2"/>
  <c r="S434" i="2"/>
  <c r="R434" i="2"/>
  <c r="Q434" i="2"/>
  <c r="P434" i="2"/>
  <c r="O434" i="2"/>
  <c r="N434" i="2"/>
  <c r="M434" i="2"/>
  <c r="L434" i="2"/>
  <c r="K434" i="2"/>
  <c r="J434" i="2"/>
  <c r="I434" i="2"/>
  <c r="H434" i="2"/>
  <c r="G434" i="2"/>
  <c r="F434" i="2"/>
  <c r="E434" i="2"/>
  <c r="D434" i="2"/>
  <c r="C434" i="2"/>
  <c r="B434" i="2"/>
  <c r="A434" i="2"/>
  <c r="AH433" i="2"/>
  <c r="AG433" i="2"/>
  <c r="AF433" i="2"/>
  <c r="AE433" i="2"/>
  <c r="AD433" i="2"/>
  <c r="AC433" i="2"/>
  <c r="AB433" i="2"/>
  <c r="AA433" i="2"/>
  <c r="Y433" i="2"/>
  <c r="X433" i="2"/>
  <c r="V433" i="2"/>
  <c r="U433" i="2"/>
  <c r="T433" i="2"/>
  <c r="S433" i="2"/>
  <c r="R433" i="2"/>
  <c r="Q433" i="2"/>
  <c r="P433" i="2"/>
  <c r="O433" i="2"/>
  <c r="N433" i="2"/>
  <c r="M433" i="2"/>
  <c r="L433" i="2"/>
  <c r="K433" i="2"/>
  <c r="J433" i="2"/>
  <c r="I433" i="2"/>
  <c r="H433" i="2"/>
  <c r="G433" i="2"/>
  <c r="F433" i="2"/>
  <c r="E433" i="2"/>
  <c r="D433" i="2"/>
  <c r="C433" i="2"/>
  <c r="B433" i="2"/>
  <c r="A433" i="2"/>
  <c r="AH432" i="2"/>
  <c r="AG432" i="2"/>
  <c r="AE432" i="2"/>
  <c r="AD432" i="2"/>
  <c r="AC432" i="2"/>
  <c r="AB432" i="2"/>
  <c r="AA432" i="2"/>
  <c r="X432" i="2"/>
  <c r="V432" i="2"/>
  <c r="U432" i="2"/>
  <c r="T432" i="2"/>
  <c r="S432" i="2"/>
  <c r="R432" i="2"/>
  <c r="Q432" i="2"/>
  <c r="P432" i="2"/>
  <c r="O432" i="2"/>
  <c r="N432" i="2"/>
  <c r="M432" i="2"/>
  <c r="L432" i="2"/>
  <c r="K432" i="2"/>
  <c r="J432" i="2"/>
  <c r="I432" i="2"/>
  <c r="H432" i="2"/>
  <c r="G432" i="2"/>
  <c r="F432" i="2"/>
  <c r="E432" i="2"/>
  <c r="D432" i="2"/>
  <c r="C432" i="2"/>
  <c r="B432" i="2"/>
  <c r="A432" i="2"/>
  <c r="AH431" i="2"/>
  <c r="AG431" i="2"/>
  <c r="AE431" i="2"/>
  <c r="AD431" i="2"/>
  <c r="AC431" i="2"/>
  <c r="AB431" i="2"/>
  <c r="AA431" i="2"/>
  <c r="Y431" i="2"/>
  <c r="X431" i="2"/>
  <c r="V431" i="2"/>
  <c r="U431" i="2"/>
  <c r="T431" i="2"/>
  <c r="S431" i="2"/>
  <c r="R431" i="2"/>
  <c r="Q431" i="2"/>
  <c r="P431" i="2"/>
  <c r="O431" i="2"/>
  <c r="N431" i="2"/>
  <c r="M431" i="2"/>
  <c r="L431" i="2"/>
  <c r="K431" i="2"/>
  <c r="J431" i="2"/>
  <c r="I431" i="2"/>
  <c r="H431" i="2"/>
  <c r="G431" i="2"/>
  <c r="F431" i="2"/>
  <c r="E431" i="2"/>
  <c r="D431" i="2"/>
  <c r="C431" i="2"/>
  <c r="B431" i="2"/>
  <c r="A431" i="2"/>
  <c r="AH430" i="2"/>
  <c r="AG430" i="2"/>
  <c r="AE430" i="2"/>
  <c r="AD430" i="2"/>
  <c r="AC430" i="2"/>
  <c r="AB430" i="2"/>
  <c r="AA430" i="2"/>
  <c r="Y430" i="2"/>
  <c r="V430" i="2"/>
  <c r="U430" i="2"/>
  <c r="T430" i="2"/>
  <c r="S430" i="2"/>
  <c r="R430" i="2"/>
  <c r="Q430" i="2"/>
  <c r="P430" i="2"/>
  <c r="O430" i="2"/>
  <c r="N430" i="2"/>
  <c r="M430" i="2"/>
  <c r="L430" i="2"/>
  <c r="K430" i="2"/>
  <c r="J430" i="2"/>
  <c r="I430" i="2"/>
  <c r="H430" i="2"/>
  <c r="G430" i="2"/>
  <c r="F430" i="2"/>
  <c r="E430" i="2"/>
  <c r="D430" i="2"/>
  <c r="C430" i="2"/>
  <c r="B430" i="2"/>
  <c r="A430" i="2"/>
  <c r="AH429" i="2"/>
  <c r="AG429" i="2"/>
  <c r="AE429" i="2"/>
  <c r="AD429" i="2"/>
  <c r="AC429" i="2"/>
  <c r="AB429" i="2"/>
  <c r="AA429" i="2"/>
  <c r="X429" i="2"/>
  <c r="W429" i="2"/>
  <c r="V429" i="2"/>
  <c r="U429" i="2"/>
  <c r="T429" i="2"/>
  <c r="S429" i="2"/>
  <c r="R429" i="2"/>
  <c r="Q429" i="2"/>
  <c r="P429" i="2"/>
  <c r="O429" i="2"/>
  <c r="N429" i="2"/>
  <c r="M429" i="2"/>
  <c r="L429" i="2"/>
  <c r="K429" i="2"/>
  <c r="J429" i="2"/>
  <c r="I429" i="2"/>
  <c r="H429" i="2"/>
  <c r="G429" i="2"/>
  <c r="F429" i="2"/>
  <c r="E429" i="2"/>
  <c r="D429" i="2"/>
  <c r="C429" i="2"/>
  <c r="B429" i="2"/>
  <c r="A429" i="2"/>
  <c r="AH428" i="2"/>
  <c r="AG428" i="2"/>
  <c r="AE428" i="2"/>
  <c r="AD428" i="2"/>
  <c r="AC428" i="2"/>
  <c r="AB428" i="2"/>
  <c r="AA428" i="2"/>
  <c r="Z428" i="2"/>
  <c r="Y428" i="2"/>
  <c r="X428" i="2"/>
  <c r="W428" i="2"/>
  <c r="V428" i="2"/>
  <c r="U428" i="2"/>
  <c r="T428" i="2"/>
  <c r="S428" i="2"/>
  <c r="R428" i="2"/>
  <c r="Q428" i="2"/>
  <c r="P428" i="2"/>
  <c r="O428" i="2"/>
  <c r="N428" i="2"/>
  <c r="M428" i="2"/>
  <c r="L428" i="2"/>
  <c r="K428" i="2"/>
  <c r="J428" i="2"/>
  <c r="I428" i="2"/>
  <c r="H428" i="2"/>
  <c r="G428" i="2"/>
  <c r="F428" i="2"/>
  <c r="E428" i="2"/>
  <c r="D428" i="2"/>
  <c r="C428" i="2"/>
  <c r="B428" i="2"/>
  <c r="A428" i="2"/>
  <c r="AH427" i="2"/>
  <c r="AG427" i="2"/>
  <c r="AE427" i="2"/>
  <c r="AD427" i="2"/>
  <c r="AC427" i="2"/>
  <c r="AB427" i="2"/>
  <c r="AA427" i="2"/>
  <c r="X427" i="2"/>
  <c r="W427" i="2"/>
  <c r="V427" i="2"/>
  <c r="U427" i="2"/>
  <c r="T427" i="2"/>
  <c r="S427" i="2"/>
  <c r="R427" i="2"/>
  <c r="Q427" i="2"/>
  <c r="P427" i="2"/>
  <c r="O427" i="2"/>
  <c r="N427" i="2"/>
  <c r="M427" i="2"/>
  <c r="L427" i="2"/>
  <c r="K427" i="2"/>
  <c r="J427" i="2"/>
  <c r="I427" i="2"/>
  <c r="H427" i="2"/>
  <c r="G427" i="2"/>
  <c r="F427" i="2"/>
  <c r="E427" i="2"/>
  <c r="D427" i="2"/>
  <c r="C427" i="2"/>
  <c r="B427" i="2"/>
  <c r="A427" i="2"/>
  <c r="AF426" i="2"/>
  <c r="AE426" i="2"/>
  <c r="AD426" i="2"/>
  <c r="AC426" i="2"/>
  <c r="AB426" i="2"/>
  <c r="AA426" i="2"/>
  <c r="Y426" i="2"/>
  <c r="X426" i="2"/>
  <c r="V426" i="2"/>
  <c r="U426" i="2"/>
  <c r="T426" i="2"/>
  <c r="S426" i="2"/>
  <c r="R426" i="2"/>
  <c r="Q426" i="2"/>
  <c r="P426" i="2"/>
  <c r="O426" i="2"/>
  <c r="N426" i="2"/>
  <c r="M426" i="2"/>
  <c r="L426" i="2"/>
  <c r="K426" i="2"/>
  <c r="J426" i="2"/>
  <c r="I426" i="2"/>
  <c r="H426" i="2"/>
  <c r="G426" i="2"/>
  <c r="F426" i="2"/>
  <c r="E426" i="2"/>
  <c r="D426" i="2"/>
  <c r="C426" i="2"/>
  <c r="B426" i="2"/>
  <c r="A426" i="2"/>
  <c r="AH425" i="2"/>
  <c r="AG425" i="2"/>
  <c r="AE425" i="2"/>
  <c r="AD425" i="2"/>
  <c r="AC425" i="2"/>
  <c r="AB425" i="2"/>
  <c r="AA425" i="2"/>
  <c r="Y425" i="2"/>
  <c r="X425" i="2"/>
  <c r="V425" i="2"/>
  <c r="U425" i="2"/>
  <c r="T425" i="2"/>
  <c r="S425" i="2"/>
  <c r="R425" i="2"/>
  <c r="Q425" i="2"/>
  <c r="P425" i="2"/>
  <c r="O425" i="2"/>
  <c r="N425" i="2"/>
  <c r="M425" i="2"/>
  <c r="L425" i="2"/>
  <c r="K425" i="2"/>
  <c r="J425" i="2"/>
  <c r="I425" i="2"/>
  <c r="H425" i="2"/>
  <c r="G425" i="2"/>
  <c r="F425" i="2"/>
  <c r="E425" i="2"/>
  <c r="D425" i="2"/>
  <c r="C425" i="2"/>
  <c r="B425" i="2"/>
  <c r="A425" i="2"/>
  <c r="AH424" i="2"/>
  <c r="AG424" i="2"/>
  <c r="AE424" i="2"/>
  <c r="AD424" i="2"/>
  <c r="AC424" i="2"/>
  <c r="AB424" i="2"/>
  <c r="AA424" i="2"/>
  <c r="Y424" i="2"/>
  <c r="W424" i="2"/>
  <c r="V424" i="2"/>
  <c r="U424" i="2"/>
  <c r="T424" i="2"/>
  <c r="S424" i="2"/>
  <c r="R424" i="2"/>
  <c r="Q424" i="2"/>
  <c r="P424" i="2"/>
  <c r="O424" i="2"/>
  <c r="N424" i="2"/>
  <c r="M424" i="2"/>
  <c r="L424" i="2"/>
  <c r="K424" i="2"/>
  <c r="J424" i="2"/>
  <c r="I424" i="2"/>
  <c r="H424" i="2"/>
  <c r="G424" i="2"/>
  <c r="F424" i="2"/>
  <c r="E424" i="2"/>
  <c r="D424" i="2"/>
  <c r="C424" i="2"/>
  <c r="B424" i="2"/>
  <c r="A424" i="2"/>
  <c r="AH423" i="2"/>
  <c r="AG423" i="2"/>
  <c r="AE423" i="2"/>
  <c r="AC423" i="2"/>
  <c r="AB423" i="2"/>
  <c r="AA423" i="2"/>
  <c r="V423" i="2"/>
  <c r="U423" i="2"/>
  <c r="T423" i="2"/>
  <c r="S423" i="2"/>
  <c r="R423" i="2"/>
  <c r="Q423" i="2"/>
  <c r="P423" i="2"/>
  <c r="O423" i="2"/>
  <c r="N423" i="2"/>
  <c r="M423" i="2"/>
  <c r="L423" i="2"/>
  <c r="K423" i="2"/>
  <c r="J423" i="2"/>
  <c r="I423" i="2"/>
  <c r="H423" i="2"/>
  <c r="G423" i="2"/>
  <c r="F423" i="2"/>
  <c r="E423" i="2"/>
  <c r="D423" i="2"/>
  <c r="C423" i="2"/>
  <c r="B423" i="2"/>
  <c r="A423" i="2"/>
  <c r="AH422" i="2"/>
  <c r="AG422" i="2"/>
  <c r="AF422" i="2"/>
  <c r="AE422" i="2"/>
  <c r="AD422" i="2"/>
  <c r="AC422" i="2"/>
  <c r="AB422" i="2"/>
  <c r="AA422" i="2"/>
  <c r="Y422" i="2"/>
  <c r="X422" i="2"/>
  <c r="W422" i="2"/>
  <c r="V422" i="2"/>
  <c r="U422" i="2"/>
  <c r="T422" i="2"/>
  <c r="S422" i="2"/>
  <c r="R422" i="2"/>
  <c r="Q422" i="2"/>
  <c r="P422" i="2"/>
  <c r="O422" i="2"/>
  <c r="N422" i="2"/>
  <c r="M422" i="2"/>
  <c r="L422" i="2"/>
  <c r="K422" i="2"/>
  <c r="J422" i="2"/>
  <c r="I422" i="2"/>
  <c r="H422" i="2"/>
  <c r="G422" i="2"/>
  <c r="F422" i="2"/>
  <c r="E422" i="2"/>
  <c r="D422" i="2"/>
  <c r="C422" i="2"/>
  <c r="B422" i="2"/>
  <c r="A422" i="2"/>
  <c r="AH421" i="2"/>
  <c r="AG421" i="2"/>
  <c r="AE421" i="2"/>
  <c r="AD421" i="2"/>
  <c r="AC421" i="2"/>
  <c r="AB421" i="2"/>
  <c r="AA421" i="2"/>
  <c r="W421" i="2"/>
  <c r="V421" i="2"/>
  <c r="U421" i="2"/>
  <c r="T421" i="2"/>
  <c r="S421" i="2"/>
  <c r="R421" i="2"/>
  <c r="Q421" i="2"/>
  <c r="P421" i="2"/>
  <c r="O421" i="2"/>
  <c r="N421" i="2"/>
  <c r="M421" i="2"/>
  <c r="L421" i="2"/>
  <c r="K421" i="2"/>
  <c r="J421" i="2"/>
  <c r="I421" i="2"/>
  <c r="H421" i="2"/>
  <c r="G421" i="2"/>
  <c r="F421" i="2"/>
  <c r="E421" i="2"/>
  <c r="D421" i="2"/>
  <c r="C421" i="2"/>
  <c r="B421" i="2"/>
  <c r="A421" i="2"/>
  <c r="AH420" i="2"/>
  <c r="AG420" i="2"/>
  <c r="AE420" i="2"/>
  <c r="AC420" i="2"/>
  <c r="AB420" i="2"/>
  <c r="AA420" i="2"/>
  <c r="V420" i="2"/>
  <c r="U420" i="2"/>
  <c r="T420" i="2"/>
  <c r="S420" i="2"/>
  <c r="R420" i="2"/>
  <c r="Q420" i="2"/>
  <c r="P420" i="2"/>
  <c r="O420" i="2"/>
  <c r="N420" i="2"/>
  <c r="M420" i="2"/>
  <c r="L420" i="2"/>
  <c r="K420" i="2"/>
  <c r="J420" i="2"/>
  <c r="I420" i="2"/>
  <c r="H420" i="2"/>
  <c r="G420" i="2"/>
  <c r="F420" i="2"/>
  <c r="E420" i="2"/>
  <c r="D420" i="2"/>
  <c r="C420" i="2"/>
  <c r="B420" i="2"/>
  <c r="A420" i="2"/>
  <c r="AH419" i="2"/>
  <c r="AG419" i="2"/>
  <c r="AF419" i="2"/>
  <c r="AE419" i="2"/>
  <c r="AD419" i="2"/>
  <c r="AC419" i="2"/>
  <c r="AB419" i="2"/>
  <c r="AA419" i="2"/>
  <c r="X419" i="2"/>
  <c r="W419" i="2"/>
  <c r="V419" i="2"/>
  <c r="U419" i="2"/>
  <c r="T419" i="2"/>
  <c r="S419" i="2"/>
  <c r="R419" i="2"/>
  <c r="Q419" i="2"/>
  <c r="P419" i="2"/>
  <c r="O419" i="2"/>
  <c r="N419" i="2"/>
  <c r="M419" i="2"/>
  <c r="L419" i="2"/>
  <c r="K419" i="2"/>
  <c r="J419" i="2"/>
  <c r="I419" i="2"/>
  <c r="H419" i="2"/>
  <c r="G419" i="2"/>
  <c r="F419" i="2"/>
  <c r="E419" i="2"/>
  <c r="D419" i="2"/>
  <c r="C419" i="2"/>
  <c r="B419" i="2"/>
  <c r="A419" i="2"/>
  <c r="AH418" i="2"/>
  <c r="AG418" i="2"/>
  <c r="AE418" i="2"/>
  <c r="AD418" i="2"/>
  <c r="AC418" i="2"/>
  <c r="AB418" i="2"/>
  <c r="AA418" i="2"/>
  <c r="V418" i="2"/>
  <c r="U418" i="2"/>
  <c r="T418" i="2"/>
  <c r="S418" i="2"/>
  <c r="R418" i="2"/>
  <c r="Q418" i="2"/>
  <c r="P418" i="2"/>
  <c r="O418" i="2"/>
  <c r="N418" i="2"/>
  <c r="M418" i="2"/>
  <c r="L418" i="2"/>
  <c r="K418" i="2"/>
  <c r="J418" i="2"/>
  <c r="I418" i="2"/>
  <c r="H418" i="2"/>
  <c r="G418" i="2"/>
  <c r="F418" i="2"/>
  <c r="E418" i="2"/>
  <c r="D418" i="2"/>
  <c r="C418" i="2"/>
  <c r="B418" i="2"/>
  <c r="A418" i="2"/>
  <c r="AH417" i="2"/>
  <c r="AG417" i="2"/>
  <c r="AF417" i="2"/>
  <c r="AE417" i="2"/>
  <c r="AD417" i="2"/>
  <c r="AC417" i="2"/>
  <c r="AB417" i="2"/>
  <c r="AA417" i="2"/>
  <c r="Y417" i="2"/>
  <c r="X417" i="2"/>
  <c r="V417" i="2"/>
  <c r="U417" i="2"/>
  <c r="T417" i="2"/>
  <c r="S417" i="2"/>
  <c r="R417" i="2"/>
  <c r="Q417" i="2"/>
  <c r="P417" i="2"/>
  <c r="O417" i="2"/>
  <c r="N417" i="2"/>
  <c r="M417" i="2"/>
  <c r="L417" i="2"/>
  <c r="K417" i="2"/>
  <c r="J417" i="2"/>
  <c r="I417" i="2"/>
  <c r="H417" i="2"/>
  <c r="G417" i="2"/>
  <c r="F417" i="2"/>
  <c r="E417" i="2"/>
  <c r="D417" i="2"/>
  <c r="C417" i="2"/>
  <c r="B417" i="2"/>
  <c r="A417" i="2"/>
  <c r="AH416" i="2"/>
  <c r="AG416" i="2"/>
  <c r="AF416" i="2"/>
  <c r="AE416" i="2"/>
  <c r="AD416" i="2"/>
  <c r="AC416" i="2"/>
  <c r="AB416" i="2"/>
  <c r="AA416" i="2"/>
  <c r="Z416" i="2"/>
  <c r="Y416" i="2"/>
  <c r="X416" i="2"/>
  <c r="W416" i="2"/>
  <c r="V416" i="2"/>
  <c r="U416" i="2"/>
  <c r="T416" i="2"/>
  <c r="S416" i="2"/>
  <c r="R416" i="2"/>
  <c r="Q416" i="2"/>
  <c r="P416" i="2"/>
  <c r="O416" i="2"/>
  <c r="N416" i="2"/>
  <c r="M416" i="2"/>
  <c r="L416" i="2"/>
  <c r="K416" i="2"/>
  <c r="J416" i="2"/>
  <c r="I416" i="2"/>
  <c r="H416" i="2"/>
  <c r="G416" i="2"/>
  <c r="F416" i="2"/>
  <c r="E416" i="2"/>
  <c r="D416" i="2"/>
  <c r="C416" i="2"/>
  <c r="B416" i="2"/>
  <c r="A416" i="2"/>
  <c r="AH415" i="2"/>
  <c r="AG415" i="2"/>
  <c r="AE415" i="2"/>
  <c r="AD415" i="2"/>
  <c r="AC415" i="2"/>
  <c r="AB415" i="2"/>
  <c r="AA415" i="2"/>
  <c r="X415" i="2"/>
  <c r="W415" i="2"/>
  <c r="V415" i="2"/>
  <c r="U415" i="2"/>
  <c r="T415" i="2"/>
  <c r="S415" i="2"/>
  <c r="R415" i="2"/>
  <c r="Q415" i="2"/>
  <c r="P415" i="2"/>
  <c r="O415" i="2"/>
  <c r="N415" i="2"/>
  <c r="M415" i="2"/>
  <c r="L415" i="2"/>
  <c r="K415" i="2"/>
  <c r="J415" i="2"/>
  <c r="I415" i="2"/>
  <c r="H415" i="2"/>
  <c r="G415" i="2"/>
  <c r="F415" i="2"/>
  <c r="E415" i="2"/>
  <c r="D415" i="2"/>
  <c r="C415" i="2"/>
  <c r="B415" i="2"/>
  <c r="A415" i="2"/>
  <c r="AH414" i="2"/>
  <c r="AG414" i="2"/>
  <c r="AE414" i="2"/>
  <c r="AD414" i="2"/>
  <c r="AC414" i="2"/>
  <c r="AB414" i="2"/>
  <c r="AA414" i="2"/>
  <c r="V414" i="2"/>
  <c r="U414" i="2"/>
  <c r="T414" i="2"/>
  <c r="S414" i="2"/>
  <c r="R414" i="2"/>
  <c r="Q414" i="2"/>
  <c r="P414" i="2"/>
  <c r="O414" i="2"/>
  <c r="N414" i="2"/>
  <c r="M414" i="2"/>
  <c r="L414" i="2"/>
  <c r="K414" i="2"/>
  <c r="J414" i="2"/>
  <c r="I414" i="2"/>
  <c r="H414" i="2"/>
  <c r="G414" i="2"/>
  <c r="F414" i="2"/>
  <c r="E414" i="2"/>
  <c r="D414" i="2"/>
  <c r="C414" i="2"/>
  <c r="B414" i="2"/>
  <c r="A414" i="2"/>
  <c r="AH413" i="2"/>
  <c r="AG413" i="2"/>
  <c r="AE413" i="2"/>
  <c r="AC413" i="2"/>
  <c r="AB413" i="2"/>
  <c r="AA413" i="2"/>
  <c r="Y413" i="2"/>
  <c r="X413" i="2"/>
  <c r="W413" i="2"/>
  <c r="V413" i="2"/>
  <c r="U413" i="2"/>
  <c r="T413" i="2"/>
  <c r="S413" i="2"/>
  <c r="R413" i="2"/>
  <c r="Q413" i="2"/>
  <c r="P413" i="2"/>
  <c r="O413" i="2"/>
  <c r="N413" i="2"/>
  <c r="M413" i="2"/>
  <c r="L413" i="2"/>
  <c r="K413" i="2"/>
  <c r="J413" i="2"/>
  <c r="I413" i="2"/>
  <c r="H413" i="2"/>
  <c r="G413" i="2"/>
  <c r="F413" i="2"/>
  <c r="E413" i="2"/>
  <c r="D413" i="2"/>
  <c r="C413" i="2"/>
  <c r="B413" i="2"/>
  <c r="A413" i="2"/>
  <c r="AH412" i="2"/>
  <c r="AG412" i="2"/>
  <c r="AE412" i="2"/>
  <c r="AC412" i="2"/>
  <c r="AB412" i="2"/>
  <c r="AA412" i="2"/>
  <c r="Y412" i="2"/>
  <c r="X412" i="2"/>
  <c r="W412" i="2"/>
  <c r="V412" i="2"/>
  <c r="U412" i="2"/>
  <c r="T412" i="2"/>
  <c r="S412" i="2"/>
  <c r="R412" i="2"/>
  <c r="Q412" i="2"/>
  <c r="P412" i="2"/>
  <c r="O412" i="2"/>
  <c r="N412" i="2"/>
  <c r="M412" i="2"/>
  <c r="L412" i="2"/>
  <c r="K412" i="2"/>
  <c r="J412" i="2"/>
  <c r="I412" i="2"/>
  <c r="H412" i="2"/>
  <c r="G412" i="2"/>
  <c r="F412" i="2"/>
  <c r="E412" i="2"/>
  <c r="D412" i="2"/>
  <c r="C412" i="2"/>
  <c r="B412" i="2"/>
  <c r="A412" i="2"/>
  <c r="AH411" i="2"/>
  <c r="AG411" i="2"/>
  <c r="AE411" i="2"/>
  <c r="AD411" i="2"/>
  <c r="AC411" i="2"/>
  <c r="AB411" i="2"/>
  <c r="AA411" i="2"/>
  <c r="Y411" i="2"/>
  <c r="V411" i="2"/>
  <c r="U411" i="2"/>
  <c r="T411" i="2"/>
  <c r="P411" i="2"/>
  <c r="O411" i="2"/>
  <c r="N411" i="2"/>
  <c r="M411" i="2"/>
  <c r="L411" i="2"/>
  <c r="K411" i="2"/>
  <c r="J411" i="2"/>
  <c r="I411" i="2"/>
  <c r="H411" i="2"/>
  <c r="G411" i="2"/>
  <c r="F411" i="2"/>
  <c r="E411" i="2"/>
  <c r="D411" i="2"/>
  <c r="C411" i="2"/>
  <c r="B411" i="2"/>
  <c r="A411" i="2"/>
  <c r="AH410" i="2"/>
  <c r="AG410" i="2"/>
  <c r="AE410" i="2"/>
  <c r="AD410" i="2"/>
  <c r="AC410" i="2"/>
  <c r="AB410" i="2"/>
  <c r="AA410" i="2"/>
  <c r="X410" i="2"/>
  <c r="W410" i="2"/>
  <c r="V410" i="2"/>
  <c r="U410" i="2"/>
  <c r="T410" i="2"/>
  <c r="S410" i="2"/>
  <c r="R410" i="2"/>
  <c r="Q410" i="2"/>
  <c r="P410" i="2"/>
  <c r="O410" i="2"/>
  <c r="N410" i="2"/>
  <c r="M410" i="2"/>
  <c r="L410" i="2"/>
  <c r="K410" i="2"/>
  <c r="J410" i="2"/>
  <c r="I410" i="2"/>
  <c r="H410" i="2"/>
  <c r="G410" i="2"/>
  <c r="F410" i="2"/>
  <c r="E410" i="2"/>
  <c r="D410" i="2"/>
  <c r="C410" i="2"/>
  <c r="B410" i="2"/>
  <c r="A410" i="2"/>
  <c r="AH409" i="2"/>
  <c r="AG409" i="2"/>
  <c r="AF409" i="2"/>
  <c r="AE409" i="2"/>
  <c r="AD409" i="2"/>
  <c r="AC409" i="2"/>
  <c r="AB409" i="2"/>
  <c r="AA409" i="2"/>
  <c r="Z409" i="2"/>
  <c r="Y409" i="2"/>
  <c r="X409" i="2"/>
  <c r="W409" i="2"/>
  <c r="V409" i="2"/>
  <c r="U409" i="2"/>
  <c r="T409" i="2"/>
  <c r="S409" i="2"/>
  <c r="R409" i="2"/>
  <c r="Q409" i="2"/>
  <c r="P409" i="2"/>
  <c r="O409" i="2"/>
  <c r="N409" i="2"/>
  <c r="M409" i="2"/>
  <c r="L409" i="2"/>
  <c r="K409" i="2"/>
  <c r="J409" i="2"/>
  <c r="I409" i="2"/>
  <c r="H409" i="2"/>
  <c r="G409" i="2"/>
  <c r="F409" i="2"/>
  <c r="E409" i="2"/>
  <c r="D409" i="2"/>
  <c r="C409" i="2"/>
  <c r="B409" i="2"/>
  <c r="A409" i="2"/>
  <c r="AH408" i="2"/>
  <c r="AG408" i="2"/>
  <c r="AF408" i="2"/>
  <c r="AE408" i="2"/>
  <c r="AC408" i="2"/>
  <c r="AB408" i="2"/>
  <c r="AA408" i="2"/>
  <c r="X408" i="2"/>
  <c r="V408" i="2"/>
  <c r="U408" i="2"/>
  <c r="T408" i="2"/>
  <c r="S408" i="2"/>
  <c r="R408" i="2"/>
  <c r="Q408" i="2"/>
  <c r="P408" i="2"/>
  <c r="O408" i="2"/>
  <c r="N408" i="2"/>
  <c r="M408" i="2"/>
  <c r="L408" i="2"/>
  <c r="K408" i="2"/>
  <c r="J408" i="2"/>
  <c r="I408" i="2"/>
  <c r="H408" i="2"/>
  <c r="G408" i="2"/>
  <c r="F408" i="2"/>
  <c r="E408" i="2"/>
  <c r="D408" i="2"/>
  <c r="C408" i="2"/>
  <c r="B408" i="2"/>
  <c r="A408" i="2"/>
  <c r="AG407" i="2"/>
  <c r="AE407" i="2"/>
  <c r="AD407" i="2"/>
  <c r="AC407" i="2"/>
  <c r="AB407" i="2"/>
  <c r="AA407" i="2"/>
  <c r="W407" i="2"/>
  <c r="V407" i="2"/>
  <c r="U407" i="2"/>
  <c r="T407" i="2"/>
  <c r="S407" i="2"/>
  <c r="R407" i="2"/>
  <c r="Q407" i="2"/>
  <c r="P407" i="2"/>
  <c r="O407" i="2"/>
  <c r="N407" i="2"/>
  <c r="M407" i="2"/>
  <c r="L407" i="2"/>
  <c r="K407" i="2"/>
  <c r="J407" i="2"/>
  <c r="I407" i="2"/>
  <c r="H407" i="2"/>
  <c r="G407" i="2"/>
  <c r="F407" i="2"/>
  <c r="E407" i="2"/>
  <c r="D407" i="2"/>
  <c r="C407" i="2"/>
  <c r="B407" i="2"/>
  <c r="A407" i="2"/>
  <c r="AH406" i="2"/>
  <c r="AG406" i="2"/>
  <c r="AE406" i="2"/>
  <c r="AD406" i="2"/>
  <c r="AC406" i="2"/>
  <c r="AB406" i="2"/>
  <c r="AA406" i="2"/>
  <c r="X406" i="2"/>
  <c r="W406" i="2"/>
  <c r="V406" i="2"/>
  <c r="U406" i="2"/>
  <c r="T406" i="2"/>
  <c r="S406" i="2"/>
  <c r="R406" i="2"/>
  <c r="Q406" i="2"/>
  <c r="P406" i="2"/>
  <c r="O406" i="2"/>
  <c r="N406" i="2"/>
  <c r="M406" i="2"/>
  <c r="L406" i="2"/>
  <c r="K406" i="2"/>
  <c r="J406" i="2"/>
  <c r="I406" i="2"/>
  <c r="H406" i="2"/>
  <c r="G406" i="2"/>
  <c r="F406" i="2"/>
  <c r="E406" i="2"/>
  <c r="D406" i="2"/>
  <c r="C406" i="2"/>
  <c r="B406" i="2"/>
  <c r="A406" i="2"/>
  <c r="AH405" i="2"/>
  <c r="AG405" i="2"/>
  <c r="AE405" i="2"/>
  <c r="AC405" i="2"/>
  <c r="AB405" i="2"/>
  <c r="AA405" i="2"/>
  <c r="X405" i="2"/>
  <c r="W405" i="2"/>
  <c r="V405" i="2"/>
  <c r="U405" i="2"/>
  <c r="T405" i="2"/>
  <c r="S405" i="2"/>
  <c r="R405" i="2"/>
  <c r="Q405" i="2"/>
  <c r="P405" i="2"/>
  <c r="O405" i="2"/>
  <c r="N405" i="2"/>
  <c r="M405" i="2"/>
  <c r="L405" i="2"/>
  <c r="K405" i="2"/>
  <c r="J405" i="2"/>
  <c r="I405" i="2"/>
  <c r="H405" i="2"/>
  <c r="G405" i="2"/>
  <c r="F405" i="2"/>
  <c r="E405" i="2"/>
  <c r="D405" i="2"/>
  <c r="C405" i="2"/>
  <c r="B405" i="2"/>
  <c r="A405" i="2"/>
  <c r="AH404" i="2"/>
  <c r="AG404" i="2"/>
  <c r="AF404" i="2"/>
  <c r="AE404" i="2"/>
  <c r="AC404" i="2"/>
  <c r="AB404" i="2"/>
  <c r="AA404" i="2"/>
  <c r="Y404" i="2"/>
  <c r="X404" i="2"/>
  <c r="W404" i="2"/>
  <c r="V404" i="2"/>
  <c r="U404" i="2"/>
  <c r="T404" i="2"/>
  <c r="S404" i="2"/>
  <c r="R404" i="2"/>
  <c r="Q404" i="2"/>
  <c r="P404" i="2"/>
  <c r="O404" i="2"/>
  <c r="N404" i="2"/>
  <c r="M404" i="2"/>
  <c r="L404" i="2"/>
  <c r="K404" i="2"/>
  <c r="J404" i="2"/>
  <c r="I404" i="2"/>
  <c r="H404" i="2"/>
  <c r="G404" i="2"/>
  <c r="F404" i="2"/>
  <c r="E404" i="2"/>
  <c r="D404" i="2"/>
  <c r="C404" i="2"/>
  <c r="B404" i="2"/>
  <c r="A404" i="2"/>
  <c r="AH403" i="2"/>
  <c r="AG403" i="2"/>
  <c r="AE403" i="2"/>
  <c r="AD403" i="2"/>
  <c r="AC403" i="2"/>
  <c r="AB403" i="2"/>
  <c r="AA403" i="2"/>
  <c r="X403" i="2"/>
  <c r="W403" i="2"/>
  <c r="V403" i="2"/>
  <c r="U403" i="2"/>
  <c r="T403" i="2"/>
  <c r="S403" i="2"/>
  <c r="R403" i="2"/>
  <c r="Q403" i="2"/>
  <c r="P403" i="2"/>
  <c r="O403" i="2"/>
  <c r="N403" i="2"/>
  <c r="M403" i="2"/>
  <c r="L403" i="2"/>
  <c r="K403" i="2"/>
  <c r="J403" i="2"/>
  <c r="I403" i="2"/>
  <c r="H403" i="2"/>
  <c r="G403" i="2"/>
  <c r="F403" i="2"/>
  <c r="E403" i="2"/>
  <c r="D403" i="2"/>
  <c r="C403" i="2"/>
  <c r="B403" i="2"/>
  <c r="A403" i="2"/>
  <c r="AH402" i="2"/>
  <c r="AG402" i="2"/>
  <c r="AE402" i="2"/>
  <c r="AD402" i="2"/>
  <c r="AC402" i="2"/>
  <c r="AB402" i="2"/>
  <c r="AA402" i="2"/>
  <c r="W402" i="2"/>
  <c r="V402" i="2"/>
  <c r="U402" i="2"/>
  <c r="T402" i="2"/>
  <c r="S402" i="2"/>
  <c r="R402" i="2"/>
  <c r="Q402" i="2"/>
  <c r="P402" i="2"/>
  <c r="O402" i="2"/>
  <c r="N402" i="2"/>
  <c r="M402" i="2"/>
  <c r="L402" i="2"/>
  <c r="K402" i="2"/>
  <c r="J402" i="2"/>
  <c r="I402" i="2"/>
  <c r="H402" i="2"/>
  <c r="G402" i="2"/>
  <c r="F402" i="2"/>
  <c r="E402" i="2"/>
  <c r="D402" i="2"/>
  <c r="C402" i="2"/>
  <c r="B402" i="2"/>
  <c r="A402" i="2"/>
  <c r="AH401" i="2"/>
  <c r="AG401" i="2"/>
  <c r="AE401" i="2"/>
  <c r="AC401" i="2"/>
  <c r="AB401" i="2"/>
  <c r="AA401" i="2"/>
  <c r="X401" i="2"/>
  <c r="W401" i="2"/>
  <c r="V401" i="2"/>
  <c r="U401" i="2"/>
  <c r="T401" i="2"/>
  <c r="S401" i="2"/>
  <c r="R401" i="2"/>
  <c r="Q401" i="2"/>
  <c r="P401" i="2"/>
  <c r="O401" i="2"/>
  <c r="N401" i="2"/>
  <c r="M401" i="2"/>
  <c r="L401" i="2"/>
  <c r="K401" i="2"/>
  <c r="J401" i="2"/>
  <c r="I401" i="2"/>
  <c r="H401" i="2"/>
  <c r="G401" i="2"/>
  <c r="F401" i="2"/>
  <c r="E401" i="2"/>
  <c r="D401" i="2"/>
  <c r="C401" i="2"/>
  <c r="B401" i="2"/>
  <c r="A401" i="2"/>
  <c r="AH400" i="2"/>
  <c r="AG400" i="2"/>
  <c r="AE400" i="2"/>
  <c r="AD400" i="2"/>
  <c r="AC400" i="2"/>
  <c r="AB400" i="2"/>
  <c r="AA400" i="2"/>
  <c r="W400" i="2"/>
  <c r="V400" i="2"/>
  <c r="U400" i="2"/>
  <c r="T400" i="2"/>
  <c r="S400" i="2"/>
  <c r="R400" i="2"/>
  <c r="Q400" i="2"/>
  <c r="P400" i="2"/>
  <c r="O400" i="2"/>
  <c r="N400" i="2"/>
  <c r="M400" i="2"/>
  <c r="L400" i="2"/>
  <c r="K400" i="2"/>
  <c r="J400" i="2"/>
  <c r="I400" i="2"/>
  <c r="H400" i="2"/>
  <c r="G400" i="2"/>
  <c r="F400" i="2"/>
  <c r="E400" i="2"/>
  <c r="D400" i="2"/>
  <c r="C400" i="2"/>
  <c r="B400" i="2"/>
  <c r="A400" i="2"/>
  <c r="AH399" i="2"/>
  <c r="AG399" i="2"/>
  <c r="AE399" i="2"/>
  <c r="AD399" i="2"/>
  <c r="AC399" i="2"/>
  <c r="AB399" i="2"/>
  <c r="AA399" i="2"/>
  <c r="Y399" i="2"/>
  <c r="X399" i="2"/>
  <c r="W399" i="2"/>
  <c r="V399" i="2"/>
  <c r="U399" i="2"/>
  <c r="T399" i="2"/>
  <c r="S399" i="2"/>
  <c r="R399" i="2"/>
  <c r="Q399" i="2"/>
  <c r="P399" i="2"/>
  <c r="O399" i="2"/>
  <c r="N399" i="2"/>
  <c r="M399" i="2"/>
  <c r="L399" i="2"/>
  <c r="K399" i="2"/>
  <c r="J399" i="2"/>
  <c r="I399" i="2"/>
  <c r="H399" i="2"/>
  <c r="G399" i="2"/>
  <c r="F399" i="2"/>
  <c r="E399" i="2"/>
  <c r="D399" i="2"/>
  <c r="C399" i="2"/>
  <c r="B399" i="2"/>
  <c r="A399" i="2"/>
  <c r="AH398" i="2"/>
  <c r="AG398" i="2"/>
  <c r="AF398" i="2"/>
  <c r="AE398" i="2"/>
  <c r="AD398" i="2"/>
  <c r="AC398" i="2"/>
  <c r="AB398" i="2"/>
  <c r="AA398" i="2"/>
  <c r="Y398" i="2"/>
  <c r="X398" i="2"/>
  <c r="W398" i="2"/>
  <c r="V398" i="2"/>
  <c r="U398" i="2"/>
  <c r="T398" i="2"/>
  <c r="S398" i="2"/>
  <c r="R398" i="2"/>
  <c r="Q398" i="2"/>
  <c r="P398" i="2"/>
  <c r="O398" i="2"/>
  <c r="N398" i="2"/>
  <c r="M398" i="2"/>
  <c r="L398" i="2"/>
  <c r="K398" i="2"/>
  <c r="J398" i="2"/>
  <c r="I398" i="2"/>
  <c r="H398" i="2"/>
  <c r="G398" i="2"/>
  <c r="F398" i="2"/>
  <c r="E398" i="2"/>
  <c r="D398" i="2"/>
  <c r="C398" i="2"/>
  <c r="B398" i="2"/>
  <c r="A398" i="2"/>
  <c r="AH397" i="2"/>
  <c r="AG397" i="2"/>
  <c r="AF397" i="2"/>
  <c r="AD397" i="2"/>
  <c r="AC397" i="2"/>
  <c r="AB397" i="2"/>
  <c r="AA397" i="2"/>
  <c r="Y397" i="2"/>
  <c r="X397" i="2"/>
  <c r="W397" i="2"/>
  <c r="V397" i="2"/>
  <c r="U397" i="2"/>
  <c r="T397" i="2"/>
  <c r="S397" i="2"/>
  <c r="R397" i="2"/>
  <c r="Q397" i="2"/>
  <c r="P397" i="2"/>
  <c r="O397" i="2"/>
  <c r="N397" i="2"/>
  <c r="M397" i="2"/>
  <c r="L397" i="2"/>
  <c r="K397" i="2"/>
  <c r="J397" i="2"/>
  <c r="I397" i="2"/>
  <c r="H397" i="2"/>
  <c r="G397" i="2"/>
  <c r="F397" i="2"/>
  <c r="E397" i="2"/>
  <c r="D397" i="2"/>
  <c r="C397" i="2"/>
  <c r="B397" i="2"/>
  <c r="A397" i="2"/>
  <c r="AH396" i="2"/>
  <c r="AG396" i="2"/>
  <c r="AF396" i="2"/>
  <c r="AE396" i="2"/>
  <c r="AD396" i="2"/>
  <c r="AC396" i="2"/>
  <c r="AB396" i="2"/>
  <c r="AA396" i="2"/>
  <c r="Y396" i="2"/>
  <c r="X396" i="2"/>
  <c r="W396" i="2"/>
  <c r="V396" i="2"/>
  <c r="U396" i="2"/>
  <c r="T396" i="2"/>
  <c r="S396" i="2"/>
  <c r="R396" i="2"/>
  <c r="Q396" i="2"/>
  <c r="P396" i="2"/>
  <c r="O396" i="2"/>
  <c r="N396" i="2"/>
  <c r="M396" i="2"/>
  <c r="L396" i="2"/>
  <c r="K396" i="2"/>
  <c r="J396" i="2"/>
  <c r="I396" i="2"/>
  <c r="H396" i="2"/>
  <c r="G396" i="2"/>
  <c r="F396" i="2"/>
  <c r="E396" i="2"/>
  <c r="D396" i="2"/>
  <c r="C396" i="2"/>
  <c r="B396" i="2"/>
  <c r="A396" i="2"/>
  <c r="AH395" i="2"/>
  <c r="AG395" i="2"/>
  <c r="AE395" i="2"/>
  <c r="AC395" i="2"/>
  <c r="AB395" i="2"/>
  <c r="AA395" i="2"/>
  <c r="Y395" i="2"/>
  <c r="X395" i="2"/>
  <c r="W395" i="2"/>
  <c r="V395" i="2"/>
  <c r="U395" i="2"/>
  <c r="T395" i="2"/>
  <c r="S395" i="2"/>
  <c r="R395" i="2"/>
  <c r="Q395" i="2"/>
  <c r="P395" i="2"/>
  <c r="O395" i="2"/>
  <c r="N395" i="2"/>
  <c r="M395" i="2"/>
  <c r="L395" i="2"/>
  <c r="K395" i="2"/>
  <c r="J395" i="2"/>
  <c r="I395" i="2"/>
  <c r="H395" i="2"/>
  <c r="G395" i="2"/>
  <c r="F395" i="2"/>
  <c r="E395" i="2"/>
  <c r="D395" i="2"/>
  <c r="C395" i="2"/>
  <c r="B395" i="2"/>
  <c r="A395" i="2"/>
  <c r="AH394" i="2"/>
  <c r="AG394" i="2"/>
  <c r="AE394" i="2"/>
  <c r="AC394" i="2"/>
  <c r="AB394" i="2"/>
  <c r="AA394" i="2"/>
  <c r="X394" i="2"/>
  <c r="W394" i="2"/>
  <c r="V394" i="2"/>
  <c r="U394" i="2"/>
  <c r="T394" i="2"/>
  <c r="S394" i="2"/>
  <c r="R394" i="2"/>
  <c r="Q394" i="2"/>
  <c r="P394" i="2"/>
  <c r="O394" i="2"/>
  <c r="N394" i="2"/>
  <c r="M394" i="2"/>
  <c r="L394" i="2"/>
  <c r="K394" i="2"/>
  <c r="J394" i="2"/>
  <c r="I394" i="2"/>
  <c r="H394" i="2"/>
  <c r="G394" i="2"/>
  <c r="F394" i="2"/>
  <c r="E394" i="2"/>
  <c r="D394" i="2"/>
  <c r="C394" i="2"/>
  <c r="B394" i="2"/>
  <c r="A394" i="2"/>
  <c r="AH393" i="2"/>
  <c r="AG393" i="2"/>
  <c r="AE393" i="2"/>
  <c r="AC393" i="2"/>
  <c r="AB393" i="2"/>
  <c r="AA393" i="2"/>
  <c r="X393" i="2"/>
  <c r="W393" i="2"/>
  <c r="V393" i="2"/>
  <c r="U393" i="2"/>
  <c r="T393" i="2"/>
  <c r="S393" i="2"/>
  <c r="R393" i="2"/>
  <c r="Q393" i="2"/>
  <c r="P393" i="2"/>
  <c r="O393" i="2"/>
  <c r="N393" i="2"/>
  <c r="M393" i="2"/>
  <c r="L393" i="2"/>
  <c r="K393" i="2"/>
  <c r="J393" i="2"/>
  <c r="I393" i="2"/>
  <c r="H393" i="2"/>
  <c r="G393" i="2"/>
  <c r="F393" i="2"/>
  <c r="E393" i="2"/>
  <c r="D393" i="2"/>
  <c r="C393" i="2"/>
  <c r="B393" i="2"/>
  <c r="A393" i="2"/>
  <c r="AH392" i="2"/>
  <c r="AG392" i="2"/>
  <c r="AE392" i="2"/>
  <c r="AD392" i="2"/>
  <c r="AC392" i="2"/>
  <c r="AB392" i="2"/>
  <c r="AA392" i="2"/>
  <c r="X392" i="2"/>
  <c r="W392" i="2"/>
  <c r="V392" i="2"/>
  <c r="U392" i="2"/>
  <c r="T392" i="2"/>
  <c r="S392" i="2"/>
  <c r="R392" i="2"/>
  <c r="Q392" i="2"/>
  <c r="P392" i="2"/>
  <c r="O392" i="2"/>
  <c r="N392" i="2"/>
  <c r="M392" i="2"/>
  <c r="L392" i="2"/>
  <c r="K392" i="2"/>
  <c r="J392" i="2"/>
  <c r="I392" i="2"/>
  <c r="H392" i="2"/>
  <c r="G392" i="2"/>
  <c r="F392" i="2"/>
  <c r="E392" i="2"/>
  <c r="D392" i="2"/>
  <c r="C392" i="2"/>
  <c r="B392" i="2"/>
  <c r="A392" i="2"/>
  <c r="AH391" i="2"/>
  <c r="AG391" i="2"/>
  <c r="AE391" i="2"/>
  <c r="AC391" i="2"/>
  <c r="AB391" i="2"/>
  <c r="AA391" i="2"/>
  <c r="Y391" i="2"/>
  <c r="X391" i="2"/>
  <c r="V391" i="2"/>
  <c r="U391" i="2"/>
  <c r="T391" i="2"/>
  <c r="S391" i="2"/>
  <c r="R391" i="2"/>
  <c r="Q391" i="2"/>
  <c r="P391" i="2"/>
  <c r="O391" i="2"/>
  <c r="N391" i="2"/>
  <c r="M391" i="2"/>
  <c r="L391" i="2"/>
  <c r="K391" i="2"/>
  <c r="J391" i="2"/>
  <c r="I391" i="2"/>
  <c r="H391" i="2"/>
  <c r="G391" i="2"/>
  <c r="F391" i="2"/>
  <c r="E391" i="2"/>
  <c r="D391" i="2"/>
  <c r="C391" i="2"/>
  <c r="B391" i="2"/>
  <c r="A391" i="2"/>
  <c r="AH390" i="2"/>
  <c r="AG390" i="2"/>
  <c r="AE390" i="2"/>
  <c r="AD390" i="2"/>
  <c r="AC390" i="2"/>
  <c r="AB390" i="2"/>
  <c r="AA390" i="2"/>
  <c r="Z390" i="2"/>
  <c r="Y390" i="2"/>
  <c r="X390" i="2"/>
  <c r="V390" i="2"/>
  <c r="U390" i="2"/>
  <c r="T390" i="2"/>
  <c r="S390" i="2"/>
  <c r="R390" i="2"/>
  <c r="Q390" i="2"/>
  <c r="P390" i="2"/>
  <c r="O390" i="2"/>
  <c r="N390" i="2"/>
  <c r="M390" i="2"/>
  <c r="L390" i="2"/>
  <c r="K390" i="2"/>
  <c r="J390" i="2"/>
  <c r="I390" i="2"/>
  <c r="H390" i="2"/>
  <c r="G390" i="2"/>
  <c r="F390" i="2"/>
  <c r="E390" i="2"/>
  <c r="D390" i="2"/>
  <c r="C390" i="2"/>
  <c r="B390" i="2"/>
  <c r="A390" i="2"/>
  <c r="AH389" i="2"/>
  <c r="AG389" i="2"/>
  <c r="AE389" i="2"/>
  <c r="AD389" i="2"/>
  <c r="AC389" i="2"/>
  <c r="AB389" i="2"/>
  <c r="AA389" i="2"/>
  <c r="X389" i="2"/>
  <c r="V389" i="2"/>
  <c r="U389" i="2"/>
  <c r="T389" i="2"/>
  <c r="S389" i="2"/>
  <c r="R389" i="2"/>
  <c r="Q389" i="2"/>
  <c r="P389" i="2"/>
  <c r="O389" i="2"/>
  <c r="N389" i="2"/>
  <c r="M389" i="2"/>
  <c r="L389" i="2"/>
  <c r="K389" i="2"/>
  <c r="J389" i="2"/>
  <c r="I389" i="2"/>
  <c r="H389" i="2"/>
  <c r="G389" i="2"/>
  <c r="F389" i="2"/>
  <c r="E389" i="2"/>
  <c r="D389" i="2"/>
  <c r="C389" i="2"/>
  <c r="B389" i="2"/>
  <c r="A389" i="2"/>
  <c r="AH388" i="2"/>
  <c r="AG388" i="2"/>
  <c r="AF388" i="2"/>
  <c r="AE388" i="2"/>
  <c r="AD388" i="2"/>
  <c r="AC388" i="2"/>
  <c r="AB388" i="2"/>
  <c r="AA388" i="2"/>
  <c r="Y388" i="2"/>
  <c r="X388" i="2"/>
  <c r="W388" i="2"/>
  <c r="V388" i="2"/>
  <c r="U388" i="2"/>
  <c r="T388" i="2"/>
  <c r="S388" i="2"/>
  <c r="R388" i="2"/>
  <c r="Q388" i="2"/>
  <c r="P388" i="2"/>
  <c r="O388" i="2"/>
  <c r="N388" i="2"/>
  <c r="M388" i="2"/>
  <c r="L388" i="2"/>
  <c r="K388" i="2"/>
  <c r="J388" i="2"/>
  <c r="I388" i="2"/>
  <c r="H388" i="2"/>
  <c r="G388" i="2"/>
  <c r="F388" i="2"/>
  <c r="E388" i="2"/>
  <c r="D388" i="2"/>
  <c r="C388" i="2"/>
  <c r="B388" i="2"/>
  <c r="A388" i="2"/>
  <c r="AH387" i="2"/>
  <c r="AG387" i="2"/>
  <c r="AF387" i="2"/>
  <c r="AE387" i="2"/>
  <c r="AC387" i="2"/>
  <c r="AB387" i="2"/>
  <c r="AA387" i="2"/>
  <c r="X387" i="2"/>
  <c r="W387" i="2"/>
  <c r="V387" i="2"/>
  <c r="U387" i="2"/>
  <c r="T387" i="2"/>
  <c r="S387" i="2"/>
  <c r="R387" i="2"/>
  <c r="Q387" i="2"/>
  <c r="P387" i="2"/>
  <c r="O387" i="2"/>
  <c r="N387" i="2"/>
  <c r="M387" i="2"/>
  <c r="L387" i="2"/>
  <c r="K387" i="2"/>
  <c r="J387" i="2"/>
  <c r="I387" i="2"/>
  <c r="H387" i="2"/>
  <c r="G387" i="2"/>
  <c r="F387" i="2"/>
  <c r="E387" i="2"/>
  <c r="D387" i="2"/>
  <c r="C387" i="2"/>
  <c r="B387" i="2"/>
  <c r="A387" i="2"/>
  <c r="AH386" i="2"/>
  <c r="AG386" i="2"/>
  <c r="AF386" i="2"/>
  <c r="AE386" i="2"/>
  <c r="AC386" i="2"/>
  <c r="AB386" i="2"/>
  <c r="AA386" i="2"/>
  <c r="V386" i="2"/>
  <c r="U386" i="2"/>
  <c r="T386" i="2"/>
  <c r="S386" i="2"/>
  <c r="R386" i="2"/>
  <c r="Q386" i="2"/>
  <c r="P386" i="2"/>
  <c r="O386" i="2"/>
  <c r="N386" i="2"/>
  <c r="M386" i="2"/>
  <c r="L386" i="2"/>
  <c r="K386" i="2"/>
  <c r="J386" i="2"/>
  <c r="I386" i="2"/>
  <c r="H386" i="2"/>
  <c r="G386" i="2"/>
  <c r="F386" i="2"/>
  <c r="E386" i="2"/>
  <c r="D386" i="2"/>
  <c r="C386" i="2"/>
  <c r="B386" i="2"/>
  <c r="A386" i="2"/>
  <c r="AH385" i="2"/>
  <c r="AG385" i="2"/>
  <c r="AE385" i="2"/>
  <c r="AD385" i="2"/>
  <c r="AC385" i="2"/>
  <c r="AB385" i="2"/>
  <c r="AA385" i="2"/>
  <c r="X385" i="2"/>
  <c r="V385" i="2"/>
  <c r="U385" i="2"/>
  <c r="T385" i="2"/>
  <c r="S385" i="2"/>
  <c r="R385" i="2"/>
  <c r="Q385" i="2"/>
  <c r="P385" i="2"/>
  <c r="O385" i="2"/>
  <c r="N385" i="2"/>
  <c r="M385" i="2"/>
  <c r="L385" i="2"/>
  <c r="K385" i="2"/>
  <c r="J385" i="2"/>
  <c r="I385" i="2"/>
  <c r="H385" i="2"/>
  <c r="G385" i="2"/>
  <c r="F385" i="2"/>
  <c r="E385" i="2"/>
  <c r="D385" i="2"/>
  <c r="C385" i="2"/>
  <c r="B385" i="2"/>
  <c r="A385" i="2"/>
  <c r="AH384" i="2"/>
  <c r="AG384" i="2"/>
  <c r="AE384" i="2"/>
  <c r="AC384" i="2"/>
  <c r="AB384" i="2"/>
  <c r="AA384" i="2"/>
  <c r="V384" i="2"/>
  <c r="U384" i="2"/>
  <c r="T384" i="2"/>
  <c r="S384" i="2"/>
  <c r="R384" i="2"/>
  <c r="Q384" i="2"/>
  <c r="P384" i="2"/>
  <c r="O384" i="2"/>
  <c r="N384" i="2"/>
  <c r="M384" i="2"/>
  <c r="L384" i="2"/>
  <c r="K384" i="2"/>
  <c r="J384" i="2"/>
  <c r="I384" i="2"/>
  <c r="H384" i="2"/>
  <c r="G384" i="2"/>
  <c r="F384" i="2"/>
  <c r="E384" i="2"/>
  <c r="D384" i="2"/>
  <c r="C384" i="2"/>
  <c r="B384" i="2"/>
  <c r="A384" i="2"/>
  <c r="AH383" i="2"/>
  <c r="AG383" i="2"/>
  <c r="AE383" i="2"/>
  <c r="AC383" i="2"/>
  <c r="AB383" i="2"/>
  <c r="AA383" i="2"/>
  <c r="X383" i="2"/>
  <c r="V383" i="2"/>
  <c r="U383" i="2"/>
  <c r="T383" i="2"/>
  <c r="S383" i="2"/>
  <c r="R383" i="2"/>
  <c r="Q383" i="2"/>
  <c r="P383" i="2"/>
  <c r="O383" i="2"/>
  <c r="N383" i="2"/>
  <c r="M383" i="2"/>
  <c r="L383" i="2"/>
  <c r="K383" i="2"/>
  <c r="J383" i="2"/>
  <c r="I383" i="2"/>
  <c r="H383" i="2"/>
  <c r="G383" i="2"/>
  <c r="F383" i="2"/>
  <c r="E383" i="2"/>
  <c r="D383" i="2"/>
  <c r="C383" i="2"/>
  <c r="B383" i="2"/>
  <c r="A383" i="2"/>
  <c r="AH382" i="2"/>
  <c r="AG382" i="2"/>
  <c r="AF382" i="2"/>
  <c r="AE382" i="2"/>
  <c r="AC382" i="2"/>
  <c r="AB382" i="2"/>
  <c r="AA382" i="2"/>
  <c r="X382" i="2"/>
  <c r="W382" i="2"/>
  <c r="V382" i="2"/>
  <c r="U382" i="2"/>
  <c r="T382" i="2"/>
  <c r="S382" i="2"/>
  <c r="R382" i="2"/>
  <c r="Q382" i="2"/>
  <c r="P382" i="2"/>
  <c r="O382" i="2"/>
  <c r="N382" i="2"/>
  <c r="M382" i="2"/>
  <c r="L382" i="2"/>
  <c r="K382" i="2"/>
  <c r="J382" i="2"/>
  <c r="I382" i="2"/>
  <c r="H382" i="2"/>
  <c r="G382" i="2"/>
  <c r="F382" i="2"/>
  <c r="E382" i="2"/>
  <c r="D382" i="2"/>
  <c r="C382" i="2"/>
  <c r="B382" i="2"/>
  <c r="A382" i="2"/>
  <c r="AH381" i="2"/>
  <c r="AG381" i="2"/>
  <c r="AF381" i="2"/>
  <c r="AE381" i="2"/>
  <c r="AD381" i="2"/>
  <c r="AC381" i="2"/>
  <c r="AB381" i="2"/>
  <c r="AA381" i="2"/>
  <c r="Z381" i="2"/>
  <c r="Y381" i="2"/>
  <c r="X381" i="2"/>
  <c r="W381" i="2"/>
  <c r="V381" i="2"/>
  <c r="U381" i="2"/>
  <c r="T381" i="2"/>
  <c r="S381" i="2"/>
  <c r="R381" i="2"/>
  <c r="Q381" i="2"/>
  <c r="P381" i="2"/>
  <c r="O381" i="2"/>
  <c r="N381" i="2"/>
  <c r="M381" i="2"/>
  <c r="L381" i="2"/>
  <c r="K381" i="2"/>
  <c r="J381" i="2"/>
  <c r="I381" i="2"/>
  <c r="H381" i="2"/>
  <c r="G381" i="2"/>
  <c r="F381" i="2"/>
  <c r="E381" i="2"/>
  <c r="D381" i="2"/>
  <c r="C381" i="2"/>
  <c r="B381" i="2"/>
  <c r="A381" i="2"/>
  <c r="AH380" i="2"/>
  <c r="AG380" i="2"/>
  <c r="AD380" i="2"/>
  <c r="AC380" i="2"/>
  <c r="AB380" i="2"/>
  <c r="AA380" i="2"/>
  <c r="X380" i="2"/>
  <c r="W380" i="2"/>
  <c r="V380" i="2"/>
  <c r="U380" i="2"/>
  <c r="T380" i="2"/>
  <c r="S380" i="2"/>
  <c r="R380" i="2"/>
  <c r="Q380" i="2"/>
  <c r="P380" i="2"/>
  <c r="O380" i="2"/>
  <c r="N380" i="2"/>
  <c r="M380" i="2"/>
  <c r="L380" i="2"/>
  <c r="K380" i="2"/>
  <c r="J380" i="2"/>
  <c r="I380" i="2"/>
  <c r="H380" i="2"/>
  <c r="G380" i="2"/>
  <c r="F380" i="2"/>
  <c r="E380" i="2"/>
  <c r="D380" i="2"/>
  <c r="C380" i="2"/>
  <c r="B380" i="2"/>
  <c r="A380" i="2"/>
  <c r="AH379" i="2"/>
  <c r="AG379" i="2"/>
  <c r="AF379" i="2"/>
  <c r="AE379" i="2"/>
  <c r="AC379" i="2"/>
  <c r="AB379" i="2"/>
  <c r="AA379" i="2"/>
  <c r="Y379" i="2"/>
  <c r="X379" i="2"/>
  <c r="V379" i="2"/>
  <c r="U379" i="2"/>
  <c r="T379" i="2"/>
  <c r="S379" i="2"/>
  <c r="R379" i="2"/>
  <c r="Q379" i="2"/>
  <c r="P379" i="2"/>
  <c r="O379" i="2"/>
  <c r="N379" i="2"/>
  <c r="M379" i="2"/>
  <c r="L379" i="2"/>
  <c r="K379" i="2"/>
  <c r="J379" i="2"/>
  <c r="I379" i="2"/>
  <c r="H379" i="2"/>
  <c r="G379" i="2"/>
  <c r="F379" i="2"/>
  <c r="E379" i="2"/>
  <c r="D379" i="2"/>
  <c r="C379" i="2"/>
  <c r="B379" i="2"/>
  <c r="A379" i="2"/>
  <c r="AH378" i="2"/>
  <c r="AG378" i="2"/>
  <c r="AF378" i="2"/>
  <c r="AE378" i="2"/>
  <c r="AD378" i="2"/>
  <c r="AC378" i="2"/>
  <c r="AB378" i="2"/>
  <c r="AA378" i="2"/>
  <c r="X378" i="2"/>
  <c r="W378" i="2"/>
  <c r="V378" i="2"/>
  <c r="U378" i="2"/>
  <c r="T378" i="2"/>
  <c r="S378" i="2"/>
  <c r="R378" i="2"/>
  <c r="Q378" i="2"/>
  <c r="P378" i="2"/>
  <c r="O378" i="2"/>
  <c r="N378" i="2"/>
  <c r="M378" i="2"/>
  <c r="L378" i="2"/>
  <c r="K378" i="2"/>
  <c r="J378" i="2"/>
  <c r="I378" i="2"/>
  <c r="H378" i="2"/>
  <c r="G378" i="2"/>
  <c r="F378" i="2"/>
  <c r="E378" i="2"/>
  <c r="D378" i="2"/>
  <c r="C378" i="2"/>
  <c r="B378" i="2"/>
  <c r="A378" i="2"/>
  <c r="AH377" i="2"/>
  <c r="AG377" i="2"/>
  <c r="AF377" i="2"/>
  <c r="AE377" i="2"/>
  <c r="AD377" i="2"/>
  <c r="AC377" i="2"/>
  <c r="AB377" i="2"/>
  <c r="AA377" i="2"/>
  <c r="Y377" i="2"/>
  <c r="X377" i="2"/>
  <c r="W377" i="2"/>
  <c r="V377" i="2"/>
  <c r="U377" i="2"/>
  <c r="T377" i="2"/>
  <c r="S377" i="2"/>
  <c r="R377" i="2"/>
  <c r="Q377" i="2"/>
  <c r="P377" i="2"/>
  <c r="O377" i="2"/>
  <c r="N377" i="2"/>
  <c r="M377" i="2"/>
  <c r="L377" i="2"/>
  <c r="K377" i="2"/>
  <c r="J377" i="2"/>
  <c r="I377" i="2"/>
  <c r="H377" i="2"/>
  <c r="G377" i="2"/>
  <c r="F377" i="2"/>
  <c r="E377" i="2"/>
  <c r="D377" i="2"/>
  <c r="C377" i="2"/>
  <c r="B377" i="2"/>
  <c r="A377" i="2"/>
  <c r="AH376" i="2"/>
  <c r="AG376" i="2"/>
  <c r="AE376" i="2"/>
  <c r="AC376" i="2"/>
  <c r="AB376" i="2"/>
  <c r="AA376" i="2"/>
  <c r="X376" i="2"/>
  <c r="V376" i="2"/>
  <c r="U376" i="2"/>
  <c r="T376" i="2"/>
  <c r="S376" i="2"/>
  <c r="R376" i="2"/>
  <c r="Q376" i="2"/>
  <c r="P376" i="2"/>
  <c r="O376" i="2"/>
  <c r="N376" i="2"/>
  <c r="M376" i="2"/>
  <c r="L376" i="2"/>
  <c r="K376" i="2"/>
  <c r="J376" i="2"/>
  <c r="I376" i="2"/>
  <c r="H376" i="2"/>
  <c r="G376" i="2"/>
  <c r="F376" i="2"/>
  <c r="E376" i="2"/>
  <c r="D376" i="2"/>
  <c r="C376" i="2"/>
  <c r="B376" i="2"/>
  <c r="A376" i="2"/>
  <c r="AH375" i="2"/>
  <c r="AG375" i="2"/>
  <c r="AE375" i="2"/>
  <c r="AD375" i="2"/>
  <c r="AC375" i="2"/>
  <c r="AB375" i="2"/>
  <c r="AA375" i="2"/>
  <c r="X375" i="2"/>
  <c r="W375" i="2"/>
  <c r="V375" i="2"/>
  <c r="U375" i="2"/>
  <c r="T375" i="2"/>
  <c r="S375" i="2"/>
  <c r="R375" i="2"/>
  <c r="Q375" i="2"/>
  <c r="P375" i="2"/>
  <c r="O375" i="2"/>
  <c r="N375" i="2"/>
  <c r="M375" i="2"/>
  <c r="L375" i="2"/>
  <c r="K375" i="2"/>
  <c r="J375" i="2"/>
  <c r="I375" i="2"/>
  <c r="H375" i="2"/>
  <c r="G375" i="2"/>
  <c r="F375" i="2"/>
  <c r="E375" i="2"/>
  <c r="D375" i="2"/>
  <c r="C375" i="2"/>
  <c r="B375" i="2"/>
  <c r="A375" i="2"/>
  <c r="AH374" i="2"/>
  <c r="AG374" i="2"/>
  <c r="AF374" i="2"/>
  <c r="AE374" i="2"/>
  <c r="AD374" i="2"/>
  <c r="AC374" i="2"/>
  <c r="AB374" i="2"/>
  <c r="AA374" i="2"/>
  <c r="Y374" i="2"/>
  <c r="X374" i="2"/>
  <c r="W374" i="2"/>
  <c r="V374" i="2"/>
  <c r="U374" i="2"/>
  <c r="T374" i="2"/>
  <c r="S374" i="2"/>
  <c r="R374" i="2"/>
  <c r="Q374" i="2"/>
  <c r="P374" i="2"/>
  <c r="O374" i="2"/>
  <c r="N374" i="2"/>
  <c r="M374" i="2"/>
  <c r="L374" i="2"/>
  <c r="K374" i="2"/>
  <c r="J374" i="2"/>
  <c r="I374" i="2"/>
  <c r="H374" i="2"/>
  <c r="G374" i="2"/>
  <c r="F374" i="2"/>
  <c r="E374" i="2"/>
  <c r="D374" i="2"/>
  <c r="C374" i="2"/>
  <c r="B374" i="2"/>
  <c r="A374" i="2"/>
  <c r="AH373" i="2"/>
  <c r="AG373" i="2"/>
  <c r="AE373" i="2"/>
  <c r="AD373" i="2"/>
  <c r="AC373" i="2"/>
  <c r="AB373" i="2"/>
  <c r="AA373" i="2"/>
  <c r="Y373" i="2"/>
  <c r="X373" i="2"/>
  <c r="W373" i="2"/>
  <c r="V373" i="2"/>
  <c r="U373" i="2"/>
  <c r="T373" i="2"/>
  <c r="S373" i="2"/>
  <c r="R373" i="2"/>
  <c r="Q373" i="2"/>
  <c r="P373" i="2"/>
  <c r="O373" i="2"/>
  <c r="N373" i="2"/>
  <c r="M373" i="2"/>
  <c r="L373" i="2"/>
  <c r="K373" i="2"/>
  <c r="J373" i="2"/>
  <c r="I373" i="2"/>
  <c r="H373" i="2"/>
  <c r="G373" i="2"/>
  <c r="F373" i="2"/>
  <c r="E373" i="2"/>
  <c r="D373" i="2"/>
  <c r="C373" i="2"/>
  <c r="B373" i="2"/>
  <c r="A373" i="2"/>
  <c r="AH372" i="2"/>
  <c r="AG372" i="2"/>
  <c r="AF372" i="2"/>
  <c r="AE372" i="2"/>
  <c r="AD372" i="2"/>
  <c r="AC372" i="2"/>
  <c r="AB372" i="2"/>
  <c r="AA372" i="2"/>
  <c r="Z372" i="2"/>
  <c r="Y372" i="2"/>
  <c r="X372" i="2"/>
  <c r="W372" i="2"/>
  <c r="V372" i="2"/>
  <c r="U372" i="2"/>
  <c r="T372" i="2"/>
  <c r="S372" i="2"/>
  <c r="R372" i="2"/>
  <c r="Q372" i="2"/>
  <c r="P372" i="2"/>
  <c r="O372" i="2"/>
  <c r="N372" i="2"/>
  <c r="M372" i="2"/>
  <c r="L372" i="2"/>
  <c r="K372" i="2"/>
  <c r="J372" i="2"/>
  <c r="I372" i="2"/>
  <c r="H372" i="2"/>
  <c r="G372" i="2"/>
  <c r="F372" i="2"/>
  <c r="E372" i="2"/>
  <c r="D372" i="2"/>
  <c r="C372" i="2"/>
  <c r="B372" i="2"/>
  <c r="A372" i="2"/>
  <c r="AH371" i="2"/>
  <c r="AG371" i="2"/>
  <c r="AF371" i="2"/>
  <c r="AE371" i="2"/>
  <c r="AD371" i="2"/>
  <c r="AC371" i="2"/>
  <c r="AB371" i="2"/>
  <c r="AA371" i="2"/>
  <c r="Y371" i="2"/>
  <c r="X371" i="2"/>
  <c r="W371" i="2"/>
  <c r="V371" i="2"/>
  <c r="U371" i="2"/>
  <c r="T371" i="2"/>
  <c r="S371" i="2"/>
  <c r="R371" i="2"/>
  <c r="Q371" i="2"/>
  <c r="P371" i="2"/>
  <c r="O371" i="2"/>
  <c r="N371" i="2"/>
  <c r="M371" i="2"/>
  <c r="L371" i="2"/>
  <c r="K371" i="2"/>
  <c r="J371" i="2"/>
  <c r="I371" i="2"/>
  <c r="H371" i="2"/>
  <c r="G371" i="2"/>
  <c r="F371" i="2"/>
  <c r="E371" i="2"/>
  <c r="D371" i="2"/>
  <c r="C371" i="2"/>
  <c r="B371" i="2"/>
  <c r="A371" i="2"/>
  <c r="AH370" i="2"/>
  <c r="AG370" i="2"/>
  <c r="AF370" i="2"/>
  <c r="AE370" i="2"/>
  <c r="AD370" i="2"/>
  <c r="AC370" i="2"/>
  <c r="AB370" i="2"/>
  <c r="AA370" i="2"/>
  <c r="Z370" i="2"/>
  <c r="Y370" i="2"/>
  <c r="X370" i="2"/>
  <c r="V370" i="2"/>
  <c r="U370" i="2"/>
  <c r="T370" i="2"/>
  <c r="S370" i="2"/>
  <c r="R370" i="2"/>
  <c r="Q370" i="2"/>
  <c r="P370" i="2"/>
  <c r="O370" i="2"/>
  <c r="N370" i="2"/>
  <c r="M370" i="2"/>
  <c r="L370" i="2"/>
  <c r="K370" i="2"/>
  <c r="J370" i="2"/>
  <c r="I370" i="2"/>
  <c r="H370" i="2"/>
  <c r="G370" i="2"/>
  <c r="F370" i="2"/>
  <c r="E370" i="2"/>
  <c r="D370" i="2"/>
  <c r="C370" i="2"/>
  <c r="B370" i="2"/>
  <c r="A370" i="2"/>
  <c r="AH369" i="2"/>
  <c r="AG369" i="2"/>
  <c r="AF369" i="2"/>
  <c r="AE369" i="2"/>
  <c r="AD369" i="2"/>
  <c r="AC369" i="2"/>
  <c r="AB369" i="2"/>
  <c r="AA369" i="2"/>
  <c r="Y369" i="2"/>
  <c r="X369" i="2"/>
  <c r="W369" i="2"/>
  <c r="V369" i="2"/>
  <c r="U369" i="2"/>
  <c r="T369" i="2"/>
  <c r="S369" i="2"/>
  <c r="R369" i="2"/>
  <c r="Q369" i="2"/>
  <c r="P369" i="2"/>
  <c r="O369" i="2"/>
  <c r="N369" i="2"/>
  <c r="M369" i="2"/>
  <c r="L369" i="2"/>
  <c r="K369" i="2"/>
  <c r="J369" i="2"/>
  <c r="I369" i="2"/>
  <c r="H369" i="2"/>
  <c r="G369" i="2"/>
  <c r="F369" i="2"/>
  <c r="E369" i="2"/>
  <c r="D369" i="2"/>
  <c r="C369" i="2"/>
  <c r="B369" i="2"/>
  <c r="A369" i="2"/>
  <c r="AH368" i="2"/>
  <c r="AG368" i="2"/>
  <c r="AE368" i="2"/>
  <c r="AD368" i="2"/>
  <c r="AC368" i="2"/>
  <c r="AB368" i="2"/>
  <c r="AA368" i="2"/>
  <c r="X368" i="2"/>
  <c r="W368" i="2"/>
  <c r="V368" i="2"/>
  <c r="U368" i="2"/>
  <c r="T368" i="2"/>
  <c r="S368" i="2"/>
  <c r="R368" i="2"/>
  <c r="Q368" i="2"/>
  <c r="P368" i="2"/>
  <c r="O368" i="2"/>
  <c r="N368" i="2"/>
  <c r="M368" i="2"/>
  <c r="L368" i="2"/>
  <c r="K368" i="2"/>
  <c r="J368" i="2"/>
  <c r="I368" i="2"/>
  <c r="H368" i="2"/>
  <c r="G368" i="2"/>
  <c r="F368" i="2"/>
  <c r="E368" i="2"/>
  <c r="D368" i="2"/>
  <c r="C368" i="2"/>
  <c r="B368" i="2"/>
  <c r="A368" i="2"/>
  <c r="AH367" i="2"/>
  <c r="AG367" i="2"/>
  <c r="AE367" i="2"/>
  <c r="AD367" i="2"/>
  <c r="AC367" i="2"/>
  <c r="AB367" i="2"/>
  <c r="AA367" i="2"/>
  <c r="Y367" i="2"/>
  <c r="X367" i="2"/>
  <c r="V367" i="2"/>
  <c r="U367" i="2"/>
  <c r="T367" i="2"/>
  <c r="S367" i="2"/>
  <c r="R367" i="2"/>
  <c r="Q367" i="2"/>
  <c r="P367" i="2"/>
  <c r="O367" i="2"/>
  <c r="N367" i="2"/>
  <c r="M367" i="2"/>
  <c r="L367" i="2"/>
  <c r="K367" i="2"/>
  <c r="J367" i="2"/>
  <c r="I367" i="2"/>
  <c r="H367" i="2"/>
  <c r="G367" i="2"/>
  <c r="F367" i="2"/>
  <c r="E367" i="2"/>
  <c r="D367" i="2"/>
  <c r="C367" i="2"/>
  <c r="B367" i="2"/>
  <c r="A367" i="2"/>
  <c r="AH366" i="2"/>
  <c r="AG366" i="2"/>
  <c r="AE366" i="2"/>
  <c r="AD366" i="2"/>
  <c r="AC366" i="2"/>
  <c r="AB366" i="2"/>
  <c r="AA366" i="2"/>
  <c r="X366" i="2"/>
  <c r="V366" i="2"/>
  <c r="U366" i="2"/>
  <c r="T366" i="2"/>
  <c r="S366" i="2"/>
  <c r="R366" i="2"/>
  <c r="Q366" i="2"/>
  <c r="P366" i="2"/>
  <c r="O366" i="2"/>
  <c r="N366" i="2"/>
  <c r="M366" i="2"/>
  <c r="L366" i="2"/>
  <c r="K366" i="2"/>
  <c r="J366" i="2"/>
  <c r="I366" i="2"/>
  <c r="H366" i="2"/>
  <c r="G366" i="2"/>
  <c r="F366" i="2"/>
  <c r="E366" i="2"/>
  <c r="D366" i="2"/>
  <c r="C366" i="2"/>
  <c r="B366" i="2"/>
  <c r="A366" i="2"/>
  <c r="AH365" i="2"/>
  <c r="AG365" i="2"/>
  <c r="AF365" i="2"/>
  <c r="AE365" i="2"/>
  <c r="AD365" i="2"/>
  <c r="AC365" i="2"/>
  <c r="AB365" i="2"/>
  <c r="AA365" i="2"/>
  <c r="Y365" i="2"/>
  <c r="X365" i="2"/>
  <c r="W365" i="2"/>
  <c r="V365" i="2"/>
  <c r="U365" i="2"/>
  <c r="T365" i="2"/>
  <c r="S365" i="2"/>
  <c r="R365" i="2"/>
  <c r="Q365" i="2"/>
  <c r="P365" i="2"/>
  <c r="O365" i="2"/>
  <c r="N365" i="2"/>
  <c r="M365" i="2"/>
  <c r="L365" i="2"/>
  <c r="K365" i="2"/>
  <c r="J365" i="2"/>
  <c r="I365" i="2"/>
  <c r="H365" i="2"/>
  <c r="G365" i="2"/>
  <c r="F365" i="2"/>
  <c r="E365" i="2"/>
  <c r="D365" i="2"/>
  <c r="C365" i="2"/>
  <c r="B365" i="2"/>
  <c r="A365" i="2"/>
  <c r="AH364" i="2"/>
  <c r="AG364" i="2"/>
  <c r="AE364" i="2"/>
  <c r="AD364" i="2"/>
  <c r="AC364" i="2"/>
  <c r="AB364" i="2"/>
  <c r="AA364" i="2"/>
  <c r="X364" i="2"/>
  <c r="V364" i="2"/>
  <c r="U364" i="2"/>
  <c r="T364" i="2"/>
  <c r="S364" i="2"/>
  <c r="R364" i="2"/>
  <c r="Q364" i="2"/>
  <c r="P364" i="2"/>
  <c r="O364" i="2"/>
  <c r="N364" i="2"/>
  <c r="M364" i="2"/>
  <c r="L364" i="2"/>
  <c r="K364" i="2"/>
  <c r="J364" i="2"/>
  <c r="I364" i="2"/>
  <c r="H364" i="2"/>
  <c r="G364" i="2"/>
  <c r="F364" i="2"/>
  <c r="E364" i="2"/>
  <c r="D364" i="2"/>
  <c r="C364" i="2"/>
  <c r="B364" i="2"/>
  <c r="A364" i="2"/>
  <c r="AH363" i="2"/>
  <c r="AG363" i="2"/>
  <c r="AE363" i="2"/>
  <c r="AD363" i="2"/>
  <c r="AC363" i="2"/>
  <c r="AB363" i="2"/>
  <c r="AA363" i="2"/>
  <c r="Y363" i="2"/>
  <c r="X363" i="2"/>
  <c r="V363" i="2"/>
  <c r="U363" i="2"/>
  <c r="T363" i="2"/>
  <c r="S363" i="2"/>
  <c r="R363" i="2"/>
  <c r="Q363" i="2"/>
  <c r="P363" i="2"/>
  <c r="O363" i="2"/>
  <c r="N363" i="2"/>
  <c r="M363" i="2"/>
  <c r="L363" i="2"/>
  <c r="K363" i="2"/>
  <c r="J363" i="2"/>
  <c r="I363" i="2"/>
  <c r="H363" i="2"/>
  <c r="G363" i="2"/>
  <c r="F363" i="2"/>
  <c r="E363" i="2"/>
  <c r="D363" i="2"/>
  <c r="C363" i="2"/>
  <c r="B363" i="2"/>
  <c r="A363" i="2"/>
  <c r="AH362" i="2"/>
  <c r="AG362" i="2"/>
  <c r="AF362" i="2"/>
  <c r="AE362" i="2"/>
  <c r="AD362" i="2"/>
  <c r="AC362" i="2"/>
  <c r="AB362" i="2"/>
  <c r="AA362" i="2"/>
  <c r="Y362" i="2"/>
  <c r="X362" i="2"/>
  <c r="W362" i="2"/>
  <c r="V362" i="2"/>
  <c r="U362" i="2"/>
  <c r="T362" i="2"/>
  <c r="S362" i="2"/>
  <c r="R362" i="2"/>
  <c r="Q362" i="2"/>
  <c r="P362" i="2"/>
  <c r="O362" i="2"/>
  <c r="N362" i="2"/>
  <c r="M362" i="2"/>
  <c r="L362" i="2"/>
  <c r="K362" i="2"/>
  <c r="J362" i="2"/>
  <c r="I362" i="2"/>
  <c r="H362" i="2"/>
  <c r="G362" i="2"/>
  <c r="F362" i="2"/>
  <c r="E362" i="2"/>
  <c r="D362" i="2"/>
  <c r="C362" i="2"/>
  <c r="B362" i="2"/>
  <c r="A362" i="2"/>
  <c r="AH361" i="2"/>
  <c r="AG361" i="2"/>
  <c r="AE361" i="2"/>
  <c r="AD361" i="2"/>
  <c r="AC361" i="2"/>
  <c r="AB361" i="2"/>
  <c r="AA361" i="2"/>
  <c r="Y361" i="2"/>
  <c r="X361" i="2"/>
  <c r="V361" i="2"/>
  <c r="U361" i="2"/>
  <c r="T361" i="2"/>
  <c r="S361" i="2"/>
  <c r="R361" i="2"/>
  <c r="Q361" i="2"/>
  <c r="P361" i="2"/>
  <c r="O361" i="2"/>
  <c r="N361" i="2"/>
  <c r="M361" i="2"/>
  <c r="L361" i="2"/>
  <c r="K361" i="2"/>
  <c r="J361" i="2"/>
  <c r="I361" i="2"/>
  <c r="H361" i="2"/>
  <c r="G361" i="2"/>
  <c r="F361" i="2"/>
  <c r="E361" i="2"/>
  <c r="D361" i="2"/>
  <c r="C361" i="2"/>
  <c r="B361" i="2"/>
  <c r="A361" i="2"/>
  <c r="AH360" i="2"/>
  <c r="AG360" i="2"/>
  <c r="AF360" i="2"/>
  <c r="AE360" i="2"/>
  <c r="AD360" i="2"/>
  <c r="AC360" i="2"/>
  <c r="AB360" i="2"/>
  <c r="AA360" i="2"/>
  <c r="Y360" i="2"/>
  <c r="X360" i="2"/>
  <c r="W360" i="2"/>
  <c r="V360" i="2"/>
  <c r="U360" i="2"/>
  <c r="T360" i="2"/>
  <c r="S360" i="2"/>
  <c r="R360" i="2"/>
  <c r="Q360" i="2"/>
  <c r="P360" i="2"/>
  <c r="O360" i="2"/>
  <c r="N360" i="2"/>
  <c r="M360" i="2"/>
  <c r="L360" i="2"/>
  <c r="K360" i="2"/>
  <c r="J360" i="2"/>
  <c r="I360" i="2"/>
  <c r="H360" i="2"/>
  <c r="G360" i="2"/>
  <c r="F360" i="2"/>
  <c r="E360" i="2"/>
  <c r="D360" i="2"/>
  <c r="C360" i="2"/>
  <c r="B360" i="2"/>
  <c r="A360" i="2"/>
  <c r="AH359" i="2"/>
  <c r="AG359" i="2"/>
  <c r="AF359" i="2"/>
  <c r="AE359" i="2"/>
  <c r="AD359" i="2"/>
  <c r="AC359" i="2"/>
  <c r="AB359" i="2"/>
  <c r="AA359" i="2"/>
  <c r="Z359" i="2"/>
  <c r="Y359" i="2"/>
  <c r="X359" i="2"/>
  <c r="W359" i="2"/>
  <c r="V359" i="2"/>
  <c r="U359" i="2"/>
  <c r="T359" i="2"/>
  <c r="S359" i="2"/>
  <c r="R359" i="2"/>
  <c r="Q359" i="2"/>
  <c r="P359" i="2"/>
  <c r="O359" i="2"/>
  <c r="N359" i="2"/>
  <c r="M359" i="2"/>
  <c r="L359" i="2"/>
  <c r="K359" i="2"/>
  <c r="J359" i="2"/>
  <c r="I359" i="2"/>
  <c r="H359" i="2"/>
  <c r="G359" i="2"/>
  <c r="F359" i="2"/>
  <c r="E359" i="2"/>
  <c r="D359" i="2"/>
  <c r="C359" i="2"/>
  <c r="B359" i="2"/>
  <c r="A359" i="2"/>
  <c r="AH358" i="2"/>
  <c r="AG358" i="2"/>
  <c r="AF358" i="2"/>
  <c r="AE358" i="2"/>
  <c r="AD358" i="2"/>
  <c r="AC358" i="2"/>
  <c r="AB358" i="2"/>
  <c r="AA358" i="2"/>
  <c r="Z358" i="2"/>
  <c r="Y358" i="2"/>
  <c r="X358" i="2"/>
  <c r="W358" i="2"/>
  <c r="V358" i="2"/>
  <c r="U358" i="2"/>
  <c r="T358" i="2"/>
  <c r="S358" i="2"/>
  <c r="R358" i="2"/>
  <c r="Q358" i="2"/>
  <c r="P358" i="2"/>
  <c r="O358" i="2"/>
  <c r="N358" i="2"/>
  <c r="M358" i="2"/>
  <c r="L358" i="2"/>
  <c r="K358" i="2"/>
  <c r="J358" i="2"/>
  <c r="I358" i="2"/>
  <c r="H358" i="2"/>
  <c r="G358" i="2"/>
  <c r="F358" i="2"/>
  <c r="E358" i="2"/>
  <c r="D358" i="2"/>
  <c r="C358" i="2"/>
  <c r="B358" i="2"/>
  <c r="A358" i="2"/>
  <c r="AH357" i="2"/>
  <c r="AG357" i="2"/>
  <c r="AF357" i="2"/>
  <c r="AE357" i="2"/>
  <c r="AD357" i="2"/>
  <c r="AC357" i="2"/>
  <c r="AB357" i="2"/>
  <c r="AA357" i="2"/>
  <c r="Y357" i="2"/>
  <c r="X357" i="2"/>
  <c r="W357" i="2"/>
  <c r="V357" i="2"/>
  <c r="U357" i="2"/>
  <c r="T357" i="2"/>
  <c r="S357" i="2"/>
  <c r="R357" i="2"/>
  <c r="Q357" i="2"/>
  <c r="P357" i="2"/>
  <c r="O357" i="2"/>
  <c r="N357" i="2"/>
  <c r="M357" i="2"/>
  <c r="L357" i="2"/>
  <c r="K357" i="2"/>
  <c r="J357" i="2"/>
  <c r="I357" i="2"/>
  <c r="H357" i="2"/>
  <c r="G357" i="2"/>
  <c r="F357" i="2"/>
  <c r="E357" i="2"/>
  <c r="D357" i="2"/>
  <c r="C357" i="2"/>
  <c r="B357" i="2"/>
  <c r="A357" i="2"/>
  <c r="AH356" i="2"/>
  <c r="AG356" i="2"/>
  <c r="AE356" i="2"/>
  <c r="AD356" i="2"/>
  <c r="AC356" i="2"/>
  <c r="AB356" i="2"/>
  <c r="AA356" i="2"/>
  <c r="X356" i="2"/>
  <c r="W356" i="2"/>
  <c r="V356" i="2"/>
  <c r="U356" i="2"/>
  <c r="T356" i="2"/>
  <c r="S356" i="2"/>
  <c r="R356" i="2"/>
  <c r="Q356" i="2"/>
  <c r="P356" i="2"/>
  <c r="O356" i="2"/>
  <c r="N356" i="2"/>
  <c r="M356" i="2"/>
  <c r="L356" i="2"/>
  <c r="K356" i="2"/>
  <c r="J356" i="2"/>
  <c r="I356" i="2"/>
  <c r="H356" i="2"/>
  <c r="G356" i="2"/>
  <c r="F356" i="2"/>
  <c r="E356" i="2"/>
  <c r="D356" i="2"/>
  <c r="C356" i="2"/>
  <c r="B356" i="2"/>
  <c r="A356" i="2"/>
  <c r="AH355" i="2"/>
  <c r="AG355" i="2"/>
  <c r="AE355" i="2"/>
  <c r="AD355" i="2"/>
  <c r="AC355" i="2"/>
  <c r="AB355" i="2"/>
  <c r="AA355" i="2"/>
  <c r="Z355" i="2"/>
  <c r="Y355" i="2"/>
  <c r="X355" i="2"/>
  <c r="W355" i="2"/>
  <c r="V355" i="2"/>
  <c r="U355" i="2"/>
  <c r="T355" i="2"/>
  <c r="S355" i="2"/>
  <c r="R355" i="2"/>
  <c r="Q355" i="2"/>
  <c r="P355" i="2"/>
  <c r="O355" i="2"/>
  <c r="N355" i="2"/>
  <c r="M355" i="2"/>
  <c r="L355" i="2"/>
  <c r="K355" i="2"/>
  <c r="J355" i="2"/>
  <c r="I355" i="2"/>
  <c r="H355" i="2"/>
  <c r="G355" i="2"/>
  <c r="F355" i="2"/>
  <c r="E355" i="2"/>
  <c r="D355" i="2"/>
  <c r="C355" i="2"/>
  <c r="B355" i="2"/>
  <c r="A355" i="2"/>
  <c r="AH354" i="2"/>
  <c r="AG354" i="2"/>
  <c r="AF354" i="2"/>
  <c r="AE354" i="2"/>
  <c r="AD354" i="2"/>
  <c r="AC354" i="2"/>
  <c r="AB354" i="2"/>
  <c r="AA354" i="2"/>
  <c r="Y354" i="2"/>
  <c r="V354" i="2"/>
  <c r="U354" i="2"/>
  <c r="T354" i="2"/>
  <c r="S354" i="2"/>
  <c r="R354" i="2"/>
  <c r="Q354" i="2"/>
  <c r="P354" i="2"/>
  <c r="O354" i="2"/>
  <c r="N354" i="2"/>
  <c r="M354" i="2"/>
  <c r="L354" i="2"/>
  <c r="K354" i="2"/>
  <c r="J354" i="2"/>
  <c r="I354" i="2"/>
  <c r="H354" i="2"/>
  <c r="G354" i="2"/>
  <c r="F354" i="2"/>
  <c r="E354" i="2"/>
  <c r="D354" i="2"/>
  <c r="C354" i="2"/>
  <c r="B354" i="2"/>
  <c r="A354" i="2"/>
  <c r="AH353" i="2"/>
  <c r="AG353" i="2"/>
  <c r="AF353" i="2"/>
  <c r="AE353" i="2"/>
  <c r="AD353" i="2"/>
  <c r="AC353" i="2"/>
  <c r="AB353" i="2"/>
  <c r="AA353" i="2"/>
  <c r="Z353" i="2"/>
  <c r="Y353" i="2"/>
  <c r="X353" i="2"/>
  <c r="W353" i="2"/>
  <c r="V353" i="2"/>
  <c r="U353" i="2"/>
  <c r="T353" i="2"/>
  <c r="S353" i="2"/>
  <c r="R353" i="2"/>
  <c r="Q353" i="2"/>
  <c r="P353" i="2"/>
  <c r="O353" i="2"/>
  <c r="N353" i="2"/>
  <c r="M353" i="2"/>
  <c r="L353" i="2"/>
  <c r="K353" i="2"/>
  <c r="J353" i="2"/>
  <c r="I353" i="2"/>
  <c r="H353" i="2"/>
  <c r="G353" i="2"/>
  <c r="F353" i="2"/>
  <c r="E353" i="2"/>
  <c r="D353" i="2"/>
  <c r="C353" i="2"/>
  <c r="B353" i="2"/>
  <c r="A353" i="2"/>
  <c r="AH352" i="2"/>
  <c r="AG352" i="2"/>
  <c r="AF352" i="2"/>
  <c r="AE352" i="2"/>
  <c r="AD352" i="2"/>
  <c r="AC352" i="2"/>
  <c r="AB352" i="2"/>
  <c r="AA352" i="2"/>
  <c r="Y352" i="2"/>
  <c r="X352" i="2"/>
  <c r="W352" i="2"/>
  <c r="V352" i="2"/>
  <c r="U352" i="2"/>
  <c r="T352" i="2"/>
  <c r="S352" i="2"/>
  <c r="R352" i="2"/>
  <c r="Q352" i="2"/>
  <c r="P352" i="2"/>
  <c r="O352" i="2"/>
  <c r="N352" i="2"/>
  <c r="M352" i="2"/>
  <c r="L352" i="2"/>
  <c r="K352" i="2"/>
  <c r="J352" i="2"/>
  <c r="I352" i="2"/>
  <c r="H352" i="2"/>
  <c r="G352" i="2"/>
  <c r="F352" i="2"/>
  <c r="E352" i="2"/>
  <c r="D352" i="2"/>
  <c r="C352" i="2"/>
  <c r="B352" i="2"/>
  <c r="A352" i="2"/>
  <c r="AH351" i="2"/>
  <c r="AG351" i="2"/>
  <c r="AE351" i="2"/>
  <c r="AD351" i="2"/>
  <c r="AC351" i="2"/>
  <c r="AB351" i="2"/>
  <c r="AA351" i="2"/>
  <c r="Z351" i="2"/>
  <c r="Y351" i="2"/>
  <c r="X351" i="2"/>
  <c r="W351" i="2"/>
  <c r="V351" i="2"/>
  <c r="U351" i="2"/>
  <c r="T351" i="2"/>
  <c r="S351" i="2"/>
  <c r="R351" i="2"/>
  <c r="Q351" i="2"/>
  <c r="P351" i="2"/>
  <c r="O351" i="2"/>
  <c r="N351" i="2"/>
  <c r="M351" i="2"/>
  <c r="L351" i="2"/>
  <c r="K351" i="2"/>
  <c r="J351" i="2"/>
  <c r="I351" i="2"/>
  <c r="H351" i="2"/>
  <c r="G351" i="2"/>
  <c r="F351" i="2"/>
  <c r="E351" i="2"/>
  <c r="D351" i="2"/>
  <c r="C351" i="2"/>
  <c r="B351" i="2"/>
  <c r="A351" i="2"/>
  <c r="AH350" i="2"/>
  <c r="AG350" i="2"/>
  <c r="AF350" i="2"/>
  <c r="AE350" i="2"/>
  <c r="AD350" i="2"/>
  <c r="AC350" i="2"/>
  <c r="AB350" i="2"/>
  <c r="AA350" i="2"/>
  <c r="Y350" i="2"/>
  <c r="X350" i="2"/>
  <c r="W350" i="2"/>
  <c r="V350" i="2"/>
  <c r="U350" i="2"/>
  <c r="T350" i="2"/>
  <c r="S350" i="2"/>
  <c r="R350" i="2"/>
  <c r="Q350" i="2"/>
  <c r="P350" i="2"/>
  <c r="O350" i="2"/>
  <c r="N350" i="2"/>
  <c r="M350" i="2"/>
  <c r="L350" i="2"/>
  <c r="K350" i="2"/>
  <c r="J350" i="2"/>
  <c r="I350" i="2"/>
  <c r="H350" i="2"/>
  <c r="G350" i="2"/>
  <c r="F350" i="2"/>
  <c r="E350" i="2"/>
  <c r="D350" i="2"/>
  <c r="C350" i="2"/>
  <c r="B350" i="2"/>
  <c r="A350" i="2"/>
  <c r="AH349" i="2"/>
  <c r="AG349" i="2"/>
  <c r="AF349" i="2"/>
  <c r="AE349" i="2"/>
  <c r="AC349" i="2"/>
  <c r="AB349" i="2"/>
  <c r="AA349" i="2"/>
  <c r="Y349" i="2"/>
  <c r="X349" i="2"/>
  <c r="V349" i="2"/>
  <c r="U349" i="2"/>
  <c r="T349" i="2"/>
  <c r="S349" i="2"/>
  <c r="R349" i="2"/>
  <c r="Q349" i="2"/>
  <c r="P349" i="2"/>
  <c r="O349" i="2"/>
  <c r="N349" i="2"/>
  <c r="M349" i="2"/>
  <c r="L349" i="2"/>
  <c r="K349" i="2"/>
  <c r="J349" i="2"/>
  <c r="I349" i="2"/>
  <c r="H349" i="2"/>
  <c r="G349" i="2"/>
  <c r="F349" i="2"/>
  <c r="E349" i="2"/>
  <c r="D349" i="2"/>
  <c r="C349" i="2"/>
  <c r="B349" i="2"/>
  <c r="A349" i="2"/>
  <c r="AH348" i="2"/>
  <c r="AG348" i="2"/>
  <c r="AE348" i="2"/>
  <c r="AC348" i="2"/>
  <c r="AB348" i="2"/>
  <c r="AA348" i="2"/>
  <c r="Y348" i="2"/>
  <c r="X348" i="2"/>
  <c r="W348" i="2"/>
  <c r="V348" i="2"/>
  <c r="U348" i="2"/>
  <c r="T348" i="2"/>
  <c r="S348" i="2"/>
  <c r="R348" i="2"/>
  <c r="Q348" i="2"/>
  <c r="P348" i="2"/>
  <c r="O348" i="2"/>
  <c r="N348" i="2"/>
  <c r="M348" i="2"/>
  <c r="L348" i="2"/>
  <c r="K348" i="2"/>
  <c r="J348" i="2"/>
  <c r="I348" i="2"/>
  <c r="H348" i="2"/>
  <c r="G348" i="2"/>
  <c r="F348" i="2"/>
  <c r="E348" i="2"/>
  <c r="D348" i="2"/>
  <c r="C348" i="2"/>
  <c r="B348" i="2"/>
  <c r="A348" i="2"/>
  <c r="AH347" i="2"/>
  <c r="AG347" i="2"/>
  <c r="AF347" i="2"/>
  <c r="AE347" i="2"/>
  <c r="AD347" i="2"/>
  <c r="AC347" i="2"/>
  <c r="AB347" i="2"/>
  <c r="AA347" i="2"/>
  <c r="Y347" i="2"/>
  <c r="X347" i="2"/>
  <c r="W347" i="2"/>
  <c r="V347" i="2"/>
  <c r="U347" i="2"/>
  <c r="T347" i="2"/>
  <c r="S347" i="2"/>
  <c r="R347" i="2"/>
  <c r="Q347" i="2"/>
  <c r="P347" i="2"/>
  <c r="O347" i="2"/>
  <c r="N347" i="2"/>
  <c r="M347" i="2"/>
  <c r="L347" i="2"/>
  <c r="K347" i="2"/>
  <c r="J347" i="2"/>
  <c r="I347" i="2"/>
  <c r="H347" i="2"/>
  <c r="G347" i="2"/>
  <c r="F347" i="2"/>
  <c r="E347" i="2"/>
  <c r="D347" i="2"/>
  <c r="C347" i="2"/>
  <c r="B347" i="2"/>
  <c r="A347" i="2"/>
  <c r="AH346" i="2"/>
  <c r="AG346" i="2"/>
  <c r="AF346" i="2"/>
  <c r="AE346" i="2"/>
  <c r="AD346" i="2"/>
  <c r="AC346" i="2"/>
  <c r="AB346" i="2"/>
  <c r="AA346" i="2"/>
  <c r="Y346" i="2"/>
  <c r="X346" i="2"/>
  <c r="W346" i="2"/>
  <c r="V346" i="2"/>
  <c r="U346" i="2"/>
  <c r="T346" i="2"/>
  <c r="S346" i="2"/>
  <c r="R346" i="2"/>
  <c r="Q346" i="2"/>
  <c r="P346" i="2"/>
  <c r="O346" i="2"/>
  <c r="N346" i="2"/>
  <c r="M346" i="2"/>
  <c r="L346" i="2"/>
  <c r="K346" i="2"/>
  <c r="J346" i="2"/>
  <c r="I346" i="2"/>
  <c r="H346" i="2"/>
  <c r="G346" i="2"/>
  <c r="F346" i="2"/>
  <c r="E346" i="2"/>
  <c r="D346" i="2"/>
  <c r="C346" i="2"/>
  <c r="B346" i="2"/>
  <c r="A346" i="2"/>
  <c r="AH345" i="2"/>
  <c r="AG345" i="2"/>
  <c r="AE345" i="2"/>
  <c r="AD345" i="2"/>
  <c r="AC345" i="2"/>
  <c r="AB345" i="2"/>
  <c r="AA345" i="2"/>
  <c r="Y345" i="2"/>
  <c r="X345" i="2"/>
  <c r="V345" i="2"/>
  <c r="U345" i="2"/>
  <c r="T345" i="2"/>
  <c r="S345" i="2"/>
  <c r="R345" i="2"/>
  <c r="Q345" i="2"/>
  <c r="P345" i="2"/>
  <c r="O345" i="2"/>
  <c r="N345" i="2"/>
  <c r="M345" i="2"/>
  <c r="L345" i="2"/>
  <c r="K345" i="2"/>
  <c r="J345" i="2"/>
  <c r="I345" i="2"/>
  <c r="H345" i="2"/>
  <c r="G345" i="2"/>
  <c r="F345" i="2"/>
  <c r="E345" i="2"/>
  <c r="D345" i="2"/>
  <c r="C345" i="2"/>
  <c r="B345" i="2"/>
  <c r="A345" i="2"/>
  <c r="AH344" i="2"/>
  <c r="AG344" i="2"/>
  <c r="AE344" i="2"/>
  <c r="AC344" i="2"/>
  <c r="AB344" i="2"/>
  <c r="AA344" i="2"/>
  <c r="Y344" i="2"/>
  <c r="X344" i="2"/>
  <c r="W344" i="2"/>
  <c r="V344" i="2"/>
  <c r="U344" i="2"/>
  <c r="T344" i="2"/>
  <c r="S344" i="2"/>
  <c r="R344" i="2"/>
  <c r="Q344" i="2"/>
  <c r="P344" i="2"/>
  <c r="O344" i="2"/>
  <c r="N344" i="2"/>
  <c r="M344" i="2"/>
  <c r="L344" i="2"/>
  <c r="K344" i="2"/>
  <c r="J344" i="2"/>
  <c r="I344" i="2"/>
  <c r="H344" i="2"/>
  <c r="G344" i="2"/>
  <c r="F344" i="2"/>
  <c r="E344" i="2"/>
  <c r="D344" i="2"/>
  <c r="C344" i="2"/>
  <c r="B344" i="2"/>
  <c r="A344" i="2"/>
  <c r="AH343" i="2"/>
  <c r="AG343" i="2"/>
  <c r="AF343" i="2"/>
  <c r="AE343" i="2"/>
  <c r="AD343" i="2"/>
  <c r="AC343" i="2"/>
  <c r="AB343" i="2"/>
  <c r="AA343" i="2"/>
  <c r="Y343" i="2"/>
  <c r="X343" i="2"/>
  <c r="W343" i="2"/>
  <c r="V343" i="2"/>
  <c r="U343" i="2"/>
  <c r="T343" i="2"/>
  <c r="S343" i="2"/>
  <c r="R343" i="2"/>
  <c r="Q343" i="2"/>
  <c r="P343" i="2"/>
  <c r="O343" i="2"/>
  <c r="N343" i="2"/>
  <c r="M343" i="2"/>
  <c r="L343" i="2"/>
  <c r="K343" i="2"/>
  <c r="J343" i="2"/>
  <c r="I343" i="2"/>
  <c r="H343" i="2"/>
  <c r="G343" i="2"/>
  <c r="F343" i="2"/>
  <c r="E343" i="2"/>
  <c r="D343" i="2"/>
  <c r="C343" i="2"/>
  <c r="B343" i="2"/>
  <c r="A343" i="2"/>
  <c r="AH342" i="2"/>
  <c r="AG342" i="2"/>
  <c r="AE342" i="2"/>
  <c r="AD342" i="2"/>
  <c r="AC342" i="2"/>
  <c r="AB342" i="2"/>
  <c r="AA342" i="2"/>
  <c r="Y342" i="2"/>
  <c r="X342" i="2"/>
  <c r="V342" i="2"/>
  <c r="U342" i="2"/>
  <c r="T342" i="2"/>
  <c r="S342" i="2"/>
  <c r="R342" i="2"/>
  <c r="Q342" i="2"/>
  <c r="P342" i="2"/>
  <c r="O342" i="2"/>
  <c r="N342" i="2"/>
  <c r="M342" i="2"/>
  <c r="L342" i="2"/>
  <c r="K342" i="2"/>
  <c r="J342" i="2"/>
  <c r="I342" i="2"/>
  <c r="H342" i="2"/>
  <c r="G342" i="2"/>
  <c r="F342" i="2"/>
  <c r="E342" i="2"/>
  <c r="D342" i="2"/>
  <c r="C342" i="2"/>
  <c r="B342" i="2"/>
  <c r="A342" i="2"/>
  <c r="AH341" i="2"/>
  <c r="AG341" i="2"/>
  <c r="AF341" i="2"/>
  <c r="AE341" i="2"/>
  <c r="AC341" i="2"/>
  <c r="AB341" i="2"/>
  <c r="AA341" i="2"/>
  <c r="Y341" i="2"/>
  <c r="X341" i="2"/>
  <c r="W341" i="2"/>
  <c r="V341" i="2"/>
  <c r="U341" i="2"/>
  <c r="T341" i="2"/>
  <c r="S341" i="2"/>
  <c r="R341" i="2"/>
  <c r="Q341" i="2"/>
  <c r="P341" i="2"/>
  <c r="O341" i="2"/>
  <c r="N341" i="2"/>
  <c r="M341" i="2"/>
  <c r="L341" i="2"/>
  <c r="K341" i="2"/>
  <c r="J341" i="2"/>
  <c r="I341" i="2"/>
  <c r="H341" i="2"/>
  <c r="G341" i="2"/>
  <c r="F341" i="2"/>
  <c r="E341" i="2"/>
  <c r="D341" i="2"/>
  <c r="C341" i="2"/>
  <c r="B341" i="2"/>
  <c r="A341" i="2"/>
  <c r="AH340" i="2"/>
  <c r="AG340" i="2"/>
  <c r="AF340" i="2"/>
  <c r="AE340" i="2"/>
  <c r="AD340" i="2"/>
  <c r="AC340" i="2"/>
  <c r="AB340" i="2"/>
  <c r="AA340" i="2"/>
  <c r="Y340" i="2"/>
  <c r="X340" i="2"/>
  <c r="V340" i="2"/>
  <c r="U340" i="2"/>
  <c r="T340" i="2"/>
  <c r="S340" i="2"/>
  <c r="R340" i="2"/>
  <c r="Q340" i="2"/>
  <c r="P340" i="2"/>
  <c r="O340" i="2"/>
  <c r="N340" i="2"/>
  <c r="M340" i="2"/>
  <c r="L340" i="2"/>
  <c r="K340" i="2"/>
  <c r="J340" i="2"/>
  <c r="I340" i="2"/>
  <c r="H340" i="2"/>
  <c r="G340" i="2"/>
  <c r="F340" i="2"/>
  <c r="E340" i="2"/>
  <c r="D340" i="2"/>
  <c r="C340" i="2"/>
  <c r="B340" i="2"/>
  <c r="A340" i="2"/>
  <c r="AH339" i="2"/>
  <c r="AG339" i="2"/>
  <c r="AE339" i="2"/>
  <c r="AD339" i="2"/>
  <c r="AC339" i="2"/>
  <c r="AB339" i="2"/>
  <c r="AA339" i="2"/>
  <c r="Y339" i="2"/>
  <c r="X339" i="2"/>
  <c r="W339" i="2"/>
  <c r="V339" i="2"/>
  <c r="U339" i="2"/>
  <c r="T339" i="2"/>
  <c r="S339" i="2"/>
  <c r="R339" i="2"/>
  <c r="Q339" i="2"/>
  <c r="P339" i="2"/>
  <c r="O339" i="2"/>
  <c r="N339" i="2"/>
  <c r="M339" i="2"/>
  <c r="L339" i="2"/>
  <c r="K339" i="2"/>
  <c r="J339" i="2"/>
  <c r="I339" i="2"/>
  <c r="H339" i="2"/>
  <c r="G339" i="2"/>
  <c r="F339" i="2"/>
  <c r="E339" i="2"/>
  <c r="D339" i="2"/>
  <c r="C339" i="2"/>
  <c r="B339" i="2"/>
  <c r="A339" i="2"/>
  <c r="AH338" i="2"/>
  <c r="AG338" i="2"/>
  <c r="AF338" i="2"/>
  <c r="AE338" i="2"/>
  <c r="AD338" i="2"/>
  <c r="AC338" i="2"/>
  <c r="AB338" i="2"/>
  <c r="AA338" i="2"/>
  <c r="Y338" i="2"/>
  <c r="X338" i="2"/>
  <c r="W338" i="2"/>
  <c r="V338" i="2"/>
  <c r="U338" i="2"/>
  <c r="T338" i="2"/>
  <c r="S338" i="2"/>
  <c r="R338" i="2"/>
  <c r="Q338" i="2"/>
  <c r="P338" i="2"/>
  <c r="O338" i="2"/>
  <c r="N338" i="2"/>
  <c r="M338" i="2"/>
  <c r="L338" i="2"/>
  <c r="K338" i="2"/>
  <c r="J338" i="2"/>
  <c r="I338" i="2"/>
  <c r="H338" i="2"/>
  <c r="G338" i="2"/>
  <c r="F338" i="2"/>
  <c r="E338" i="2"/>
  <c r="D338" i="2"/>
  <c r="C338" i="2"/>
  <c r="B338" i="2"/>
  <c r="A338" i="2"/>
  <c r="AH337" i="2"/>
  <c r="AF337" i="2"/>
  <c r="AE337" i="2"/>
  <c r="AD337" i="2"/>
  <c r="AC337" i="2"/>
  <c r="AB337" i="2"/>
  <c r="AA337" i="2"/>
  <c r="Y337" i="2"/>
  <c r="X337" i="2"/>
  <c r="W337" i="2"/>
  <c r="V337" i="2"/>
  <c r="U337" i="2"/>
  <c r="T337" i="2"/>
  <c r="S337" i="2"/>
  <c r="R337" i="2"/>
  <c r="Q337" i="2"/>
  <c r="P337" i="2"/>
  <c r="O337" i="2"/>
  <c r="N337" i="2"/>
  <c r="M337" i="2"/>
  <c r="L337" i="2"/>
  <c r="K337" i="2"/>
  <c r="J337" i="2"/>
  <c r="I337" i="2"/>
  <c r="H337" i="2"/>
  <c r="G337" i="2"/>
  <c r="F337" i="2"/>
  <c r="E337" i="2"/>
  <c r="D337" i="2"/>
  <c r="C337" i="2"/>
  <c r="B337" i="2"/>
  <c r="A337" i="2"/>
  <c r="AG336" i="2"/>
  <c r="AF336" i="2"/>
  <c r="AD336" i="2"/>
  <c r="AC336" i="2"/>
  <c r="AB336" i="2"/>
  <c r="AA336" i="2"/>
  <c r="V336" i="2"/>
  <c r="U336" i="2"/>
  <c r="T336" i="2"/>
  <c r="S336" i="2"/>
  <c r="R336" i="2"/>
  <c r="Q336" i="2"/>
  <c r="P336" i="2"/>
  <c r="O336" i="2"/>
  <c r="N336" i="2"/>
  <c r="M336" i="2"/>
  <c r="L336" i="2"/>
  <c r="K336" i="2"/>
  <c r="J336" i="2"/>
  <c r="I336" i="2"/>
  <c r="H336" i="2"/>
  <c r="G336" i="2"/>
  <c r="F336" i="2"/>
  <c r="E336" i="2"/>
  <c r="D336" i="2"/>
  <c r="C336" i="2"/>
  <c r="B336" i="2"/>
  <c r="A336" i="2"/>
  <c r="AH335" i="2"/>
  <c r="AG335" i="2"/>
  <c r="AE335" i="2"/>
  <c r="AC335" i="2"/>
  <c r="AB335" i="2"/>
  <c r="AA335" i="2"/>
  <c r="Y335" i="2"/>
  <c r="V335" i="2"/>
  <c r="U335" i="2"/>
  <c r="T335" i="2"/>
  <c r="S335" i="2"/>
  <c r="R335" i="2"/>
  <c r="Q335" i="2"/>
  <c r="P335" i="2"/>
  <c r="O335" i="2"/>
  <c r="N335" i="2"/>
  <c r="M335" i="2"/>
  <c r="L335" i="2"/>
  <c r="K335" i="2"/>
  <c r="J335" i="2"/>
  <c r="I335" i="2"/>
  <c r="H335" i="2"/>
  <c r="G335" i="2"/>
  <c r="F335" i="2"/>
  <c r="E335" i="2"/>
  <c r="D335" i="2"/>
  <c r="C335" i="2"/>
  <c r="B335" i="2"/>
  <c r="A335" i="2"/>
  <c r="AH334" i="2"/>
  <c r="AG334" i="2"/>
  <c r="AE334" i="2"/>
  <c r="AD334" i="2"/>
  <c r="AC334" i="2"/>
  <c r="AB334" i="2"/>
  <c r="AA334" i="2"/>
  <c r="X334" i="2"/>
  <c r="W334" i="2"/>
  <c r="V334" i="2"/>
  <c r="U334" i="2"/>
  <c r="T334" i="2"/>
  <c r="S334" i="2"/>
  <c r="R334" i="2"/>
  <c r="Q334" i="2"/>
  <c r="P334" i="2"/>
  <c r="O334" i="2"/>
  <c r="N334" i="2"/>
  <c r="M334" i="2"/>
  <c r="L334" i="2"/>
  <c r="K334" i="2"/>
  <c r="J334" i="2"/>
  <c r="I334" i="2"/>
  <c r="H334" i="2"/>
  <c r="G334" i="2"/>
  <c r="F334" i="2"/>
  <c r="E334" i="2"/>
  <c r="D334" i="2"/>
  <c r="C334" i="2"/>
  <c r="B334" i="2"/>
  <c r="A334" i="2"/>
  <c r="AH333" i="2"/>
  <c r="AG333" i="2"/>
  <c r="AF333" i="2"/>
  <c r="AE333" i="2"/>
  <c r="AD333" i="2"/>
  <c r="AC333" i="2"/>
  <c r="AB333" i="2"/>
  <c r="AA333" i="2"/>
  <c r="Y333" i="2"/>
  <c r="X333" i="2"/>
  <c r="W333" i="2"/>
  <c r="V333" i="2"/>
  <c r="U333" i="2"/>
  <c r="T333" i="2"/>
  <c r="S333" i="2"/>
  <c r="R333" i="2"/>
  <c r="Q333" i="2"/>
  <c r="P333" i="2"/>
  <c r="O333" i="2"/>
  <c r="N333" i="2"/>
  <c r="M333" i="2"/>
  <c r="L333" i="2"/>
  <c r="K333" i="2"/>
  <c r="J333" i="2"/>
  <c r="I333" i="2"/>
  <c r="H333" i="2"/>
  <c r="G333" i="2"/>
  <c r="F333" i="2"/>
  <c r="E333" i="2"/>
  <c r="D333" i="2"/>
  <c r="C333" i="2"/>
  <c r="B333" i="2"/>
  <c r="A333" i="2"/>
  <c r="AH332" i="2"/>
  <c r="AG332" i="2"/>
  <c r="AE332" i="2"/>
  <c r="AD332" i="2"/>
  <c r="AC332" i="2"/>
  <c r="AB332" i="2"/>
  <c r="AA332" i="2"/>
  <c r="Y332" i="2"/>
  <c r="X332" i="2"/>
  <c r="V332" i="2"/>
  <c r="U332" i="2"/>
  <c r="T332" i="2"/>
  <c r="S332" i="2"/>
  <c r="R332" i="2"/>
  <c r="Q332" i="2"/>
  <c r="P332" i="2"/>
  <c r="O332" i="2"/>
  <c r="N332" i="2"/>
  <c r="M332" i="2"/>
  <c r="L332" i="2"/>
  <c r="K332" i="2"/>
  <c r="J332" i="2"/>
  <c r="I332" i="2"/>
  <c r="H332" i="2"/>
  <c r="G332" i="2"/>
  <c r="F332" i="2"/>
  <c r="E332" i="2"/>
  <c r="D332" i="2"/>
  <c r="C332" i="2"/>
  <c r="B332" i="2"/>
  <c r="A332" i="2"/>
  <c r="AH331" i="2"/>
  <c r="AG331" i="2"/>
  <c r="AE331" i="2"/>
  <c r="AD331" i="2"/>
  <c r="AC331" i="2"/>
  <c r="AB331" i="2"/>
  <c r="AA331" i="2"/>
  <c r="X331" i="2"/>
  <c r="W331" i="2"/>
  <c r="V331" i="2"/>
  <c r="U331" i="2"/>
  <c r="T331" i="2"/>
  <c r="S331" i="2"/>
  <c r="R331" i="2"/>
  <c r="Q331" i="2"/>
  <c r="P331" i="2"/>
  <c r="O331" i="2"/>
  <c r="N331" i="2"/>
  <c r="M331" i="2"/>
  <c r="L331" i="2"/>
  <c r="K331" i="2"/>
  <c r="J331" i="2"/>
  <c r="I331" i="2"/>
  <c r="H331" i="2"/>
  <c r="G331" i="2"/>
  <c r="F331" i="2"/>
  <c r="E331" i="2"/>
  <c r="D331" i="2"/>
  <c r="C331" i="2"/>
  <c r="B331" i="2"/>
  <c r="A331" i="2"/>
  <c r="AH330" i="2"/>
  <c r="AG330" i="2"/>
  <c r="AF330" i="2"/>
  <c r="AE330" i="2"/>
  <c r="AC330" i="2"/>
  <c r="AB330" i="2"/>
  <c r="AA330" i="2"/>
  <c r="Y330" i="2"/>
  <c r="X330" i="2"/>
  <c r="W330" i="2"/>
  <c r="V330" i="2"/>
  <c r="U330" i="2"/>
  <c r="T330" i="2"/>
  <c r="S330" i="2"/>
  <c r="R330" i="2"/>
  <c r="Q330" i="2"/>
  <c r="P330" i="2"/>
  <c r="O330" i="2"/>
  <c r="N330" i="2"/>
  <c r="M330" i="2"/>
  <c r="L330" i="2"/>
  <c r="K330" i="2"/>
  <c r="J330" i="2"/>
  <c r="I330" i="2"/>
  <c r="H330" i="2"/>
  <c r="G330" i="2"/>
  <c r="F330" i="2"/>
  <c r="E330" i="2"/>
  <c r="D330" i="2"/>
  <c r="C330" i="2"/>
  <c r="B330" i="2"/>
  <c r="A330" i="2"/>
  <c r="AH329" i="2"/>
  <c r="AG329" i="2"/>
  <c r="AE329" i="2"/>
  <c r="AD329" i="2"/>
  <c r="AC329" i="2"/>
  <c r="AB329" i="2"/>
  <c r="AA329" i="2"/>
  <c r="Z329" i="2"/>
  <c r="Y329" i="2"/>
  <c r="X329" i="2"/>
  <c r="W329" i="2"/>
  <c r="V329" i="2"/>
  <c r="U329" i="2"/>
  <c r="T329" i="2"/>
  <c r="S329" i="2"/>
  <c r="R329" i="2"/>
  <c r="Q329" i="2"/>
  <c r="P329" i="2"/>
  <c r="O329" i="2"/>
  <c r="N329" i="2"/>
  <c r="M329" i="2"/>
  <c r="L329" i="2"/>
  <c r="K329" i="2"/>
  <c r="J329" i="2"/>
  <c r="I329" i="2"/>
  <c r="H329" i="2"/>
  <c r="G329" i="2"/>
  <c r="F329" i="2"/>
  <c r="E329" i="2"/>
  <c r="D329" i="2"/>
  <c r="C329" i="2"/>
  <c r="B329" i="2"/>
  <c r="A329" i="2"/>
  <c r="AH328" i="2"/>
  <c r="AG328" i="2"/>
  <c r="AE328" i="2"/>
  <c r="AD328" i="2"/>
  <c r="AC328" i="2"/>
  <c r="AB328" i="2"/>
  <c r="AA328" i="2"/>
  <c r="Z328" i="2"/>
  <c r="Y328" i="2"/>
  <c r="X328" i="2"/>
  <c r="W328" i="2"/>
  <c r="V328" i="2"/>
  <c r="U328" i="2"/>
  <c r="T328" i="2"/>
  <c r="S328" i="2"/>
  <c r="R328" i="2"/>
  <c r="Q328" i="2"/>
  <c r="P328" i="2"/>
  <c r="O328" i="2"/>
  <c r="N328" i="2"/>
  <c r="M328" i="2"/>
  <c r="L328" i="2"/>
  <c r="K328" i="2"/>
  <c r="J328" i="2"/>
  <c r="I328" i="2"/>
  <c r="H328" i="2"/>
  <c r="G328" i="2"/>
  <c r="F328" i="2"/>
  <c r="E328" i="2"/>
  <c r="D328" i="2"/>
  <c r="C328" i="2"/>
  <c r="B328" i="2"/>
  <c r="A328" i="2"/>
  <c r="AH327" i="2"/>
  <c r="AG327" i="2"/>
  <c r="AF327" i="2"/>
  <c r="AE327" i="2"/>
  <c r="AD327" i="2"/>
  <c r="AC327" i="2"/>
  <c r="AB327" i="2"/>
  <c r="AA327" i="2"/>
  <c r="Y327" i="2"/>
  <c r="X327" i="2"/>
  <c r="W327" i="2"/>
  <c r="V327" i="2"/>
  <c r="U327" i="2"/>
  <c r="T327" i="2"/>
  <c r="S327" i="2"/>
  <c r="R327" i="2"/>
  <c r="Q327" i="2"/>
  <c r="P327" i="2"/>
  <c r="O327" i="2"/>
  <c r="N327" i="2"/>
  <c r="M327" i="2"/>
  <c r="L327" i="2"/>
  <c r="K327" i="2"/>
  <c r="J327" i="2"/>
  <c r="I327" i="2"/>
  <c r="H327" i="2"/>
  <c r="G327" i="2"/>
  <c r="F327" i="2"/>
  <c r="E327" i="2"/>
  <c r="D327" i="2"/>
  <c r="C327" i="2"/>
  <c r="B327" i="2"/>
  <c r="A327" i="2"/>
  <c r="AH326" i="2"/>
  <c r="AG326" i="2"/>
  <c r="AE326" i="2"/>
  <c r="AD326" i="2"/>
  <c r="AC326" i="2"/>
  <c r="AB326" i="2"/>
  <c r="AA326" i="2"/>
  <c r="X326" i="2"/>
  <c r="V326" i="2"/>
  <c r="U326" i="2"/>
  <c r="T326" i="2"/>
  <c r="S326" i="2"/>
  <c r="R326" i="2"/>
  <c r="Q326" i="2"/>
  <c r="P326" i="2"/>
  <c r="O326" i="2"/>
  <c r="N326" i="2"/>
  <c r="M326" i="2"/>
  <c r="L326" i="2"/>
  <c r="K326" i="2"/>
  <c r="J326" i="2"/>
  <c r="I326" i="2"/>
  <c r="H326" i="2"/>
  <c r="G326" i="2"/>
  <c r="F326" i="2"/>
  <c r="E326" i="2"/>
  <c r="D326" i="2"/>
  <c r="C326" i="2"/>
  <c r="B326" i="2"/>
  <c r="A326" i="2"/>
  <c r="AH325" i="2"/>
  <c r="AG325" i="2"/>
  <c r="AE325" i="2"/>
  <c r="AD325" i="2"/>
  <c r="AC325" i="2"/>
  <c r="AB325" i="2"/>
  <c r="AA325" i="2"/>
  <c r="X325" i="2"/>
  <c r="W325" i="2"/>
  <c r="V325" i="2"/>
  <c r="U325" i="2"/>
  <c r="T325" i="2"/>
  <c r="S325" i="2"/>
  <c r="R325" i="2"/>
  <c r="Q325" i="2"/>
  <c r="P325" i="2"/>
  <c r="O325" i="2"/>
  <c r="N325" i="2"/>
  <c r="M325" i="2"/>
  <c r="L325" i="2"/>
  <c r="K325" i="2"/>
  <c r="J325" i="2"/>
  <c r="I325" i="2"/>
  <c r="H325" i="2"/>
  <c r="G325" i="2"/>
  <c r="F325" i="2"/>
  <c r="E325" i="2"/>
  <c r="D325" i="2"/>
  <c r="C325" i="2"/>
  <c r="B325" i="2"/>
  <c r="A325" i="2"/>
  <c r="AH324" i="2"/>
  <c r="AG324" i="2"/>
  <c r="AE324" i="2"/>
  <c r="AD324" i="2"/>
  <c r="AC324" i="2"/>
  <c r="AB324" i="2"/>
  <c r="AA324" i="2"/>
  <c r="X324" i="2"/>
  <c r="W324" i="2"/>
  <c r="V324" i="2"/>
  <c r="U324" i="2"/>
  <c r="T324" i="2"/>
  <c r="S324" i="2"/>
  <c r="R324" i="2"/>
  <c r="Q324" i="2"/>
  <c r="P324" i="2"/>
  <c r="O324" i="2"/>
  <c r="N324" i="2"/>
  <c r="M324" i="2"/>
  <c r="L324" i="2"/>
  <c r="K324" i="2"/>
  <c r="J324" i="2"/>
  <c r="I324" i="2"/>
  <c r="H324" i="2"/>
  <c r="G324" i="2"/>
  <c r="F324" i="2"/>
  <c r="E324" i="2"/>
  <c r="D324" i="2"/>
  <c r="C324" i="2"/>
  <c r="B324" i="2"/>
  <c r="A324" i="2"/>
  <c r="AH323" i="2"/>
  <c r="AG323" i="2"/>
  <c r="AF323" i="2"/>
  <c r="AE323" i="2"/>
  <c r="AD323" i="2"/>
  <c r="AC323" i="2"/>
  <c r="AB323" i="2"/>
  <c r="AA323" i="2"/>
  <c r="Y323" i="2"/>
  <c r="X323" i="2"/>
  <c r="W323" i="2"/>
  <c r="V323" i="2"/>
  <c r="U323" i="2"/>
  <c r="T323" i="2"/>
  <c r="S323" i="2"/>
  <c r="R323" i="2"/>
  <c r="Q323" i="2"/>
  <c r="P323" i="2"/>
  <c r="O323" i="2"/>
  <c r="N323" i="2"/>
  <c r="M323" i="2"/>
  <c r="L323" i="2"/>
  <c r="K323" i="2"/>
  <c r="J323" i="2"/>
  <c r="I323" i="2"/>
  <c r="H323" i="2"/>
  <c r="G323" i="2"/>
  <c r="F323" i="2"/>
  <c r="E323" i="2"/>
  <c r="D323" i="2"/>
  <c r="C323" i="2"/>
  <c r="B323" i="2"/>
  <c r="A323" i="2"/>
  <c r="AH322" i="2"/>
  <c r="AG322" i="2"/>
  <c r="AF322" i="2"/>
  <c r="AE322" i="2"/>
  <c r="AD322" i="2"/>
  <c r="AC322" i="2"/>
  <c r="AB322" i="2"/>
  <c r="AA322" i="2"/>
  <c r="Y322" i="2"/>
  <c r="X322" i="2"/>
  <c r="W322" i="2"/>
  <c r="V322" i="2"/>
  <c r="U322" i="2"/>
  <c r="T322" i="2"/>
  <c r="S322" i="2"/>
  <c r="R322" i="2"/>
  <c r="Q322" i="2"/>
  <c r="P322" i="2"/>
  <c r="O322" i="2"/>
  <c r="N322" i="2"/>
  <c r="M322" i="2"/>
  <c r="L322" i="2"/>
  <c r="K322" i="2"/>
  <c r="J322" i="2"/>
  <c r="I322" i="2"/>
  <c r="H322" i="2"/>
  <c r="G322" i="2"/>
  <c r="F322" i="2"/>
  <c r="E322" i="2"/>
  <c r="D322" i="2"/>
  <c r="C322" i="2"/>
  <c r="B322" i="2"/>
  <c r="A322" i="2"/>
  <c r="AH321" i="2"/>
  <c r="AG321" i="2"/>
  <c r="AE321" i="2"/>
  <c r="AD321" i="2"/>
  <c r="AC321" i="2"/>
  <c r="AB321" i="2"/>
  <c r="AA321" i="2"/>
  <c r="Y321" i="2"/>
  <c r="X321" i="2"/>
  <c r="W321" i="2"/>
  <c r="V321" i="2"/>
  <c r="U321" i="2"/>
  <c r="T321" i="2"/>
  <c r="S321" i="2"/>
  <c r="R321" i="2"/>
  <c r="Q321" i="2"/>
  <c r="P321" i="2"/>
  <c r="O321" i="2"/>
  <c r="N321" i="2"/>
  <c r="M321" i="2"/>
  <c r="L321" i="2"/>
  <c r="K321" i="2"/>
  <c r="J321" i="2"/>
  <c r="I321" i="2"/>
  <c r="H321" i="2"/>
  <c r="G321" i="2"/>
  <c r="F321" i="2"/>
  <c r="E321" i="2"/>
  <c r="D321" i="2"/>
  <c r="C321" i="2"/>
  <c r="B321" i="2"/>
  <c r="A321" i="2"/>
  <c r="AH320" i="2"/>
  <c r="AE320" i="2"/>
  <c r="AC320" i="2"/>
  <c r="AB320" i="2"/>
  <c r="AA320" i="2"/>
  <c r="Y320" i="2"/>
  <c r="V320" i="2"/>
  <c r="U320" i="2"/>
  <c r="T320" i="2"/>
  <c r="S320" i="2"/>
  <c r="R320" i="2"/>
  <c r="Q320" i="2"/>
  <c r="P320" i="2"/>
  <c r="O320" i="2"/>
  <c r="N320" i="2"/>
  <c r="M320" i="2"/>
  <c r="L320" i="2"/>
  <c r="K320" i="2"/>
  <c r="J320" i="2"/>
  <c r="I320" i="2"/>
  <c r="H320" i="2"/>
  <c r="G320" i="2"/>
  <c r="F320" i="2"/>
  <c r="E320" i="2"/>
  <c r="D320" i="2"/>
  <c r="C320" i="2"/>
  <c r="B320" i="2"/>
  <c r="A320" i="2"/>
  <c r="AH319" i="2"/>
  <c r="AG319" i="2"/>
  <c r="AE319" i="2"/>
  <c r="AD319" i="2"/>
  <c r="AC319" i="2"/>
  <c r="AB319" i="2"/>
  <c r="AA319" i="2"/>
  <c r="X319" i="2"/>
  <c r="W319" i="2"/>
  <c r="V319" i="2"/>
  <c r="U319" i="2"/>
  <c r="T319" i="2"/>
  <c r="S319" i="2"/>
  <c r="R319" i="2"/>
  <c r="Q319" i="2"/>
  <c r="P319" i="2"/>
  <c r="O319" i="2"/>
  <c r="N319" i="2"/>
  <c r="M319" i="2"/>
  <c r="L319" i="2"/>
  <c r="K319" i="2"/>
  <c r="J319" i="2"/>
  <c r="I319" i="2"/>
  <c r="H319" i="2"/>
  <c r="G319" i="2"/>
  <c r="F319" i="2"/>
  <c r="E319" i="2"/>
  <c r="D319" i="2"/>
  <c r="C319" i="2"/>
  <c r="B319" i="2"/>
  <c r="A319" i="2"/>
  <c r="AH318" i="2"/>
  <c r="AG318" i="2"/>
  <c r="AD318" i="2"/>
  <c r="AC318" i="2"/>
  <c r="AB318" i="2"/>
  <c r="AA318" i="2"/>
  <c r="X318" i="2"/>
  <c r="V318" i="2"/>
  <c r="U318" i="2"/>
  <c r="T318" i="2"/>
  <c r="S318" i="2"/>
  <c r="R318" i="2"/>
  <c r="Q318" i="2"/>
  <c r="P318" i="2"/>
  <c r="O318" i="2"/>
  <c r="N318" i="2"/>
  <c r="M318" i="2"/>
  <c r="L318" i="2"/>
  <c r="K318" i="2"/>
  <c r="J318" i="2"/>
  <c r="I318" i="2"/>
  <c r="H318" i="2"/>
  <c r="G318" i="2"/>
  <c r="F318" i="2"/>
  <c r="E318" i="2"/>
  <c r="D318" i="2"/>
  <c r="C318" i="2"/>
  <c r="B318" i="2"/>
  <c r="A318" i="2"/>
  <c r="AH317" i="2"/>
  <c r="AG317" i="2"/>
  <c r="AF317" i="2"/>
  <c r="AE317" i="2"/>
  <c r="AD317" i="2"/>
  <c r="AC317" i="2"/>
  <c r="AB317" i="2"/>
  <c r="AA317" i="2"/>
  <c r="Y317" i="2"/>
  <c r="X317" i="2"/>
  <c r="W317" i="2"/>
  <c r="V317" i="2"/>
  <c r="U317" i="2"/>
  <c r="T317" i="2"/>
  <c r="S317" i="2"/>
  <c r="R317" i="2"/>
  <c r="Q317" i="2"/>
  <c r="P317" i="2"/>
  <c r="O317" i="2"/>
  <c r="N317" i="2"/>
  <c r="M317" i="2"/>
  <c r="L317" i="2"/>
  <c r="K317" i="2"/>
  <c r="J317" i="2"/>
  <c r="I317" i="2"/>
  <c r="H317" i="2"/>
  <c r="G317" i="2"/>
  <c r="F317" i="2"/>
  <c r="E317" i="2"/>
  <c r="D317" i="2"/>
  <c r="C317" i="2"/>
  <c r="B317" i="2"/>
  <c r="A317" i="2"/>
  <c r="AH316" i="2"/>
  <c r="AG316" i="2"/>
  <c r="AE316" i="2"/>
  <c r="AD316" i="2"/>
  <c r="AC316" i="2"/>
  <c r="AB316" i="2"/>
  <c r="AA316" i="2"/>
  <c r="Y316" i="2"/>
  <c r="V316" i="2"/>
  <c r="U316" i="2"/>
  <c r="T316" i="2"/>
  <c r="S316" i="2"/>
  <c r="R316" i="2"/>
  <c r="Q316" i="2"/>
  <c r="P316" i="2"/>
  <c r="O316" i="2"/>
  <c r="N316" i="2"/>
  <c r="M316" i="2"/>
  <c r="L316" i="2"/>
  <c r="K316" i="2"/>
  <c r="J316" i="2"/>
  <c r="I316" i="2"/>
  <c r="H316" i="2"/>
  <c r="G316" i="2"/>
  <c r="F316" i="2"/>
  <c r="E316" i="2"/>
  <c r="D316" i="2"/>
  <c r="C316" i="2"/>
  <c r="B316" i="2"/>
  <c r="A316" i="2"/>
  <c r="AH315" i="2"/>
  <c r="AG315" i="2"/>
  <c r="AE315" i="2"/>
  <c r="AD315" i="2"/>
  <c r="AC315" i="2"/>
  <c r="AB315" i="2"/>
  <c r="AA315" i="2"/>
  <c r="Y315" i="2"/>
  <c r="X315" i="2"/>
  <c r="W315" i="2"/>
  <c r="V315" i="2"/>
  <c r="U315" i="2"/>
  <c r="T315" i="2"/>
  <c r="S315" i="2"/>
  <c r="R315" i="2"/>
  <c r="Q315" i="2"/>
  <c r="P315" i="2"/>
  <c r="O315" i="2"/>
  <c r="N315" i="2"/>
  <c r="M315" i="2"/>
  <c r="L315" i="2"/>
  <c r="K315" i="2"/>
  <c r="J315" i="2"/>
  <c r="I315" i="2"/>
  <c r="H315" i="2"/>
  <c r="G315" i="2"/>
  <c r="F315" i="2"/>
  <c r="E315" i="2"/>
  <c r="D315" i="2"/>
  <c r="C315" i="2"/>
  <c r="B315" i="2"/>
  <c r="A315" i="2"/>
  <c r="AH314" i="2"/>
  <c r="AG314" i="2"/>
  <c r="AE314" i="2"/>
  <c r="AD314" i="2"/>
  <c r="AC314" i="2"/>
  <c r="AB314" i="2"/>
  <c r="AA314" i="2"/>
  <c r="X314" i="2"/>
  <c r="V314" i="2"/>
  <c r="U314" i="2"/>
  <c r="T314" i="2"/>
  <c r="S314" i="2"/>
  <c r="R314" i="2"/>
  <c r="Q314" i="2"/>
  <c r="P314" i="2"/>
  <c r="O314" i="2"/>
  <c r="N314" i="2"/>
  <c r="M314" i="2"/>
  <c r="L314" i="2"/>
  <c r="K314" i="2"/>
  <c r="J314" i="2"/>
  <c r="I314" i="2"/>
  <c r="H314" i="2"/>
  <c r="G314" i="2"/>
  <c r="F314" i="2"/>
  <c r="E314" i="2"/>
  <c r="D314" i="2"/>
  <c r="C314" i="2"/>
  <c r="B314" i="2"/>
  <c r="A314" i="2"/>
  <c r="AH313" i="2"/>
  <c r="AG313" i="2"/>
  <c r="AE313" i="2"/>
  <c r="AD313" i="2"/>
  <c r="AC313" i="2"/>
  <c r="AB313" i="2"/>
  <c r="AA313" i="2"/>
  <c r="X313" i="2"/>
  <c r="W313" i="2"/>
  <c r="V313" i="2"/>
  <c r="U313" i="2"/>
  <c r="T313" i="2"/>
  <c r="S313" i="2"/>
  <c r="R313" i="2"/>
  <c r="Q313" i="2"/>
  <c r="P313" i="2"/>
  <c r="O313" i="2"/>
  <c r="N313" i="2"/>
  <c r="M313" i="2"/>
  <c r="L313" i="2"/>
  <c r="K313" i="2"/>
  <c r="J313" i="2"/>
  <c r="I313" i="2"/>
  <c r="H313" i="2"/>
  <c r="G313" i="2"/>
  <c r="F313" i="2"/>
  <c r="E313" i="2"/>
  <c r="D313" i="2"/>
  <c r="C313" i="2"/>
  <c r="B313" i="2"/>
  <c r="A313" i="2"/>
  <c r="AH312" i="2"/>
  <c r="AG312" i="2"/>
  <c r="AE312" i="2"/>
  <c r="AD312" i="2"/>
  <c r="AC312" i="2"/>
  <c r="AB312" i="2"/>
  <c r="AA312" i="2"/>
  <c r="W312" i="2"/>
  <c r="V312" i="2"/>
  <c r="U312" i="2"/>
  <c r="T312" i="2"/>
  <c r="S312" i="2"/>
  <c r="R312" i="2"/>
  <c r="Q312" i="2"/>
  <c r="P312" i="2"/>
  <c r="O312" i="2"/>
  <c r="N312" i="2"/>
  <c r="M312" i="2"/>
  <c r="L312" i="2"/>
  <c r="K312" i="2"/>
  <c r="J312" i="2"/>
  <c r="I312" i="2"/>
  <c r="H312" i="2"/>
  <c r="G312" i="2"/>
  <c r="F312" i="2"/>
  <c r="E312" i="2"/>
  <c r="D312" i="2"/>
  <c r="C312" i="2"/>
  <c r="B312" i="2"/>
  <c r="A312" i="2"/>
  <c r="AH311" i="2"/>
  <c r="AG311" i="2"/>
  <c r="AF311" i="2"/>
  <c r="AE311" i="2"/>
  <c r="AD311" i="2"/>
  <c r="AC311" i="2"/>
  <c r="AB311" i="2"/>
  <c r="AA311" i="2"/>
  <c r="Z311" i="2"/>
  <c r="Y311" i="2"/>
  <c r="X311" i="2"/>
  <c r="W311" i="2"/>
  <c r="V311" i="2"/>
  <c r="U311" i="2"/>
  <c r="T311" i="2"/>
  <c r="S311" i="2"/>
  <c r="R311" i="2"/>
  <c r="Q311" i="2"/>
  <c r="P311" i="2"/>
  <c r="O311" i="2"/>
  <c r="N311" i="2"/>
  <c r="M311" i="2"/>
  <c r="L311" i="2"/>
  <c r="K311" i="2"/>
  <c r="J311" i="2"/>
  <c r="I311" i="2"/>
  <c r="H311" i="2"/>
  <c r="G311" i="2"/>
  <c r="F311" i="2"/>
  <c r="E311" i="2"/>
  <c r="D311" i="2"/>
  <c r="C311" i="2"/>
  <c r="B311" i="2"/>
  <c r="A311" i="2"/>
  <c r="AH310" i="2"/>
  <c r="AG310" i="2"/>
  <c r="AF310" i="2"/>
  <c r="AE310" i="2"/>
  <c r="AC310" i="2"/>
  <c r="AB310" i="2"/>
  <c r="AA310" i="2"/>
  <c r="X310" i="2"/>
  <c r="W310" i="2"/>
  <c r="V310" i="2"/>
  <c r="U310" i="2"/>
  <c r="T310" i="2"/>
  <c r="R310" i="2"/>
  <c r="Q310" i="2"/>
  <c r="P310" i="2"/>
  <c r="O310" i="2"/>
  <c r="N310" i="2"/>
  <c r="M310" i="2"/>
  <c r="L310" i="2"/>
  <c r="K310" i="2"/>
  <c r="J310" i="2"/>
  <c r="I310" i="2"/>
  <c r="H310" i="2"/>
  <c r="G310" i="2"/>
  <c r="F310" i="2"/>
  <c r="E310" i="2"/>
  <c r="D310" i="2"/>
  <c r="C310" i="2"/>
  <c r="B310" i="2"/>
  <c r="A310" i="2"/>
  <c r="AH309" i="2"/>
  <c r="AG309" i="2"/>
  <c r="AE309" i="2"/>
  <c r="AC309" i="2"/>
  <c r="AB309" i="2"/>
  <c r="AA309" i="2"/>
  <c r="V309" i="2"/>
  <c r="U309" i="2"/>
  <c r="T309" i="2"/>
  <c r="S309" i="2"/>
  <c r="R309" i="2"/>
  <c r="Q309" i="2"/>
  <c r="P309" i="2"/>
  <c r="O309" i="2"/>
  <c r="N309" i="2"/>
  <c r="M309" i="2"/>
  <c r="L309" i="2"/>
  <c r="K309" i="2"/>
  <c r="J309" i="2"/>
  <c r="I309" i="2"/>
  <c r="H309" i="2"/>
  <c r="G309" i="2"/>
  <c r="F309" i="2"/>
  <c r="E309" i="2"/>
  <c r="D309" i="2"/>
  <c r="C309" i="2"/>
  <c r="B309" i="2"/>
  <c r="A309" i="2"/>
  <c r="AH308" i="2"/>
  <c r="AG308" i="2"/>
  <c r="AF308" i="2"/>
  <c r="AE308" i="2"/>
  <c r="AC308" i="2"/>
  <c r="AB308" i="2"/>
  <c r="AA308" i="2"/>
  <c r="Y308" i="2"/>
  <c r="X308" i="2"/>
  <c r="W308" i="2"/>
  <c r="V308" i="2"/>
  <c r="U308" i="2"/>
  <c r="T308" i="2"/>
  <c r="S308" i="2"/>
  <c r="R308" i="2"/>
  <c r="Q308" i="2"/>
  <c r="P308" i="2"/>
  <c r="O308" i="2"/>
  <c r="N308" i="2"/>
  <c r="M308" i="2"/>
  <c r="L308" i="2"/>
  <c r="K308" i="2"/>
  <c r="J308" i="2"/>
  <c r="I308" i="2"/>
  <c r="H308" i="2"/>
  <c r="G308" i="2"/>
  <c r="F308" i="2"/>
  <c r="E308" i="2"/>
  <c r="D308" i="2"/>
  <c r="C308" i="2"/>
  <c r="B308" i="2"/>
  <c r="A308" i="2"/>
  <c r="AH307" i="2"/>
  <c r="AG307" i="2"/>
  <c r="AF307" i="2"/>
  <c r="AE307" i="2"/>
  <c r="AD307" i="2"/>
  <c r="AC307" i="2"/>
  <c r="AB307" i="2"/>
  <c r="AA307" i="2"/>
  <c r="Y307" i="2"/>
  <c r="X307" i="2"/>
  <c r="W307" i="2"/>
  <c r="V307" i="2"/>
  <c r="U307" i="2"/>
  <c r="T307" i="2"/>
  <c r="S307" i="2"/>
  <c r="R307" i="2"/>
  <c r="Q307" i="2"/>
  <c r="P307" i="2"/>
  <c r="O307" i="2"/>
  <c r="N307" i="2"/>
  <c r="M307" i="2"/>
  <c r="L307" i="2"/>
  <c r="K307" i="2"/>
  <c r="J307" i="2"/>
  <c r="I307" i="2"/>
  <c r="H307" i="2"/>
  <c r="G307" i="2"/>
  <c r="F307" i="2"/>
  <c r="E307" i="2"/>
  <c r="D307" i="2"/>
  <c r="C307" i="2"/>
  <c r="B307" i="2"/>
  <c r="A307" i="2"/>
  <c r="AH306" i="2"/>
  <c r="AG306" i="2"/>
  <c r="AE306" i="2"/>
  <c r="AD306" i="2"/>
  <c r="AC306" i="2"/>
  <c r="AB306" i="2"/>
  <c r="AA306" i="2"/>
  <c r="Y306" i="2"/>
  <c r="X306" i="2"/>
  <c r="W306" i="2"/>
  <c r="V306" i="2"/>
  <c r="U306" i="2"/>
  <c r="T306" i="2"/>
  <c r="S306" i="2"/>
  <c r="R306" i="2"/>
  <c r="Q306" i="2"/>
  <c r="P306" i="2"/>
  <c r="O306" i="2"/>
  <c r="N306" i="2"/>
  <c r="M306" i="2"/>
  <c r="L306" i="2"/>
  <c r="K306" i="2"/>
  <c r="J306" i="2"/>
  <c r="I306" i="2"/>
  <c r="H306" i="2"/>
  <c r="G306" i="2"/>
  <c r="F306" i="2"/>
  <c r="E306" i="2"/>
  <c r="D306" i="2"/>
  <c r="C306" i="2"/>
  <c r="B306" i="2"/>
  <c r="A306" i="2"/>
  <c r="AH305" i="2"/>
  <c r="AG305" i="2"/>
  <c r="AE305" i="2"/>
  <c r="AD305" i="2"/>
  <c r="AC305" i="2"/>
  <c r="AB305" i="2"/>
  <c r="AA305" i="2"/>
  <c r="Z305" i="2"/>
  <c r="Y305" i="2"/>
  <c r="X305" i="2"/>
  <c r="W305" i="2"/>
  <c r="V305" i="2"/>
  <c r="U305" i="2"/>
  <c r="T305" i="2"/>
  <c r="S305" i="2"/>
  <c r="R305" i="2"/>
  <c r="Q305" i="2"/>
  <c r="P305" i="2"/>
  <c r="O305" i="2"/>
  <c r="N305" i="2"/>
  <c r="M305" i="2"/>
  <c r="L305" i="2"/>
  <c r="K305" i="2"/>
  <c r="J305" i="2"/>
  <c r="I305" i="2"/>
  <c r="H305" i="2"/>
  <c r="G305" i="2"/>
  <c r="F305" i="2"/>
  <c r="E305" i="2"/>
  <c r="D305" i="2"/>
  <c r="C305" i="2"/>
  <c r="B305" i="2"/>
  <c r="A305" i="2"/>
  <c r="AH304" i="2"/>
  <c r="AG304" i="2"/>
  <c r="AF304" i="2"/>
  <c r="AE304" i="2"/>
  <c r="AD304" i="2"/>
  <c r="AC304" i="2"/>
  <c r="AB304" i="2"/>
  <c r="AA304" i="2"/>
  <c r="Y304" i="2"/>
  <c r="X304" i="2"/>
  <c r="W304" i="2"/>
  <c r="V304" i="2"/>
  <c r="U304" i="2"/>
  <c r="T304" i="2"/>
  <c r="S304" i="2"/>
  <c r="R304" i="2"/>
  <c r="Q304" i="2"/>
  <c r="P304" i="2"/>
  <c r="O304" i="2"/>
  <c r="N304" i="2"/>
  <c r="M304" i="2"/>
  <c r="L304" i="2"/>
  <c r="K304" i="2"/>
  <c r="J304" i="2"/>
  <c r="I304" i="2"/>
  <c r="H304" i="2"/>
  <c r="G304" i="2"/>
  <c r="F304" i="2"/>
  <c r="E304" i="2"/>
  <c r="D304" i="2"/>
  <c r="C304" i="2"/>
  <c r="B304" i="2"/>
  <c r="A304" i="2"/>
  <c r="AH303" i="2"/>
  <c r="AG303" i="2"/>
  <c r="AE303" i="2"/>
  <c r="AD303" i="2"/>
  <c r="AC303" i="2"/>
  <c r="AB303" i="2"/>
  <c r="AA303" i="2"/>
  <c r="Y303" i="2"/>
  <c r="X303" i="2"/>
  <c r="V303" i="2"/>
  <c r="U303" i="2"/>
  <c r="T303" i="2"/>
  <c r="S303" i="2"/>
  <c r="R303" i="2"/>
  <c r="Q303" i="2"/>
  <c r="P303" i="2"/>
  <c r="O303" i="2"/>
  <c r="N303" i="2"/>
  <c r="M303" i="2"/>
  <c r="L303" i="2"/>
  <c r="K303" i="2"/>
  <c r="J303" i="2"/>
  <c r="I303" i="2"/>
  <c r="H303" i="2"/>
  <c r="G303" i="2"/>
  <c r="F303" i="2"/>
  <c r="E303" i="2"/>
  <c r="D303" i="2"/>
  <c r="C303" i="2"/>
  <c r="B303" i="2"/>
  <c r="A303" i="2"/>
  <c r="AH302" i="2"/>
  <c r="AG302" i="2"/>
  <c r="AE302" i="2"/>
  <c r="AD302" i="2"/>
  <c r="AC302" i="2"/>
  <c r="AB302" i="2"/>
  <c r="AA302" i="2"/>
  <c r="X302" i="2"/>
  <c r="W302" i="2"/>
  <c r="V302" i="2"/>
  <c r="U302" i="2"/>
  <c r="T302" i="2"/>
  <c r="S302" i="2"/>
  <c r="R302" i="2"/>
  <c r="Q302" i="2"/>
  <c r="P302" i="2"/>
  <c r="O302" i="2"/>
  <c r="N302" i="2"/>
  <c r="M302" i="2"/>
  <c r="L302" i="2"/>
  <c r="K302" i="2"/>
  <c r="J302" i="2"/>
  <c r="I302" i="2"/>
  <c r="H302" i="2"/>
  <c r="G302" i="2"/>
  <c r="F302" i="2"/>
  <c r="E302" i="2"/>
  <c r="D302" i="2"/>
  <c r="C302" i="2"/>
  <c r="B302" i="2"/>
  <c r="A302" i="2"/>
  <c r="AH301" i="2"/>
  <c r="AG301" i="2"/>
  <c r="AF301" i="2"/>
  <c r="AE301" i="2"/>
  <c r="AD301" i="2"/>
  <c r="AC301" i="2"/>
  <c r="AB301" i="2"/>
  <c r="AA301" i="2"/>
  <c r="X301" i="2"/>
  <c r="V301" i="2"/>
  <c r="U301" i="2"/>
  <c r="T301" i="2"/>
  <c r="S301" i="2"/>
  <c r="R301" i="2"/>
  <c r="Q301" i="2"/>
  <c r="P301" i="2"/>
  <c r="O301" i="2"/>
  <c r="N301" i="2"/>
  <c r="M301" i="2"/>
  <c r="L301" i="2"/>
  <c r="K301" i="2"/>
  <c r="J301" i="2"/>
  <c r="I301" i="2"/>
  <c r="H301" i="2"/>
  <c r="G301" i="2"/>
  <c r="F301" i="2"/>
  <c r="E301" i="2"/>
  <c r="D301" i="2"/>
  <c r="C301" i="2"/>
  <c r="B301" i="2"/>
  <c r="A301" i="2"/>
  <c r="AH300" i="2"/>
  <c r="AG300" i="2"/>
  <c r="AF300" i="2"/>
  <c r="AE300" i="2"/>
  <c r="AD300" i="2"/>
  <c r="AC300" i="2"/>
  <c r="AB300" i="2"/>
  <c r="AA300" i="2"/>
  <c r="W300" i="2"/>
  <c r="V300" i="2"/>
  <c r="U300" i="2"/>
  <c r="T300" i="2"/>
  <c r="S300" i="2"/>
  <c r="R300" i="2"/>
  <c r="Q300" i="2"/>
  <c r="P300" i="2"/>
  <c r="O300" i="2"/>
  <c r="N300" i="2"/>
  <c r="M300" i="2"/>
  <c r="L300" i="2"/>
  <c r="K300" i="2"/>
  <c r="J300" i="2"/>
  <c r="I300" i="2"/>
  <c r="H300" i="2"/>
  <c r="G300" i="2"/>
  <c r="F300" i="2"/>
  <c r="E300" i="2"/>
  <c r="D300" i="2"/>
  <c r="C300" i="2"/>
  <c r="B300" i="2"/>
  <c r="A300" i="2"/>
  <c r="AH299" i="2"/>
  <c r="AG299" i="2"/>
  <c r="AF299" i="2"/>
  <c r="AE299" i="2"/>
  <c r="AD299" i="2"/>
  <c r="AC299" i="2"/>
  <c r="AB299" i="2"/>
  <c r="AA299" i="2"/>
  <c r="Z299" i="2"/>
  <c r="Y299" i="2"/>
  <c r="X299" i="2"/>
  <c r="W299" i="2"/>
  <c r="V299" i="2"/>
  <c r="U299" i="2"/>
  <c r="T299" i="2"/>
  <c r="S299" i="2"/>
  <c r="R299" i="2"/>
  <c r="Q299" i="2"/>
  <c r="P299" i="2"/>
  <c r="O299" i="2"/>
  <c r="N299" i="2"/>
  <c r="M299" i="2"/>
  <c r="L299" i="2"/>
  <c r="K299" i="2"/>
  <c r="J299" i="2"/>
  <c r="I299" i="2"/>
  <c r="H299" i="2"/>
  <c r="G299" i="2"/>
  <c r="F299" i="2"/>
  <c r="E299" i="2"/>
  <c r="D299" i="2"/>
  <c r="C299" i="2"/>
  <c r="B299" i="2"/>
  <c r="A299" i="2"/>
  <c r="AH298" i="2"/>
  <c r="AG298" i="2"/>
  <c r="AF298" i="2"/>
  <c r="AE298" i="2"/>
  <c r="AD298" i="2"/>
  <c r="AC298" i="2"/>
  <c r="AB298" i="2"/>
  <c r="AA298" i="2"/>
  <c r="Y298" i="2"/>
  <c r="X298" i="2"/>
  <c r="W298" i="2"/>
  <c r="V298" i="2"/>
  <c r="U298" i="2"/>
  <c r="T298" i="2"/>
  <c r="S298" i="2"/>
  <c r="R298" i="2"/>
  <c r="Q298" i="2"/>
  <c r="P298" i="2"/>
  <c r="O298" i="2"/>
  <c r="N298" i="2"/>
  <c r="M298" i="2"/>
  <c r="L298" i="2"/>
  <c r="K298" i="2"/>
  <c r="J298" i="2"/>
  <c r="I298" i="2"/>
  <c r="H298" i="2"/>
  <c r="G298" i="2"/>
  <c r="F298" i="2"/>
  <c r="E298" i="2"/>
  <c r="D298" i="2"/>
  <c r="C298" i="2"/>
  <c r="B298" i="2"/>
  <c r="A298" i="2"/>
  <c r="AH297" i="2"/>
  <c r="AG297" i="2"/>
  <c r="AF297" i="2"/>
  <c r="AE297" i="2"/>
  <c r="AD297" i="2"/>
  <c r="AC297" i="2"/>
  <c r="AB297" i="2"/>
  <c r="AA297" i="2"/>
  <c r="Z297" i="2"/>
  <c r="Y297" i="2"/>
  <c r="X297" i="2"/>
  <c r="W297" i="2"/>
  <c r="V297" i="2"/>
  <c r="U297" i="2"/>
  <c r="T297" i="2"/>
  <c r="S297" i="2"/>
  <c r="R297" i="2"/>
  <c r="Q297" i="2"/>
  <c r="P297" i="2"/>
  <c r="O297" i="2"/>
  <c r="N297" i="2"/>
  <c r="M297" i="2"/>
  <c r="L297" i="2"/>
  <c r="K297" i="2"/>
  <c r="J297" i="2"/>
  <c r="I297" i="2"/>
  <c r="H297" i="2"/>
  <c r="G297" i="2"/>
  <c r="F297" i="2"/>
  <c r="E297" i="2"/>
  <c r="D297" i="2"/>
  <c r="C297" i="2"/>
  <c r="B297" i="2"/>
  <c r="A297" i="2"/>
  <c r="AH296" i="2"/>
  <c r="AG296" i="2"/>
  <c r="AD296" i="2"/>
  <c r="AC296" i="2"/>
  <c r="AB296" i="2"/>
  <c r="AA296" i="2"/>
  <c r="V296" i="2"/>
  <c r="U296" i="2"/>
  <c r="T296" i="2"/>
  <c r="S296" i="2"/>
  <c r="R296" i="2"/>
  <c r="Q296" i="2"/>
  <c r="P296" i="2"/>
  <c r="O296" i="2"/>
  <c r="N296" i="2"/>
  <c r="M296" i="2"/>
  <c r="L296" i="2"/>
  <c r="K296" i="2"/>
  <c r="J296" i="2"/>
  <c r="I296" i="2"/>
  <c r="H296" i="2"/>
  <c r="G296" i="2"/>
  <c r="F296" i="2"/>
  <c r="E296" i="2"/>
  <c r="D296" i="2"/>
  <c r="C296" i="2"/>
  <c r="B296" i="2"/>
  <c r="A296" i="2"/>
  <c r="AH295" i="2"/>
  <c r="AG295" i="2"/>
  <c r="AE295" i="2"/>
  <c r="AD295" i="2"/>
  <c r="AC295" i="2"/>
  <c r="AB295" i="2"/>
  <c r="AA295" i="2"/>
  <c r="Z295" i="2"/>
  <c r="Y295" i="2"/>
  <c r="X295" i="2"/>
  <c r="W295" i="2"/>
  <c r="V295" i="2"/>
  <c r="U295" i="2"/>
  <c r="T295" i="2"/>
  <c r="S295" i="2"/>
  <c r="R295" i="2"/>
  <c r="Q295" i="2"/>
  <c r="P295" i="2"/>
  <c r="O295" i="2"/>
  <c r="N295" i="2"/>
  <c r="M295" i="2"/>
  <c r="L295" i="2"/>
  <c r="K295" i="2"/>
  <c r="J295" i="2"/>
  <c r="I295" i="2"/>
  <c r="H295" i="2"/>
  <c r="G295" i="2"/>
  <c r="F295" i="2"/>
  <c r="E295" i="2"/>
  <c r="D295" i="2"/>
  <c r="C295" i="2"/>
  <c r="B295" i="2"/>
  <c r="A295" i="2"/>
  <c r="AH294" i="2"/>
  <c r="AG294" i="2"/>
  <c r="AF294" i="2"/>
  <c r="AE294" i="2"/>
  <c r="AC294" i="2"/>
  <c r="AB294" i="2"/>
  <c r="AA294" i="2"/>
  <c r="Y294" i="2"/>
  <c r="V294" i="2"/>
  <c r="U294" i="2"/>
  <c r="T294" i="2"/>
  <c r="S294" i="2"/>
  <c r="R294" i="2"/>
  <c r="Q294" i="2"/>
  <c r="P294" i="2"/>
  <c r="O294" i="2"/>
  <c r="N294" i="2"/>
  <c r="M294" i="2"/>
  <c r="L294" i="2"/>
  <c r="K294" i="2"/>
  <c r="J294" i="2"/>
  <c r="I294" i="2"/>
  <c r="H294" i="2"/>
  <c r="G294" i="2"/>
  <c r="F294" i="2"/>
  <c r="E294" i="2"/>
  <c r="D294" i="2"/>
  <c r="C294" i="2"/>
  <c r="B294" i="2"/>
  <c r="A294" i="2"/>
  <c r="AH293" i="2"/>
  <c r="AG293" i="2"/>
  <c r="AF293" i="2"/>
  <c r="AE293" i="2"/>
  <c r="AD293" i="2"/>
  <c r="AC293" i="2"/>
  <c r="AB293" i="2"/>
  <c r="AA293" i="2"/>
  <c r="X293" i="2"/>
  <c r="W293" i="2"/>
  <c r="V293" i="2"/>
  <c r="U293" i="2"/>
  <c r="T293" i="2"/>
  <c r="S293" i="2"/>
  <c r="R293" i="2"/>
  <c r="Q293" i="2"/>
  <c r="P293" i="2"/>
  <c r="O293" i="2"/>
  <c r="N293" i="2"/>
  <c r="M293" i="2"/>
  <c r="L293" i="2"/>
  <c r="K293" i="2"/>
  <c r="J293" i="2"/>
  <c r="I293" i="2"/>
  <c r="H293" i="2"/>
  <c r="G293" i="2"/>
  <c r="F293" i="2"/>
  <c r="E293" i="2"/>
  <c r="D293" i="2"/>
  <c r="C293" i="2"/>
  <c r="B293" i="2"/>
  <c r="A293" i="2"/>
  <c r="AH292" i="2"/>
  <c r="AG292" i="2"/>
  <c r="AE292" i="2"/>
  <c r="AD292" i="2"/>
  <c r="AC292" i="2"/>
  <c r="AB292" i="2"/>
  <c r="AA292" i="2"/>
  <c r="Z292" i="2"/>
  <c r="Y292" i="2"/>
  <c r="X292" i="2"/>
  <c r="W292" i="2"/>
  <c r="V292" i="2"/>
  <c r="U292" i="2"/>
  <c r="T292" i="2"/>
  <c r="S292" i="2"/>
  <c r="R292" i="2"/>
  <c r="Q292" i="2"/>
  <c r="P292" i="2"/>
  <c r="O292" i="2"/>
  <c r="N292" i="2"/>
  <c r="M292" i="2"/>
  <c r="L292" i="2"/>
  <c r="K292" i="2"/>
  <c r="J292" i="2"/>
  <c r="I292" i="2"/>
  <c r="H292" i="2"/>
  <c r="G292" i="2"/>
  <c r="F292" i="2"/>
  <c r="E292" i="2"/>
  <c r="D292" i="2"/>
  <c r="C292" i="2"/>
  <c r="B292" i="2"/>
  <c r="A292" i="2"/>
  <c r="AH291" i="2"/>
  <c r="AG291" i="2"/>
  <c r="AE291" i="2"/>
  <c r="AD291" i="2"/>
  <c r="AC291" i="2"/>
  <c r="AB291" i="2"/>
  <c r="AA291" i="2"/>
  <c r="Y291" i="2"/>
  <c r="X291" i="2"/>
  <c r="W291" i="2"/>
  <c r="V291" i="2"/>
  <c r="U291" i="2"/>
  <c r="T291" i="2"/>
  <c r="S291" i="2"/>
  <c r="R291" i="2"/>
  <c r="Q291" i="2"/>
  <c r="P291" i="2"/>
  <c r="O291" i="2"/>
  <c r="N291" i="2"/>
  <c r="M291" i="2"/>
  <c r="L291" i="2"/>
  <c r="K291" i="2"/>
  <c r="J291" i="2"/>
  <c r="I291" i="2"/>
  <c r="H291" i="2"/>
  <c r="G291" i="2"/>
  <c r="F291" i="2"/>
  <c r="E291" i="2"/>
  <c r="D291" i="2"/>
  <c r="C291" i="2"/>
  <c r="B291" i="2"/>
  <c r="A291" i="2"/>
  <c r="AH290" i="2"/>
  <c r="AG290" i="2"/>
  <c r="AF290" i="2"/>
  <c r="AE290" i="2"/>
  <c r="AD290" i="2"/>
  <c r="AC290" i="2"/>
  <c r="AB290" i="2"/>
  <c r="AA290" i="2"/>
  <c r="Y290" i="2"/>
  <c r="X290" i="2"/>
  <c r="W290" i="2"/>
  <c r="V290" i="2"/>
  <c r="U290" i="2"/>
  <c r="T290" i="2"/>
  <c r="S290" i="2"/>
  <c r="R290" i="2"/>
  <c r="Q290" i="2"/>
  <c r="P290" i="2"/>
  <c r="O290" i="2"/>
  <c r="N290" i="2"/>
  <c r="M290" i="2"/>
  <c r="L290" i="2"/>
  <c r="K290" i="2"/>
  <c r="J290" i="2"/>
  <c r="I290" i="2"/>
  <c r="H290" i="2"/>
  <c r="G290" i="2"/>
  <c r="F290" i="2"/>
  <c r="E290" i="2"/>
  <c r="D290" i="2"/>
  <c r="C290" i="2"/>
  <c r="B290" i="2"/>
  <c r="A290" i="2"/>
  <c r="AH289" i="2"/>
  <c r="AG289" i="2"/>
  <c r="AF289" i="2"/>
  <c r="AE289" i="2"/>
  <c r="AD289" i="2"/>
  <c r="AC289" i="2"/>
  <c r="AB289" i="2"/>
  <c r="AA289" i="2"/>
  <c r="Y289" i="2"/>
  <c r="X289" i="2"/>
  <c r="W289" i="2"/>
  <c r="V289" i="2"/>
  <c r="U289" i="2"/>
  <c r="T289" i="2"/>
  <c r="S289" i="2"/>
  <c r="R289" i="2"/>
  <c r="Q289" i="2"/>
  <c r="P289" i="2"/>
  <c r="O289" i="2"/>
  <c r="N289" i="2"/>
  <c r="M289" i="2"/>
  <c r="L289" i="2"/>
  <c r="K289" i="2"/>
  <c r="J289" i="2"/>
  <c r="I289" i="2"/>
  <c r="H289" i="2"/>
  <c r="G289" i="2"/>
  <c r="F289" i="2"/>
  <c r="E289" i="2"/>
  <c r="D289" i="2"/>
  <c r="C289" i="2"/>
  <c r="B289" i="2"/>
  <c r="A289" i="2"/>
  <c r="AH288" i="2"/>
  <c r="AG288" i="2"/>
  <c r="AE288" i="2"/>
  <c r="AD288" i="2"/>
  <c r="AC288" i="2"/>
  <c r="AB288" i="2"/>
  <c r="AA288" i="2"/>
  <c r="Z288" i="2"/>
  <c r="Y288" i="2"/>
  <c r="X288" i="2"/>
  <c r="W288" i="2"/>
  <c r="V288" i="2"/>
  <c r="U288" i="2"/>
  <c r="T288" i="2"/>
  <c r="S288" i="2"/>
  <c r="R288" i="2"/>
  <c r="Q288" i="2"/>
  <c r="P288" i="2"/>
  <c r="O288" i="2"/>
  <c r="N288" i="2"/>
  <c r="M288" i="2"/>
  <c r="L288" i="2"/>
  <c r="K288" i="2"/>
  <c r="J288" i="2"/>
  <c r="I288" i="2"/>
  <c r="H288" i="2"/>
  <c r="G288" i="2"/>
  <c r="F288" i="2"/>
  <c r="E288" i="2"/>
  <c r="D288" i="2"/>
  <c r="C288" i="2"/>
  <c r="B288" i="2"/>
  <c r="A288" i="2"/>
  <c r="AH287" i="2"/>
  <c r="AG287" i="2"/>
  <c r="AF287" i="2"/>
  <c r="AE287" i="2"/>
  <c r="AD287" i="2"/>
  <c r="AC287" i="2"/>
  <c r="AB287" i="2"/>
  <c r="AA287" i="2"/>
  <c r="Y287" i="2"/>
  <c r="X287" i="2"/>
  <c r="W287" i="2"/>
  <c r="V287" i="2"/>
  <c r="U287" i="2"/>
  <c r="T287" i="2"/>
  <c r="S287" i="2"/>
  <c r="R287" i="2"/>
  <c r="Q287" i="2"/>
  <c r="P287" i="2"/>
  <c r="O287" i="2"/>
  <c r="N287" i="2"/>
  <c r="M287" i="2"/>
  <c r="L287" i="2"/>
  <c r="K287" i="2"/>
  <c r="J287" i="2"/>
  <c r="I287" i="2"/>
  <c r="H287" i="2"/>
  <c r="G287" i="2"/>
  <c r="F287" i="2"/>
  <c r="E287" i="2"/>
  <c r="D287" i="2"/>
  <c r="C287" i="2"/>
  <c r="B287" i="2"/>
  <c r="A287" i="2"/>
  <c r="AH286" i="2"/>
  <c r="AG286" i="2"/>
  <c r="AF286" i="2"/>
  <c r="AE286" i="2"/>
  <c r="AD286" i="2"/>
  <c r="AC286" i="2"/>
  <c r="AB286" i="2"/>
  <c r="AA286" i="2"/>
  <c r="Z286" i="2"/>
  <c r="Y286" i="2"/>
  <c r="X286" i="2"/>
  <c r="W286" i="2"/>
  <c r="V286" i="2"/>
  <c r="U286" i="2"/>
  <c r="T286" i="2"/>
  <c r="S286" i="2"/>
  <c r="R286" i="2"/>
  <c r="Q286" i="2"/>
  <c r="P286" i="2"/>
  <c r="O286" i="2"/>
  <c r="N286" i="2"/>
  <c r="M286" i="2"/>
  <c r="L286" i="2"/>
  <c r="K286" i="2"/>
  <c r="J286" i="2"/>
  <c r="I286" i="2"/>
  <c r="H286" i="2"/>
  <c r="G286" i="2"/>
  <c r="F286" i="2"/>
  <c r="E286" i="2"/>
  <c r="D286" i="2"/>
  <c r="C286" i="2"/>
  <c r="B286" i="2"/>
  <c r="A286" i="2"/>
  <c r="AH285" i="2"/>
  <c r="AG285" i="2"/>
  <c r="AF285" i="2"/>
  <c r="AE285" i="2"/>
  <c r="AD285" i="2"/>
  <c r="AC285" i="2"/>
  <c r="AB285" i="2"/>
  <c r="AA285" i="2"/>
  <c r="Y285" i="2"/>
  <c r="X285" i="2"/>
  <c r="W285" i="2"/>
  <c r="V285" i="2"/>
  <c r="U285" i="2"/>
  <c r="T285" i="2"/>
  <c r="S285" i="2"/>
  <c r="R285" i="2"/>
  <c r="Q285" i="2"/>
  <c r="P285" i="2"/>
  <c r="O285" i="2"/>
  <c r="N285" i="2"/>
  <c r="M285" i="2"/>
  <c r="L285" i="2"/>
  <c r="K285" i="2"/>
  <c r="J285" i="2"/>
  <c r="I285" i="2"/>
  <c r="H285" i="2"/>
  <c r="G285" i="2"/>
  <c r="F285" i="2"/>
  <c r="E285" i="2"/>
  <c r="D285" i="2"/>
  <c r="C285" i="2"/>
  <c r="B285" i="2"/>
  <c r="A285" i="2"/>
  <c r="AH284" i="2"/>
  <c r="AG284" i="2"/>
  <c r="AE284" i="2"/>
  <c r="AD284" i="2"/>
  <c r="AC284" i="2"/>
  <c r="AB284" i="2"/>
  <c r="AA284" i="2"/>
  <c r="Z284" i="2"/>
  <c r="Y284" i="2"/>
  <c r="W284" i="2"/>
  <c r="V284" i="2"/>
  <c r="U284" i="2"/>
  <c r="T284" i="2"/>
  <c r="S284" i="2"/>
  <c r="R284" i="2"/>
  <c r="Q284" i="2"/>
  <c r="P284" i="2"/>
  <c r="O284" i="2"/>
  <c r="N284" i="2"/>
  <c r="M284" i="2"/>
  <c r="L284" i="2"/>
  <c r="K284" i="2"/>
  <c r="J284" i="2"/>
  <c r="I284" i="2"/>
  <c r="H284" i="2"/>
  <c r="G284" i="2"/>
  <c r="F284" i="2"/>
  <c r="E284" i="2"/>
  <c r="D284" i="2"/>
  <c r="C284" i="2"/>
  <c r="B284" i="2"/>
  <c r="A284" i="2"/>
  <c r="AH283" i="2"/>
  <c r="AG283" i="2"/>
  <c r="AF283" i="2"/>
  <c r="AE283" i="2"/>
  <c r="AD283" i="2"/>
  <c r="AC283" i="2"/>
  <c r="AB283" i="2"/>
  <c r="AA283" i="2"/>
  <c r="Z283" i="2"/>
  <c r="Y283" i="2"/>
  <c r="X283" i="2"/>
  <c r="W283" i="2"/>
  <c r="V283" i="2"/>
  <c r="U283" i="2"/>
  <c r="T283" i="2"/>
  <c r="S283" i="2"/>
  <c r="R283" i="2"/>
  <c r="Q283" i="2"/>
  <c r="P283" i="2"/>
  <c r="O283" i="2"/>
  <c r="N283" i="2"/>
  <c r="M283" i="2"/>
  <c r="L283" i="2"/>
  <c r="K283" i="2"/>
  <c r="J283" i="2"/>
  <c r="I283" i="2"/>
  <c r="H283" i="2"/>
  <c r="G283" i="2"/>
  <c r="F283" i="2"/>
  <c r="E283" i="2"/>
  <c r="D283" i="2"/>
  <c r="C283" i="2"/>
  <c r="B283" i="2"/>
  <c r="A283" i="2"/>
  <c r="AH282" i="2"/>
  <c r="AG282" i="2"/>
  <c r="AF282" i="2"/>
  <c r="AE282" i="2"/>
  <c r="AD282" i="2"/>
  <c r="AC282" i="2"/>
  <c r="AB282" i="2"/>
  <c r="AA282" i="2"/>
  <c r="Y282" i="2"/>
  <c r="X282" i="2"/>
  <c r="W282" i="2"/>
  <c r="V282" i="2"/>
  <c r="U282" i="2"/>
  <c r="T282" i="2"/>
  <c r="S282" i="2"/>
  <c r="R282" i="2"/>
  <c r="Q282" i="2"/>
  <c r="P282" i="2"/>
  <c r="O282" i="2"/>
  <c r="N282" i="2"/>
  <c r="M282" i="2"/>
  <c r="L282" i="2"/>
  <c r="K282" i="2"/>
  <c r="J282" i="2"/>
  <c r="I282" i="2"/>
  <c r="H282" i="2"/>
  <c r="G282" i="2"/>
  <c r="F282" i="2"/>
  <c r="E282" i="2"/>
  <c r="D282" i="2"/>
  <c r="C282" i="2"/>
  <c r="B282" i="2"/>
  <c r="A282" i="2"/>
  <c r="AH281" i="2"/>
  <c r="AG281" i="2"/>
  <c r="AE281" i="2"/>
  <c r="AD281" i="2"/>
  <c r="AC281" i="2"/>
  <c r="AB281" i="2"/>
  <c r="AA281" i="2"/>
  <c r="Y281" i="2"/>
  <c r="X281" i="2"/>
  <c r="W281" i="2"/>
  <c r="V281" i="2"/>
  <c r="U281" i="2"/>
  <c r="T281" i="2"/>
  <c r="S281" i="2"/>
  <c r="R281" i="2"/>
  <c r="Q281" i="2"/>
  <c r="P281" i="2"/>
  <c r="O281" i="2"/>
  <c r="N281" i="2"/>
  <c r="M281" i="2"/>
  <c r="L281" i="2"/>
  <c r="K281" i="2"/>
  <c r="J281" i="2"/>
  <c r="I281" i="2"/>
  <c r="H281" i="2"/>
  <c r="G281" i="2"/>
  <c r="F281" i="2"/>
  <c r="E281" i="2"/>
  <c r="D281" i="2"/>
  <c r="C281" i="2"/>
  <c r="B281" i="2"/>
  <c r="A281" i="2"/>
  <c r="AH280" i="2"/>
  <c r="AG280" i="2"/>
  <c r="AF280" i="2"/>
  <c r="AE280" i="2"/>
  <c r="AC280" i="2"/>
  <c r="AB280" i="2"/>
  <c r="AA280" i="2"/>
  <c r="Y280" i="2"/>
  <c r="W280" i="2"/>
  <c r="V280" i="2"/>
  <c r="U280" i="2"/>
  <c r="T280" i="2"/>
  <c r="S280" i="2"/>
  <c r="R280" i="2"/>
  <c r="Q280" i="2"/>
  <c r="P280" i="2"/>
  <c r="O280" i="2"/>
  <c r="N280" i="2"/>
  <c r="M280" i="2"/>
  <c r="L280" i="2"/>
  <c r="K280" i="2"/>
  <c r="J280" i="2"/>
  <c r="I280" i="2"/>
  <c r="H280" i="2"/>
  <c r="G280" i="2"/>
  <c r="F280" i="2"/>
  <c r="E280" i="2"/>
  <c r="D280" i="2"/>
  <c r="C280" i="2"/>
  <c r="B280" i="2"/>
  <c r="A280" i="2"/>
  <c r="AH279" i="2"/>
  <c r="AG279" i="2"/>
  <c r="AF279" i="2"/>
  <c r="AE279" i="2"/>
  <c r="AD279" i="2"/>
  <c r="AC279" i="2"/>
  <c r="AB279" i="2"/>
  <c r="AA279" i="2"/>
  <c r="Y279" i="2"/>
  <c r="X279" i="2"/>
  <c r="W279" i="2"/>
  <c r="V279" i="2"/>
  <c r="U279" i="2"/>
  <c r="T279" i="2"/>
  <c r="S279" i="2"/>
  <c r="R279" i="2"/>
  <c r="Q279" i="2"/>
  <c r="P279" i="2"/>
  <c r="O279" i="2"/>
  <c r="N279" i="2"/>
  <c r="M279" i="2"/>
  <c r="L279" i="2"/>
  <c r="K279" i="2"/>
  <c r="J279" i="2"/>
  <c r="I279" i="2"/>
  <c r="H279" i="2"/>
  <c r="G279" i="2"/>
  <c r="F279" i="2"/>
  <c r="E279" i="2"/>
  <c r="D279" i="2"/>
  <c r="C279" i="2"/>
  <c r="B279" i="2"/>
  <c r="A279" i="2"/>
  <c r="AH278" i="2"/>
  <c r="AG278" i="2"/>
  <c r="AE278" i="2"/>
  <c r="AD278" i="2"/>
  <c r="AC278" i="2"/>
  <c r="AB278" i="2"/>
  <c r="AA278" i="2"/>
  <c r="Y278" i="2"/>
  <c r="X278" i="2"/>
  <c r="W278" i="2"/>
  <c r="V278" i="2"/>
  <c r="U278" i="2"/>
  <c r="T278" i="2"/>
  <c r="S278" i="2"/>
  <c r="R278" i="2"/>
  <c r="Q278" i="2"/>
  <c r="P278" i="2"/>
  <c r="O278" i="2"/>
  <c r="N278" i="2"/>
  <c r="M278" i="2"/>
  <c r="L278" i="2"/>
  <c r="K278" i="2"/>
  <c r="J278" i="2"/>
  <c r="I278" i="2"/>
  <c r="H278" i="2"/>
  <c r="G278" i="2"/>
  <c r="F278" i="2"/>
  <c r="E278" i="2"/>
  <c r="D278" i="2"/>
  <c r="C278" i="2"/>
  <c r="B278" i="2"/>
  <c r="A278" i="2"/>
  <c r="AH277" i="2"/>
  <c r="AG277" i="2"/>
  <c r="AE277" i="2"/>
  <c r="AD277" i="2"/>
  <c r="AC277" i="2"/>
  <c r="AB277" i="2"/>
  <c r="AA277" i="2"/>
  <c r="Y277" i="2"/>
  <c r="X277" i="2"/>
  <c r="V277" i="2"/>
  <c r="U277" i="2"/>
  <c r="T277" i="2"/>
  <c r="S277" i="2"/>
  <c r="R277" i="2"/>
  <c r="Q277" i="2"/>
  <c r="P277" i="2"/>
  <c r="O277" i="2"/>
  <c r="N277" i="2"/>
  <c r="M277" i="2"/>
  <c r="L277" i="2"/>
  <c r="K277" i="2"/>
  <c r="J277" i="2"/>
  <c r="I277" i="2"/>
  <c r="H277" i="2"/>
  <c r="G277" i="2"/>
  <c r="F277" i="2"/>
  <c r="E277" i="2"/>
  <c r="D277" i="2"/>
  <c r="C277" i="2"/>
  <c r="B277" i="2"/>
  <c r="A277" i="2"/>
  <c r="AH276" i="2"/>
  <c r="AG276" i="2"/>
  <c r="AE276" i="2"/>
  <c r="AD276" i="2"/>
  <c r="AC276" i="2"/>
  <c r="AB276" i="2"/>
  <c r="AA276" i="2"/>
  <c r="Y276" i="2"/>
  <c r="X276" i="2"/>
  <c r="W276" i="2"/>
  <c r="V276" i="2"/>
  <c r="U276" i="2"/>
  <c r="T276" i="2"/>
  <c r="S276" i="2"/>
  <c r="R276" i="2"/>
  <c r="Q276" i="2"/>
  <c r="P276" i="2"/>
  <c r="O276" i="2"/>
  <c r="N276" i="2"/>
  <c r="M276" i="2"/>
  <c r="L276" i="2"/>
  <c r="K276" i="2"/>
  <c r="J276" i="2"/>
  <c r="I276" i="2"/>
  <c r="H276" i="2"/>
  <c r="G276" i="2"/>
  <c r="F276" i="2"/>
  <c r="E276" i="2"/>
  <c r="D276" i="2"/>
  <c r="C276" i="2"/>
  <c r="B276" i="2"/>
  <c r="A276" i="2"/>
  <c r="AH275" i="2"/>
  <c r="AG275" i="2"/>
  <c r="AF275" i="2"/>
  <c r="AE275" i="2"/>
  <c r="AD275" i="2"/>
  <c r="AC275" i="2"/>
  <c r="AB275" i="2"/>
  <c r="AA275" i="2"/>
  <c r="Y275" i="2"/>
  <c r="X275" i="2"/>
  <c r="W275" i="2"/>
  <c r="V275" i="2"/>
  <c r="U275" i="2"/>
  <c r="T275" i="2"/>
  <c r="S275" i="2"/>
  <c r="R275" i="2"/>
  <c r="Q275" i="2"/>
  <c r="P275" i="2"/>
  <c r="O275" i="2"/>
  <c r="N275" i="2"/>
  <c r="M275" i="2"/>
  <c r="L275" i="2"/>
  <c r="K275" i="2"/>
  <c r="J275" i="2"/>
  <c r="I275" i="2"/>
  <c r="H275" i="2"/>
  <c r="G275" i="2"/>
  <c r="F275" i="2"/>
  <c r="E275" i="2"/>
  <c r="D275" i="2"/>
  <c r="C275" i="2"/>
  <c r="B275" i="2"/>
  <c r="A275" i="2"/>
  <c r="AH274" i="2"/>
  <c r="AG274" i="2"/>
  <c r="AE274" i="2"/>
  <c r="AD274" i="2"/>
  <c r="AC274" i="2"/>
  <c r="AB274" i="2"/>
  <c r="AA274" i="2"/>
  <c r="Y274" i="2"/>
  <c r="X274" i="2"/>
  <c r="W274" i="2"/>
  <c r="V274" i="2"/>
  <c r="U274" i="2"/>
  <c r="T274" i="2"/>
  <c r="S274" i="2"/>
  <c r="R274" i="2"/>
  <c r="Q274" i="2"/>
  <c r="P274" i="2"/>
  <c r="O274" i="2"/>
  <c r="N274" i="2"/>
  <c r="M274" i="2"/>
  <c r="L274" i="2"/>
  <c r="K274" i="2"/>
  <c r="J274" i="2"/>
  <c r="I274" i="2"/>
  <c r="H274" i="2"/>
  <c r="G274" i="2"/>
  <c r="F274" i="2"/>
  <c r="E274" i="2"/>
  <c r="D274" i="2"/>
  <c r="C274" i="2"/>
  <c r="B274" i="2"/>
  <c r="A274" i="2"/>
  <c r="AH273" i="2"/>
  <c r="AG273" i="2"/>
  <c r="AE273" i="2"/>
  <c r="AD273" i="2"/>
  <c r="AC273" i="2"/>
  <c r="AB273" i="2"/>
  <c r="AA273" i="2"/>
  <c r="Z273" i="2"/>
  <c r="Y273" i="2"/>
  <c r="X273" i="2"/>
  <c r="W273" i="2"/>
  <c r="V273" i="2"/>
  <c r="U273" i="2"/>
  <c r="T273" i="2"/>
  <c r="S273" i="2"/>
  <c r="R273" i="2"/>
  <c r="Q273" i="2"/>
  <c r="P273" i="2"/>
  <c r="O273" i="2"/>
  <c r="N273" i="2"/>
  <c r="M273" i="2"/>
  <c r="L273" i="2"/>
  <c r="K273" i="2"/>
  <c r="J273" i="2"/>
  <c r="I273" i="2"/>
  <c r="H273" i="2"/>
  <c r="G273" i="2"/>
  <c r="F273" i="2"/>
  <c r="E273" i="2"/>
  <c r="D273" i="2"/>
  <c r="C273" i="2"/>
  <c r="B273" i="2"/>
  <c r="A273" i="2"/>
  <c r="AH272" i="2"/>
  <c r="AG272" i="2"/>
  <c r="AE272" i="2"/>
  <c r="AD272" i="2"/>
  <c r="AC272" i="2"/>
  <c r="AB272" i="2"/>
  <c r="AA272" i="2"/>
  <c r="Z272" i="2"/>
  <c r="Y272" i="2"/>
  <c r="V272" i="2"/>
  <c r="U272" i="2"/>
  <c r="T272" i="2"/>
  <c r="S272" i="2"/>
  <c r="R272" i="2"/>
  <c r="Q272" i="2"/>
  <c r="P272" i="2"/>
  <c r="O272" i="2"/>
  <c r="N272" i="2"/>
  <c r="M272" i="2"/>
  <c r="L272" i="2"/>
  <c r="K272" i="2"/>
  <c r="J272" i="2"/>
  <c r="I272" i="2"/>
  <c r="H272" i="2"/>
  <c r="G272" i="2"/>
  <c r="F272" i="2"/>
  <c r="E272" i="2"/>
  <c r="D272" i="2"/>
  <c r="C272" i="2"/>
  <c r="B272" i="2"/>
  <c r="A272" i="2"/>
  <c r="AH271" i="2"/>
  <c r="AG271" i="2"/>
  <c r="AE271" i="2"/>
  <c r="AC271" i="2"/>
  <c r="AB271" i="2"/>
  <c r="AA271" i="2"/>
  <c r="Y271" i="2"/>
  <c r="X271" i="2"/>
  <c r="V271" i="2"/>
  <c r="U271" i="2"/>
  <c r="T271" i="2"/>
  <c r="S271" i="2"/>
  <c r="R271" i="2"/>
  <c r="Q271" i="2"/>
  <c r="P271" i="2"/>
  <c r="O271" i="2"/>
  <c r="N271" i="2"/>
  <c r="M271" i="2"/>
  <c r="L271" i="2"/>
  <c r="K271" i="2"/>
  <c r="J271" i="2"/>
  <c r="I271" i="2"/>
  <c r="H271" i="2"/>
  <c r="G271" i="2"/>
  <c r="F271" i="2"/>
  <c r="E271" i="2"/>
  <c r="D271" i="2"/>
  <c r="C271" i="2"/>
  <c r="B271" i="2"/>
  <c r="A271" i="2"/>
  <c r="AH270" i="2"/>
  <c r="AG270" i="2"/>
  <c r="AE270" i="2"/>
  <c r="AD270" i="2"/>
  <c r="AC270" i="2"/>
  <c r="AB270" i="2"/>
  <c r="AA270" i="2"/>
  <c r="Z270" i="2"/>
  <c r="Y270" i="2"/>
  <c r="X270" i="2"/>
  <c r="W270" i="2"/>
  <c r="V270" i="2"/>
  <c r="U270" i="2"/>
  <c r="T270" i="2"/>
  <c r="S270" i="2"/>
  <c r="R270" i="2"/>
  <c r="Q270" i="2"/>
  <c r="P270" i="2"/>
  <c r="O270" i="2"/>
  <c r="N270" i="2"/>
  <c r="M270" i="2"/>
  <c r="L270" i="2"/>
  <c r="K270" i="2"/>
  <c r="J270" i="2"/>
  <c r="I270" i="2"/>
  <c r="H270" i="2"/>
  <c r="G270" i="2"/>
  <c r="F270" i="2"/>
  <c r="E270" i="2"/>
  <c r="D270" i="2"/>
  <c r="C270" i="2"/>
  <c r="B270" i="2"/>
  <c r="A270" i="2"/>
  <c r="AH269" i="2"/>
  <c r="AG269" i="2"/>
  <c r="AE269" i="2"/>
  <c r="AD269" i="2"/>
  <c r="AC269" i="2"/>
  <c r="AB269" i="2"/>
  <c r="AA269" i="2"/>
  <c r="Z269" i="2"/>
  <c r="Y269" i="2"/>
  <c r="X269" i="2"/>
  <c r="W269" i="2"/>
  <c r="V269" i="2"/>
  <c r="U269" i="2"/>
  <c r="T269" i="2"/>
  <c r="S269" i="2"/>
  <c r="R269" i="2"/>
  <c r="Q269" i="2"/>
  <c r="P269" i="2"/>
  <c r="O269" i="2"/>
  <c r="N269" i="2"/>
  <c r="M269" i="2"/>
  <c r="L269" i="2"/>
  <c r="K269" i="2"/>
  <c r="J269" i="2"/>
  <c r="I269" i="2"/>
  <c r="H269" i="2"/>
  <c r="G269" i="2"/>
  <c r="F269" i="2"/>
  <c r="E269" i="2"/>
  <c r="D269" i="2"/>
  <c r="C269" i="2"/>
  <c r="B269" i="2"/>
  <c r="A269" i="2"/>
  <c r="AH268" i="2"/>
  <c r="AG268" i="2"/>
  <c r="AE268" i="2"/>
  <c r="AD268" i="2"/>
  <c r="AC268" i="2"/>
  <c r="AB268" i="2"/>
  <c r="AA268" i="2"/>
  <c r="Y268" i="2"/>
  <c r="X268" i="2"/>
  <c r="W268" i="2"/>
  <c r="V268" i="2"/>
  <c r="U268" i="2"/>
  <c r="T268" i="2"/>
  <c r="S268" i="2"/>
  <c r="R268" i="2"/>
  <c r="Q268" i="2"/>
  <c r="P268" i="2"/>
  <c r="O268" i="2"/>
  <c r="N268" i="2"/>
  <c r="M268" i="2"/>
  <c r="L268" i="2"/>
  <c r="K268" i="2"/>
  <c r="J268" i="2"/>
  <c r="I268" i="2"/>
  <c r="H268" i="2"/>
  <c r="G268" i="2"/>
  <c r="F268" i="2"/>
  <c r="E268" i="2"/>
  <c r="D268" i="2"/>
  <c r="C268" i="2"/>
  <c r="B268" i="2"/>
  <c r="A268" i="2"/>
  <c r="AH267" i="2"/>
  <c r="AG267" i="2"/>
  <c r="AF267" i="2"/>
  <c r="AE267" i="2"/>
  <c r="AD267" i="2"/>
  <c r="AC267" i="2"/>
  <c r="AB267" i="2"/>
  <c r="AA267" i="2"/>
  <c r="Z267" i="2"/>
  <c r="Y267" i="2"/>
  <c r="X267" i="2"/>
  <c r="W267" i="2"/>
  <c r="V267" i="2"/>
  <c r="U267" i="2"/>
  <c r="T267" i="2"/>
  <c r="S267" i="2"/>
  <c r="R267" i="2"/>
  <c r="Q267" i="2"/>
  <c r="P267" i="2"/>
  <c r="O267" i="2"/>
  <c r="N267" i="2"/>
  <c r="M267" i="2"/>
  <c r="L267" i="2"/>
  <c r="K267" i="2"/>
  <c r="J267" i="2"/>
  <c r="I267" i="2"/>
  <c r="H267" i="2"/>
  <c r="G267" i="2"/>
  <c r="F267" i="2"/>
  <c r="E267" i="2"/>
  <c r="D267" i="2"/>
  <c r="C267" i="2"/>
  <c r="B267" i="2"/>
  <c r="A267" i="2"/>
  <c r="AH266" i="2"/>
  <c r="AG266" i="2"/>
  <c r="AE266" i="2"/>
  <c r="AD266" i="2"/>
  <c r="AC266" i="2"/>
  <c r="AB266" i="2"/>
  <c r="AA266" i="2"/>
  <c r="Y266" i="2"/>
  <c r="X266" i="2"/>
  <c r="W266" i="2"/>
  <c r="V266" i="2"/>
  <c r="U266" i="2"/>
  <c r="T266" i="2"/>
  <c r="S266" i="2"/>
  <c r="R266" i="2"/>
  <c r="Q266" i="2"/>
  <c r="P266" i="2"/>
  <c r="O266" i="2"/>
  <c r="N266" i="2"/>
  <c r="M266" i="2"/>
  <c r="L266" i="2"/>
  <c r="K266" i="2"/>
  <c r="J266" i="2"/>
  <c r="I266" i="2"/>
  <c r="H266" i="2"/>
  <c r="G266" i="2"/>
  <c r="F266" i="2"/>
  <c r="E266" i="2"/>
  <c r="D266" i="2"/>
  <c r="C266" i="2"/>
  <c r="B266" i="2"/>
  <c r="A266" i="2"/>
  <c r="AH265" i="2"/>
  <c r="AG265" i="2"/>
  <c r="AE265" i="2"/>
  <c r="AD265" i="2"/>
  <c r="AC265" i="2"/>
  <c r="AB265" i="2"/>
  <c r="AA265" i="2"/>
  <c r="V265" i="2"/>
  <c r="U265" i="2"/>
  <c r="T265" i="2"/>
  <c r="S265" i="2"/>
  <c r="R265" i="2"/>
  <c r="Q265" i="2"/>
  <c r="P265" i="2"/>
  <c r="O265" i="2"/>
  <c r="N265" i="2"/>
  <c r="M265" i="2"/>
  <c r="L265" i="2"/>
  <c r="K265" i="2"/>
  <c r="J265" i="2"/>
  <c r="I265" i="2"/>
  <c r="H265" i="2"/>
  <c r="G265" i="2"/>
  <c r="F265" i="2"/>
  <c r="E265" i="2"/>
  <c r="D265" i="2"/>
  <c r="C265" i="2"/>
  <c r="B265" i="2"/>
  <c r="A265" i="2"/>
  <c r="AH264" i="2"/>
  <c r="AG264" i="2"/>
  <c r="AE264" i="2"/>
  <c r="AD264" i="2"/>
  <c r="AC264" i="2"/>
  <c r="AB264" i="2"/>
  <c r="AA264" i="2"/>
  <c r="X264" i="2"/>
  <c r="W264" i="2"/>
  <c r="V264" i="2"/>
  <c r="U264" i="2"/>
  <c r="T264" i="2"/>
  <c r="S264" i="2"/>
  <c r="R264" i="2"/>
  <c r="Q264" i="2"/>
  <c r="P264" i="2"/>
  <c r="O264" i="2"/>
  <c r="N264" i="2"/>
  <c r="M264" i="2"/>
  <c r="L264" i="2"/>
  <c r="K264" i="2"/>
  <c r="J264" i="2"/>
  <c r="I264" i="2"/>
  <c r="H264" i="2"/>
  <c r="G264" i="2"/>
  <c r="F264" i="2"/>
  <c r="E264" i="2"/>
  <c r="D264" i="2"/>
  <c r="C264" i="2"/>
  <c r="B264" i="2"/>
  <c r="A264" i="2"/>
  <c r="AH263" i="2"/>
  <c r="AG263" i="2"/>
  <c r="AE263" i="2"/>
  <c r="AD263" i="2"/>
  <c r="AC263" i="2"/>
  <c r="AB263" i="2"/>
  <c r="AA263" i="2"/>
  <c r="W263" i="2"/>
  <c r="V263" i="2"/>
  <c r="U263" i="2"/>
  <c r="T263" i="2"/>
  <c r="S263" i="2"/>
  <c r="R263" i="2"/>
  <c r="Q263" i="2"/>
  <c r="P263" i="2"/>
  <c r="O263" i="2"/>
  <c r="N263" i="2"/>
  <c r="M263" i="2"/>
  <c r="L263" i="2"/>
  <c r="K263" i="2"/>
  <c r="J263" i="2"/>
  <c r="I263" i="2"/>
  <c r="H263" i="2"/>
  <c r="G263" i="2"/>
  <c r="F263" i="2"/>
  <c r="E263" i="2"/>
  <c r="D263" i="2"/>
  <c r="C263" i="2"/>
  <c r="B263" i="2"/>
  <c r="A263" i="2"/>
  <c r="AH262" i="2"/>
  <c r="AG262" i="2"/>
  <c r="AF262" i="2"/>
  <c r="AE262" i="2"/>
  <c r="AD262" i="2"/>
  <c r="AC262" i="2"/>
  <c r="AB262" i="2"/>
  <c r="AA262" i="2"/>
  <c r="Y262" i="2"/>
  <c r="X262" i="2"/>
  <c r="W262" i="2"/>
  <c r="V262" i="2"/>
  <c r="U262" i="2"/>
  <c r="T262" i="2"/>
  <c r="S262" i="2"/>
  <c r="R262" i="2"/>
  <c r="Q262" i="2"/>
  <c r="P262" i="2"/>
  <c r="O262" i="2"/>
  <c r="N262" i="2"/>
  <c r="M262" i="2"/>
  <c r="L262" i="2"/>
  <c r="K262" i="2"/>
  <c r="J262" i="2"/>
  <c r="I262" i="2"/>
  <c r="H262" i="2"/>
  <c r="G262" i="2"/>
  <c r="F262" i="2"/>
  <c r="E262" i="2"/>
  <c r="D262" i="2"/>
  <c r="C262" i="2"/>
  <c r="B262" i="2"/>
  <c r="A262" i="2"/>
  <c r="AH261" i="2"/>
  <c r="AG261" i="2"/>
  <c r="AE261" i="2"/>
  <c r="AD261" i="2"/>
  <c r="AC261" i="2"/>
  <c r="AB261" i="2"/>
  <c r="AA261" i="2"/>
  <c r="X261" i="2"/>
  <c r="V261" i="2"/>
  <c r="U261" i="2"/>
  <c r="T261" i="2"/>
  <c r="S261" i="2"/>
  <c r="R261" i="2"/>
  <c r="Q261" i="2"/>
  <c r="P261" i="2"/>
  <c r="O261" i="2"/>
  <c r="N261" i="2"/>
  <c r="M261" i="2"/>
  <c r="L261" i="2"/>
  <c r="K261" i="2"/>
  <c r="J261" i="2"/>
  <c r="I261" i="2"/>
  <c r="H261" i="2"/>
  <c r="G261" i="2"/>
  <c r="F261" i="2"/>
  <c r="E261" i="2"/>
  <c r="D261" i="2"/>
  <c r="C261" i="2"/>
  <c r="B261" i="2"/>
  <c r="A261" i="2"/>
  <c r="AH260" i="2"/>
  <c r="AG260" i="2"/>
  <c r="AE260" i="2"/>
  <c r="AD260" i="2"/>
  <c r="AC260" i="2"/>
  <c r="AB260" i="2"/>
  <c r="AA260" i="2"/>
  <c r="Y260" i="2"/>
  <c r="X260" i="2"/>
  <c r="W260" i="2"/>
  <c r="V260" i="2"/>
  <c r="U260" i="2"/>
  <c r="T260" i="2"/>
  <c r="S260" i="2"/>
  <c r="R260" i="2"/>
  <c r="Q260" i="2"/>
  <c r="P260" i="2"/>
  <c r="O260" i="2"/>
  <c r="N260" i="2"/>
  <c r="M260" i="2"/>
  <c r="L260" i="2"/>
  <c r="K260" i="2"/>
  <c r="J260" i="2"/>
  <c r="I260" i="2"/>
  <c r="H260" i="2"/>
  <c r="G260" i="2"/>
  <c r="F260" i="2"/>
  <c r="E260" i="2"/>
  <c r="D260" i="2"/>
  <c r="C260" i="2"/>
  <c r="B260" i="2"/>
  <c r="A260" i="2"/>
  <c r="AH259" i="2"/>
  <c r="AG259" i="2"/>
  <c r="AF259" i="2"/>
  <c r="AE259" i="2"/>
  <c r="AD259" i="2"/>
  <c r="AC259" i="2"/>
  <c r="AB259" i="2"/>
  <c r="AA259" i="2"/>
  <c r="Y259" i="2"/>
  <c r="X259" i="2"/>
  <c r="W259" i="2"/>
  <c r="V259" i="2"/>
  <c r="U259" i="2"/>
  <c r="T259" i="2"/>
  <c r="S259" i="2"/>
  <c r="R259" i="2"/>
  <c r="Q259" i="2"/>
  <c r="P259" i="2"/>
  <c r="O259" i="2"/>
  <c r="N259" i="2"/>
  <c r="M259" i="2"/>
  <c r="L259" i="2"/>
  <c r="K259" i="2"/>
  <c r="J259" i="2"/>
  <c r="I259" i="2"/>
  <c r="H259" i="2"/>
  <c r="G259" i="2"/>
  <c r="F259" i="2"/>
  <c r="E259" i="2"/>
  <c r="D259" i="2"/>
  <c r="C259" i="2"/>
  <c r="B259" i="2"/>
  <c r="A259" i="2"/>
  <c r="AH258" i="2"/>
  <c r="AG258" i="2"/>
  <c r="AE258" i="2"/>
  <c r="AD258" i="2"/>
  <c r="AC258" i="2"/>
  <c r="AB258" i="2"/>
  <c r="AA258" i="2"/>
  <c r="Y258" i="2"/>
  <c r="X258" i="2"/>
  <c r="W258" i="2"/>
  <c r="V258" i="2"/>
  <c r="U258" i="2"/>
  <c r="T258" i="2"/>
  <c r="S258" i="2"/>
  <c r="R258" i="2"/>
  <c r="Q258" i="2"/>
  <c r="P258" i="2"/>
  <c r="O258" i="2"/>
  <c r="N258" i="2"/>
  <c r="M258" i="2"/>
  <c r="L258" i="2"/>
  <c r="K258" i="2"/>
  <c r="J258" i="2"/>
  <c r="I258" i="2"/>
  <c r="H258" i="2"/>
  <c r="G258" i="2"/>
  <c r="F258" i="2"/>
  <c r="E258" i="2"/>
  <c r="D258" i="2"/>
  <c r="C258" i="2"/>
  <c r="B258" i="2"/>
  <c r="A258" i="2"/>
  <c r="AH257" i="2"/>
  <c r="AG257" i="2"/>
  <c r="AF257" i="2"/>
  <c r="AE257" i="2"/>
  <c r="AD257" i="2"/>
  <c r="AC257" i="2"/>
  <c r="AB257" i="2"/>
  <c r="AA257" i="2"/>
  <c r="Y257" i="2"/>
  <c r="X257" i="2"/>
  <c r="W257" i="2"/>
  <c r="V257" i="2"/>
  <c r="U257" i="2"/>
  <c r="T257" i="2"/>
  <c r="S257" i="2"/>
  <c r="R257" i="2"/>
  <c r="Q257" i="2"/>
  <c r="P257" i="2"/>
  <c r="O257" i="2"/>
  <c r="N257" i="2"/>
  <c r="M257" i="2"/>
  <c r="L257" i="2"/>
  <c r="K257" i="2"/>
  <c r="J257" i="2"/>
  <c r="I257" i="2"/>
  <c r="H257" i="2"/>
  <c r="G257" i="2"/>
  <c r="F257" i="2"/>
  <c r="E257" i="2"/>
  <c r="D257" i="2"/>
  <c r="C257" i="2"/>
  <c r="B257" i="2"/>
  <c r="A257" i="2"/>
  <c r="AH256" i="2"/>
  <c r="AG256" i="2"/>
  <c r="AF256" i="2"/>
  <c r="AE256" i="2"/>
  <c r="AD256" i="2"/>
  <c r="AC256" i="2"/>
  <c r="AB256" i="2"/>
  <c r="AA256" i="2"/>
  <c r="Y256" i="2"/>
  <c r="X256" i="2"/>
  <c r="W256" i="2"/>
  <c r="V256" i="2"/>
  <c r="U256" i="2"/>
  <c r="T256" i="2"/>
  <c r="S256" i="2"/>
  <c r="R256" i="2"/>
  <c r="Q256" i="2"/>
  <c r="P256" i="2"/>
  <c r="O256" i="2"/>
  <c r="N256" i="2"/>
  <c r="M256" i="2"/>
  <c r="L256" i="2"/>
  <c r="K256" i="2"/>
  <c r="J256" i="2"/>
  <c r="I256" i="2"/>
  <c r="H256" i="2"/>
  <c r="G256" i="2"/>
  <c r="F256" i="2"/>
  <c r="E256" i="2"/>
  <c r="D256" i="2"/>
  <c r="C256" i="2"/>
  <c r="B256" i="2"/>
  <c r="A256" i="2"/>
  <c r="AH255" i="2"/>
  <c r="AG255" i="2"/>
  <c r="AE255" i="2"/>
  <c r="AD255" i="2"/>
  <c r="AC255" i="2"/>
  <c r="AB255" i="2"/>
  <c r="AA255" i="2"/>
  <c r="V255" i="2"/>
  <c r="U255" i="2"/>
  <c r="T255" i="2"/>
  <c r="S255" i="2"/>
  <c r="R255" i="2"/>
  <c r="Q255" i="2"/>
  <c r="P255" i="2"/>
  <c r="O255" i="2"/>
  <c r="N255" i="2"/>
  <c r="M255" i="2"/>
  <c r="L255" i="2"/>
  <c r="K255" i="2"/>
  <c r="J255" i="2"/>
  <c r="I255" i="2"/>
  <c r="H255" i="2"/>
  <c r="G255" i="2"/>
  <c r="F255" i="2"/>
  <c r="E255" i="2"/>
  <c r="D255" i="2"/>
  <c r="C255" i="2"/>
  <c r="B255" i="2"/>
  <c r="A255" i="2"/>
  <c r="AH254" i="2"/>
  <c r="AG254" i="2"/>
  <c r="AE254" i="2"/>
  <c r="AD254" i="2"/>
  <c r="AC254" i="2"/>
  <c r="AB254" i="2"/>
  <c r="AA254" i="2"/>
  <c r="X254" i="2"/>
  <c r="W254" i="2"/>
  <c r="V254" i="2"/>
  <c r="U254" i="2"/>
  <c r="T254" i="2"/>
  <c r="S254" i="2"/>
  <c r="R254" i="2"/>
  <c r="Q254" i="2"/>
  <c r="P254" i="2"/>
  <c r="O254" i="2"/>
  <c r="N254" i="2"/>
  <c r="M254" i="2"/>
  <c r="L254" i="2"/>
  <c r="K254" i="2"/>
  <c r="J254" i="2"/>
  <c r="I254" i="2"/>
  <c r="H254" i="2"/>
  <c r="G254" i="2"/>
  <c r="F254" i="2"/>
  <c r="E254" i="2"/>
  <c r="D254" i="2"/>
  <c r="C254" i="2"/>
  <c r="B254" i="2"/>
  <c r="A254" i="2"/>
  <c r="AH253" i="2"/>
  <c r="AG253" i="2"/>
  <c r="AE253" i="2"/>
  <c r="AD253" i="2"/>
  <c r="AC253" i="2"/>
  <c r="AB253" i="2"/>
  <c r="AA253" i="2"/>
  <c r="V253" i="2"/>
  <c r="U253" i="2"/>
  <c r="T253" i="2"/>
  <c r="S253" i="2"/>
  <c r="R253" i="2"/>
  <c r="Q253" i="2"/>
  <c r="P253" i="2"/>
  <c r="O253" i="2"/>
  <c r="N253" i="2"/>
  <c r="M253" i="2"/>
  <c r="L253" i="2"/>
  <c r="K253" i="2"/>
  <c r="J253" i="2"/>
  <c r="I253" i="2"/>
  <c r="H253" i="2"/>
  <c r="G253" i="2"/>
  <c r="F253" i="2"/>
  <c r="E253" i="2"/>
  <c r="D253" i="2"/>
  <c r="C253" i="2"/>
  <c r="B253" i="2"/>
  <c r="A253" i="2"/>
  <c r="AH252" i="2"/>
  <c r="AG252" i="2"/>
  <c r="AE252" i="2"/>
  <c r="AD252" i="2"/>
  <c r="AC252" i="2"/>
  <c r="AB252" i="2"/>
  <c r="AA252" i="2"/>
  <c r="Y252" i="2"/>
  <c r="X252" i="2"/>
  <c r="W252" i="2"/>
  <c r="V252" i="2"/>
  <c r="U252" i="2"/>
  <c r="T252" i="2"/>
  <c r="S252" i="2"/>
  <c r="R252" i="2"/>
  <c r="Q252" i="2"/>
  <c r="P252" i="2"/>
  <c r="O252" i="2"/>
  <c r="N252" i="2"/>
  <c r="M252" i="2"/>
  <c r="L252" i="2"/>
  <c r="K252" i="2"/>
  <c r="J252" i="2"/>
  <c r="I252" i="2"/>
  <c r="H252" i="2"/>
  <c r="G252" i="2"/>
  <c r="F252" i="2"/>
  <c r="E252" i="2"/>
  <c r="D252" i="2"/>
  <c r="C252" i="2"/>
  <c r="B252" i="2"/>
  <c r="A252" i="2"/>
  <c r="AH251" i="2"/>
  <c r="AG251" i="2"/>
  <c r="AF251" i="2"/>
  <c r="AE251" i="2"/>
  <c r="AD251" i="2"/>
  <c r="AC251" i="2"/>
  <c r="AB251" i="2"/>
  <c r="AA251" i="2"/>
  <c r="Y251" i="2"/>
  <c r="X251" i="2"/>
  <c r="W251" i="2"/>
  <c r="V251" i="2"/>
  <c r="U251" i="2"/>
  <c r="T251" i="2"/>
  <c r="S251" i="2"/>
  <c r="R251" i="2"/>
  <c r="Q251" i="2"/>
  <c r="P251" i="2"/>
  <c r="O251" i="2"/>
  <c r="N251" i="2"/>
  <c r="M251" i="2"/>
  <c r="L251" i="2"/>
  <c r="K251" i="2"/>
  <c r="J251" i="2"/>
  <c r="I251" i="2"/>
  <c r="H251" i="2"/>
  <c r="G251" i="2"/>
  <c r="F251" i="2"/>
  <c r="E251" i="2"/>
  <c r="D251" i="2"/>
  <c r="C251" i="2"/>
  <c r="B251" i="2"/>
  <c r="A251" i="2"/>
  <c r="AH250" i="2"/>
  <c r="AG250" i="2"/>
  <c r="AF250" i="2"/>
  <c r="AE250" i="2"/>
  <c r="AD250" i="2"/>
  <c r="AC250" i="2"/>
  <c r="AB250" i="2"/>
  <c r="AA250" i="2"/>
  <c r="Y250" i="2"/>
  <c r="V250" i="2"/>
  <c r="U250" i="2"/>
  <c r="T250" i="2"/>
  <c r="R250" i="2"/>
  <c r="Q250" i="2"/>
  <c r="P250" i="2"/>
  <c r="O250" i="2"/>
  <c r="N250" i="2"/>
  <c r="M250" i="2"/>
  <c r="L250" i="2"/>
  <c r="K250" i="2"/>
  <c r="J250" i="2"/>
  <c r="I250" i="2"/>
  <c r="H250" i="2"/>
  <c r="G250" i="2"/>
  <c r="F250" i="2"/>
  <c r="E250" i="2"/>
  <c r="D250" i="2"/>
  <c r="C250" i="2"/>
  <c r="B250" i="2"/>
  <c r="A250"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F249" i="2"/>
  <c r="E249" i="2"/>
  <c r="D249" i="2"/>
  <c r="C249" i="2"/>
  <c r="B249" i="2"/>
  <c r="A249" i="2"/>
  <c r="AH248" i="2"/>
  <c r="AG248" i="2"/>
  <c r="AF248" i="2"/>
  <c r="AE248" i="2"/>
  <c r="AD248" i="2"/>
  <c r="AC248" i="2"/>
  <c r="AB248" i="2"/>
  <c r="AA248" i="2"/>
  <c r="Y248" i="2"/>
  <c r="W248" i="2"/>
  <c r="V248" i="2"/>
  <c r="U248" i="2"/>
  <c r="T248" i="2"/>
  <c r="S248" i="2"/>
  <c r="R248" i="2"/>
  <c r="Q248" i="2"/>
  <c r="P248" i="2"/>
  <c r="O248" i="2"/>
  <c r="N248" i="2"/>
  <c r="M248" i="2"/>
  <c r="L248" i="2"/>
  <c r="K248" i="2"/>
  <c r="J248" i="2"/>
  <c r="I248" i="2"/>
  <c r="H248" i="2"/>
  <c r="G248" i="2"/>
  <c r="F248" i="2"/>
  <c r="E248" i="2"/>
  <c r="D248" i="2"/>
  <c r="C248" i="2"/>
  <c r="B248" i="2"/>
  <c r="A248" i="2"/>
  <c r="AG247" i="2"/>
  <c r="AE247" i="2"/>
  <c r="AD247" i="2"/>
  <c r="AC247" i="2"/>
  <c r="AB247" i="2"/>
  <c r="AA247" i="2"/>
  <c r="V247" i="2"/>
  <c r="U247" i="2"/>
  <c r="T247" i="2"/>
  <c r="S247" i="2"/>
  <c r="R247" i="2"/>
  <c r="Q247" i="2"/>
  <c r="P247" i="2"/>
  <c r="O247" i="2"/>
  <c r="N247" i="2"/>
  <c r="M247" i="2"/>
  <c r="L247" i="2"/>
  <c r="K247" i="2"/>
  <c r="J247" i="2"/>
  <c r="I247" i="2"/>
  <c r="H247" i="2"/>
  <c r="G247" i="2"/>
  <c r="F247" i="2"/>
  <c r="E247" i="2"/>
  <c r="D247" i="2"/>
  <c r="C247" i="2"/>
  <c r="B247" i="2"/>
  <c r="A247" i="2"/>
  <c r="AG246" i="2"/>
  <c r="AD246" i="2"/>
  <c r="AC246" i="2"/>
  <c r="AB246" i="2"/>
  <c r="AA246" i="2"/>
  <c r="X246" i="2"/>
  <c r="V246" i="2"/>
  <c r="U246" i="2"/>
  <c r="T246" i="2"/>
  <c r="S246" i="2"/>
  <c r="R246" i="2"/>
  <c r="Q246" i="2"/>
  <c r="P246" i="2"/>
  <c r="O246" i="2"/>
  <c r="N246" i="2"/>
  <c r="M246" i="2"/>
  <c r="L246" i="2"/>
  <c r="K246" i="2"/>
  <c r="J246" i="2"/>
  <c r="I246" i="2"/>
  <c r="H246" i="2"/>
  <c r="G246" i="2"/>
  <c r="F246" i="2"/>
  <c r="E246" i="2"/>
  <c r="D246" i="2"/>
  <c r="C246" i="2"/>
  <c r="B246" i="2"/>
  <c r="A246" i="2"/>
  <c r="AH245" i="2"/>
  <c r="AG245" i="2"/>
  <c r="AF245" i="2"/>
  <c r="AE245" i="2"/>
  <c r="AD245" i="2"/>
  <c r="AC245" i="2"/>
  <c r="AB245" i="2"/>
  <c r="AA245" i="2"/>
  <c r="Y245" i="2"/>
  <c r="X245" i="2"/>
  <c r="W245" i="2"/>
  <c r="V245" i="2"/>
  <c r="U245" i="2"/>
  <c r="T245" i="2"/>
  <c r="S245" i="2"/>
  <c r="R245" i="2"/>
  <c r="Q245" i="2"/>
  <c r="P245" i="2"/>
  <c r="O245" i="2"/>
  <c r="N245" i="2"/>
  <c r="M245" i="2"/>
  <c r="L245" i="2"/>
  <c r="K245" i="2"/>
  <c r="J245" i="2"/>
  <c r="I245" i="2"/>
  <c r="H245" i="2"/>
  <c r="G245" i="2"/>
  <c r="F245" i="2"/>
  <c r="E245" i="2"/>
  <c r="D245" i="2"/>
  <c r="C245" i="2"/>
  <c r="B245" i="2"/>
  <c r="A245" i="2"/>
  <c r="AG244" i="2"/>
  <c r="AF244" i="2"/>
  <c r="AE244" i="2"/>
  <c r="AD244" i="2"/>
  <c r="AC244" i="2"/>
  <c r="AB244" i="2"/>
  <c r="AA244" i="2"/>
  <c r="Y244" i="2"/>
  <c r="X244" i="2"/>
  <c r="W244" i="2"/>
  <c r="V244" i="2"/>
  <c r="U244" i="2"/>
  <c r="T244" i="2"/>
  <c r="S244" i="2"/>
  <c r="R244" i="2"/>
  <c r="Q244" i="2"/>
  <c r="P244" i="2"/>
  <c r="O244" i="2"/>
  <c r="N244" i="2"/>
  <c r="M244" i="2"/>
  <c r="L244" i="2"/>
  <c r="K244" i="2"/>
  <c r="J244" i="2"/>
  <c r="I244" i="2"/>
  <c r="H244" i="2"/>
  <c r="G244" i="2"/>
  <c r="F244" i="2"/>
  <c r="E244" i="2"/>
  <c r="D244" i="2"/>
  <c r="C244" i="2"/>
  <c r="B244" i="2"/>
  <c r="A244" i="2"/>
  <c r="AH243" i="2"/>
  <c r="AG243" i="2"/>
  <c r="AF243" i="2"/>
  <c r="AE243" i="2"/>
  <c r="AD243" i="2"/>
  <c r="AC243" i="2"/>
  <c r="AB243" i="2"/>
  <c r="AA243" i="2"/>
  <c r="Y243" i="2"/>
  <c r="X243" i="2"/>
  <c r="W243" i="2"/>
  <c r="V243" i="2"/>
  <c r="U243" i="2"/>
  <c r="T243" i="2"/>
  <c r="S243" i="2"/>
  <c r="R243" i="2"/>
  <c r="Q243" i="2"/>
  <c r="P243" i="2"/>
  <c r="O243" i="2"/>
  <c r="N243" i="2"/>
  <c r="M243" i="2"/>
  <c r="L243" i="2"/>
  <c r="K243" i="2"/>
  <c r="J243" i="2"/>
  <c r="I243" i="2"/>
  <c r="H243" i="2"/>
  <c r="G243" i="2"/>
  <c r="F243" i="2"/>
  <c r="E243" i="2"/>
  <c r="D243" i="2"/>
  <c r="C243" i="2"/>
  <c r="B243" i="2"/>
  <c r="A243" i="2"/>
  <c r="AH242" i="2"/>
  <c r="AG242" i="2"/>
  <c r="AF242" i="2"/>
  <c r="AE242" i="2"/>
  <c r="AD242" i="2"/>
  <c r="AC242" i="2"/>
  <c r="AB242" i="2"/>
  <c r="AA242" i="2"/>
  <c r="Y242" i="2"/>
  <c r="X242" i="2"/>
  <c r="W242" i="2"/>
  <c r="V242" i="2"/>
  <c r="U242" i="2"/>
  <c r="T242" i="2"/>
  <c r="S242" i="2"/>
  <c r="R242" i="2"/>
  <c r="Q242" i="2"/>
  <c r="P242" i="2"/>
  <c r="O242" i="2"/>
  <c r="N242" i="2"/>
  <c r="M242" i="2"/>
  <c r="L242" i="2"/>
  <c r="K242" i="2"/>
  <c r="J242" i="2"/>
  <c r="I242" i="2"/>
  <c r="H242" i="2"/>
  <c r="G242" i="2"/>
  <c r="F242" i="2"/>
  <c r="E242" i="2"/>
  <c r="D242" i="2"/>
  <c r="C242" i="2"/>
  <c r="B242" i="2"/>
  <c r="A242" i="2"/>
  <c r="AH241" i="2"/>
  <c r="AG241" i="2"/>
  <c r="AF241" i="2"/>
  <c r="AE241" i="2"/>
  <c r="AC241" i="2"/>
  <c r="AB241" i="2"/>
  <c r="AA241" i="2"/>
  <c r="Z241" i="2"/>
  <c r="Y241" i="2"/>
  <c r="X241" i="2"/>
  <c r="W241" i="2"/>
  <c r="V241" i="2"/>
  <c r="U241" i="2"/>
  <c r="T241" i="2"/>
  <c r="S241" i="2"/>
  <c r="R241" i="2"/>
  <c r="Q241" i="2"/>
  <c r="P241" i="2"/>
  <c r="O241" i="2"/>
  <c r="N241" i="2"/>
  <c r="M241" i="2"/>
  <c r="L241" i="2"/>
  <c r="K241" i="2"/>
  <c r="J241" i="2"/>
  <c r="I241" i="2"/>
  <c r="H241" i="2"/>
  <c r="G241" i="2"/>
  <c r="F241" i="2"/>
  <c r="E241" i="2"/>
  <c r="D241" i="2"/>
  <c r="C241" i="2"/>
  <c r="B241" i="2"/>
  <c r="A241" i="2"/>
  <c r="AH240" i="2"/>
  <c r="AG240" i="2"/>
  <c r="AE240" i="2"/>
  <c r="AD240" i="2"/>
  <c r="AC240" i="2"/>
  <c r="AB240" i="2"/>
  <c r="AA240" i="2"/>
  <c r="Y240" i="2"/>
  <c r="X240" i="2"/>
  <c r="V240" i="2"/>
  <c r="U240" i="2"/>
  <c r="T240" i="2"/>
  <c r="S240" i="2"/>
  <c r="R240" i="2"/>
  <c r="Q240" i="2"/>
  <c r="P240" i="2"/>
  <c r="O240" i="2"/>
  <c r="N240" i="2"/>
  <c r="M240" i="2"/>
  <c r="L240" i="2"/>
  <c r="K240" i="2"/>
  <c r="J240" i="2"/>
  <c r="I240" i="2"/>
  <c r="H240" i="2"/>
  <c r="G240" i="2"/>
  <c r="F240" i="2"/>
  <c r="E240" i="2"/>
  <c r="D240" i="2"/>
  <c r="C240" i="2"/>
  <c r="B240" i="2"/>
  <c r="A240" i="2"/>
  <c r="AH239" i="2"/>
  <c r="AG239" i="2"/>
  <c r="AF239" i="2"/>
  <c r="AE239" i="2"/>
  <c r="AD239" i="2"/>
  <c r="AC239" i="2"/>
  <c r="AB239" i="2"/>
  <c r="AA239" i="2"/>
  <c r="Y239" i="2"/>
  <c r="X239" i="2"/>
  <c r="W239" i="2"/>
  <c r="V239" i="2"/>
  <c r="U239" i="2"/>
  <c r="T239" i="2"/>
  <c r="S239" i="2"/>
  <c r="R239" i="2"/>
  <c r="Q239" i="2"/>
  <c r="P239" i="2"/>
  <c r="O239" i="2"/>
  <c r="N239" i="2"/>
  <c r="M239" i="2"/>
  <c r="L239" i="2"/>
  <c r="K239" i="2"/>
  <c r="J239" i="2"/>
  <c r="I239" i="2"/>
  <c r="H239" i="2"/>
  <c r="G239" i="2"/>
  <c r="F239" i="2"/>
  <c r="E239" i="2"/>
  <c r="D239" i="2"/>
  <c r="C239" i="2"/>
  <c r="B239" i="2"/>
  <c r="A239" i="2"/>
  <c r="AH238" i="2"/>
  <c r="AG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F238" i="2"/>
  <c r="E238" i="2"/>
  <c r="D238" i="2"/>
  <c r="C238" i="2"/>
  <c r="B238" i="2"/>
  <c r="A238" i="2"/>
  <c r="AH237" i="2"/>
  <c r="AG237" i="2"/>
  <c r="AF237" i="2"/>
  <c r="AE237" i="2"/>
  <c r="AD237" i="2"/>
  <c r="AC237" i="2"/>
  <c r="AB237" i="2"/>
  <c r="AA237" i="2"/>
  <c r="Y237" i="2"/>
  <c r="X237" i="2"/>
  <c r="W237" i="2"/>
  <c r="V237" i="2"/>
  <c r="U237" i="2"/>
  <c r="T237" i="2"/>
  <c r="S237" i="2"/>
  <c r="R237" i="2"/>
  <c r="Q237" i="2"/>
  <c r="P237" i="2"/>
  <c r="O237" i="2"/>
  <c r="N237" i="2"/>
  <c r="M237" i="2"/>
  <c r="L237" i="2"/>
  <c r="K237" i="2"/>
  <c r="J237" i="2"/>
  <c r="I237" i="2"/>
  <c r="H237" i="2"/>
  <c r="G237" i="2"/>
  <c r="F237" i="2"/>
  <c r="E237" i="2"/>
  <c r="D237" i="2"/>
  <c r="C237" i="2"/>
  <c r="B237" i="2"/>
  <c r="A237" i="2"/>
  <c r="AH236" i="2"/>
  <c r="AG236" i="2"/>
  <c r="AF236" i="2"/>
  <c r="AE236" i="2"/>
  <c r="AD236" i="2"/>
  <c r="AC236" i="2"/>
  <c r="AB236" i="2"/>
  <c r="AA236" i="2"/>
  <c r="Y236" i="2"/>
  <c r="X236" i="2"/>
  <c r="W236" i="2"/>
  <c r="V236" i="2"/>
  <c r="U236" i="2"/>
  <c r="T236" i="2"/>
  <c r="S236" i="2"/>
  <c r="R236" i="2"/>
  <c r="Q236" i="2"/>
  <c r="P236" i="2"/>
  <c r="O236" i="2"/>
  <c r="N236" i="2"/>
  <c r="M236" i="2"/>
  <c r="L236" i="2"/>
  <c r="K236" i="2"/>
  <c r="J236" i="2"/>
  <c r="I236" i="2"/>
  <c r="H236" i="2"/>
  <c r="G236" i="2"/>
  <c r="F236" i="2"/>
  <c r="E236" i="2"/>
  <c r="D236" i="2"/>
  <c r="C236" i="2"/>
  <c r="B236" i="2"/>
  <c r="A236" i="2"/>
  <c r="AH235" i="2"/>
  <c r="AG235" i="2"/>
  <c r="AF235" i="2"/>
  <c r="AE235" i="2"/>
  <c r="AD235" i="2"/>
  <c r="AC235" i="2"/>
  <c r="AB235" i="2"/>
  <c r="AA235" i="2"/>
  <c r="Y235" i="2"/>
  <c r="X235" i="2"/>
  <c r="W235" i="2"/>
  <c r="V235" i="2"/>
  <c r="U235" i="2"/>
  <c r="T235" i="2"/>
  <c r="R235" i="2"/>
  <c r="Q235" i="2"/>
  <c r="P235" i="2"/>
  <c r="O235" i="2"/>
  <c r="N235" i="2"/>
  <c r="M235" i="2"/>
  <c r="L235" i="2"/>
  <c r="K235" i="2"/>
  <c r="J235" i="2"/>
  <c r="I235" i="2"/>
  <c r="H235" i="2"/>
  <c r="G235" i="2"/>
  <c r="F235" i="2"/>
  <c r="E235" i="2"/>
  <c r="D235" i="2"/>
  <c r="C235" i="2"/>
  <c r="B235" i="2"/>
  <c r="A235" i="2"/>
  <c r="AH234" i="2"/>
  <c r="AG234" i="2"/>
  <c r="AF234" i="2"/>
  <c r="AE234" i="2"/>
  <c r="AD234" i="2"/>
  <c r="AC234" i="2"/>
  <c r="AB234" i="2"/>
  <c r="AA234" i="2"/>
  <c r="Y234" i="2"/>
  <c r="X234" i="2"/>
  <c r="W234" i="2"/>
  <c r="V234" i="2"/>
  <c r="U234" i="2"/>
  <c r="T234" i="2"/>
  <c r="S234" i="2"/>
  <c r="R234" i="2"/>
  <c r="Q234" i="2"/>
  <c r="P234" i="2"/>
  <c r="O234" i="2"/>
  <c r="N234" i="2"/>
  <c r="M234" i="2"/>
  <c r="L234" i="2"/>
  <c r="K234" i="2"/>
  <c r="J234" i="2"/>
  <c r="I234" i="2"/>
  <c r="H234" i="2"/>
  <c r="G234" i="2"/>
  <c r="F234" i="2"/>
  <c r="E234" i="2"/>
  <c r="D234" i="2"/>
  <c r="C234" i="2"/>
  <c r="B234" i="2"/>
  <c r="A234"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F233" i="2"/>
  <c r="E233" i="2"/>
  <c r="D233" i="2"/>
  <c r="C233" i="2"/>
  <c r="B233" i="2"/>
  <c r="A233" i="2"/>
  <c r="AH232" i="2"/>
  <c r="AG232" i="2"/>
  <c r="AE232" i="2"/>
  <c r="AD232" i="2"/>
  <c r="AC232" i="2"/>
  <c r="AB232" i="2"/>
  <c r="AA232" i="2"/>
  <c r="Y232" i="2"/>
  <c r="X232" i="2"/>
  <c r="W232" i="2"/>
  <c r="V232" i="2"/>
  <c r="U232" i="2"/>
  <c r="T232" i="2"/>
  <c r="S232" i="2"/>
  <c r="R232" i="2"/>
  <c r="Q232" i="2"/>
  <c r="P232" i="2"/>
  <c r="O232" i="2"/>
  <c r="N232" i="2"/>
  <c r="M232" i="2"/>
  <c r="L232" i="2"/>
  <c r="K232" i="2"/>
  <c r="J232" i="2"/>
  <c r="I232" i="2"/>
  <c r="H232" i="2"/>
  <c r="G232" i="2"/>
  <c r="F232" i="2"/>
  <c r="E232" i="2"/>
  <c r="D232" i="2"/>
  <c r="C232" i="2"/>
  <c r="B232" i="2"/>
  <c r="A232"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F231" i="2"/>
  <c r="E231" i="2"/>
  <c r="D231" i="2"/>
  <c r="C231" i="2"/>
  <c r="B231" i="2"/>
  <c r="A231" i="2"/>
  <c r="AH230" i="2"/>
  <c r="AG230" i="2"/>
  <c r="AF230" i="2"/>
  <c r="AE230" i="2"/>
  <c r="AD230" i="2"/>
  <c r="AC230" i="2"/>
  <c r="AB230" i="2"/>
  <c r="AA230" i="2"/>
  <c r="Y230" i="2"/>
  <c r="X230" i="2"/>
  <c r="W230" i="2"/>
  <c r="V230" i="2"/>
  <c r="U230" i="2"/>
  <c r="T230" i="2"/>
  <c r="S230" i="2"/>
  <c r="R230" i="2"/>
  <c r="Q230" i="2"/>
  <c r="P230" i="2"/>
  <c r="O230" i="2"/>
  <c r="N230" i="2"/>
  <c r="M230" i="2"/>
  <c r="L230" i="2"/>
  <c r="K230" i="2"/>
  <c r="J230" i="2"/>
  <c r="I230" i="2"/>
  <c r="H230" i="2"/>
  <c r="G230" i="2"/>
  <c r="F230" i="2"/>
  <c r="E230" i="2"/>
  <c r="D230" i="2"/>
  <c r="C230" i="2"/>
  <c r="B230" i="2"/>
  <c r="A230" i="2"/>
  <c r="AH229" i="2"/>
  <c r="AG229" i="2"/>
  <c r="AF229" i="2"/>
  <c r="AE229" i="2"/>
  <c r="AD229" i="2"/>
  <c r="AC229" i="2"/>
  <c r="AB229" i="2"/>
  <c r="AA229" i="2"/>
  <c r="Y229" i="2"/>
  <c r="X229" i="2"/>
  <c r="W229" i="2"/>
  <c r="V229" i="2"/>
  <c r="U229" i="2"/>
  <c r="T229" i="2"/>
  <c r="S229" i="2"/>
  <c r="R229" i="2"/>
  <c r="Q229" i="2"/>
  <c r="P229" i="2"/>
  <c r="O229" i="2"/>
  <c r="N229" i="2"/>
  <c r="M229" i="2"/>
  <c r="L229" i="2"/>
  <c r="K229" i="2"/>
  <c r="J229" i="2"/>
  <c r="I229" i="2"/>
  <c r="H229" i="2"/>
  <c r="G229" i="2"/>
  <c r="F229" i="2"/>
  <c r="E229" i="2"/>
  <c r="D229" i="2"/>
  <c r="C229" i="2"/>
  <c r="B229" i="2"/>
  <c r="A229" i="2"/>
  <c r="AH228" i="2"/>
  <c r="AG228" i="2"/>
  <c r="AE228" i="2"/>
  <c r="AD228" i="2"/>
  <c r="AC228" i="2"/>
  <c r="AB228" i="2"/>
  <c r="AA228" i="2"/>
  <c r="Y228" i="2"/>
  <c r="X228" i="2"/>
  <c r="V228" i="2"/>
  <c r="U228" i="2"/>
  <c r="T228" i="2"/>
  <c r="S228" i="2"/>
  <c r="R228" i="2"/>
  <c r="Q228" i="2"/>
  <c r="P228" i="2"/>
  <c r="O228" i="2"/>
  <c r="N228" i="2"/>
  <c r="M228" i="2"/>
  <c r="L228" i="2"/>
  <c r="K228" i="2"/>
  <c r="J228" i="2"/>
  <c r="I228" i="2"/>
  <c r="H228" i="2"/>
  <c r="G228" i="2"/>
  <c r="F228" i="2"/>
  <c r="E228" i="2"/>
  <c r="D228" i="2"/>
  <c r="C228" i="2"/>
  <c r="B228" i="2"/>
  <c r="A228" i="2"/>
  <c r="AH227" i="2"/>
  <c r="AG227" i="2"/>
  <c r="AF227" i="2"/>
  <c r="AE227" i="2"/>
  <c r="AD227" i="2"/>
  <c r="AC227" i="2"/>
  <c r="AB227" i="2"/>
  <c r="AA227" i="2"/>
  <c r="Y227" i="2"/>
  <c r="X227" i="2"/>
  <c r="W227" i="2"/>
  <c r="V227" i="2"/>
  <c r="U227" i="2"/>
  <c r="T227" i="2"/>
  <c r="S227" i="2"/>
  <c r="R227" i="2"/>
  <c r="Q227" i="2"/>
  <c r="P227" i="2"/>
  <c r="O227" i="2"/>
  <c r="N227" i="2"/>
  <c r="M227" i="2"/>
  <c r="L227" i="2"/>
  <c r="K227" i="2"/>
  <c r="J227" i="2"/>
  <c r="I227" i="2"/>
  <c r="H227" i="2"/>
  <c r="G227" i="2"/>
  <c r="F227" i="2"/>
  <c r="E227" i="2"/>
  <c r="D227" i="2"/>
  <c r="C227" i="2"/>
  <c r="B227" i="2"/>
  <c r="A227" i="2"/>
  <c r="AH226" i="2"/>
  <c r="AG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F226" i="2"/>
  <c r="E226" i="2"/>
  <c r="D226" i="2"/>
  <c r="C226" i="2"/>
  <c r="B226" i="2"/>
  <c r="A226" i="2"/>
  <c r="AH225" i="2"/>
  <c r="AG225" i="2"/>
  <c r="AF225" i="2"/>
  <c r="AE225" i="2"/>
  <c r="AD225" i="2"/>
  <c r="AC225" i="2"/>
  <c r="AB225" i="2"/>
  <c r="AA225" i="2"/>
  <c r="Y225" i="2"/>
  <c r="X225" i="2"/>
  <c r="W225" i="2"/>
  <c r="V225" i="2"/>
  <c r="U225" i="2"/>
  <c r="T225" i="2"/>
  <c r="S225" i="2"/>
  <c r="R225" i="2"/>
  <c r="Q225" i="2"/>
  <c r="P225" i="2"/>
  <c r="O225" i="2"/>
  <c r="N225" i="2"/>
  <c r="M225" i="2"/>
  <c r="L225" i="2"/>
  <c r="K225" i="2"/>
  <c r="J225" i="2"/>
  <c r="I225" i="2"/>
  <c r="H225" i="2"/>
  <c r="G225" i="2"/>
  <c r="F225" i="2"/>
  <c r="E225" i="2"/>
  <c r="D225" i="2"/>
  <c r="C225" i="2"/>
  <c r="B225" i="2"/>
  <c r="A225" i="2"/>
  <c r="AH224" i="2"/>
  <c r="AG224" i="2"/>
  <c r="AF224" i="2"/>
  <c r="AE224" i="2"/>
  <c r="AD224" i="2"/>
  <c r="AC224" i="2"/>
  <c r="AB224" i="2"/>
  <c r="AA224" i="2"/>
  <c r="Y224" i="2"/>
  <c r="X224" i="2"/>
  <c r="W224" i="2"/>
  <c r="V224" i="2"/>
  <c r="U224" i="2"/>
  <c r="T224" i="2"/>
  <c r="S224" i="2"/>
  <c r="R224" i="2"/>
  <c r="Q224" i="2"/>
  <c r="P224" i="2"/>
  <c r="O224" i="2"/>
  <c r="N224" i="2"/>
  <c r="M224" i="2"/>
  <c r="L224" i="2"/>
  <c r="K224" i="2"/>
  <c r="J224" i="2"/>
  <c r="I224" i="2"/>
  <c r="H224" i="2"/>
  <c r="G224" i="2"/>
  <c r="F224" i="2"/>
  <c r="E224" i="2"/>
  <c r="D224" i="2"/>
  <c r="C224" i="2"/>
  <c r="B224" i="2"/>
  <c r="A224" i="2"/>
  <c r="AH223" i="2"/>
  <c r="AG223" i="2"/>
  <c r="AF223" i="2"/>
  <c r="AE223" i="2"/>
  <c r="AD223" i="2"/>
  <c r="AC223" i="2"/>
  <c r="AB223" i="2"/>
  <c r="AA223" i="2"/>
  <c r="Y223" i="2"/>
  <c r="X223" i="2"/>
  <c r="W223" i="2"/>
  <c r="V223" i="2"/>
  <c r="U223" i="2"/>
  <c r="T223" i="2"/>
  <c r="R223" i="2"/>
  <c r="Q223" i="2"/>
  <c r="P223" i="2"/>
  <c r="O223" i="2"/>
  <c r="N223" i="2"/>
  <c r="M223" i="2"/>
  <c r="L223" i="2"/>
  <c r="K223" i="2"/>
  <c r="J223" i="2"/>
  <c r="I223" i="2"/>
  <c r="H223" i="2"/>
  <c r="G223" i="2"/>
  <c r="F223" i="2"/>
  <c r="E223" i="2"/>
  <c r="D223" i="2"/>
  <c r="C223" i="2"/>
  <c r="B223" i="2"/>
  <c r="A223"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D222" i="2"/>
  <c r="C222" i="2"/>
  <c r="B222" i="2"/>
  <c r="A222" i="2"/>
  <c r="AH221" i="2"/>
  <c r="AG221" i="2"/>
  <c r="AF221" i="2"/>
  <c r="AE221" i="2"/>
  <c r="AD221" i="2"/>
  <c r="AC221" i="2"/>
  <c r="AB221" i="2"/>
  <c r="AA221" i="2"/>
  <c r="Y221" i="2"/>
  <c r="X221" i="2"/>
  <c r="W221" i="2"/>
  <c r="V221" i="2"/>
  <c r="U221" i="2"/>
  <c r="T221" i="2"/>
  <c r="S221" i="2"/>
  <c r="R221" i="2"/>
  <c r="Q221" i="2"/>
  <c r="P221" i="2"/>
  <c r="O221" i="2"/>
  <c r="N221" i="2"/>
  <c r="M221" i="2"/>
  <c r="L221" i="2"/>
  <c r="K221" i="2"/>
  <c r="J221" i="2"/>
  <c r="I221" i="2"/>
  <c r="H221" i="2"/>
  <c r="G221" i="2"/>
  <c r="F221" i="2"/>
  <c r="E221" i="2"/>
  <c r="D221" i="2"/>
  <c r="C221" i="2"/>
  <c r="B221" i="2"/>
  <c r="A221" i="2"/>
  <c r="AH220" i="2"/>
  <c r="AG220" i="2"/>
  <c r="AF220" i="2"/>
  <c r="AE220" i="2"/>
  <c r="AD220" i="2"/>
  <c r="AC220" i="2"/>
  <c r="AB220" i="2"/>
  <c r="AA220" i="2"/>
  <c r="Y220" i="2"/>
  <c r="X220" i="2"/>
  <c r="V220" i="2"/>
  <c r="U220" i="2"/>
  <c r="T220" i="2"/>
  <c r="S220" i="2"/>
  <c r="R220" i="2"/>
  <c r="Q220" i="2"/>
  <c r="P220" i="2"/>
  <c r="O220" i="2"/>
  <c r="N220" i="2"/>
  <c r="M220" i="2"/>
  <c r="L220" i="2"/>
  <c r="K220" i="2"/>
  <c r="J220" i="2"/>
  <c r="I220" i="2"/>
  <c r="H220" i="2"/>
  <c r="G220" i="2"/>
  <c r="F220" i="2"/>
  <c r="E220" i="2"/>
  <c r="D220" i="2"/>
  <c r="C220" i="2"/>
  <c r="B220" i="2"/>
  <c r="A220" i="2"/>
  <c r="AH219" i="2"/>
  <c r="AG219" i="2"/>
  <c r="AE219" i="2"/>
  <c r="AD219" i="2"/>
  <c r="AC219" i="2"/>
  <c r="AB219" i="2"/>
  <c r="AA219" i="2"/>
  <c r="Y219" i="2"/>
  <c r="X219" i="2"/>
  <c r="V219" i="2"/>
  <c r="U219" i="2"/>
  <c r="T219" i="2"/>
  <c r="S219" i="2"/>
  <c r="R219" i="2"/>
  <c r="Q219" i="2"/>
  <c r="P219" i="2"/>
  <c r="O219" i="2"/>
  <c r="N219" i="2"/>
  <c r="M219" i="2"/>
  <c r="L219" i="2"/>
  <c r="K219" i="2"/>
  <c r="J219" i="2"/>
  <c r="I219" i="2"/>
  <c r="H219" i="2"/>
  <c r="G219" i="2"/>
  <c r="F219" i="2"/>
  <c r="E219" i="2"/>
  <c r="D219" i="2"/>
  <c r="C219" i="2"/>
  <c r="B219" i="2"/>
  <c r="A219" i="2"/>
  <c r="AH218" i="2"/>
  <c r="AG218" i="2"/>
  <c r="AE218" i="2"/>
  <c r="AD218" i="2"/>
  <c r="AC218" i="2"/>
  <c r="AB218" i="2"/>
  <c r="AA218" i="2"/>
  <c r="Y218" i="2"/>
  <c r="X218" i="2"/>
  <c r="V218" i="2"/>
  <c r="U218" i="2"/>
  <c r="T218" i="2"/>
  <c r="S218" i="2"/>
  <c r="R218" i="2"/>
  <c r="Q218" i="2"/>
  <c r="P218" i="2"/>
  <c r="O218" i="2"/>
  <c r="N218" i="2"/>
  <c r="M218" i="2"/>
  <c r="L218" i="2"/>
  <c r="K218" i="2"/>
  <c r="J218" i="2"/>
  <c r="I218" i="2"/>
  <c r="H218" i="2"/>
  <c r="G218" i="2"/>
  <c r="F218" i="2"/>
  <c r="E218" i="2"/>
  <c r="D218" i="2"/>
  <c r="C218" i="2"/>
  <c r="B218" i="2"/>
  <c r="A218" i="2"/>
  <c r="AH217" i="2"/>
  <c r="AG217" i="2"/>
  <c r="AD217" i="2"/>
  <c r="AC217" i="2"/>
  <c r="AB217" i="2"/>
  <c r="AA217" i="2"/>
  <c r="X217" i="2"/>
  <c r="V217" i="2"/>
  <c r="U217" i="2"/>
  <c r="T217" i="2"/>
  <c r="S217" i="2"/>
  <c r="R217" i="2"/>
  <c r="Q217" i="2"/>
  <c r="P217" i="2"/>
  <c r="O217" i="2"/>
  <c r="N217" i="2"/>
  <c r="M217" i="2"/>
  <c r="L217" i="2"/>
  <c r="K217" i="2"/>
  <c r="J217" i="2"/>
  <c r="I217" i="2"/>
  <c r="H217" i="2"/>
  <c r="G217" i="2"/>
  <c r="F217" i="2"/>
  <c r="E217" i="2"/>
  <c r="D217" i="2"/>
  <c r="C217" i="2"/>
  <c r="B217" i="2"/>
  <c r="A217" i="2"/>
  <c r="AH216" i="2"/>
  <c r="AG216" i="2"/>
  <c r="AF216" i="2"/>
  <c r="AE216" i="2"/>
  <c r="AD216" i="2"/>
  <c r="AC216" i="2"/>
  <c r="AB216" i="2"/>
  <c r="AA216" i="2"/>
  <c r="Y216" i="2"/>
  <c r="X216" i="2"/>
  <c r="W216" i="2"/>
  <c r="V216" i="2"/>
  <c r="U216" i="2"/>
  <c r="T216" i="2"/>
  <c r="S216" i="2"/>
  <c r="R216" i="2"/>
  <c r="Q216" i="2"/>
  <c r="P216" i="2"/>
  <c r="O216" i="2"/>
  <c r="N216" i="2"/>
  <c r="M216" i="2"/>
  <c r="L216" i="2"/>
  <c r="K216" i="2"/>
  <c r="J216" i="2"/>
  <c r="I216" i="2"/>
  <c r="H216" i="2"/>
  <c r="G216" i="2"/>
  <c r="F216" i="2"/>
  <c r="E216" i="2"/>
  <c r="D216" i="2"/>
  <c r="C216" i="2"/>
  <c r="B216" i="2"/>
  <c r="A216" i="2"/>
  <c r="AH215" i="2"/>
  <c r="AG215" i="2"/>
  <c r="AE215" i="2"/>
  <c r="AD215" i="2"/>
  <c r="AC215" i="2"/>
  <c r="AB215" i="2"/>
  <c r="AA215" i="2"/>
  <c r="Y215" i="2"/>
  <c r="X215" i="2"/>
  <c r="W215" i="2"/>
  <c r="V215" i="2"/>
  <c r="U215" i="2"/>
  <c r="T215" i="2"/>
  <c r="S215" i="2"/>
  <c r="R215" i="2"/>
  <c r="Q215" i="2"/>
  <c r="P215" i="2"/>
  <c r="O215" i="2"/>
  <c r="N215" i="2"/>
  <c r="M215" i="2"/>
  <c r="L215" i="2"/>
  <c r="K215" i="2"/>
  <c r="J215" i="2"/>
  <c r="I215" i="2"/>
  <c r="H215" i="2"/>
  <c r="G215" i="2"/>
  <c r="F215" i="2"/>
  <c r="E215" i="2"/>
  <c r="D215" i="2"/>
  <c r="C215" i="2"/>
  <c r="B215" i="2"/>
  <c r="A215" i="2"/>
  <c r="AH214" i="2"/>
  <c r="AG214" i="2"/>
  <c r="AF214" i="2"/>
  <c r="AE214" i="2"/>
  <c r="AD214" i="2"/>
  <c r="AC214" i="2"/>
  <c r="AB214" i="2"/>
  <c r="AA214" i="2"/>
  <c r="Y214" i="2"/>
  <c r="X214" i="2"/>
  <c r="W214" i="2"/>
  <c r="V214" i="2"/>
  <c r="U214" i="2"/>
  <c r="T214" i="2"/>
  <c r="S214" i="2"/>
  <c r="R214" i="2"/>
  <c r="Q214" i="2"/>
  <c r="P214" i="2"/>
  <c r="O214" i="2"/>
  <c r="N214" i="2"/>
  <c r="M214" i="2"/>
  <c r="L214" i="2"/>
  <c r="K214" i="2"/>
  <c r="J214" i="2"/>
  <c r="I214" i="2"/>
  <c r="H214" i="2"/>
  <c r="G214" i="2"/>
  <c r="F214" i="2"/>
  <c r="E214" i="2"/>
  <c r="D214" i="2"/>
  <c r="C214" i="2"/>
  <c r="B214" i="2"/>
  <c r="A214" i="2"/>
  <c r="AH213" i="2"/>
  <c r="AG213" i="2"/>
  <c r="AE213" i="2"/>
  <c r="AD213" i="2"/>
  <c r="AC213" i="2"/>
  <c r="AB213" i="2"/>
  <c r="AA213" i="2"/>
  <c r="Y213" i="2"/>
  <c r="X213" i="2"/>
  <c r="V213" i="2"/>
  <c r="U213" i="2"/>
  <c r="T213" i="2"/>
  <c r="S213" i="2"/>
  <c r="R213" i="2"/>
  <c r="Q213" i="2"/>
  <c r="P213" i="2"/>
  <c r="O213" i="2"/>
  <c r="N213" i="2"/>
  <c r="M213" i="2"/>
  <c r="L213" i="2"/>
  <c r="K213" i="2"/>
  <c r="J213" i="2"/>
  <c r="I213" i="2"/>
  <c r="H213" i="2"/>
  <c r="G213" i="2"/>
  <c r="F213" i="2"/>
  <c r="E213" i="2"/>
  <c r="D213" i="2"/>
  <c r="C213" i="2"/>
  <c r="B213" i="2"/>
  <c r="A213" i="2"/>
  <c r="AH212" i="2"/>
  <c r="AG212" i="2"/>
  <c r="AE212" i="2"/>
  <c r="AD212" i="2"/>
  <c r="AC212" i="2"/>
  <c r="AB212" i="2"/>
  <c r="AA212" i="2"/>
  <c r="Z212" i="2"/>
  <c r="Y212" i="2"/>
  <c r="X212" i="2"/>
  <c r="V212" i="2"/>
  <c r="U212" i="2"/>
  <c r="T212" i="2"/>
  <c r="R212" i="2"/>
  <c r="Q212" i="2"/>
  <c r="P212" i="2"/>
  <c r="O212" i="2"/>
  <c r="N212" i="2"/>
  <c r="M212" i="2"/>
  <c r="L212" i="2"/>
  <c r="K212" i="2"/>
  <c r="J212" i="2"/>
  <c r="I212" i="2"/>
  <c r="H212" i="2"/>
  <c r="G212" i="2"/>
  <c r="F212" i="2"/>
  <c r="E212" i="2"/>
  <c r="D212" i="2"/>
  <c r="C212" i="2"/>
  <c r="B212" i="2"/>
  <c r="A212" i="2"/>
  <c r="AH211" i="2"/>
  <c r="AG211" i="2"/>
  <c r="AF211" i="2"/>
  <c r="AE211" i="2"/>
  <c r="AD211" i="2"/>
  <c r="AC211" i="2"/>
  <c r="AB211" i="2"/>
  <c r="AA211" i="2"/>
  <c r="Y211" i="2"/>
  <c r="X211" i="2"/>
  <c r="W211" i="2"/>
  <c r="V211" i="2"/>
  <c r="U211" i="2"/>
  <c r="T211" i="2"/>
  <c r="R211" i="2"/>
  <c r="Q211" i="2"/>
  <c r="P211" i="2"/>
  <c r="O211" i="2"/>
  <c r="N211" i="2"/>
  <c r="M211" i="2"/>
  <c r="L211" i="2"/>
  <c r="K211" i="2"/>
  <c r="J211" i="2"/>
  <c r="I211" i="2"/>
  <c r="H211" i="2"/>
  <c r="G211" i="2"/>
  <c r="F211" i="2"/>
  <c r="E211" i="2"/>
  <c r="D211" i="2"/>
  <c r="C211" i="2"/>
  <c r="B211" i="2"/>
  <c r="A211" i="2"/>
  <c r="AH210" i="2"/>
  <c r="AG210" i="2"/>
  <c r="AE210" i="2"/>
  <c r="AD210" i="2"/>
  <c r="AC210" i="2"/>
  <c r="AB210" i="2"/>
  <c r="AA210" i="2"/>
  <c r="W210" i="2"/>
  <c r="V210" i="2"/>
  <c r="U210" i="2"/>
  <c r="T210" i="2"/>
  <c r="S210" i="2"/>
  <c r="R210" i="2"/>
  <c r="Q210" i="2"/>
  <c r="P210" i="2"/>
  <c r="O210" i="2"/>
  <c r="N210" i="2"/>
  <c r="M210" i="2"/>
  <c r="L210" i="2"/>
  <c r="K210" i="2"/>
  <c r="J210" i="2"/>
  <c r="I210" i="2"/>
  <c r="H210" i="2"/>
  <c r="G210" i="2"/>
  <c r="F210" i="2"/>
  <c r="E210" i="2"/>
  <c r="D210" i="2"/>
  <c r="C210" i="2"/>
  <c r="B210" i="2"/>
  <c r="A210" i="2"/>
  <c r="AH209" i="2"/>
  <c r="AG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D209" i="2"/>
  <c r="C209" i="2"/>
  <c r="B209" i="2"/>
  <c r="A209" i="2"/>
  <c r="AH208" i="2"/>
  <c r="AG208" i="2"/>
  <c r="AF208" i="2"/>
  <c r="AE208" i="2"/>
  <c r="AD208" i="2"/>
  <c r="AC208" i="2"/>
  <c r="AB208" i="2"/>
  <c r="AA208" i="2"/>
  <c r="X208" i="2"/>
  <c r="W208" i="2"/>
  <c r="V208" i="2"/>
  <c r="U208" i="2"/>
  <c r="T208" i="2"/>
  <c r="S208" i="2"/>
  <c r="R208" i="2"/>
  <c r="Q208" i="2"/>
  <c r="P208" i="2"/>
  <c r="O208" i="2"/>
  <c r="N208" i="2"/>
  <c r="M208" i="2"/>
  <c r="L208" i="2"/>
  <c r="K208" i="2"/>
  <c r="J208" i="2"/>
  <c r="I208" i="2"/>
  <c r="H208" i="2"/>
  <c r="G208" i="2"/>
  <c r="F208" i="2"/>
  <c r="E208" i="2"/>
  <c r="D208" i="2"/>
  <c r="C208" i="2"/>
  <c r="B208" i="2"/>
  <c r="A208" i="2"/>
  <c r="AH207" i="2"/>
  <c r="AG207" i="2"/>
  <c r="AF207" i="2"/>
  <c r="AE207" i="2"/>
  <c r="AD207" i="2"/>
  <c r="AC207" i="2"/>
  <c r="AB207" i="2"/>
  <c r="AA207" i="2"/>
  <c r="X207" i="2"/>
  <c r="W207" i="2"/>
  <c r="V207" i="2"/>
  <c r="U207" i="2"/>
  <c r="T207" i="2"/>
  <c r="S207" i="2"/>
  <c r="R207" i="2"/>
  <c r="Q207" i="2"/>
  <c r="P207" i="2"/>
  <c r="O207" i="2"/>
  <c r="N207" i="2"/>
  <c r="M207" i="2"/>
  <c r="L207" i="2"/>
  <c r="K207" i="2"/>
  <c r="J207" i="2"/>
  <c r="I207" i="2"/>
  <c r="H207" i="2"/>
  <c r="G207" i="2"/>
  <c r="F207" i="2"/>
  <c r="E207" i="2"/>
  <c r="D207" i="2"/>
  <c r="C207" i="2"/>
  <c r="B207" i="2"/>
  <c r="A207" i="2"/>
  <c r="AH206" i="2"/>
  <c r="AG206" i="2"/>
  <c r="AE206" i="2"/>
  <c r="AD206" i="2"/>
  <c r="AC206" i="2"/>
  <c r="AB206" i="2"/>
  <c r="AA206" i="2"/>
  <c r="Y206" i="2"/>
  <c r="X206" i="2"/>
  <c r="W206" i="2"/>
  <c r="V206" i="2"/>
  <c r="U206" i="2"/>
  <c r="T206" i="2"/>
  <c r="S206" i="2"/>
  <c r="R206" i="2"/>
  <c r="Q206" i="2"/>
  <c r="P206" i="2"/>
  <c r="O206" i="2"/>
  <c r="N206" i="2"/>
  <c r="M206" i="2"/>
  <c r="L206" i="2"/>
  <c r="K206" i="2"/>
  <c r="J206" i="2"/>
  <c r="I206" i="2"/>
  <c r="H206" i="2"/>
  <c r="G206" i="2"/>
  <c r="F206" i="2"/>
  <c r="E206" i="2"/>
  <c r="D206" i="2"/>
  <c r="C206" i="2"/>
  <c r="B206" i="2"/>
  <c r="A206" i="2"/>
  <c r="AH205" i="2"/>
  <c r="AG205" i="2"/>
  <c r="AE205" i="2"/>
  <c r="AD205" i="2"/>
  <c r="AC205" i="2"/>
  <c r="AB205" i="2"/>
  <c r="AA205" i="2"/>
  <c r="Y205" i="2"/>
  <c r="X205" i="2"/>
  <c r="V205" i="2"/>
  <c r="U205" i="2"/>
  <c r="T205" i="2"/>
  <c r="S205" i="2"/>
  <c r="R205" i="2"/>
  <c r="Q205" i="2"/>
  <c r="P205" i="2"/>
  <c r="O205" i="2"/>
  <c r="N205" i="2"/>
  <c r="M205" i="2"/>
  <c r="L205" i="2"/>
  <c r="K205" i="2"/>
  <c r="J205" i="2"/>
  <c r="I205" i="2"/>
  <c r="H205" i="2"/>
  <c r="G205" i="2"/>
  <c r="F205" i="2"/>
  <c r="E205" i="2"/>
  <c r="D205" i="2"/>
  <c r="C205" i="2"/>
  <c r="B205" i="2"/>
  <c r="A205" i="2"/>
  <c r="AH204" i="2"/>
  <c r="AG204" i="2"/>
  <c r="AE204" i="2"/>
  <c r="AD204" i="2"/>
  <c r="AC204" i="2"/>
  <c r="AB204" i="2"/>
  <c r="AA204" i="2"/>
  <c r="Y204" i="2"/>
  <c r="V204" i="2"/>
  <c r="U204" i="2"/>
  <c r="T204" i="2"/>
  <c r="S204" i="2"/>
  <c r="R204" i="2"/>
  <c r="Q204" i="2"/>
  <c r="P204" i="2"/>
  <c r="O204" i="2"/>
  <c r="N204" i="2"/>
  <c r="M204" i="2"/>
  <c r="L204" i="2"/>
  <c r="K204" i="2"/>
  <c r="J204" i="2"/>
  <c r="I204" i="2"/>
  <c r="H204" i="2"/>
  <c r="G204" i="2"/>
  <c r="F204" i="2"/>
  <c r="E204" i="2"/>
  <c r="D204" i="2"/>
  <c r="C204" i="2"/>
  <c r="B204" i="2"/>
  <c r="A204" i="2"/>
  <c r="AH203" i="2"/>
  <c r="AG203" i="2"/>
  <c r="AF203" i="2"/>
  <c r="AE203" i="2"/>
  <c r="AD203" i="2"/>
  <c r="AC203" i="2"/>
  <c r="AB203" i="2"/>
  <c r="AA203" i="2"/>
  <c r="Y203" i="2"/>
  <c r="X203" i="2"/>
  <c r="W203" i="2"/>
  <c r="V203" i="2"/>
  <c r="U203" i="2"/>
  <c r="T203" i="2"/>
  <c r="S203" i="2"/>
  <c r="R203" i="2"/>
  <c r="Q203" i="2"/>
  <c r="P203" i="2"/>
  <c r="O203" i="2"/>
  <c r="N203" i="2"/>
  <c r="M203" i="2"/>
  <c r="L203" i="2"/>
  <c r="K203" i="2"/>
  <c r="J203" i="2"/>
  <c r="I203" i="2"/>
  <c r="H203" i="2"/>
  <c r="G203" i="2"/>
  <c r="F203" i="2"/>
  <c r="E203" i="2"/>
  <c r="D203" i="2"/>
  <c r="C203" i="2"/>
  <c r="B203" i="2"/>
  <c r="A203" i="2"/>
  <c r="AH202" i="2"/>
  <c r="AG202" i="2"/>
  <c r="AE202" i="2"/>
  <c r="AC202" i="2"/>
  <c r="AB202" i="2"/>
  <c r="AA202" i="2"/>
  <c r="Z202" i="2"/>
  <c r="Y202" i="2"/>
  <c r="V202" i="2"/>
  <c r="U202" i="2"/>
  <c r="T202" i="2"/>
  <c r="S202" i="2"/>
  <c r="R202" i="2"/>
  <c r="Q202" i="2"/>
  <c r="P202" i="2"/>
  <c r="O202" i="2"/>
  <c r="N202" i="2"/>
  <c r="M202" i="2"/>
  <c r="L202" i="2"/>
  <c r="K202" i="2"/>
  <c r="J202" i="2"/>
  <c r="I202" i="2"/>
  <c r="H202" i="2"/>
  <c r="G202" i="2"/>
  <c r="F202" i="2"/>
  <c r="E202" i="2"/>
  <c r="D202" i="2"/>
  <c r="C202" i="2"/>
  <c r="B202" i="2"/>
  <c r="A202" i="2"/>
  <c r="AH201" i="2"/>
  <c r="AG201" i="2"/>
  <c r="AF201" i="2"/>
  <c r="AE201" i="2"/>
  <c r="AD201" i="2"/>
  <c r="AC201" i="2"/>
  <c r="AB201" i="2"/>
  <c r="AA201" i="2"/>
  <c r="Y201" i="2"/>
  <c r="X201" i="2"/>
  <c r="W201" i="2"/>
  <c r="V201" i="2"/>
  <c r="U201" i="2"/>
  <c r="T201" i="2"/>
  <c r="S201" i="2"/>
  <c r="R201" i="2"/>
  <c r="Q201" i="2"/>
  <c r="P201" i="2"/>
  <c r="O201" i="2"/>
  <c r="N201" i="2"/>
  <c r="M201" i="2"/>
  <c r="L201" i="2"/>
  <c r="K201" i="2"/>
  <c r="J201" i="2"/>
  <c r="I201" i="2"/>
  <c r="H201" i="2"/>
  <c r="G201" i="2"/>
  <c r="F201" i="2"/>
  <c r="E201" i="2"/>
  <c r="D201" i="2"/>
  <c r="C201" i="2"/>
  <c r="B201" i="2"/>
  <c r="A201"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D200" i="2"/>
  <c r="C200" i="2"/>
  <c r="B200" i="2"/>
  <c r="A200" i="2"/>
  <c r="AH199" i="2"/>
  <c r="AG199" i="2"/>
  <c r="AE199" i="2"/>
  <c r="AD199" i="2"/>
  <c r="AC199" i="2"/>
  <c r="AB199" i="2"/>
  <c r="AA199" i="2"/>
  <c r="Y199" i="2"/>
  <c r="X199" i="2"/>
  <c r="W199" i="2"/>
  <c r="V199" i="2"/>
  <c r="U199" i="2"/>
  <c r="T199" i="2"/>
  <c r="S199" i="2"/>
  <c r="R199" i="2"/>
  <c r="Q199" i="2"/>
  <c r="P199" i="2"/>
  <c r="O199" i="2"/>
  <c r="N199" i="2"/>
  <c r="M199" i="2"/>
  <c r="L199" i="2"/>
  <c r="K199" i="2"/>
  <c r="J199" i="2"/>
  <c r="I199" i="2"/>
  <c r="H199" i="2"/>
  <c r="G199" i="2"/>
  <c r="F199" i="2"/>
  <c r="E199" i="2"/>
  <c r="D199" i="2"/>
  <c r="C199" i="2"/>
  <c r="B199" i="2"/>
  <c r="A199" i="2"/>
  <c r="AH198" i="2"/>
  <c r="AG198" i="2"/>
  <c r="AE198" i="2"/>
  <c r="AC198" i="2"/>
  <c r="AB198" i="2"/>
  <c r="AA198" i="2"/>
  <c r="V198" i="2"/>
  <c r="U198" i="2"/>
  <c r="T198" i="2"/>
  <c r="S198" i="2"/>
  <c r="R198" i="2"/>
  <c r="Q198" i="2"/>
  <c r="P198" i="2"/>
  <c r="O198" i="2"/>
  <c r="N198" i="2"/>
  <c r="M198" i="2"/>
  <c r="L198" i="2"/>
  <c r="K198" i="2"/>
  <c r="J198" i="2"/>
  <c r="I198" i="2"/>
  <c r="H198" i="2"/>
  <c r="G198" i="2"/>
  <c r="F198" i="2"/>
  <c r="E198" i="2"/>
  <c r="D198" i="2"/>
  <c r="C198" i="2"/>
  <c r="B198" i="2"/>
  <c r="A198" i="2"/>
  <c r="AH197" i="2"/>
  <c r="AG197" i="2"/>
  <c r="AE197" i="2"/>
  <c r="AD197" i="2"/>
  <c r="AC197" i="2"/>
  <c r="AB197" i="2"/>
  <c r="AA197" i="2"/>
  <c r="X197" i="2"/>
  <c r="W197" i="2"/>
  <c r="V197" i="2"/>
  <c r="U197" i="2"/>
  <c r="T197" i="2"/>
  <c r="S197" i="2"/>
  <c r="R197" i="2"/>
  <c r="Q197" i="2"/>
  <c r="P197" i="2"/>
  <c r="O197" i="2"/>
  <c r="N197" i="2"/>
  <c r="M197" i="2"/>
  <c r="L197" i="2"/>
  <c r="K197" i="2"/>
  <c r="J197" i="2"/>
  <c r="I197" i="2"/>
  <c r="H197" i="2"/>
  <c r="G197" i="2"/>
  <c r="F197" i="2"/>
  <c r="E197" i="2"/>
  <c r="D197" i="2"/>
  <c r="C197" i="2"/>
  <c r="B197" i="2"/>
  <c r="A197" i="2"/>
  <c r="AH196" i="2"/>
  <c r="AG196" i="2"/>
  <c r="AF196" i="2"/>
  <c r="AE196" i="2"/>
  <c r="AD196" i="2"/>
  <c r="AC196" i="2"/>
  <c r="AB196" i="2"/>
  <c r="AA196" i="2"/>
  <c r="Y196" i="2"/>
  <c r="X196" i="2"/>
  <c r="W196" i="2"/>
  <c r="V196" i="2"/>
  <c r="U196" i="2"/>
  <c r="T196" i="2"/>
  <c r="S196" i="2"/>
  <c r="R196" i="2"/>
  <c r="Q196" i="2"/>
  <c r="P196" i="2"/>
  <c r="O196" i="2"/>
  <c r="N196" i="2"/>
  <c r="M196" i="2"/>
  <c r="L196" i="2"/>
  <c r="K196" i="2"/>
  <c r="J196" i="2"/>
  <c r="I196" i="2"/>
  <c r="H196" i="2"/>
  <c r="G196" i="2"/>
  <c r="F196" i="2"/>
  <c r="E196" i="2"/>
  <c r="D196" i="2"/>
  <c r="C196" i="2"/>
  <c r="B196" i="2"/>
  <c r="A196" i="2"/>
  <c r="AH195" i="2"/>
  <c r="AG195" i="2"/>
  <c r="AF195" i="2"/>
  <c r="AE195" i="2"/>
  <c r="AD195" i="2"/>
  <c r="AC195" i="2"/>
  <c r="AB195" i="2"/>
  <c r="AA195" i="2"/>
  <c r="X195" i="2"/>
  <c r="W195" i="2"/>
  <c r="V195" i="2"/>
  <c r="U195" i="2"/>
  <c r="T195" i="2"/>
  <c r="S195" i="2"/>
  <c r="R195" i="2"/>
  <c r="Q195" i="2"/>
  <c r="P195" i="2"/>
  <c r="O195" i="2"/>
  <c r="N195" i="2"/>
  <c r="M195" i="2"/>
  <c r="L195" i="2"/>
  <c r="K195" i="2"/>
  <c r="J195" i="2"/>
  <c r="I195" i="2"/>
  <c r="H195" i="2"/>
  <c r="G195" i="2"/>
  <c r="F195" i="2"/>
  <c r="E195" i="2"/>
  <c r="D195" i="2"/>
  <c r="C195" i="2"/>
  <c r="B195" i="2"/>
  <c r="A195" i="2"/>
  <c r="AG194" i="2"/>
  <c r="AE194" i="2"/>
  <c r="AD194" i="2"/>
  <c r="AC194" i="2"/>
  <c r="AB194" i="2"/>
  <c r="AA194" i="2"/>
  <c r="X194" i="2"/>
  <c r="V194" i="2"/>
  <c r="U194" i="2"/>
  <c r="T194" i="2"/>
  <c r="S194" i="2"/>
  <c r="R194" i="2"/>
  <c r="Q194" i="2"/>
  <c r="P194" i="2"/>
  <c r="O194" i="2"/>
  <c r="N194" i="2"/>
  <c r="M194" i="2"/>
  <c r="L194" i="2"/>
  <c r="K194" i="2"/>
  <c r="J194" i="2"/>
  <c r="I194" i="2"/>
  <c r="H194" i="2"/>
  <c r="G194" i="2"/>
  <c r="F194" i="2"/>
  <c r="E194" i="2"/>
  <c r="D194" i="2"/>
  <c r="C194" i="2"/>
  <c r="B194" i="2"/>
  <c r="A194" i="2"/>
  <c r="AH193" i="2"/>
  <c r="AG193" i="2"/>
  <c r="AF193" i="2"/>
  <c r="AE193" i="2"/>
  <c r="AD193" i="2"/>
  <c r="AC193" i="2"/>
  <c r="AB193" i="2"/>
  <c r="AA193" i="2"/>
  <c r="Y193" i="2"/>
  <c r="X193" i="2"/>
  <c r="W193" i="2"/>
  <c r="V193" i="2"/>
  <c r="U193" i="2"/>
  <c r="T193" i="2"/>
  <c r="S193" i="2"/>
  <c r="R193" i="2"/>
  <c r="Q193" i="2"/>
  <c r="P193" i="2"/>
  <c r="O193" i="2"/>
  <c r="N193" i="2"/>
  <c r="M193" i="2"/>
  <c r="L193" i="2"/>
  <c r="K193" i="2"/>
  <c r="J193" i="2"/>
  <c r="I193" i="2"/>
  <c r="H193" i="2"/>
  <c r="G193" i="2"/>
  <c r="F193" i="2"/>
  <c r="E193" i="2"/>
  <c r="D193" i="2"/>
  <c r="C193" i="2"/>
  <c r="B193" i="2"/>
  <c r="A193" i="2"/>
  <c r="AH192" i="2"/>
  <c r="AG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D192" i="2"/>
  <c r="C192" i="2"/>
  <c r="B192" i="2"/>
  <c r="A192" i="2"/>
  <c r="AH191" i="2"/>
  <c r="AE191" i="2"/>
  <c r="AD191" i="2"/>
  <c r="AC191" i="2"/>
  <c r="AB191" i="2"/>
  <c r="AA191" i="2"/>
  <c r="Z191" i="2"/>
  <c r="Y191" i="2"/>
  <c r="V191" i="2"/>
  <c r="U191" i="2"/>
  <c r="T191" i="2"/>
  <c r="S191" i="2"/>
  <c r="R191" i="2"/>
  <c r="Q191" i="2"/>
  <c r="P191" i="2"/>
  <c r="O191" i="2"/>
  <c r="N191" i="2"/>
  <c r="M191" i="2"/>
  <c r="L191" i="2"/>
  <c r="K191" i="2"/>
  <c r="J191" i="2"/>
  <c r="I191" i="2"/>
  <c r="H191" i="2"/>
  <c r="G191" i="2"/>
  <c r="F191" i="2"/>
  <c r="E191" i="2"/>
  <c r="D191" i="2"/>
  <c r="C191" i="2"/>
  <c r="B191" i="2"/>
  <c r="A191" i="2"/>
  <c r="AH190" i="2"/>
  <c r="AG190" i="2"/>
  <c r="AE190" i="2"/>
  <c r="AD190" i="2"/>
  <c r="AC190" i="2"/>
  <c r="AB190" i="2"/>
  <c r="AA190" i="2"/>
  <c r="V190" i="2"/>
  <c r="U190" i="2"/>
  <c r="T190" i="2"/>
  <c r="S190" i="2"/>
  <c r="R190" i="2"/>
  <c r="Q190" i="2"/>
  <c r="P190" i="2"/>
  <c r="O190" i="2"/>
  <c r="N190" i="2"/>
  <c r="M190" i="2"/>
  <c r="L190" i="2"/>
  <c r="K190" i="2"/>
  <c r="J190" i="2"/>
  <c r="I190" i="2"/>
  <c r="H190" i="2"/>
  <c r="G190" i="2"/>
  <c r="F190" i="2"/>
  <c r="E190" i="2"/>
  <c r="D190" i="2"/>
  <c r="C190" i="2"/>
  <c r="B190" i="2"/>
  <c r="A190" i="2"/>
  <c r="AH189" i="2"/>
  <c r="AG189" i="2"/>
  <c r="AE189" i="2"/>
  <c r="AD189" i="2"/>
  <c r="AC189" i="2"/>
  <c r="AB189" i="2"/>
  <c r="AA189" i="2"/>
  <c r="V189" i="2"/>
  <c r="U189" i="2"/>
  <c r="T189" i="2"/>
  <c r="S189" i="2"/>
  <c r="R189" i="2"/>
  <c r="Q189" i="2"/>
  <c r="P189" i="2"/>
  <c r="O189" i="2"/>
  <c r="N189" i="2"/>
  <c r="M189" i="2"/>
  <c r="L189" i="2"/>
  <c r="K189" i="2"/>
  <c r="J189" i="2"/>
  <c r="I189" i="2"/>
  <c r="H189" i="2"/>
  <c r="G189" i="2"/>
  <c r="F189" i="2"/>
  <c r="E189" i="2"/>
  <c r="D189" i="2"/>
  <c r="C189" i="2"/>
  <c r="B189" i="2"/>
  <c r="A189" i="2"/>
  <c r="AG188" i="2"/>
  <c r="AD188" i="2"/>
  <c r="AC188" i="2"/>
  <c r="AB188" i="2"/>
  <c r="AA188" i="2"/>
  <c r="V188" i="2"/>
  <c r="U188" i="2"/>
  <c r="T188" i="2"/>
  <c r="S188" i="2"/>
  <c r="R188" i="2"/>
  <c r="Q188" i="2"/>
  <c r="P188" i="2"/>
  <c r="O188" i="2"/>
  <c r="N188" i="2"/>
  <c r="M188" i="2"/>
  <c r="L188" i="2"/>
  <c r="K188" i="2"/>
  <c r="J188" i="2"/>
  <c r="I188" i="2"/>
  <c r="H188" i="2"/>
  <c r="G188" i="2"/>
  <c r="F188" i="2"/>
  <c r="E188" i="2"/>
  <c r="D188" i="2"/>
  <c r="C188" i="2"/>
  <c r="B188" i="2"/>
  <c r="A188" i="2"/>
  <c r="AH187" i="2"/>
  <c r="AG187" i="2"/>
  <c r="AE187" i="2"/>
  <c r="AD187" i="2"/>
  <c r="AC187" i="2"/>
  <c r="AB187" i="2"/>
  <c r="AA187" i="2"/>
  <c r="Y187" i="2"/>
  <c r="X187" i="2"/>
  <c r="W187" i="2"/>
  <c r="V187" i="2"/>
  <c r="U187" i="2"/>
  <c r="T187" i="2"/>
  <c r="S187" i="2"/>
  <c r="R187" i="2"/>
  <c r="Q187" i="2"/>
  <c r="P187" i="2"/>
  <c r="O187" i="2"/>
  <c r="N187" i="2"/>
  <c r="M187" i="2"/>
  <c r="L187" i="2"/>
  <c r="K187" i="2"/>
  <c r="J187" i="2"/>
  <c r="I187" i="2"/>
  <c r="H187" i="2"/>
  <c r="G187" i="2"/>
  <c r="F187" i="2"/>
  <c r="E187" i="2"/>
  <c r="D187" i="2"/>
  <c r="C187" i="2"/>
  <c r="B187" i="2"/>
  <c r="A187" i="2"/>
  <c r="AH186" i="2"/>
  <c r="AG186" i="2"/>
  <c r="AE186" i="2"/>
  <c r="AD186" i="2"/>
  <c r="AC186" i="2"/>
  <c r="AB186" i="2"/>
  <c r="AA186" i="2"/>
  <c r="Y186" i="2"/>
  <c r="V186" i="2"/>
  <c r="U186" i="2"/>
  <c r="T186" i="2"/>
  <c r="S186" i="2"/>
  <c r="R186" i="2"/>
  <c r="Q186" i="2"/>
  <c r="P186" i="2"/>
  <c r="O186" i="2"/>
  <c r="N186" i="2"/>
  <c r="M186" i="2"/>
  <c r="L186" i="2"/>
  <c r="K186" i="2"/>
  <c r="J186" i="2"/>
  <c r="I186" i="2"/>
  <c r="H186" i="2"/>
  <c r="G186" i="2"/>
  <c r="F186" i="2"/>
  <c r="E186" i="2"/>
  <c r="D186" i="2"/>
  <c r="C186" i="2"/>
  <c r="B186" i="2"/>
  <c r="A186" i="2"/>
  <c r="AH185" i="2"/>
  <c r="AG185" i="2"/>
  <c r="AE185" i="2"/>
  <c r="AD185" i="2"/>
  <c r="AC185" i="2"/>
  <c r="AB185" i="2"/>
  <c r="AA185" i="2"/>
  <c r="Y185" i="2"/>
  <c r="W185" i="2"/>
  <c r="V185" i="2"/>
  <c r="U185" i="2"/>
  <c r="T185" i="2"/>
  <c r="S185" i="2"/>
  <c r="R185" i="2"/>
  <c r="Q185" i="2"/>
  <c r="P185" i="2"/>
  <c r="O185" i="2"/>
  <c r="N185" i="2"/>
  <c r="M185" i="2"/>
  <c r="L185" i="2"/>
  <c r="K185" i="2"/>
  <c r="J185" i="2"/>
  <c r="I185" i="2"/>
  <c r="H185" i="2"/>
  <c r="G185" i="2"/>
  <c r="F185" i="2"/>
  <c r="E185" i="2"/>
  <c r="D185" i="2"/>
  <c r="C185" i="2"/>
  <c r="B185" i="2"/>
  <c r="A185" i="2"/>
  <c r="AH184" i="2"/>
  <c r="AG184" i="2"/>
  <c r="AF184" i="2"/>
  <c r="AE184" i="2"/>
  <c r="AD184" i="2"/>
  <c r="AC184" i="2"/>
  <c r="AB184" i="2"/>
  <c r="AA184" i="2"/>
  <c r="Y184" i="2"/>
  <c r="X184" i="2"/>
  <c r="V184" i="2"/>
  <c r="U184" i="2"/>
  <c r="T184" i="2"/>
  <c r="R184" i="2"/>
  <c r="Q184" i="2"/>
  <c r="P184" i="2"/>
  <c r="O184" i="2"/>
  <c r="N184" i="2"/>
  <c r="M184" i="2"/>
  <c r="L184" i="2"/>
  <c r="K184" i="2"/>
  <c r="J184" i="2"/>
  <c r="I184" i="2"/>
  <c r="H184" i="2"/>
  <c r="G184" i="2"/>
  <c r="F184" i="2"/>
  <c r="E184" i="2"/>
  <c r="D184" i="2"/>
  <c r="C184" i="2"/>
  <c r="B184" i="2"/>
  <c r="A184" i="2"/>
  <c r="AH183" i="2"/>
  <c r="AG183" i="2"/>
  <c r="AE183" i="2"/>
  <c r="AD183" i="2"/>
  <c r="AC183" i="2"/>
  <c r="AB183" i="2"/>
  <c r="AA183" i="2"/>
  <c r="Y183" i="2"/>
  <c r="V183" i="2"/>
  <c r="U183" i="2"/>
  <c r="T183" i="2"/>
  <c r="S183" i="2"/>
  <c r="R183" i="2"/>
  <c r="Q183" i="2"/>
  <c r="P183" i="2"/>
  <c r="O183" i="2"/>
  <c r="N183" i="2"/>
  <c r="M183" i="2"/>
  <c r="L183" i="2"/>
  <c r="K183" i="2"/>
  <c r="J183" i="2"/>
  <c r="I183" i="2"/>
  <c r="H183" i="2"/>
  <c r="G183" i="2"/>
  <c r="F183" i="2"/>
  <c r="E183" i="2"/>
  <c r="D183" i="2"/>
  <c r="C183" i="2"/>
  <c r="B183" i="2"/>
  <c r="A183" i="2"/>
  <c r="AH182" i="2"/>
  <c r="AG182" i="2"/>
  <c r="AC182" i="2"/>
  <c r="AB182" i="2"/>
  <c r="AA182" i="2"/>
  <c r="Y182" i="2"/>
  <c r="X182" i="2"/>
  <c r="V182" i="2"/>
  <c r="U182" i="2"/>
  <c r="T182" i="2"/>
  <c r="S182" i="2"/>
  <c r="R182" i="2"/>
  <c r="Q182" i="2"/>
  <c r="P182" i="2"/>
  <c r="O182" i="2"/>
  <c r="N182" i="2"/>
  <c r="M182" i="2"/>
  <c r="L182" i="2"/>
  <c r="K182" i="2"/>
  <c r="J182" i="2"/>
  <c r="I182" i="2"/>
  <c r="H182" i="2"/>
  <c r="G182" i="2"/>
  <c r="F182" i="2"/>
  <c r="E182" i="2"/>
  <c r="D182" i="2"/>
  <c r="C182" i="2"/>
  <c r="B182" i="2"/>
  <c r="A182" i="2"/>
  <c r="AH181" i="2"/>
  <c r="AG181" i="2"/>
  <c r="AE181" i="2"/>
  <c r="AC181" i="2"/>
  <c r="AB181" i="2"/>
  <c r="AA181" i="2"/>
  <c r="Z181" i="2"/>
  <c r="Y181" i="2"/>
  <c r="V181" i="2"/>
  <c r="U181" i="2"/>
  <c r="T181" i="2"/>
  <c r="S181" i="2"/>
  <c r="R181" i="2"/>
  <c r="Q181" i="2"/>
  <c r="P181" i="2"/>
  <c r="O181" i="2"/>
  <c r="N181" i="2"/>
  <c r="M181" i="2"/>
  <c r="L181" i="2"/>
  <c r="K181" i="2"/>
  <c r="J181" i="2"/>
  <c r="I181" i="2"/>
  <c r="H181" i="2"/>
  <c r="G181" i="2"/>
  <c r="F181" i="2"/>
  <c r="E181" i="2"/>
  <c r="D181" i="2"/>
  <c r="C181" i="2"/>
  <c r="B181" i="2"/>
  <c r="A181" i="2"/>
  <c r="AH180" i="2"/>
  <c r="AG180" i="2"/>
  <c r="AE180" i="2"/>
  <c r="AC180" i="2"/>
  <c r="AB180" i="2"/>
  <c r="AA180" i="2"/>
  <c r="Y180" i="2"/>
  <c r="X180" i="2"/>
  <c r="V180" i="2"/>
  <c r="U180" i="2"/>
  <c r="T180" i="2"/>
  <c r="R180" i="2"/>
  <c r="Q180" i="2"/>
  <c r="P180" i="2"/>
  <c r="O180" i="2"/>
  <c r="N180" i="2"/>
  <c r="M180" i="2"/>
  <c r="L180" i="2"/>
  <c r="K180" i="2"/>
  <c r="J180" i="2"/>
  <c r="I180" i="2"/>
  <c r="H180" i="2"/>
  <c r="G180" i="2"/>
  <c r="F180" i="2"/>
  <c r="E180" i="2"/>
  <c r="D180" i="2"/>
  <c r="C180" i="2"/>
  <c r="B180" i="2"/>
  <c r="A180" i="2"/>
  <c r="AH179" i="2"/>
  <c r="AG179" i="2"/>
  <c r="AF179" i="2"/>
  <c r="AE179" i="2"/>
  <c r="AD179" i="2"/>
  <c r="AC179" i="2"/>
  <c r="AB179" i="2"/>
  <c r="AA179" i="2"/>
  <c r="Y179" i="2"/>
  <c r="X179" i="2"/>
  <c r="V179" i="2"/>
  <c r="U179" i="2"/>
  <c r="T179" i="2"/>
  <c r="S179" i="2"/>
  <c r="R179" i="2"/>
  <c r="Q179" i="2"/>
  <c r="P179" i="2"/>
  <c r="O179" i="2"/>
  <c r="N179" i="2"/>
  <c r="M179" i="2"/>
  <c r="L179" i="2"/>
  <c r="K179" i="2"/>
  <c r="J179" i="2"/>
  <c r="I179" i="2"/>
  <c r="H179" i="2"/>
  <c r="G179" i="2"/>
  <c r="F179" i="2"/>
  <c r="E179" i="2"/>
  <c r="D179" i="2"/>
  <c r="C179" i="2"/>
  <c r="B179" i="2"/>
  <c r="A179" i="2"/>
  <c r="AH178" i="2"/>
  <c r="AG178" i="2"/>
  <c r="AE178" i="2"/>
  <c r="AD178" i="2"/>
  <c r="AC178" i="2"/>
  <c r="AB178" i="2"/>
  <c r="AA178" i="2"/>
  <c r="Y178" i="2"/>
  <c r="V178" i="2"/>
  <c r="U178" i="2"/>
  <c r="T178" i="2"/>
  <c r="S178" i="2"/>
  <c r="R178" i="2"/>
  <c r="Q178" i="2"/>
  <c r="P178" i="2"/>
  <c r="O178" i="2"/>
  <c r="N178" i="2"/>
  <c r="M178" i="2"/>
  <c r="L178" i="2"/>
  <c r="K178" i="2"/>
  <c r="J178" i="2"/>
  <c r="I178" i="2"/>
  <c r="H178" i="2"/>
  <c r="G178" i="2"/>
  <c r="F178" i="2"/>
  <c r="E178" i="2"/>
  <c r="D178" i="2"/>
  <c r="C178" i="2"/>
  <c r="B178" i="2"/>
  <c r="A178" i="2"/>
  <c r="AH177" i="2"/>
  <c r="AG177" i="2"/>
  <c r="AF177" i="2"/>
  <c r="AE177" i="2"/>
  <c r="AD177" i="2"/>
  <c r="AC177" i="2"/>
  <c r="AB177" i="2"/>
  <c r="AA177" i="2"/>
  <c r="Y177" i="2"/>
  <c r="X177" i="2"/>
  <c r="W177" i="2"/>
  <c r="V177" i="2"/>
  <c r="U177" i="2"/>
  <c r="T177" i="2"/>
  <c r="S177" i="2"/>
  <c r="R177" i="2"/>
  <c r="Q177" i="2"/>
  <c r="P177" i="2"/>
  <c r="O177" i="2"/>
  <c r="N177" i="2"/>
  <c r="M177" i="2"/>
  <c r="L177" i="2"/>
  <c r="K177" i="2"/>
  <c r="J177" i="2"/>
  <c r="I177" i="2"/>
  <c r="H177" i="2"/>
  <c r="G177" i="2"/>
  <c r="F177" i="2"/>
  <c r="E177" i="2"/>
  <c r="D177" i="2"/>
  <c r="C177" i="2"/>
  <c r="B177" i="2"/>
  <c r="A177" i="2"/>
  <c r="AH176" i="2"/>
  <c r="AG176" i="2"/>
  <c r="AE176" i="2"/>
  <c r="AD176" i="2"/>
  <c r="AC176" i="2"/>
  <c r="AB176" i="2"/>
  <c r="AA176" i="2"/>
  <c r="Y176" i="2"/>
  <c r="X176" i="2"/>
  <c r="V176" i="2"/>
  <c r="U176" i="2"/>
  <c r="T176" i="2"/>
  <c r="S176" i="2"/>
  <c r="R176" i="2"/>
  <c r="Q176" i="2"/>
  <c r="P176" i="2"/>
  <c r="O176" i="2"/>
  <c r="N176" i="2"/>
  <c r="M176" i="2"/>
  <c r="L176" i="2"/>
  <c r="K176" i="2"/>
  <c r="J176" i="2"/>
  <c r="I176" i="2"/>
  <c r="H176" i="2"/>
  <c r="G176" i="2"/>
  <c r="F176" i="2"/>
  <c r="E176" i="2"/>
  <c r="D176" i="2"/>
  <c r="C176" i="2"/>
  <c r="B176" i="2"/>
  <c r="A176" i="2"/>
  <c r="AH175" i="2"/>
  <c r="AG175" i="2"/>
  <c r="AF175" i="2"/>
  <c r="AE175" i="2"/>
  <c r="AD175" i="2"/>
  <c r="AC175" i="2"/>
  <c r="AB175" i="2"/>
  <c r="AA175" i="2"/>
  <c r="Y175" i="2"/>
  <c r="X175" i="2"/>
  <c r="W175" i="2"/>
  <c r="V175" i="2"/>
  <c r="U175" i="2"/>
  <c r="T175" i="2"/>
  <c r="S175" i="2"/>
  <c r="R175" i="2"/>
  <c r="Q175" i="2"/>
  <c r="P175" i="2"/>
  <c r="O175" i="2"/>
  <c r="N175" i="2"/>
  <c r="M175" i="2"/>
  <c r="L175" i="2"/>
  <c r="K175" i="2"/>
  <c r="J175" i="2"/>
  <c r="I175" i="2"/>
  <c r="H175" i="2"/>
  <c r="G175" i="2"/>
  <c r="F175" i="2"/>
  <c r="E175" i="2"/>
  <c r="D175" i="2"/>
  <c r="C175" i="2"/>
  <c r="B175" i="2"/>
  <c r="A175" i="2"/>
  <c r="AH174" i="2"/>
  <c r="AG174" i="2"/>
  <c r="AE174" i="2"/>
  <c r="AD174" i="2"/>
  <c r="AC174" i="2"/>
  <c r="AB174" i="2"/>
  <c r="AA174" i="2"/>
  <c r="X174" i="2"/>
  <c r="W174" i="2"/>
  <c r="V174" i="2"/>
  <c r="U174" i="2"/>
  <c r="T174" i="2"/>
  <c r="S174" i="2"/>
  <c r="R174" i="2"/>
  <c r="Q174" i="2"/>
  <c r="P174" i="2"/>
  <c r="O174" i="2"/>
  <c r="N174" i="2"/>
  <c r="M174" i="2"/>
  <c r="L174" i="2"/>
  <c r="K174" i="2"/>
  <c r="J174" i="2"/>
  <c r="I174" i="2"/>
  <c r="H174" i="2"/>
  <c r="G174" i="2"/>
  <c r="F174" i="2"/>
  <c r="E174" i="2"/>
  <c r="D174" i="2"/>
  <c r="C174" i="2"/>
  <c r="B174" i="2"/>
  <c r="A174" i="2"/>
  <c r="AH173" i="2"/>
  <c r="AG173" i="2"/>
  <c r="AF173" i="2"/>
  <c r="AE173" i="2"/>
  <c r="AD173" i="2"/>
  <c r="AC173" i="2"/>
  <c r="AB173" i="2"/>
  <c r="AA173" i="2"/>
  <c r="Y173" i="2"/>
  <c r="X173" i="2"/>
  <c r="W173" i="2"/>
  <c r="V173" i="2"/>
  <c r="U173" i="2"/>
  <c r="T173" i="2"/>
  <c r="S173" i="2"/>
  <c r="R173" i="2"/>
  <c r="Q173" i="2"/>
  <c r="P173" i="2"/>
  <c r="O173" i="2"/>
  <c r="N173" i="2"/>
  <c r="M173" i="2"/>
  <c r="L173" i="2"/>
  <c r="K173" i="2"/>
  <c r="J173" i="2"/>
  <c r="I173" i="2"/>
  <c r="H173" i="2"/>
  <c r="G173" i="2"/>
  <c r="F173" i="2"/>
  <c r="E173" i="2"/>
  <c r="D173" i="2"/>
  <c r="C173" i="2"/>
  <c r="B173" i="2"/>
  <c r="A173" i="2"/>
  <c r="AH172" i="2"/>
  <c r="AG172" i="2"/>
  <c r="AE172" i="2"/>
  <c r="AD172" i="2"/>
  <c r="AC172" i="2"/>
  <c r="AB172" i="2"/>
  <c r="AA172" i="2"/>
  <c r="Y172" i="2"/>
  <c r="V172" i="2"/>
  <c r="U172" i="2"/>
  <c r="T172" i="2"/>
  <c r="S172" i="2"/>
  <c r="R172" i="2"/>
  <c r="Q172" i="2"/>
  <c r="P172" i="2"/>
  <c r="O172" i="2"/>
  <c r="N172" i="2"/>
  <c r="M172" i="2"/>
  <c r="L172" i="2"/>
  <c r="K172" i="2"/>
  <c r="J172" i="2"/>
  <c r="I172" i="2"/>
  <c r="H172" i="2"/>
  <c r="G172" i="2"/>
  <c r="F172" i="2"/>
  <c r="E172" i="2"/>
  <c r="D172" i="2"/>
  <c r="C172" i="2"/>
  <c r="B172" i="2"/>
  <c r="A172" i="2"/>
  <c r="AG171" i="2"/>
  <c r="AE171" i="2"/>
  <c r="AD171" i="2"/>
  <c r="AC171" i="2"/>
  <c r="AB171" i="2"/>
  <c r="AA171" i="2"/>
  <c r="X171" i="2"/>
  <c r="W171" i="2"/>
  <c r="V171" i="2"/>
  <c r="U171" i="2"/>
  <c r="T171" i="2"/>
  <c r="S171" i="2"/>
  <c r="R171" i="2"/>
  <c r="Q171" i="2"/>
  <c r="P171" i="2"/>
  <c r="O171" i="2"/>
  <c r="N171" i="2"/>
  <c r="M171" i="2"/>
  <c r="L171" i="2"/>
  <c r="K171" i="2"/>
  <c r="J171" i="2"/>
  <c r="I171" i="2"/>
  <c r="H171" i="2"/>
  <c r="G171" i="2"/>
  <c r="F171" i="2"/>
  <c r="E171" i="2"/>
  <c r="D171" i="2"/>
  <c r="C171" i="2"/>
  <c r="B171" i="2"/>
  <c r="A171" i="2"/>
  <c r="AH170" i="2"/>
  <c r="AG170" i="2"/>
  <c r="AF170" i="2"/>
  <c r="AE170" i="2"/>
  <c r="AD170" i="2"/>
  <c r="AC170" i="2"/>
  <c r="AB170" i="2"/>
  <c r="AA170" i="2"/>
  <c r="Y170" i="2"/>
  <c r="X170" i="2"/>
  <c r="W170" i="2"/>
  <c r="V170" i="2"/>
  <c r="U170" i="2"/>
  <c r="T170" i="2"/>
  <c r="S170" i="2"/>
  <c r="R170" i="2"/>
  <c r="Q170" i="2"/>
  <c r="P170" i="2"/>
  <c r="O170" i="2"/>
  <c r="M170" i="2"/>
  <c r="L170" i="2"/>
  <c r="K170" i="2"/>
  <c r="J170" i="2"/>
  <c r="I170" i="2"/>
  <c r="H170" i="2"/>
  <c r="G170" i="2"/>
  <c r="F170" i="2"/>
  <c r="E170" i="2"/>
  <c r="D170" i="2"/>
  <c r="C170" i="2"/>
  <c r="B170" i="2"/>
  <c r="A170" i="2"/>
  <c r="AH169" i="2"/>
  <c r="AG169" i="2"/>
  <c r="AE169" i="2"/>
  <c r="AD169" i="2"/>
  <c r="AC169" i="2"/>
  <c r="AB169" i="2"/>
  <c r="AA169" i="2"/>
  <c r="Y169" i="2"/>
  <c r="X169" i="2"/>
  <c r="V169" i="2"/>
  <c r="U169" i="2"/>
  <c r="T169" i="2"/>
  <c r="S169" i="2"/>
  <c r="R169" i="2"/>
  <c r="Q169" i="2"/>
  <c r="P169" i="2"/>
  <c r="O169" i="2"/>
  <c r="N169" i="2"/>
  <c r="M169" i="2"/>
  <c r="L169" i="2"/>
  <c r="K169" i="2"/>
  <c r="J169" i="2"/>
  <c r="I169" i="2"/>
  <c r="H169" i="2"/>
  <c r="G169" i="2"/>
  <c r="F169" i="2"/>
  <c r="E169" i="2"/>
  <c r="D169" i="2"/>
  <c r="C169" i="2"/>
  <c r="B169" i="2"/>
  <c r="A169" i="2"/>
  <c r="AH168" i="2"/>
  <c r="AG168" i="2"/>
  <c r="AE168" i="2"/>
  <c r="AD168" i="2"/>
  <c r="AC168" i="2"/>
  <c r="AB168" i="2"/>
  <c r="AA168" i="2"/>
  <c r="W168" i="2"/>
  <c r="V168" i="2"/>
  <c r="U168" i="2"/>
  <c r="T168" i="2"/>
  <c r="S168" i="2"/>
  <c r="R168" i="2"/>
  <c r="Q168" i="2"/>
  <c r="P168" i="2"/>
  <c r="O168" i="2"/>
  <c r="N168" i="2"/>
  <c r="M168" i="2"/>
  <c r="L168" i="2"/>
  <c r="K168" i="2"/>
  <c r="J168" i="2"/>
  <c r="I168" i="2"/>
  <c r="H168" i="2"/>
  <c r="G168" i="2"/>
  <c r="F168" i="2"/>
  <c r="E168" i="2"/>
  <c r="D168" i="2"/>
  <c r="C168" i="2"/>
  <c r="B168" i="2"/>
  <c r="A168" i="2"/>
  <c r="AH167" i="2"/>
  <c r="AG167" i="2"/>
  <c r="AF167" i="2"/>
  <c r="AE167" i="2"/>
  <c r="AD167" i="2"/>
  <c r="AC167" i="2"/>
  <c r="AB167" i="2"/>
  <c r="AA167" i="2"/>
  <c r="Y167" i="2"/>
  <c r="X167" i="2"/>
  <c r="W167" i="2"/>
  <c r="V167" i="2"/>
  <c r="U167" i="2"/>
  <c r="T167" i="2"/>
  <c r="S167" i="2"/>
  <c r="R167" i="2"/>
  <c r="Q167" i="2"/>
  <c r="P167" i="2"/>
  <c r="O167" i="2"/>
  <c r="N167" i="2"/>
  <c r="M167" i="2"/>
  <c r="L167" i="2"/>
  <c r="K167" i="2"/>
  <c r="J167" i="2"/>
  <c r="I167" i="2"/>
  <c r="H167" i="2"/>
  <c r="G167" i="2"/>
  <c r="F167" i="2"/>
  <c r="E167" i="2"/>
  <c r="D167" i="2"/>
  <c r="C167" i="2"/>
  <c r="B167" i="2"/>
  <c r="A167" i="2"/>
  <c r="AH166" i="2"/>
  <c r="AG166" i="2"/>
  <c r="AE166" i="2"/>
  <c r="AD166" i="2"/>
  <c r="AC166" i="2"/>
  <c r="AB166" i="2"/>
  <c r="AA166" i="2"/>
  <c r="Y166" i="2"/>
  <c r="X166" i="2"/>
  <c r="W166" i="2"/>
  <c r="V166" i="2"/>
  <c r="U166" i="2"/>
  <c r="T166" i="2"/>
  <c r="S166" i="2"/>
  <c r="R166" i="2"/>
  <c r="Q166" i="2"/>
  <c r="P166" i="2"/>
  <c r="O166" i="2"/>
  <c r="N166" i="2"/>
  <c r="M166" i="2"/>
  <c r="L166" i="2"/>
  <c r="K166" i="2"/>
  <c r="J166" i="2"/>
  <c r="I166" i="2"/>
  <c r="H166" i="2"/>
  <c r="G166" i="2"/>
  <c r="F166" i="2"/>
  <c r="E166" i="2"/>
  <c r="D166" i="2"/>
  <c r="C166" i="2"/>
  <c r="B166" i="2"/>
  <c r="A166" i="2"/>
  <c r="AH165" i="2"/>
  <c r="AG165" i="2"/>
  <c r="AE165" i="2"/>
  <c r="AD165" i="2"/>
  <c r="AC165" i="2"/>
  <c r="AB165" i="2"/>
  <c r="AA165" i="2"/>
  <c r="Y165" i="2"/>
  <c r="V165" i="2"/>
  <c r="U165" i="2"/>
  <c r="T165" i="2"/>
  <c r="S165" i="2"/>
  <c r="R165" i="2"/>
  <c r="Q165" i="2"/>
  <c r="P165" i="2"/>
  <c r="O165" i="2"/>
  <c r="N165" i="2"/>
  <c r="M165" i="2"/>
  <c r="L165" i="2"/>
  <c r="K165" i="2"/>
  <c r="J165" i="2"/>
  <c r="I165" i="2"/>
  <c r="H165" i="2"/>
  <c r="G165" i="2"/>
  <c r="F165" i="2"/>
  <c r="E165" i="2"/>
  <c r="D165" i="2"/>
  <c r="C165" i="2"/>
  <c r="B165" i="2"/>
  <c r="A165" i="2"/>
  <c r="AH164" i="2"/>
  <c r="AG164" i="2"/>
  <c r="AE164" i="2"/>
  <c r="AD164" i="2"/>
  <c r="AC164" i="2"/>
  <c r="AB164" i="2"/>
  <c r="AA164" i="2"/>
  <c r="Y164" i="2"/>
  <c r="X164" i="2"/>
  <c r="W164" i="2"/>
  <c r="V164" i="2"/>
  <c r="U164" i="2"/>
  <c r="T164" i="2"/>
  <c r="S164" i="2"/>
  <c r="R164" i="2"/>
  <c r="Q164" i="2"/>
  <c r="P164" i="2"/>
  <c r="O164" i="2"/>
  <c r="N164" i="2"/>
  <c r="M164" i="2"/>
  <c r="L164" i="2"/>
  <c r="K164" i="2"/>
  <c r="J164" i="2"/>
  <c r="I164" i="2"/>
  <c r="H164" i="2"/>
  <c r="G164" i="2"/>
  <c r="F164" i="2"/>
  <c r="E164" i="2"/>
  <c r="D164" i="2"/>
  <c r="C164" i="2"/>
  <c r="B164" i="2"/>
  <c r="A164" i="2"/>
  <c r="AH163" i="2"/>
  <c r="AG163" i="2"/>
  <c r="AF163" i="2"/>
  <c r="AE163" i="2"/>
  <c r="AD163" i="2"/>
  <c r="AC163" i="2"/>
  <c r="AB163" i="2"/>
  <c r="AA163" i="2"/>
  <c r="Y163" i="2"/>
  <c r="X163" i="2"/>
  <c r="W163" i="2"/>
  <c r="V163" i="2"/>
  <c r="U163" i="2"/>
  <c r="T163" i="2"/>
  <c r="S163" i="2"/>
  <c r="R163" i="2"/>
  <c r="Q163" i="2"/>
  <c r="P163" i="2"/>
  <c r="O163" i="2"/>
  <c r="N163" i="2"/>
  <c r="M163" i="2"/>
  <c r="L163" i="2"/>
  <c r="K163" i="2"/>
  <c r="J163" i="2"/>
  <c r="I163" i="2"/>
  <c r="H163" i="2"/>
  <c r="G163" i="2"/>
  <c r="F163" i="2"/>
  <c r="E163" i="2"/>
  <c r="D163" i="2"/>
  <c r="C163" i="2"/>
  <c r="B163" i="2"/>
  <c r="A163" i="2"/>
  <c r="AH162" i="2"/>
  <c r="AG162" i="2"/>
  <c r="AE162" i="2"/>
  <c r="AD162" i="2"/>
  <c r="AC162" i="2"/>
  <c r="AB162" i="2"/>
  <c r="AA162" i="2"/>
  <c r="V162" i="2"/>
  <c r="U162" i="2"/>
  <c r="T162" i="2"/>
  <c r="S162" i="2"/>
  <c r="R162" i="2"/>
  <c r="Q162" i="2"/>
  <c r="P162" i="2"/>
  <c r="O162" i="2"/>
  <c r="N162" i="2"/>
  <c r="M162" i="2"/>
  <c r="L162" i="2"/>
  <c r="K162" i="2"/>
  <c r="J162" i="2"/>
  <c r="I162" i="2"/>
  <c r="H162" i="2"/>
  <c r="G162" i="2"/>
  <c r="F162" i="2"/>
  <c r="E162" i="2"/>
  <c r="D162" i="2"/>
  <c r="C162" i="2"/>
  <c r="B162" i="2"/>
  <c r="A162" i="2"/>
  <c r="AH161" i="2"/>
  <c r="AG161" i="2"/>
  <c r="AE161" i="2"/>
  <c r="AD161" i="2"/>
  <c r="AC161" i="2"/>
  <c r="AB161" i="2"/>
  <c r="AA161" i="2"/>
  <c r="Y161" i="2"/>
  <c r="X161" i="2"/>
  <c r="W161" i="2"/>
  <c r="V161" i="2"/>
  <c r="U161" i="2"/>
  <c r="T161" i="2"/>
  <c r="S161" i="2"/>
  <c r="R161" i="2"/>
  <c r="Q161" i="2"/>
  <c r="P161" i="2"/>
  <c r="O161" i="2"/>
  <c r="N161" i="2"/>
  <c r="M161" i="2"/>
  <c r="L161" i="2"/>
  <c r="K161" i="2"/>
  <c r="J161" i="2"/>
  <c r="I161" i="2"/>
  <c r="H161" i="2"/>
  <c r="G161" i="2"/>
  <c r="F161" i="2"/>
  <c r="E161" i="2"/>
  <c r="D161" i="2"/>
  <c r="C161" i="2"/>
  <c r="B161" i="2"/>
  <c r="A161" i="2"/>
  <c r="AH160" i="2"/>
  <c r="AG160" i="2"/>
  <c r="AF160" i="2"/>
  <c r="AE160" i="2"/>
  <c r="AD160" i="2"/>
  <c r="AC160" i="2"/>
  <c r="AB160" i="2"/>
  <c r="AA160" i="2"/>
  <c r="Y160" i="2"/>
  <c r="X160" i="2"/>
  <c r="W160" i="2"/>
  <c r="V160" i="2"/>
  <c r="U160" i="2"/>
  <c r="T160" i="2"/>
  <c r="S160" i="2"/>
  <c r="R160" i="2"/>
  <c r="Q160" i="2"/>
  <c r="P160" i="2"/>
  <c r="O160" i="2"/>
  <c r="N160" i="2"/>
  <c r="M160" i="2"/>
  <c r="L160" i="2"/>
  <c r="K160" i="2"/>
  <c r="J160" i="2"/>
  <c r="I160" i="2"/>
  <c r="H160" i="2"/>
  <c r="G160" i="2"/>
  <c r="F160" i="2"/>
  <c r="E160" i="2"/>
  <c r="D160" i="2"/>
  <c r="C160" i="2"/>
  <c r="B160" i="2"/>
  <c r="A160" i="2"/>
  <c r="AG159" i="2"/>
  <c r="AE159" i="2"/>
  <c r="AD159" i="2"/>
  <c r="AC159" i="2"/>
  <c r="AB159" i="2"/>
  <c r="AA159" i="2"/>
  <c r="X159" i="2"/>
  <c r="V159" i="2"/>
  <c r="U159" i="2"/>
  <c r="T159" i="2"/>
  <c r="R159" i="2"/>
  <c r="Q159" i="2"/>
  <c r="P159" i="2"/>
  <c r="O159" i="2"/>
  <c r="N159" i="2"/>
  <c r="M159" i="2"/>
  <c r="L159" i="2"/>
  <c r="K159" i="2"/>
  <c r="J159" i="2"/>
  <c r="I159" i="2"/>
  <c r="H159" i="2"/>
  <c r="G159" i="2"/>
  <c r="F159" i="2"/>
  <c r="E159" i="2"/>
  <c r="D159" i="2"/>
  <c r="C159" i="2"/>
  <c r="B159" i="2"/>
  <c r="A159" i="2"/>
  <c r="AH158" i="2"/>
  <c r="AG158" i="2"/>
  <c r="AF158" i="2"/>
  <c r="AE158" i="2"/>
  <c r="AD158" i="2"/>
  <c r="AC158" i="2"/>
  <c r="AB158" i="2"/>
  <c r="AA158" i="2"/>
  <c r="Y158" i="2"/>
  <c r="X158" i="2"/>
  <c r="W158" i="2"/>
  <c r="V158" i="2"/>
  <c r="U158" i="2"/>
  <c r="T158" i="2"/>
  <c r="S158" i="2"/>
  <c r="R158" i="2"/>
  <c r="Q158" i="2"/>
  <c r="P158" i="2"/>
  <c r="O158" i="2"/>
  <c r="N158" i="2"/>
  <c r="M158" i="2"/>
  <c r="L158" i="2"/>
  <c r="K158" i="2"/>
  <c r="J158" i="2"/>
  <c r="I158" i="2"/>
  <c r="H158" i="2"/>
  <c r="G158" i="2"/>
  <c r="F158" i="2"/>
  <c r="E158" i="2"/>
  <c r="D158" i="2"/>
  <c r="C158" i="2"/>
  <c r="B158" i="2"/>
  <c r="A158" i="2"/>
  <c r="AH157" i="2"/>
  <c r="AG157" i="2"/>
  <c r="AF157" i="2"/>
  <c r="AE157" i="2"/>
  <c r="AD157" i="2"/>
  <c r="AC157" i="2"/>
  <c r="AB157" i="2"/>
  <c r="AA157" i="2"/>
  <c r="Y157" i="2"/>
  <c r="X157" i="2"/>
  <c r="W157" i="2"/>
  <c r="V157" i="2"/>
  <c r="U157" i="2"/>
  <c r="T157" i="2"/>
  <c r="S157" i="2"/>
  <c r="R157" i="2"/>
  <c r="Q157" i="2"/>
  <c r="P157" i="2"/>
  <c r="O157" i="2"/>
  <c r="N157" i="2"/>
  <c r="M157" i="2"/>
  <c r="L157" i="2"/>
  <c r="K157" i="2"/>
  <c r="J157" i="2"/>
  <c r="I157" i="2"/>
  <c r="H157" i="2"/>
  <c r="G157" i="2"/>
  <c r="F157" i="2"/>
  <c r="E157" i="2"/>
  <c r="D157" i="2"/>
  <c r="C157" i="2"/>
  <c r="B157" i="2"/>
  <c r="A157" i="2"/>
  <c r="AH156" i="2"/>
  <c r="AG156" i="2"/>
  <c r="AF156" i="2"/>
  <c r="AD156" i="2"/>
  <c r="AC156" i="2"/>
  <c r="AB156" i="2"/>
  <c r="AA156" i="2"/>
  <c r="Y156" i="2"/>
  <c r="X156" i="2"/>
  <c r="W156" i="2"/>
  <c r="V156" i="2"/>
  <c r="U156" i="2"/>
  <c r="T156" i="2"/>
  <c r="S156" i="2"/>
  <c r="R156" i="2"/>
  <c r="Q156" i="2"/>
  <c r="P156" i="2"/>
  <c r="O156" i="2"/>
  <c r="N156" i="2"/>
  <c r="M156" i="2"/>
  <c r="L156" i="2"/>
  <c r="K156" i="2"/>
  <c r="J156" i="2"/>
  <c r="I156" i="2"/>
  <c r="H156" i="2"/>
  <c r="G156" i="2"/>
  <c r="F156" i="2"/>
  <c r="E156" i="2"/>
  <c r="D156" i="2"/>
  <c r="C156" i="2"/>
  <c r="B156" i="2"/>
  <c r="A156" i="2"/>
  <c r="AH155" i="2"/>
  <c r="AG155" i="2"/>
  <c r="AF155" i="2"/>
  <c r="AE155" i="2"/>
  <c r="AD155" i="2"/>
  <c r="AC155" i="2"/>
  <c r="AB155" i="2"/>
  <c r="AA155" i="2"/>
  <c r="Y155" i="2"/>
  <c r="X155" i="2"/>
  <c r="V155" i="2"/>
  <c r="U155" i="2"/>
  <c r="T155" i="2"/>
  <c r="S155" i="2"/>
  <c r="R155" i="2"/>
  <c r="Q155" i="2"/>
  <c r="P155" i="2"/>
  <c r="O155" i="2"/>
  <c r="N155" i="2"/>
  <c r="M155" i="2"/>
  <c r="L155" i="2"/>
  <c r="K155" i="2"/>
  <c r="J155" i="2"/>
  <c r="I155" i="2"/>
  <c r="H155" i="2"/>
  <c r="G155" i="2"/>
  <c r="F155" i="2"/>
  <c r="E155" i="2"/>
  <c r="D155" i="2"/>
  <c r="C155" i="2"/>
  <c r="B155" i="2"/>
  <c r="A155" i="2"/>
  <c r="AH154" i="2"/>
  <c r="AG154" i="2"/>
  <c r="AE154" i="2"/>
  <c r="AD154" i="2"/>
  <c r="AC154" i="2"/>
  <c r="AB154" i="2"/>
  <c r="AA154" i="2"/>
  <c r="V154" i="2"/>
  <c r="U154" i="2"/>
  <c r="T154" i="2"/>
  <c r="S154" i="2"/>
  <c r="R154" i="2"/>
  <c r="Q154" i="2"/>
  <c r="P154" i="2"/>
  <c r="O154" i="2"/>
  <c r="N154" i="2"/>
  <c r="M154" i="2"/>
  <c r="L154" i="2"/>
  <c r="K154" i="2"/>
  <c r="J154" i="2"/>
  <c r="I154" i="2"/>
  <c r="H154" i="2"/>
  <c r="G154" i="2"/>
  <c r="F154" i="2"/>
  <c r="E154" i="2"/>
  <c r="D154" i="2"/>
  <c r="C154" i="2"/>
  <c r="B154" i="2"/>
  <c r="A154" i="2"/>
  <c r="AG153" i="2"/>
  <c r="AE153" i="2"/>
  <c r="AD153" i="2"/>
  <c r="AC153" i="2"/>
  <c r="AB153" i="2"/>
  <c r="AA153" i="2"/>
  <c r="W153" i="2"/>
  <c r="V153" i="2"/>
  <c r="U153" i="2"/>
  <c r="T153" i="2"/>
  <c r="S153" i="2"/>
  <c r="R153" i="2"/>
  <c r="Q153" i="2"/>
  <c r="P153" i="2"/>
  <c r="O153" i="2"/>
  <c r="N153" i="2"/>
  <c r="M153" i="2"/>
  <c r="L153" i="2"/>
  <c r="K153" i="2"/>
  <c r="J153" i="2"/>
  <c r="I153" i="2"/>
  <c r="H153" i="2"/>
  <c r="G153" i="2"/>
  <c r="F153" i="2"/>
  <c r="E153" i="2"/>
  <c r="D153" i="2"/>
  <c r="C153" i="2"/>
  <c r="B153" i="2"/>
  <c r="A153" i="2"/>
  <c r="AH152" i="2"/>
  <c r="AG152" i="2"/>
  <c r="AD152" i="2"/>
  <c r="AC152" i="2"/>
  <c r="AB152" i="2"/>
  <c r="AA152" i="2"/>
  <c r="V152" i="2"/>
  <c r="U152" i="2"/>
  <c r="T152" i="2"/>
  <c r="S152" i="2"/>
  <c r="R152" i="2"/>
  <c r="Q152" i="2"/>
  <c r="P152" i="2"/>
  <c r="O152" i="2"/>
  <c r="N152" i="2"/>
  <c r="M152" i="2"/>
  <c r="L152" i="2"/>
  <c r="K152" i="2"/>
  <c r="J152" i="2"/>
  <c r="I152" i="2"/>
  <c r="H152" i="2"/>
  <c r="G152" i="2"/>
  <c r="F152" i="2"/>
  <c r="E152" i="2"/>
  <c r="D152" i="2"/>
  <c r="C152" i="2"/>
  <c r="B152" i="2"/>
  <c r="A152" i="2"/>
  <c r="AH151" i="2"/>
  <c r="AG151" i="2"/>
  <c r="AF151" i="2"/>
  <c r="AE151" i="2"/>
  <c r="AD151" i="2"/>
  <c r="AC151" i="2"/>
  <c r="AB151" i="2"/>
  <c r="AA151" i="2"/>
  <c r="Y151" i="2"/>
  <c r="X151" i="2"/>
  <c r="W151" i="2"/>
  <c r="V151" i="2"/>
  <c r="U151" i="2"/>
  <c r="T151" i="2"/>
  <c r="S151" i="2"/>
  <c r="R151" i="2"/>
  <c r="Q151" i="2"/>
  <c r="P151" i="2"/>
  <c r="O151" i="2"/>
  <c r="N151" i="2"/>
  <c r="M151" i="2"/>
  <c r="L151" i="2"/>
  <c r="K151" i="2"/>
  <c r="J151" i="2"/>
  <c r="I151" i="2"/>
  <c r="H151" i="2"/>
  <c r="G151" i="2"/>
  <c r="F151" i="2"/>
  <c r="E151" i="2"/>
  <c r="D151" i="2"/>
  <c r="C151" i="2"/>
  <c r="B151" i="2"/>
  <c r="A151" i="2"/>
  <c r="AH150" i="2"/>
  <c r="AG150" i="2"/>
  <c r="AD150" i="2"/>
  <c r="AC150" i="2"/>
  <c r="AB150" i="2"/>
  <c r="AA150" i="2"/>
  <c r="V150" i="2"/>
  <c r="U150" i="2"/>
  <c r="T150" i="2"/>
  <c r="S150" i="2"/>
  <c r="R150" i="2"/>
  <c r="Q150" i="2"/>
  <c r="P150" i="2"/>
  <c r="O150" i="2"/>
  <c r="N150" i="2"/>
  <c r="M150" i="2"/>
  <c r="L150" i="2"/>
  <c r="K150" i="2"/>
  <c r="J150" i="2"/>
  <c r="I150" i="2"/>
  <c r="H150" i="2"/>
  <c r="G150" i="2"/>
  <c r="F150" i="2"/>
  <c r="E150" i="2"/>
  <c r="D150" i="2"/>
  <c r="C150" i="2"/>
  <c r="B150" i="2"/>
  <c r="A150" i="2"/>
  <c r="AH149" i="2"/>
  <c r="AG149" i="2"/>
  <c r="AF149" i="2"/>
  <c r="AE149" i="2"/>
  <c r="AD149" i="2"/>
  <c r="AC149" i="2"/>
  <c r="AB149" i="2"/>
  <c r="AA149" i="2"/>
  <c r="Y149" i="2"/>
  <c r="X149" i="2"/>
  <c r="W149" i="2"/>
  <c r="V149" i="2"/>
  <c r="U149" i="2"/>
  <c r="T149" i="2"/>
  <c r="S149" i="2"/>
  <c r="R149" i="2"/>
  <c r="Q149" i="2"/>
  <c r="P149" i="2"/>
  <c r="O149" i="2"/>
  <c r="N149" i="2"/>
  <c r="M149" i="2"/>
  <c r="L149" i="2"/>
  <c r="K149" i="2"/>
  <c r="J149" i="2"/>
  <c r="I149" i="2"/>
  <c r="H149" i="2"/>
  <c r="G149" i="2"/>
  <c r="F149" i="2"/>
  <c r="E149" i="2"/>
  <c r="D149" i="2"/>
  <c r="C149" i="2"/>
  <c r="B149" i="2"/>
  <c r="A149" i="2"/>
  <c r="AH148" i="2"/>
  <c r="AG148" i="2"/>
  <c r="AF148" i="2"/>
  <c r="AE148" i="2"/>
  <c r="AD148" i="2"/>
  <c r="AC148" i="2"/>
  <c r="AB148" i="2"/>
  <c r="AA148" i="2"/>
  <c r="Y148" i="2"/>
  <c r="X148" i="2"/>
  <c r="W148" i="2"/>
  <c r="V148" i="2"/>
  <c r="U148" i="2"/>
  <c r="T148" i="2"/>
  <c r="S148" i="2"/>
  <c r="R148" i="2"/>
  <c r="Q148" i="2"/>
  <c r="P148" i="2"/>
  <c r="O148" i="2"/>
  <c r="N148" i="2"/>
  <c r="M148" i="2"/>
  <c r="L148" i="2"/>
  <c r="K148" i="2"/>
  <c r="J148" i="2"/>
  <c r="I148" i="2"/>
  <c r="H148" i="2"/>
  <c r="G148" i="2"/>
  <c r="F148" i="2"/>
  <c r="E148" i="2"/>
  <c r="D148" i="2"/>
  <c r="C148" i="2"/>
  <c r="B148" i="2"/>
  <c r="A148" i="2"/>
  <c r="AH147" i="2"/>
  <c r="AG147" i="2"/>
  <c r="AE147" i="2"/>
  <c r="AD147" i="2"/>
  <c r="AC147" i="2"/>
  <c r="AB147" i="2"/>
  <c r="AA147" i="2"/>
  <c r="Y147" i="2"/>
  <c r="X147" i="2"/>
  <c r="V147" i="2"/>
  <c r="U147" i="2"/>
  <c r="T147" i="2"/>
  <c r="S147" i="2"/>
  <c r="R147" i="2"/>
  <c r="Q147" i="2"/>
  <c r="P147" i="2"/>
  <c r="O147" i="2"/>
  <c r="N147" i="2"/>
  <c r="M147" i="2"/>
  <c r="L147" i="2"/>
  <c r="K147" i="2"/>
  <c r="J147" i="2"/>
  <c r="I147" i="2"/>
  <c r="H147" i="2"/>
  <c r="G147" i="2"/>
  <c r="F147" i="2"/>
  <c r="E147" i="2"/>
  <c r="D147" i="2"/>
  <c r="C147" i="2"/>
  <c r="B147" i="2"/>
  <c r="A147" i="2"/>
  <c r="AH146" i="2"/>
  <c r="AG146" i="2"/>
  <c r="AE146" i="2"/>
  <c r="AD146" i="2"/>
  <c r="AC146" i="2"/>
  <c r="AB146" i="2"/>
  <c r="AA146" i="2"/>
  <c r="Y146" i="2"/>
  <c r="X146" i="2"/>
  <c r="V146" i="2"/>
  <c r="U146" i="2"/>
  <c r="T146" i="2"/>
  <c r="S146" i="2"/>
  <c r="R146" i="2"/>
  <c r="Q146" i="2"/>
  <c r="P146" i="2"/>
  <c r="O146" i="2"/>
  <c r="N146" i="2"/>
  <c r="M146" i="2"/>
  <c r="L146" i="2"/>
  <c r="K146" i="2"/>
  <c r="J146" i="2"/>
  <c r="I146" i="2"/>
  <c r="H146" i="2"/>
  <c r="G146" i="2"/>
  <c r="F146" i="2"/>
  <c r="E146" i="2"/>
  <c r="D146" i="2"/>
  <c r="C146" i="2"/>
  <c r="B146" i="2"/>
  <c r="A146" i="2"/>
  <c r="AH145" i="2"/>
  <c r="AG145" i="2"/>
  <c r="AE145" i="2"/>
  <c r="AD145" i="2"/>
  <c r="AC145" i="2"/>
  <c r="AB145" i="2"/>
  <c r="AA145" i="2"/>
  <c r="V145" i="2"/>
  <c r="U145" i="2"/>
  <c r="T145" i="2"/>
  <c r="R145" i="2"/>
  <c r="Q145" i="2"/>
  <c r="P145" i="2"/>
  <c r="O145" i="2"/>
  <c r="N145" i="2"/>
  <c r="M145" i="2"/>
  <c r="L145" i="2"/>
  <c r="K145" i="2"/>
  <c r="J145" i="2"/>
  <c r="I145" i="2"/>
  <c r="H145" i="2"/>
  <c r="G145" i="2"/>
  <c r="F145" i="2"/>
  <c r="E145" i="2"/>
  <c r="D145" i="2"/>
  <c r="C145" i="2"/>
  <c r="B145" i="2"/>
  <c r="A145" i="2"/>
  <c r="AH144" i="2"/>
  <c r="AG144" i="2"/>
  <c r="AF144" i="2"/>
  <c r="AE144" i="2"/>
  <c r="AD144" i="2"/>
  <c r="AC144" i="2"/>
  <c r="AB144" i="2"/>
  <c r="AA144" i="2"/>
  <c r="Y144" i="2"/>
  <c r="X144" i="2"/>
  <c r="W144" i="2"/>
  <c r="V144" i="2"/>
  <c r="U144" i="2"/>
  <c r="T144" i="2"/>
  <c r="S144" i="2"/>
  <c r="R144" i="2"/>
  <c r="Q144" i="2"/>
  <c r="P144" i="2"/>
  <c r="O144" i="2"/>
  <c r="N144" i="2"/>
  <c r="M144" i="2"/>
  <c r="L144" i="2"/>
  <c r="K144" i="2"/>
  <c r="J144" i="2"/>
  <c r="I144" i="2"/>
  <c r="H144" i="2"/>
  <c r="G144" i="2"/>
  <c r="F144" i="2"/>
  <c r="E144" i="2"/>
  <c r="D144" i="2"/>
  <c r="C144" i="2"/>
  <c r="B144" i="2"/>
  <c r="A144" i="2"/>
  <c r="AH143" i="2"/>
  <c r="AG143" i="2"/>
  <c r="AF143" i="2"/>
  <c r="AE143" i="2"/>
  <c r="AD143" i="2"/>
  <c r="AC143" i="2"/>
  <c r="AB143" i="2"/>
  <c r="AA143" i="2"/>
  <c r="Y143" i="2"/>
  <c r="X143" i="2"/>
  <c r="W143" i="2"/>
  <c r="V143" i="2"/>
  <c r="U143" i="2"/>
  <c r="T143" i="2"/>
  <c r="S143" i="2"/>
  <c r="R143" i="2"/>
  <c r="Q143" i="2"/>
  <c r="P143" i="2"/>
  <c r="O143" i="2"/>
  <c r="N143" i="2"/>
  <c r="M143" i="2"/>
  <c r="L143" i="2"/>
  <c r="K143" i="2"/>
  <c r="J143" i="2"/>
  <c r="I143" i="2"/>
  <c r="H143" i="2"/>
  <c r="G143" i="2"/>
  <c r="F143" i="2"/>
  <c r="E143" i="2"/>
  <c r="D143" i="2"/>
  <c r="C143" i="2"/>
  <c r="B143" i="2"/>
  <c r="A143" i="2"/>
  <c r="AH142" i="2"/>
  <c r="AG142" i="2"/>
  <c r="AF142" i="2"/>
  <c r="AE142" i="2"/>
  <c r="AD142" i="2"/>
  <c r="AC142" i="2"/>
  <c r="AB142" i="2"/>
  <c r="AA142" i="2"/>
  <c r="Y142" i="2"/>
  <c r="X142" i="2"/>
  <c r="V142" i="2"/>
  <c r="U142" i="2"/>
  <c r="T142" i="2"/>
  <c r="S142" i="2"/>
  <c r="R142" i="2"/>
  <c r="Q142" i="2"/>
  <c r="P142" i="2"/>
  <c r="O142" i="2"/>
  <c r="N142" i="2"/>
  <c r="M142" i="2"/>
  <c r="L142" i="2"/>
  <c r="K142" i="2"/>
  <c r="J142" i="2"/>
  <c r="I142" i="2"/>
  <c r="H142" i="2"/>
  <c r="G142" i="2"/>
  <c r="F142" i="2"/>
  <c r="E142" i="2"/>
  <c r="D142" i="2"/>
  <c r="C142" i="2"/>
  <c r="B142" i="2"/>
  <c r="A142" i="2"/>
  <c r="AG141" i="2"/>
  <c r="AF141" i="2"/>
  <c r="AE141" i="2"/>
  <c r="AD141" i="2"/>
  <c r="AC141" i="2"/>
  <c r="AB141" i="2"/>
  <c r="AA141" i="2"/>
  <c r="Y141" i="2"/>
  <c r="V141" i="2"/>
  <c r="U141" i="2"/>
  <c r="T141" i="2"/>
  <c r="S141" i="2"/>
  <c r="R141" i="2"/>
  <c r="Q141" i="2"/>
  <c r="P141" i="2"/>
  <c r="O141" i="2"/>
  <c r="N141" i="2"/>
  <c r="M141" i="2"/>
  <c r="L141" i="2"/>
  <c r="K141" i="2"/>
  <c r="J141" i="2"/>
  <c r="I141" i="2"/>
  <c r="H141" i="2"/>
  <c r="G141" i="2"/>
  <c r="F141" i="2"/>
  <c r="E141" i="2"/>
  <c r="D141" i="2"/>
  <c r="C141" i="2"/>
  <c r="B141" i="2"/>
  <c r="A141" i="2"/>
  <c r="AH140" i="2"/>
  <c r="AG140" i="2"/>
  <c r="AF140" i="2"/>
  <c r="AE140" i="2"/>
  <c r="AD140" i="2"/>
  <c r="AC140" i="2"/>
  <c r="AB140" i="2"/>
  <c r="AA140" i="2"/>
  <c r="Y140" i="2"/>
  <c r="X140" i="2"/>
  <c r="W140" i="2"/>
  <c r="V140" i="2"/>
  <c r="U140" i="2"/>
  <c r="T140" i="2"/>
  <c r="S140" i="2"/>
  <c r="R140" i="2"/>
  <c r="Q140" i="2"/>
  <c r="P140" i="2"/>
  <c r="O140" i="2"/>
  <c r="N140" i="2"/>
  <c r="M140" i="2"/>
  <c r="L140" i="2"/>
  <c r="K140" i="2"/>
  <c r="J140" i="2"/>
  <c r="I140" i="2"/>
  <c r="H140" i="2"/>
  <c r="G140" i="2"/>
  <c r="F140" i="2"/>
  <c r="E140" i="2"/>
  <c r="D140" i="2"/>
  <c r="C140" i="2"/>
  <c r="B140" i="2"/>
  <c r="A140" i="2"/>
  <c r="AH139" i="2"/>
  <c r="AG139" i="2"/>
  <c r="AE139" i="2"/>
  <c r="AD139" i="2"/>
  <c r="AC139" i="2"/>
  <c r="AB139" i="2"/>
  <c r="AA139" i="2"/>
  <c r="Y139" i="2"/>
  <c r="X139" i="2"/>
  <c r="W139" i="2"/>
  <c r="V139" i="2"/>
  <c r="U139" i="2"/>
  <c r="T139" i="2"/>
  <c r="S139" i="2"/>
  <c r="R139" i="2"/>
  <c r="Q139" i="2"/>
  <c r="P139" i="2"/>
  <c r="O139" i="2"/>
  <c r="N139" i="2"/>
  <c r="M139" i="2"/>
  <c r="L139" i="2"/>
  <c r="K139" i="2"/>
  <c r="J139" i="2"/>
  <c r="I139" i="2"/>
  <c r="H139" i="2"/>
  <c r="G139" i="2"/>
  <c r="F139" i="2"/>
  <c r="E139" i="2"/>
  <c r="D139" i="2"/>
  <c r="C139" i="2"/>
  <c r="B139" i="2"/>
  <c r="A139" i="2"/>
  <c r="AH138" i="2"/>
  <c r="AG138" i="2"/>
  <c r="AF138" i="2"/>
  <c r="AE138" i="2"/>
  <c r="AD138" i="2"/>
  <c r="AC138" i="2"/>
  <c r="AB138" i="2"/>
  <c r="AA138" i="2"/>
  <c r="Y138" i="2"/>
  <c r="X138" i="2"/>
  <c r="W138" i="2"/>
  <c r="V138" i="2"/>
  <c r="U138" i="2"/>
  <c r="T138" i="2"/>
  <c r="S138" i="2"/>
  <c r="R138" i="2"/>
  <c r="Q138" i="2"/>
  <c r="P138" i="2"/>
  <c r="O138" i="2"/>
  <c r="N138" i="2"/>
  <c r="M138" i="2"/>
  <c r="L138" i="2"/>
  <c r="K138" i="2"/>
  <c r="J138" i="2"/>
  <c r="I138" i="2"/>
  <c r="H138" i="2"/>
  <c r="G138" i="2"/>
  <c r="F138" i="2"/>
  <c r="E138" i="2"/>
  <c r="D138" i="2"/>
  <c r="C138" i="2"/>
  <c r="B138" i="2"/>
  <c r="A138" i="2"/>
  <c r="AH137" i="2"/>
  <c r="AG137" i="2"/>
  <c r="AF137" i="2"/>
  <c r="AE137" i="2"/>
  <c r="AD137" i="2"/>
  <c r="AC137" i="2"/>
  <c r="AB137" i="2"/>
  <c r="AA137" i="2"/>
  <c r="X137" i="2"/>
  <c r="W137" i="2"/>
  <c r="V137" i="2"/>
  <c r="U137" i="2"/>
  <c r="T137" i="2"/>
  <c r="S137" i="2"/>
  <c r="R137" i="2"/>
  <c r="Q137" i="2"/>
  <c r="P137" i="2"/>
  <c r="O137" i="2"/>
  <c r="M137" i="2"/>
  <c r="L137" i="2"/>
  <c r="K137" i="2"/>
  <c r="J137" i="2"/>
  <c r="I137" i="2"/>
  <c r="H137" i="2"/>
  <c r="G137" i="2"/>
  <c r="F137" i="2"/>
  <c r="E137" i="2"/>
  <c r="D137" i="2"/>
  <c r="C137" i="2"/>
  <c r="B137" i="2"/>
  <c r="A137" i="2"/>
  <c r="AH136" i="2"/>
  <c r="AG136" i="2"/>
  <c r="AF136" i="2"/>
  <c r="AE136" i="2"/>
  <c r="AD136" i="2"/>
  <c r="AC136" i="2"/>
  <c r="AB136" i="2"/>
  <c r="AA136" i="2"/>
  <c r="Y136" i="2"/>
  <c r="X136" i="2"/>
  <c r="W136" i="2"/>
  <c r="V136" i="2"/>
  <c r="U136" i="2"/>
  <c r="T136" i="2"/>
  <c r="S136" i="2"/>
  <c r="R136" i="2"/>
  <c r="Q136" i="2"/>
  <c r="P136" i="2"/>
  <c r="O136" i="2"/>
  <c r="N136" i="2"/>
  <c r="M136" i="2"/>
  <c r="L136" i="2"/>
  <c r="K136" i="2"/>
  <c r="J136" i="2"/>
  <c r="I136" i="2"/>
  <c r="H136" i="2"/>
  <c r="G136" i="2"/>
  <c r="F136" i="2"/>
  <c r="E136" i="2"/>
  <c r="D136" i="2"/>
  <c r="C136" i="2"/>
  <c r="B136" i="2"/>
  <c r="A136" i="2"/>
  <c r="AG135" i="2"/>
  <c r="AE135" i="2"/>
  <c r="AD135" i="2"/>
  <c r="AC135" i="2"/>
  <c r="AB135" i="2"/>
  <c r="AA135" i="2"/>
  <c r="X135" i="2"/>
  <c r="V135" i="2"/>
  <c r="U135" i="2"/>
  <c r="T135" i="2"/>
  <c r="S135" i="2"/>
  <c r="R135" i="2"/>
  <c r="Q135" i="2"/>
  <c r="P135" i="2"/>
  <c r="O135" i="2"/>
  <c r="N135" i="2"/>
  <c r="M135" i="2"/>
  <c r="L135" i="2"/>
  <c r="K135" i="2"/>
  <c r="J135" i="2"/>
  <c r="I135" i="2"/>
  <c r="H135" i="2"/>
  <c r="G135" i="2"/>
  <c r="F135" i="2"/>
  <c r="E135" i="2"/>
  <c r="D135" i="2"/>
  <c r="C135" i="2"/>
  <c r="B135" i="2"/>
  <c r="A135" i="2"/>
  <c r="AH134" i="2"/>
  <c r="AG134" i="2"/>
  <c r="AF134" i="2"/>
  <c r="AE134" i="2"/>
  <c r="AD134" i="2"/>
  <c r="AC134" i="2"/>
  <c r="AB134" i="2"/>
  <c r="AA134" i="2"/>
  <c r="Y134" i="2"/>
  <c r="X134" i="2"/>
  <c r="W134" i="2"/>
  <c r="V134" i="2"/>
  <c r="U134" i="2"/>
  <c r="T134" i="2"/>
  <c r="S134" i="2"/>
  <c r="R134" i="2"/>
  <c r="Q134" i="2"/>
  <c r="P134" i="2"/>
  <c r="O134" i="2"/>
  <c r="N134" i="2"/>
  <c r="M134" i="2"/>
  <c r="L134" i="2"/>
  <c r="K134" i="2"/>
  <c r="J134" i="2"/>
  <c r="I134" i="2"/>
  <c r="H134" i="2"/>
  <c r="G134" i="2"/>
  <c r="F134" i="2"/>
  <c r="E134" i="2"/>
  <c r="D134" i="2"/>
  <c r="C134" i="2"/>
  <c r="B134" i="2"/>
  <c r="A134" i="2"/>
  <c r="AH133" i="2"/>
  <c r="AG133" i="2"/>
  <c r="AE133" i="2"/>
  <c r="AD133" i="2"/>
  <c r="AC133" i="2"/>
  <c r="AB133" i="2"/>
  <c r="AA133" i="2"/>
  <c r="Y133" i="2"/>
  <c r="X133" i="2"/>
  <c r="V133" i="2"/>
  <c r="U133" i="2"/>
  <c r="T133" i="2"/>
  <c r="S133" i="2"/>
  <c r="R133" i="2"/>
  <c r="Q133" i="2"/>
  <c r="P133" i="2"/>
  <c r="O133" i="2"/>
  <c r="N133" i="2"/>
  <c r="M133" i="2"/>
  <c r="L133" i="2"/>
  <c r="K133" i="2"/>
  <c r="J133" i="2"/>
  <c r="I133" i="2"/>
  <c r="H133" i="2"/>
  <c r="G133" i="2"/>
  <c r="F133" i="2"/>
  <c r="E133" i="2"/>
  <c r="D133" i="2"/>
  <c r="C133" i="2"/>
  <c r="B133" i="2"/>
  <c r="A133" i="2"/>
  <c r="AH132" i="2"/>
  <c r="AG132" i="2"/>
  <c r="AF132" i="2"/>
  <c r="AE132" i="2"/>
  <c r="AD132" i="2"/>
  <c r="AC132" i="2"/>
  <c r="AB132" i="2"/>
  <c r="AA132" i="2"/>
  <c r="Y132" i="2"/>
  <c r="X132" i="2"/>
  <c r="W132" i="2"/>
  <c r="V132" i="2"/>
  <c r="U132" i="2"/>
  <c r="T132" i="2"/>
  <c r="S132" i="2"/>
  <c r="R132" i="2"/>
  <c r="Q132" i="2"/>
  <c r="P132" i="2"/>
  <c r="O132" i="2"/>
  <c r="N132" i="2"/>
  <c r="M132" i="2"/>
  <c r="L132" i="2"/>
  <c r="K132" i="2"/>
  <c r="J132" i="2"/>
  <c r="I132" i="2"/>
  <c r="H132" i="2"/>
  <c r="G132" i="2"/>
  <c r="F132" i="2"/>
  <c r="E132" i="2"/>
  <c r="D132" i="2"/>
  <c r="C132" i="2"/>
  <c r="B132" i="2"/>
  <c r="A132" i="2"/>
  <c r="AH131" i="2"/>
  <c r="AG131" i="2"/>
  <c r="AE131" i="2"/>
  <c r="AD131" i="2"/>
  <c r="AC131" i="2"/>
  <c r="AB131" i="2"/>
  <c r="AA131" i="2"/>
  <c r="X131" i="2"/>
  <c r="V131" i="2"/>
  <c r="U131" i="2"/>
  <c r="T131" i="2"/>
  <c r="S131" i="2"/>
  <c r="R131" i="2"/>
  <c r="Q131" i="2"/>
  <c r="P131" i="2"/>
  <c r="O131" i="2"/>
  <c r="N131" i="2"/>
  <c r="M131" i="2"/>
  <c r="L131" i="2"/>
  <c r="K131" i="2"/>
  <c r="J131" i="2"/>
  <c r="I131" i="2"/>
  <c r="H131" i="2"/>
  <c r="G131" i="2"/>
  <c r="F131" i="2"/>
  <c r="E131" i="2"/>
  <c r="D131" i="2"/>
  <c r="C131" i="2"/>
  <c r="B131" i="2"/>
  <c r="A131" i="2"/>
  <c r="AH130" i="2"/>
  <c r="AG130" i="2"/>
  <c r="AF130" i="2"/>
  <c r="AE130" i="2"/>
  <c r="AD130" i="2"/>
  <c r="AC130" i="2"/>
  <c r="AB130" i="2"/>
  <c r="AA130" i="2"/>
  <c r="Y130" i="2"/>
  <c r="X130" i="2"/>
  <c r="W130" i="2"/>
  <c r="V130" i="2"/>
  <c r="U130" i="2"/>
  <c r="T130" i="2"/>
  <c r="S130" i="2"/>
  <c r="R130" i="2"/>
  <c r="Q130" i="2"/>
  <c r="P130" i="2"/>
  <c r="O130" i="2"/>
  <c r="N130" i="2"/>
  <c r="M130" i="2"/>
  <c r="L130" i="2"/>
  <c r="K130" i="2"/>
  <c r="J130" i="2"/>
  <c r="I130" i="2"/>
  <c r="H130" i="2"/>
  <c r="G130" i="2"/>
  <c r="F130" i="2"/>
  <c r="E130" i="2"/>
  <c r="D130" i="2"/>
  <c r="C130" i="2"/>
  <c r="B130" i="2"/>
  <c r="A130" i="2"/>
  <c r="AH129" i="2"/>
  <c r="AG129" i="2"/>
  <c r="AF129" i="2"/>
  <c r="AE129" i="2"/>
  <c r="AD129" i="2"/>
  <c r="AC129" i="2"/>
  <c r="AB129" i="2"/>
  <c r="AA129" i="2"/>
  <c r="Y129" i="2"/>
  <c r="X129" i="2"/>
  <c r="W129" i="2"/>
  <c r="V129" i="2"/>
  <c r="U129" i="2"/>
  <c r="T129" i="2"/>
  <c r="S129" i="2"/>
  <c r="R129" i="2"/>
  <c r="Q129" i="2"/>
  <c r="P129" i="2"/>
  <c r="O129" i="2"/>
  <c r="N129" i="2"/>
  <c r="M129" i="2"/>
  <c r="L129" i="2"/>
  <c r="K129" i="2"/>
  <c r="J129" i="2"/>
  <c r="I129" i="2"/>
  <c r="H129" i="2"/>
  <c r="G129" i="2"/>
  <c r="F129" i="2"/>
  <c r="E129" i="2"/>
  <c r="D129" i="2"/>
  <c r="C129" i="2"/>
  <c r="B129" i="2"/>
  <c r="A129" i="2"/>
  <c r="AH128" i="2"/>
  <c r="AG128" i="2"/>
  <c r="AE128" i="2"/>
  <c r="AD128" i="2"/>
  <c r="AC128" i="2"/>
  <c r="AB128" i="2"/>
  <c r="AA128" i="2"/>
  <c r="Y128" i="2"/>
  <c r="X128" i="2"/>
  <c r="V128" i="2"/>
  <c r="U128" i="2"/>
  <c r="T128" i="2"/>
  <c r="S128" i="2"/>
  <c r="R128" i="2"/>
  <c r="Q128" i="2"/>
  <c r="P128" i="2"/>
  <c r="O128" i="2"/>
  <c r="N128" i="2"/>
  <c r="M128" i="2"/>
  <c r="L128" i="2"/>
  <c r="K128" i="2"/>
  <c r="J128" i="2"/>
  <c r="I128" i="2"/>
  <c r="H128" i="2"/>
  <c r="G128" i="2"/>
  <c r="F128" i="2"/>
  <c r="E128" i="2"/>
  <c r="D128" i="2"/>
  <c r="C128" i="2"/>
  <c r="B128" i="2"/>
  <c r="A128"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F127" i="2"/>
  <c r="E127" i="2"/>
  <c r="D127" i="2"/>
  <c r="C127" i="2"/>
  <c r="B127" i="2"/>
  <c r="A127" i="2"/>
  <c r="AH126" i="2"/>
  <c r="AG126" i="2"/>
  <c r="AE126" i="2"/>
  <c r="AD126" i="2"/>
  <c r="AC126" i="2"/>
  <c r="AB126" i="2"/>
  <c r="AA126" i="2"/>
  <c r="Y126" i="2"/>
  <c r="X126" i="2"/>
  <c r="W126" i="2"/>
  <c r="V126" i="2"/>
  <c r="U126" i="2"/>
  <c r="T126" i="2"/>
  <c r="S126" i="2"/>
  <c r="R126" i="2"/>
  <c r="Q126" i="2"/>
  <c r="P126" i="2"/>
  <c r="O126" i="2"/>
  <c r="N126" i="2"/>
  <c r="M126" i="2"/>
  <c r="L126" i="2"/>
  <c r="K126" i="2"/>
  <c r="J126" i="2"/>
  <c r="I126" i="2"/>
  <c r="H126" i="2"/>
  <c r="G126" i="2"/>
  <c r="F126" i="2"/>
  <c r="E126" i="2"/>
  <c r="D126" i="2"/>
  <c r="C126" i="2"/>
  <c r="B126" i="2"/>
  <c r="A126" i="2"/>
  <c r="AH125" i="2"/>
  <c r="AG125" i="2"/>
  <c r="AF125" i="2"/>
  <c r="AE125" i="2"/>
  <c r="AD125" i="2"/>
  <c r="AC125" i="2"/>
  <c r="AB125" i="2"/>
  <c r="AA125" i="2"/>
  <c r="X125" i="2"/>
  <c r="V125" i="2"/>
  <c r="U125" i="2"/>
  <c r="T125" i="2"/>
  <c r="S125" i="2"/>
  <c r="R125" i="2"/>
  <c r="Q125" i="2"/>
  <c r="P125" i="2"/>
  <c r="O125" i="2"/>
  <c r="N125" i="2"/>
  <c r="M125" i="2"/>
  <c r="L125" i="2"/>
  <c r="K125" i="2"/>
  <c r="J125" i="2"/>
  <c r="I125" i="2"/>
  <c r="H125" i="2"/>
  <c r="G125" i="2"/>
  <c r="F125" i="2"/>
  <c r="E125" i="2"/>
  <c r="D125" i="2"/>
  <c r="C125" i="2"/>
  <c r="B125" i="2"/>
  <c r="A125" i="2"/>
  <c r="AH124" i="2"/>
  <c r="AG124" i="2"/>
  <c r="AF124" i="2"/>
  <c r="AE124" i="2"/>
  <c r="AD124" i="2"/>
  <c r="AC124" i="2"/>
  <c r="AB124" i="2"/>
  <c r="AA124" i="2"/>
  <c r="Y124" i="2"/>
  <c r="X124" i="2"/>
  <c r="W124" i="2"/>
  <c r="V124" i="2"/>
  <c r="U124" i="2"/>
  <c r="T124" i="2"/>
  <c r="S124" i="2"/>
  <c r="R124" i="2"/>
  <c r="Q124" i="2"/>
  <c r="P124" i="2"/>
  <c r="O124" i="2"/>
  <c r="N124" i="2"/>
  <c r="M124" i="2"/>
  <c r="L124" i="2"/>
  <c r="K124" i="2"/>
  <c r="J124" i="2"/>
  <c r="I124" i="2"/>
  <c r="H124" i="2"/>
  <c r="G124" i="2"/>
  <c r="F124" i="2"/>
  <c r="E124" i="2"/>
  <c r="D124" i="2"/>
  <c r="C124" i="2"/>
  <c r="B124" i="2"/>
  <c r="A124" i="2"/>
  <c r="AH123" i="2"/>
  <c r="AG123" i="2"/>
  <c r="AF123" i="2"/>
  <c r="AE123" i="2"/>
  <c r="AD123" i="2"/>
  <c r="AC123" i="2"/>
  <c r="AB123" i="2"/>
  <c r="AA123" i="2"/>
  <c r="Y123" i="2"/>
  <c r="X123" i="2"/>
  <c r="W123" i="2"/>
  <c r="V123" i="2"/>
  <c r="U123" i="2"/>
  <c r="T123" i="2"/>
  <c r="R123" i="2"/>
  <c r="Q123" i="2"/>
  <c r="P123" i="2"/>
  <c r="O123" i="2"/>
  <c r="N123" i="2"/>
  <c r="M123" i="2"/>
  <c r="L123" i="2"/>
  <c r="K123" i="2"/>
  <c r="J123" i="2"/>
  <c r="I123" i="2"/>
  <c r="H123" i="2"/>
  <c r="G123" i="2"/>
  <c r="F123" i="2"/>
  <c r="E123" i="2"/>
  <c r="D123" i="2"/>
  <c r="C123" i="2"/>
  <c r="B123" i="2"/>
  <c r="A123" i="2"/>
  <c r="AH122" i="2"/>
  <c r="AG122" i="2"/>
  <c r="AE122" i="2"/>
  <c r="AD122" i="2"/>
  <c r="AC122" i="2"/>
  <c r="AB122" i="2"/>
  <c r="AA122" i="2"/>
  <c r="Y122" i="2"/>
  <c r="X122" i="2"/>
  <c r="W122" i="2"/>
  <c r="V122" i="2"/>
  <c r="U122" i="2"/>
  <c r="T122" i="2"/>
  <c r="S122" i="2"/>
  <c r="R122" i="2"/>
  <c r="Q122" i="2"/>
  <c r="P122" i="2"/>
  <c r="O122" i="2"/>
  <c r="N122" i="2"/>
  <c r="M122" i="2"/>
  <c r="L122" i="2"/>
  <c r="K122" i="2"/>
  <c r="J122" i="2"/>
  <c r="I122" i="2"/>
  <c r="H122" i="2"/>
  <c r="G122" i="2"/>
  <c r="F122" i="2"/>
  <c r="E122" i="2"/>
  <c r="D122" i="2"/>
  <c r="C122" i="2"/>
  <c r="B122" i="2"/>
  <c r="A122" i="2"/>
  <c r="AH121" i="2"/>
  <c r="AG121" i="2"/>
  <c r="AE121" i="2"/>
  <c r="AD121" i="2"/>
  <c r="AC121" i="2"/>
  <c r="AB121" i="2"/>
  <c r="AA121" i="2"/>
  <c r="X121" i="2"/>
  <c r="V121" i="2"/>
  <c r="U121" i="2"/>
  <c r="T121" i="2"/>
  <c r="S121" i="2"/>
  <c r="R121" i="2"/>
  <c r="Q121" i="2"/>
  <c r="P121" i="2"/>
  <c r="O121" i="2"/>
  <c r="N121" i="2"/>
  <c r="M121" i="2"/>
  <c r="L121" i="2"/>
  <c r="K121" i="2"/>
  <c r="J121" i="2"/>
  <c r="I121" i="2"/>
  <c r="H121" i="2"/>
  <c r="G121" i="2"/>
  <c r="F121" i="2"/>
  <c r="E121" i="2"/>
  <c r="D121" i="2"/>
  <c r="C121" i="2"/>
  <c r="B121" i="2"/>
  <c r="A121" i="2"/>
  <c r="AH120" i="2"/>
  <c r="AG120" i="2"/>
  <c r="AE120" i="2"/>
  <c r="AD120" i="2"/>
  <c r="AC120" i="2"/>
  <c r="AB120" i="2"/>
  <c r="AA120" i="2"/>
  <c r="W120" i="2"/>
  <c r="V120" i="2"/>
  <c r="U120" i="2"/>
  <c r="T120" i="2"/>
  <c r="S120" i="2"/>
  <c r="R120" i="2"/>
  <c r="Q120" i="2"/>
  <c r="P120" i="2"/>
  <c r="O120" i="2"/>
  <c r="N120" i="2"/>
  <c r="M120" i="2"/>
  <c r="L120" i="2"/>
  <c r="K120" i="2"/>
  <c r="J120" i="2"/>
  <c r="I120" i="2"/>
  <c r="H120" i="2"/>
  <c r="G120" i="2"/>
  <c r="F120" i="2"/>
  <c r="E120" i="2"/>
  <c r="D120" i="2"/>
  <c r="C120" i="2"/>
  <c r="B120" i="2"/>
  <c r="A120" i="2"/>
  <c r="AH119" i="2"/>
  <c r="AG119" i="2"/>
  <c r="AF119" i="2"/>
  <c r="AE119" i="2"/>
  <c r="AD119" i="2"/>
  <c r="AC119" i="2"/>
  <c r="AB119" i="2"/>
  <c r="AA119" i="2"/>
  <c r="X119" i="2"/>
  <c r="V119" i="2"/>
  <c r="U119" i="2"/>
  <c r="T119" i="2"/>
  <c r="R119" i="2"/>
  <c r="Q119" i="2"/>
  <c r="P119" i="2"/>
  <c r="O119" i="2"/>
  <c r="N119" i="2"/>
  <c r="M119" i="2"/>
  <c r="L119" i="2"/>
  <c r="K119" i="2"/>
  <c r="J119" i="2"/>
  <c r="I119" i="2"/>
  <c r="H119" i="2"/>
  <c r="G119" i="2"/>
  <c r="F119" i="2"/>
  <c r="E119" i="2"/>
  <c r="D119" i="2"/>
  <c r="C119" i="2"/>
  <c r="B119" i="2"/>
  <c r="A119" i="2"/>
  <c r="AH118" i="2"/>
  <c r="AG118" i="2"/>
  <c r="AE118" i="2"/>
  <c r="AD118" i="2"/>
  <c r="AC118" i="2"/>
  <c r="AB118" i="2"/>
  <c r="AA118" i="2"/>
  <c r="V118" i="2"/>
  <c r="U118" i="2"/>
  <c r="T118" i="2"/>
  <c r="S118" i="2"/>
  <c r="R118" i="2"/>
  <c r="Q118" i="2"/>
  <c r="P118" i="2"/>
  <c r="O118" i="2"/>
  <c r="N118" i="2"/>
  <c r="M118" i="2"/>
  <c r="L118" i="2"/>
  <c r="K118" i="2"/>
  <c r="J118" i="2"/>
  <c r="I118" i="2"/>
  <c r="H118" i="2"/>
  <c r="G118" i="2"/>
  <c r="F118" i="2"/>
  <c r="E118" i="2"/>
  <c r="D118" i="2"/>
  <c r="C118" i="2"/>
  <c r="B118" i="2"/>
  <c r="A118" i="2"/>
  <c r="AH117" i="2"/>
  <c r="AG117" i="2"/>
  <c r="AE117" i="2"/>
  <c r="AD117" i="2"/>
  <c r="AC117" i="2"/>
  <c r="AB117" i="2"/>
  <c r="AA117" i="2"/>
  <c r="Y117" i="2"/>
  <c r="X117" i="2"/>
  <c r="W117" i="2"/>
  <c r="V117" i="2"/>
  <c r="U117" i="2"/>
  <c r="T117" i="2"/>
  <c r="Q117" i="2"/>
  <c r="P117" i="2"/>
  <c r="O117" i="2"/>
  <c r="N117" i="2"/>
  <c r="M117" i="2"/>
  <c r="L117" i="2"/>
  <c r="K117" i="2"/>
  <c r="J117" i="2"/>
  <c r="I117" i="2"/>
  <c r="H117" i="2"/>
  <c r="G117" i="2"/>
  <c r="F117" i="2"/>
  <c r="E117" i="2"/>
  <c r="D117" i="2"/>
  <c r="C117" i="2"/>
  <c r="B117" i="2"/>
  <c r="A117" i="2"/>
  <c r="AH116" i="2"/>
  <c r="AG116" i="2"/>
  <c r="AE116" i="2"/>
  <c r="AD116" i="2"/>
  <c r="AC116" i="2"/>
  <c r="AB116" i="2"/>
  <c r="AA116" i="2"/>
  <c r="Y116" i="2"/>
  <c r="X116" i="2"/>
  <c r="V116" i="2"/>
  <c r="U116" i="2"/>
  <c r="T116" i="2"/>
  <c r="S116" i="2"/>
  <c r="R116" i="2"/>
  <c r="Q116" i="2"/>
  <c r="P116" i="2"/>
  <c r="O116" i="2"/>
  <c r="N116" i="2"/>
  <c r="M116" i="2"/>
  <c r="L116" i="2"/>
  <c r="K116" i="2"/>
  <c r="J116" i="2"/>
  <c r="I116" i="2"/>
  <c r="H116" i="2"/>
  <c r="G116" i="2"/>
  <c r="F116" i="2"/>
  <c r="E116" i="2"/>
  <c r="D116" i="2"/>
  <c r="C116" i="2"/>
  <c r="B116" i="2"/>
  <c r="A116" i="2"/>
  <c r="AH115" i="2"/>
  <c r="AG115" i="2"/>
  <c r="AF115" i="2"/>
  <c r="AE115" i="2"/>
  <c r="AD115" i="2"/>
  <c r="AC115" i="2"/>
  <c r="AB115" i="2"/>
  <c r="AA115" i="2"/>
  <c r="Y115" i="2"/>
  <c r="V115" i="2"/>
  <c r="U115" i="2"/>
  <c r="T115" i="2"/>
  <c r="S115" i="2"/>
  <c r="R115" i="2"/>
  <c r="Q115" i="2"/>
  <c r="P115" i="2"/>
  <c r="O115" i="2"/>
  <c r="N115" i="2"/>
  <c r="M115" i="2"/>
  <c r="L115" i="2"/>
  <c r="K115" i="2"/>
  <c r="J115" i="2"/>
  <c r="I115" i="2"/>
  <c r="H115" i="2"/>
  <c r="G115" i="2"/>
  <c r="F115" i="2"/>
  <c r="E115" i="2"/>
  <c r="D115" i="2"/>
  <c r="C115" i="2"/>
  <c r="B115" i="2"/>
  <c r="A115"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B114" i="2"/>
  <c r="A114" i="2"/>
  <c r="AH113" i="2"/>
  <c r="AG113" i="2"/>
  <c r="AF113" i="2"/>
  <c r="AE113" i="2"/>
  <c r="AD113" i="2"/>
  <c r="AC113" i="2"/>
  <c r="AB113" i="2"/>
  <c r="AA113" i="2"/>
  <c r="Y113" i="2"/>
  <c r="X113" i="2"/>
  <c r="W113" i="2"/>
  <c r="V113" i="2"/>
  <c r="U113" i="2"/>
  <c r="T113" i="2"/>
  <c r="S113" i="2"/>
  <c r="R113" i="2"/>
  <c r="Q113" i="2"/>
  <c r="P113" i="2"/>
  <c r="O113" i="2"/>
  <c r="N113" i="2"/>
  <c r="M113" i="2"/>
  <c r="L113" i="2"/>
  <c r="K113" i="2"/>
  <c r="J113" i="2"/>
  <c r="I113" i="2"/>
  <c r="H113" i="2"/>
  <c r="G113" i="2"/>
  <c r="F113" i="2"/>
  <c r="E113" i="2"/>
  <c r="D113" i="2"/>
  <c r="C113" i="2"/>
  <c r="B113" i="2"/>
  <c r="A113" i="2"/>
  <c r="AG112" i="2"/>
  <c r="AF112" i="2"/>
  <c r="AE112" i="2"/>
  <c r="AD112" i="2"/>
  <c r="AC112" i="2"/>
  <c r="AB112" i="2"/>
  <c r="AA112" i="2"/>
  <c r="Y112" i="2"/>
  <c r="X112" i="2"/>
  <c r="V112" i="2"/>
  <c r="U112" i="2"/>
  <c r="T112" i="2"/>
  <c r="S112" i="2"/>
  <c r="R112" i="2"/>
  <c r="Q112" i="2"/>
  <c r="P112" i="2"/>
  <c r="O112" i="2"/>
  <c r="N112" i="2"/>
  <c r="M112" i="2"/>
  <c r="L112" i="2"/>
  <c r="K112" i="2"/>
  <c r="J112" i="2"/>
  <c r="I112" i="2"/>
  <c r="H112" i="2"/>
  <c r="G112" i="2"/>
  <c r="F112" i="2"/>
  <c r="E112" i="2"/>
  <c r="D112" i="2"/>
  <c r="C112" i="2"/>
  <c r="B112" i="2"/>
  <c r="A112"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B111" i="2"/>
  <c r="A111"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B110" i="2"/>
  <c r="A110" i="2"/>
  <c r="AH109" i="2"/>
  <c r="AG109" i="2"/>
  <c r="AE109" i="2"/>
  <c r="AD109" i="2"/>
  <c r="AC109" i="2"/>
  <c r="AB109" i="2"/>
  <c r="AA109" i="2"/>
  <c r="Y109" i="2"/>
  <c r="V109" i="2"/>
  <c r="U109" i="2"/>
  <c r="T109" i="2"/>
  <c r="Q109" i="2"/>
  <c r="P109" i="2"/>
  <c r="O109" i="2"/>
  <c r="N109" i="2"/>
  <c r="M109" i="2"/>
  <c r="L109" i="2"/>
  <c r="K109" i="2"/>
  <c r="J109" i="2"/>
  <c r="I109" i="2"/>
  <c r="H109" i="2"/>
  <c r="G109" i="2"/>
  <c r="F109" i="2"/>
  <c r="E109" i="2"/>
  <c r="D109" i="2"/>
  <c r="C109" i="2"/>
  <c r="B109" i="2"/>
  <c r="A109" i="2"/>
  <c r="AH108" i="2"/>
  <c r="AG108" i="2"/>
  <c r="AF108" i="2"/>
  <c r="AE108" i="2"/>
  <c r="AD108" i="2"/>
  <c r="AC108" i="2"/>
  <c r="AB108" i="2"/>
  <c r="AA108" i="2"/>
  <c r="Y108" i="2"/>
  <c r="X108" i="2"/>
  <c r="W108" i="2"/>
  <c r="V108" i="2"/>
  <c r="U108" i="2"/>
  <c r="T108" i="2"/>
  <c r="S108" i="2"/>
  <c r="R108" i="2"/>
  <c r="Q108" i="2"/>
  <c r="P108" i="2"/>
  <c r="O108" i="2"/>
  <c r="N108" i="2"/>
  <c r="M108" i="2"/>
  <c r="L108" i="2"/>
  <c r="K108" i="2"/>
  <c r="J108" i="2"/>
  <c r="I108" i="2"/>
  <c r="H108" i="2"/>
  <c r="G108" i="2"/>
  <c r="F108" i="2"/>
  <c r="E108" i="2"/>
  <c r="D108" i="2"/>
  <c r="C108" i="2"/>
  <c r="B108" i="2"/>
  <c r="A108" i="2"/>
  <c r="AH107" i="2"/>
  <c r="AG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B107" i="2"/>
  <c r="A107" i="2"/>
  <c r="AH106" i="2"/>
  <c r="AG106" i="2"/>
  <c r="AF106" i="2"/>
  <c r="AE106" i="2"/>
  <c r="AD106" i="2"/>
  <c r="AC106" i="2"/>
  <c r="AB106" i="2"/>
  <c r="AA106" i="2"/>
  <c r="Y106" i="2"/>
  <c r="X106" i="2"/>
  <c r="W106" i="2"/>
  <c r="V106" i="2"/>
  <c r="U106" i="2"/>
  <c r="T106" i="2"/>
  <c r="S106" i="2"/>
  <c r="R106" i="2"/>
  <c r="Q106" i="2"/>
  <c r="P106" i="2"/>
  <c r="O106" i="2"/>
  <c r="N106" i="2"/>
  <c r="M106" i="2"/>
  <c r="L106" i="2"/>
  <c r="K106" i="2"/>
  <c r="J106" i="2"/>
  <c r="I106" i="2"/>
  <c r="H106" i="2"/>
  <c r="G106" i="2"/>
  <c r="F106" i="2"/>
  <c r="E106" i="2"/>
  <c r="D106" i="2"/>
  <c r="C106" i="2"/>
  <c r="B106" i="2"/>
  <c r="A106" i="2"/>
  <c r="AH105" i="2"/>
  <c r="AG105" i="2"/>
  <c r="AE105" i="2"/>
  <c r="AD105" i="2"/>
  <c r="AC105" i="2"/>
  <c r="AB105" i="2"/>
  <c r="AA105" i="2"/>
  <c r="Y105" i="2"/>
  <c r="X105" i="2"/>
  <c r="W105" i="2"/>
  <c r="V105" i="2"/>
  <c r="U105" i="2"/>
  <c r="T105" i="2"/>
  <c r="S105" i="2"/>
  <c r="R105" i="2"/>
  <c r="Q105" i="2"/>
  <c r="P105" i="2"/>
  <c r="O105" i="2"/>
  <c r="N105" i="2"/>
  <c r="M105" i="2"/>
  <c r="L105" i="2"/>
  <c r="K105" i="2"/>
  <c r="J105" i="2"/>
  <c r="I105" i="2"/>
  <c r="H105" i="2"/>
  <c r="G105" i="2"/>
  <c r="F105" i="2"/>
  <c r="E105" i="2"/>
  <c r="D105" i="2"/>
  <c r="C105" i="2"/>
  <c r="B105" i="2"/>
  <c r="A105" i="2"/>
  <c r="AH104" i="2"/>
  <c r="AG104" i="2"/>
  <c r="AE104" i="2"/>
  <c r="AD104" i="2"/>
  <c r="AC104" i="2"/>
  <c r="AB104" i="2"/>
  <c r="AA104" i="2"/>
  <c r="Y104" i="2"/>
  <c r="X104" i="2"/>
  <c r="V104" i="2"/>
  <c r="U104" i="2"/>
  <c r="R104" i="2"/>
  <c r="Q104" i="2"/>
  <c r="P104" i="2"/>
  <c r="O104" i="2"/>
  <c r="N104" i="2"/>
  <c r="M104" i="2"/>
  <c r="L104" i="2"/>
  <c r="K104" i="2"/>
  <c r="J104" i="2"/>
  <c r="I104" i="2"/>
  <c r="H104" i="2"/>
  <c r="G104" i="2"/>
  <c r="F104" i="2"/>
  <c r="E104" i="2"/>
  <c r="D104" i="2"/>
  <c r="C104" i="2"/>
  <c r="B104" i="2"/>
  <c r="A104" i="2"/>
  <c r="AG103" i="2"/>
  <c r="AF103" i="2"/>
  <c r="AE103" i="2"/>
  <c r="AD103" i="2"/>
  <c r="AC103" i="2"/>
  <c r="AB103" i="2"/>
  <c r="AA103" i="2"/>
  <c r="Y103" i="2"/>
  <c r="X103" i="2"/>
  <c r="V103" i="2"/>
  <c r="U103" i="2"/>
  <c r="T103" i="2"/>
  <c r="S103" i="2"/>
  <c r="R103" i="2"/>
  <c r="Q103" i="2"/>
  <c r="P103" i="2"/>
  <c r="O103" i="2"/>
  <c r="N103" i="2"/>
  <c r="M103" i="2"/>
  <c r="L103" i="2"/>
  <c r="K103" i="2"/>
  <c r="J103" i="2"/>
  <c r="I103" i="2"/>
  <c r="H103" i="2"/>
  <c r="G103" i="2"/>
  <c r="F103" i="2"/>
  <c r="E103" i="2"/>
  <c r="D103" i="2"/>
  <c r="C103" i="2"/>
  <c r="B103" i="2"/>
  <c r="A103" i="2"/>
  <c r="AH102" i="2"/>
  <c r="AG102" i="2"/>
  <c r="AF102" i="2"/>
  <c r="AE102" i="2"/>
  <c r="AD102" i="2"/>
  <c r="AC102" i="2"/>
  <c r="AB102" i="2"/>
  <c r="AA102" i="2"/>
  <c r="X102" i="2"/>
  <c r="W102" i="2"/>
  <c r="V102" i="2"/>
  <c r="U102" i="2"/>
  <c r="T102" i="2"/>
  <c r="S102" i="2"/>
  <c r="R102" i="2"/>
  <c r="Q102" i="2"/>
  <c r="P102" i="2"/>
  <c r="O102" i="2"/>
  <c r="N102" i="2"/>
  <c r="M102" i="2"/>
  <c r="L102" i="2"/>
  <c r="K102" i="2"/>
  <c r="J102" i="2"/>
  <c r="I102" i="2"/>
  <c r="H102" i="2"/>
  <c r="G102" i="2"/>
  <c r="F102" i="2"/>
  <c r="E102" i="2"/>
  <c r="D102" i="2"/>
  <c r="C102" i="2"/>
  <c r="B102" i="2"/>
  <c r="A102" i="2"/>
  <c r="AH101" i="2"/>
  <c r="AG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B101" i="2"/>
  <c r="A101" i="2"/>
  <c r="AH100" i="2"/>
  <c r="AG100" i="2"/>
  <c r="AF100" i="2"/>
  <c r="AE100" i="2"/>
  <c r="AD100" i="2"/>
  <c r="AC100" i="2"/>
  <c r="AB100" i="2"/>
  <c r="AA100" i="2"/>
  <c r="Y100" i="2"/>
  <c r="X100" i="2"/>
  <c r="W100" i="2"/>
  <c r="V100" i="2"/>
  <c r="U100" i="2"/>
  <c r="T100" i="2"/>
  <c r="S100" i="2"/>
  <c r="R100" i="2"/>
  <c r="Q100" i="2"/>
  <c r="P100" i="2"/>
  <c r="O100" i="2"/>
  <c r="N100" i="2"/>
  <c r="M100" i="2"/>
  <c r="L100" i="2"/>
  <c r="K100" i="2"/>
  <c r="J100" i="2"/>
  <c r="I100" i="2"/>
  <c r="H100" i="2"/>
  <c r="G100" i="2"/>
  <c r="F100" i="2"/>
  <c r="E100" i="2"/>
  <c r="D100" i="2"/>
  <c r="C100" i="2"/>
  <c r="B100" i="2"/>
  <c r="A100" i="2"/>
  <c r="AH99" i="2"/>
  <c r="AG99" i="2"/>
  <c r="AF99" i="2"/>
  <c r="AE99" i="2"/>
  <c r="AD99" i="2"/>
  <c r="AC99" i="2"/>
  <c r="AB99" i="2"/>
  <c r="AA99" i="2"/>
  <c r="Y99" i="2"/>
  <c r="X99" i="2"/>
  <c r="W99" i="2"/>
  <c r="V99" i="2"/>
  <c r="U99" i="2"/>
  <c r="T99" i="2"/>
  <c r="S99" i="2"/>
  <c r="R99" i="2"/>
  <c r="Q99" i="2"/>
  <c r="P99" i="2"/>
  <c r="O99" i="2"/>
  <c r="N99" i="2"/>
  <c r="M99" i="2"/>
  <c r="L99" i="2"/>
  <c r="K99" i="2"/>
  <c r="J99" i="2"/>
  <c r="I99" i="2"/>
  <c r="H99" i="2"/>
  <c r="G99" i="2"/>
  <c r="F99" i="2"/>
  <c r="E99" i="2"/>
  <c r="D99" i="2"/>
  <c r="C99" i="2"/>
  <c r="B99" i="2"/>
  <c r="A99" i="2"/>
  <c r="AH98" i="2"/>
  <c r="AG98" i="2"/>
  <c r="AF98" i="2"/>
  <c r="AE98" i="2"/>
  <c r="AD98" i="2"/>
  <c r="AC98" i="2"/>
  <c r="AB98" i="2"/>
  <c r="AA98" i="2"/>
  <c r="Y98" i="2"/>
  <c r="X98" i="2"/>
  <c r="W98" i="2"/>
  <c r="V98" i="2"/>
  <c r="U98" i="2"/>
  <c r="T98" i="2"/>
  <c r="S98" i="2"/>
  <c r="R98" i="2"/>
  <c r="Q98" i="2"/>
  <c r="P98" i="2"/>
  <c r="O98" i="2"/>
  <c r="N98" i="2"/>
  <c r="M98" i="2"/>
  <c r="L98" i="2"/>
  <c r="K98" i="2"/>
  <c r="J98" i="2"/>
  <c r="I98" i="2"/>
  <c r="H98" i="2"/>
  <c r="G98" i="2"/>
  <c r="F98" i="2"/>
  <c r="E98" i="2"/>
  <c r="D98" i="2"/>
  <c r="C98" i="2"/>
  <c r="B98" i="2"/>
  <c r="A98" i="2"/>
  <c r="AH97" i="2"/>
  <c r="AG97" i="2"/>
  <c r="AF97" i="2"/>
  <c r="AE97" i="2"/>
  <c r="AD97" i="2"/>
  <c r="AC97" i="2"/>
  <c r="AB97" i="2"/>
  <c r="AA97" i="2"/>
  <c r="Y97" i="2"/>
  <c r="X97" i="2"/>
  <c r="W97" i="2"/>
  <c r="V97" i="2"/>
  <c r="U97" i="2"/>
  <c r="T97" i="2"/>
  <c r="S97" i="2"/>
  <c r="R97" i="2"/>
  <c r="Q97" i="2"/>
  <c r="P97" i="2"/>
  <c r="O97" i="2"/>
  <c r="N97" i="2"/>
  <c r="M97" i="2"/>
  <c r="L97" i="2"/>
  <c r="K97" i="2"/>
  <c r="J97" i="2"/>
  <c r="I97" i="2"/>
  <c r="H97" i="2"/>
  <c r="G97" i="2"/>
  <c r="F97" i="2"/>
  <c r="E97" i="2"/>
  <c r="D97" i="2"/>
  <c r="C97" i="2"/>
  <c r="B97" i="2"/>
  <c r="A97" i="2"/>
  <c r="AH96" i="2"/>
  <c r="AG96" i="2"/>
  <c r="AF96" i="2"/>
  <c r="AE96" i="2"/>
  <c r="AD96" i="2"/>
  <c r="AC96" i="2"/>
  <c r="AB96" i="2"/>
  <c r="AA96" i="2"/>
  <c r="Y96" i="2"/>
  <c r="V96" i="2"/>
  <c r="U96" i="2"/>
  <c r="T96" i="2"/>
  <c r="S96" i="2"/>
  <c r="R96" i="2"/>
  <c r="Q96" i="2"/>
  <c r="P96" i="2"/>
  <c r="O96" i="2"/>
  <c r="N96" i="2"/>
  <c r="M96" i="2"/>
  <c r="L96" i="2"/>
  <c r="K96" i="2"/>
  <c r="J96" i="2"/>
  <c r="I96" i="2"/>
  <c r="H96" i="2"/>
  <c r="G96" i="2"/>
  <c r="F96" i="2"/>
  <c r="E96" i="2"/>
  <c r="D96" i="2"/>
  <c r="C96" i="2"/>
  <c r="B96" i="2"/>
  <c r="A96" i="2"/>
  <c r="AH95" i="2"/>
  <c r="AG95" i="2"/>
  <c r="AF95" i="2"/>
  <c r="AE95" i="2"/>
  <c r="AD95" i="2"/>
  <c r="AC95" i="2"/>
  <c r="AB95" i="2"/>
  <c r="AA95" i="2"/>
  <c r="Y95" i="2"/>
  <c r="X95" i="2"/>
  <c r="W95" i="2"/>
  <c r="V95" i="2"/>
  <c r="U95" i="2"/>
  <c r="T95" i="2"/>
  <c r="S95" i="2"/>
  <c r="R95" i="2"/>
  <c r="Q95" i="2"/>
  <c r="P95" i="2"/>
  <c r="O95" i="2"/>
  <c r="N95" i="2"/>
  <c r="M95" i="2"/>
  <c r="L95" i="2"/>
  <c r="K95" i="2"/>
  <c r="J95" i="2"/>
  <c r="I95" i="2"/>
  <c r="H95" i="2"/>
  <c r="G95" i="2"/>
  <c r="F95" i="2"/>
  <c r="E95" i="2"/>
  <c r="D95" i="2"/>
  <c r="C95" i="2"/>
  <c r="B95" i="2"/>
  <c r="A95" i="2"/>
  <c r="AH94" i="2"/>
  <c r="AG94" i="2"/>
  <c r="AF94" i="2"/>
  <c r="AE94" i="2"/>
  <c r="AD94" i="2"/>
  <c r="AC94" i="2"/>
  <c r="AB94" i="2"/>
  <c r="AA94" i="2"/>
  <c r="Z94" i="2"/>
  <c r="Y94" i="2"/>
  <c r="W94" i="2"/>
  <c r="V94" i="2"/>
  <c r="U94" i="2"/>
  <c r="T94" i="2"/>
  <c r="S94" i="2"/>
  <c r="R94" i="2"/>
  <c r="Q94" i="2"/>
  <c r="P94" i="2"/>
  <c r="O94" i="2"/>
  <c r="N94" i="2"/>
  <c r="M94" i="2"/>
  <c r="L94" i="2"/>
  <c r="K94" i="2"/>
  <c r="J94" i="2"/>
  <c r="I94" i="2"/>
  <c r="H94" i="2"/>
  <c r="G94" i="2"/>
  <c r="F94" i="2"/>
  <c r="E94" i="2"/>
  <c r="D94" i="2"/>
  <c r="C94" i="2"/>
  <c r="B94" i="2"/>
  <c r="A94" i="2"/>
  <c r="AH93" i="2"/>
  <c r="AG93" i="2"/>
  <c r="AF93" i="2"/>
  <c r="AE93" i="2"/>
  <c r="AD93" i="2"/>
  <c r="AC93" i="2"/>
  <c r="AB93" i="2"/>
  <c r="AA93" i="2"/>
  <c r="Y93" i="2"/>
  <c r="X93" i="2"/>
  <c r="W93" i="2"/>
  <c r="V93" i="2"/>
  <c r="U93" i="2"/>
  <c r="T93" i="2"/>
  <c r="S93" i="2"/>
  <c r="R93" i="2"/>
  <c r="Q93" i="2"/>
  <c r="P93" i="2"/>
  <c r="O93" i="2"/>
  <c r="N93" i="2"/>
  <c r="M93" i="2"/>
  <c r="L93" i="2"/>
  <c r="K93" i="2"/>
  <c r="J93" i="2"/>
  <c r="I93" i="2"/>
  <c r="H93" i="2"/>
  <c r="G93" i="2"/>
  <c r="F93" i="2"/>
  <c r="E93" i="2"/>
  <c r="D93" i="2"/>
  <c r="C93" i="2"/>
  <c r="B93" i="2"/>
  <c r="A93" i="2"/>
  <c r="AH92" i="2"/>
  <c r="AG92" i="2"/>
  <c r="AF92" i="2"/>
  <c r="AE92" i="2"/>
  <c r="AD92" i="2"/>
  <c r="AC92" i="2"/>
  <c r="AB92" i="2"/>
  <c r="AA92" i="2"/>
  <c r="Y92" i="2"/>
  <c r="X92" i="2"/>
  <c r="V92" i="2"/>
  <c r="U92" i="2"/>
  <c r="T92" i="2"/>
  <c r="S92" i="2"/>
  <c r="R92" i="2"/>
  <c r="Q92" i="2"/>
  <c r="P92" i="2"/>
  <c r="O92" i="2"/>
  <c r="N92" i="2"/>
  <c r="M92" i="2"/>
  <c r="L92" i="2"/>
  <c r="K92" i="2"/>
  <c r="J92" i="2"/>
  <c r="I92" i="2"/>
  <c r="H92" i="2"/>
  <c r="G92" i="2"/>
  <c r="F92" i="2"/>
  <c r="E92" i="2"/>
  <c r="D92" i="2"/>
  <c r="C92" i="2"/>
  <c r="B92" i="2"/>
  <c r="A92" i="2"/>
  <c r="AH91" i="2"/>
  <c r="AG91" i="2"/>
  <c r="AF91" i="2"/>
  <c r="AE91" i="2"/>
  <c r="AD91" i="2"/>
  <c r="AC91" i="2"/>
  <c r="AB91" i="2"/>
  <c r="AA91" i="2"/>
  <c r="Y91" i="2"/>
  <c r="X91" i="2"/>
  <c r="V91" i="2"/>
  <c r="U91" i="2"/>
  <c r="T91" i="2"/>
  <c r="R91" i="2"/>
  <c r="Q91" i="2"/>
  <c r="P91" i="2"/>
  <c r="O91" i="2"/>
  <c r="N91" i="2"/>
  <c r="M91" i="2"/>
  <c r="L91" i="2"/>
  <c r="K91" i="2"/>
  <c r="J91" i="2"/>
  <c r="I91" i="2"/>
  <c r="H91" i="2"/>
  <c r="G91" i="2"/>
  <c r="F91" i="2"/>
  <c r="E91" i="2"/>
  <c r="D91" i="2"/>
  <c r="C91" i="2"/>
  <c r="B91" i="2"/>
  <c r="A91" i="2"/>
  <c r="AH90" i="2"/>
  <c r="AG90" i="2"/>
  <c r="AF90" i="2"/>
  <c r="AE90" i="2"/>
  <c r="AD90" i="2"/>
  <c r="AC90" i="2"/>
  <c r="AB90" i="2"/>
  <c r="AA90" i="2"/>
  <c r="X90" i="2"/>
  <c r="W90" i="2"/>
  <c r="V90" i="2"/>
  <c r="U90" i="2"/>
  <c r="T90" i="2"/>
  <c r="R90" i="2"/>
  <c r="Q90" i="2"/>
  <c r="P90" i="2"/>
  <c r="O90" i="2"/>
  <c r="M90" i="2"/>
  <c r="L90" i="2"/>
  <c r="K90" i="2"/>
  <c r="J90" i="2"/>
  <c r="I90" i="2"/>
  <c r="H90" i="2"/>
  <c r="G90" i="2"/>
  <c r="F90" i="2"/>
  <c r="E90" i="2"/>
  <c r="D90" i="2"/>
  <c r="C90" i="2"/>
  <c r="B90" i="2"/>
  <c r="A90" i="2"/>
  <c r="AH89" i="2"/>
  <c r="AG89" i="2"/>
  <c r="AF89" i="2"/>
  <c r="AE89" i="2"/>
  <c r="AD89" i="2"/>
  <c r="AC89" i="2"/>
  <c r="AB89" i="2"/>
  <c r="AA89" i="2"/>
  <c r="Y89" i="2"/>
  <c r="X89" i="2"/>
  <c r="V89" i="2"/>
  <c r="U89" i="2"/>
  <c r="T89" i="2"/>
  <c r="S89" i="2"/>
  <c r="R89" i="2"/>
  <c r="Q89" i="2"/>
  <c r="P89" i="2"/>
  <c r="O89" i="2"/>
  <c r="N89" i="2"/>
  <c r="M89" i="2"/>
  <c r="L89" i="2"/>
  <c r="K89" i="2"/>
  <c r="J89" i="2"/>
  <c r="I89" i="2"/>
  <c r="H89" i="2"/>
  <c r="G89" i="2"/>
  <c r="F89" i="2"/>
  <c r="E89" i="2"/>
  <c r="D89" i="2"/>
  <c r="C89" i="2"/>
  <c r="B89" i="2"/>
  <c r="A89" i="2"/>
  <c r="AH88" i="2"/>
  <c r="AG88" i="2"/>
  <c r="AE88" i="2"/>
  <c r="AD88" i="2"/>
  <c r="AC88" i="2"/>
  <c r="AB88" i="2"/>
  <c r="AA88" i="2"/>
  <c r="Y88" i="2"/>
  <c r="X88" i="2"/>
  <c r="W88" i="2"/>
  <c r="V88" i="2"/>
  <c r="U88" i="2"/>
  <c r="T88" i="2"/>
  <c r="S88" i="2"/>
  <c r="R88" i="2"/>
  <c r="Q88" i="2"/>
  <c r="P88" i="2"/>
  <c r="O88" i="2"/>
  <c r="N88" i="2"/>
  <c r="M88" i="2"/>
  <c r="L88" i="2"/>
  <c r="K88" i="2"/>
  <c r="J88" i="2"/>
  <c r="I88" i="2"/>
  <c r="H88" i="2"/>
  <c r="G88" i="2"/>
  <c r="F88" i="2"/>
  <c r="E88" i="2"/>
  <c r="D88" i="2"/>
  <c r="C88" i="2"/>
  <c r="B88" i="2"/>
  <c r="A88" i="2"/>
  <c r="AH87" i="2"/>
  <c r="AG87" i="2"/>
  <c r="AE87" i="2"/>
  <c r="AD87" i="2"/>
  <c r="AC87" i="2"/>
  <c r="AB87" i="2"/>
  <c r="AA87" i="2"/>
  <c r="V87" i="2"/>
  <c r="U87" i="2"/>
  <c r="T87" i="2"/>
  <c r="S87" i="2"/>
  <c r="R87" i="2"/>
  <c r="Q87" i="2"/>
  <c r="P87" i="2"/>
  <c r="O87" i="2"/>
  <c r="N87" i="2"/>
  <c r="M87" i="2"/>
  <c r="L87" i="2"/>
  <c r="K87" i="2"/>
  <c r="J87" i="2"/>
  <c r="I87" i="2"/>
  <c r="H87" i="2"/>
  <c r="G87" i="2"/>
  <c r="F87" i="2"/>
  <c r="E87" i="2"/>
  <c r="D87" i="2"/>
  <c r="C87" i="2"/>
  <c r="B87" i="2"/>
  <c r="A87" i="2"/>
  <c r="AH86" i="2"/>
  <c r="AG86" i="2"/>
  <c r="AE86" i="2"/>
  <c r="AD86" i="2"/>
  <c r="AC86" i="2"/>
  <c r="AB86" i="2"/>
  <c r="AA86" i="2"/>
  <c r="W86" i="2"/>
  <c r="V86" i="2"/>
  <c r="U86" i="2"/>
  <c r="T86" i="2"/>
  <c r="S86" i="2"/>
  <c r="R86" i="2"/>
  <c r="Q86" i="2"/>
  <c r="P86" i="2"/>
  <c r="O86" i="2"/>
  <c r="N86" i="2"/>
  <c r="M86" i="2"/>
  <c r="L86" i="2"/>
  <c r="K86" i="2"/>
  <c r="J86" i="2"/>
  <c r="I86" i="2"/>
  <c r="H86" i="2"/>
  <c r="G86" i="2"/>
  <c r="F86" i="2"/>
  <c r="E86" i="2"/>
  <c r="D86" i="2"/>
  <c r="C86" i="2"/>
  <c r="B86" i="2"/>
  <c r="A86" i="2"/>
  <c r="AH85" i="2"/>
  <c r="AG85" i="2"/>
  <c r="AE85" i="2"/>
  <c r="AD85" i="2"/>
  <c r="AC85" i="2"/>
  <c r="AB85" i="2"/>
  <c r="AA85" i="2"/>
  <c r="Y85" i="2"/>
  <c r="V85" i="2"/>
  <c r="U85" i="2"/>
  <c r="T85" i="2"/>
  <c r="S85" i="2"/>
  <c r="R85" i="2"/>
  <c r="Q85" i="2"/>
  <c r="P85" i="2"/>
  <c r="O85" i="2"/>
  <c r="N85" i="2"/>
  <c r="M85" i="2"/>
  <c r="L85" i="2"/>
  <c r="K85" i="2"/>
  <c r="J85" i="2"/>
  <c r="I85" i="2"/>
  <c r="H85" i="2"/>
  <c r="G85" i="2"/>
  <c r="F85" i="2"/>
  <c r="E85" i="2"/>
  <c r="D85" i="2"/>
  <c r="C85" i="2"/>
  <c r="B85" i="2"/>
  <c r="A85" i="2"/>
  <c r="AH84" i="2"/>
  <c r="AG84" i="2"/>
  <c r="AF84" i="2"/>
  <c r="AE84" i="2"/>
  <c r="AD84" i="2"/>
  <c r="AC84" i="2"/>
  <c r="AB84" i="2"/>
  <c r="AA84" i="2"/>
  <c r="Y84" i="2"/>
  <c r="V84" i="2"/>
  <c r="U84" i="2"/>
  <c r="T84" i="2"/>
  <c r="R84" i="2"/>
  <c r="Q84" i="2"/>
  <c r="P84" i="2"/>
  <c r="O84" i="2"/>
  <c r="N84" i="2"/>
  <c r="M84" i="2"/>
  <c r="L84" i="2"/>
  <c r="K84" i="2"/>
  <c r="J84" i="2"/>
  <c r="I84" i="2"/>
  <c r="H84" i="2"/>
  <c r="G84" i="2"/>
  <c r="F84" i="2"/>
  <c r="E84" i="2"/>
  <c r="D84" i="2"/>
  <c r="C84" i="2"/>
  <c r="B84" i="2"/>
  <c r="A84" i="2"/>
  <c r="AG83" i="2"/>
  <c r="AF83" i="2"/>
  <c r="AE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83" i="2"/>
  <c r="AH82" i="2"/>
  <c r="AG82" i="2"/>
  <c r="AE82" i="2"/>
  <c r="AD82" i="2"/>
  <c r="AC82" i="2"/>
  <c r="AB82" i="2"/>
  <c r="AA82" i="2"/>
  <c r="Y82" i="2"/>
  <c r="V82" i="2"/>
  <c r="U82" i="2"/>
  <c r="T82" i="2"/>
  <c r="S82" i="2"/>
  <c r="R82" i="2"/>
  <c r="Q82" i="2"/>
  <c r="P82" i="2"/>
  <c r="O82" i="2"/>
  <c r="N82" i="2"/>
  <c r="M82" i="2"/>
  <c r="L82" i="2"/>
  <c r="K82" i="2"/>
  <c r="J82" i="2"/>
  <c r="I82" i="2"/>
  <c r="H82" i="2"/>
  <c r="G82" i="2"/>
  <c r="F82" i="2"/>
  <c r="E82" i="2"/>
  <c r="D82" i="2"/>
  <c r="C82" i="2"/>
  <c r="B82" i="2"/>
  <c r="A82" i="2"/>
  <c r="AG81" i="2"/>
  <c r="AF81" i="2"/>
  <c r="AE81" i="2"/>
  <c r="AD81" i="2"/>
  <c r="AC81" i="2"/>
  <c r="AB81" i="2"/>
  <c r="AA81" i="2"/>
  <c r="Y81" i="2"/>
  <c r="W81" i="2"/>
  <c r="V81" i="2"/>
  <c r="U81" i="2"/>
  <c r="T81" i="2"/>
  <c r="S81" i="2"/>
  <c r="R81" i="2"/>
  <c r="Q81" i="2"/>
  <c r="P81" i="2"/>
  <c r="O81" i="2"/>
  <c r="N81" i="2"/>
  <c r="M81" i="2"/>
  <c r="L81" i="2"/>
  <c r="K81" i="2"/>
  <c r="J81" i="2"/>
  <c r="I81" i="2"/>
  <c r="H81" i="2"/>
  <c r="G81" i="2"/>
  <c r="F81" i="2"/>
  <c r="E81" i="2"/>
  <c r="D81" i="2"/>
  <c r="C81" i="2"/>
  <c r="B81" i="2"/>
  <c r="A81" i="2"/>
  <c r="AH80" i="2"/>
  <c r="AG80" i="2"/>
  <c r="AE80" i="2"/>
  <c r="AD80" i="2"/>
  <c r="AC80" i="2"/>
  <c r="AB80" i="2"/>
  <c r="AA80" i="2"/>
  <c r="Y80" i="2"/>
  <c r="V80" i="2"/>
  <c r="U80" i="2"/>
  <c r="T80" i="2"/>
  <c r="S80" i="2"/>
  <c r="R80" i="2"/>
  <c r="Q80" i="2"/>
  <c r="P80" i="2"/>
  <c r="O80" i="2"/>
  <c r="N80" i="2"/>
  <c r="M80" i="2"/>
  <c r="L80" i="2"/>
  <c r="K80" i="2"/>
  <c r="J80" i="2"/>
  <c r="I80" i="2"/>
  <c r="H80" i="2"/>
  <c r="G80" i="2"/>
  <c r="F80" i="2"/>
  <c r="E80" i="2"/>
  <c r="D80" i="2"/>
  <c r="C80" i="2"/>
  <c r="B80" i="2"/>
  <c r="A80" i="2"/>
  <c r="AH79" i="2"/>
  <c r="AG79" i="2"/>
  <c r="AE79" i="2"/>
  <c r="AC79" i="2"/>
  <c r="AB79" i="2"/>
  <c r="AA79" i="2"/>
  <c r="X79" i="2"/>
  <c r="V79" i="2"/>
  <c r="U79" i="2"/>
  <c r="T79" i="2"/>
  <c r="S79" i="2"/>
  <c r="R79" i="2"/>
  <c r="Q79" i="2"/>
  <c r="P79" i="2"/>
  <c r="O79" i="2"/>
  <c r="N79" i="2"/>
  <c r="M79" i="2"/>
  <c r="L79" i="2"/>
  <c r="K79" i="2"/>
  <c r="J79" i="2"/>
  <c r="I79" i="2"/>
  <c r="H79" i="2"/>
  <c r="G79" i="2"/>
  <c r="F79" i="2"/>
  <c r="E79" i="2"/>
  <c r="D79" i="2"/>
  <c r="C79" i="2"/>
  <c r="B79" i="2"/>
  <c r="A79" i="2"/>
  <c r="AH78" i="2"/>
  <c r="AG78" i="2"/>
  <c r="AE78" i="2"/>
  <c r="AD78" i="2"/>
  <c r="AC78" i="2"/>
  <c r="AB78" i="2"/>
  <c r="AA78" i="2"/>
  <c r="X78" i="2"/>
  <c r="V78" i="2"/>
  <c r="U78" i="2"/>
  <c r="T78" i="2"/>
  <c r="R78" i="2"/>
  <c r="Q78" i="2"/>
  <c r="P78" i="2"/>
  <c r="O78" i="2"/>
  <c r="N78" i="2"/>
  <c r="M78" i="2"/>
  <c r="L78" i="2"/>
  <c r="K78" i="2"/>
  <c r="J78" i="2"/>
  <c r="I78" i="2"/>
  <c r="H78" i="2"/>
  <c r="G78" i="2"/>
  <c r="F78" i="2"/>
  <c r="E78" i="2"/>
  <c r="D78" i="2"/>
  <c r="C78" i="2"/>
  <c r="B78" i="2"/>
  <c r="A78" i="2"/>
  <c r="AH77" i="2"/>
  <c r="AF77" i="2"/>
  <c r="AE77" i="2"/>
  <c r="AD77" i="2"/>
  <c r="AC77" i="2"/>
  <c r="AB77" i="2"/>
  <c r="AA77" i="2"/>
  <c r="Y77" i="2"/>
  <c r="V77" i="2"/>
  <c r="U77" i="2"/>
  <c r="T77" i="2"/>
  <c r="S77" i="2"/>
  <c r="R77" i="2"/>
  <c r="Q77" i="2"/>
  <c r="P77" i="2"/>
  <c r="O77" i="2"/>
  <c r="N77" i="2"/>
  <c r="M77" i="2"/>
  <c r="L77" i="2"/>
  <c r="K77" i="2"/>
  <c r="J77" i="2"/>
  <c r="I77" i="2"/>
  <c r="H77" i="2"/>
  <c r="G77" i="2"/>
  <c r="F77" i="2"/>
  <c r="E77" i="2"/>
  <c r="D77" i="2"/>
  <c r="C77" i="2"/>
  <c r="B77" i="2"/>
  <c r="A77" i="2"/>
  <c r="AH76" i="2"/>
  <c r="AG76" i="2"/>
  <c r="AE76" i="2"/>
  <c r="AD76" i="2"/>
  <c r="AC76" i="2"/>
  <c r="AB76" i="2"/>
  <c r="AA76" i="2"/>
  <c r="V76" i="2"/>
  <c r="U76" i="2"/>
  <c r="T76" i="2"/>
  <c r="S76" i="2"/>
  <c r="R76" i="2"/>
  <c r="Q76" i="2"/>
  <c r="P76" i="2"/>
  <c r="O76" i="2"/>
  <c r="N76" i="2"/>
  <c r="M76" i="2"/>
  <c r="L76" i="2"/>
  <c r="K76" i="2"/>
  <c r="J76" i="2"/>
  <c r="I76" i="2"/>
  <c r="H76" i="2"/>
  <c r="G76" i="2"/>
  <c r="F76" i="2"/>
  <c r="E76" i="2"/>
  <c r="D76" i="2"/>
  <c r="C76" i="2"/>
  <c r="B76" i="2"/>
  <c r="A76" i="2"/>
  <c r="AH75" i="2"/>
  <c r="AG75" i="2"/>
  <c r="AF75" i="2"/>
  <c r="AE75" i="2"/>
  <c r="AD75" i="2"/>
  <c r="AC75" i="2"/>
  <c r="AB75" i="2"/>
  <c r="AA75" i="2"/>
  <c r="Y75" i="2"/>
  <c r="X75" i="2"/>
  <c r="W75" i="2"/>
  <c r="V75" i="2"/>
  <c r="U75" i="2"/>
  <c r="T75" i="2"/>
  <c r="R75" i="2"/>
  <c r="Q75" i="2"/>
  <c r="P75" i="2"/>
  <c r="O75" i="2"/>
  <c r="N75" i="2"/>
  <c r="M75" i="2"/>
  <c r="L75" i="2"/>
  <c r="K75" i="2"/>
  <c r="J75" i="2"/>
  <c r="I75" i="2"/>
  <c r="H75" i="2"/>
  <c r="G75" i="2"/>
  <c r="F75" i="2"/>
  <c r="E75" i="2"/>
  <c r="D75" i="2"/>
  <c r="C75" i="2"/>
  <c r="B75" i="2"/>
  <c r="A75" i="2"/>
  <c r="AH74" i="2"/>
  <c r="AG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74" i="2"/>
  <c r="AH73" i="2"/>
  <c r="AG73" i="2"/>
  <c r="AF73" i="2"/>
  <c r="AE73" i="2"/>
  <c r="AC73" i="2"/>
  <c r="AB73" i="2"/>
  <c r="AA73" i="2"/>
  <c r="Y73" i="2"/>
  <c r="V73" i="2"/>
  <c r="U73" i="2"/>
  <c r="T73" i="2"/>
  <c r="S73" i="2"/>
  <c r="R73" i="2"/>
  <c r="Q73" i="2"/>
  <c r="P73" i="2"/>
  <c r="O73" i="2"/>
  <c r="N73" i="2"/>
  <c r="M73" i="2"/>
  <c r="L73" i="2"/>
  <c r="K73" i="2"/>
  <c r="J73" i="2"/>
  <c r="I73" i="2"/>
  <c r="H73" i="2"/>
  <c r="G73" i="2"/>
  <c r="F73" i="2"/>
  <c r="E73" i="2"/>
  <c r="D73" i="2"/>
  <c r="C73" i="2"/>
  <c r="B73" i="2"/>
  <c r="A73" i="2"/>
  <c r="AH72" i="2"/>
  <c r="AG72" i="2"/>
  <c r="AE72" i="2"/>
  <c r="AC72" i="2"/>
  <c r="AB72" i="2"/>
  <c r="AA72" i="2"/>
  <c r="X72" i="2"/>
  <c r="V72" i="2"/>
  <c r="U72" i="2"/>
  <c r="T72" i="2"/>
  <c r="S72" i="2"/>
  <c r="R72" i="2"/>
  <c r="Q72" i="2"/>
  <c r="P72" i="2"/>
  <c r="O72" i="2"/>
  <c r="N72" i="2"/>
  <c r="M72" i="2"/>
  <c r="L72" i="2"/>
  <c r="K72" i="2"/>
  <c r="J72" i="2"/>
  <c r="I72" i="2"/>
  <c r="H72" i="2"/>
  <c r="G72" i="2"/>
  <c r="F72" i="2"/>
  <c r="E72" i="2"/>
  <c r="D72" i="2"/>
  <c r="C72" i="2"/>
  <c r="B72" i="2"/>
  <c r="A72" i="2"/>
  <c r="AH71" i="2"/>
  <c r="AG71" i="2"/>
  <c r="AE71" i="2"/>
  <c r="AD71" i="2"/>
  <c r="AC71" i="2"/>
  <c r="AB71" i="2"/>
  <c r="AA71" i="2"/>
  <c r="Y71" i="2"/>
  <c r="X71" i="2"/>
  <c r="V71" i="2"/>
  <c r="U71" i="2"/>
  <c r="T71" i="2"/>
  <c r="S71" i="2"/>
  <c r="R71" i="2"/>
  <c r="Q71" i="2"/>
  <c r="P71" i="2"/>
  <c r="O71" i="2"/>
  <c r="N71" i="2"/>
  <c r="M71" i="2"/>
  <c r="L71" i="2"/>
  <c r="K71" i="2"/>
  <c r="J71" i="2"/>
  <c r="I71" i="2"/>
  <c r="H71" i="2"/>
  <c r="G71" i="2"/>
  <c r="F71" i="2"/>
  <c r="E71" i="2"/>
  <c r="D71" i="2"/>
  <c r="C71" i="2"/>
  <c r="B71" i="2"/>
  <c r="A71" i="2"/>
  <c r="AH70" i="2"/>
  <c r="AG70" i="2"/>
  <c r="AE70" i="2"/>
  <c r="AC70" i="2"/>
  <c r="AB70" i="2"/>
  <c r="AA70" i="2"/>
  <c r="Y70" i="2"/>
  <c r="V70" i="2"/>
  <c r="U70" i="2"/>
  <c r="T70" i="2"/>
  <c r="S70" i="2"/>
  <c r="R70" i="2"/>
  <c r="Q70" i="2"/>
  <c r="P70" i="2"/>
  <c r="O70" i="2"/>
  <c r="N70" i="2"/>
  <c r="M70" i="2"/>
  <c r="L70" i="2"/>
  <c r="K70" i="2"/>
  <c r="J70" i="2"/>
  <c r="I70" i="2"/>
  <c r="H70" i="2"/>
  <c r="G70" i="2"/>
  <c r="F70" i="2"/>
  <c r="E70" i="2"/>
  <c r="D70" i="2"/>
  <c r="C70" i="2"/>
  <c r="B70" i="2"/>
  <c r="A70" i="2"/>
  <c r="AH69" i="2"/>
  <c r="AG69" i="2"/>
  <c r="AF69" i="2"/>
  <c r="AE69" i="2"/>
  <c r="AD69" i="2"/>
  <c r="AC69" i="2"/>
  <c r="AB69" i="2"/>
  <c r="AA69" i="2"/>
  <c r="Y69" i="2"/>
  <c r="X69" i="2"/>
  <c r="W69" i="2"/>
  <c r="V69" i="2"/>
  <c r="U69" i="2"/>
  <c r="T69" i="2"/>
  <c r="S69" i="2"/>
  <c r="R69" i="2"/>
  <c r="Q69" i="2"/>
  <c r="P69" i="2"/>
  <c r="O69" i="2"/>
  <c r="N69" i="2"/>
  <c r="M69" i="2"/>
  <c r="L69" i="2"/>
  <c r="K69" i="2"/>
  <c r="J69" i="2"/>
  <c r="I69" i="2"/>
  <c r="H69" i="2"/>
  <c r="G69" i="2"/>
  <c r="F69" i="2"/>
  <c r="E69" i="2"/>
  <c r="D69" i="2"/>
  <c r="C69" i="2"/>
  <c r="B69" i="2"/>
  <c r="A69" i="2"/>
  <c r="AH68" i="2"/>
  <c r="AG68" i="2"/>
  <c r="AF68" i="2"/>
  <c r="AE68" i="2"/>
  <c r="AD68" i="2"/>
  <c r="AC68" i="2"/>
  <c r="AB68" i="2"/>
  <c r="AA68" i="2"/>
  <c r="Y68" i="2"/>
  <c r="X68" i="2"/>
  <c r="W68" i="2"/>
  <c r="V68" i="2"/>
  <c r="U68" i="2"/>
  <c r="T68" i="2"/>
  <c r="S68" i="2"/>
  <c r="R68" i="2"/>
  <c r="Q68" i="2"/>
  <c r="P68" i="2"/>
  <c r="O68" i="2"/>
  <c r="N68" i="2"/>
  <c r="M68" i="2"/>
  <c r="L68" i="2"/>
  <c r="K68" i="2"/>
  <c r="J68" i="2"/>
  <c r="I68" i="2"/>
  <c r="H68" i="2"/>
  <c r="G68" i="2"/>
  <c r="F68" i="2"/>
  <c r="E68" i="2"/>
  <c r="D68" i="2"/>
  <c r="C68" i="2"/>
  <c r="B68" i="2"/>
  <c r="A68"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67" i="2"/>
  <c r="AH66" i="2"/>
  <c r="AG66" i="2"/>
  <c r="AE66" i="2"/>
  <c r="AD66" i="2"/>
  <c r="AC66" i="2"/>
  <c r="AB66" i="2"/>
  <c r="AA66" i="2"/>
  <c r="Y66" i="2"/>
  <c r="X66" i="2"/>
  <c r="V66" i="2"/>
  <c r="U66" i="2"/>
  <c r="T66" i="2"/>
  <c r="S66" i="2"/>
  <c r="R66" i="2"/>
  <c r="Q66" i="2"/>
  <c r="P66" i="2"/>
  <c r="O66" i="2"/>
  <c r="N66" i="2"/>
  <c r="M66" i="2"/>
  <c r="L66" i="2"/>
  <c r="K66" i="2"/>
  <c r="J66" i="2"/>
  <c r="I66" i="2"/>
  <c r="H66" i="2"/>
  <c r="G66" i="2"/>
  <c r="F66" i="2"/>
  <c r="E66" i="2"/>
  <c r="D66" i="2"/>
  <c r="C66" i="2"/>
  <c r="B66" i="2"/>
  <c r="A66" i="2"/>
  <c r="AH65" i="2"/>
  <c r="AG65" i="2"/>
  <c r="AE65" i="2"/>
  <c r="AD65" i="2"/>
  <c r="AC65" i="2"/>
  <c r="AB65" i="2"/>
  <c r="AA65" i="2"/>
  <c r="Y65" i="2"/>
  <c r="X65" i="2"/>
  <c r="W65" i="2"/>
  <c r="V65" i="2"/>
  <c r="U65" i="2"/>
  <c r="T65" i="2"/>
  <c r="S65" i="2"/>
  <c r="R65" i="2"/>
  <c r="Q65" i="2"/>
  <c r="P65" i="2"/>
  <c r="O65" i="2"/>
  <c r="N65" i="2"/>
  <c r="M65" i="2"/>
  <c r="L65" i="2"/>
  <c r="K65" i="2"/>
  <c r="J65" i="2"/>
  <c r="I65" i="2"/>
  <c r="H65" i="2"/>
  <c r="G65" i="2"/>
  <c r="F65" i="2"/>
  <c r="E65" i="2"/>
  <c r="D65" i="2"/>
  <c r="C65" i="2"/>
  <c r="B65" i="2"/>
  <c r="A65" i="2"/>
  <c r="AH64" i="2"/>
  <c r="AG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64" i="2"/>
  <c r="AH63" i="2"/>
  <c r="AG63" i="2"/>
  <c r="AF63" i="2"/>
  <c r="AE63" i="2"/>
  <c r="AC63" i="2"/>
  <c r="AB63" i="2"/>
  <c r="AA63" i="2"/>
  <c r="Y63" i="2"/>
  <c r="X63" i="2"/>
  <c r="W63" i="2"/>
  <c r="V63" i="2"/>
  <c r="U63" i="2"/>
  <c r="T63" i="2"/>
  <c r="S63" i="2"/>
  <c r="R63" i="2"/>
  <c r="Q63" i="2"/>
  <c r="P63" i="2"/>
  <c r="O63" i="2"/>
  <c r="N63" i="2"/>
  <c r="M63" i="2"/>
  <c r="L63" i="2"/>
  <c r="K63" i="2"/>
  <c r="J63" i="2"/>
  <c r="I63" i="2"/>
  <c r="H63" i="2"/>
  <c r="G63" i="2"/>
  <c r="F63" i="2"/>
  <c r="E63" i="2"/>
  <c r="D63" i="2"/>
  <c r="C63" i="2"/>
  <c r="B63" i="2"/>
  <c r="A63" i="2"/>
  <c r="AH62" i="2"/>
  <c r="AG62" i="2"/>
  <c r="AF62" i="2"/>
  <c r="AC62" i="2"/>
  <c r="AB62" i="2"/>
  <c r="AA62" i="2"/>
  <c r="Y62" i="2"/>
  <c r="X62" i="2"/>
  <c r="W62" i="2"/>
  <c r="V62" i="2"/>
  <c r="U62" i="2"/>
  <c r="T62" i="2"/>
  <c r="S62" i="2"/>
  <c r="R62" i="2"/>
  <c r="Q62" i="2"/>
  <c r="P62" i="2"/>
  <c r="O62" i="2"/>
  <c r="N62" i="2"/>
  <c r="M62" i="2"/>
  <c r="L62" i="2"/>
  <c r="K62" i="2"/>
  <c r="J62" i="2"/>
  <c r="I62" i="2"/>
  <c r="H62" i="2"/>
  <c r="G62" i="2"/>
  <c r="F62" i="2"/>
  <c r="E62" i="2"/>
  <c r="D62" i="2"/>
  <c r="C62" i="2"/>
  <c r="B62" i="2"/>
  <c r="A62" i="2"/>
  <c r="AH61" i="2"/>
  <c r="AG61" i="2"/>
  <c r="AE61" i="2"/>
  <c r="AC61" i="2"/>
  <c r="AB61" i="2"/>
  <c r="AA61" i="2"/>
  <c r="Y61" i="2"/>
  <c r="X61" i="2"/>
  <c r="W61" i="2"/>
  <c r="V61" i="2"/>
  <c r="U61" i="2"/>
  <c r="T61" i="2"/>
  <c r="S61" i="2"/>
  <c r="R61" i="2"/>
  <c r="Q61" i="2"/>
  <c r="P61" i="2"/>
  <c r="O61" i="2"/>
  <c r="N61" i="2"/>
  <c r="M61" i="2"/>
  <c r="L61" i="2"/>
  <c r="K61" i="2"/>
  <c r="J61" i="2"/>
  <c r="I61" i="2"/>
  <c r="H61" i="2"/>
  <c r="G61" i="2"/>
  <c r="F61" i="2"/>
  <c r="E61" i="2"/>
  <c r="D61" i="2"/>
  <c r="C61" i="2"/>
  <c r="B61" i="2"/>
  <c r="A61" i="2"/>
  <c r="AH60" i="2"/>
  <c r="AG60" i="2"/>
  <c r="AE60" i="2"/>
  <c r="AC60" i="2"/>
  <c r="AB60" i="2"/>
  <c r="AA60" i="2"/>
  <c r="Y60" i="2"/>
  <c r="W60" i="2"/>
  <c r="V60" i="2"/>
  <c r="U60" i="2"/>
  <c r="T60" i="2"/>
  <c r="S60" i="2"/>
  <c r="R60" i="2"/>
  <c r="Q60" i="2"/>
  <c r="P60" i="2"/>
  <c r="O60" i="2"/>
  <c r="N60" i="2"/>
  <c r="M60" i="2"/>
  <c r="L60" i="2"/>
  <c r="K60" i="2"/>
  <c r="J60" i="2"/>
  <c r="I60" i="2"/>
  <c r="H60" i="2"/>
  <c r="G60" i="2"/>
  <c r="F60" i="2"/>
  <c r="E60" i="2"/>
  <c r="D60" i="2"/>
  <c r="C60" i="2"/>
  <c r="B60" i="2"/>
  <c r="A60"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59" i="2"/>
  <c r="AH58" i="2"/>
  <c r="AG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58" i="2"/>
  <c r="AH57" i="2"/>
  <c r="AG57" i="2"/>
  <c r="AF57" i="2"/>
  <c r="AE57" i="2"/>
  <c r="AD57" i="2"/>
  <c r="AC57" i="2"/>
  <c r="AB57" i="2"/>
  <c r="AA57" i="2"/>
  <c r="Y57" i="2"/>
  <c r="X57" i="2"/>
  <c r="V57" i="2"/>
  <c r="U57" i="2"/>
  <c r="T57" i="2"/>
  <c r="Q57" i="2"/>
  <c r="P57" i="2"/>
  <c r="O57" i="2"/>
  <c r="N57" i="2"/>
  <c r="M57" i="2"/>
  <c r="L57" i="2"/>
  <c r="K57" i="2"/>
  <c r="J57" i="2"/>
  <c r="I57" i="2"/>
  <c r="H57" i="2"/>
  <c r="G57" i="2"/>
  <c r="F57" i="2"/>
  <c r="E57" i="2"/>
  <c r="D57" i="2"/>
  <c r="C57" i="2"/>
  <c r="B57" i="2"/>
  <c r="A57" i="2"/>
  <c r="AH56" i="2"/>
  <c r="AG56" i="2"/>
  <c r="AE56" i="2"/>
  <c r="AD56" i="2"/>
  <c r="AC56" i="2"/>
  <c r="AB56" i="2"/>
  <c r="AA56" i="2"/>
  <c r="X56" i="2"/>
  <c r="W56" i="2"/>
  <c r="V56" i="2"/>
  <c r="U56" i="2"/>
  <c r="T56" i="2"/>
  <c r="S56" i="2"/>
  <c r="R56" i="2"/>
  <c r="Q56" i="2"/>
  <c r="P56" i="2"/>
  <c r="O56" i="2"/>
  <c r="N56" i="2"/>
  <c r="M56" i="2"/>
  <c r="L56" i="2"/>
  <c r="K56" i="2"/>
  <c r="J56" i="2"/>
  <c r="I56" i="2"/>
  <c r="H56" i="2"/>
  <c r="G56" i="2"/>
  <c r="F56" i="2"/>
  <c r="E56" i="2"/>
  <c r="D56" i="2"/>
  <c r="C56" i="2"/>
  <c r="B56" i="2"/>
  <c r="A56" i="2"/>
  <c r="AH55" i="2"/>
  <c r="AG55" i="2"/>
  <c r="AF55" i="2"/>
  <c r="AE55" i="2"/>
  <c r="AC55" i="2"/>
  <c r="AB55" i="2"/>
  <c r="AA55" i="2"/>
  <c r="Y55" i="2"/>
  <c r="X55" i="2"/>
  <c r="W55" i="2"/>
  <c r="V55" i="2"/>
  <c r="U55" i="2"/>
  <c r="T55" i="2"/>
  <c r="R55" i="2"/>
  <c r="Q55" i="2"/>
  <c r="P55" i="2"/>
  <c r="O55" i="2"/>
  <c r="N55" i="2"/>
  <c r="M55" i="2"/>
  <c r="L55" i="2"/>
  <c r="K55" i="2"/>
  <c r="J55" i="2"/>
  <c r="I55" i="2"/>
  <c r="H55" i="2"/>
  <c r="G55" i="2"/>
  <c r="F55" i="2"/>
  <c r="E55" i="2"/>
  <c r="D55" i="2"/>
  <c r="C55" i="2"/>
  <c r="B55" i="2"/>
  <c r="A55" i="2"/>
  <c r="AH54" i="2"/>
  <c r="AG54" i="2"/>
  <c r="AE54" i="2"/>
  <c r="AD54" i="2"/>
  <c r="AC54" i="2"/>
  <c r="AB54" i="2"/>
  <c r="AA54" i="2"/>
  <c r="Z54" i="2"/>
  <c r="Y54" i="2"/>
  <c r="X54" i="2"/>
  <c r="V54" i="2"/>
  <c r="U54" i="2"/>
  <c r="T54" i="2"/>
  <c r="S54" i="2"/>
  <c r="R54" i="2"/>
  <c r="Q54" i="2"/>
  <c r="P54" i="2"/>
  <c r="O54" i="2"/>
  <c r="N54" i="2"/>
  <c r="M54" i="2"/>
  <c r="L54" i="2"/>
  <c r="K54" i="2"/>
  <c r="J54" i="2"/>
  <c r="I54" i="2"/>
  <c r="H54" i="2"/>
  <c r="G54" i="2"/>
  <c r="F54" i="2"/>
  <c r="E54" i="2"/>
  <c r="D54" i="2"/>
  <c r="C54" i="2"/>
  <c r="B54" i="2"/>
  <c r="A54" i="2"/>
  <c r="AH53" i="2"/>
  <c r="AG53" i="2"/>
  <c r="AF53" i="2"/>
  <c r="AE53" i="2"/>
  <c r="AD53" i="2"/>
  <c r="AC53" i="2"/>
  <c r="AB53" i="2"/>
  <c r="AA53" i="2"/>
  <c r="Z53" i="2"/>
  <c r="Y53" i="2"/>
  <c r="V53" i="2"/>
  <c r="U53" i="2"/>
  <c r="T53" i="2"/>
  <c r="S53" i="2"/>
  <c r="R53" i="2"/>
  <c r="Q53" i="2"/>
  <c r="P53" i="2"/>
  <c r="O53" i="2"/>
  <c r="N53" i="2"/>
  <c r="M53" i="2"/>
  <c r="L53" i="2"/>
  <c r="K53" i="2"/>
  <c r="J53" i="2"/>
  <c r="I53" i="2"/>
  <c r="H53" i="2"/>
  <c r="G53" i="2"/>
  <c r="F53" i="2"/>
  <c r="E53" i="2"/>
  <c r="D53" i="2"/>
  <c r="C53" i="2"/>
  <c r="B53" i="2"/>
  <c r="A53" i="2"/>
  <c r="AG52" i="2"/>
  <c r="AC52" i="2"/>
  <c r="AB52" i="2"/>
  <c r="AA52" i="2"/>
  <c r="Y52" i="2"/>
  <c r="V52" i="2"/>
  <c r="U52" i="2"/>
  <c r="T52" i="2"/>
  <c r="S52" i="2"/>
  <c r="R52" i="2"/>
  <c r="Q52" i="2"/>
  <c r="P52" i="2"/>
  <c r="O52" i="2"/>
  <c r="N52" i="2"/>
  <c r="M52" i="2"/>
  <c r="L52" i="2"/>
  <c r="K52" i="2"/>
  <c r="J52" i="2"/>
  <c r="I52" i="2"/>
  <c r="H52" i="2"/>
  <c r="G52" i="2"/>
  <c r="F52" i="2"/>
  <c r="E52" i="2"/>
  <c r="D52" i="2"/>
  <c r="C52" i="2"/>
  <c r="B52" i="2"/>
  <c r="A52" i="2"/>
  <c r="AH51" i="2"/>
  <c r="AG51" i="2"/>
  <c r="AE51" i="2"/>
  <c r="AD51" i="2"/>
  <c r="AC51" i="2"/>
  <c r="AB51" i="2"/>
  <c r="AA51" i="2"/>
  <c r="X51" i="2"/>
  <c r="V51" i="2"/>
  <c r="U51" i="2"/>
  <c r="T51" i="2"/>
  <c r="S51" i="2"/>
  <c r="R51" i="2"/>
  <c r="Q51" i="2"/>
  <c r="P51" i="2"/>
  <c r="O51" i="2"/>
  <c r="N51" i="2"/>
  <c r="M51" i="2"/>
  <c r="L51" i="2"/>
  <c r="K51" i="2"/>
  <c r="J51" i="2"/>
  <c r="I51" i="2"/>
  <c r="H51" i="2"/>
  <c r="G51" i="2"/>
  <c r="F51" i="2"/>
  <c r="E51" i="2"/>
  <c r="D51" i="2"/>
  <c r="C51" i="2"/>
  <c r="B51" i="2"/>
  <c r="A51" i="2"/>
  <c r="AH50" i="2"/>
  <c r="AG50" i="2"/>
  <c r="AE50" i="2"/>
  <c r="AD50" i="2"/>
  <c r="AC50" i="2"/>
  <c r="AB50" i="2"/>
  <c r="AA50" i="2"/>
  <c r="Z50" i="2"/>
  <c r="Y50" i="2"/>
  <c r="W50" i="2"/>
  <c r="V50" i="2"/>
  <c r="U50" i="2"/>
  <c r="T50" i="2"/>
  <c r="S50" i="2"/>
  <c r="R50" i="2"/>
  <c r="Q50" i="2"/>
  <c r="P50" i="2"/>
  <c r="O50" i="2"/>
  <c r="N50" i="2"/>
  <c r="M50" i="2"/>
  <c r="L50" i="2"/>
  <c r="K50" i="2"/>
  <c r="J50" i="2"/>
  <c r="I50" i="2"/>
  <c r="H50" i="2"/>
  <c r="G50" i="2"/>
  <c r="F50" i="2"/>
  <c r="E50" i="2"/>
  <c r="D50" i="2"/>
  <c r="C50" i="2"/>
  <c r="B50" i="2"/>
  <c r="A50" i="2"/>
  <c r="AH49" i="2"/>
  <c r="AG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49" i="2"/>
  <c r="AH48" i="2"/>
  <c r="AG48" i="2"/>
  <c r="AE48" i="2"/>
  <c r="AD48" i="2"/>
  <c r="AC48" i="2"/>
  <c r="AB48" i="2"/>
  <c r="AA48" i="2"/>
  <c r="Y48" i="2"/>
  <c r="X48" i="2"/>
  <c r="V48" i="2"/>
  <c r="U48" i="2"/>
  <c r="T48" i="2"/>
  <c r="S48" i="2"/>
  <c r="R48" i="2"/>
  <c r="Q48" i="2"/>
  <c r="P48" i="2"/>
  <c r="O48" i="2"/>
  <c r="N48" i="2"/>
  <c r="M48" i="2"/>
  <c r="L48" i="2"/>
  <c r="K48" i="2"/>
  <c r="J48" i="2"/>
  <c r="I48" i="2"/>
  <c r="H48" i="2"/>
  <c r="G48" i="2"/>
  <c r="F48" i="2"/>
  <c r="E48" i="2"/>
  <c r="D48" i="2"/>
  <c r="C48" i="2"/>
  <c r="B48" i="2"/>
  <c r="A48" i="2"/>
  <c r="AH47" i="2"/>
  <c r="AG47" i="2"/>
  <c r="AE47" i="2"/>
  <c r="AD47" i="2"/>
  <c r="AC47" i="2"/>
  <c r="AB47" i="2"/>
  <c r="AA47" i="2"/>
  <c r="Y47" i="2"/>
  <c r="V47" i="2"/>
  <c r="U47" i="2"/>
  <c r="T47" i="2"/>
  <c r="S47" i="2"/>
  <c r="R47" i="2"/>
  <c r="Q47" i="2"/>
  <c r="P47" i="2"/>
  <c r="O47" i="2"/>
  <c r="N47" i="2"/>
  <c r="M47" i="2"/>
  <c r="L47" i="2"/>
  <c r="K47" i="2"/>
  <c r="J47" i="2"/>
  <c r="I47" i="2"/>
  <c r="H47" i="2"/>
  <c r="G47" i="2"/>
  <c r="F47" i="2"/>
  <c r="E47" i="2"/>
  <c r="D47" i="2"/>
  <c r="C47" i="2"/>
  <c r="B47" i="2"/>
  <c r="A47" i="2"/>
  <c r="AH46" i="2"/>
  <c r="AG46" i="2"/>
  <c r="AE46" i="2"/>
  <c r="AD46" i="2"/>
  <c r="AC46" i="2"/>
  <c r="AB46" i="2"/>
  <c r="AA46" i="2"/>
  <c r="Y46" i="2"/>
  <c r="X46" i="2"/>
  <c r="W46" i="2"/>
  <c r="V46" i="2"/>
  <c r="U46" i="2"/>
  <c r="T46" i="2"/>
  <c r="S46" i="2"/>
  <c r="R46" i="2"/>
  <c r="Q46" i="2"/>
  <c r="P46" i="2"/>
  <c r="O46" i="2"/>
  <c r="N46" i="2"/>
  <c r="M46" i="2"/>
  <c r="L46" i="2"/>
  <c r="K46" i="2"/>
  <c r="J46" i="2"/>
  <c r="I46" i="2"/>
  <c r="H46" i="2"/>
  <c r="G46" i="2"/>
  <c r="F46" i="2"/>
  <c r="E46" i="2"/>
  <c r="D46" i="2"/>
  <c r="C46" i="2"/>
  <c r="B46" i="2"/>
  <c r="A46" i="2"/>
  <c r="AH45" i="2"/>
  <c r="AG45" i="2"/>
  <c r="AE45" i="2"/>
  <c r="AD45" i="2"/>
  <c r="AC45" i="2"/>
  <c r="AB45" i="2"/>
  <c r="AA45" i="2"/>
  <c r="X45" i="2"/>
  <c r="W45" i="2"/>
  <c r="V45" i="2"/>
  <c r="U45" i="2"/>
  <c r="T45" i="2"/>
  <c r="S45" i="2"/>
  <c r="R45" i="2"/>
  <c r="Q45" i="2"/>
  <c r="P45" i="2"/>
  <c r="O45" i="2"/>
  <c r="N45" i="2"/>
  <c r="M45" i="2"/>
  <c r="L45" i="2"/>
  <c r="K45" i="2"/>
  <c r="J45" i="2"/>
  <c r="I45" i="2"/>
  <c r="H45" i="2"/>
  <c r="G45" i="2"/>
  <c r="F45" i="2"/>
  <c r="E45" i="2"/>
  <c r="D45" i="2"/>
  <c r="C45" i="2"/>
  <c r="B45" i="2"/>
  <c r="A45" i="2"/>
  <c r="AH44" i="2"/>
  <c r="AG44" i="2"/>
  <c r="AE44" i="2"/>
  <c r="AD44" i="2"/>
  <c r="AC44" i="2"/>
  <c r="AB44" i="2"/>
  <c r="AA44" i="2"/>
  <c r="X44" i="2"/>
  <c r="W44" i="2"/>
  <c r="V44" i="2"/>
  <c r="U44" i="2"/>
  <c r="T44" i="2"/>
  <c r="S44" i="2"/>
  <c r="R44" i="2"/>
  <c r="Q44" i="2"/>
  <c r="P44" i="2"/>
  <c r="O44" i="2"/>
  <c r="N44" i="2"/>
  <c r="M44" i="2"/>
  <c r="L44" i="2"/>
  <c r="K44" i="2"/>
  <c r="J44" i="2"/>
  <c r="I44" i="2"/>
  <c r="H44" i="2"/>
  <c r="G44" i="2"/>
  <c r="F44" i="2"/>
  <c r="E44" i="2"/>
  <c r="D44" i="2"/>
  <c r="C44" i="2"/>
  <c r="B44" i="2"/>
  <c r="A44"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43" i="2"/>
  <c r="AH42" i="2"/>
  <c r="AG42" i="2"/>
  <c r="AE42" i="2"/>
  <c r="AD42" i="2"/>
  <c r="AC42" i="2"/>
  <c r="AB42" i="2"/>
  <c r="AA42" i="2"/>
  <c r="Y42" i="2"/>
  <c r="X42" i="2"/>
  <c r="V42" i="2"/>
  <c r="U42" i="2"/>
  <c r="T42" i="2"/>
  <c r="S42" i="2"/>
  <c r="R42" i="2"/>
  <c r="Q42" i="2"/>
  <c r="P42" i="2"/>
  <c r="O42" i="2"/>
  <c r="N42" i="2"/>
  <c r="M42" i="2"/>
  <c r="L42" i="2"/>
  <c r="K42" i="2"/>
  <c r="J42" i="2"/>
  <c r="I42" i="2"/>
  <c r="H42" i="2"/>
  <c r="G42" i="2"/>
  <c r="F42" i="2"/>
  <c r="E42" i="2"/>
  <c r="D42" i="2"/>
  <c r="C42" i="2"/>
  <c r="B42" i="2"/>
  <c r="A42" i="2"/>
  <c r="AH41" i="2"/>
  <c r="AG41" i="2"/>
  <c r="AF41" i="2"/>
  <c r="AE41" i="2"/>
  <c r="AD41" i="2"/>
  <c r="AC41" i="2"/>
  <c r="AB41" i="2"/>
  <c r="AA41" i="2"/>
  <c r="Y41" i="2"/>
  <c r="X41" i="2"/>
  <c r="W41" i="2"/>
  <c r="V41" i="2"/>
  <c r="U41" i="2"/>
  <c r="T41" i="2"/>
  <c r="S41" i="2"/>
  <c r="R41" i="2"/>
  <c r="Q41" i="2"/>
  <c r="P41" i="2"/>
  <c r="O41" i="2"/>
  <c r="N41" i="2"/>
  <c r="M41" i="2"/>
  <c r="L41" i="2"/>
  <c r="K41" i="2"/>
  <c r="J41" i="2"/>
  <c r="I41" i="2"/>
  <c r="H41" i="2"/>
  <c r="G41" i="2"/>
  <c r="F41" i="2"/>
  <c r="E41" i="2"/>
  <c r="D41" i="2"/>
  <c r="C41" i="2"/>
  <c r="B41" i="2"/>
  <c r="A41" i="2"/>
  <c r="AH40" i="2"/>
  <c r="AG40" i="2"/>
  <c r="AE40" i="2"/>
  <c r="AD40" i="2"/>
  <c r="AC40" i="2"/>
  <c r="AB40" i="2"/>
  <c r="AA40" i="2"/>
  <c r="Y40" i="2"/>
  <c r="X40" i="2"/>
  <c r="W40" i="2"/>
  <c r="V40" i="2"/>
  <c r="U40" i="2"/>
  <c r="T40" i="2"/>
  <c r="S40" i="2"/>
  <c r="R40" i="2"/>
  <c r="Q40" i="2"/>
  <c r="P40" i="2"/>
  <c r="O40" i="2"/>
  <c r="N40" i="2"/>
  <c r="M40" i="2"/>
  <c r="L40" i="2"/>
  <c r="K40" i="2"/>
  <c r="J40" i="2"/>
  <c r="I40" i="2"/>
  <c r="H40" i="2"/>
  <c r="G40" i="2"/>
  <c r="F40" i="2"/>
  <c r="E40" i="2"/>
  <c r="D40" i="2"/>
  <c r="C40" i="2"/>
  <c r="B40" i="2"/>
  <c r="A40" i="2"/>
  <c r="AH39" i="2"/>
  <c r="AG39" i="2"/>
  <c r="AF39" i="2"/>
  <c r="AE39" i="2"/>
  <c r="AD39" i="2"/>
  <c r="AC39" i="2"/>
  <c r="AB39" i="2"/>
  <c r="AA39" i="2"/>
  <c r="Z39" i="2"/>
  <c r="Y39" i="2"/>
  <c r="W39" i="2"/>
  <c r="V39" i="2"/>
  <c r="U39" i="2"/>
  <c r="T39" i="2"/>
  <c r="S39" i="2"/>
  <c r="R39" i="2"/>
  <c r="Q39" i="2"/>
  <c r="P39" i="2"/>
  <c r="O39" i="2"/>
  <c r="N39" i="2"/>
  <c r="M39" i="2"/>
  <c r="L39" i="2"/>
  <c r="K39" i="2"/>
  <c r="J39" i="2"/>
  <c r="I39" i="2"/>
  <c r="H39" i="2"/>
  <c r="G39" i="2"/>
  <c r="F39" i="2"/>
  <c r="E39" i="2"/>
  <c r="D39" i="2"/>
  <c r="C39" i="2"/>
  <c r="B39" i="2"/>
  <c r="A39" i="2"/>
  <c r="AH38" i="2"/>
  <c r="AG38" i="2"/>
  <c r="AF38" i="2"/>
  <c r="AE38" i="2"/>
  <c r="AD38" i="2"/>
  <c r="AC38" i="2"/>
  <c r="AB38" i="2"/>
  <c r="AA38" i="2"/>
  <c r="Y38" i="2"/>
  <c r="X38" i="2"/>
  <c r="W38" i="2"/>
  <c r="V38" i="2"/>
  <c r="U38" i="2"/>
  <c r="T38" i="2"/>
  <c r="S38" i="2"/>
  <c r="R38" i="2"/>
  <c r="Q38" i="2"/>
  <c r="P38" i="2"/>
  <c r="O38" i="2"/>
  <c r="N38" i="2"/>
  <c r="M38" i="2"/>
  <c r="L38" i="2"/>
  <c r="K38" i="2"/>
  <c r="J38" i="2"/>
  <c r="I38" i="2"/>
  <c r="H38" i="2"/>
  <c r="G38" i="2"/>
  <c r="F38" i="2"/>
  <c r="E38" i="2"/>
  <c r="D38" i="2"/>
  <c r="C38" i="2"/>
  <c r="B38" i="2"/>
  <c r="A38" i="2"/>
  <c r="AH37" i="2"/>
  <c r="AG37" i="2"/>
  <c r="AE37" i="2"/>
  <c r="AD37" i="2"/>
  <c r="AC37" i="2"/>
  <c r="AB37" i="2"/>
  <c r="AA37" i="2"/>
  <c r="X37" i="2"/>
  <c r="W37" i="2"/>
  <c r="V37" i="2"/>
  <c r="U37" i="2"/>
  <c r="T37" i="2"/>
  <c r="S37" i="2"/>
  <c r="R37" i="2"/>
  <c r="Q37" i="2"/>
  <c r="P37" i="2"/>
  <c r="O37" i="2"/>
  <c r="N37" i="2"/>
  <c r="M37" i="2"/>
  <c r="L37" i="2"/>
  <c r="K37" i="2"/>
  <c r="J37" i="2"/>
  <c r="I37" i="2"/>
  <c r="H37" i="2"/>
  <c r="G37" i="2"/>
  <c r="F37" i="2"/>
  <c r="E37" i="2"/>
  <c r="D37" i="2"/>
  <c r="C37" i="2"/>
  <c r="B37" i="2"/>
  <c r="A37" i="2"/>
  <c r="AH36" i="2"/>
  <c r="AG36" i="2"/>
  <c r="AE36" i="2"/>
  <c r="AD36" i="2"/>
  <c r="AC36" i="2"/>
  <c r="AB36" i="2"/>
  <c r="AA36" i="2"/>
  <c r="Z36" i="2"/>
  <c r="Y36" i="2"/>
  <c r="X36" i="2"/>
  <c r="V36" i="2"/>
  <c r="U36" i="2"/>
  <c r="T36" i="2"/>
  <c r="S36" i="2"/>
  <c r="R36" i="2"/>
  <c r="Q36" i="2"/>
  <c r="P36" i="2"/>
  <c r="O36" i="2"/>
  <c r="N36" i="2"/>
  <c r="M36" i="2"/>
  <c r="L36" i="2"/>
  <c r="K36" i="2"/>
  <c r="J36" i="2"/>
  <c r="I36" i="2"/>
  <c r="H36" i="2"/>
  <c r="G36" i="2"/>
  <c r="F36" i="2"/>
  <c r="E36" i="2"/>
  <c r="D36" i="2"/>
  <c r="C36" i="2"/>
  <c r="B36" i="2"/>
  <c r="A36" i="2"/>
  <c r="AG35" i="2"/>
  <c r="AD35" i="2"/>
  <c r="AC35" i="2"/>
  <c r="AB35" i="2"/>
  <c r="AA35" i="2"/>
  <c r="Y35" i="2"/>
  <c r="X35" i="2"/>
  <c r="V35" i="2"/>
  <c r="U35" i="2"/>
  <c r="T35" i="2"/>
  <c r="S35" i="2"/>
  <c r="R35" i="2"/>
  <c r="Q35" i="2"/>
  <c r="P35" i="2"/>
  <c r="O35" i="2"/>
  <c r="N35" i="2"/>
  <c r="M35" i="2"/>
  <c r="L35" i="2"/>
  <c r="K35" i="2"/>
  <c r="J35" i="2"/>
  <c r="I35" i="2"/>
  <c r="H35" i="2"/>
  <c r="G35" i="2"/>
  <c r="F35" i="2"/>
  <c r="E35" i="2"/>
  <c r="D35" i="2"/>
  <c r="C35" i="2"/>
  <c r="B35" i="2"/>
  <c r="A35" i="2"/>
  <c r="AH34" i="2"/>
  <c r="AG34" i="2"/>
  <c r="AF34" i="2"/>
  <c r="AE34" i="2"/>
  <c r="AD34" i="2"/>
  <c r="AC34" i="2"/>
  <c r="AB34" i="2"/>
  <c r="AA34" i="2"/>
  <c r="Y34" i="2"/>
  <c r="X34" i="2"/>
  <c r="W34" i="2"/>
  <c r="V34" i="2"/>
  <c r="U34" i="2"/>
  <c r="T34" i="2"/>
  <c r="S34" i="2"/>
  <c r="R34" i="2"/>
  <c r="Q34" i="2"/>
  <c r="P34" i="2"/>
  <c r="O34" i="2"/>
  <c r="N34" i="2"/>
  <c r="M34" i="2"/>
  <c r="L34" i="2"/>
  <c r="K34" i="2"/>
  <c r="J34" i="2"/>
  <c r="I34" i="2"/>
  <c r="H34" i="2"/>
  <c r="G34" i="2"/>
  <c r="F34" i="2"/>
  <c r="E34" i="2"/>
  <c r="D34" i="2"/>
  <c r="C34" i="2"/>
  <c r="B34" i="2"/>
  <c r="A34" i="2"/>
  <c r="AH33" i="2"/>
  <c r="AG33" i="2"/>
  <c r="AE33" i="2"/>
  <c r="AD33" i="2"/>
  <c r="AC33" i="2"/>
  <c r="AB33" i="2"/>
  <c r="AA33" i="2"/>
  <c r="Y33" i="2"/>
  <c r="W33" i="2"/>
  <c r="V33" i="2"/>
  <c r="U33" i="2"/>
  <c r="T33" i="2"/>
  <c r="S33" i="2"/>
  <c r="R33" i="2"/>
  <c r="Q33" i="2"/>
  <c r="P33" i="2"/>
  <c r="O33" i="2"/>
  <c r="N33" i="2"/>
  <c r="M33" i="2"/>
  <c r="L33" i="2"/>
  <c r="K33" i="2"/>
  <c r="J33" i="2"/>
  <c r="I33" i="2"/>
  <c r="H33" i="2"/>
  <c r="G33" i="2"/>
  <c r="F33" i="2"/>
  <c r="E33" i="2"/>
  <c r="D33" i="2"/>
  <c r="C33" i="2"/>
  <c r="B33" i="2"/>
  <c r="A33" i="2"/>
  <c r="AH32" i="2"/>
  <c r="AG32" i="2"/>
  <c r="AF32" i="2"/>
  <c r="AE32" i="2"/>
  <c r="AD32" i="2"/>
  <c r="AC32" i="2"/>
  <c r="AB32" i="2"/>
  <c r="AA32" i="2"/>
  <c r="Z32" i="2"/>
  <c r="Y32" i="2"/>
  <c r="X32" i="2"/>
  <c r="V32" i="2"/>
  <c r="U32" i="2"/>
  <c r="T32" i="2"/>
  <c r="S32" i="2"/>
  <c r="R32" i="2"/>
  <c r="Q32" i="2"/>
  <c r="P32" i="2"/>
  <c r="O32" i="2"/>
  <c r="N32" i="2"/>
  <c r="M32" i="2"/>
  <c r="L32" i="2"/>
  <c r="K32" i="2"/>
  <c r="J32" i="2"/>
  <c r="I32" i="2"/>
  <c r="H32" i="2"/>
  <c r="G32" i="2"/>
  <c r="F32" i="2"/>
  <c r="E32" i="2"/>
  <c r="D32" i="2"/>
  <c r="C32" i="2"/>
  <c r="B32" i="2"/>
  <c r="A32" i="2"/>
  <c r="AH31" i="2"/>
  <c r="AG31" i="2"/>
  <c r="AF31" i="2"/>
  <c r="AE31" i="2"/>
  <c r="AD31" i="2"/>
  <c r="AC31" i="2"/>
  <c r="AB31" i="2"/>
  <c r="AA31" i="2"/>
  <c r="Y31" i="2"/>
  <c r="W31" i="2"/>
  <c r="V31" i="2"/>
  <c r="U31" i="2"/>
  <c r="T31" i="2"/>
  <c r="S31" i="2"/>
  <c r="R31" i="2"/>
  <c r="Q31" i="2"/>
  <c r="P31" i="2"/>
  <c r="O31" i="2"/>
  <c r="N31" i="2"/>
  <c r="M31" i="2"/>
  <c r="L31" i="2"/>
  <c r="K31" i="2"/>
  <c r="J31" i="2"/>
  <c r="I31" i="2"/>
  <c r="H31" i="2"/>
  <c r="G31" i="2"/>
  <c r="F31" i="2"/>
  <c r="E31" i="2"/>
  <c r="D31" i="2"/>
  <c r="C31" i="2"/>
  <c r="B31" i="2"/>
  <c r="A31" i="2"/>
  <c r="AH30" i="2"/>
  <c r="AG30" i="2"/>
  <c r="AE30" i="2"/>
  <c r="AC30" i="2"/>
  <c r="AB30" i="2"/>
  <c r="AA30" i="2"/>
  <c r="Y30" i="2"/>
  <c r="X30" i="2"/>
  <c r="W30" i="2"/>
  <c r="V30" i="2"/>
  <c r="U30" i="2"/>
  <c r="T30" i="2"/>
  <c r="S30" i="2"/>
  <c r="R30" i="2"/>
  <c r="Q30" i="2"/>
  <c r="P30" i="2"/>
  <c r="O30" i="2"/>
  <c r="N30" i="2"/>
  <c r="M30" i="2"/>
  <c r="L30" i="2"/>
  <c r="K30" i="2"/>
  <c r="J30" i="2"/>
  <c r="I30" i="2"/>
  <c r="H30" i="2"/>
  <c r="G30" i="2"/>
  <c r="F30" i="2"/>
  <c r="E30" i="2"/>
  <c r="D30" i="2"/>
  <c r="C30" i="2"/>
  <c r="B30" i="2"/>
  <c r="A30" i="2"/>
  <c r="AH29" i="2"/>
  <c r="AG29" i="2"/>
  <c r="AF29" i="2"/>
  <c r="AE29" i="2"/>
  <c r="AD29" i="2"/>
  <c r="AC29" i="2"/>
  <c r="AB29" i="2"/>
  <c r="AA29" i="2"/>
  <c r="Y29" i="2"/>
  <c r="W29" i="2"/>
  <c r="V29" i="2"/>
  <c r="U29" i="2"/>
  <c r="T29" i="2"/>
  <c r="S29" i="2"/>
  <c r="R29" i="2"/>
  <c r="Q29" i="2"/>
  <c r="P29" i="2"/>
  <c r="O29" i="2"/>
  <c r="N29" i="2"/>
  <c r="M29" i="2"/>
  <c r="L29" i="2"/>
  <c r="K29" i="2"/>
  <c r="J29" i="2"/>
  <c r="I29" i="2"/>
  <c r="H29" i="2"/>
  <c r="G29" i="2"/>
  <c r="F29" i="2"/>
  <c r="E29" i="2"/>
  <c r="D29" i="2"/>
  <c r="C29" i="2"/>
  <c r="B29" i="2"/>
  <c r="A29" i="2"/>
  <c r="AH28" i="2"/>
  <c r="AG28" i="2"/>
  <c r="AF28" i="2"/>
  <c r="AE28" i="2"/>
  <c r="AC28" i="2"/>
  <c r="AB28" i="2"/>
  <c r="AA28" i="2"/>
  <c r="Y28" i="2"/>
  <c r="X28" i="2"/>
  <c r="W28" i="2"/>
  <c r="V28" i="2"/>
  <c r="U28" i="2"/>
  <c r="T28" i="2"/>
  <c r="S28" i="2"/>
  <c r="R28" i="2"/>
  <c r="Q28" i="2"/>
  <c r="P28" i="2"/>
  <c r="O28" i="2"/>
  <c r="N28" i="2"/>
  <c r="M28" i="2"/>
  <c r="L28" i="2"/>
  <c r="K28" i="2"/>
  <c r="J28" i="2"/>
  <c r="I28" i="2"/>
  <c r="H28" i="2"/>
  <c r="G28" i="2"/>
  <c r="F28" i="2"/>
  <c r="E28" i="2"/>
  <c r="D28" i="2"/>
  <c r="C28" i="2"/>
  <c r="B28" i="2"/>
  <c r="A28" i="2"/>
  <c r="AH27" i="2"/>
  <c r="AG27" i="2"/>
  <c r="AF27" i="2"/>
  <c r="AE27" i="2"/>
  <c r="AD27" i="2"/>
  <c r="AC27" i="2"/>
  <c r="AB27" i="2"/>
  <c r="AA27" i="2"/>
  <c r="Y27" i="2"/>
  <c r="X27" i="2"/>
  <c r="V27" i="2"/>
  <c r="U27" i="2"/>
  <c r="T27" i="2"/>
  <c r="S27" i="2"/>
  <c r="R27" i="2"/>
  <c r="Q27" i="2"/>
  <c r="P27" i="2"/>
  <c r="O27" i="2"/>
  <c r="N27" i="2"/>
  <c r="M27" i="2"/>
  <c r="L27" i="2"/>
  <c r="K27" i="2"/>
  <c r="J27" i="2"/>
  <c r="I27" i="2"/>
  <c r="H27" i="2"/>
  <c r="G27" i="2"/>
  <c r="F27" i="2"/>
  <c r="E27" i="2"/>
  <c r="D27" i="2"/>
  <c r="C27" i="2"/>
  <c r="B27" i="2"/>
  <c r="A27" i="2"/>
  <c r="AH26" i="2"/>
  <c r="AG26" i="2"/>
  <c r="AF26" i="2"/>
  <c r="AE26" i="2"/>
  <c r="AD26" i="2"/>
  <c r="AC26" i="2"/>
  <c r="AB26" i="2"/>
  <c r="AA26" i="2"/>
  <c r="Y26" i="2"/>
  <c r="X26" i="2"/>
  <c r="W26" i="2"/>
  <c r="V26" i="2"/>
  <c r="U26" i="2"/>
  <c r="T26" i="2"/>
  <c r="S26" i="2"/>
  <c r="R26" i="2"/>
  <c r="Q26" i="2"/>
  <c r="P26" i="2"/>
  <c r="O26" i="2"/>
  <c r="N26" i="2"/>
  <c r="M26" i="2"/>
  <c r="L26" i="2"/>
  <c r="K26" i="2"/>
  <c r="J26" i="2"/>
  <c r="I26" i="2"/>
  <c r="H26" i="2"/>
  <c r="G26" i="2"/>
  <c r="F26" i="2"/>
  <c r="E26" i="2"/>
  <c r="D26" i="2"/>
  <c r="C26" i="2"/>
  <c r="B26" i="2"/>
  <c r="A26" i="2"/>
  <c r="AH25" i="2"/>
  <c r="AG25" i="2"/>
  <c r="AE25" i="2"/>
  <c r="AD25" i="2"/>
  <c r="AC25" i="2"/>
  <c r="AB25" i="2"/>
  <c r="AA25" i="2"/>
  <c r="Y25" i="2"/>
  <c r="X25" i="2"/>
  <c r="W25" i="2"/>
  <c r="V25" i="2"/>
  <c r="U25" i="2"/>
  <c r="T25" i="2"/>
  <c r="S25" i="2"/>
  <c r="R25" i="2"/>
  <c r="Q25" i="2"/>
  <c r="P25" i="2"/>
  <c r="O25" i="2"/>
  <c r="N25" i="2"/>
  <c r="M25" i="2"/>
  <c r="L25" i="2"/>
  <c r="K25" i="2"/>
  <c r="J25" i="2"/>
  <c r="I25" i="2"/>
  <c r="H25" i="2"/>
  <c r="G25" i="2"/>
  <c r="F25" i="2"/>
  <c r="E25" i="2"/>
  <c r="D25" i="2"/>
  <c r="C25" i="2"/>
  <c r="B25" i="2"/>
  <c r="A25" i="2"/>
  <c r="AH24" i="2"/>
  <c r="AG24" i="2"/>
  <c r="AE24" i="2"/>
  <c r="AD24" i="2"/>
  <c r="AC24" i="2"/>
  <c r="AB24" i="2"/>
  <c r="AA24" i="2"/>
  <c r="Y24" i="2"/>
  <c r="X24" i="2"/>
  <c r="W24" i="2"/>
  <c r="V24" i="2"/>
  <c r="U24" i="2"/>
  <c r="T24" i="2"/>
  <c r="S24" i="2"/>
  <c r="R24" i="2"/>
  <c r="Q24" i="2"/>
  <c r="P24" i="2"/>
  <c r="O24" i="2"/>
  <c r="N24" i="2"/>
  <c r="M24" i="2"/>
  <c r="L24" i="2"/>
  <c r="K24" i="2"/>
  <c r="J24" i="2"/>
  <c r="I24" i="2"/>
  <c r="H24" i="2"/>
  <c r="G24" i="2"/>
  <c r="F24" i="2"/>
  <c r="E24" i="2"/>
  <c r="D24" i="2"/>
  <c r="C24" i="2"/>
  <c r="B24" i="2"/>
  <c r="A24" i="2"/>
  <c r="AH23" i="2"/>
  <c r="AG23" i="2"/>
  <c r="AF23" i="2"/>
  <c r="AE23" i="2"/>
  <c r="AD23" i="2"/>
  <c r="AC23" i="2"/>
  <c r="AB23" i="2"/>
  <c r="AA23" i="2"/>
  <c r="Y23" i="2"/>
  <c r="X23" i="2"/>
  <c r="W23" i="2"/>
  <c r="V23" i="2"/>
  <c r="U23" i="2"/>
  <c r="T23" i="2"/>
  <c r="R23" i="2"/>
  <c r="Q23" i="2"/>
  <c r="P23" i="2"/>
  <c r="O23" i="2"/>
  <c r="N23" i="2"/>
  <c r="M23" i="2"/>
  <c r="L23" i="2"/>
  <c r="K23" i="2"/>
  <c r="J23" i="2"/>
  <c r="I23" i="2"/>
  <c r="H23" i="2"/>
  <c r="G23" i="2"/>
  <c r="F23" i="2"/>
  <c r="E23" i="2"/>
  <c r="D23" i="2"/>
  <c r="C23" i="2"/>
  <c r="B23" i="2"/>
  <c r="A23" i="2"/>
  <c r="AH22" i="2"/>
  <c r="AG22" i="2"/>
  <c r="AF22" i="2"/>
  <c r="AE22" i="2"/>
  <c r="AD22" i="2"/>
  <c r="AC22" i="2"/>
  <c r="AB22" i="2"/>
  <c r="AA22" i="2"/>
  <c r="Y22" i="2"/>
  <c r="X22" i="2"/>
  <c r="W22" i="2"/>
  <c r="V22" i="2"/>
  <c r="U22" i="2"/>
  <c r="T22" i="2"/>
  <c r="S22" i="2"/>
  <c r="R22" i="2"/>
  <c r="Q22" i="2"/>
  <c r="P22" i="2"/>
  <c r="O22" i="2"/>
  <c r="N22" i="2"/>
  <c r="M22" i="2"/>
  <c r="L22" i="2"/>
  <c r="K22" i="2"/>
  <c r="J22" i="2"/>
  <c r="I22" i="2"/>
  <c r="H22" i="2"/>
  <c r="G22" i="2"/>
  <c r="F22" i="2"/>
  <c r="E22" i="2"/>
  <c r="D22" i="2"/>
  <c r="C22" i="2"/>
  <c r="B22" i="2"/>
  <c r="A22"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21" i="2"/>
  <c r="AH20" i="2"/>
  <c r="AG20" i="2"/>
  <c r="AE20" i="2"/>
  <c r="AD20" i="2"/>
  <c r="AC20" i="2"/>
  <c r="AB20" i="2"/>
  <c r="AA20" i="2"/>
  <c r="Y20" i="2"/>
  <c r="X20" i="2"/>
  <c r="W20" i="2"/>
  <c r="V20" i="2"/>
  <c r="U20" i="2"/>
  <c r="T20" i="2"/>
  <c r="S20" i="2"/>
  <c r="R20" i="2"/>
  <c r="Q20" i="2"/>
  <c r="P20" i="2"/>
  <c r="O20" i="2"/>
  <c r="N20" i="2"/>
  <c r="M20" i="2"/>
  <c r="L20" i="2"/>
  <c r="K20" i="2"/>
  <c r="J20" i="2"/>
  <c r="I20" i="2"/>
  <c r="H20" i="2"/>
  <c r="G20" i="2"/>
  <c r="F20" i="2"/>
  <c r="E20" i="2"/>
  <c r="D20" i="2"/>
  <c r="C20" i="2"/>
  <c r="B20" i="2"/>
  <c r="A20" i="2"/>
  <c r="AH19" i="2"/>
  <c r="AG19" i="2"/>
  <c r="AE19" i="2"/>
  <c r="AD19" i="2"/>
  <c r="AC19" i="2"/>
  <c r="AB19" i="2"/>
  <c r="AA19" i="2"/>
  <c r="Y19" i="2"/>
  <c r="X19" i="2"/>
  <c r="W19" i="2"/>
  <c r="V19" i="2"/>
  <c r="U19" i="2"/>
  <c r="T19" i="2"/>
  <c r="S19" i="2"/>
  <c r="R19" i="2"/>
  <c r="Q19" i="2"/>
  <c r="P19" i="2"/>
  <c r="O19" i="2"/>
  <c r="N19" i="2"/>
  <c r="M19" i="2"/>
  <c r="L19" i="2"/>
  <c r="K19" i="2"/>
  <c r="J19" i="2"/>
  <c r="I19" i="2"/>
  <c r="H19" i="2"/>
  <c r="G19" i="2"/>
  <c r="F19" i="2"/>
  <c r="E19" i="2"/>
  <c r="D19" i="2"/>
  <c r="C19" i="2"/>
  <c r="B19" i="2"/>
  <c r="A19" i="2"/>
  <c r="AH18" i="2"/>
  <c r="AG18" i="2"/>
  <c r="AF18" i="2"/>
  <c r="AE18" i="2"/>
  <c r="AD18" i="2"/>
  <c r="AC18" i="2"/>
  <c r="AB18" i="2"/>
  <c r="AA18" i="2"/>
  <c r="Y18" i="2"/>
  <c r="X18" i="2"/>
  <c r="W18" i="2"/>
  <c r="V18" i="2"/>
  <c r="U18" i="2"/>
  <c r="T18" i="2"/>
  <c r="S18" i="2"/>
  <c r="R18" i="2"/>
  <c r="Q18" i="2"/>
  <c r="P18" i="2"/>
  <c r="O18" i="2"/>
  <c r="N18" i="2"/>
  <c r="M18" i="2"/>
  <c r="L18" i="2"/>
  <c r="K18" i="2"/>
  <c r="J18" i="2"/>
  <c r="I18" i="2"/>
  <c r="H18" i="2"/>
  <c r="G18" i="2"/>
  <c r="F18" i="2"/>
  <c r="E18" i="2"/>
  <c r="D18" i="2"/>
  <c r="C18" i="2"/>
  <c r="B18" i="2"/>
  <c r="A18" i="2"/>
  <c r="AH17" i="2"/>
  <c r="AG17" i="2"/>
  <c r="AE17" i="2"/>
  <c r="AD17" i="2"/>
  <c r="AC17" i="2"/>
  <c r="AB17" i="2"/>
  <c r="AA17" i="2"/>
  <c r="Y17" i="2"/>
  <c r="X17" i="2"/>
  <c r="V17" i="2"/>
  <c r="U17" i="2"/>
  <c r="T17" i="2"/>
  <c r="S17" i="2"/>
  <c r="R17" i="2"/>
  <c r="Q17" i="2"/>
  <c r="P17" i="2"/>
  <c r="O17" i="2"/>
  <c r="N17" i="2"/>
  <c r="M17" i="2"/>
  <c r="L17" i="2"/>
  <c r="K17" i="2"/>
  <c r="J17" i="2"/>
  <c r="I17" i="2"/>
  <c r="H17" i="2"/>
  <c r="G17" i="2"/>
  <c r="F17" i="2"/>
  <c r="E17" i="2"/>
  <c r="D17" i="2"/>
  <c r="C17" i="2"/>
  <c r="B17" i="2"/>
  <c r="A17" i="2"/>
  <c r="AH16" i="2"/>
  <c r="AG16" i="2"/>
  <c r="AE16" i="2"/>
  <c r="AD16" i="2"/>
  <c r="AC16" i="2"/>
  <c r="AB16" i="2"/>
  <c r="AA16" i="2"/>
  <c r="W16" i="2"/>
  <c r="V16" i="2"/>
  <c r="U16" i="2"/>
  <c r="T16" i="2"/>
  <c r="S16" i="2"/>
  <c r="R16" i="2"/>
  <c r="Q16" i="2"/>
  <c r="P16" i="2"/>
  <c r="O16" i="2"/>
  <c r="N16" i="2"/>
  <c r="M16" i="2"/>
  <c r="L16" i="2"/>
  <c r="K16" i="2"/>
  <c r="J16" i="2"/>
  <c r="I16" i="2"/>
  <c r="H16" i="2"/>
  <c r="G16" i="2"/>
  <c r="F16" i="2"/>
  <c r="E16" i="2"/>
  <c r="D16" i="2"/>
  <c r="C16" i="2"/>
  <c r="B16" i="2"/>
  <c r="A16" i="2"/>
  <c r="AH15" i="2"/>
  <c r="AG15" i="2"/>
  <c r="AF15" i="2"/>
  <c r="AE15" i="2"/>
  <c r="AD15" i="2"/>
  <c r="AC15" i="2"/>
  <c r="AB15" i="2"/>
  <c r="AA15" i="2"/>
  <c r="Y15" i="2"/>
  <c r="X15" i="2"/>
  <c r="W15" i="2"/>
  <c r="V15" i="2"/>
  <c r="U15" i="2"/>
  <c r="T15" i="2"/>
  <c r="S15" i="2"/>
  <c r="R15" i="2"/>
  <c r="Q15" i="2"/>
  <c r="P15" i="2"/>
  <c r="O15" i="2"/>
  <c r="N15" i="2"/>
  <c r="M15" i="2"/>
  <c r="L15" i="2"/>
  <c r="K15" i="2"/>
  <c r="J15" i="2"/>
  <c r="I15" i="2"/>
  <c r="H15" i="2"/>
  <c r="G15" i="2"/>
  <c r="F15" i="2"/>
  <c r="E15" i="2"/>
  <c r="D15" i="2"/>
  <c r="C15" i="2"/>
  <c r="B15" i="2"/>
  <c r="A15" i="2"/>
  <c r="AH14" i="2"/>
  <c r="AG14" i="2"/>
  <c r="AE14" i="2"/>
  <c r="AD14" i="2"/>
  <c r="AC14" i="2"/>
  <c r="AB14" i="2"/>
  <c r="AA14" i="2"/>
  <c r="Y14" i="2"/>
  <c r="X14" i="2"/>
  <c r="W14" i="2"/>
  <c r="V14" i="2"/>
  <c r="U14" i="2"/>
  <c r="T14" i="2"/>
  <c r="S14" i="2"/>
  <c r="R14" i="2"/>
  <c r="Q14" i="2"/>
  <c r="P14" i="2"/>
  <c r="O14" i="2"/>
  <c r="N14" i="2"/>
  <c r="M14" i="2"/>
  <c r="L14" i="2"/>
  <c r="K14" i="2"/>
  <c r="J14" i="2"/>
  <c r="I14" i="2"/>
  <c r="H14" i="2"/>
  <c r="G14" i="2"/>
  <c r="F14" i="2"/>
  <c r="E14" i="2"/>
  <c r="D14" i="2"/>
  <c r="C14" i="2"/>
  <c r="B14" i="2"/>
  <c r="A14" i="2"/>
  <c r="AH13" i="2"/>
  <c r="AG13" i="2"/>
  <c r="AF13" i="2"/>
  <c r="AE13" i="2"/>
  <c r="AD13" i="2"/>
  <c r="AC13" i="2"/>
  <c r="AB13" i="2"/>
  <c r="AA13" i="2"/>
  <c r="Y13" i="2"/>
  <c r="X13" i="2"/>
  <c r="V13" i="2"/>
  <c r="U13" i="2"/>
  <c r="T13" i="2"/>
  <c r="S13" i="2"/>
  <c r="R13" i="2"/>
  <c r="Q13" i="2"/>
  <c r="P13" i="2"/>
  <c r="O13" i="2"/>
  <c r="N13" i="2"/>
  <c r="M13" i="2"/>
  <c r="L13" i="2"/>
  <c r="K13" i="2"/>
  <c r="J13" i="2"/>
  <c r="I13" i="2"/>
  <c r="H13" i="2"/>
  <c r="G13" i="2"/>
  <c r="F13" i="2"/>
  <c r="E13" i="2"/>
  <c r="D13" i="2"/>
  <c r="C13" i="2"/>
  <c r="B13" i="2"/>
  <c r="A13" i="2"/>
  <c r="AH12" i="2"/>
  <c r="AG12" i="2"/>
  <c r="AF12" i="2"/>
  <c r="AE12" i="2"/>
  <c r="AD12" i="2"/>
  <c r="AC12" i="2"/>
  <c r="AB12" i="2"/>
  <c r="AA12" i="2"/>
  <c r="Y12" i="2"/>
  <c r="X12" i="2"/>
  <c r="V12" i="2"/>
  <c r="U12" i="2"/>
  <c r="T12" i="2"/>
  <c r="S12" i="2"/>
  <c r="R12" i="2"/>
  <c r="Q12" i="2"/>
  <c r="P12" i="2"/>
  <c r="O12" i="2"/>
  <c r="N12" i="2"/>
  <c r="M12" i="2"/>
  <c r="L12" i="2"/>
  <c r="K12" i="2"/>
  <c r="J12" i="2"/>
  <c r="I12" i="2"/>
  <c r="H12" i="2"/>
  <c r="G12" i="2"/>
  <c r="F12" i="2"/>
  <c r="E12" i="2"/>
  <c r="D12" i="2"/>
  <c r="C12" i="2"/>
  <c r="B12" i="2"/>
  <c r="A12" i="2"/>
  <c r="AH11" i="2"/>
  <c r="AG11" i="2"/>
  <c r="AE11" i="2"/>
  <c r="AD11" i="2"/>
  <c r="AC11" i="2"/>
  <c r="AB11" i="2"/>
  <c r="AA11" i="2"/>
  <c r="X11" i="2"/>
  <c r="W11" i="2"/>
  <c r="V11" i="2"/>
  <c r="U11" i="2"/>
  <c r="T11" i="2"/>
  <c r="S11" i="2"/>
  <c r="R11" i="2"/>
  <c r="Q11" i="2"/>
  <c r="P11" i="2"/>
  <c r="O11" i="2"/>
  <c r="N11" i="2"/>
  <c r="M11" i="2"/>
  <c r="L11" i="2"/>
  <c r="K11" i="2"/>
  <c r="J11" i="2"/>
  <c r="I11" i="2"/>
  <c r="H11" i="2"/>
  <c r="G11" i="2"/>
  <c r="F11" i="2"/>
  <c r="E11" i="2"/>
  <c r="D11" i="2"/>
  <c r="C11" i="2"/>
  <c r="B11" i="2"/>
  <c r="A11" i="2"/>
  <c r="AH10" i="2"/>
  <c r="AG10" i="2"/>
  <c r="AE10" i="2"/>
  <c r="AD10" i="2"/>
  <c r="AC10" i="2"/>
  <c r="AB10" i="2"/>
  <c r="AA10" i="2"/>
  <c r="X10" i="2"/>
  <c r="W10" i="2"/>
  <c r="V10" i="2"/>
  <c r="U10" i="2"/>
  <c r="T10" i="2"/>
  <c r="S10" i="2"/>
  <c r="R10" i="2"/>
  <c r="Q10" i="2"/>
  <c r="P10" i="2"/>
  <c r="O10" i="2"/>
  <c r="N10" i="2"/>
  <c r="M10" i="2"/>
  <c r="L10" i="2"/>
  <c r="K10" i="2"/>
  <c r="J10" i="2"/>
  <c r="I10" i="2"/>
  <c r="H10" i="2"/>
  <c r="G10" i="2"/>
  <c r="F10" i="2"/>
  <c r="E10" i="2"/>
  <c r="D10" i="2"/>
  <c r="C10" i="2"/>
  <c r="B10" i="2"/>
  <c r="A10" i="2"/>
  <c r="AH9" i="2"/>
  <c r="AG9" i="2"/>
  <c r="AF9" i="2"/>
  <c r="AE9" i="2"/>
  <c r="AD9" i="2"/>
  <c r="AC9" i="2"/>
  <c r="AB9" i="2"/>
  <c r="AA9" i="2"/>
  <c r="Z9" i="2"/>
  <c r="Y9" i="2"/>
  <c r="X9" i="2"/>
  <c r="W9" i="2"/>
  <c r="V9" i="2"/>
  <c r="U9" i="2"/>
  <c r="T9" i="2"/>
  <c r="R9" i="2"/>
  <c r="Q9" i="2"/>
  <c r="P9" i="2"/>
  <c r="O9" i="2"/>
  <c r="N9" i="2"/>
  <c r="M9" i="2"/>
  <c r="L9" i="2"/>
  <c r="K9" i="2"/>
  <c r="J9" i="2"/>
  <c r="I9" i="2"/>
  <c r="H9" i="2"/>
  <c r="G9" i="2"/>
  <c r="F9" i="2"/>
  <c r="E9" i="2"/>
  <c r="D9" i="2"/>
  <c r="C9" i="2"/>
  <c r="B9" i="2"/>
  <c r="A9" i="2"/>
  <c r="AH8" i="2"/>
  <c r="AG8" i="2"/>
  <c r="AF8" i="2"/>
  <c r="AE8" i="2"/>
  <c r="AD8" i="2"/>
  <c r="AC8" i="2"/>
  <c r="AB8" i="2"/>
  <c r="AA8" i="2"/>
  <c r="Y8" i="2"/>
  <c r="X8" i="2"/>
  <c r="W8" i="2"/>
  <c r="V8" i="2"/>
  <c r="U8" i="2"/>
  <c r="T8" i="2"/>
  <c r="S8" i="2"/>
  <c r="R8" i="2"/>
  <c r="Q8" i="2"/>
  <c r="P8" i="2"/>
  <c r="O8" i="2"/>
  <c r="N8" i="2"/>
  <c r="M8" i="2"/>
  <c r="L8" i="2"/>
  <c r="K8" i="2"/>
  <c r="J8" i="2"/>
  <c r="I8" i="2"/>
  <c r="H8" i="2"/>
  <c r="G8" i="2"/>
  <c r="F8" i="2"/>
  <c r="E8" i="2"/>
  <c r="D8" i="2"/>
  <c r="C8" i="2"/>
  <c r="B8" i="2"/>
  <c r="A8" i="2"/>
  <c r="AH7" i="2"/>
  <c r="AG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7" i="2"/>
  <c r="AH6" i="2"/>
  <c r="AG6" i="2"/>
  <c r="AE6" i="2"/>
  <c r="AD6" i="2"/>
  <c r="AC6" i="2"/>
  <c r="AB6" i="2"/>
  <c r="AA6" i="2"/>
  <c r="X6" i="2"/>
  <c r="V6" i="2"/>
  <c r="U6" i="2"/>
  <c r="T6" i="2"/>
  <c r="R6" i="2"/>
  <c r="Q6" i="2"/>
  <c r="P6" i="2"/>
  <c r="O6" i="2"/>
  <c r="N6" i="2"/>
  <c r="M6" i="2"/>
  <c r="L6" i="2"/>
  <c r="K6" i="2"/>
  <c r="J6" i="2"/>
  <c r="I6" i="2"/>
  <c r="H6" i="2"/>
  <c r="G6" i="2"/>
  <c r="F6" i="2"/>
  <c r="E6" i="2"/>
  <c r="D6" i="2"/>
  <c r="C6" i="2"/>
  <c r="B6" i="2"/>
  <c r="A6" i="2"/>
  <c r="AH5" i="2"/>
  <c r="AG5" i="2"/>
  <c r="AF5" i="2"/>
  <c r="AE5" i="2"/>
  <c r="AD5" i="2"/>
  <c r="AC5" i="2"/>
  <c r="AB5" i="2"/>
  <c r="AA5" i="2"/>
  <c r="Z5" i="2"/>
  <c r="Y5" i="2"/>
  <c r="W5" i="2"/>
  <c r="V5" i="2"/>
  <c r="U5" i="2"/>
  <c r="T5" i="2"/>
  <c r="S5" i="2"/>
  <c r="R5" i="2"/>
  <c r="Q5" i="2"/>
  <c r="P5" i="2"/>
  <c r="O5" i="2"/>
  <c r="N5" i="2"/>
  <c r="M5" i="2"/>
  <c r="L5" i="2"/>
  <c r="K5" i="2"/>
  <c r="J5" i="2"/>
  <c r="I5" i="2"/>
  <c r="H5" i="2"/>
  <c r="G5" i="2"/>
  <c r="F5" i="2"/>
  <c r="E5" i="2"/>
  <c r="D5" i="2"/>
  <c r="C5" i="2"/>
  <c r="B5" i="2"/>
  <c r="A5" i="2"/>
  <c r="AH4" i="2"/>
  <c r="AG4" i="2"/>
  <c r="AE4" i="2"/>
  <c r="AD4" i="2"/>
  <c r="AC4" i="2"/>
  <c r="AB4" i="2"/>
  <c r="AA4" i="2"/>
  <c r="Y4" i="2"/>
  <c r="V4" i="2"/>
  <c r="U4" i="2"/>
  <c r="T4" i="2"/>
  <c r="S4" i="2"/>
  <c r="R4" i="2"/>
  <c r="Q4" i="2"/>
  <c r="P4" i="2"/>
  <c r="O4" i="2"/>
  <c r="N4" i="2"/>
  <c r="M4" i="2"/>
  <c r="L4" i="2"/>
  <c r="K4" i="2"/>
  <c r="J4" i="2"/>
  <c r="I4" i="2"/>
  <c r="H4" i="2"/>
  <c r="G4" i="2"/>
  <c r="F4" i="2"/>
  <c r="E4" i="2"/>
  <c r="D4" i="2"/>
  <c r="C4" i="2"/>
  <c r="B4" i="2"/>
  <c r="A4" i="2"/>
  <c r="AH3" i="2"/>
  <c r="AG3" i="2"/>
  <c r="AF3" i="2"/>
  <c r="AE3" i="2"/>
  <c r="AD3" i="2"/>
  <c r="AC3" i="2"/>
  <c r="AB3" i="2"/>
  <c r="AA3" i="2"/>
  <c r="Y3" i="2"/>
  <c r="X3" i="2"/>
  <c r="W3" i="2"/>
  <c r="V3" i="2"/>
  <c r="U3" i="2"/>
  <c r="T3" i="2"/>
  <c r="S3" i="2"/>
  <c r="R3" i="2"/>
  <c r="Q3" i="2"/>
  <c r="P3" i="2"/>
  <c r="O3" i="2"/>
  <c r="N3" i="2"/>
  <c r="M3" i="2"/>
  <c r="L3" i="2"/>
  <c r="K3" i="2"/>
  <c r="J3" i="2"/>
  <c r="I3" i="2"/>
  <c r="H3" i="2"/>
  <c r="G3" i="2"/>
  <c r="F3" i="2"/>
  <c r="E3" i="2"/>
  <c r="D3" i="2"/>
  <c r="C3" i="2"/>
  <c r="B3" i="2"/>
  <c r="A3" i="2"/>
  <c r="AG2" i="2"/>
  <c r="AF2" i="2"/>
  <c r="AE2" i="2"/>
  <c r="AD2" i="2"/>
  <c r="AC2" i="2"/>
  <c r="AB2" i="2"/>
  <c r="AA2" i="2"/>
  <c r="V2" i="2"/>
  <c r="U2" i="2"/>
  <c r="P2" i="2"/>
  <c r="O2" i="2"/>
  <c r="N2" i="2"/>
  <c r="M2" i="2"/>
  <c r="L2" i="2"/>
  <c r="K2" i="2"/>
  <c r="J2" i="2"/>
  <c r="I2" i="2"/>
  <c r="H2" i="2"/>
  <c r="G2" i="2"/>
  <c r="F2" i="2"/>
  <c r="E2" i="2"/>
  <c r="D2" i="2"/>
  <c r="C2" i="2"/>
  <c r="B2" i="2"/>
  <c r="A2"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font>
      <sz val="10"/>
      <color rgb="FF000000"/>
      <name val="Arial"/>
      <scheme val="minor"/>
    </font>
    <font>
      <sz val="11"/>
      <color rgb="FF000000"/>
      <name val="Inconsolata"/>
    </font>
    <font>
      <sz val="10"/>
      <color theme="1"/>
      <name val="Arial"/>
      <scheme val="minor"/>
    </font>
    <font>
      <b/>
      <sz val="12"/>
      <color rgb="FF202124"/>
      <name val="&quot;Google Sans&quot;"/>
    </font>
    <font>
      <b/>
      <sz val="10"/>
      <color theme="1"/>
      <name val="Arial"/>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2" borderId="0" xfId="0" applyFont="1" applyFill="1"/>
    <xf numFmtId="0" fontId="4" fillId="0" borderId="0" xfId="0" applyFont="1"/>
    <xf numFmtId="14" fontId="2" fillId="0" borderId="0" xfId="0" applyNumberFormat="1" applyFont="1"/>
    <xf numFmtId="18" fontId="2" fillId="0" borderId="0" xfId="0" applyNumberFormat="1" applyFont="1"/>
    <xf numFmtId="164" fontId="2" fillId="0" borderId="0" xfId="0" applyNumberFormat="1" applyFont="1"/>
    <xf numFmtId="0" fontId="1" fillId="2" borderId="0" xfId="0" applyFont="1" applyFill="1"/>
  </cellXfs>
  <cellStyles count="1">
    <cellStyle name="Normal" xfId="0" builtinId="0"/>
  </cellStyles>
  <dxfs count="3">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3075"/>
  <sheetViews>
    <sheetView tabSelected="1" workbookViewId="0">
      <pane xSplit="6" ySplit="1" topLeftCell="P1338" activePane="bottomRight" state="frozen"/>
      <selection pane="topRight" activeCell="G1" sqref="G1"/>
      <selection pane="bottomLeft" activeCell="A2" sqref="A2"/>
      <selection pane="bottomRight" activeCell="A469" sqref="A469:XFD469"/>
    </sheetView>
  </sheetViews>
  <sheetFormatPr baseColWidth="10" defaultColWidth="12.6328125" defaultRowHeight="15.75" customHeight="1"/>
  <cols>
    <col min="1" max="1" width="17.36328125" customWidth="1"/>
    <col min="2" max="2" width="7" customWidth="1"/>
    <col min="3" max="3" width="5.36328125" customWidth="1"/>
    <col min="4" max="4" width="7" customWidth="1"/>
    <col min="5" max="5" width="9.90625" customWidth="1"/>
    <col min="6" max="6" width="23.08984375" customWidth="1"/>
    <col min="7" max="7" width="10.36328125" customWidth="1"/>
    <col min="11" max="11" width="9" customWidth="1"/>
    <col min="13" max="13" width="6.81640625" customWidth="1"/>
    <col min="14" max="14" width="8.08984375" customWidth="1"/>
    <col min="16" max="16" width="23.81640625" customWidth="1"/>
    <col min="22" max="22" width="85.08984375" customWidth="1"/>
    <col min="23" max="24" width="28.36328125" customWidth="1"/>
  </cols>
  <sheetData>
    <row r="1" spans="1:34" ht="15.75" customHeight="1">
      <c r="A1" s="2" t="str">
        <f ca="1">IFERROR(__xludf.DUMMYFUNCTION("IMPORTRANGE(""https://docs.google.com/spreadsheets/d/13by1rx0kMN24Sm2nKqqR6GsRtIyhgOO8U6IyuCHwhEU/edit#gid=1519919770"", ""Incident!A1:AA5000"")"),"Incident_ID")</f>
        <v>Incident_ID</v>
      </c>
      <c r="B1" s="3" t="str">
        <f ca="1">IFERROR(__xludf.DUMMYFUNCTION("""COMPUTED_VALUE"""),"Month")</f>
        <v>Month</v>
      </c>
      <c r="C1" s="3" t="str">
        <f ca="1">IFERROR(__xludf.DUMMYFUNCTION("""COMPUTED_VALUE"""),"Day")</f>
        <v>Day</v>
      </c>
      <c r="D1" s="3" t="str">
        <f ca="1">IFERROR(__xludf.DUMMYFUNCTION("""COMPUTED_VALUE"""),"Year")</f>
        <v>Year</v>
      </c>
      <c r="E1" s="3" t="str">
        <f ca="1">IFERROR(__xludf.DUMMYFUNCTION("""COMPUTED_VALUE"""),"Date")</f>
        <v>Date</v>
      </c>
      <c r="F1" s="3" t="str">
        <f ca="1">IFERROR(__xludf.DUMMYFUNCTION("""COMPUTED_VALUE"""),"School")</f>
        <v>School</v>
      </c>
      <c r="G1" s="3" t="str">
        <f ca="1">IFERROR(__xludf.DUMMYFUNCTION("""COMPUTED_VALUE"""),"Victims_Killed")</f>
        <v>Victims_Killed</v>
      </c>
      <c r="H1" s="3" t="str">
        <f ca="1">IFERROR(__xludf.DUMMYFUNCTION("""COMPUTED_VALUE"""),"Victims_Wounded")</f>
        <v>Victims_Wounded</v>
      </c>
      <c r="I1" s="3" t="str">
        <f ca="1">IFERROR(__xludf.DUMMYFUNCTION("""COMPUTED_VALUE"""),"Number_Victims")</f>
        <v>Number_Victims</v>
      </c>
      <c r="J1" s="3" t="str">
        <f ca="1">IFERROR(__xludf.DUMMYFUNCTION("""COMPUTED_VALUE"""),"Shooter_Killed")</f>
        <v>Shooter_Killed</v>
      </c>
      <c r="K1" s="3" t="str">
        <f ca="1">IFERROR(__xludf.DUMMYFUNCTION("""COMPUTED_VALUE"""),"Quarter")</f>
        <v>Quarter</v>
      </c>
      <c r="L1" s="3" t="str">
        <f ca="1">IFERROR(__xludf.DUMMYFUNCTION("""COMPUTED_VALUE"""),"City")</f>
        <v>City</v>
      </c>
      <c r="M1" s="3" t="str">
        <f ca="1">IFERROR(__xludf.DUMMYFUNCTION("""COMPUTED_VALUE"""),"State")</f>
        <v>State</v>
      </c>
      <c r="N1" s="3" t="str">
        <f ca="1">IFERROR(__xludf.DUMMYFUNCTION("""COMPUTED_VALUE"""),"School_Level")</f>
        <v>School_Level</v>
      </c>
      <c r="O1" s="3" t="str">
        <f ca="1">IFERROR(__xludf.DUMMYFUNCTION("""COMPUTED_VALUE"""),"Location")</f>
        <v>Location</v>
      </c>
      <c r="P1" s="3" t="str">
        <f ca="1">IFERROR(__xludf.DUMMYFUNCTION("""COMPUTED_VALUE"""),"Location_Type")</f>
        <v>Location_Type</v>
      </c>
      <c r="Q1" s="3" t="str">
        <f ca="1">IFERROR(__xludf.DUMMYFUNCTION("""COMPUTED_VALUE"""),"During_Classes")</f>
        <v>During_Classes</v>
      </c>
      <c r="R1" s="3" t="str">
        <f ca="1">IFERROR(__xludf.DUMMYFUNCTION("""COMPUTED_VALUE"""),"Time_Period")</f>
        <v>Time_Period</v>
      </c>
      <c r="S1" s="3" t="str">
        <f ca="1">IFERROR(__xludf.DUMMYFUNCTION("""COMPUTED_VALUE"""),"First_Shot")</f>
        <v>First_Shot</v>
      </c>
      <c r="T1" s="3" t="str">
        <f ca="1">IFERROR(__xludf.DUMMYFUNCTION("""COMPUTED_VALUE"""),"Duration_min")</f>
        <v>Duration_min</v>
      </c>
      <c r="U1" s="3" t="str">
        <f ca="1">IFERROR(__xludf.DUMMYFUNCTION("""COMPUTED_VALUE"""),"Summary")</f>
        <v>Summary</v>
      </c>
      <c r="V1" s="3" t="str">
        <f ca="1">IFERROR(__xludf.DUMMYFUNCTION("""COMPUTED_VALUE"""),"Narrative")</f>
        <v>Narrative</v>
      </c>
      <c r="W1" s="3" t="str">
        <f ca="1">IFERROR(__xludf.DUMMYFUNCTION("""COMPUTED_VALUE"""),"Situation")</f>
        <v>Situation</v>
      </c>
      <c r="X1" s="3" t="str">
        <f ca="1">IFERROR(__xludf.DUMMYFUNCTION("IMPORTRANGE(""https://docs.google.com/spreadsheets/d/13by1rx0kMN24Sm2nKqqR6GsRtIyhgOO8U6IyuCHwhEU/edit#gid=1519919770"", ""Incident!AD1:AM5000"")"),"Targets")</f>
        <v>Targets</v>
      </c>
      <c r="Y1" s="3" t="str">
        <f ca="1">IFERROR(__xludf.DUMMYFUNCTION("""COMPUTED_VALUE"""),"Accomplice")</f>
        <v>Accomplice</v>
      </c>
      <c r="Z1" s="3" t="str">
        <f ca="1">IFERROR(__xludf.DUMMYFUNCTION("""COMPUTED_VALUE"""),"Accomplice_Narrative")</f>
        <v>Accomplice_Narrative</v>
      </c>
      <c r="AA1" s="3" t="str">
        <f ca="1">IFERROR(__xludf.DUMMYFUNCTION("""COMPUTED_VALUE"""),"Hostages")</f>
        <v>Hostages</v>
      </c>
      <c r="AB1" s="3" t="str">
        <f ca="1">IFERROR(__xludf.DUMMYFUNCTION("""COMPUTED_VALUE"""),"Barricade")</f>
        <v>Barricade</v>
      </c>
      <c r="AC1" s="3" t="str">
        <f ca="1">IFERROR(__xludf.DUMMYFUNCTION("""COMPUTED_VALUE"""),"Officer_Involved")</f>
        <v>Officer_Involved</v>
      </c>
      <c r="AD1" s="3" t="str">
        <f ca="1">IFERROR(__xludf.DUMMYFUNCTION("""COMPUTED_VALUE"""),"Bullied")</f>
        <v>Bullied</v>
      </c>
      <c r="AE1" s="3" t="str">
        <f ca="1">IFERROR(__xludf.DUMMYFUNCTION("""COMPUTED_VALUE"""),"Domestic_Violence")</f>
        <v>Domestic_Violence</v>
      </c>
      <c r="AF1" s="3" t="str">
        <f ca="1">IFERROR(__xludf.DUMMYFUNCTION("""COMPUTED_VALUE"""),"Gang_Related")</f>
        <v>Gang_Related</v>
      </c>
      <c r="AG1" s="3" t="str">
        <f ca="1">IFERROR(__xludf.DUMMYFUNCTION("""COMPUTED_VALUE"""),"Active_Shooter_FBI")</f>
        <v>Active_Shooter_FBI</v>
      </c>
      <c r="AH1" s="2" t="str">
        <f ca="1">IFERROR(__xludf.DUMMYFUNCTION("IMPORTRANGE(""https://docs.google.com/spreadsheets/d/13by1rx0kMN24Sm2nKqqR6GsRtIyhgOO8U6IyuCHwhEU/edit#gid=1519919770"", ""Incident!AW1:AW4000"")"),"Shots_Fired")</f>
        <v>Shots_Fired</v>
      </c>
    </row>
    <row r="2" spans="1:34" ht="12.5">
      <c r="A2" s="1" t="str">
        <f ca="1">IFERROR(__xludf.DUMMYFUNCTION("""COMPUTED_VALUE"""),"20240326GATUA")</f>
        <v>20240326GATUA</v>
      </c>
      <c r="B2" s="1">
        <f ca="1">IFERROR(__xludf.DUMMYFUNCTION("""COMPUTED_VALUE"""),3)</f>
        <v>3</v>
      </c>
      <c r="C2" s="1">
        <f ca="1">IFERROR(__xludf.DUMMYFUNCTION("""COMPUTED_VALUE"""),26)</f>
        <v>26</v>
      </c>
      <c r="D2" s="1">
        <f ca="1">IFERROR(__xludf.DUMMYFUNCTION("""COMPUTED_VALUE"""),2024)</f>
        <v>2024</v>
      </c>
      <c r="E2" s="4">
        <f ca="1">IFERROR(__xludf.DUMMYFUNCTION("""COMPUTED_VALUE"""),45377)</f>
        <v>45377</v>
      </c>
      <c r="F2" s="1" t="str">
        <f ca="1">IFERROR(__xludf.DUMMYFUNCTION("""COMPUTED_VALUE"""),"Turner County High School")</f>
        <v>Turner County High School</v>
      </c>
      <c r="G2" s="1">
        <f ca="1">IFERROR(__xludf.DUMMYFUNCTION("""COMPUTED_VALUE"""),0)</f>
        <v>0</v>
      </c>
      <c r="H2" s="1">
        <f ca="1">IFERROR(__xludf.DUMMYFUNCTION("""COMPUTED_VALUE"""),0)</f>
        <v>0</v>
      </c>
      <c r="I2" s="1">
        <f ca="1">IFERROR(__xludf.DUMMYFUNCTION("""COMPUTED_VALUE"""),0)</f>
        <v>0</v>
      </c>
      <c r="J2" s="1">
        <f ca="1">IFERROR(__xludf.DUMMYFUNCTION("""COMPUTED_VALUE"""),0)</f>
        <v>0</v>
      </c>
      <c r="K2" s="1" t="str">
        <f ca="1">IFERROR(__xludf.DUMMYFUNCTION("""COMPUTED_VALUE"""),"Spring")</f>
        <v>Spring</v>
      </c>
      <c r="L2" s="1" t="str">
        <f ca="1">IFERROR(__xludf.DUMMYFUNCTION("""COMPUTED_VALUE"""),"Ashburn")</f>
        <v>Ashburn</v>
      </c>
      <c r="M2" s="1" t="str">
        <f ca="1">IFERROR(__xludf.DUMMYFUNCTION("""COMPUTED_VALUE"""),"GA")</f>
        <v>GA</v>
      </c>
      <c r="N2" s="1" t="str">
        <f ca="1">IFERROR(__xludf.DUMMYFUNCTION("""COMPUTED_VALUE"""),"High")</f>
        <v>High</v>
      </c>
      <c r="O2" s="1" t="str">
        <f ca="1">IFERROR(__xludf.DUMMYFUNCTION("""COMPUTED_VALUE"""),"Basketball Court")</f>
        <v>Basketball Court</v>
      </c>
      <c r="P2" s="1" t="str">
        <f ca="1">IFERROR(__xludf.DUMMYFUNCTION("""COMPUTED_VALUE"""),"Outside on School Property")</f>
        <v>Outside on School Property</v>
      </c>
      <c r="Q2" s="1"/>
      <c r="R2" s="1"/>
      <c r="S2" s="1"/>
      <c r="T2" s="1"/>
      <c r="U2" s="1" t="str">
        <f ca="1">IFERROR(__xludf.DUMMYFUNCTION("""COMPUTED_VALUE"""),"Shots fired on school tennis court")</f>
        <v>Shots fired on school tennis court</v>
      </c>
      <c r="V2" s="1" t="str">
        <f ca="1">IFERROR(__xludf.DUMMYFUNCTION("""COMPUTED_VALUE"""),"Officials received reports of shots being fired in the Lamont Street area near the high school’s tennis courts. No one was injured in this incident. Two vehicles were seen leaving the area. After an investigation, officials were able to arrest one male. T"&amp;"he suspect was taken to the Turner County Jail.")</f>
        <v>Officials received reports of shots being fired in the Lamont Street area near the high school’s tennis courts. No one was injured in this incident. Two vehicles were seen leaving the area. After an investigation, officials were able to arrest one male. The suspect was taken to the Turner County Jail.</v>
      </c>
      <c r="W2" s="1"/>
      <c r="X2" s="1"/>
      <c r="Y2" s="1"/>
      <c r="Z2" s="1"/>
      <c r="AA2" s="1" t="str">
        <f ca="1">IFERROR(__xludf.DUMMYFUNCTION("""COMPUTED_VALUE"""),"No")</f>
        <v>No</v>
      </c>
      <c r="AB2" s="1" t="str">
        <f ca="1">IFERROR(__xludf.DUMMYFUNCTION("""COMPUTED_VALUE"""),"No")</f>
        <v>No</v>
      </c>
      <c r="AC2" s="1" t="str">
        <f ca="1">IFERROR(__xludf.DUMMYFUNCTION("""COMPUTED_VALUE"""),"No")</f>
        <v>No</v>
      </c>
      <c r="AD2" s="1" t="str">
        <f ca="1">IFERROR(__xludf.DUMMYFUNCTION("""COMPUTED_VALUE"""),"No")</f>
        <v>No</v>
      </c>
      <c r="AE2" s="1" t="str">
        <f ca="1">IFERROR(__xludf.DUMMYFUNCTION("""COMPUTED_VALUE"""),"No")</f>
        <v>No</v>
      </c>
      <c r="AF2" s="1" t="str">
        <f ca="1">IFERROR(__xludf.DUMMYFUNCTION("""COMPUTED_VALUE"""),"No")</f>
        <v>No</v>
      </c>
      <c r="AG2" s="1" t="str">
        <f ca="1">IFERROR(__xludf.DUMMYFUNCTION("""COMPUTED_VALUE"""),"No")</f>
        <v>No</v>
      </c>
      <c r="AH2" s="1"/>
    </row>
    <row r="3" spans="1:34" ht="12.5">
      <c r="A3" s="1" t="str">
        <f ca="1">IFERROR(__xludf.DUMMYFUNCTION("""COMPUTED_VALUE"""),"20240326MOCHC")</f>
        <v>20240326MOCHC</v>
      </c>
      <c r="B3" s="1">
        <f ca="1">IFERROR(__xludf.DUMMYFUNCTION("""COMPUTED_VALUE"""),3)</f>
        <v>3</v>
      </c>
      <c r="C3" s="1">
        <f ca="1">IFERROR(__xludf.DUMMYFUNCTION("""COMPUTED_VALUE"""),26)</f>
        <v>26</v>
      </c>
      <c r="D3" s="1">
        <f ca="1">IFERROR(__xludf.DUMMYFUNCTION("""COMPUTED_VALUE"""),2024)</f>
        <v>2024</v>
      </c>
      <c r="E3" s="4">
        <f ca="1">IFERROR(__xludf.DUMMYFUNCTION("""COMPUTED_VALUE"""),45377)</f>
        <v>45377</v>
      </c>
      <c r="F3" s="1" t="str">
        <f ca="1">IFERROR(__xludf.DUMMYFUNCTION("""COMPUTED_VALUE"""),"Charleston Junior Senior High School")</f>
        <v>Charleston Junior Senior High School</v>
      </c>
      <c r="G3" s="1">
        <f ca="1">IFERROR(__xludf.DUMMYFUNCTION("""COMPUTED_VALUE"""),0)</f>
        <v>0</v>
      </c>
      <c r="H3" s="1">
        <f ca="1">IFERROR(__xludf.DUMMYFUNCTION("""COMPUTED_VALUE"""),0)</f>
        <v>0</v>
      </c>
      <c r="I3" s="1">
        <f ca="1">IFERROR(__xludf.DUMMYFUNCTION("""COMPUTED_VALUE"""),0)</f>
        <v>0</v>
      </c>
      <c r="J3" s="1">
        <f ca="1">IFERROR(__xludf.DUMMYFUNCTION("""COMPUTED_VALUE"""),0)</f>
        <v>0</v>
      </c>
      <c r="K3" s="1" t="str">
        <f ca="1">IFERROR(__xludf.DUMMYFUNCTION("""COMPUTED_VALUE"""),"Spring")</f>
        <v>Spring</v>
      </c>
      <c r="L3" s="1" t="str">
        <f ca="1">IFERROR(__xludf.DUMMYFUNCTION("""COMPUTED_VALUE"""),"Charleston")</f>
        <v>Charleston</v>
      </c>
      <c r="M3" s="1" t="str">
        <f ca="1">IFERROR(__xludf.DUMMYFUNCTION("""COMPUTED_VALUE"""),"MO")</f>
        <v>MO</v>
      </c>
      <c r="N3" s="1" t="str">
        <f ca="1">IFERROR(__xludf.DUMMYFUNCTION("""COMPUTED_VALUE"""),"High")</f>
        <v>High</v>
      </c>
      <c r="O3" s="1" t="str">
        <f ca="1">IFERROR(__xludf.DUMMYFUNCTION("""COMPUTED_VALUE"""),"Football Field/Track")</f>
        <v>Football Field/Track</v>
      </c>
      <c r="P3" s="1" t="str">
        <f ca="1">IFERROR(__xludf.DUMMYFUNCTION("""COMPUTED_VALUE"""),"Outside on School Property")</f>
        <v>Outside on School Property</v>
      </c>
      <c r="Q3" s="1" t="str">
        <f ca="1">IFERROR(__xludf.DUMMYFUNCTION("""COMPUTED_VALUE"""),"Yes")</f>
        <v>Yes</v>
      </c>
      <c r="R3" s="1" t="str">
        <f ca="1">IFERROR(__xludf.DUMMYFUNCTION("""COMPUTED_VALUE"""),"Dismissal")</f>
        <v>Dismissal</v>
      </c>
      <c r="S3" s="5">
        <f ca="1">IFERROR(__xludf.DUMMYFUNCTION("""COMPUTED_VALUE"""),0.625)</f>
        <v>0.625</v>
      </c>
      <c r="T3" s="1">
        <f ca="1">IFERROR(__xludf.DUMMYFUNCTION("""COMPUTED_VALUE"""),1)</f>
        <v>1</v>
      </c>
      <c r="U3" s="1" t="str">
        <f ca="1">IFERROR(__xludf.DUMMYFUNCTION("""COMPUTED_VALUE"""),"Student fired gun during fight in the football stadium")</f>
        <v>Student fired gun during fight in the football stadium</v>
      </c>
      <c r="V3" s="1" t="str">
        <f ca="1">IFERROR(__xludf.DUMMYFUNCTION("""COMPUTED_VALUE"""),"According to a news release from Charleston Department of Public Safety, officers were notified that a student had fired a gun at the school football field. The firearm was found nearby. The investigation found that there was an altercation in the men's r"&amp;"estroom at the football field, a juvenile showed a handgun, and the gun discharged. The handgun was later found to have been reported stolen in Sikeston.")</f>
        <v>According to a news release from Charleston Department of Public Safety, officers were notified that a student had fired a gun at the school football field. The firearm was found nearby. The investigation found that there was an altercation in the men's restroom at the football field, a juvenile showed a handgun, and the gun discharged. The handgun was later found to have been reported stolen in Sikeston.</v>
      </c>
      <c r="W3" s="1" t="str">
        <f ca="1">IFERROR(__xludf.DUMMYFUNCTION("""COMPUTED_VALUE"""),"Escalation of Dispute")</f>
        <v>Escalation of Dispute</v>
      </c>
      <c r="X3" s="1" t="str">
        <f ca="1">IFERROR(__xludf.DUMMYFUNCTION("""COMPUTED_VALUE"""),"Victims Targeted")</f>
        <v>Victims Targeted</v>
      </c>
      <c r="Y3" s="1" t="str">
        <f ca="1">IFERROR(__xludf.DUMMYFUNCTION("""COMPUTED_VALUE"""),"No")</f>
        <v>No</v>
      </c>
      <c r="Z3" s="1"/>
      <c r="AA3" s="1" t="str">
        <f ca="1">IFERROR(__xludf.DUMMYFUNCTION("""COMPUTED_VALUE"""),"No")</f>
        <v>No</v>
      </c>
      <c r="AB3" s="1" t="str">
        <f ca="1">IFERROR(__xludf.DUMMYFUNCTION("""COMPUTED_VALUE"""),"No")</f>
        <v>No</v>
      </c>
      <c r="AC3" s="1" t="str">
        <f ca="1">IFERROR(__xludf.DUMMYFUNCTION("""COMPUTED_VALUE"""),"No")</f>
        <v>No</v>
      </c>
      <c r="AD3" s="1" t="str">
        <f ca="1">IFERROR(__xludf.DUMMYFUNCTION("""COMPUTED_VALUE"""),"No")</f>
        <v>No</v>
      </c>
      <c r="AE3" s="1" t="str">
        <f ca="1">IFERROR(__xludf.DUMMYFUNCTION("""COMPUTED_VALUE"""),"No")</f>
        <v>No</v>
      </c>
      <c r="AF3" s="1" t="str">
        <f ca="1">IFERROR(__xludf.DUMMYFUNCTION("""COMPUTED_VALUE"""),"No")</f>
        <v>No</v>
      </c>
      <c r="AG3" s="1" t="str">
        <f ca="1">IFERROR(__xludf.DUMMYFUNCTION("""COMPUTED_VALUE"""),"No")</f>
        <v>No</v>
      </c>
      <c r="AH3" s="1">
        <f ca="1">IFERROR(__xludf.DUMMYFUNCTION("""COMPUTED_VALUE"""),1)</f>
        <v>1</v>
      </c>
    </row>
    <row r="4" spans="1:34" ht="12.5">
      <c r="A4" s="1" t="str">
        <f ca="1">IFERROR(__xludf.DUMMYFUNCTION("""COMPUTED_VALUE"""),"20240326NJWEN")</f>
        <v>20240326NJWEN</v>
      </c>
      <c r="B4" s="1">
        <f ca="1">IFERROR(__xludf.DUMMYFUNCTION("""COMPUTED_VALUE"""),3)</f>
        <v>3</v>
      </c>
      <c r="C4" s="1">
        <f ca="1">IFERROR(__xludf.DUMMYFUNCTION("""COMPUTED_VALUE"""),26)</f>
        <v>26</v>
      </c>
      <c r="D4" s="1">
        <f ca="1">IFERROR(__xludf.DUMMYFUNCTION("""COMPUTED_VALUE"""),2024)</f>
        <v>2024</v>
      </c>
      <c r="E4" s="4">
        <f ca="1">IFERROR(__xludf.DUMMYFUNCTION("""COMPUTED_VALUE"""),45377)</f>
        <v>45377</v>
      </c>
      <c r="F4" s="1" t="str">
        <f ca="1">IFERROR(__xludf.DUMMYFUNCTION("""COMPUTED_VALUE"""),"West Side High School")</f>
        <v>West Side High School</v>
      </c>
      <c r="G4" s="1">
        <f ca="1">IFERROR(__xludf.DUMMYFUNCTION("""COMPUTED_VALUE"""),0)</f>
        <v>0</v>
      </c>
      <c r="H4" s="1">
        <f ca="1">IFERROR(__xludf.DUMMYFUNCTION("""COMPUTED_VALUE"""),2)</f>
        <v>2</v>
      </c>
      <c r="I4" s="1">
        <f ca="1">IFERROR(__xludf.DUMMYFUNCTION("""COMPUTED_VALUE"""),2)</f>
        <v>2</v>
      </c>
      <c r="J4" s="1">
        <f ca="1">IFERROR(__xludf.DUMMYFUNCTION("""COMPUTED_VALUE"""),0)</f>
        <v>0</v>
      </c>
      <c r="K4" s="1" t="str">
        <f ca="1">IFERROR(__xludf.DUMMYFUNCTION("""COMPUTED_VALUE"""),"Spring")</f>
        <v>Spring</v>
      </c>
      <c r="L4" s="1" t="str">
        <f ca="1">IFERROR(__xludf.DUMMYFUNCTION("""COMPUTED_VALUE"""),"Newark")</f>
        <v>Newark</v>
      </c>
      <c r="M4" s="1" t="str">
        <f ca="1">IFERROR(__xludf.DUMMYFUNCTION("""COMPUTED_VALUE"""),"NJ")</f>
        <v>NJ</v>
      </c>
      <c r="N4" s="1" t="str">
        <f ca="1">IFERROR(__xludf.DUMMYFUNCTION("""COMPUTED_VALUE"""),"High")</f>
        <v>High</v>
      </c>
      <c r="O4" s="1" t="str">
        <f ca="1">IFERROR(__xludf.DUMMYFUNCTION("""COMPUTED_VALUE"""),"Front of School")</f>
        <v>Front of School</v>
      </c>
      <c r="P4" s="1" t="str">
        <f ca="1">IFERROR(__xludf.DUMMYFUNCTION("""COMPUTED_VALUE"""),"Outside on School Property")</f>
        <v>Outside on School Property</v>
      </c>
      <c r="Q4" s="1" t="str">
        <f ca="1">IFERROR(__xludf.DUMMYFUNCTION("""COMPUTED_VALUE"""),"Yes")</f>
        <v>Yes</v>
      </c>
      <c r="R4" s="1" t="str">
        <f ca="1">IFERROR(__xludf.DUMMYFUNCTION("""COMPUTED_VALUE"""),"Dismissal")</f>
        <v>Dismissal</v>
      </c>
      <c r="S4" s="5">
        <f ca="1">IFERROR(__xludf.DUMMYFUNCTION("""COMPUTED_VALUE"""),0.614583333333333)</f>
        <v>0.61458333333333304</v>
      </c>
      <c r="T4" s="1">
        <f ca="1">IFERROR(__xludf.DUMMYFUNCTION("""COMPUTED_VALUE"""),1)</f>
        <v>1</v>
      </c>
      <c r="U4" s="1" t="str">
        <f ca="1">IFERROR(__xludf.DUMMYFUNCTION("""COMPUTED_VALUE"""),"Two teen shot during dismissal")</f>
        <v>Two teen shot during dismissal</v>
      </c>
      <c r="V4" s="1" t="str">
        <f ca="1">IFERROR(__xludf.DUMMYFUNCTION("""COMPUTED_VALUE"""),"Two teens, including a student, were shot outside West Side High School in Newark Tuesday afternoon, authorities said. Police are still searching for the gunman. Newark Public Safety Director Fritz Frage said police responded to the school at around 2:45 "&amp;"p.m., as students were beginning to be let out. Responding officers found a 17-year-old student and a 15-year-old who had been shot outside of the school. The two teens were rushed to University Hospital for treatment. The 17-year-old is said to be in cri"&amp;"tical condition, and the 15-year-old is in stable condition. The third victim was also injured while trying to escape from the scene. Student returned to the school building to lockdown.")</f>
        <v>Two teens, including a student, were shot outside West Side High School in Newark Tuesday afternoon, authorities said. Police are still searching for the gunman. Newark Public Safety Director Fritz Frage said police responded to the school at around 2:45 p.m., as students were beginning to be let out. Responding officers found a 17-year-old student and a 15-year-old who had been shot outside of the school. The two teens were rushed to University Hospital for treatment. The 17-year-old is said to be in critical condition, and the 15-year-old is in stable condition. The third victim was also injured while trying to escape from the scene. Student returned to the school building to lockdown.</v>
      </c>
      <c r="W4" s="1"/>
      <c r="X4" s="1"/>
      <c r="Y4" s="1" t="str">
        <f ca="1">IFERROR(__xludf.DUMMYFUNCTION("""COMPUTED_VALUE"""),"No")</f>
        <v>No</v>
      </c>
      <c r="Z4" s="1"/>
      <c r="AA4" s="1" t="str">
        <f ca="1">IFERROR(__xludf.DUMMYFUNCTION("""COMPUTED_VALUE"""),"No")</f>
        <v>No</v>
      </c>
      <c r="AB4" s="1" t="str">
        <f ca="1">IFERROR(__xludf.DUMMYFUNCTION("""COMPUTED_VALUE"""),"No")</f>
        <v>No</v>
      </c>
      <c r="AC4" s="1" t="str">
        <f ca="1">IFERROR(__xludf.DUMMYFUNCTION("""COMPUTED_VALUE"""),"No")</f>
        <v>No</v>
      </c>
      <c r="AD4" s="1" t="str">
        <f ca="1">IFERROR(__xludf.DUMMYFUNCTION("""COMPUTED_VALUE"""),"No")</f>
        <v>No</v>
      </c>
      <c r="AE4" s="1" t="str">
        <f ca="1">IFERROR(__xludf.DUMMYFUNCTION("""COMPUTED_VALUE"""),"No")</f>
        <v>No</v>
      </c>
      <c r="AF4" s="1"/>
      <c r="AG4" s="1" t="str">
        <f ca="1">IFERROR(__xludf.DUMMYFUNCTION("""COMPUTED_VALUE"""),"No")</f>
        <v>No</v>
      </c>
      <c r="AH4" s="1">
        <f ca="1">IFERROR(__xludf.DUMMYFUNCTION("""COMPUTED_VALUE"""),99)</f>
        <v>99</v>
      </c>
    </row>
    <row r="5" spans="1:34" ht="12.5">
      <c r="A5" s="1" t="str">
        <f ca="1">IFERROR(__xludf.DUMMYFUNCTION("""COMPUTED_VALUE"""),"20240325HIWAW")</f>
        <v>20240325HIWAW</v>
      </c>
      <c r="B5" s="1">
        <f ca="1">IFERROR(__xludf.DUMMYFUNCTION("""COMPUTED_VALUE"""),3)</f>
        <v>3</v>
      </c>
      <c r="C5" s="1">
        <f ca="1">IFERROR(__xludf.DUMMYFUNCTION("""COMPUTED_VALUE"""),25)</f>
        <v>25</v>
      </c>
      <c r="D5" s="1">
        <f ca="1">IFERROR(__xludf.DUMMYFUNCTION("""COMPUTED_VALUE"""),2024)</f>
        <v>2024</v>
      </c>
      <c r="E5" s="4">
        <f ca="1">IFERROR(__xludf.DUMMYFUNCTION("""COMPUTED_VALUE"""),45376)</f>
        <v>45376</v>
      </c>
      <c r="F5" s="1" t="str">
        <f ca="1">IFERROR(__xludf.DUMMYFUNCTION("""COMPUTED_VALUE"""),"Wailuku Elementary School")</f>
        <v>Wailuku Elementary School</v>
      </c>
      <c r="G5" s="1">
        <f ca="1">IFERROR(__xludf.DUMMYFUNCTION("""COMPUTED_VALUE"""),0)</f>
        <v>0</v>
      </c>
      <c r="H5" s="1">
        <f ca="1">IFERROR(__xludf.DUMMYFUNCTION("""COMPUTED_VALUE"""),1)</f>
        <v>1</v>
      </c>
      <c r="I5" s="1">
        <f ca="1">IFERROR(__xludf.DUMMYFUNCTION("""COMPUTED_VALUE"""),1)</f>
        <v>1</v>
      </c>
      <c r="J5" s="1">
        <f ca="1">IFERROR(__xludf.DUMMYFUNCTION("""COMPUTED_VALUE"""),0)</f>
        <v>0</v>
      </c>
      <c r="K5" s="1" t="str">
        <f ca="1">IFERROR(__xludf.DUMMYFUNCTION("""COMPUTED_VALUE"""),"Spring")</f>
        <v>Spring</v>
      </c>
      <c r="L5" s="1" t="str">
        <f ca="1">IFERROR(__xludf.DUMMYFUNCTION("""COMPUTED_VALUE"""),"Wailuku")</f>
        <v>Wailuku</v>
      </c>
      <c r="M5" s="1" t="str">
        <f ca="1">IFERROR(__xludf.DUMMYFUNCTION("""COMPUTED_VALUE"""),"HI")</f>
        <v>HI</v>
      </c>
      <c r="N5" s="1" t="str">
        <f ca="1">IFERROR(__xludf.DUMMYFUNCTION("""COMPUTED_VALUE"""),"Elementary")</f>
        <v>Elementary</v>
      </c>
      <c r="O5" s="1" t="str">
        <f ca="1">IFERROR(__xludf.DUMMYFUNCTION("""COMPUTED_VALUE"""),"Parking Lot")</f>
        <v>Parking Lot</v>
      </c>
      <c r="P5" s="1" t="str">
        <f ca="1">IFERROR(__xludf.DUMMYFUNCTION("""COMPUTED_VALUE"""),"Outside on School Property")</f>
        <v>Outside on School Property</v>
      </c>
      <c r="Q5" s="1" t="str">
        <f ca="1">IFERROR(__xludf.DUMMYFUNCTION("""COMPUTED_VALUE"""),"No")</f>
        <v>No</v>
      </c>
      <c r="R5" s="1" t="str">
        <f ca="1">IFERROR(__xludf.DUMMYFUNCTION("""COMPUTED_VALUE"""),"Night")</f>
        <v>Night</v>
      </c>
      <c r="S5" s="5">
        <f ca="1">IFERROR(__xludf.DUMMYFUNCTION("""COMPUTED_VALUE"""),0.133333333333333)</f>
        <v>0.133333333333333</v>
      </c>
      <c r="T5" s="1">
        <f ca="1">IFERROR(__xludf.DUMMYFUNCTION("""COMPUTED_VALUE"""),1)</f>
        <v>1</v>
      </c>
      <c r="U5" s="1" t="str">
        <f ca="1">IFERROR(__xludf.DUMMYFUNCTION("""COMPUTED_VALUE"""),"Woman shot in parking lot during dispute with two men")</f>
        <v>Woman shot in parking lot during dispute with two men</v>
      </c>
      <c r="V5" s="1" t="str">
        <f ca="1">IFERROR(__xludf.DUMMYFUNCTION("""COMPUTED_VALUE"""),"According to the Maui Police Department, officers responded to a terroristic threat at about 3:12 a.m. When they arrived, they found the 21-year-old woman with a gunshot wound. Police say her and her boyfriend, a 19-year-old, frequent the Wailuku area and"&amp;" were asleep in their car when they were approached by two Kahului men, aged 19 and 20. Police say the men asked the couple for narcotics, and the couple said they didn’t have any. The men left to drink alcohol, then returned to the car to ask for a light"&amp;"er. A “verbal exchange ensued,” then the 20-year-old took out a gun. His companion, the 19-year-old, took the gun and tried to climb into the car. The 19-year-old in the car tried to wrestle the gun from the offender, who hit him on the head with the gun "&amp;"then pointed it at the woman’s head. He shot her, then the two men ran away.")</f>
        <v>According to the Maui Police Department, officers responded to a terroristic threat at about 3:12 a.m. When they arrived, they found the 21-year-old woman with a gunshot wound. Police say her and her boyfriend, a 19-year-old, frequent the Wailuku area and were asleep in their car when they were approached by two Kahului men, aged 19 and 20. Police say the men asked the couple for narcotics, and the couple said they didn’t have any. The men left to drink alcohol, then returned to the car to ask for a lighter. A “verbal exchange ensued,” then the 20-year-old took out a gun. His companion, the 19-year-old, took the gun and tried to climb into the car. The 19-year-old in the car tried to wrestle the gun from the offender, who hit him on the head with the gun then pointed it at the woman’s head. He shot her, then the two men ran away.</v>
      </c>
      <c r="W5" s="1" t="str">
        <f ca="1">IFERROR(__xludf.DUMMYFUNCTION("""COMPUTED_VALUE"""),"Escalation of Dispute")</f>
        <v>Escalation of Dispute</v>
      </c>
      <c r="X5" s="1"/>
      <c r="Y5" s="1" t="str">
        <f ca="1">IFERROR(__xludf.DUMMYFUNCTION("""COMPUTED_VALUE"""),"Yes")</f>
        <v>Yes</v>
      </c>
      <c r="Z5" s="1" t="str">
        <f ca="1">IFERROR(__xludf.DUMMYFUNCTION("""COMPUTED_VALUE"""),"Two men")</f>
        <v>Two men</v>
      </c>
      <c r="AA5" s="1" t="str">
        <f ca="1">IFERROR(__xludf.DUMMYFUNCTION("""COMPUTED_VALUE"""),"No")</f>
        <v>No</v>
      </c>
      <c r="AB5" s="1" t="str">
        <f ca="1">IFERROR(__xludf.DUMMYFUNCTION("""COMPUTED_VALUE"""),"No")</f>
        <v>No</v>
      </c>
      <c r="AC5" s="1" t="str">
        <f ca="1">IFERROR(__xludf.DUMMYFUNCTION("""COMPUTED_VALUE"""),"No")</f>
        <v>No</v>
      </c>
      <c r="AD5" s="1" t="str">
        <f ca="1">IFERROR(__xludf.DUMMYFUNCTION("""COMPUTED_VALUE"""),"No")</f>
        <v>No</v>
      </c>
      <c r="AE5" s="1" t="str">
        <f ca="1">IFERROR(__xludf.DUMMYFUNCTION("""COMPUTED_VALUE"""),"No")</f>
        <v>No</v>
      </c>
      <c r="AF5" s="1" t="str">
        <f ca="1">IFERROR(__xludf.DUMMYFUNCTION("""COMPUTED_VALUE"""),"No")</f>
        <v>No</v>
      </c>
      <c r="AG5" s="1" t="str">
        <f ca="1">IFERROR(__xludf.DUMMYFUNCTION("""COMPUTED_VALUE"""),"No")</f>
        <v>No</v>
      </c>
      <c r="AH5" s="1">
        <f ca="1">IFERROR(__xludf.DUMMYFUNCTION("""COMPUTED_VALUE"""),1)</f>
        <v>1</v>
      </c>
    </row>
    <row r="6" spans="1:34" ht="12.5">
      <c r="A6" s="1" t="str">
        <f ca="1">IFERROR(__xludf.DUMMYFUNCTION("""COMPUTED_VALUE"""),"20240321NJMAN")</f>
        <v>20240321NJMAN</v>
      </c>
      <c r="B6" s="1">
        <f ca="1">IFERROR(__xludf.DUMMYFUNCTION("""COMPUTED_VALUE"""),3)</f>
        <v>3</v>
      </c>
      <c r="C6" s="1">
        <f ca="1">IFERROR(__xludf.DUMMYFUNCTION("""COMPUTED_VALUE"""),21)</f>
        <v>21</v>
      </c>
      <c r="D6" s="1">
        <f ca="1">IFERROR(__xludf.DUMMYFUNCTION("""COMPUTED_VALUE"""),2024)</f>
        <v>2024</v>
      </c>
      <c r="E6" s="4">
        <f ca="1">IFERROR(__xludf.DUMMYFUNCTION("""COMPUTED_VALUE"""),45372)</f>
        <v>45372</v>
      </c>
      <c r="F6" s="1" t="str">
        <f ca="1">IFERROR(__xludf.DUMMYFUNCTION("""COMPUTED_VALUE"""),"Malcolm X Shabazz High School")</f>
        <v>Malcolm X Shabazz High School</v>
      </c>
      <c r="G6" s="1">
        <f ca="1">IFERROR(__xludf.DUMMYFUNCTION("""COMPUTED_VALUE"""),1)</f>
        <v>1</v>
      </c>
      <c r="H6" s="1">
        <f ca="1">IFERROR(__xludf.DUMMYFUNCTION("""COMPUTED_VALUE"""),0)</f>
        <v>0</v>
      </c>
      <c r="I6" s="1">
        <f ca="1">IFERROR(__xludf.DUMMYFUNCTION("""COMPUTED_VALUE"""),1)</f>
        <v>1</v>
      </c>
      <c r="J6" s="1">
        <f ca="1">IFERROR(__xludf.DUMMYFUNCTION("""COMPUTED_VALUE"""),0)</f>
        <v>0</v>
      </c>
      <c r="K6" s="1" t="str">
        <f ca="1">IFERROR(__xludf.DUMMYFUNCTION("""COMPUTED_VALUE"""),"Spring")</f>
        <v>Spring</v>
      </c>
      <c r="L6" s="1" t="str">
        <f ca="1">IFERROR(__xludf.DUMMYFUNCTION("""COMPUTED_VALUE"""),"Newark")</f>
        <v>Newark</v>
      </c>
      <c r="M6" s="1" t="str">
        <f ca="1">IFERROR(__xludf.DUMMYFUNCTION("""COMPUTED_VALUE"""),"NJ")</f>
        <v>NJ</v>
      </c>
      <c r="N6" s="1" t="str">
        <f ca="1">IFERROR(__xludf.DUMMYFUNCTION("""COMPUTED_VALUE"""),"High")</f>
        <v>High</v>
      </c>
      <c r="O6" s="1" t="str">
        <f ca="1">IFERROR(__xludf.DUMMYFUNCTION("""COMPUTED_VALUE"""),"Football Field/Track")</f>
        <v>Football Field/Track</v>
      </c>
      <c r="P6" s="1" t="str">
        <f ca="1">IFERROR(__xludf.DUMMYFUNCTION("""COMPUTED_VALUE"""),"Outside on School Property")</f>
        <v>Outside on School Property</v>
      </c>
      <c r="Q6" s="1" t="str">
        <f ca="1">IFERROR(__xludf.DUMMYFUNCTION("""COMPUTED_VALUE"""),"No")</f>
        <v>No</v>
      </c>
      <c r="R6" s="1" t="str">
        <f ca="1">IFERROR(__xludf.DUMMYFUNCTION("""COMPUTED_VALUE"""),"Night")</f>
        <v>Night</v>
      </c>
      <c r="S6" s="1"/>
      <c r="T6" s="1">
        <f ca="1">IFERROR(__xludf.DUMMYFUNCTION("""COMPUTED_VALUE"""),1)</f>
        <v>1</v>
      </c>
      <c r="U6" s="1" t="str">
        <f ca="1">IFERROR(__xludf.DUMMYFUNCTION("""COMPUTED_VALUE"""),"Man found fatally shot next to the school football stadium")</f>
        <v>Man found fatally shot next to the school football stadium</v>
      </c>
      <c r="V6" s="1" t="str">
        <f ca="1">IFERROR(__xludf.DUMMYFUNCTION("""COMPUTED_VALUE"""),"Adult man was found fatallly shot next to the bleachers of the football stadium.")</f>
        <v>Adult man was found fatallly shot next to the bleachers of the football stadium.</v>
      </c>
      <c r="W6" s="1"/>
      <c r="X6" s="1" t="str">
        <f ca="1">IFERROR(__xludf.DUMMYFUNCTION("""COMPUTED_VALUE"""),"Victims Targeted")</f>
        <v>Victims Targeted</v>
      </c>
      <c r="Y6" s="1"/>
      <c r="Z6" s="1"/>
      <c r="AA6" s="1" t="str">
        <f ca="1">IFERROR(__xludf.DUMMYFUNCTION("""COMPUTED_VALUE"""),"No")</f>
        <v>No</v>
      </c>
      <c r="AB6" s="1" t="str">
        <f ca="1">IFERROR(__xludf.DUMMYFUNCTION("""COMPUTED_VALUE"""),"No")</f>
        <v>No</v>
      </c>
      <c r="AC6" s="1" t="str">
        <f ca="1">IFERROR(__xludf.DUMMYFUNCTION("""COMPUTED_VALUE"""),"No")</f>
        <v>No</v>
      </c>
      <c r="AD6" s="1" t="str">
        <f ca="1">IFERROR(__xludf.DUMMYFUNCTION("""COMPUTED_VALUE"""),"No")</f>
        <v>No</v>
      </c>
      <c r="AE6" s="1" t="str">
        <f ca="1">IFERROR(__xludf.DUMMYFUNCTION("""COMPUTED_VALUE"""),"No")</f>
        <v>No</v>
      </c>
      <c r="AF6" s="1"/>
      <c r="AG6" s="1" t="str">
        <f ca="1">IFERROR(__xludf.DUMMYFUNCTION("""COMPUTED_VALUE"""),"No")</f>
        <v>No</v>
      </c>
      <c r="AH6" s="1">
        <f ca="1">IFERROR(__xludf.DUMMYFUNCTION("""COMPUTED_VALUE"""),99)</f>
        <v>99</v>
      </c>
    </row>
    <row r="7" spans="1:34" ht="12.5">
      <c r="A7" s="1" t="str">
        <f ca="1">IFERROR(__xludf.DUMMYFUNCTION("""COMPUTED_VALUE"""),"20240321CADIP")</f>
        <v>20240321CADIP</v>
      </c>
      <c r="B7" s="1">
        <f ca="1">IFERROR(__xludf.DUMMYFUNCTION("""COMPUTED_VALUE"""),3)</f>
        <v>3</v>
      </c>
      <c r="C7" s="1">
        <f ca="1">IFERROR(__xludf.DUMMYFUNCTION("""COMPUTED_VALUE"""),21)</f>
        <v>21</v>
      </c>
      <c r="D7" s="1">
        <f ca="1">IFERROR(__xludf.DUMMYFUNCTION("""COMPUTED_VALUE"""),2024)</f>
        <v>2024</v>
      </c>
      <c r="E7" s="4">
        <f ca="1">IFERROR(__xludf.DUMMYFUNCTION("""COMPUTED_VALUE"""),45372)</f>
        <v>45372</v>
      </c>
      <c r="F7" s="1" t="str">
        <f ca="1">IFERROR(__xludf.DUMMYFUNCTION("""COMPUTED_VALUE"""),"Diamond Ranch High School")</f>
        <v>Diamond Ranch High School</v>
      </c>
      <c r="G7" s="1">
        <f ca="1">IFERROR(__xludf.DUMMYFUNCTION("""COMPUTED_VALUE"""),0)</f>
        <v>0</v>
      </c>
      <c r="H7" s="1">
        <f ca="1">IFERROR(__xludf.DUMMYFUNCTION("""COMPUTED_VALUE"""),0)</f>
        <v>0</v>
      </c>
      <c r="I7" s="1">
        <f ca="1">IFERROR(__xludf.DUMMYFUNCTION("""COMPUTED_VALUE"""),0)</f>
        <v>0</v>
      </c>
      <c r="J7" s="1">
        <f ca="1">IFERROR(__xludf.DUMMYFUNCTION("""COMPUTED_VALUE"""),0)</f>
        <v>0</v>
      </c>
      <c r="K7" s="1" t="str">
        <f ca="1">IFERROR(__xludf.DUMMYFUNCTION("""COMPUTED_VALUE"""),"Spring")</f>
        <v>Spring</v>
      </c>
      <c r="L7" s="1" t="str">
        <f ca="1">IFERROR(__xludf.DUMMYFUNCTION("""COMPUTED_VALUE"""),"Pomona")</f>
        <v>Pomona</v>
      </c>
      <c r="M7" s="1" t="str">
        <f ca="1">IFERROR(__xludf.DUMMYFUNCTION("""COMPUTED_VALUE"""),"CA")</f>
        <v>CA</v>
      </c>
      <c r="N7" s="1" t="str">
        <f ca="1">IFERROR(__xludf.DUMMYFUNCTION("""COMPUTED_VALUE"""),"High")</f>
        <v>High</v>
      </c>
      <c r="O7" s="1" t="str">
        <f ca="1">IFERROR(__xludf.DUMMYFUNCTION("""COMPUTED_VALUE"""),"Front of School")</f>
        <v>Front of School</v>
      </c>
      <c r="P7" s="1" t="str">
        <f ca="1">IFERROR(__xludf.DUMMYFUNCTION("""COMPUTED_VALUE"""),"Outside on School Property")</f>
        <v>Outside on School Property</v>
      </c>
      <c r="Q7" s="1" t="str">
        <f ca="1">IFERROR(__xludf.DUMMYFUNCTION("""COMPUTED_VALUE"""),"Yes")</f>
        <v>Yes</v>
      </c>
      <c r="R7" s="1" t="str">
        <f ca="1">IFERROR(__xludf.DUMMYFUNCTION("""COMPUTED_VALUE"""),"Dismissal")</f>
        <v>Dismissal</v>
      </c>
      <c r="S7" s="5">
        <f ca="1">IFERROR(__xludf.DUMMYFUNCTION("""COMPUTED_VALUE"""),0.625)</f>
        <v>0.625</v>
      </c>
      <c r="T7" s="1">
        <f ca="1">IFERROR(__xludf.DUMMYFUNCTION("""COMPUTED_VALUE"""),1)</f>
        <v>1</v>
      </c>
      <c r="U7" s="1" t="str">
        <f ca="1">IFERROR(__xludf.DUMMYFUNCTION("""COMPUTED_VALUE"""),"Unknown person displayed a gun during a large fight at dismissal")</f>
        <v>Unknown person displayed a gun during a large fight at dismissal</v>
      </c>
      <c r="V7" s="1" t="str">
        <f ca="1">IFERROR(__xludf.DUMMYFUNCTION("""COMPUTED_VALUE"""),"The incident, captured on video, unfolded as school was being dismissed Thursday. That's when a group of people pulled up to the campus in a car and got out, according to a message from Pomona Unified School District Superintendent Darren Knowles to paren"&amp;"ts and staff. Footage shows some sort of altercation happening when a person dressed in black pulls out a gun and cocks it before pointing it at the fleeing students.")</f>
        <v>The incident, captured on video, unfolded as school was being dismissed Thursday. That's when a group of people pulled up to the campus in a car and got out, according to a message from Pomona Unified School District Superintendent Darren Knowles to parents and staff. Footage shows some sort of altercation happening when a person dressed in black pulls out a gun and cocks it before pointing it at the fleeing students.</v>
      </c>
      <c r="W7" s="1" t="str">
        <f ca="1">IFERROR(__xludf.DUMMYFUNCTION("""COMPUTED_VALUE"""),"Escalation of Dispute")</f>
        <v>Escalation of Dispute</v>
      </c>
      <c r="X7" s="1" t="str">
        <f ca="1">IFERROR(__xludf.DUMMYFUNCTION("""COMPUTED_VALUE"""),"Neither")</f>
        <v>Neither</v>
      </c>
      <c r="Y7" s="1" t="str">
        <f ca="1">IFERROR(__xludf.DUMMYFUNCTION("""COMPUTED_VALUE"""),"Yes")</f>
        <v>Yes</v>
      </c>
      <c r="Z7" s="1" t="str">
        <f ca="1">IFERROR(__xludf.DUMMYFUNCTION("""COMPUTED_VALUE"""),"Multiple people got out of car before fight")</f>
        <v>Multiple people got out of car before fight</v>
      </c>
      <c r="AA7" s="1" t="str">
        <f ca="1">IFERROR(__xludf.DUMMYFUNCTION("""COMPUTED_VALUE"""),"No")</f>
        <v>No</v>
      </c>
      <c r="AB7" s="1" t="str">
        <f ca="1">IFERROR(__xludf.DUMMYFUNCTION("""COMPUTED_VALUE"""),"No")</f>
        <v>No</v>
      </c>
      <c r="AC7" s="1" t="str">
        <f ca="1">IFERROR(__xludf.DUMMYFUNCTION("""COMPUTED_VALUE"""),"No")</f>
        <v>No</v>
      </c>
      <c r="AD7" s="1" t="str">
        <f ca="1">IFERROR(__xludf.DUMMYFUNCTION("""COMPUTED_VALUE"""),"No")</f>
        <v>No</v>
      </c>
      <c r="AE7" s="1" t="str">
        <f ca="1">IFERROR(__xludf.DUMMYFUNCTION("""COMPUTED_VALUE"""),"No")</f>
        <v>No</v>
      </c>
      <c r="AF7" s="1"/>
      <c r="AG7" s="1" t="str">
        <f ca="1">IFERROR(__xludf.DUMMYFUNCTION("""COMPUTED_VALUE"""),"No")</f>
        <v>No</v>
      </c>
      <c r="AH7" s="1">
        <f ca="1">IFERROR(__xludf.DUMMYFUNCTION("""COMPUTED_VALUE"""),0)</f>
        <v>0</v>
      </c>
    </row>
    <row r="8" spans="1:34" ht="12.5">
      <c r="A8" s="1" t="str">
        <f ca="1">IFERROR(__xludf.DUMMYFUNCTION("""COMPUTED_VALUE"""),"20240320NCPEP")</f>
        <v>20240320NCPEP</v>
      </c>
      <c r="B8" s="1">
        <f ca="1">IFERROR(__xludf.DUMMYFUNCTION("""COMPUTED_VALUE"""),3)</f>
        <v>3</v>
      </c>
      <c r="C8" s="1">
        <f ca="1">IFERROR(__xludf.DUMMYFUNCTION("""COMPUTED_VALUE"""),20)</f>
        <v>20</v>
      </c>
      <c r="D8" s="1">
        <f ca="1">IFERROR(__xludf.DUMMYFUNCTION("""COMPUTED_VALUE"""),2024)</f>
        <v>2024</v>
      </c>
      <c r="E8" s="4">
        <f ca="1">IFERROR(__xludf.DUMMYFUNCTION("""COMPUTED_VALUE"""),45371)</f>
        <v>45371</v>
      </c>
      <c r="F8" s="1" t="str">
        <f ca="1">IFERROR(__xludf.DUMMYFUNCTION("""COMPUTED_VALUE"""),"Pembroke Elementary School")</f>
        <v>Pembroke Elementary School</v>
      </c>
      <c r="G8" s="1">
        <f ca="1">IFERROR(__xludf.DUMMYFUNCTION("""COMPUTED_VALUE"""),0)</f>
        <v>0</v>
      </c>
      <c r="H8" s="1">
        <f ca="1">IFERROR(__xludf.DUMMYFUNCTION("""COMPUTED_VALUE"""),0)</f>
        <v>0</v>
      </c>
      <c r="I8" s="1">
        <f ca="1">IFERROR(__xludf.DUMMYFUNCTION("""COMPUTED_VALUE"""),0)</f>
        <v>0</v>
      </c>
      <c r="J8" s="1">
        <f ca="1">IFERROR(__xludf.DUMMYFUNCTION("""COMPUTED_VALUE"""),0)</f>
        <v>0</v>
      </c>
      <c r="K8" s="1" t="str">
        <f ca="1">IFERROR(__xludf.DUMMYFUNCTION("""COMPUTED_VALUE"""),"Spring")</f>
        <v>Spring</v>
      </c>
      <c r="L8" s="1" t="str">
        <f ca="1">IFERROR(__xludf.DUMMYFUNCTION("""COMPUTED_VALUE"""),"Pembroke")</f>
        <v>Pembroke</v>
      </c>
      <c r="M8" s="1" t="str">
        <f ca="1">IFERROR(__xludf.DUMMYFUNCTION("""COMPUTED_VALUE"""),"NC")</f>
        <v>NC</v>
      </c>
      <c r="N8" s="1" t="str">
        <f ca="1">IFERROR(__xludf.DUMMYFUNCTION("""COMPUTED_VALUE"""),"Elementary")</f>
        <v>Elementary</v>
      </c>
      <c r="O8" s="1" t="str">
        <f ca="1">IFERROR(__xludf.DUMMYFUNCTION("""COMPUTED_VALUE"""),"Office")</f>
        <v>Office</v>
      </c>
      <c r="P8" s="1" t="str">
        <f ca="1">IFERROR(__xludf.DUMMYFUNCTION("""COMPUTED_VALUE"""),"Inside School Building")</f>
        <v>Inside School Building</v>
      </c>
      <c r="Q8" s="1" t="str">
        <f ca="1">IFERROR(__xludf.DUMMYFUNCTION("""COMPUTED_VALUE"""),"Yes")</f>
        <v>Yes</v>
      </c>
      <c r="R8" s="1" t="str">
        <f ca="1">IFERROR(__xludf.DUMMYFUNCTION("""COMPUTED_VALUE"""),"School Start")</f>
        <v>School Start</v>
      </c>
      <c r="S8" s="5">
        <f ca="1">IFERROR(__xludf.DUMMYFUNCTION("""COMPUTED_VALUE"""),0.333333333333333)</f>
        <v>0.33333333333333298</v>
      </c>
      <c r="T8" s="1">
        <f ca="1">IFERROR(__xludf.DUMMYFUNCTION("""COMPUTED_VALUE"""),1)</f>
        <v>1</v>
      </c>
      <c r="U8" s="1" t="str">
        <f ca="1">IFERROR(__xludf.DUMMYFUNCTION("""COMPUTED_VALUE"""),"Man with loaded gun walked into school office, surrendered to school staff")</f>
        <v>Man with loaded gun walked into school office, surrendered to school staff</v>
      </c>
      <c r="V8" s="1" t="str">
        <f ca="1">IFERROR(__xludf.DUMMYFUNCTION("""COMPUTED_VALUE"""),"As kids were arriving at Pembroke Elementary School Wednesday morning, someone walked into the school with a loaded handgun. The school said the person followed a parent into the building. School staff was able to hold the person in the front office area."&amp;" A staff member was able to convince the individual to turn over the handgun, and a school resource officer removed the individual from the building. No injuries were reported. Man was arrested for charges related to an off campus domestic dispute before "&amp;"he arrived at the school.")</f>
        <v>As kids were arriving at Pembroke Elementary School Wednesday morning, someone walked into the school with a loaded handgun. The school said the person followed a parent into the building. School staff was able to hold the person in the front office area. A staff member was able to convince the individual to turn over the handgun, and a school resource officer removed the individual from the building. No injuries were reported. Man was arrested for charges related to an off campus domestic dispute before he arrived at the school.</v>
      </c>
      <c r="W8" s="1" t="str">
        <f ca="1">IFERROR(__xludf.DUMMYFUNCTION("""COMPUTED_VALUE"""),"Domestic w/ Targeted Victim")</f>
        <v>Domestic w/ Targeted Victim</v>
      </c>
      <c r="X8" s="1" t="str">
        <f ca="1">IFERROR(__xludf.DUMMYFUNCTION("""COMPUTED_VALUE"""),"Victims Targeted")</f>
        <v>Victims Targeted</v>
      </c>
      <c r="Y8" s="1" t="str">
        <f ca="1">IFERROR(__xludf.DUMMYFUNCTION("""COMPUTED_VALUE"""),"No")</f>
        <v>No</v>
      </c>
      <c r="Z8" s="1"/>
      <c r="AA8" s="1" t="str">
        <f ca="1">IFERROR(__xludf.DUMMYFUNCTION("""COMPUTED_VALUE"""),"No")</f>
        <v>No</v>
      </c>
      <c r="AB8" s="1" t="str">
        <f ca="1">IFERROR(__xludf.DUMMYFUNCTION("""COMPUTED_VALUE"""),"No")</f>
        <v>No</v>
      </c>
      <c r="AC8" s="1" t="str">
        <f ca="1">IFERROR(__xludf.DUMMYFUNCTION("""COMPUTED_VALUE"""),"No")</f>
        <v>No</v>
      </c>
      <c r="AD8" s="1" t="str">
        <f ca="1">IFERROR(__xludf.DUMMYFUNCTION("""COMPUTED_VALUE"""),"No")</f>
        <v>No</v>
      </c>
      <c r="AE8" s="1" t="str">
        <f ca="1">IFERROR(__xludf.DUMMYFUNCTION("""COMPUTED_VALUE"""),"Yes")</f>
        <v>Yes</v>
      </c>
      <c r="AF8" s="1" t="str">
        <f ca="1">IFERROR(__xludf.DUMMYFUNCTION("""COMPUTED_VALUE"""),"No")</f>
        <v>No</v>
      </c>
      <c r="AG8" s="1" t="str">
        <f ca="1">IFERROR(__xludf.DUMMYFUNCTION("""COMPUTED_VALUE"""),"No")</f>
        <v>No</v>
      </c>
      <c r="AH8" s="1">
        <f ca="1">IFERROR(__xludf.DUMMYFUNCTION("""COMPUTED_VALUE"""),0)</f>
        <v>0</v>
      </c>
    </row>
    <row r="9" spans="1:34" ht="12.5">
      <c r="A9" s="1" t="str">
        <f ca="1">IFERROR(__xludf.DUMMYFUNCTION("""COMPUTED_VALUE"""),"20240320CONOD")</f>
        <v>20240320CONOD</v>
      </c>
      <c r="B9" s="1">
        <f ca="1">IFERROR(__xludf.DUMMYFUNCTION("""COMPUTED_VALUE"""),3)</f>
        <v>3</v>
      </c>
      <c r="C9" s="1">
        <f ca="1">IFERROR(__xludf.DUMMYFUNCTION("""COMPUTED_VALUE"""),20)</f>
        <v>20</v>
      </c>
      <c r="D9" s="1">
        <f ca="1">IFERROR(__xludf.DUMMYFUNCTION("""COMPUTED_VALUE"""),2024)</f>
        <v>2024</v>
      </c>
      <c r="E9" s="4">
        <f ca="1">IFERROR(__xludf.DUMMYFUNCTION("""COMPUTED_VALUE"""),45371)</f>
        <v>45371</v>
      </c>
      <c r="F9" s="1" t="str">
        <f ca="1">IFERROR(__xludf.DUMMYFUNCTION("""COMPUTED_VALUE"""),"North High School")</f>
        <v>North High School</v>
      </c>
      <c r="G9" s="1">
        <f ca="1">IFERROR(__xludf.DUMMYFUNCTION("""COMPUTED_VALUE"""),0)</f>
        <v>0</v>
      </c>
      <c r="H9" s="1">
        <f ca="1">IFERROR(__xludf.DUMMYFUNCTION("""COMPUTED_VALUE"""),0)</f>
        <v>0</v>
      </c>
      <c r="I9" s="1">
        <f ca="1">IFERROR(__xludf.DUMMYFUNCTION("""COMPUTED_VALUE"""),0)</f>
        <v>0</v>
      </c>
      <c r="J9" s="1">
        <f ca="1">IFERROR(__xludf.DUMMYFUNCTION("""COMPUTED_VALUE"""),0)</f>
        <v>0</v>
      </c>
      <c r="K9" s="1" t="str">
        <f ca="1">IFERROR(__xludf.DUMMYFUNCTION("""COMPUTED_VALUE"""),"Spring")</f>
        <v>Spring</v>
      </c>
      <c r="L9" s="1" t="str">
        <f ca="1">IFERROR(__xludf.DUMMYFUNCTION("""COMPUTED_VALUE"""),"Denver")</f>
        <v>Denver</v>
      </c>
      <c r="M9" s="1" t="str">
        <f ca="1">IFERROR(__xludf.DUMMYFUNCTION("""COMPUTED_VALUE"""),"CO")</f>
        <v>CO</v>
      </c>
      <c r="N9" s="1" t="str">
        <f ca="1">IFERROR(__xludf.DUMMYFUNCTION("""COMPUTED_VALUE"""),"High")</f>
        <v>High</v>
      </c>
      <c r="O9" s="1" t="str">
        <f ca="1">IFERROR(__xludf.DUMMYFUNCTION("""COMPUTED_VALUE"""),"Parking Lot")</f>
        <v>Parking Lot</v>
      </c>
      <c r="P9" s="1" t="str">
        <f ca="1">IFERROR(__xludf.DUMMYFUNCTION("""COMPUTED_VALUE"""),"Outside on School Property")</f>
        <v>Outside on School Property</v>
      </c>
      <c r="Q9" s="1" t="str">
        <f ca="1">IFERROR(__xludf.DUMMYFUNCTION("""COMPUTED_VALUE"""),"Yes")</f>
        <v>Yes</v>
      </c>
      <c r="R9" s="1" t="str">
        <f ca="1">IFERROR(__xludf.DUMMYFUNCTION("""COMPUTED_VALUE"""),"Afternoon Classes")</f>
        <v>Afternoon Classes</v>
      </c>
      <c r="S9" s="1"/>
      <c r="T9" s="1">
        <f ca="1">IFERROR(__xludf.DUMMYFUNCTION("""COMPUTED_VALUE"""),1)</f>
        <v>1</v>
      </c>
      <c r="U9" s="1" t="str">
        <f ca="1">IFERROR(__xludf.DUMMYFUNCTION("""COMPUTED_VALUE"""),"Shots fired at vehicles in the school parking lot")</f>
        <v>Shots fired at vehicles in the school parking lot</v>
      </c>
      <c r="V9" s="1" t="str">
        <f ca="1">IFERROR(__xludf.DUMMYFUNCTION("""COMPUTED_VALUE"""),"A vehicle that was involved in crimes in the neighborhood pulled into the school parking lot and shots were fired at random vehicles. Two shooters in the vehicle fled and were not identified.")</f>
        <v>A vehicle that was involved in crimes in the neighborhood pulled into the school parking lot and shots were fired at random vehicles. Two shooters in the vehicle fled and were not identified.</v>
      </c>
      <c r="W9" s="1" t="str">
        <f ca="1">IFERROR(__xludf.DUMMYFUNCTION("""COMPUTED_VALUE"""),"Drive-by Shooting")</f>
        <v>Drive-by Shooting</v>
      </c>
      <c r="X9" s="1" t="str">
        <f ca="1">IFERROR(__xludf.DUMMYFUNCTION("""COMPUTED_VALUE"""),"Random Shooting")</f>
        <v>Random Shooting</v>
      </c>
      <c r="Y9" s="1" t="str">
        <f ca="1">IFERROR(__xludf.DUMMYFUNCTION("""COMPUTED_VALUE"""),"Yes")</f>
        <v>Yes</v>
      </c>
      <c r="Z9" s="1" t="str">
        <f ca="1">IFERROR(__xludf.DUMMYFUNCTION("""COMPUTED_VALUE"""),"Two shooters")</f>
        <v>Two shooters</v>
      </c>
      <c r="AA9" s="1" t="str">
        <f ca="1">IFERROR(__xludf.DUMMYFUNCTION("""COMPUTED_VALUE"""),"No")</f>
        <v>No</v>
      </c>
      <c r="AB9" s="1" t="str">
        <f ca="1">IFERROR(__xludf.DUMMYFUNCTION("""COMPUTED_VALUE"""),"No")</f>
        <v>No</v>
      </c>
      <c r="AC9" s="1" t="str">
        <f ca="1">IFERROR(__xludf.DUMMYFUNCTION("""COMPUTED_VALUE"""),"No")</f>
        <v>No</v>
      </c>
      <c r="AD9" s="1" t="str">
        <f ca="1">IFERROR(__xludf.DUMMYFUNCTION("""COMPUTED_VALUE"""),"No")</f>
        <v>No</v>
      </c>
      <c r="AE9" s="1" t="str">
        <f ca="1">IFERROR(__xludf.DUMMYFUNCTION("""COMPUTED_VALUE"""),"No")</f>
        <v>No</v>
      </c>
      <c r="AF9" s="1" t="str">
        <f ca="1">IFERROR(__xludf.DUMMYFUNCTION("""COMPUTED_VALUE"""),"No")</f>
        <v>No</v>
      </c>
      <c r="AG9" s="1" t="str">
        <f ca="1">IFERROR(__xludf.DUMMYFUNCTION("""COMPUTED_VALUE"""),"No")</f>
        <v>No</v>
      </c>
      <c r="AH9" s="1">
        <f ca="1">IFERROR(__xludf.DUMMYFUNCTION("""COMPUTED_VALUE"""),99)</f>
        <v>99</v>
      </c>
    </row>
    <row r="10" spans="1:34" ht="12.5">
      <c r="A10" s="1" t="str">
        <f ca="1">IFERROR(__xludf.DUMMYFUNCTION("""COMPUTED_VALUE"""),"20240320OHBOC")</f>
        <v>20240320OHBOC</v>
      </c>
      <c r="B10" s="1">
        <f ca="1">IFERROR(__xludf.DUMMYFUNCTION("""COMPUTED_VALUE"""),3)</f>
        <v>3</v>
      </c>
      <c r="C10" s="1">
        <f ca="1">IFERROR(__xludf.DUMMYFUNCTION("""COMPUTED_VALUE"""),20)</f>
        <v>20</v>
      </c>
      <c r="D10" s="1">
        <f ca="1">IFERROR(__xludf.DUMMYFUNCTION("""COMPUTED_VALUE"""),2024)</f>
        <v>2024</v>
      </c>
      <c r="E10" s="4">
        <f ca="1">IFERROR(__xludf.DUMMYFUNCTION("""COMPUTED_VALUE"""),45371)</f>
        <v>45371</v>
      </c>
      <c r="F10" s="1" t="str">
        <f ca="1">IFERROR(__xludf.DUMMYFUNCTION("""COMPUTED_VALUE"""),"Bolton Elementary School")</f>
        <v>Bolton Elementary School</v>
      </c>
      <c r="G10" s="1">
        <f ca="1">IFERROR(__xludf.DUMMYFUNCTION("""COMPUTED_VALUE"""),0)</f>
        <v>0</v>
      </c>
      <c r="H10" s="1">
        <f ca="1">IFERROR(__xludf.DUMMYFUNCTION("""COMPUTED_VALUE"""),1)</f>
        <v>1</v>
      </c>
      <c r="I10" s="1">
        <f ca="1">IFERROR(__xludf.DUMMYFUNCTION("""COMPUTED_VALUE"""),1)</f>
        <v>1</v>
      </c>
      <c r="J10" s="1">
        <f ca="1">IFERROR(__xludf.DUMMYFUNCTION("""COMPUTED_VALUE"""),0)</f>
        <v>0</v>
      </c>
      <c r="K10" s="1" t="str">
        <f ca="1">IFERROR(__xludf.DUMMYFUNCTION("""COMPUTED_VALUE"""),"Spring")</f>
        <v>Spring</v>
      </c>
      <c r="L10" s="1" t="str">
        <f ca="1">IFERROR(__xludf.DUMMYFUNCTION("""COMPUTED_VALUE"""),"Cleveland")</f>
        <v>Cleveland</v>
      </c>
      <c r="M10" s="1" t="str">
        <f ca="1">IFERROR(__xludf.DUMMYFUNCTION("""COMPUTED_VALUE"""),"OH")</f>
        <v>OH</v>
      </c>
      <c r="N10" s="1" t="str">
        <f ca="1">IFERROR(__xludf.DUMMYFUNCTION("""COMPUTED_VALUE"""),"Elementary")</f>
        <v>Elementary</v>
      </c>
      <c r="O10" s="1" t="str">
        <f ca="1">IFERROR(__xludf.DUMMYFUNCTION("""COMPUTED_VALUE"""),"Parking Lot")</f>
        <v>Parking Lot</v>
      </c>
      <c r="P10" s="1" t="str">
        <f ca="1">IFERROR(__xludf.DUMMYFUNCTION("""COMPUTED_VALUE"""),"Outside on School Property")</f>
        <v>Outside on School Property</v>
      </c>
      <c r="Q10" s="1" t="str">
        <f ca="1">IFERROR(__xludf.DUMMYFUNCTION("""COMPUTED_VALUE"""),"Yes")</f>
        <v>Yes</v>
      </c>
      <c r="R10" s="1" t="str">
        <f ca="1">IFERROR(__xludf.DUMMYFUNCTION("""COMPUTED_VALUE"""),"Afternoon Classes")</f>
        <v>Afternoon Classes</v>
      </c>
      <c r="S10" s="5">
        <f ca="1">IFERROR(__xludf.DUMMYFUNCTION("""COMPUTED_VALUE"""),0.541666666666666)</f>
        <v>0.54166666666666596</v>
      </c>
      <c r="T10" s="1">
        <f ca="1">IFERROR(__xludf.DUMMYFUNCTION("""COMPUTED_VALUE"""),1)</f>
        <v>1</v>
      </c>
      <c r="U10" s="1" t="str">
        <f ca="1">IFERROR(__xludf.DUMMYFUNCTION("""COMPUTED_VALUE"""),"Teen shot during fight at school parking lot")</f>
        <v>Teen shot during fight at school parking lot</v>
      </c>
      <c r="V10" s="1" t="str">
        <f ca="1">IFERROR(__xludf.DUMMYFUNCTION("""COMPUTED_VALUE"""),"20 shots were fired during a fight between non-student teens in the school parking lot during afternoon classes. School went on lockdown. Shooter fled. Multiple cars damaged.")</f>
        <v>20 shots were fired during a fight between non-student teens in the school parking lot during afternoon classes. School went on lockdown. Shooter fled. Multiple cars damaged.</v>
      </c>
      <c r="W10" s="1" t="str">
        <f ca="1">IFERROR(__xludf.DUMMYFUNCTION("""COMPUTED_VALUE"""),"Escalation of Dispute")</f>
        <v>Escalation of Dispute</v>
      </c>
      <c r="X10" s="1" t="str">
        <f ca="1">IFERROR(__xludf.DUMMYFUNCTION("""COMPUTED_VALUE"""),"Victims Targeted")</f>
        <v>Victims Targeted</v>
      </c>
      <c r="Y10" s="1"/>
      <c r="Z10" s="1"/>
      <c r="AA10" s="1" t="str">
        <f ca="1">IFERROR(__xludf.DUMMYFUNCTION("""COMPUTED_VALUE"""),"No")</f>
        <v>No</v>
      </c>
      <c r="AB10" s="1" t="str">
        <f ca="1">IFERROR(__xludf.DUMMYFUNCTION("""COMPUTED_VALUE"""),"No")</f>
        <v>No</v>
      </c>
      <c r="AC10" s="1" t="str">
        <f ca="1">IFERROR(__xludf.DUMMYFUNCTION("""COMPUTED_VALUE"""),"No")</f>
        <v>No</v>
      </c>
      <c r="AD10" s="1" t="str">
        <f ca="1">IFERROR(__xludf.DUMMYFUNCTION("""COMPUTED_VALUE"""),"No")</f>
        <v>No</v>
      </c>
      <c r="AE10" s="1" t="str">
        <f ca="1">IFERROR(__xludf.DUMMYFUNCTION("""COMPUTED_VALUE"""),"No")</f>
        <v>No</v>
      </c>
      <c r="AF10" s="1"/>
      <c r="AG10" s="1" t="str">
        <f ca="1">IFERROR(__xludf.DUMMYFUNCTION("""COMPUTED_VALUE"""),"No")</f>
        <v>No</v>
      </c>
      <c r="AH10" s="1">
        <f ca="1">IFERROR(__xludf.DUMMYFUNCTION("""COMPUTED_VALUE"""),20)</f>
        <v>20</v>
      </c>
    </row>
    <row r="11" spans="1:34" ht="12.5">
      <c r="A11" s="1" t="str">
        <f ca="1">IFERROR(__xludf.DUMMYFUNCTION("""COMPUTED_VALUE"""),"20240320ILBUC")</f>
        <v>20240320ILBUC</v>
      </c>
      <c r="B11" s="1">
        <f ca="1">IFERROR(__xludf.DUMMYFUNCTION("""COMPUTED_VALUE"""),3)</f>
        <v>3</v>
      </c>
      <c r="C11" s="1">
        <f ca="1">IFERROR(__xludf.DUMMYFUNCTION("""COMPUTED_VALUE"""),20)</f>
        <v>20</v>
      </c>
      <c r="D11" s="1">
        <f ca="1">IFERROR(__xludf.DUMMYFUNCTION("""COMPUTED_VALUE"""),2024)</f>
        <v>2024</v>
      </c>
      <c r="E11" s="4">
        <f ca="1">IFERROR(__xludf.DUMMYFUNCTION("""COMPUTED_VALUE"""),45371)</f>
        <v>45371</v>
      </c>
      <c r="F11" s="1" t="str">
        <f ca="1">IFERROR(__xludf.DUMMYFUNCTION("""COMPUTED_VALUE"""),"Burnside Scholastic Academy")</f>
        <v>Burnside Scholastic Academy</v>
      </c>
      <c r="G11" s="1">
        <f ca="1">IFERROR(__xludf.DUMMYFUNCTION("""COMPUTED_VALUE"""),1)</f>
        <v>1</v>
      </c>
      <c r="H11" s="1">
        <f ca="1">IFERROR(__xludf.DUMMYFUNCTION("""COMPUTED_VALUE"""),0)</f>
        <v>0</v>
      </c>
      <c r="I11" s="1">
        <f ca="1">IFERROR(__xludf.DUMMYFUNCTION("""COMPUTED_VALUE"""),1)</f>
        <v>1</v>
      </c>
      <c r="J11" s="1">
        <f ca="1">IFERROR(__xludf.DUMMYFUNCTION("""COMPUTED_VALUE"""),0)</f>
        <v>0</v>
      </c>
      <c r="K11" s="1" t="str">
        <f ca="1">IFERROR(__xludf.DUMMYFUNCTION("""COMPUTED_VALUE"""),"Spring")</f>
        <v>Spring</v>
      </c>
      <c r="L11" s="1" t="str">
        <f ca="1">IFERROR(__xludf.DUMMYFUNCTION("""COMPUTED_VALUE"""),"Chicago")</f>
        <v>Chicago</v>
      </c>
      <c r="M11" s="1" t="str">
        <f ca="1">IFERROR(__xludf.DUMMYFUNCTION("""COMPUTED_VALUE"""),"IL")</f>
        <v>IL</v>
      </c>
      <c r="N11" s="1" t="str">
        <f ca="1">IFERROR(__xludf.DUMMYFUNCTION("""COMPUTED_VALUE"""),"Elementary")</f>
        <v>Elementary</v>
      </c>
      <c r="O11" s="1" t="str">
        <f ca="1">IFERROR(__xludf.DUMMYFUNCTION("""COMPUTED_VALUE"""),"Front of School")</f>
        <v>Front of School</v>
      </c>
      <c r="P11" s="1" t="str">
        <f ca="1">IFERROR(__xludf.DUMMYFUNCTION("""COMPUTED_VALUE"""),"Off School Property")</f>
        <v>Off School Property</v>
      </c>
      <c r="Q11" s="1" t="str">
        <f ca="1">IFERROR(__xludf.DUMMYFUNCTION("""COMPUTED_VALUE"""),"Yes")</f>
        <v>Yes</v>
      </c>
      <c r="R11" s="1" t="str">
        <f ca="1">IFERROR(__xludf.DUMMYFUNCTION("""COMPUTED_VALUE"""),"Lunch")</f>
        <v>Lunch</v>
      </c>
      <c r="S11" s="5">
        <f ca="1">IFERROR(__xludf.DUMMYFUNCTION("""COMPUTED_VALUE"""),0.5)</f>
        <v>0.5</v>
      </c>
      <c r="T11" s="1">
        <f ca="1">IFERROR(__xludf.DUMMYFUNCTION("""COMPUTED_VALUE"""),1)</f>
        <v>1</v>
      </c>
      <c r="U11" s="1" t="str">
        <f ca="1">IFERROR(__xludf.DUMMYFUNCTION("""COMPUTED_VALUE"""),"Teen fatally shot in front of school during lunch")</f>
        <v>Teen fatally shot in front of school during lunch</v>
      </c>
      <c r="V11" s="1" t="str">
        <f ca="1">IFERROR(__xludf.DUMMYFUNCTION("""COMPUTED_VALUE"""),"A 14-year-old boy was shot multiple times and killed on Chicago's South Side around midday on Wednesday. The boy was standing outside in the 700 block of East 91st Place near Burnside Scholastic Academy just before noon when a passenger in an unknown whit"&amp;"e car began firing shots in his direction, Chicago police said. The car circled the block, and the offender began firing in the victim's direction again. The boy was found in the 9100 block of South Dauphin, a few blocks away, with two gunshot wounds to h"&amp;"is back and one gunshot wound to his upper chest. The boy was taken to Comer Children's Hospital. It's unclear if the boy was a student at Burnside Scholastic Academy.")</f>
        <v>A 14-year-old boy was shot multiple times and killed on Chicago's South Side around midday on Wednesday. The boy was standing outside in the 700 block of East 91st Place near Burnside Scholastic Academy just before noon when a passenger in an unknown white car began firing shots in his direction, Chicago police said. The car circled the block, and the offender began firing in the victim's direction again. The boy was found in the 9100 block of South Dauphin, a few blocks away, with two gunshot wounds to his back and one gunshot wound to his upper chest. The boy was taken to Comer Children's Hospital. It's unclear if the boy was a student at Burnside Scholastic Academy.</v>
      </c>
      <c r="W11" s="1" t="str">
        <f ca="1">IFERROR(__xludf.DUMMYFUNCTION("""COMPUTED_VALUE"""),"Drive-by Shooting")</f>
        <v>Drive-by Shooting</v>
      </c>
      <c r="X11" s="1" t="str">
        <f ca="1">IFERROR(__xludf.DUMMYFUNCTION("""COMPUTED_VALUE"""),"Victims Targeted")</f>
        <v>Victims Targeted</v>
      </c>
      <c r="Y11" s="1"/>
      <c r="Z11" s="1"/>
      <c r="AA11" s="1" t="str">
        <f ca="1">IFERROR(__xludf.DUMMYFUNCTION("""COMPUTED_VALUE"""),"No")</f>
        <v>No</v>
      </c>
      <c r="AB11" s="1" t="str">
        <f ca="1">IFERROR(__xludf.DUMMYFUNCTION("""COMPUTED_VALUE"""),"No")</f>
        <v>No</v>
      </c>
      <c r="AC11" s="1" t="str">
        <f ca="1">IFERROR(__xludf.DUMMYFUNCTION("""COMPUTED_VALUE"""),"No")</f>
        <v>No</v>
      </c>
      <c r="AD11" s="1" t="str">
        <f ca="1">IFERROR(__xludf.DUMMYFUNCTION("""COMPUTED_VALUE"""),"No")</f>
        <v>No</v>
      </c>
      <c r="AE11" s="1" t="str">
        <f ca="1">IFERROR(__xludf.DUMMYFUNCTION("""COMPUTED_VALUE"""),"No")</f>
        <v>No</v>
      </c>
      <c r="AF11" s="1"/>
      <c r="AG11" s="1" t="str">
        <f ca="1">IFERROR(__xludf.DUMMYFUNCTION("""COMPUTED_VALUE"""),"No")</f>
        <v>No</v>
      </c>
      <c r="AH11" s="1">
        <f ca="1">IFERROR(__xludf.DUMMYFUNCTION("""COMPUTED_VALUE"""),99)</f>
        <v>99</v>
      </c>
    </row>
    <row r="12" spans="1:34" ht="12.5">
      <c r="A12" s="1" t="str">
        <f ca="1">IFERROR(__xludf.DUMMYFUNCTION("""COMPUTED_VALUE"""),"20240319DETHW")</f>
        <v>20240319DETHW</v>
      </c>
      <c r="B12" s="1">
        <f ca="1">IFERROR(__xludf.DUMMYFUNCTION("""COMPUTED_VALUE"""),3)</f>
        <v>3</v>
      </c>
      <c r="C12" s="1">
        <f ca="1">IFERROR(__xludf.DUMMYFUNCTION("""COMPUTED_VALUE"""),19)</f>
        <v>19</v>
      </c>
      <c r="D12" s="1">
        <f ca="1">IFERROR(__xludf.DUMMYFUNCTION("""COMPUTED_VALUE"""),2024)</f>
        <v>2024</v>
      </c>
      <c r="E12" s="4">
        <f ca="1">IFERROR(__xludf.DUMMYFUNCTION("""COMPUTED_VALUE"""),45370)</f>
        <v>45370</v>
      </c>
      <c r="F12" s="1" t="str">
        <f ca="1">IFERROR(__xludf.DUMMYFUNCTION("""COMPUTED_VALUE"""),"Thomas Edison Charter School")</f>
        <v>Thomas Edison Charter School</v>
      </c>
      <c r="G12" s="1">
        <f ca="1">IFERROR(__xludf.DUMMYFUNCTION("""COMPUTED_VALUE"""),0)</f>
        <v>0</v>
      </c>
      <c r="H12" s="1">
        <f ca="1">IFERROR(__xludf.DUMMYFUNCTION("""COMPUTED_VALUE"""),1)</f>
        <v>1</v>
      </c>
      <c r="I12" s="1">
        <f ca="1">IFERROR(__xludf.DUMMYFUNCTION("""COMPUTED_VALUE"""),1)</f>
        <v>1</v>
      </c>
      <c r="J12" s="1">
        <f ca="1">IFERROR(__xludf.DUMMYFUNCTION("""COMPUTED_VALUE"""),0)</f>
        <v>0</v>
      </c>
      <c r="K12" s="1" t="str">
        <f ca="1">IFERROR(__xludf.DUMMYFUNCTION("""COMPUTED_VALUE"""),"Spring")</f>
        <v>Spring</v>
      </c>
      <c r="L12" s="1" t="str">
        <f ca="1">IFERROR(__xludf.DUMMYFUNCTION("""COMPUTED_VALUE"""),"Wilmington")</f>
        <v>Wilmington</v>
      </c>
      <c r="M12" s="1" t="str">
        <f ca="1">IFERROR(__xludf.DUMMYFUNCTION("""COMPUTED_VALUE"""),"DE")</f>
        <v>DE</v>
      </c>
      <c r="N12" s="1" t="str">
        <f ca="1">IFERROR(__xludf.DUMMYFUNCTION("""COMPUTED_VALUE"""),"High")</f>
        <v>High</v>
      </c>
      <c r="O12" s="1" t="str">
        <f ca="1">IFERROR(__xludf.DUMMYFUNCTION("""COMPUTED_VALUE"""),"Office")</f>
        <v>Office</v>
      </c>
      <c r="P12" s="1" t="str">
        <f ca="1">IFERROR(__xludf.DUMMYFUNCTION("""COMPUTED_VALUE"""),"Off School Property")</f>
        <v>Off School Property</v>
      </c>
      <c r="Q12" s="1" t="str">
        <f ca="1">IFERROR(__xludf.DUMMYFUNCTION("""COMPUTED_VALUE"""),"Yes")</f>
        <v>Yes</v>
      </c>
      <c r="R12" s="1" t="str">
        <f ca="1">IFERROR(__xludf.DUMMYFUNCTION("""COMPUTED_VALUE"""),"Lunch")</f>
        <v>Lunch</v>
      </c>
      <c r="S12" s="5">
        <f ca="1">IFERROR(__xludf.DUMMYFUNCTION("""COMPUTED_VALUE"""),0.5)</f>
        <v>0.5</v>
      </c>
      <c r="T12" s="1">
        <f ca="1">IFERROR(__xludf.DUMMYFUNCTION("""COMPUTED_VALUE"""),1)</f>
        <v>1</v>
      </c>
      <c r="U12" s="1" t="str">
        <f ca="1">IFERROR(__xludf.DUMMYFUNCTION("""COMPUTED_VALUE"""),"Teen shot and bullet hit window of principal's office")</f>
        <v>Teen shot and bullet hit window of principal's office</v>
      </c>
      <c r="V12" s="1" t="str">
        <f ca="1">IFERROR(__xludf.DUMMYFUNCTION("""COMPUTED_VALUE"""),"Teen was shot a block away from the school during lunch. A bullet fired hit the window of the principal's office at the school.")</f>
        <v>Teen was shot a block away from the school during lunch. A bullet fired hit the window of the principal's office at the school.</v>
      </c>
      <c r="W12" s="1"/>
      <c r="X12" s="1" t="str">
        <f ca="1">IFERROR(__xludf.DUMMYFUNCTION("""COMPUTED_VALUE"""),"Victims Targeted")</f>
        <v>Victims Targeted</v>
      </c>
      <c r="Y12" s="1" t="str">
        <f ca="1">IFERROR(__xludf.DUMMYFUNCTION("""COMPUTED_VALUE"""),"No")</f>
        <v>No</v>
      </c>
      <c r="Z12" s="1"/>
      <c r="AA12" s="1" t="str">
        <f ca="1">IFERROR(__xludf.DUMMYFUNCTION("""COMPUTED_VALUE"""),"No")</f>
        <v>No</v>
      </c>
      <c r="AB12" s="1" t="str">
        <f ca="1">IFERROR(__xludf.DUMMYFUNCTION("""COMPUTED_VALUE"""),"No")</f>
        <v>No</v>
      </c>
      <c r="AC12" s="1" t="str">
        <f ca="1">IFERROR(__xludf.DUMMYFUNCTION("""COMPUTED_VALUE"""),"No")</f>
        <v>No</v>
      </c>
      <c r="AD12" s="1" t="str">
        <f ca="1">IFERROR(__xludf.DUMMYFUNCTION("""COMPUTED_VALUE"""),"No")</f>
        <v>No</v>
      </c>
      <c r="AE12" s="1" t="str">
        <f ca="1">IFERROR(__xludf.DUMMYFUNCTION("""COMPUTED_VALUE"""),"No")</f>
        <v>No</v>
      </c>
      <c r="AF12" s="1" t="str">
        <f ca="1">IFERROR(__xludf.DUMMYFUNCTION("""COMPUTED_VALUE"""),"No")</f>
        <v>No</v>
      </c>
      <c r="AG12" s="1" t="str">
        <f ca="1">IFERROR(__xludf.DUMMYFUNCTION("""COMPUTED_VALUE"""),"No")</f>
        <v>No</v>
      </c>
      <c r="AH12" s="1">
        <f ca="1">IFERROR(__xludf.DUMMYFUNCTION("""COMPUTED_VALUE"""),99)</f>
        <v>99</v>
      </c>
    </row>
    <row r="13" spans="1:34" ht="12.5">
      <c r="A13" s="1" t="str">
        <f ca="1">IFERROR(__xludf.DUMMYFUNCTION("""COMPUTED_VALUE"""),"20240316TNKEC")</f>
        <v>20240316TNKEC</v>
      </c>
      <c r="B13" s="1">
        <f ca="1">IFERROR(__xludf.DUMMYFUNCTION("""COMPUTED_VALUE"""),3)</f>
        <v>3</v>
      </c>
      <c r="C13" s="1">
        <f ca="1">IFERROR(__xludf.DUMMYFUNCTION("""COMPUTED_VALUE"""),16)</f>
        <v>16</v>
      </c>
      <c r="D13" s="1">
        <f ca="1">IFERROR(__xludf.DUMMYFUNCTION("""COMPUTED_VALUE"""),2024)</f>
        <v>2024</v>
      </c>
      <c r="E13" s="4">
        <f ca="1">IFERROR(__xludf.DUMMYFUNCTION("""COMPUTED_VALUE"""),45367)</f>
        <v>45367</v>
      </c>
      <c r="F13" s="1" t="str">
        <f ca="1">IFERROR(__xludf.DUMMYFUNCTION("""COMPUTED_VALUE"""),"Kenwood Elementary School")</f>
        <v>Kenwood Elementary School</v>
      </c>
      <c r="G13" s="1">
        <f ca="1">IFERROR(__xludf.DUMMYFUNCTION("""COMPUTED_VALUE"""),0)</f>
        <v>0</v>
      </c>
      <c r="H13" s="1">
        <f ca="1">IFERROR(__xludf.DUMMYFUNCTION("""COMPUTED_VALUE"""),1)</f>
        <v>1</v>
      </c>
      <c r="I13" s="1">
        <f ca="1">IFERROR(__xludf.DUMMYFUNCTION("""COMPUTED_VALUE"""),1)</f>
        <v>1</v>
      </c>
      <c r="J13" s="1">
        <f ca="1">IFERROR(__xludf.DUMMYFUNCTION("""COMPUTED_VALUE"""),0)</f>
        <v>0</v>
      </c>
      <c r="K13" s="1" t="str">
        <f ca="1">IFERROR(__xludf.DUMMYFUNCTION("""COMPUTED_VALUE"""),"Spring")</f>
        <v>Spring</v>
      </c>
      <c r="L13" s="1" t="str">
        <f ca="1">IFERROR(__xludf.DUMMYFUNCTION("""COMPUTED_VALUE"""),"Clarksville")</f>
        <v>Clarksville</v>
      </c>
      <c r="M13" s="1" t="str">
        <f ca="1">IFERROR(__xludf.DUMMYFUNCTION("""COMPUTED_VALUE"""),"TN")</f>
        <v>TN</v>
      </c>
      <c r="N13" s="1" t="str">
        <f ca="1">IFERROR(__xludf.DUMMYFUNCTION("""COMPUTED_VALUE"""),"Elementary")</f>
        <v>Elementary</v>
      </c>
      <c r="O13" s="1" t="str">
        <f ca="1">IFERROR(__xludf.DUMMYFUNCTION("""COMPUTED_VALUE"""),"Basketball Court")</f>
        <v>Basketball Court</v>
      </c>
      <c r="P13" s="1" t="str">
        <f ca="1">IFERROR(__xludf.DUMMYFUNCTION("""COMPUTED_VALUE"""),"Outside on School Property")</f>
        <v>Outside on School Property</v>
      </c>
      <c r="Q13" s="1" t="str">
        <f ca="1">IFERROR(__xludf.DUMMYFUNCTION("""COMPUTED_VALUE"""),"No")</f>
        <v>No</v>
      </c>
      <c r="R13" s="1" t="str">
        <f ca="1">IFERROR(__xludf.DUMMYFUNCTION("""COMPUTED_VALUE"""),"Evening")</f>
        <v>Evening</v>
      </c>
      <c r="S13" s="5">
        <f ca="1">IFERROR(__xludf.DUMMYFUNCTION("""COMPUTED_VALUE"""),0.784722222222222)</f>
        <v>0.78472222222222199</v>
      </c>
      <c r="T13" s="1">
        <f ca="1">IFERROR(__xludf.DUMMYFUNCTION("""COMPUTED_VALUE"""),1)</f>
        <v>1</v>
      </c>
      <c r="U13" s="1" t="str">
        <f ca="1">IFERROR(__xludf.DUMMYFUNCTION("""COMPUTED_VALUE"""),"Woman shot during fight in school on the school basketball court")</f>
        <v>Woman shot during fight in school on the school basketball court</v>
      </c>
      <c r="V13" s="1" t="str">
        <f ca="1">IFERROR(__xludf.DUMMYFUNCTION("""COMPUTED_VALUE"""),"Clarksville Police said this was a car club meet-up in the parking lot behind Kenwood Elementary School and the basketball court adjacent to that location. “At some point during the meet-up, unknown individuals who were at the basketball courts started ra"&amp;"ndomly shooting and a female was hit in the leg,” police said.")</f>
        <v>Clarksville Police said this was a car club meet-up in the parking lot behind Kenwood Elementary School and the basketball court adjacent to that location. “At some point during the meet-up, unknown individuals who were at the basketball courts started randomly shooting and a female was hit in the leg,” police said.</v>
      </c>
      <c r="W13" s="1"/>
      <c r="X13" s="1" t="str">
        <f ca="1">IFERROR(__xludf.DUMMYFUNCTION("""COMPUTED_VALUE"""),"Both")</f>
        <v>Both</v>
      </c>
      <c r="Y13" s="1" t="str">
        <f ca="1">IFERROR(__xludf.DUMMYFUNCTION("""COMPUTED_VALUE"""),"No")</f>
        <v>No</v>
      </c>
      <c r="Z13" s="1"/>
      <c r="AA13" s="1" t="str">
        <f ca="1">IFERROR(__xludf.DUMMYFUNCTION("""COMPUTED_VALUE"""),"No")</f>
        <v>No</v>
      </c>
      <c r="AB13" s="1" t="str">
        <f ca="1">IFERROR(__xludf.DUMMYFUNCTION("""COMPUTED_VALUE"""),"No")</f>
        <v>No</v>
      </c>
      <c r="AC13" s="1" t="str">
        <f ca="1">IFERROR(__xludf.DUMMYFUNCTION("""COMPUTED_VALUE"""),"No")</f>
        <v>No</v>
      </c>
      <c r="AD13" s="1" t="str">
        <f ca="1">IFERROR(__xludf.DUMMYFUNCTION("""COMPUTED_VALUE"""),"No")</f>
        <v>No</v>
      </c>
      <c r="AE13" s="1" t="str">
        <f ca="1">IFERROR(__xludf.DUMMYFUNCTION("""COMPUTED_VALUE"""),"No")</f>
        <v>No</v>
      </c>
      <c r="AF13" s="1" t="str">
        <f ca="1">IFERROR(__xludf.DUMMYFUNCTION("""COMPUTED_VALUE"""),"No")</f>
        <v>No</v>
      </c>
      <c r="AG13" s="1" t="str">
        <f ca="1">IFERROR(__xludf.DUMMYFUNCTION("""COMPUTED_VALUE"""),"No")</f>
        <v>No</v>
      </c>
      <c r="AH13" s="1">
        <f ca="1">IFERROR(__xludf.DUMMYFUNCTION("""COMPUTED_VALUE"""),99)</f>
        <v>99</v>
      </c>
    </row>
    <row r="14" spans="1:34" ht="12.5">
      <c r="A14" s="1" t="str">
        <f ca="1">IFERROR(__xludf.DUMMYFUNCTION("""COMPUTED_VALUE"""),"20240314OHLOD")</f>
        <v>20240314OHLOD</v>
      </c>
      <c r="B14" s="1">
        <f ca="1">IFERROR(__xludf.DUMMYFUNCTION("""COMPUTED_VALUE"""),3)</f>
        <v>3</v>
      </c>
      <c r="C14" s="1">
        <f ca="1">IFERROR(__xludf.DUMMYFUNCTION("""COMPUTED_VALUE"""),14)</f>
        <v>14</v>
      </c>
      <c r="D14" s="1">
        <f ca="1">IFERROR(__xludf.DUMMYFUNCTION("""COMPUTED_VALUE"""),2024)</f>
        <v>2024</v>
      </c>
      <c r="E14" s="4">
        <f ca="1">IFERROR(__xludf.DUMMYFUNCTION("""COMPUTED_VALUE"""),45365)</f>
        <v>45365</v>
      </c>
      <c r="F14" s="1" t="str">
        <f ca="1">IFERROR(__xludf.DUMMYFUNCTION("""COMPUTED_VALUE"""),"Louise Troy Elementary School")</f>
        <v>Louise Troy Elementary School</v>
      </c>
      <c r="G14" s="1">
        <f ca="1">IFERROR(__xludf.DUMMYFUNCTION("""COMPUTED_VALUE"""),2)</f>
        <v>2</v>
      </c>
      <c r="H14" s="1">
        <f ca="1">IFERROR(__xludf.DUMMYFUNCTION("""COMPUTED_VALUE"""),0)</f>
        <v>0</v>
      </c>
      <c r="I14" s="1">
        <f ca="1">IFERROR(__xludf.DUMMYFUNCTION("""COMPUTED_VALUE"""),2)</f>
        <v>2</v>
      </c>
      <c r="J14" s="1">
        <f ca="1">IFERROR(__xludf.DUMMYFUNCTION("""COMPUTED_VALUE"""),0)</f>
        <v>0</v>
      </c>
      <c r="K14" s="1" t="str">
        <f ca="1">IFERROR(__xludf.DUMMYFUNCTION("""COMPUTED_VALUE"""),"Spring")</f>
        <v>Spring</v>
      </c>
      <c r="L14" s="1" t="str">
        <f ca="1">IFERROR(__xludf.DUMMYFUNCTION("""COMPUTED_VALUE"""),"Dayton")</f>
        <v>Dayton</v>
      </c>
      <c r="M14" s="1" t="str">
        <f ca="1">IFERROR(__xludf.DUMMYFUNCTION("""COMPUTED_VALUE"""),"OH")</f>
        <v>OH</v>
      </c>
      <c r="N14" s="1" t="str">
        <f ca="1">IFERROR(__xludf.DUMMYFUNCTION("""COMPUTED_VALUE"""),"Elementary")</f>
        <v>Elementary</v>
      </c>
      <c r="O14" s="1" t="str">
        <f ca="1">IFERROR(__xludf.DUMMYFUNCTION("""COMPUTED_VALUE"""),"Field (General)")</f>
        <v>Field (General)</v>
      </c>
      <c r="P14" s="1" t="str">
        <f ca="1">IFERROR(__xludf.DUMMYFUNCTION("""COMPUTED_VALUE"""),"Outside on School Property")</f>
        <v>Outside on School Property</v>
      </c>
      <c r="Q14" s="1" t="str">
        <f ca="1">IFERROR(__xludf.DUMMYFUNCTION("""COMPUTED_VALUE"""),"No")</f>
        <v>No</v>
      </c>
      <c r="R14" s="1" t="str">
        <f ca="1">IFERROR(__xludf.DUMMYFUNCTION("""COMPUTED_VALUE"""),"Evening")</f>
        <v>Evening</v>
      </c>
      <c r="S14" s="5">
        <f ca="1">IFERROR(__xludf.DUMMYFUNCTION("""COMPUTED_VALUE"""),0.826388888888888)</f>
        <v>0.82638888888888795</v>
      </c>
      <c r="T14" s="1">
        <f ca="1">IFERROR(__xludf.DUMMYFUNCTION("""COMPUTED_VALUE"""),1)</f>
        <v>1</v>
      </c>
      <c r="U14" s="1" t="str">
        <f ca="1">IFERROR(__xludf.DUMMYFUNCTION("""COMPUTED_VALUE"""),"Two teens fatally shot during fight between group of teens on the school's field")</f>
        <v>Two teens fatally shot during fight between group of teens on the school's field</v>
      </c>
      <c r="V14" s="1" t="str">
        <f ca="1">IFERROR(__xludf.DUMMYFUNCTION("""COMPUTED_VALUE"""),"Two teens fatally shot during fight between group of teens on the school's field. Shooter fled before police arrived.")</f>
        <v>Two teens fatally shot during fight between group of teens on the school's field. Shooter fled before police arrived.</v>
      </c>
      <c r="W14" s="1" t="str">
        <f ca="1">IFERROR(__xludf.DUMMYFUNCTION("""COMPUTED_VALUE"""),"Escalation of Dispute")</f>
        <v>Escalation of Dispute</v>
      </c>
      <c r="X14" s="1" t="str">
        <f ca="1">IFERROR(__xludf.DUMMYFUNCTION("""COMPUTED_VALUE"""),"Victims Targeted")</f>
        <v>Victims Targeted</v>
      </c>
      <c r="Y14" s="1" t="str">
        <f ca="1">IFERROR(__xludf.DUMMYFUNCTION("""COMPUTED_VALUE"""),"Yes")</f>
        <v>Yes</v>
      </c>
      <c r="Z14" s="1"/>
      <c r="AA14" s="1" t="str">
        <f ca="1">IFERROR(__xludf.DUMMYFUNCTION("""COMPUTED_VALUE"""),"No")</f>
        <v>No</v>
      </c>
      <c r="AB14" s="1" t="str">
        <f ca="1">IFERROR(__xludf.DUMMYFUNCTION("""COMPUTED_VALUE"""),"No")</f>
        <v>No</v>
      </c>
      <c r="AC14" s="1" t="str">
        <f ca="1">IFERROR(__xludf.DUMMYFUNCTION("""COMPUTED_VALUE"""),"No")</f>
        <v>No</v>
      </c>
      <c r="AD14" s="1" t="str">
        <f ca="1">IFERROR(__xludf.DUMMYFUNCTION("""COMPUTED_VALUE"""),"No")</f>
        <v>No</v>
      </c>
      <c r="AE14" s="1" t="str">
        <f ca="1">IFERROR(__xludf.DUMMYFUNCTION("""COMPUTED_VALUE"""),"No")</f>
        <v>No</v>
      </c>
      <c r="AF14" s="1"/>
      <c r="AG14" s="1" t="str">
        <f ca="1">IFERROR(__xludf.DUMMYFUNCTION("""COMPUTED_VALUE"""),"No")</f>
        <v>No</v>
      </c>
      <c r="AH14" s="1">
        <f ca="1">IFERROR(__xludf.DUMMYFUNCTION("""COMPUTED_VALUE"""),99)</f>
        <v>99</v>
      </c>
    </row>
    <row r="15" spans="1:34" ht="12.5">
      <c r="A15" s="1" t="str">
        <f ca="1">IFERROR(__xludf.DUMMYFUNCTION("""COMPUTED_VALUE"""),"20240313MDFOG")</f>
        <v>20240313MDFOG</v>
      </c>
      <c r="B15" s="1">
        <f ca="1">IFERROR(__xludf.DUMMYFUNCTION("""COMPUTED_VALUE"""),3)</f>
        <v>3</v>
      </c>
      <c r="C15" s="1">
        <f ca="1">IFERROR(__xludf.DUMMYFUNCTION("""COMPUTED_VALUE"""),13)</f>
        <v>13</v>
      </c>
      <c r="D15" s="1">
        <f ca="1">IFERROR(__xludf.DUMMYFUNCTION("""COMPUTED_VALUE"""),2024)</f>
        <v>2024</v>
      </c>
      <c r="E15" s="4">
        <f ca="1">IFERROR(__xludf.DUMMYFUNCTION("""COMPUTED_VALUE"""),45364)</f>
        <v>45364</v>
      </c>
      <c r="F15" s="1" t="str">
        <f ca="1">IFERROR(__xludf.DUMMYFUNCTION("""COMPUTED_VALUE"""),"Fox Chapel Elementary School")</f>
        <v>Fox Chapel Elementary School</v>
      </c>
      <c r="G15" s="1">
        <f ca="1">IFERROR(__xludf.DUMMYFUNCTION("""COMPUTED_VALUE"""),0)</f>
        <v>0</v>
      </c>
      <c r="H15" s="1">
        <f ca="1">IFERROR(__xludf.DUMMYFUNCTION("""COMPUTED_VALUE"""),0)</f>
        <v>0</v>
      </c>
      <c r="I15" s="1">
        <f ca="1">IFERROR(__xludf.DUMMYFUNCTION("""COMPUTED_VALUE"""),0)</f>
        <v>0</v>
      </c>
      <c r="J15" s="1">
        <f ca="1">IFERROR(__xludf.DUMMYFUNCTION("""COMPUTED_VALUE"""),0)</f>
        <v>0</v>
      </c>
      <c r="K15" s="1" t="str">
        <f ca="1">IFERROR(__xludf.DUMMYFUNCTION("""COMPUTED_VALUE"""),"Spring")</f>
        <v>Spring</v>
      </c>
      <c r="L15" s="1" t="str">
        <f ca="1">IFERROR(__xludf.DUMMYFUNCTION("""COMPUTED_VALUE"""),"Germantown")</f>
        <v>Germantown</v>
      </c>
      <c r="M15" s="1" t="str">
        <f ca="1">IFERROR(__xludf.DUMMYFUNCTION("""COMPUTED_VALUE"""),"MD")</f>
        <v>MD</v>
      </c>
      <c r="N15" s="1" t="str">
        <f ca="1">IFERROR(__xludf.DUMMYFUNCTION("""COMPUTED_VALUE"""),"Elementary")</f>
        <v>Elementary</v>
      </c>
      <c r="O15" s="1" t="str">
        <f ca="1">IFERROR(__xludf.DUMMYFUNCTION("""COMPUTED_VALUE"""),"Field (General)")</f>
        <v>Field (General)</v>
      </c>
      <c r="P15" s="1" t="str">
        <f ca="1">IFERROR(__xludf.DUMMYFUNCTION("""COMPUTED_VALUE"""),"Outside on School Property")</f>
        <v>Outside on School Property</v>
      </c>
      <c r="Q15" s="1" t="str">
        <f ca="1">IFERROR(__xludf.DUMMYFUNCTION("""COMPUTED_VALUE"""),"Yes")</f>
        <v>Yes</v>
      </c>
      <c r="R15" s="1" t="str">
        <f ca="1">IFERROR(__xludf.DUMMYFUNCTION("""COMPUTED_VALUE"""),"Afternoon Classes")</f>
        <v>Afternoon Classes</v>
      </c>
      <c r="S15" s="5">
        <f ca="1">IFERROR(__xludf.DUMMYFUNCTION("""COMPUTED_VALUE"""),0.636111111111111)</f>
        <v>0.63611111111111096</v>
      </c>
      <c r="T15" s="1">
        <f ca="1">IFERROR(__xludf.DUMMYFUNCTION("""COMPUTED_VALUE"""),1)</f>
        <v>1</v>
      </c>
      <c r="U15" s="1" t="str">
        <f ca="1">IFERROR(__xludf.DUMMYFUNCTION("""COMPUTED_VALUE"""),"Shots fired by teenage high school students on the school field")</f>
        <v>Shots fired by teenage high school students on the school field</v>
      </c>
      <c r="V15" s="1" t="str">
        <f ca="1">IFERROR(__xludf.DUMMYFUNCTION("""COMPUTED_VALUE"""),"Shots fired by teenage high school students on the school field just prior to dismissal. School went on lockdown. Shooter fled. Shell casings were recovered at the school.")</f>
        <v>Shots fired by teenage high school students on the school field just prior to dismissal. School went on lockdown. Shooter fled. Shell casings were recovered at the school.</v>
      </c>
      <c r="W15" s="1" t="str">
        <f ca="1">IFERROR(__xludf.DUMMYFUNCTION("""COMPUTED_VALUE"""),"Escalation of Dispute")</f>
        <v>Escalation of Dispute</v>
      </c>
      <c r="X15" s="1" t="str">
        <f ca="1">IFERROR(__xludf.DUMMYFUNCTION("""COMPUTED_VALUE"""),"Victims Targeted")</f>
        <v>Victims Targeted</v>
      </c>
      <c r="Y15" s="1" t="str">
        <f ca="1">IFERROR(__xludf.DUMMYFUNCTION("""COMPUTED_VALUE"""),"No")</f>
        <v>No</v>
      </c>
      <c r="Z15" s="1"/>
      <c r="AA15" s="1" t="str">
        <f ca="1">IFERROR(__xludf.DUMMYFUNCTION("""COMPUTED_VALUE"""),"No")</f>
        <v>No</v>
      </c>
      <c r="AB15" s="1" t="str">
        <f ca="1">IFERROR(__xludf.DUMMYFUNCTION("""COMPUTED_VALUE"""),"No")</f>
        <v>No</v>
      </c>
      <c r="AC15" s="1" t="str">
        <f ca="1">IFERROR(__xludf.DUMMYFUNCTION("""COMPUTED_VALUE"""),"No")</f>
        <v>No</v>
      </c>
      <c r="AD15" s="1" t="str">
        <f ca="1">IFERROR(__xludf.DUMMYFUNCTION("""COMPUTED_VALUE"""),"No")</f>
        <v>No</v>
      </c>
      <c r="AE15" s="1" t="str">
        <f ca="1">IFERROR(__xludf.DUMMYFUNCTION("""COMPUTED_VALUE"""),"No")</f>
        <v>No</v>
      </c>
      <c r="AF15" s="1" t="str">
        <f ca="1">IFERROR(__xludf.DUMMYFUNCTION("""COMPUTED_VALUE"""),"Yes")</f>
        <v>Yes</v>
      </c>
      <c r="AG15" s="1" t="str">
        <f ca="1">IFERROR(__xludf.DUMMYFUNCTION("""COMPUTED_VALUE"""),"No")</f>
        <v>No</v>
      </c>
      <c r="AH15" s="1">
        <f ca="1">IFERROR(__xludf.DUMMYFUNCTION("""COMPUTED_VALUE"""),99)</f>
        <v>99</v>
      </c>
    </row>
    <row r="16" spans="1:34" ht="12.5">
      <c r="A16" s="1" t="str">
        <f ca="1">IFERROR(__xludf.DUMMYFUNCTION("""COMPUTED_VALUE"""),"20240313WAGAS")</f>
        <v>20240313WAGAS</v>
      </c>
      <c r="B16" s="1">
        <f ca="1">IFERROR(__xludf.DUMMYFUNCTION("""COMPUTED_VALUE"""),3)</f>
        <v>3</v>
      </c>
      <c r="C16" s="1">
        <f ca="1">IFERROR(__xludf.DUMMYFUNCTION("""COMPUTED_VALUE"""),13)</f>
        <v>13</v>
      </c>
      <c r="D16" s="1">
        <f ca="1">IFERROR(__xludf.DUMMYFUNCTION("""COMPUTED_VALUE"""),2024)</f>
        <v>2024</v>
      </c>
      <c r="E16" s="4">
        <f ca="1">IFERROR(__xludf.DUMMYFUNCTION("""COMPUTED_VALUE"""),45364)</f>
        <v>45364</v>
      </c>
      <c r="F16" s="1" t="str">
        <f ca="1">IFERROR(__xludf.DUMMYFUNCTION("""COMPUTED_VALUE"""),"Garfield High School")</f>
        <v>Garfield High School</v>
      </c>
      <c r="G16" s="1">
        <f ca="1">IFERROR(__xludf.DUMMYFUNCTION("""COMPUTED_VALUE"""),0)</f>
        <v>0</v>
      </c>
      <c r="H16" s="1">
        <f ca="1">IFERROR(__xludf.DUMMYFUNCTION("""COMPUTED_VALUE"""),1)</f>
        <v>1</v>
      </c>
      <c r="I16" s="1">
        <f ca="1">IFERROR(__xludf.DUMMYFUNCTION("""COMPUTED_VALUE"""),1)</f>
        <v>1</v>
      </c>
      <c r="J16" s="1">
        <f ca="1">IFERROR(__xludf.DUMMYFUNCTION("""COMPUTED_VALUE"""),0)</f>
        <v>0</v>
      </c>
      <c r="K16" s="1" t="str">
        <f ca="1">IFERROR(__xludf.DUMMYFUNCTION("""COMPUTED_VALUE"""),"Spring")</f>
        <v>Spring</v>
      </c>
      <c r="L16" s="1" t="str">
        <f ca="1">IFERROR(__xludf.DUMMYFUNCTION("""COMPUTED_VALUE"""),"Seattle")</f>
        <v>Seattle</v>
      </c>
      <c r="M16" s="1" t="str">
        <f ca="1">IFERROR(__xludf.DUMMYFUNCTION("""COMPUTED_VALUE"""),"WA")</f>
        <v>WA</v>
      </c>
      <c r="N16" s="1" t="str">
        <f ca="1">IFERROR(__xludf.DUMMYFUNCTION("""COMPUTED_VALUE"""),"High")</f>
        <v>High</v>
      </c>
      <c r="O16" s="1" t="str">
        <f ca="1">IFERROR(__xludf.DUMMYFUNCTION("""COMPUTED_VALUE"""),"Front of School")</f>
        <v>Front of School</v>
      </c>
      <c r="P16" s="1" t="str">
        <f ca="1">IFERROR(__xludf.DUMMYFUNCTION("""COMPUTED_VALUE"""),"Outside on School Property")</f>
        <v>Outside on School Property</v>
      </c>
      <c r="Q16" s="1" t="str">
        <f ca="1">IFERROR(__xludf.DUMMYFUNCTION("""COMPUTED_VALUE"""),"Yes")</f>
        <v>Yes</v>
      </c>
      <c r="R16" s="1" t="str">
        <f ca="1">IFERROR(__xludf.DUMMYFUNCTION("""COMPUTED_VALUE"""),"Dismissal")</f>
        <v>Dismissal</v>
      </c>
      <c r="S16" s="5">
        <f ca="1">IFERROR(__xludf.DUMMYFUNCTION("""COMPUTED_VALUE"""),0.611111111111111)</f>
        <v>0.61111111111111105</v>
      </c>
      <c r="T16" s="1">
        <f ca="1">IFERROR(__xludf.DUMMYFUNCTION("""COMPUTED_VALUE"""),1)</f>
        <v>1</v>
      </c>
      <c r="U16" s="1" t="str">
        <f ca="1">IFERROR(__xludf.DUMMYFUNCTION("""COMPUTED_VALUE"""),"Female student shot while waiting at bus stop in front of the school at dismissal")</f>
        <v>Female student shot while waiting at bus stop in front of the school at dismissal</v>
      </c>
      <c r="V16" s="1" t="str">
        <f ca="1">IFERROR(__xludf.DUMMYFUNCTION("""COMPUTED_VALUE"""),"Female student shot while waiting at bus stop in front of the school at dismissal. Shots fired from a vehicle. Unclear if she was target or bystander. Shooting put three schools on lockdown. Seattle police are developing a new safety plan for dismissal.")</f>
        <v>Female student shot while waiting at bus stop in front of the school at dismissal. Shots fired from a vehicle. Unclear if she was target or bystander. Shooting put three schools on lockdown. Seattle police are developing a new safety plan for dismissal.</v>
      </c>
      <c r="W16" s="1" t="str">
        <f ca="1">IFERROR(__xludf.DUMMYFUNCTION("""COMPUTED_VALUE"""),"Drive-by Shooting")</f>
        <v>Drive-by Shooting</v>
      </c>
      <c r="X16" s="1"/>
      <c r="Y16" s="1"/>
      <c r="Z16" s="1"/>
      <c r="AA16" s="1" t="str">
        <f ca="1">IFERROR(__xludf.DUMMYFUNCTION("""COMPUTED_VALUE"""),"No")</f>
        <v>No</v>
      </c>
      <c r="AB16" s="1" t="str">
        <f ca="1">IFERROR(__xludf.DUMMYFUNCTION("""COMPUTED_VALUE"""),"No")</f>
        <v>No</v>
      </c>
      <c r="AC16" s="1" t="str">
        <f ca="1">IFERROR(__xludf.DUMMYFUNCTION("""COMPUTED_VALUE"""),"No")</f>
        <v>No</v>
      </c>
      <c r="AD16" s="1" t="str">
        <f ca="1">IFERROR(__xludf.DUMMYFUNCTION("""COMPUTED_VALUE"""),"No")</f>
        <v>No</v>
      </c>
      <c r="AE16" s="1" t="str">
        <f ca="1">IFERROR(__xludf.DUMMYFUNCTION("""COMPUTED_VALUE"""),"No")</f>
        <v>No</v>
      </c>
      <c r="AF16" s="1"/>
      <c r="AG16" s="1" t="str">
        <f ca="1">IFERROR(__xludf.DUMMYFUNCTION("""COMPUTED_VALUE"""),"No")</f>
        <v>No</v>
      </c>
      <c r="AH16" s="1">
        <f ca="1">IFERROR(__xludf.DUMMYFUNCTION("""COMPUTED_VALUE"""),99)</f>
        <v>99</v>
      </c>
    </row>
    <row r="17" spans="1:34" ht="12.5">
      <c r="A17" s="1" t="str">
        <f ca="1">IFERROR(__xludf.DUMMYFUNCTION("""COMPUTED_VALUE"""),"20240313MDWIB")</f>
        <v>20240313MDWIB</v>
      </c>
      <c r="B17" s="1">
        <f ca="1">IFERROR(__xludf.DUMMYFUNCTION("""COMPUTED_VALUE"""),3)</f>
        <v>3</v>
      </c>
      <c r="C17" s="1">
        <f ca="1">IFERROR(__xludf.DUMMYFUNCTION("""COMPUTED_VALUE"""),13)</f>
        <v>13</v>
      </c>
      <c r="D17" s="1">
        <f ca="1">IFERROR(__xludf.DUMMYFUNCTION("""COMPUTED_VALUE"""),2024)</f>
        <v>2024</v>
      </c>
      <c r="E17" s="4">
        <f ca="1">IFERROR(__xludf.DUMMYFUNCTION("""COMPUTED_VALUE"""),45364)</f>
        <v>45364</v>
      </c>
      <c r="F17" s="1" t="str">
        <f ca="1">IFERROR(__xludf.DUMMYFUNCTION("""COMPUTED_VALUE"""),"Windsor Hills Elementary/Middle School")</f>
        <v>Windsor Hills Elementary/Middle School</v>
      </c>
      <c r="G17" s="1">
        <f ca="1">IFERROR(__xludf.DUMMYFUNCTION("""COMPUTED_VALUE"""),1)</f>
        <v>1</v>
      </c>
      <c r="H17" s="1">
        <f ca="1">IFERROR(__xludf.DUMMYFUNCTION("""COMPUTED_VALUE"""),0)</f>
        <v>0</v>
      </c>
      <c r="I17" s="1">
        <f ca="1">IFERROR(__xludf.DUMMYFUNCTION("""COMPUTED_VALUE"""),1)</f>
        <v>1</v>
      </c>
      <c r="J17" s="1">
        <f ca="1">IFERROR(__xludf.DUMMYFUNCTION("""COMPUTED_VALUE"""),0)</f>
        <v>0</v>
      </c>
      <c r="K17" s="1" t="str">
        <f ca="1">IFERROR(__xludf.DUMMYFUNCTION("""COMPUTED_VALUE"""),"Spring")</f>
        <v>Spring</v>
      </c>
      <c r="L17" s="1" t="str">
        <f ca="1">IFERROR(__xludf.DUMMYFUNCTION("""COMPUTED_VALUE"""),"Baltimore")</f>
        <v>Baltimore</v>
      </c>
      <c r="M17" s="1" t="str">
        <f ca="1">IFERROR(__xludf.DUMMYFUNCTION("""COMPUTED_VALUE"""),"MD")</f>
        <v>MD</v>
      </c>
      <c r="N17" s="1" t="str">
        <f ca="1">IFERROR(__xludf.DUMMYFUNCTION("""COMPUTED_VALUE"""),"K-8")</f>
        <v>K-8</v>
      </c>
      <c r="O17" s="1" t="str">
        <f ca="1">IFERROR(__xludf.DUMMYFUNCTION("""COMPUTED_VALUE"""),"Playground")</f>
        <v>Playground</v>
      </c>
      <c r="P17" s="1" t="str">
        <f ca="1">IFERROR(__xludf.DUMMYFUNCTION("""COMPUTED_VALUE"""),"Outside on School Property")</f>
        <v>Outside on School Property</v>
      </c>
      <c r="Q17" s="1" t="str">
        <f ca="1">IFERROR(__xludf.DUMMYFUNCTION("""COMPUTED_VALUE"""),"Yes")</f>
        <v>Yes</v>
      </c>
      <c r="R17" s="1" t="str">
        <f ca="1">IFERROR(__xludf.DUMMYFUNCTION("""COMPUTED_VALUE"""),"School Start")</f>
        <v>School Start</v>
      </c>
      <c r="S17" s="5">
        <f ca="1">IFERROR(__xludf.DUMMYFUNCTION("""COMPUTED_VALUE"""),0.303472222222222)</f>
        <v>0.30347222222222198</v>
      </c>
      <c r="T17" s="1">
        <f ca="1">IFERROR(__xludf.DUMMYFUNCTION("""COMPUTED_VALUE"""),1)</f>
        <v>1</v>
      </c>
      <c r="U17" s="1" t="str">
        <f ca="1">IFERROR(__xludf.DUMMYFUNCTION("""COMPUTED_VALUE"""),"Woman was fatally shot by school playground, students walking to school saw the body")</f>
        <v>Woman was fatally shot by school playground, students walking to school saw the body</v>
      </c>
      <c r="V17" s="1" t="str">
        <f ca="1">IFERROR(__xludf.DUMMYFUNCTION("""COMPUTED_VALUE"""),"Woman was fatally shot near the school playground before the building opened. Police and EMS were called to the school at 7:17AM. School did not send a notification to parents so students arrived at the school and walked past the crime scene.")</f>
        <v>Woman was fatally shot near the school playground before the building opened. Police and EMS were called to the school at 7:17AM. School did not send a notification to parents so students arrived at the school and walked past the crime scene.</v>
      </c>
      <c r="W17" s="1"/>
      <c r="X17" s="1" t="str">
        <f ca="1">IFERROR(__xludf.DUMMYFUNCTION("""COMPUTED_VALUE"""),"Victims Targeted")</f>
        <v>Victims Targeted</v>
      </c>
      <c r="Y17" s="1" t="str">
        <f ca="1">IFERROR(__xludf.DUMMYFUNCTION("""COMPUTED_VALUE"""),"No")</f>
        <v>No</v>
      </c>
      <c r="Z17" s="1"/>
      <c r="AA17" s="1" t="str">
        <f ca="1">IFERROR(__xludf.DUMMYFUNCTION("""COMPUTED_VALUE"""),"No")</f>
        <v>No</v>
      </c>
      <c r="AB17" s="1" t="str">
        <f ca="1">IFERROR(__xludf.DUMMYFUNCTION("""COMPUTED_VALUE"""),"No")</f>
        <v>No</v>
      </c>
      <c r="AC17" s="1" t="str">
        <f ca="1">IFERROR(__xludf.DUMMYFUNCTION("""COMPUTED_VALUE"""),"No")</f>
        <v>No</v>
      </c>
      <c r="AD17" s="1" t="str">
        <f ca="1">IFERROR(__xludf.DUMMYFUNCTION("""COMPUTED_VALUE"""),"No")</f>
        <v>No</v>
      </c>
      <c r="AE17" s="1" t="str">
        <f ca="1">IFERROR(__xludf.DUMMYFUNCTION("""COMPUTED_VALUE"""),"No")</f>
        <v>No</v>
      </c>
      <c r="AF17" s="1"/>
      <c r="AG17" s="1" t="str">
        <f ca="1">IFERROR(__xludf.DUMMYFUNCTION("""COMPUTED_VALUE"""),"No")</f>
        <v>No</v>
      </c>
      <c r="AH17" s="1">
        <f ca="1">IFERROR(__xludf.DUMMYFUNCTION("""COMPUTED_VALUE"""),99)</f>
        <v>99</v>
      </c>
    </row>
    <row r="18" spans="1:34" ht="12.5">
      <c r="A18" s="1" t="str">
        <f ca="1">IFERROR(__xludf.DUMMYFUNCTION("""COMPUTED_VALUE"""),"20240311TXCHT")</f>
        <v>20240311TXCHT</v>
      </c>
      <c r="B18" s="1">
        <f ca="1">IFERROR(__xludf.DUMMYFUNCTION("""COMPUTED_VALUE"""),3)</f>
        <v>3</v>
      </c>
      <c r="C18" s="1">
        <f ca="1">IFERROR(__xludf.DUMMYFUNCTION("""COMPUTED_VALUE"""),11)</f>
        <v>11</v>
      </c>
      <c r="D18" s="1">
        <f ca="1">IFERROR(__xludf.DUMMYFUNCTION("""COMPUTED_VALUE"""),2024)</f>
        <v>2024</v>
      </c>
      <c r="E18" s="4">
        <f ca="1">IFERROR(__xludf.DUMMYFUNCTION("""COMPUTED_VALUE"""),45362)</f>
        <v>45362</v>
      </c>
      <c r="F18" s="1" t="str">
        <f ca="1">IFERROR(__xludf.DUMMYFUNCTION("""COMPUTED_VALUE"""),"Charter Oak Elementary")</f>
        <v>Charter Oak Elementary</v>
      </c>
      <c r="G18" s="1">
        <f ca="1">IFERROR(__xludf.DUMMYFUNCTION("""COMPUTED_VALUE"""),1)</f>
        <v>1</v>
      </c>
      <c r="H18" s="1">
        <f ca="1">IFERROR(__xludf.DUMMYFUNCTION("""COMPUTED_VALUE"""),0)</f>
        <v>0</v>
      </c>
      <c r="I18" s="1">
        <f ca="1">IFERROR(__xludf.DUMMYFUNCTION("""COMPUTED_VALUE"""),1)</f>
        <v>1</v>
      </c>
      <c r="J18" s="1">
        <f ca="1">IFERROR(__xludf.DUMMYFUNCTION("""COMPUTED_VALUE"""),0)</f>
        <v>0</v>
      </c>
      <c r="K18" s="1" t="str">
        <f ca="1">IFERROR(__xludf.DUMMYFUNCTION("""COMPUTED_VALUE"""),"Spring")</f>
        <v>Spring</v>
      </c>
      <c r="L18" s="1" t="str">
        <f ca="1">IFERROR(__xludf.DUMMYFUNCTION("""COMPUTED_VALUE"""),"Temple")</f>
        <v>Temple</v>
      </c>
      <c r="M18" s="1" t="str">
        <f ca="1">IFERROR(__xludf.DUMMYFUNCTION("""COMPUTED_VALUE"""),"TX")</f>
        <v>TX</v>
      </c>
      <c r="N18" s="1" t="str">
        <f ca="1">IFERROR(__xludf.DUMMYFUNCTION("""COMPUTED_VALUE"""),"Elementary")</f>
        <v>Elementary</v>
      </c>
      <c r="O18" s="1" t="str">
        <f ca="1">IFERROR(__xludf.DUMMYFUNCTION("""COMPUTED_VALUE"""),"Playground")</f>
        <v>Playground</v>
      </c>
      <c r="P18" s="1" t="str">
        <f ca="1">IFERROR(__xludf.DUMMYFUNCTION("""COMPUTED_VALUE"""),"Outside on School Property")</f>
        <v>Outside on School Property</v>
      </c>
      <c r="Q18" s="1" t="str">
        <f ca="1">IFERROR(__xludf.DUMMYFUNCTION("""COMPUTED_VALUE"""),"No")</f>
        <v>No</v>
      </c>
      <c r="R18" s="1" t="str">
        <f ca="1">IFERROR(__xludf.DUMMYFUNCTION("""COMPUTED_VALUE"""),"Evening")</f>
        <v>Evening</v>
      </c>
      <c r="S18" s="5">
        <f ca="1">IFERROR(__xludf.DUMMYFUNCTION("""COMPUTED_VALUE"""),0.791666666666666)</f>
        <v>0.79166666666666596</v>
      </c>
      <c r="T18" s="1">
        <f ca="1">IFERROR(__xludf.DUMMYFUNCTION("""COMPUTED_VALUE"""),1)</f>
        <v>1</v>
      </c>
      <c r="U18" s="1" t="str">
        <f ca="1">IFERROR(__xludf.DUMMYFUNCTION("""COMPUTED_VALUE"""),"1-year-old child fatally shot on school playground")</f>
        <v>1-year-old child fatally shot on school playground</v>
      </c>
      <c r="V18" s="1" t="str">
        <f ca="1">IFERROR(__xludf.DUMMYFUNCTION("""COMPUTED_VALUE"""),"A 1-year-old child was fatally shot on the school playground while playing with family members. No arrests made. Police believe the shooting was accidental.")</f>
        <v>A 1-year-old child was fatally shot on the school playground while playing with family members. No arrests made. Police believe the shooting was accidental.</v>
      </c>
      <c r="W18" s="1" t="str">
        <f ca="1">IFERROR(__xludf.DUMMYFUNCTION("""COMPUTED_VALUE"""),"Accidental")</f>
        <v>Accidental</v>
      </c>
      <c r="X18" s="1" t="str">
        <f ca="1">IFERROR(__xludf.DUMMYFUNCTION("""COMPUTED_VALUE"""),"Neither")</f>
        <v>Neither</v>
      </c>
      <c r="Y18" s="1" t="str">
        <f ca="1">IFERROR(__xludf.DUMMYFUNCTION("""COMPUTED_VALUE"""),"No")</f>
        <v>No</v>
      </c>
      <c r="Z18" s="1"/>
      <c r="AA18" s="1" t="str">
        <f ca="1">IFERROR(__xludf.DUMMYFUNCTION("""COMPUTED_VALUE"""),"No")</f>
        <v>No</v>
      </c>
      <c r="AB18" s="1" t="str">
        <f ca="1">IFERROR(__xludf.DUMMYFUNCTION("""COMPUTED_VALUE"""),"No")</f>
        <v>No</v>
      </c>
      <c r="AC18" s="1" t="str">
        <f ca="1">IFERROR(__xludf.DUMMYFUNCTION("""COMPUTED_VALUE"""),"No")</f>
        <v>No</v>
      </c>
      <c r="AD18" s="1" t="str">
        <f ca="1">IFERROR(__xludf.DUMMYFUNCTION("""COMPUTED_VALUE"""),"No")</f>
        <v>No</v>
      </c>
      <c r="AE18" s="1" t="str">
        <f ca="1">IFERROR(__xludf.DUMMYFUNCTION("""COMPUTED_VALUE"""),"No")</f>
        <v>No</v>
      </c>
      <c r="AF18" s="1" t="str">
        <f ca="1">IFERROR(__xludf.DUMMYFUNCTION("""COMPUTED_VALUE"""),"No")</f>
        <v>No</v>
      </c>
      <c r="AG18" s="1" t="str">
        <f ca="1">IFERROR(__xludf.DUMMYFUNCTION("""COMPUTED_VALUE"""),"No")</f>
        <v>No</v>
      </c>
      <c r="AH18" s="1">
        <f ca="1">IFERROR(__xludf.DUMMYFUNCTION("""COMPUTED_VALUE"""),1)</f>
        <v>1</v>
      </c>
    </row>
    <row r="19" spans="1:34" ht="12.5">
      <c r="A19" s="1" t="str">
        <f ca="1">IFERROR(__xludf.DUMMYFUNCTION("""COMPUTED_VALUE"""),"20240311MASPS")</f>
        <v>20240311MASPS</v>
      </c>
      <c r="B19" s="1">
        <f ca="1">IFERROR(__xludf.DUMMYFUNCTION("""COMPUTED_VALUE"""),3)</f>
        <v>3</v>
      </c>
      <c r="C19" s="1">
        <f ca="1">IFERROR(__xludf.DUMMYFUNCTION("""COMPUTED_VALUE"""),11)</f>
        <v>11</v>
      </c>
      <c r="D19" s="1">
        <f ca="1">IFERROR(__xludf.DUMMYFUNCTION("""COMPUTED_VALUE"""),2024)</f>
        <v>2024</v>
      </c>
      <c r="E19" s="4">
        <f ca="1">IFERROR(__xludf.DUMMYFUNCTION("""COMPUTED_VALUE"""),45362)</f>
        <v>45362</v>
      </c>
      <c r="F19" s="1" t="str">
        <f ca="1">IFERROR(__xludf.DUMMYFUNCTION("""COMPUTED_VALUE"""),"Springfield High School of Science and Technology")</f>
        <v>Springfield High School of Science and Technology</v>
      </c>
      <c r="G19" s="1">
        <f ca="1">IFERROR(__xludf.DUMMYFUNCTION("""COMPUTED_VALUE"""),0)</f>
        <v>0</v>
      </c>
      <c r="H19" s="1">
        <f ca="1">IFERROR(__xludf.DUMMYFUNCTION("""COMPUTED_VALUE"""),0)</f>
        <v>0</v>
      </c>
      <c r="I19" s="1">
        <f ca="1">IFERROR(__xludf.DUMMYFUNCTION("""COMPUTED_VALUE"""),0)</f>
        <v>0</v>
      </c>
      <c r="J19" s="1">
        <f ca="1">IFERROR(__xludf.DUMMYFUNCTION("""COMPUTED_VALUE"""),0)</f>
        <v>0</v>
      </c>
      <c r="K19" s="1" t="str">
        <f ca="1">IFERROR(__xludf.DUMMYFUNCTION("""COMPUTED_VALUE"""),"Spring")</f>
        <v>Spring</v>
      </c>
      <c r="L19" s="1" t="str">
        <f ca="1">IFERROR(__xludf.DUMMYFUNCTION("""COMPUTED_VALUE"""),"Springfield")</f>
        <v>Springfield</v>
      </c>
      <c r="M19" s="1" t="str">
        <f ca="1">IFERROR(__xludf.DUMMYFUNCTION("""COMPUTED_VALUE"""),"MA")</f>
        <v>MA</v>
      </c>
      <c r="N19" s="1" t="str">
        <f ca="1">IFERROR(__xludf.DUMMYFUNCTION("""COMPUTED_VALUE"""),"High")</f>
        <v>High</v>
      </c>
      <c r="O19" s="1" t="str">
        <f ca="1">IFERROR(__xludf.DUMMYFUNCTION("""COMPUTED_VALUE"""),"Hallway")</f>
        <v>Hallway</v>
      </c>
      <c r="P19" s="1" t="str">
        <f ca="1">IFERROR(__xludf.DUMMYFUNCTION("""COMPUTED_VALUE"""),"Inside School Building")</f>
        <v>Inside School Building</v>
      </c>
      <c r="Q19" s="1" t="str">
        <f ca="1">IFERROR(__xludf.DUMMYFUNCTION("""COMPUTED_VALUE"""),"Yes")</f>
        <v>Yes</v>
      </c>
      <c r="R19" s="1" t="str">
        <f ca="1">IFERROR(__xludf.DUMMYFUNCTION("""COMPUTED_VALUE"""),"Afternoon Classes")</f>
        <v>Afternoon Classes</v>
      </c>
      <c r="S19" s="5">
        <f ca="1">IFERROR(__xludf.DUMMYFUNCTION("""COMPUTED_VALUE"""),0.583333333333333)</f>
        <v>0.58333333333333304</v>
      </c>
      <c r="T19" s="1">
        <f ca="1">IFERROR(__xludf.DUMMYFUNCTION("""COMPUTED_VALUE"""),1)</f>
        <v>1</v>
      </c>
      <c r="U19" s="1" t="str">
        <f ca="1">IFERROR(__xludf.DUMMYFUNCTION("""COMPUTED_VALUE"""),"Shots fired in hallway during fight broke school window")</f>
        <v>Shots fired in hallway during fight broke school window</v>
      </c>
      <c r="V19" s="1" t="str">
        <f ca="1">IFERROR(__xludf.DUMMYFUNCTION("""COMPUTED_VALUE"""),"Shots fired in hallway during fight broke school window. Shooter fled and school went on lockdown. Principal states that students had let two adults into the building prior to the fight starting.")</f>
        <v>Shots fired in hallway during fight broke school window. Shooter fled and school went on lockdown. Principal states that students had let two adults into the building prior to the fight starting.</v>
      </c>
      <c r="W19" s="1" t="str">
        <f ca="1">IFERROR(__xludf.DUMMYFUNCTION("""COMPUTED_VALUE"""),"Escalation of Dispute")</f>
        <v>Escalation of Dispute</v>
      </c>
      <c r="X19" s="1" t="str">
        <f ca="1">IFERROR(__xludf.DUMMYFUNCTION("""COMPUTED_VALUE"""),"Victims Targeted")</f>
        <v>Victims Targeted</v>
      </c>
      <c r="Y19" s="1" t="str">
        <f ca="1">IFERROR(__xludf.DUMMYFUNCTION("""COMPUTED_VALUE"""),"Yes")</f>
        <v>Yes</v>
      </c>
      <c r="Z19" s="1"/>
      <c r="AA19" s="1" t="str">
        <f ca="1">IFERROR(__xludf.DUMMYFUNCTION("""COMPUTED_VALUE"""),"No")</f>
        <v>No</v>
      </c>
      <c r="AB19" s="1" t="str">
        <f ca="1">IFERROR(__xludf.DUMMYFUNCTION("""COMPUTED_VALUE"""),"No")</f>
        <v>No</v>
      </c>
      <c r="AC19" s="1" t="str">
        <f ca="1">IFERROR(__xludf.DUMMYFUNCTION("""COMPUTED_VALUE"""),"No")</f>
        <v>No</v>
      </c>
      <c r="AD19" s="1" t="str">
        <f ca="1">IFERROR(__xludf.DUMMYFUNCTION("""COMPUTED_VALUE"""),"No")</f>
        <v>No</v>
      </c>
      <c r="AE19" s="1" t="str">
        <f ca="1">IFERROR(__xludf.DUMMYFUNCTION("""COMPUTED_VALUE"""),"No")</f>
        <v>No</v>
      </c>
      <c r="AF19" s="1"/>
      <c r="AG19" s="1" t="str">
        <f ca="1">IFERROR(__xludf.DUMMYFUNCTION("""COMPUTED_VALUE"""),"No")</f>
        <v>No</v>
      </c>
      <c r="AH19" s="1">
        <f ca="1">IFERROR(__xludf.DUMMYFUNCTION("""COMPUTED_VALUE"""),99)</f>
        <v>99</v>
      </c>
    </row>
    <row r="20" spans="1:34" ht="12.5">
      <c r="A20" s="1" t="str">
        <f ca="1">IFERROR(__xludf.DUMMYFUNCTION("""COMPUTED_VALUE"""),"20240307NYPSB")</f>
        <v>20240307NYPSB</v>
      </c>
      <c r="B20" s="1">
        <f ca="1">IFERROR(__xludf.DUMMYFUNCTION("""COMPUTED_VALUE"""),3)</f>
        <v>3</v>
      </c>
      <c r="C20" s="1">
        <f ca="1">IFERROR(__xludf.DUMMYFUNCTION("""COMPUTED_VALUE"""),7)</f>
        <v>7</v>
      </c>
      <c r="D20" s="1">
        <f ca="1">IFERROR(__xludf.DUMMYFUNCTION("""COMPUTED_VALUE"""),2024)</f>
        <v>2024</v>
      </c>
      <c r="E20" s="4">
        <f ca="1">IFERROR(__xludf.DUMMYFUNCTION("""COMPUTED_VALUE"""),45358)</f>
        <v>45358</v>
      </c>
      <c r="F20" s="1" t="str">
        <f ca="1">IFERROR(__xludf.DUMMYFUNCTION("""COMPUTED_VALUE"""),"PS 157 Grove Hill")</f>
        <v>PS 157 Grove Hill</v>
      </c>
      <c r="G20" s="1">
        <f ca="1">IFERROR(__xludf.DUMMYFUNCTION("""COMPUTED_VALUE"""),1)</f>
        <v>1</v>
      </c>
      <c r="H20" s="1">
        <f ca="1">IFERROR(__xludf.DUMMYFUNCTION("""COMPUTED_VALUE"""),0)</f>
        <v>0</v>
      </c>
      <c r="I20" s="1">
        <f ca="1">IFERROR(__xludf.DUMMYFUNCTION("""COMPUTED_VALUE"""),1)</f>
        <v>1</v>
      </c>
      <c r="J20" s="1">
        <f ca="1">IFERROR(__xludf.DUMMYFUNCTION("""COMPUTED_VALUE"""),0)</f>
        <v>0</v>
      </c>
      <c r="K20" s="1" t="str">
        <f ca="1">IFERROR(__xludf.DUMMYFUNCTION("""COMPUTED_VALUE"""),"Spring")</f>
        <v>Spring</v>
      </c>
      <c r="L20" s="1" t="str">
        <f ca="1">IFERROR(__xludf.DUMMYFUNCTION("""COMPUTED_VALUE"""),"Bronx")</f>
        <v>Bronx</v>
      </c>
      <c r="M20" s="1" t="str">
        <f ca="1">IFERROR(__xludf.DUMMYFUNCTION("""COMPUTED_VALUE"""),"NY")</f>
        <v>NY</v>
      </c>
      <c r="N20" s="1" t="str">
        <f ca="1">IFERROR(__xludf.DUMMYFUNCTION("""COMPUTED_VALUE"""),"Elementary")</f>
        <v>Elementary</v>
      </c>
      <c r="O20" s="1" t="str">
        <f ca="1">IFERROR(__xludf.DUMMYFUNCTION("""COMPUTED_VALUE"""),"Playground")</f>
        <v>Playground</v>
      </c>
      <c r="P20" s="1" t="str">
        <f ca="1">IFERROR(__xludf.DUMMYFUNCTION("""COMPUTED_VALUE"""),"Outside on School Property")</f>
        <v>Outside on School Property</v>
      </c>
      <c r="Q20" s="1" t="str">
        <f ca="1">IFERROR(__xludf.DUMMYFUNCTION("""COMPUTED_VALUE"""),"No")</f>
        <v>No</v>
      </c>
      <c r="R20" s="1" t="str">
        <f ca="1">IFERROR(__xludf.DUMMYFUNCTION("""COMPUTED_VALUE"""),"After School")</f>
        <v>After School</v>
      </c>
      <c r="S20" s="5">
        <f ca="1">IFERROR(__xludf.DUMMYFUNCTION("""COMPUTED_VALUE"""),0.677083333333333)</f>
        <v>0.67708333333333304</v>
      </c>
      <c r="T20" s="1">
        <f ca="1">IFERROR(__xludf.DUMMYFUNCTION("""COMPUTED_VALUE"""),1)</f>
        <v>1</v>
      </c>
      <c r="U20" s="1" t="str">
        <f ca="1">IFERROR(__xludf.DUMMYFUNCTION("""COMPUTED_VALUE"""),"Teen fatall shot in the neck during fight outside school")</f>
        <v>Teen fatall shot in the neck during fight outside school</v>
      </c>
      <c r="V20" s="1" t="str">
        <f ca="1">IFERROR(__xludf.DUMMYFUNCTION("""COMPUTED_VALUE"""),"The incident took place at around 4:15 p.m., according to the NYPD. Teen was transported to NYC Health + Hospitals/Lincoln and was pronounced dead a few hours later. The teen was found near Legacy College Prep High School and P.S. 157. It is unknown if he"&amp;" is a student there. No arrests have been made.")</f>
        <v>The incident took place at around 4:15 p.m., according to the NYPD. Teen was transported to NYC Health + Hospitals/Lincoln and was pronounced dead a few hours later. The teen was found near Legacy College Prep High School and P.S. 157. It is unknown if he is a student there. No arrests have been made.</v>
      </c>
      <c r="W20" s="1" t="str">
        <f ca="1">IFERROR(__xludf.DUMMYFUNCTION("""COMPUTED_VALUE"""),"Escalation of Dispute")</f>
        <v>Escalation of Dispute</v>
      </c>
      <c r="X20" s="1" t="str">
        <f ca="1">IFERROR(__xludf.DUMMYFUNCTION("""COMPUTED_VALUE"""),"Victims Targeted")</f>
        <v>Victims Targeted</v>
      </c>
      <c r="Y20" s="1" t="str">
        <f ca="1">IFERROR(__xludf.DUMMYFUNCTION("""COMPUTED_VALUE"""),"No")</f>
        <v>No</v>
      </c>
      <c r="Z20" s="1"/>
      <c r="AA20" s="1" t="str">
        <f ca="1">IFERROR(__xludf.DUMMYFUNCTION("""COMPUTED_VALUE"""),"No")</f>
        <v>No</v>
      </c>
      <c r="AB20" s="1" t="str">
        <f ca="1">IFERROR(__xludf.DUMMYFUNCTION("""COMPUTED_VALUE"""),"No")</f>
        <v>No</v>
      </c>
      <c r="AC20" s="1" t="str">
        <f ca="1">IFERROR(__xludf.DUMMYFUNCTION("""COMPUTED_VALUE"""),"No")</f>
        <v>No</v>
      </c>
      <c r="AD20" s="1" t="str">
        <f ca="1">IFERROR(__xludf.DUMMYFUNCTION("""COMPUTED_VALUE"""),"No")</f>
        <v>No</v>
      </c>
      <c r="AE20" s="1" t="str">
        <f ca="1">IFERROR(__xludf.DUMMYFUNCTION("""COMPUTED_VALUE"""),"No")</f>
        <v>No</v>
      </c>
      <c r="AF20" s="1"/>
      <c r="AG20" s="1" t="str">
        <f ca="1">IFERROR(__xludf.DUMMYFUNCTION("""COMPUTED_VALUE"""),"No")</f>
        <v>No</v>
      </c>
      <c r="AH20" s="1">
        <f ca="1">IFERROR(__xludf.DUMMYFUNCTION("""COMPUTED_VALUE"""),99)</f>
        <v>99</v>
      </c>
    </row>
    <row r="21" spans="1:34" ht="12.5">
      <c r="A21" s="1" t="str">
        <f ca="1">IFERROR(__xludf.DUMMYFUNCTION("""COMPUTED_VALUE"""),"20240305INHAL")</f>
        <v>20240305INHAL</v>
      </c>
      <c r="B21" s="1">
        <f ca="1">IFERROR(__xludf.DUMMYFUNCTION("""COMPUTED_VALUE"""),3)</f>
        <v>3</v>
      </c>
      <c r="C21" s="1">
        <f ca="1">IFERROR(__xludf.DUMMYFUNCTION("""COMPUTED_VALUE"""),5)</f>
        <v>5</v>
      </c>
      <c r="D21" s="1">
        <f ca="1">IFERROR(__xludf.DUMMYFUNCTION("""COMPUTED_VALUE"""),2024)</f>
        <v>2024</v>
      </c>
      <c r="E21" s="4">
        <f ca="1">IFERROR(__xludf.DUMMYFUNCTION("""COMPUTED_VALUE"""),45356)</f>
        <v>45356</v>
      </c>
      <c r="F21" s="1" t="str">
        <f ca="1">IFERROR(__xludf.DUMMYFUNCTION("""COMPUTED_VALUE"""),"Harrison Hill Elementary School")</f>
        <v>Harrison Hill Elementary School</v>
      </c>
      <c r="G21" s="1">
        <f ca="1">IFERROR(__xludf.DUMMYFUNCTION("""COMPUTED_VALUE"""),0)</f>
        <v>0</v>
      </c>
      <c r="H21" s="1">
        <f ca="1">IFERROR(__xludf.DUMMYFUNCTION("""COMPUTED_VALUE"""),1)</f>
        <v>1</v>
      </c>
      <c r="I21" s="1">
        <f ca="1">IFERROR(__xludf.DUMMYFUNCTION("""COMPUTED_VALUE"""),1)</f>
        <v>1</v>
      </c>
      <c r="J21" s="1">
        <f ca="1">IFERROR(__xludf.DUMMYFUNCTION("""COMPUTED_VALUE"""),0)</f>
        <v>0</v>
      </c>
      <c r="K21" s="1" t="str">
        <f ca="1">IFERROR(__xludf.DUMMYFUNCTION("""COMPUTED_VALUE"""),"Spring")</f>
        <v>Spring</v>
      </c>
      <c r="L21" s="1" t="str">
        <f ca="1">IFERROR(__xludf.DUMMYFUNCTION("""COMPUTED_VALUE"""),"Lawrence")</f>
        <v>Lawrence</v>
      </c>
      <c r="M21" s="1" t="str">
        <f ca="1">IFERROR(__xludf.DUMMYFUNCTION("""COMPUTED_VALUE"""),"IN")</f>
        <v>IN</v>
      </c>
      <c r="N21" s="1" t="str">
        <f ca="1">IFERROR(__xludf.DUMMYFUNCTION("""COMPUTED_VALUE"""),"Elementary")</f>
        <v>Elementary</v>
      </c>
      <c r="O21" s="1" t="str">
        <f ca="1">IFERROR(__xludf.DUMMYFUNCTION("""COMPUTED_VALUE"""),"Beside Building")</f>
        <v>Beside Building</v>
      </c>
      <c r="P21" s="1" t="str">
        <f ca="1">IFERROR(__xludf.DUMMYFUNCTION("""COMPUTED_VALUE"""),"Outside on School Property")</f>
        <v>Outside on School Property</v>
      </c>
      <c r="Q21" s="1" t="str">
        <f ca="1">IFERROR(__xludf.DUMMYFUNCTION("""COMPUTED_VALUE"""),"No")</f>
        <v>No</v>
      </c>
      <c r="R21" s="1" t="str">
        <f ca="1">IFERROR(__xludf.DUMMYFUNCTION("""COMPUTED_VALUE"""),"After School")</f>
        <v>After School</v>
      </c>
      <c r="S21" s="5">
        <f ca="1">IFERROR(__xludf.DUMMYFUNCTION("""COMPUTED_VALUE"""),0.666666666666666)</f>
        <v>0.66666666666666596</v>
      </c>
      <c r="T21" s="1">
        <f ca="1">IFERROR(__xludf.DUMMYFUNCTION("""COMPUTED_VALUE"""),1)</f>
        <v>1</v>
      </c>
      <c r="U21" s="1" t="str">
        <f ca="1">IFERROR(__xludf.DUMMYFUNCTION("""COMPUTED_VALUE"""),"14-year-old shot during fight with 4 high school students behind school building")</f>
        <v>14-year-old shot during fight with 4 high school students behind school building</v>
      </c>
      <c r="V21" s="1" t="str">
        <f ca="1">IFERROR(__xludf.DUMMYFUNCTION("""COMPUTED_VALUE"""),"Lawrence police say an argument Tuesday between high-school-aged students ended with a juvenile male being shot behind a Marion County elementary school. Online records show that officers with the Lawrence Police Department were called just after 4 p.m. T"&amp;"uesday to 7510 E. 53rd Street, the address for Harrison Hill Elementary School, on report of a person shot. Deputy Chief of Police Travis Cline confirmed to FOX59/CBS4 that, upon arrival, officers found a juvenile victim shot in the leg behind the school."&amp;" The victim has since been taken to the hospital and is in stable condition. According to Cline, several high-school-aged persons of interest have been taken into custody. It is believed that the shooting was the result of an argument between four juvenil"&amp;"es that ended when one suspect flashed a gun and shot the victim in the leg.")</f>
        <v>Lawrence police say an argument Tuesday between high-school-aged students ended with a juvenile male being shot behind a Marion County elementary school. Online records show that officers with the Lawrence Police Department were called just after 4 p.m. Tuesday to 7510 E. 53rd Street, the address for Harrison Hill Elementary School, on report of a person shot. Deputy Chief of Police Travis Cline confirmed to FOX59/CBS4 that, upon arrival, officers found a juvenile victim shot in the leg behind the school. The victim has since been taken to the hospital and is in stable condition. According to Cline, several high-school-aged persons of interest have been taken into custody. It is believed that the shooting was the result of an argument between four juveniles that ended when one suspect flashed a gun and shot the victim in the leg.</v>
      </c>
      <c r="W21" s="1" t="str">
        <f ca="1">IFERROR(__xludf.DUMMYFUNCTION("""COMPUTED_VALUE"""),"Escalation of Dispute")</f>
        <v>Escalation of Dispute</v>
      </c>
      <c r="X21" s="1" t="str">
        <f ca="1">IFERROR(__xludf.DUMMYFUNCTION("""COMPUTED_VALUE"""),"Victims Targeted")</f>
        <v>Victims Targeted</v>
      </c>
      <c r="Y21" s="1" t="str">
        <f ca="1">IFERROR(__xludf.DUMMYFUNCTION("""COMPUTED_VALUE"""),"Yes")</f>
        <v>Yes</v>
      </c>
      <c r="Z21" s="1" t="str">
        <f ca="1">IFERROR(__xludf.DUMMYFUNCTION("""COMPUTED_VALUE"""),"4 teens arrested")</f>
        <v>4 teens arrested</v>
      </c>
      <c r="AA21" s="1" t="str">
        <f ca="1">IFERROR(__xludf.DUMMYFUNCTION("""COMPUTED_VALUE"""),"No")</f>
        <v>No</v>
      </c>
      <c r="AB21" s="1" t="str">
        <f ca="1">IFERROR(__xludf.DUMMYFUNCTION("""COMPUTED_VALUE"""),"No")</f>
        <v>No</v>
      </c>
      <c r="AC21" s="1" t="str">
        <f ca="1">IFERROR(__xludf.DUMMYFUNCTION("""COMPUTED_VALUE"""),"No")</f>
        <v>No</v>
      </c>
      <c r="AD21" s="1" t="str">
        <f ca="1">IFERROR(__xludf.DUMMYFUNCTION("""COMPUTED_VALUE"""),"No")</f>
        <v>No</v>
      </c>
      <c r="AE21" s="1" t="str">
        <f ca="1">IFERROR(__xludf.DUMMYFUNCTION("""COMPUTED_VALUE"""),"No")</f>
        <v>No</v>
      </c>
      <c r="AF21" s="1" t="str">
        <f ca="1">IFERROR(__xludf.DUMMYFUNCTION("""COMPUTED_VALUE"""),"No")</f>
        <v>No</v>
      </c>
      <c r="AG21" s="1" t="str">
        <f ca="1">IFERROR(__xludf.DUMMYFUNCTION("""COMPUTED_VALUE"""),"No")</f>
        <v>No</v>
      </c>
      <c r="AH21" s="1">
        <f ca="1">IFERROR(__xludf.DUMMYFUNCTION("""COMPUTED_VALUE"""),1)</f>
        <v>1</v>
      </c>
    </row>
    <row r="22" spans="1:34" ht="12.5">
      <c r="A22" s="1" t="str">
        <f ca="1">IFERROR(__xludf.DUMMYFUNCTION("""COMPUTED_VALUE"""),"20240304TNBRB")</f>
        <v>20240304TNBRB</v>
      </c>
      <c r="B22" s="1">
        <f ca="1">IFERROR(__xludf.DUMMYFUNCTION("""COMPUTED_VALUE"""),3)</f>
        <v>3</v>
      </c>
      <c r="C22" s="1">
        <f ca="1">IFERROR(__xludf.DUMMYFUNCTION("""COMPUTED_VALUE"""),4)</f>
        <v>4</v>
      </c>
      <c r="D22" s="1">
        <f ca="1">IFERROR(__xludf.DUMMYFUNCTION("""COMPUTED_VALUE"""),2024)</f>
        <v>2024</v>
      </c>
      <c r="E22" s="4">
        <f ca="1">IFERROR(__xludf.DUMMYFUNCTION("""COMPUTED_VALUE"""),45355)</f>
        <v>45355</v>
      </c>
      <c r="F22" s="1" t="str">
        <f ca="1">IFERROR(__xludf.DUMMYFUNCTION("""COMPUTED_VALUE"""),"Brighton High School")</f>
        <v>Brighton High School</v>
      </c>
      <c r="G22" s="1">
        <f ca="1">IFERROR(__xludf.DUMMYFUNCTION("""COMPUTED_VALUE"""),0)</f>
        <v>0</v>
      </c>
      <c r="H22" s="1">
        <f ca="1">IFERROR(__xludf.DUMMYFUNCTION("""COMPUTED_VALUE"""),1)</f>
        <v>1</v>
      </c>
      <c r="I22" s="1">
        <f ca="1">IFERROR(__xludf.DUMMYFUNCTION("""COMPUTED_VALUE"""),1)</f>
        <v>1</v>
      </c>
      <c r="J22" s="1">
        <f ca="1">IFERROR(__xludf.DUMMYFUNCTION("""COMPUTED_VALUE"""),0)</f>
        <v>0</v>
      </c>
      <c r="K22" s="1" t="str">
        <f ca="1">IFERROR(__xludf.DUMMYFUNCTION("""COMPUTED_VALUE"""),"Spring")</f>
        <v>Spring</v>
      </c>
      <c r="L22" s="1" t="str">
        <f ca="1">IFERROR(__xludf.DUMMYFUNCTION("""COMPUTED_VALUE"""),"Brighton")</f>
        <v>Brighton</v>
      </c>
      <c r="M22" s="1" t="str">
        <f ca="1">IFERROR(__xludf.DUMMYFUNCTION("""COMPUTED_VALUE"""),"TN")</f>
        <v>TN</v>
      </c>
      <c r="N22" s="1" t="str">
        <f ca="1">IFERROR(__xludf.DUMMYFUNCTION("""COMPUTED_VALUE"""),"High")</f>
        <v>High</v>
      </c>
      <c r="O22" s="1" t="str">
        <f ca="1">IFERROR(__xludf.DUMMYFUNCTION("""COMPUTED_VALUE"""),"Parking Lot")</f>
        <v>Parking Lot</v>
      </c>
      <c r="P22" s="1" t="str">
        <f ca="1">IFERROR(__xludf.DUMMYFUNCTION("""COMPUTED_VALUE"""),"Outside on School Property")</f>
        <v>Outside on School Property</v>
      </c>
      <c r="Q22" s="1" t="str">
        <f ca="1">IFERROR(__xludf.DUMMYFUNCTION("""COMPUTED_VALUE"""),"Yes")</f>
        <v>Yes</v>
      </c>
      <c r="R22" s="1" t="str">
        <f ca="1">IFERROR(__xludf.DUMMYFUNCTION("""COMPUTED_VALUE"""),"School Start")</f>
        <v>School Start</v>
      </c>
      <c r="S22" s="5">
        <f ca="1">IFERROR(__xludf.DUMMYFUNCTION("""COMPUTED_VALUE"""),0.30625)</f>
        <v>0.30625000000000002</v>
      </c>
      <c r="T22" s="1">
        <f ca="1">IFERROR(__xludf.DUMMYFUNCTION("""COMPUTED_VALUE"""),1)</f>
        <v>1</v>
      </c>
      <c r="U22" s="1" t="str">
        <f ca="1">IFERROR(__xludf.DUMMYFUNCTION("""COMPUTED_VALUE"""),"Student carjacked classmate at gun point, ran from SRO")</f>
        <v>Student carjacked classmate at gun point, ran from SRO</v>
      </c>
      <c r="V22" s="1" t="str">
        <f ca="1">IFERROR(__xludf.DUMMYFUNCTION("""COMPUTED_VALUE"""),"A school resource officer was directing traffic on Highway 51 at the entrance to Brighton High School when a white car approached and the girl driving yelled ""He's got a gun,"" BPD said. Earlier Monday morning, the gunman had carjacked the girl, hit her "&amp;"over the head with a gun and then forced her to drive, according to police. When the car approached the school, the gunman jumped out and ran towards the high school tennis courts where he entered a large concrete culvert that runs under Highway 51, BPD s"&amp;"aid. The school resource officer gave chase, arresting the gunman in the culvert. Police said that ""the threat never entered the school building."" ")</f>
        <v xml:space="preserve">A school resource officer was directing traffic on Highway 51 at the entrance to Brighton High School when a white car approached and the girl driving yelled "He's got a gun," BPD said. Earlier Monday morning, the gunman had carjacked the girl, hit her over the head with a gun and then forced her to drive, according to police. When the car approached the school, the gunman jumped out and ran towards the high school tennis courts where he entered a large concrete culvert that runs under Highway 51, BPD said. The school resource officer gave chase, arresting the gunman in the culvert. Police said that "the threat never entered the school building." </v>
      </c>
      <c r="W22" s="1" t="str">
        <f ca="1">IFERROR(__xludf.DUMMYFUNCTION("""COMPUTED_VALUE"""),"Illegal Activity")</f>
        <v>Illegal Activity</v>
      </c>
      <c r="X22" s="1" t="str">
        <f ca="1">IFERROR(__xludf.DUMMYFUNCTION("""COMPUTED_VALUE"""),"Victims Targeted")</f>
        <v>Victims Targeted</v>
      </c>
      <c r="Y22" s="1" t="str">
        <f ca="1">IFERROR(__xludf.DUMMYFUNCTION("""COMPUTED_VALUE"""),"No")</f>
        <v>No</v>
      </c>
      <c r="Z22" s="1"/>
      <c r="AA22" s="1" t="str">
        <f ca="1">IFERROR(__xludf.DUMMYFUNCTION("""COMPUTED_VALUE"""),"No")</f>
        <v>No</v>
      </c>
      <c r="AB22" s="1" t="str">
        <f ca="1">IFERROR(__xludf.DUMMYFUNCTION("""COMPUTED_VALUE"""),"No")</f>
        <v>No</v>
      </c>
      <c r="AC22" s="1" t="str">
        <f ca="1">IFERROR(__xludf.DUMMYFUNCTION("""COMPUTED_VALUE"""),"No")</f>
        <v>No</v>
      </c>
      <c r="AD22" s="1" t="str">
        <f ca="1">IFERROR(__xludf.DUMMYFUNCTION("""COMPUTED_VALUE"""),"No")</f>
        <v>No</v>
      </c>
      <c r="AE22" s="1" t="str">
        <f ca="1">IFERROR(__xludf.DUMMYFUNCTION("""COMPUTED_VALUE"""),"No")</f>
        <v>No</v>
      </c>
      <c r="AF22" s="1" t="str">
        <f ca="1">IFERROR(__xludf.DUMMYFUNCTION("""COMPUTED_VALUE"""),"No")</f>
        <v>No</v>
      </c>
      <c r="AG22" s="1" t="str">
        <f ca="1">IFERROR(__xludf.DUMMYFUNCTION("""COMPUTED_VALUE"""),"No")</f>
        <v>No</v>
      </c>
      <c r="AH22" s="1">
        <f ca="1">IFERROR(__xludf.DUMMYFUNCTION("""COMPUTED_VALUE"""),0)</f>
        <v>0</v>
      </c>
    </row>
    <row r="23" spans="1:34" ht="12.5">
      <c r="A23" s="1" t="str">
        <f ca="1">IFERROR(__xludf.DUMMYFUNCTION("""COMPUTED_VALUE"""),"20240302INROR")</f>
        <v>20240302INROR</v>
      </c>
      <c r="B23" s="1">
        <f ca="1">IFERROR(__xludf.DUMMYFUNCTION("""COMPUTED_VALUE"""),3)</f>
        <v>3</v>
      </c>
      <c r="C23" s="1">
        <f ca="1">IFERROR(__xludf.DUMMYFUNCTION("""COMPUTED_VALUE"""),2)</f>
        <v>2</v>
      </c>
      <c r="D23" s="1">
        <f ca="1">IFERROR(__xludf.DUMMYFUNCTION("""COMPUTED_VALUE"""),2024)</f>
        <v>2024</v>
      </c>
      <c r="E23" s="4">
        <f ca="1">IFERROR(__xludf.DUMMYFUNCTION("""COMPUTED_VALUE"""),45353)</f>
        <v>45353</v>
      </c>
      <c r="F23" s="1" t="str">
        <f ca="1">IFERROR(__xludf.DUMMYFUNCTION("""COMPUTED_VALUE"""),"Rochester Community High School")</f>
        <v>Rochester Community High School</v>
      </c>
      <c r="G23" s="1">
        <f ca="1">IFERROR(__xludf.DUMMYFUNCTION("""COMPUTED_VALUE"""),0)</f>
        <v>0</v>
      </c>
      <c r="H23" s="1">
        <f ca="1">IFERROR(__xludf.DUMMYFUNCTION("""COMPUTED_VALUE"""),0)</f>
        <v>0</v>
      </c>
      <c r="I23" s="1">
        <f ca="1">IFERROR(__xludf.DUMMYFUNCTION("""COMPUTED_VALUE"""),0)</f>
        <v>0</v>
      </c>
      <c r="J23" s="1">
        <f ca="1">IFERROR(__xludf.DUMMYFUNCTION("""COMPUTED_VALUE"""),0)</f>
        <v>0</v>
      </c>
      <c r="K23" s="1" t="str">
        <f ca="1">IFERROR(__xludf.DUMMYFUNCTION("""COMPUTED_VALUE"""),"Spring")</f>
        <v>Spring</v>
      </c>
      <c r="L23" s="1" t="str">
        <f ca="1">IFERROR(__xludf.DUMMYFUNCTION("""COMPUTED_VALUE"""),"Rochester")</f>
        <v>Rochester</v>
      </c>
      <c r="M23" s="1" t="str">
        <f ca="1">IFERROR(__xludf.DUMMYFUNCTION("""COMPUTED_VALUE"""),"IN")</f>
        <v>IN</v>
      </c>
      <c r="N23" s="1" t="str">
        <f ca="1">IFERROR(__xludf.DUMMYFUNCTION("""COMPUTED_VALUE"""),"High")</f>
        <v>High</v>
      </c>
      <c r="O23" s="1" t="str">
        <f ca="1">IFERROR(__xludf.DUMMYFUNCTION("""COMPUTED_VALUE"""),"Gym")</f>
        <v>Gym</v>
      </c>
      <c r="P23" s="1" t="str">
        <f ca="1">IFERROR(__xludf.DUMMYFUNCTION("""COMPUTED_VALUE"""),"Inside School Building")</f>
        <v>Inside School Building</v>
      </c>
      <c r="Q23" s="1" t="str">
        <f ca="1">IFERROR(__xludf.DUMMYFUNCTION("""COMPUTED_VALUE"""),"No")</f>
        <v>No</v>
      </c>
      <c r="R23" s="1" t="str">
        <f ca="1">IFERROR(__xludf.DUMMYFUNCTION("""COMPUTED_VALUE"""),"Sport Event")</f>
        <v>Sport Event</v>
      </c>
      <c r="S23" s="1"/>
      <c r="T23" s="1">
        <f ca="1">IFERROR(__xludf.DUMMYFUNCTION("""COMPUTED_VALUE"""),1)</f>
        <v>1</v>
      </c>
      <c r="U23" s="1" t="str">
        <f ca="1">IFERROR(__xludf.DUMMYFUNCTION("""COMPUTED_VALUE"""),"Man accidentally fired during inside gym during wrestling tournament")</f>
        <v>Man accidentally fired during inside gym during wrestling tournament</v>
      </c>
      <c r="V23" s="1" t="str">
        <f ca="1">IFERROR(__xludf.DUMMYFUNCTION("""COMPUTED_VALUE"""),"A Bremen man was arrested when a gun he had in his possession went off during a wrestling tournament at Rochester High School. Thr incident happened on Saturday afternoon, March 2, during the tournament with athletes, coaches and families in attendance fr"&amp;"om nearly a dozen area school corporations. Scott Yeager, 44, was found to be in possession of two loaded handguns in his backpack, according to the Fulton County Sheriff’s Office. Authorities believe Yeager negligently discharged the firearm. Yeager was "&amp;"also in possession of illegal narcotics and a knife, police stated.")</f>
        <v>A Bremen man was arrested when a gun he had in his possession went off during a wrestling tournament at Rochester High School. Thr incident happened on Saturday afternoon, March 2, during the tournament with athletes, coaches and families in attendance from nearly a dozen area school corporations. Scott Yeager, 44, was found to be in possession of two loaded handguns in his backpack, according to the Fulton County Sheriff’s Office. Authorities believe Yeager negligently discharged the firearm. Yeager was also in possession of illegal narcotics and a knife, police stated.</v>
      </c>
      <c r="W23" s="1" t="str">
        <f ca="1">IFERROR(__xludf.DUMMYFUNCTION("""COMPUTED_VALUE"""),"Accidental")</f>
        <v>Accidental</v>
      </c>
      <c r="X23" s="1" t="str">
        <f ca="1">IFERROR(__xludf.DUMMYFUNCTION("""COMPUTED_VALUE"""),"Neither")</f>
        <v>Neither</v>
      </c>
      <c r="Y23" s="1" t="str">
        <f ca="1">IFERROR(__xludf.DUMMYFUNCTION("""COMPUTED_VALUE"""),"No")</f>
        <v>No</v>
      </c>
      <c r="Z23" s="1"/>
      <c r="AA23" s="1" t="str">
        <f ca="1">IFERROR(__xludf.DUMMYFUNCTION("""COMPUTED_VALUE"""),"No")</f>
        <v>No</v>
      </c>
      <c r="AB23" s="1" t="str">
        <f ca="1">IFERROR(__xludf.DUMMYFUNCTION("""COMPUTED_VALUE"""),"No")</f>
        <v>No</v>
      </c>
      <c r="AC23" s="1" t="str">
        <f ca="1">IFERROR(__xludf.DUMMYFUNCTION("""COMPUTED_VALUE"""),"No")</f>
        <v>No</v>
      </c>
      <c r="AD23" s="1" t="str">
        <f ca="1">IFERROR(__xludf.DUMMYFUNCTION("""COMPUTED_VALUE"""),"No")</f>
        <v>No</v>
      </c>
      <c r="AE23" s="1" t="str">
        <f ca="1">IFERROR(__xludf.DUMMYFUNCTION("""COMPUTED_VALUE"""),"No")</f>
        <v>No</v>
      </c>
      <c r="AF23" s="1" t="str">
        <f ca="1">IFERROR(__xludf.DUMMYFUNCTION("""COMPUTED_VALUE"""),"No")</f>
        <v>No</v>
      </c>
      <c r="AG23" s="1" t="str">
        <f ca="1">IFERROR(__xludf.DUMMYFUNCTION("""COMPUTED_VALUE"""),"No")</f>
        <v>No</v>
      </c>
      <c r="AH23" s="1">
        <f ca="1">IFERROR(__xludf.DUMMYFUNCTION("""COMPUTED_VALUE"""),1)</f>
        <v>1</v>
      </c>
    </row>
    <row r="24" spans="1:34" ht="12.5">
      <c r="A24" s="1" t="str">
        <f ca="1">IFERROR(__xludf.DUMMYFUNCTION("""COMPUTED_VALUE"""),"20240302MONOK")</f>
        <v>20240302MONOK</v>
      </c>
      <c r="B24" s="1">
        <f ca="1">IFERROR(__xludf.DUMMYFUNCTION("""COMPUTED_VALUE"""),3)</f>
        <v>3</v>
      </c>
      <c r="C24" s="1">
        <f ca="1">IFERROR(__xludf.DUMMYFUNCTION("""COMPUTED_VALUE"""),2)</f>
        <v>2</v>
      </c>
      <c r="D24" s="1">
        <f ca="1">IFERROR(__xludf.DUMMYFUNCTION("""COMPUTED_VALUE"""),2024)</f>
        <v>2024</v>
      </c>
      <c r="E24" s="4">
        <f ca="1">IFERROR(__xludf.DUMMYFUNCTION("""COMPUTED_VALUE"""),45353)</f>
        <v>45353</v>
      </c>
      <c r="F24" s="1" t="str">
        <f ca="1">IFERROR(__xludf.DUMMYFUNCTION("""COMPUTED_VALUE"""),"North Kansas City High School")</f>
        <v>North Kansas City High School</v>
      </c>
      <c r="G24" s="1">
        <f ca="1">IFERROR(__xludf.DUMMYFUNCTION("""COMPUTED_VALUE"""),0)</f>
        <v>0</v>
      </c>
      <c r="H24" s="1">
        <f ca="1">IFERROR(__xludf.DUMMYFUNCTION("""COMPUTED_VALUE"""),2)</f>
        <v>2</v>
      </c>
      <c r="I24" s="1">
        <f ca="1">IFERROR(__xludf.DUMMYFUNCTION("""COMPUTED_VALUE"""),2)</f>
        <v>2</v>
      </c>
      <c r="J24" s="1">
        <f ca="1">IFERROR(__xludf.DUMMYFUNCTION("""COMPUTED_VALUE"""),0)</f>
        <v>0</v>
      </c>
      <c r="K24" s="1" t="str">
        <f ca="1">IFERROR(__xludf.DUMMYFUNCTION("""COMPUTED_VALUE"""),"Spring")</f>
        <v>Spring</v>
      </c>
      <c r="L24" s="1" t="str">
        <f ca="1">IFERROR(__xludf.DUMMYFUNCTION("""COMPUTED_VALUE"""),"Kansas City")</f>
        <v>Kansas City</v>
      </c>
      <c r="M24" s="1" t="str">
        <f ca="1">IFERROR(__xludf.DUMMYFUNCTION("""COMPUTED_VALUE"""),"MO")</f>
        <v>MO</v>
      </c>
      <c r="N24" s="1" t="str">
        <f ca="1">IFERROR(__xludf.DUMMYFUNCTION("""COMPUTED_VALUE"""),"High")</f>
        <v>High</v>
      </c>
      <c r="O24" s="1" t="str">
        <f ca="1">IFERROR(__xludf.DUMMYFUNCTION("""COMPUTED_VALUE"""),"Beside Building")</f>
        <v>Beside Building</v>
      </c>
      <c r="P24" s="1" t="str">
        <f ca="1">IFERROR(__xludf.DUMMYFUNCTION("""COMPUTED_VALUE"""),"Outside on School Property")</f>
        <v>Outside on School Property</v>
      </c>
      <c r="Q24" s="1" t="str">
        <f ca="1">IFERROR(__xludf.DUMMYFUNCTION("""COMPUTED_VALUE"""),"No")</f>
        <v>No</v>
      </c>
      <c r="R24" s="1" t="str">
        <f ca="1">IFERROR(__xludf.DUMMYFUNCTION("""COMPUTED_VALUE"""),"Sport Event")</f>
        <v>Sport Event</v>
      </c>
      <c r="S24" s="5">
        <f ca="1">IFERROR(__xludf.DUMMYFUNCTION("""COMPUTED_VALUE"""),0.864583333333333)</f>
        <v>0.86458333333333304</v>
      </c>
      <c r="T24" s="1">
        <f ca="1">IFERROR(__xludf.DUMMYFUNCTION("""COMPUTED_VALUE"""),1)</f>
        <v>1</v>
      </c>
      <c r="U24" s="1" t="str">
        <f ca="1">IFERROR(__xludf.DUMMYFUNCTION("""COMPUTED_VALUE"""),"Two student shot outside gym during high school basketball game")</f>
        <v>Two student shot outside gym during high school basketball game</v>
      </c>
      <c r="V24" s="1" t="str">
        <f ca="1">IFERROR(__xludf.DUMMYFUNCTION("""COMPUTED_VALUE"""),"Two people, including a juvenile, were injured in a shooting as a basketball game between North Kansas City High School and Staley High School was ending, officials said. The shooting occurred outside of the school building near the fieldhouse, said Sgt. "&amp;"Christopher Kimmel with the North Kansas City Police Department.")</f>
        <v>Two people, including a juvenile, were injured in a shooting as a basketball game between North Kansas City High School and Staley High School was ending, officials said. The shooting occurred outside of the school building near the fieldhouse, said Sgt. Christopher Kimmel with the North Kansas City Police Department.</v>
      </c>
      <c r="W24" s="1" t="str">
        <f ca="1">IFERROR(__xludf.DUMMYFUNCTION("""COMPUTED_VALUE"""),"Escalation of Dispute")</f>
        <v>Escalation of Dispute</v>
      </c>
      <c r="X24" s="1" t="str">
        <f ca="1">IFERROR(__xludf.DUMMYFUNCTION("""COMPUTED_VALUE"""),"Both")</f>
        <v>Both</v>
      </c>
      <c r="Y24" s="1" t="str">
        <f ca="1">IFERROR(__xludf.DUMMYFUNCTION("""COMPUTED_VALUE"""),"No")</f>
        <v>No</v>
      </c>
      <c r="Z24" s="1"/>
      <c r="AA24" s="1" t="str">
        <f ca="1">IFERROR(__xludf.DUMMYFUNCTION("""COMPUTED_VALUE"""),"No")</f>
        <v>No</v>
      </c>
      <c r="AB24" s="1" t="str">
        <f ca="1">IFERROR(__xludf.DUMMYFUNCTION("""COMPUTED_VALUE"""),"No")</f>
        <v>No</v>
      </c>
      <c r="AC24" s="1" t="str">
        <f ca="1">IFERROR(__xludf.DUMMYFUNCTION("""COMPUTED_VALUE"""),"No")</f>
        <v>No</v>
      </c>
      <c r="AD24" s="1" t="str">
        <f ca="1">IFERROR(__xludf.DUMMYFUNCTION("""COMPUTED_VALUE"""),"No")</f>
        <v>No</v>
      </c>
      <c r="AE24" s="1" t="str">
        <f ca="1">IFERROR(__xludf.DUMMYFUNCTION("""COMPUTED_VALUE"""),"No")</f>
        <v>No</v>
      </c>
      <c r="AF24" s="1"/>
      <c r="AG24" s="1" t="str">
        <f ca="1">IFERROR(__xludf.DUMMYFUNCTION("""COMPUTED_VALUE"""),"No")</f>
        <v>No</v>
      </c>
      <c r="AH24" s="1">
        <f ca="1">IFERROR(__xludf.DUMMYFUNCTION("""COMPUTED_VALUE"""),50)</f>
        <v>50</v>
      </c>
    </row>
    <row r="25" spans="1:34" ht="12.5">
      <c r="A25" s="1" t="str">
        <f ca="1">IFERROR(__xludf.DUMMYFUNCTION("""COMPUTED_VALUE"""),"20240301LACAC")</f>
        <v>20240301LACAC</v>
      </c>
      <c r="B25" s="1">
        <f ca="1">IFERROR(__xludf.DUMMYFUNCTION("""COMPUTED_VALUE"""),3)</f>
        <v>3</v>
      </c>
      <c r="C25" s="1">
        <f ca="1">IFERROR(__xludf.DUMMYFUNCTION("""COMPUTED_VALUE"""),1)</f>
        <v>1</v>
      </c>
      <c r="D25" s="1">
        <f ca="1">IFERROR(__xludf.DUMMYFUNCTION("""COMPUTED_VALUE"""),2024)</f>
        <v>2024</v>
      </c>
      <c r="E25" s="4">
        <f ca="1">IFERROR(__xludf.DUMMYFUNCTION("""COMPUTED_VALUE"""),45352)</f>
        <v>45352</v>
      </c>
      <c r="F25" s="1" t="str">
        <f ca="1">IFERROR(__xludf.DUMMYFUNCTION("""COMPUTED_VALUE"""),"Carencro High School")</f>
        <v>Carencro High School</v>
      </c>
      <c r="G25" s="1">
        <f ca="1">IFERROR(__xludf.DUMMYFUNCTION("""COMPUTED_VALUE"""),1)</f>
        <v>1</v>
      </c>
      <c r="H25" s="1">
        <f ca="1">IFERROR(__xludf.DUMMYFUNCTION("""COMPUTED_VALUE"""),0)</f>
        <v>0</v>
      </c>
      <c r="I25" s="1">
        <f ca="1">IFERROR(__xludf.DUMMYFUNCTION("""COMPUTED_VALUE"""),1)</f>
        <v>1</v>
      </c>
      <c r="J25" s="1">
        <f ca="1">IFERROR(__xludf.DUMMYFUNCTION("""COMPUTED_VALUE"""),0)</f>
        <v>0</v>
      </c>
      <c r="K25" s="1" t="str">
        <f ca="1">IFERROR(__xludf.DUMMYFUNCTION("""COMPUTED_VALUE"""),"Spring")</f>
        <v>Spring</v>
      </c>
      <c r="L25" s="1" t="str">
        <f ca="1">IFERROR(__xludf.DUMMYFUNCTION("""COMPUTED_VALUE"""),"Carencro")</f>
        <v>Carencro</v>
      </c>
      <c r="M25" s="1" t="str">
        <f ca="1">IFERROR(__xludf.DUMMYFUNCTION("""COMPUTED_VALUE"""),"LA")</f>
        <v>LA</v>
      </c>
      <c r="N25" s="1" t="str">
        <f ca="1">IFERROR(__xludf.DUMMYFUNCTION("""COMPUTED_VALUE"""),"High")</f>
        <v>High</v>
      </c>
      <c r="O25" s="1" t="str">
        <f ca="1">IFERROR(__xludf.DUMMYFUNCTION("""COMPUTED_VALUE"""),"School Bus")</f>
        <v>School Bus</v>
      </c>
      <c r="P25" s="1" t="str">
        <f ca="1">IFERROR(__xludf.DUMMYFUNCTION("""COMPUTED_VALUE"""),"School Bus")</f>
        <v>School Bus</v>
      </c>
      <c r="Q25" s="1" t="str">
        <f ca="1">IFERROR(__xludf.DUMMYFUNCTION("""COMPUTED_VALUE"""),"Yes")</f>
        <v>Yes</v>
      </c>
      <c r="R25" s="1" t="str">
        <f ca="1">IFERROR(__xludf.DUMMYFUNCTION("""COMPUTED_VALUE"""),"Dismissal")</f>
        <v>Dismissal</v>
      </c>
      <c r="S25" s="5">
        <f ca="1">IFERROR(__xludf.DUMMYFUNCTION("""COMPUTED_VALUE"""),0.625)</f>
        <v>0.625</v>
      </c>
      <c r="T25" s="1">
        <f ca="1">IFERROR(__xludf.DUMMYFUNCTION("""COMPUTED_VALUE"""),1)</f>
        <v>1</v>
      </c>
      <c r="U25" s="1" t="str">
        <f ca="1">IFERROR(__xludf.DUMMYFUNCTION("""COMPUTED_VALUE"""),"Student was fatally shot while getting off school bus")</f>
        <v>Student was fatally shot while getting off school bus</v>
      </c>
      <c r="V25" s="1" t="str">
        <f ca="1">IFERROR(__xludf.DUMMYFUNCTION("""COMPUTED_VALUE"""),"A Carencro teen has died after he was shot while getting off a school bus this afternoon, authorities say. The shooting happened around 3 p.m. in the 200 block of Bradford Drive, according to the Lafayette Parish Sheriff’s Office. The victim, Carencro Hig"&amp;"h School student Jaylon Joiner, 18, was brought to an area hospital, where he later died from his injuries, according to the sheriff’s office. Investigators believe several people were involved in the shooting.")</f>
        <v>A Carencro teen has died after he was shot while getting off a school bus this afternoon, authorities say. The shooting happened around 3 p.m. in the 200 block of Bradford Drive, according to the Lafayette Parish Sheriff’s Office. The victim, Carencro High School student Jaylon Joiner, 18, was brought to an area hospital, where he later died from his injuries, according to the sheriff’s office. Investigators believe several people were involved in the shooting.</v>
      </c>
      <c r="W25" s="1" t="str">
        <f ca="1">IFERROR(__xludf.DUMMYFUNCTION("""COMPUTED_VALUE"""),"Murder/Assassination")</f>
        <v>Murder/Assassination</v>
      </c>
      <c r="X25" s="1" t="str">
        <f ca="1">IFERROR(__xludf.DUMMYFUNCTION("""COMPUTED_VALUE"""),"Victims Targeted")</f>
        <v>Victims Targeted</v>
      </c>
      <c r="Y25" s="1" t="str">
        <f ca="1">IFERROR(__xludf.DUMMYFUNCTION("""COMPUTED_VALUE"""),"No")</f>
        <v>No</v>
      </c>
      <c r="Z25" s="1"/>
      <c r="AA25" s="1" t="str">
        <f ca="1">IFERROR(__xludf.DUMMYFUNCTION("""COMPUTED_VALUE"""),"No")</f>
        <v>No</v>
      </c>
      <c r="AB25" s="1" t="str">
        <f ca="1">IFERROR(__xludf.DUMMYFUNCTION("""COMPUTED_VALUE"""),"No")</f>
        <v>No</v>
      </c>
      <c r="AC25" s="1" t="str">
        <f ca="1">IFERROR(__xludf.DUMMYFUNCTION("""COMPUTED_VALUE"""),"No")</f>
        <v>No</v>
      </c>
      <c r="AD25" s="1" t="str">
        <f ca="1">IFERROR(__xludf.DUMMYFUNCTION("""COMPUTED_VALUE"""),"No")</f>
        <v>No</v>
      </c>
      <c r="AE25" s="1" t="str">
        <f ca="1">IFERROR(__xludf.DUMMYFUNCTION("""COMPUTED_VALUE"""),"No")</f>
        <v>No</v>
      </c>
      <c r="AF25" s="1"/>
      <c r="AG25" s="1" t="str">
        <f ca="1">IFERROR(__xludf.DUMMYFUNCTION("""COMPUTED_VALUE"""),"No")</f>
        <v>No</v>
      </c>
      <c r="AH25" s="1">
        <f ca="1">IFERROR(__xludf.DUMMYFUNCTION("""COMPUTED_VALUE"""),99)</f>
        <v>99</v>
      </c>
    </row>
    <row r="26" spans="1:34" ht="12.5">
      <c r="A26" s="1" t="str">
        <f ca="1">IFERROR(__xludf.DUMMYFUNCTION("""COMPUTED_VALUE"""),"20240229FLFIJ")</f>
        <v>20240229FLFIJ</v>
      </c>
      <c r="B26" s="1">
        <f ca="1">IFERROR(__xludf.DUMMYFUNCTION("""COMPUTED_VALUE"""),2)</f>
        <v>2</v>
      </c>
      <c r="C26" s="1">
        <f ca="1">IFERROR(__xludf.DUMMYFUNCTION("""COMPUTED_VALUE"""),29)</f>
        <v>29</v>
      </c>
      <c r="D26" s="1">
        <f ca="1">IFERROR(__xludf.DUMMYFUNCTION("""COMPUTED_VALUE"""),2024)</f>
        <v>2024</v>
      </c>
      <c r="E26" s="4">
        <f ca="1">IFERROR(__xludf.DUMMYFUNCTION("""COMPUTED_VALUE"""),45351)</f>
        <v>45351</v>
      </c>
      <c r="F26" s="1" t="str">
        <f ca="1">IFERROR(__xludf.DUMMYFUNCTION("""COMPUTED_VALUE"""),"First Coast High School")</f>
        <v>First Coast High School</v>
      </c>
      <c r="G26" s="1">
        <f ca="1">IFERROR(__xludf.DUMMYFUNCTION("""COMPUTED_VALUE"""),0)</f>
        <v>0</v>
      </c>
      <c r="H26" s="1">
        <f ca="1">IFERROR(__xludf.DUMMYFUNCTION("""COMPUTED_VALUE"""),0)</f>
        <v>0</v>
      </c>
      <c r="I26" s="1">
        <f ca="1">IFERROR(__xludf.DUMMYFUNCTION("""COMPUTED_VALUE"""),0)</f>
        <v>0</v>
      </c>
      <c r="J26" s="1">
        <f ca="1">IFERROR(__xludf.DUMMYFUNCTION("""COMPUTED_VALUE"""),0)</f>
        <v>0</v>
      </c>
      <c r="K26" s="1" t="str">
        <f ca="1">IFERROR(__xludf.DUMMYFUNCTION("""COMPUTED_VALUE"""),"Winter")</f>
        <v>Winter</v>
      </c>
      <c r="L26" s="1" t="str">
        <f ca="1">IFERROR(__xludf.DUMMYFUNCTION("""COMPUTED_VALUE"""),"Jacksonville")</f>
        <v>Jacksonville</v>
      </c>
      <c r="M26" s="1" t="str">
        <f ca="1">IFERROR(__xludf.DUMMYFUNCTION("""COMPUTED_VALUE"""),"FL")</f>
        <v>FL</v>
      </c>
      <c r="N26" s="1" t="str">
        <f ca="1">IFERROR(__xludf.DUMMYFUNCTION("""COMPUTED_VALUE"""),"High")</f>
        <v>High</v>
      </c>
      <c r="O26" s="1" t="str">
        <f ca="1">IFERROR(__xludf.DUMMYFUNCTION("""COMPUTED_VALUE"""),"Parking Lot")</f>
        <v>Parking Lot</v>
      </c>
      <c r="P26" s="1" t="str">
        <f ca="1">IFERROR(__xludf.DUMMYFUNCTION("""COMPUTED_VALUE"""),"Outside on School Property")</f>
        <v>Outside on School Property</v>
      </c>
      <c r="Q26" s="1" t="str">
        <f ca="1">IFERROR(__xludf.DUMMYFUNCTION("""COMPUTED_VALUE"""),"No")</f>
        <v>No</v>
      </c>
      <c r="R26" s="1" t="str">
        <f ca="1">IFERROR(__xludf.DUMMYFUNCTION("""COMPUTED_VALUE"""),"Sport Event")</f>
        <v>Sport Event</v>
      </c>
      <c r="S26" s="5">
        <f ca="1">IFERROR(__xludf.DUMMYFUNCTION("""COMPUTED_VALUE"""),0.875)</f>
        <v>0.875</v>
      </c>
      <c r="T26" s="1">
        <f ca="1">IFERROR(__xludf.DUMMYFUNCTION("""COMPUTED_VALUE"""),1)</f>
        <v>1</v>
      </c>
      <c r="U26" s="1" t="str">
        <f ca="1">IFERROR(__xludf.DUMMYFUNCTION("""COMPUTED_VALUE"""),"Student fired shots during fight after basketball game")</f>
        <v>Student fired shots during fight after basketball game</v>
      </c>
      <c r="V26" s="1" t="str">
        <f ca="1">IFERROR(__xludf.DUMMYFUNCTION("""COMPUTED_VALUE"""),"Middle school basketball championships were played at First Coast High School on Thursday; after the games around 9 p.m., an argument in the parking lot led to gunfire with a car being shot. Four people were questioned by officers and a police report obta"&amp;"ined by Action News Jax shows one person said they had been targeted for trouble. After being told to leave by security, the report said a car drove near them and that’s when a gunshot went off.")</f>
        <v>Middle school basketball championships were played at First Coast High School on Thursday; after the games around 9 p.m., an argument in the parking lot led to gunfire with a car being shot. Four people were questioned by officers and a police report obtained by Action News Jax shows one person said they had been targeted for trouble. After being told to leave by security, the report said a car drove near them and that’s when a gunshot went off.</v>
      </c>
      <c r="W26" s="1" t="str">
        <f ca="1">IFERROR(__xludf.DUMMYFUNCTION("""COMPUTED_VALUE"""),"Escalation of Dispute")</f>
        <v>Escalation of Dispute</v>
      </c>
      <c r="X26" s="1" t="str">
        <f ca="1">IFERROR(__xludf.DUMMYFUNCTION("""COMPUTED_VALUE"""),"Victims Targeted")</f>
        <v>Victims Targeted</v>
      </c>
      <c r="Y26" s="1" t="str">
        <f ca="1">IFERROR(__xludf.DUMMYFUNCTION("""COMPUTED_VALUE"""),"No")</f>
        <v>No</v>
      </c>
      <c r="Z26" s="1"/>
      <c r="AA26" s="1" t="str">
        <f ca="1">IFERROR(__xludf.DUMMYFUNCTION("""COMPUTED_VALUE"""),"No")</f>
        <v>No</v>
      </c>
      <c r="AB26" s="1" t="str">
        <f ca="1">IFERROR(__xludf.DUMMYFUNCTION("""COMPUTED_VALUE"""),"No")</f>
        <v>No</v>
      </c>
      <c r="AC26" s="1" t="str">
        <f ca="1">IFERROR(__xludf.DUMMYFUNCTION("""COMPUTED_VALUE"""),"No")</f>
        <v>No</v>
      </c>
      <c r="AD26" s="1" t="str">
        <f ca="1">IFERROR(__xludf.DUMMYFUNCTION("""COMPUTED_VALUE"""),"No")</f>
        <v>No</v>
      </c>
      <c r="AE26" s="1" t="str">
        <f ca="1">IFERROR(__xludf.DUMMYFUNCTION("""COMPUTED_VALUE"""),"No")</f>
        <v>No</v>
      </c>
      <c r="AF26" s="1" t="str">
        <f ca="1">IFERROR(__xludf.DUMMYFUNCTION("""COMPUTED_VALUE"""),"No")</f>
        <v>No</v>
      </c>
      <c r="AG26" s="1" t="str">
        <f ca="1">IFERROR(__xludf.DUMMYFUNCTION("""COMPUTED_VALUE"""),"No")</f>
        <v>No</v>
      </c>
      <c r="AH26" s="1">
        <f ca="1">IFERROR(__xludf.DUMMYFUNCTION("""COMPUTED_VALUE"""),1)</f>
        <v>1</v>
      </c>
    </row>
    <row r="27" spans="1:34" ht="12.5">
      <c r="A27" s="1" t="str">
        <f ca="1">IFERROR(__xludf.DUMMYFUNCTION("""COMPUTED_VALUE"""),"20240228NCWAG")</f>
        <v>20240228NCWAG</v>
      </c>
      <c r="B27" s="1">
        <f ca="1">IFERROR(__xludf.DUMMYFUNCTION("""COMPUTED_VALUE"""),2)</f>
        <v>2</v>
      </c>
      <c r="C27" s="1">
        <f ca="1">IFERROR(__xludf.DUMMYFUNCTION("""COMPUTED_VALUE"""),28)</f>
        <v>28</v>
      </c>
      <c r="D27" s="1">
        <f ca="1">IFERROR(__xludf.DUMMYFUNCTION("""COMPUTED_VALUE"""),2024)</f>
        <v>2024</v>
      </c>
      <c r="E27" s="4">
        <f ca="1">IFERROR(__xludf.DUMMYFUNCTION("""COMPUTED_VALUE"""),45350)</f>
        <v>45350</v>
      </c>
      <c r="F27" s="1" t="str">
        <f ca="1">IFERROR(__xludf.DUMMYFUNCTION("""COMPUTED_VALUE"""),"Wahl-Coates Elementary School")</f>
        <v>Wahl-Coates Elementary School</v>
      </c>
      <c r="G27" s="1">
        <f ca="1">IFERROR(__xludf.DUMMYFUNCTION("""COMPUTED_VALUE"""),0)</f>
        <v>0</v>
      </c>
      <c r="H27" s="1">
        <f ca="1">IFERROR(__xludf.DUMMYFUNCTION("""COMPUTED_VALUE"""),1)</f>
        <v>1</v>
      </c>
      <c r="I27" s="1">
        <f ca="1">IFERROR(__xludf.DUMMYFUNCTION("""COMPUTED_VALUE"""),1)</f>
        <v>1</v>
      </c>
      <c r="J27" s="1">
        <f ca="1">IFERROR(__xludf.DUMMYFUNCTION("""COMPUTED_VALUE"""),0)</f>
        <v>0</v>
      </c>
      <c r="K27" s="1" t="str">
        <f ca="1">IFERROR(__xludf.DUMMYFUNCTION("""COMPUTED_VALUE"""),"Winter")</f>
        <v>Winter</v>
      </c>
      <c r="L27" s="1" t="str">
        <f ca="1">IFERROR(__xludf.DUMMYFUNCTION("""COMPUTED_VALUE"""),"Greenville")</f>
        <v>Greenville</v>
      </c>
      <c r="M27" s="1" t="str">
        <f ca="1">IFERROR(__xludf.DUMMYFUNCTION("""COMPUTED_VALUE"""),"NC")</f>
        <v>NC</v>
      </c>
      <c r="N27" s="1" t="str">
        <f ca="1">IFERROR(__xludf.DUMMYFUNCTION("""COMPUTED_VALUE"""),"Elementary")</f>
        <v>Elementary</v>
      </c>
      <c r="O27" s="1" t="str">
        <f ca="1">IFERROR(__xludf.DUMMYFUNCTION("""COMPUTED_VALUE"""),"Front of School")</f>
        <v>Front of School</v>
      </c>
      <c r="P27" s="1" t="str">
        <f ca="1">IFERROR(__xludf.DUMMYFUNCTION("""COMPUTED_VALUE"""),"Outside on School Property")</f>
        <v>Outside on School Property</v>
      </c>
      <c r="Q27" s="1" t="str">
        <f ca="1">IFERROR(__xludf.DUMMYFUNCTION("""COMPUTED_VALUE"""),"Yes")</f>
        <v>Yes</v>
      </c>
      <c r="R27" s="1" t="str">
        <f ca="1">IFERROR(__xludf.DUMMYFUNCTION("""COMPUTED_VALUE"""),"School Start")</f>
        <v>School Start</v>
      </c>
      <c r="S27" s="5">
        <f ca="1">IFERROR(__xludf.DUMMYFUNCTION("""COMPUTED_VALUE"""),0.354166666666666)</f>
        <v>0.35416666666666602</v>
      </c>
      <c r="T27" s="1">
        <f ca="1">IFERROR(__xludf.DUMMYFUNCTION("""COMPUTED_VALUE"""),1)</f>
        <v>1</v>
      </c>
      <c r="U27" s="1" t="str">
        <f ca="1">IFERROR(__xludf.DUMMYFUNCTION("""COMPUTED_VALUE"""),"Man on bike shot a man walking on the sidewalk in front of the school 5 times then fled, SRO heard shots and locked down school")</f>
        <v>Man on bike shot a man walking on the sidewalk in front of the school 5 times then fled, SRO heard shots and locked down school</v>
      </c>
      <c r="V27" s="1" t="str">
        <f ca="1">IFERROR(__xludf.DUMMYFUNCTION("""COMPUTED_VALUE"""),"A man shot an East Carolina University scientist in what the Greenville Chief of Police said was an unprovoked attack near an elementary school Wednesday morning. Chief Ted Sauls said the shooting took place on East Fifth Street in front of Wahl-Coates El"&amp;"ementary School at about 8:30 a.m. ""A school resource officer at Wahl-Coates heard a report outside of shots fired; employees inside the school heard it as well and contacted the SRO,” Sauls said, “The SRO is actually how we received our call. So, that s"&amp;"chool went on immediate lockdown.” St. Peter Catholic School, about a block away from the scene, was also put on a modified lockdown. Man fired shots a police when they attempted to stop him.")</f>
        <v>A man shot an East Carolina University scientist in what the Greenville Chief of Police said was an unprovoked attack near an elementary school Wednesday morning. Chief Ted Sauls said the shooting took place on East Fifth Street in front of Wahl-Coates Elementary School at about 8:30 a.m. "A school resource officer at Wahl-Coates heard a report outside of shots fired; employees inside the school heard it as well and contacted the SRO,” Sauls said, “The SRO is actually how we received our call. So, that school went on immediate lockdown.” St. Peter Catholic School, about a block away from the scene, was also put on a modified lockdown. Man fired shots a police when they attempted to stop him.</v>
      </c>
      <c r="W27" s="1"/>
      <c r="X27" s="1" t="str">
        <f ca="1">IFERROR(__xludf.DUMMYFUNCTION("""COMPUTED_VALUE"""),"Victims Targeted")</f>
        <v>Victims Targeted</v>
      </c>
      <c r="Y27" s="1" t="str">
        <f ca="1">IFERROR(__xludf.DUMMYFUNCTION("""COMPUTED_VALUE"""),"No")</f>
        <v>No</v>
      </c>
      <c r="Z27" s="1"/>
      <c r="AA27" s="1" t="str">
        <f ca="1">IFERROR(__xludf.DUMMYFUNCTION("""COMPUTED_VALUE"""),"No")</f>
        <v>No</v>
      </c>
      <c r="AB27" s="1" t="str">
        <f ca="1">IFERROR(__xludf.DUMMYFUNCTION("""COMPUTED_VALUE"""),"No")</f>
        <v>No</v>
      </c>
      <c r="AC27" s="1" t="str">
        <f ca="1">IFERROR(__xludf.DUMMYFUNCTION("""COMPUTED_VALUE"""),"No")</f>
        <v>No</v>
      </c>
      <c r="AD27" s="1" t="str">
        <f ca="1">IFERROR(__xludf.DUMMYFUNCTION("""COMPUTED_VALUE"""),"No")</f>
        <v>No</v>
      </c>
      <c r="AE27" s="1" t="str">
        <f ca="1">IFERROR(__xludf.DUMMYFUNCTION("""COMPUTED_VALUE"""),"No")</f>
        <v>No</v>
      </c>
      <c r="AF27" s="1" t="str">
        <f ca="1">IFERROR(__xludf.DUMMYFUNCTION("""COMPUTED_VALUE"""),"No")</f>
        <v>No</v>
      </c>
      <c r="AG27" s="1" t="str">
        <f ca="1">IFERROR(__xludf.DUMMYFUNCTION("""COMPUTED_VALUE"""),"No")</f>
        <v>No</v>
      </c>
      <c r="AH27" s="1">
        <f ca="1">IFERROR(__xludf.DUMMYFUNCTION("""COMPUTED_VALUE"""),5)</f>
        <v>5</v>
      </c>
    </row>
    <row r="28" spans="1:34" ht="12.5">
      <c r="A28" s="1" t="str">
        <f ca="1">IFERROR(__xludf.DUMMYFUNCTION("""COMPUTED_VALUE"""),"20240228MEWAW")</f>
        <v>20240228MEWAW</v>
      </c>
      <c r="B28" s="1">
        <f ca="1">IFERROR(__xludf.DUMMYFUNCTION("""COMPUTED_VALUE"""),2)</f>
        <v>2</v>
      </c>
      <c r="C28" s="1">
        <f ca="1">IFERROR(__xludf.DUMMYFUNCTION("""COMPUTED_VALUE"""),28)</f>
        <v>28</v>
      </c>
      <c r="D28" s="1">
        <f ca="1">IFERROR(__xludf.DUMMYFUNCTION("""COMPUTED_VALUE"""),2024)</f>
        <v>2024</v>
      </c>
      <c r="E28" s="4">
        <f ca="1">IFERROR(__xludf.DUMMYFUNCTION("""COMPUTED_VALUE"""),45350)</f>
        <v>45350</v>
      </c>
      <c r="F28" s="1" t="str">
        <f ca="1">IFERROR(__xludf.DUMMYFUNCTION("""COMPUTED_VALUE"""),"Waterville Junior High School")</f>
        <v>Waterville Junior High School</v>
      </c>
      <c r="G28" s="1">
        <f ca="1">IFERROR(__xludf.DUMMYFUNCTION("""COMPUTED_VALUE"""),0)</f>
        <v>0</v>
      </c>
      <c r="H28" s="1">
        <f ca="1">IFERROR(__xludf.DUMMYFUNCTION("""COMPUTED_VALUE"""),0)</f>
        <v>0</v>
      </c>
      <c r="I28" s="1">
        <f ca="1">IFERROR(__xludf.DUMMYFUNCTION("""COMPUTED_VALUE"""),0)</f>
        <v>0</v>
      </c>
      <c r="J28" s="1">
        <f ca="1">IFERROR(__xludf.DUMMYFUNCTION("""COMPUTED_VALUE"""),1)</f>
        <v>1</v>
      </c>
      <c r="K28" s="1" t="str">
        <f ca="1">IFERROR(__xludf.DUMMYFUNCTION("""COMPUTED_VALUE"""),"Winter")</f>
        <v>Winter</v>
      </c>
      <c r="L28" s="1" t="str">
        <f ca="1">IFERROR(__xludf.DUMMYFUNCTION("""COMPUTED_VALUE"""),"Waterville")</f>
        <v>Waterville</v>
      </c>
      <c r="M28" s="1" t="str">
        <f ca="1">IFERROR(__xludf.DUMMYFUNCTION("""COMPUTED_VALUE"""),"ME")</f>
        <v>ME</v>
      </c>
      <c r="N28" s="1" t="str">
        <f ca="1">IFERROR(__xludf.DUMMYFUNCTION("""COMPUTED_VALUE"""),"Middle")</f>
        <v>Middle</v>
      </c>
      <c r="O28" s="1" t="str">
        <f ca="1">IFERROR(__xludf.DUMMYFUNCTION("""COMPUTED_VALUE"""),"Parking Lot (Bus)")</f>
        <v>Parking Lot (Bus)</v>
      </c>
      <c r="P28" s="1" t="str">
        <f ca="1">IFERROR(__xludf.DUMMYFUNCTION("""COMPUTED_VALUE"""),"Outside on School Property")</f>
        <v>Outside on School Property</v>
      </c>
      <c r="Q28" s="1" t="str">
        <f ca="1">IFERROR(__xludf.DUMMYFUNCTION("""COMPUTED_VALUE"""),"No")</f>
        <v>No</v>
      </c>
      <c r="R28" s="1" t="str">
        <f ca="1">IFERROR(__xludf.DUMMYFUNCTION("""COMPUTED_VALUE"""),"Before School")</f>
        <v>Before School</v>
      </c>
      <c r="S28" s="5">
        <f ca="1">IFERROR(__xludf.DUMMYFUNCTION("""COMPUTED_VALUE"""),0.1875)</f>
        <v>0.1875</v>
      </c>
      <c r="T28" s="1">
        <f ca="1">IFERROR(__xludf.DUMMYFUNCTION("""COMPUTED_VALUE"""),1)</f>
        <v>1</v>
      </c>
      <c r="U28" s="1" t="str">
        <f ca="1">IFERROR(__xludf.DUMMYFUNCTION("""COMPUTED_VALUE"""),"Man fatally shot himself while sitting in the driver's seat of a school bus")</f>
        <v>Man fatally shot himself while sitting in the driver's seat of a school bus</v>
      </c>
      <c r="V28" s="1" t="str">
        <f ca="1">IFERROR(__xludf.DUMMYFUNCTION("""COMPUTED_VALUE"""),"Man fatally shot himself while sitting in the driver's seat of a school bus. All schools in the district were closed as a result of the shooting.")</f>
        <v>Man fatally shot himself while sitting in the driver's seat of a school bus. All schools in the district were closed as a result of the shooting.</v>
      </c>
      <c r="W28" s="1" t="str">
        <f ca="1">IFERROR(__xludf.DUMMYFUNCTION("""COMPUTED_VALUE"""),"Suicide/Attempted")</f>
        <v>Suicide/Attempted</v>
      </c>
      <c r="X28" s="1" t="str">
        <f ca="1">IFERROR(__xludf.DUMMYFUNCTION("""COMPUTED_VALUE"""),"Victims Targeted")</f>
        <v>Victims Targeted</v>
      </c>
      <c r="Y28" s="1" t="str">
        <f ca="1">IFERROR(__xludf.DUMMYFUNCTION("""COMPUTED_VALUE"""),"No")</f>
        <v>No</v>
      </c>
      <c r="Z28" s="1"/>
      <c r="AA28" s="1" t="str">
        <f ca="1">IFERROR(__xludf.DUMMYFUNCTION("""COMPUTED_VALUE"""),"No")</f>
        <v>No</v>
      </c>
      <c r="AB28" s="1" t="str">
        <f ca="1">IFERROR(__xludf.DUMMYFUNCTION("""COMPUTED_VALUE"""),"No")</f>
        <v>No</v>
      </c>
      <c r="AC28" s="1" t="str">
        <f ca="1">IFERROR(__xludf.DUMMYFUNCTION("""COMPUTED_VALUE"""),"No")</f>
        <v>No</v>
      </c>
      <c r="AD28" s="1"/>
      <c r="AE28" s="1" t="str">
        <f ca="1">IFERROR(__xludf.DUMMYFUNCTION("""COMPUTED_VALUE"""),"No")</f>
        <v>No</v>
      </c>
      <c r="AF28" s="1" t="str">
        <f ca="1">IFERROR(__xludf.DUMMYFUNCTION("""COMPUTED_VALUE"""),"No")</f>
        <v>No</v>
      </c>
      <c r="AG28" s="1" t="str">
        <f ca="1">IFERROR(__xludf.DUMMYFUNCTION("""COMPUTED_VALUE"""),"No")</f>
        <v>No</v>
      </c>
      <c r="AH28" s="1">
        <f ca="1">IFERROR(__xludf.DUMMYFUNCTION("""COMPUTED_VALUE"""),1)</f>
        <v>1</v>
      </c>
    </row>
    <row r="29" spans="1:34" ht="12.5">
      <c r="A29" s="1" t="str">
        <f ca="1">IFERROR(__xludf.DUMMYFUNCTION("""COMPUTED_VALUE"""),"20240227DESUG")</f>
        <v>20240227DESUG</v>
      </c>
      <c r="B29" s="1">
        <f ca="1">IFERROR(__xludf.DUMMYFUNCTION("""COMPUTED_VALUE"""),2)</f>
        <v>2</v>
      </c>
      <c r="C29" s="1">
        <f ca="1">IFERROR(__xludf.DUMMYFUNCTION("""COMPUTED_VALUE"""),27)</f>
        <v>27</v>
      </c>
      <c r="D29" s="1">
        <f ca="1">IFERROR(__xludf.DUMMYFUNCTION("""COMPUTED_VALUE"""),2024)</f>
        <v>2024</v>
      </c>
      <c r="E29" s="4">
        <f ca="1">IFERROR(__xludf.DUMMYFUNCTION("""COMPUTED_VALUE"""),45349)</f>
        <v>45349</v>
      </c>
      <c r="F29" s="1" t="str">
        <f ca="1">IFERROR(__xludf.DUMMYFUNCTION("""COMPUTED_VALUE"""),"Sussex Central High")</f>
        <v>Sussex Central High</v>
      </c>
      <c r="G29" s="1">
        <f ca="1">IFERROR(__xludf.DUMMYFUNCTION("""COMPUTED_VALUE"""),0)</f>
        <v>0</v>
      </c>
      <c r="H29" s="1">
        <f ca="1">IFERROR(__xludf.DUMMYFUNCTION("""COMPUTED_VALUE"""),0)</f>
        <v>0</v>
      </c>
      <c r="I29" s="1">
        <f ca="1">IFERROR(__xludf.DUMMYFUNCTION("""COMPUTED_VALUE"""),0)</f>
        <v>0</v>
      </c>
      <c r="J29" s="1">
        <f ca="1">IFERROR(__xludf.DUMMYFUNCTION("""COMPUTED_VALUE"""),0)</f>
        <v>0</v>
      </c>
      <c r="K29" s="1" t="str">
        <f ca="1">IFERROR(__xludf.DUMMYFUNCTION("""COMPUTED_VALUE"""),"Winter")</f>
        <v>Winter</v>
      </c>
      <c r="L29" s="1" t="str">
        <f ca="1">IFERROR(__xludf.DUMMYFUNCTION("""COMPUTED_VALUE"""),"Georgetown")</f>
        <v>Georgetown</v>
      </c>
      <c r="M29" s="1" t="str">
        <f ca="1">IFERROR(__xludf.DUMMYFUNCTION("""COMPUTED_VALUE"""),"DE")</f>
        <v>DE</v>
      </c>
      <c r="N29" s="1" t="str">
        <f ca="1">IFERROR(__xludf.DUMMYFUNCTION("""COMPUTED_VALUE"""),"High")</f>
        <v>High</v>
      </c>
      <c r="O29" s="1" t="str">
        <f ca="1">IFERROR(__xludf.DUMMYFUNCTION("""COMPUTED_VALUE"""),"Parking Lot")</f>
        <v>Parking Lot</v>
      </c>
      <c r="P29" s="1" t="str">
        <f ca="1">IFERROR(__xludf.DUMMYFUNCTION("""COMPUTED_VALUE"""),"Outside on School Property")</f>
        <v>Outside on School Property</v>
      </c>
      <c r="Q29" s="1" t="str">
        <f ca="1">IFERROR(__xludf.DUMMYFUNCTION("""COMPUTED_VALUE"""),"No")</f>
        <v>No</v>
      </c>
      <c r="R29" s="1" t="str">
        <f ca="1">IFERROR(__xludf.DUMMYFUNCTION("""COMPUTED_VALUE"""),"Sport Event")</f>
        <v>Sport Event</v>
      </c>
      <c r="S29" s="5">
        <f ca="1">IFERROR(__xludf.DUMMYFUNCTION("""COMPUTED_VALUE"""),0.875)</f>
        <v>0.875</v>
      </c>
      <c r="T29" s="1">
        <f ca="1">IFERROR(__xludf.DUMMYFUNCTION("""COMPUTED_VALUE"""),1)</f>
        <v>1</v>
      </c>
      <c r="U29" s="1" t="str">
        <f ca="1">IFERROR(__xludf.DUMMYFUNCTION("""COMPUTED_VALUE"""),"Student fired multiple shots in school parking lot during basketball game, damaged school across the street")</f>
        <v>Student fired multiple shots in school parking lot during basketball game, damaged school across the street</v>
      </c>
      <c r="V29" s="1" t="str">
        <f ca="1">IFERROR(__xludf.DUMMYFUNCTION("""COMPUTED_VALUE"""),"On February 27, 2024, at approximately 8:53 p.m., troopers assigned to Sussex Central High School, located at 26026 Patriots Way in Georgetown, were on duty for a basketball game when they were alerted to gunfire within the vicinity. Troopers responded to"&amp;" the school’s parking lot, where they discovered multiple shell casings but, thankfully, no reported injuries. Utilizing available video surveillance footage, troopers were able to identify the suspect as a 15-year-old student enrolled at Sussex Central H"&amp;"igh School. Working in cooperation with the student’s parent, arrangements were made for the suspect to turn themselves in at Troop 4. The student complied and was subsequently charged")</f>
        <v>On February 27, 2024, at approximately 8:53 p.m., troopers assigned to Sussex Central High School, located at 26026 Patriots Way in Georgetown, were on duty for a basketball game when they were alerted to gunfire within the vicinity. Troopers responded to the school’s parking lot, where they discovered multiple shell casings but, thankfully, no reported injuries. Utilizing available video surveillance footage, troopers were able to identify the suspect as a 15-year-old student enrolled at Sussex Central High School. Working in cooperation with the student’s parent, arrangements were made for the suspect to turn themselves in at Troop 4. The student complied and was subsequently charged</v>
      </c>
      <c r="W29" s="1" t="str">
        <f ca="1">IFERROR(__xludf.DUMMYFUNCTION("""COMPUTED_VALUE"""),"Escalation of Dispute")</f>
        <v>Escalation of Dispute</v>
      </c>
      <c r="X29" s="1"/>
      <c r="Y29" s="1" t="str">
        <f ca="1">IFERROR(__xludf.DUMMYFUNCTION("""COMPUTED_VALUE"""),"No")</f>
        <v>No</v>
      </c>
      <c r="Z29" s="1"/>
      <c r="AA29" s="1" t="str">
        <f ca="1">IFERROR(__xludf.DUMMYFUNCTION("""COMPUTED_VALUE"""),"No")</f>
        <v>No</v>
      </c>
      <c r="AB29" s="1" t="str">
        <f ca="1">IFERROR(__xludf.DUMMYFUNCTION("""COMPUTED_VALUE"""),"No")</f>
        <v>No</v>
      </c>
      <c r="AC29" s="1" t="str">
        <f ca="1">IFERROR(__xludf.DUMMYFUNCTION("""COMPUTED_VALUE"""),"No")</f>
        <v>No</v>
      </c>
      <c r="AD29" s="1" t="str">
        <f ca="1">IFERROR(__xludf.DUMMYFUNCTION("""COMPUTED_VALUE"""),"No")</f>
        <v>No</v>
      </c>
      <c r="AE29" s="1" t="str">
        <f ca="1">IFERROR(__xludf.DUMMYFUNCTION("""COMPUTED_VALUE"""),"No")</f>
        <v>No</v>
      </c>
      <c r="AF29" s="1" t="str">
        <f ca="1">IFERROR(__xludf.DUMMYFUNCTION("""COMPUTED_VALUE"""),"No")</f>
        <v>No</v>
      </c>
      <c r="AG29" s="1" t="str">
        <f ca="1">IFERROR(__xludf.DUMMYFUNCTION("""COMPUTED_VALUE"""),"No")</f>
        <v>No</v>
      </c>
      <c r="AH29" s="1">
        <f ca="1">IFERROR(__xludf.DUMMYFUNCTION("""COMPUTED_VALUE"""),99)</f>
        <v>99</v>
      </c>
    </row>
    <row r="30" spans="1:34" ht="12.5">
      <c r="A30" s="1" t="str">
        <f ca="1">IFERROR(__xludf.DUMMYFUNCTION("""COMPUTED_VALUE"""),"20240226TXODO")</f>
        <v>20240226TXODO</v>
      </c>
      <c r="B30" s="1">
        <f ca="1">IFERROR(__xludf.DUMMYFUNCTION("""COMPUTED_VALUE"""),2)</f>
        <v>2</v>
      </c>
      <c r="C30" s="1">
        <f ca="1">IFERROR(__xludf.DUMMYFUNCTION("""COMPUTED_VALUE"""),26)</f>
        <v>26</v>
      </c>
      <c r="D30" s="1">
        <f ca="1">IFERROR(__xludf.DUMMYFUNCTION("""COMPUTED_VALUE"""),2024)</f>
        <v>2024</v>
      </c>
      <c r="E30" s="4">
        <f ca="1">IFERROR(__xludf.DUMMYFUNCTION("""COMPUTED_VALUE"""),45348)</f>
        <v>45348</v>
      </c>
      <c r="F30" s="1" t="str">
        <f ca="1">IFERROR(__xludf.DUMMYFUNCTION("""COMPUTED_VALUE"""),"Odessa High School")</f>
        <v>Odessa High School</v>
      </c>
      <c r="G30" s="1">
        <f ca="1">IFERROR(__xludf.DUMMYFUNCTION("""COMPUTED_VALUE"""),0)</f>
        <v>0</v>
      </c>
      <c r="H30" s="1">
        <f ca="1">IFERROR(__xludf.DUMMYFUNCTION("""COMPUTED_VALUE"""),1)</f>
        <v>1</v>
      </c>
      <c r="I30" s="1">
        <f ca="1">IFERROR(__xludf.DUMMYFUNCTION("""COMPUTED_VALUE"""),1)</f>
        <v>1</v>
      </c>
      <c r="J30" s="1">
        <f ca="1">IFERROR(__xludf.DUMMYFUNCTION("""COMPUTED_VALUE"""),0)</f>
        <v>0</v>
      </c>
      <c r="K30" s="1" t="str">
        <f ca="1">IFERROR(__xludf.DUMMYFUNCTION("""COMPUTED_VALUE"""),"Winter")</f>
        <v>Winter</v>
      </c>
      <c r="L30" s="1" t="str">
        <f ca="1">IFERROR(__xludf.DUMMYFUNCTION("""COMPUTED_VALUE"""),"Odessa")</f>
        <v>Odessa</v>
      </c>
      <c r="M30" s="1" t="str">
        <f ca="1">IFERROR(__xludf.DUMMYFUNCTION("""COMPUTED_VALUE"""),"TX")</f>
        <v>TX</v>
      </c>
      <c r="N30" s="1" t="str">
        <f ca="1">IFERROR(__xludf.DUMMYFUNCTION("""COMPUTED_VALUE"""),"High")</f>
        <v>High</v>
      </c>
      <c r="O30" s="1" t="str">
        <f ca="1">IFERROR(__xludf.DUMMYFUNCTION("""COMPUTED_VALUE"""),"Parking Lot")</f>
        <v>Parking Lot</v>
      </c>
      <c r="P30" s="1" t="str">
        <f ca="1">IFERROR(__xludf.DUMMYFUNCTION("""COMPUTED_VALUE"""),"Outside on School Property")</f>
        <v>Outside on School Property</v>
      </c>
      <c r="Q30" s="1" t="str">
        <f ca="1">IFERROR(__xludf.DUMMYFUNCTION("""COMPUTED_VALUE"""),"Yes")</f>
        <v>Yes</v>
      </c>
      <c r="R30" s="1" t="str">
        <f ca="1">IFERROR(__xludf.DUMMYFUNCTION("""COMPUTED_VALUE"""),"Morning Classes")</f>
        <v>Morning Classes</v>
      </c>
      <c r="S30" s="5">
        <f ca="1">IFERROR(__xludf.DUMMYFUNCTION("""COMPUTED_VALUE"""),0.40625)</f>
        <v>0.40625</v>
      </c>
      <c r="T30" s="1">
        <f ca="1">IFERROR(__xludf.DUMMYFUNCTION("""COMPUTED_VALUE"""),1)</f>
        <v>1</v>
      </c>
      <c r="U30" s="1" t="str">
        <f ca="1">IFERROR(__xludf.DUMMYFUNCTION("""COMPUTED_VALUE"""),"Female student shot during fight in the parking lot during morning classes")</f>
        <v>Female student shot during fight in the parking lot during morning classes</v>
      </c>
      <c r="V30" s="1" t="str">
        <f ca="1">IFERROR(__xludf.DUMMYFUNCTION("""COMPUTED_VALUE"""),"The Ector County Independent School District has given an update on the incident that occurred Monday morning when a female student was shot in the parking lot of Odessa High School. A school official said ECISD police arrested five ECISD students in conn"&amp;"ection to the shooting. The shooting happened on the west side of the campus around 9:45 a.m. Monday. OHS was immediately put under lockdown and then multiple law enforcement agencies arrived to the scene.")</f>
        <v>The Ector County Independent School District has given an update on the incident that occurred Monday morning when a female student was shot in the parking lot of Odessa High School. A school official said ECISD police arrested five ECISD students in connection to the shooting. The shooting happened on the west side of the campus around 9:45 a.m. Monday. OHS was immediately put under lockdown and then multiple law enforcement agencies arrived to the scene.</v>
      </c>
      <c r="W30" s="1" t="str">
        <f ca="1">IFERROR(__xludf.DUMMYFUNCTION("""COMPUTED_VALUE"""),"Escalation of Dispute")</f>
        <v>Escalation of Dispute</v>
      </c>
      <c r="X30" s="1" t="str">
        <f ca="1">IFERROR(__xludf.DUMMYFUNCTION("""COMPUTED_VALUE"""),"Both")</f>
        <v>Both</v>
      </c>
      <c r="Y30" s="1" t="str">
        <f ca="1">IFERROR(__xludf.DUMMYFUNCTION("""COMPUTED_VALUE"""),"No")</f>
        <v>No</v>
      </c>
      <c r="Z30" s="1"/>
      <c r="AA30" s="1" t="str">
        <f ca="1">IFERROR(__xludf.DUMMYFUNCTION("""COMPUTED_VALUE"""),"No")</f>
        <v>No</v>
      </c>
      <c r="AB30" s="1" t="str">
        <f ca="1">IFERROR(__xludf.DUMMYFUNCTION("""COMPUTED_VALUE"""),"No")</f>
        <v>No</v>
      </c>
      <c r="AC30" s="1" t="str">
        <f ca="1">IFERROR(__xludf.DUMMYFUNCTION("""COMPUTED_VALUE"""),"No")</f>
        <v>No</v>
      </c>
      <c r="AD30" s="1"/>
      <c r="AE30" s="1" t="str">
        <f ca="1">IFERROR(__xludf.DUMMYFUNCTION("""COMPUTED_VALUE"""),"No")</f>
        <v>No</v>
      </c>
      <c r="AF30" s="1"/>
      <c r="AG30" s="1" t="str">
        <f ca="1">IFERROR(__xludf.DUMMYFUNCTION("""COMPUTED_VALUE"""),"No")</f>
        <v>No</v>
      </c>
      <c r="AH30" s="1">
        <f ca="1">IFERROR(__xludf.DUMMYFUNCTION("""COMPUTED_VALUE"""),99)</f>
        <v>99</v>
      </c>
    </row>
    <row r="31" spans="1:34" ht="12.5">
      <c r="A31" s="1" t="str">
        <f ca="1">IFERROR(__xludf.DUMMYFUNCTION("""COMPUTED_VALUE"""),"20240223WVBLB")</f>
        <v>20240223WVBLB</v>
      </c>
      <c r="B31" s="1">
        <f ca="1">IFERROR(__xludf.DUMMYFUNCTION("""COMPUTED_VALUE"""),2)</f>
        <v>2</v>
      </c>
      <c r="C31" s="1">
        <f ca="1">IFERROR(__xludf.DUMMYFUNCTION("""COMPUTED_VALUE"""),23)</f>
        <v>23</v>
      </c>
      <c r="D31" s="1">
        <f ca="1">IFERROR(__xludf.DUMMYFUNCTION("""COMPUTED_VALUE"""),2024)</f>
        <v>2024</v>
      </c>
      <c r="E31" s="4">
        <f ca="1">IFERROR(__xludf.DUMMYFUNCTION("""COMPUTED_VALUE"""),45345)</f>
        <v>45345</v>
      </c>
      <c r="F31" s="1" t="str">
        <f ca="1">IFERROR(__xludf.DUMMYFUNCTION("""COMPUTED_VALUE"""),"Bluefield High School")</f>
        <v>Bluefield High School</v>
      </c>
      <c r="G31" s="1">
        <f ca="1">IFERROR(__xludf.DUMMYFUNCTION("""COMPUTED_VALUE"""),0)</f>
        <v>0</v>
      </c>
      <c r="H31" s="1">
        <f ca="1">IFERROR(__xludf.DUMMYFUNCTION("""COMPUTED_VALUE"""),0)</f>
        <v>0</v>
      </c>
      <c r="I31" s="1">
        <f ca="1">IFERROR(__xludf.DUMMYFUNCTION("""COMPUTED_VALUE"""),0)</f>
        <v>0</v>
      </c>
      <c r="J31" s="1">
        <f ca="1">IFERROR(__xludf.DUMMYFUNCTION("""COMPUTED_VALUE"""),0)</f>
        <v>0</v>
      </c>
      <c r="K31" s="1" t="str">
        <f ca="1">IFERROR(__xludf.DUMMYFUNCTION("""COMPUTED_VALUE"""),"Winter")</f>
        <v>Winter</v>
      </c>
      <c r="L31" s="1" t="str">
        <f ca="1">IFERROR(__xludf.DUMMYFUNCTION("""COMPUTED_VALUE"""),"Bluefield")</f>
        <v>Bluefield</v>
      </c>
      <c r="M31" s="1" t="str">
        <f ca="1">IFERROR(__xludf.DUMMYFUNCTION("""COMPUTED_VALUE"""),"WV")</f>
        <v>WV</v>
      </c>
      <c r="N31" s="1" t="str">
        <f ca="1">IFERROR(__xludf.DUMMYFUNCTION("""COMPUTED_VALUE"""),"High")</f>
        <v>High</v>
      </c>
      <c r="O31" s="1" t="str">
        <f ca="1">IFERROR(__xludf.DUMMYFUNCTION("""COMPUTED_VALUE"""),"Parking Lot")</f>
        <v>Parking Lot</v>
      </c>
      <c r="P31" s="1" t="str">
        <f ca="1">IFERROR(__xludf.DUMMYFUNCTION("""COMPUTED_VALUE"""),"Off School Property")</f>
        <v>Off School Property</v>
      </c>
      <c r="Q31" s="1" t="str">
        <f ca="1">IFERROR(__xludf.DUMMYFUNCTION("""COMPUTED_VALUE"""),"No")</f>
        <v>No</v>
      </c>
      <c r="R31" s="1" t="str">
        <f ca="1">IFERROR(__xludf.DUMMYFUNCTION("""COMPUTED_VALUE"""),"Sport Event")</f>
        <v>Sport Event</v>
      </c>
      <c r="S31" s="5">
        <f ca="1">IFERROR(__xludf.DUMMYFUNCTION("""COMPUTED_VALUE"""),0.875)</f>
        <v>0.875</v>
      </c>
      <c r="T31" s="1">
        <f ca="1">IFERROR(__xludf.DUMMYFUNCTION("""COMPUTED_VALUE"""),1)</f>
        <v>1</v>
      </c>
      <c r="U31" s="1" t="str">
        <f ca="1">IFERROR(__xludf.DUMMYFUNCTION("""COMPUTED_VALUE"""),"Shots fired in the parking lot following high school basketball game")</f>
        <v>Shots fired in the parking lot following high school basketball game</v>
      </c>
      <c r="V31" s="1" t="str">
        <f ca="1">IFERROR(__xludf.DUMMYFUNCTION("""COMPUTED_VALUE"""),"Shots were fired in the parking lot of the Brushfork Armory at a local high school basketball game on Friday, February 23, 2024. Mercer County dispatch confirmed there was an altercation in the parking lot at the conclusion of the Summers County vs. Bluef"&amp;"ield boy’s basketball game. Once the shots were reported, dispatch confirmed to 59News that off-duty officers who were working the game, locked down the gym to ensure the safety of everyone inside. Players, coaches and fans from both Summers County and Bl"&amp;"uefield sheltered in place during the lockdown as law enforcement dealt with the situation in the parking lot. Law enforcement then secured the parking lot area and the lockdown was lifted. Dispatch confirmed to 59News no players or coaches were injured.")</f>
        <v>Shots were fired in the parking lot of the Brushfork Armory at a local high school basketball game on Friday, February 23, 2024. Mercer County dispatch confirmed there was an altercation in the parking lot at the conclusion of the Summers County vs. Bluefield boy’s basketball game. Once the shots were reported, dispatch confirmed to 59News that off-duty officers who were working the game, locked down the gym to ensure the safety of everyone inside. Players, coaches and fans from both Summers County and Bluefield sheltered in place during the lockdown as law enforcement dealt with the situation in the parking lot. Law enforcement then secured the parking lot area and the lockdown was lifted. Dispatch confirmed to 59News no players or coaches were injured.</v>
      </c>
      <c r="W31" s="1" t="str">
        <f ca="1">IFERROR(__xludf.DUMMYFUNCTION("""COMPUTED_VALUE"""),"Escalation of Dispute")</f>
        <v>Escalation of Dispute</v>
      </c>
      <c r="X31" s="1"/>
      <c r="Y31" s="1" t="str">
        <f ca="1">IFERROR(__xludf.DUMMYFUNCTION("""COMPUTED_VALUE"""),"No")</f>
        <v>No</v>
      </c>
      <c r="Z31" s="1"/>
      <c r="AA31" s="1" t="str">
        <f ca="1">IFERROR(__xludf.DUMMYFUNCTION("""COMPUTED_VALUE"""),"No")</f>
        <v>No</v>
      </c>
      <c r="AB31" s="1" t="str">
        <f ca="1">IFERROR(__xludf.DUMMYFUNCTION("""COMPUTED_VALUE"""),"No")</f>
        <v>No</v>
      </c>
      <c r="AC31" s="1" t="str">
        <f ca="1">IFERROR(__xludf.DUMMYFUNCTION("""COMPUTED_VALUE"""),"No")</f>
        <v>No</v>
      </c>
      <c r="AD31" s="1" t="str">
        <f ca="1">IFERROR(__xludf.DUMMYFUNCTION("""COMPUTED_VALUE"""),"No")</f>
        <v>No</v>
      </c>
      <c r="AE31" s="1" t="str">
        <f ca="1">IFERROR(__xludf.DUMMYFUNCTION("""COMPUTED_VALUE"""),"No")</f>
        <v>No</v>
      </c>
      <c r="AF31" s="1" t="str">
        <f ca="1">IFERROR(__xludf.DUMMYFUNCTION("""COMPUTED_VALUE"""),"No")</f>
        <v>No</v>
      </c>
      <c r="AG31" s="1" t="str">
        <f ca="1">IFERROR(__xludf.DUMMYFUNCTION("""COMPUTED_VALUE"""),"No")</f>
        <v>No</v>
      </c>
      <c r="AH31" s="1">
        <f ca="1">IFERROR(__xludf.DUMMYFUNCTION("""COMPUTED_VALUE"""),99)</f>
        <v>99</v>
      </c>
    </row>
    <row r="32" spans="1:34" ht="12.5">
      <c r="A32" s="1" t="str">
        <f ca="1">IFERROR(__xludf.DUMMYFUNCTION("""COMPUTED_VALUE"""),"20240221TXTRA")</f>
        <v>20240221TXTRA</v>
      </c>
      <c r="B32" s="1">
        <f ca="1">IFERROR(__xludf.DUMMYFUNCTION("""COMPUTED_VALUE"""),2)</f>
        <v>2</v>
      </c>
      <c r="C32" s="1">
        <f ca="1">IFERROR(__xludf.DUMMYFUNCTION("""COMPUTED_VALUE"""),21)</f>
        <v>21</v>
      </c>
      <c r="D32" s="1">
        <f ca="1">IFERROR(__xludf.DUMMYFUNCTION("""COMPUTED_VALUE"""),2024)</f>
        <v>2024</v>
      </c>
      <c r="E32" s="4">
        <f ca="1">IFERROR(__xludf.DUMMYFUNCTION("""COMPUTED_VALUE"""),45343)</f>
        <v>45343</v>
      </c>
      <c r="F32" s="1" t="str">
        <f ca="1">IFERROR(__xludf.DUMMYFUNCTION("""COMPUTED_VALUE"""),"Travis Middle School")</f>
        <v>Travis Middle School</v>
      </c>
      <c r="G32" s="1">
        <f ca="1">IFERROR(__xludf.DUMMYFUNCTION("""COMPUTED_VALUE"""),0)</f>
        <v>0</v>
      </c>
      <c r="H32" s="1">
        <f ca="1">IFERROR(__xludf.DUMMYFUNCTION("""COMPUTED_VALUE"""),0)</f>
        <v>0</v>
      </c>
      <c r="I32" s="1">
        <f ca="1">IFERROR(__xludf.DUMMYFUNCTION("""COMPUTED_VALUE"""),0)</f>
        <v>0</v>
      </c>
      <c r="J32" s="1">
        <f ca="1">IFERROR(__xludf.DUMMYFUNCTION("""COMPUTED_VALUE"""),0)</f>
        <v>0</v>
      </c>
      <c r="K32" s="1" t="str">
        <f ca="1">IFERROR(__xludf.DUMMYFUNCTION("""COMPUTED_VALUE"""),"Winter")</f>
        <v>Winter</v>
      </c>
      <c r="L32" s="1" t="str">
        <f ca="1">IFERROR(__xludf.DUMMYFUNCTION("""COMPUTED_VALUE"""),"Amarillo")</f>
        <v>Amarillo</v>
      </c>
      <c r="M32" s="1" t="str">
        <f ca="1">IFERROR(__xludf.DUMMYFUNCTION("""COMPUTED_VALUE"""),"TX")</f>
        <v>TX</v>
      </c>
      <c r="N32" s="1" t="str">
        <f ca="1">IFERROR(__xludf.DUMMYFUNCTION("""COMPUTED_VALUE"""),"Middle")</f>
        <v>Middle</v>
      </c>
      <c r="O32" s="1" t="str">
        <f ca="1">IFERROR(__xludf.DUMMYFUNCTION("""COMPUTED_VALUE"""),"Bathroom")</f>
        <v>Bathroom</v>
      </c>
      <c r="P32" s="1" t="str">
        <f ca="1">IFERROR(__xludf.DUMMYFUNCTION("""COMPUTED_VALUE"""),"Inside School Building")</f>
        <v>Inside School Building</v>
      </c>
      <c r="Q32" s="1" t="str">
        <f ca="1">IFERROR(__xludf.DUMMYFUNCTION("""COMPUTED_VALUE"""),"Yes")</f>
        <v>Yes</v>
      </c>
      <c r="R32" s="1" t="str">
        <f ca="1">IFERROR(__xludf.DUMMYFUNCTION("""COMPUTED_VALUE"""),"Morning Classes")</f>
        <v>Morning Classes</v>
      </c>
      <c r="S32" s="5">
        <f ca="1">IFERROR(__xludf.DUMMYFUNCTION("""COMPUTED_VALUE"""),0.395833333333333)</f>
        <v>0.39583333333333298</v>
      </c>
      <c r="T32" s="1">
        <f ca="1">IFERROR(__xludf.DUMMYFUNCTION("""COMPUTED_VALUE"""),1)</f>
        <v>1</v>
      </c>
      <c r="U32" s="1" t="str">
        <f ca="1">IFERROR(__xludf.DUMMYFUNCTION("""COMPUTED_VALUE"""),"Student pointed handgun at classmate in the bathroom, threatened to shoot someone on campus")</f>
        <v>Student pointed handgun at classmate in the bathroom, threatened to shoot someone on campus</v>
      </c>
      <c r="V32" s="1" t="str">
        <f ca="1">IFERROR(__xludf.DUMMYFUNCTION("""COMPUTED_VALUE"""),"Amarillo police say two 12-year-old students were arrested after they say school administration found a gun on the Travis Middle School 6th Grade Campus. Police say on Tuesday around 9:30 a.m., officers were called to meet school administration at the 6th"&amp;" Grade Campus on a student with a gun. When officers arrived, they were advised by school officials that they had received a report of a student on campus with a gun. School administration found this student, took him to the office and recovered the gun f"&amp;"rom the student. Police say officers conducted an investigation and found that the juvenile suspect had shown the gun to a second suspect in one of the bathrooms. A third student was in the bathroom when the second suspect was looking at the gun. Police s"&amp;"ay the second suspect pointed the gun at the third student. Later during the officers investigation, police say they learned the suspect had made comments to others of shooting someone on campus.")</f>
        <v>Amarillo police say two 12-year-old students were arrested after they say school administration found a gun on the Travis Middle School 6th Grade Campus. Police say on Tuesday around 9:30 a.m., officers were called to meet school administration at the 6th Grade Campus on a student with a gun. When officers arrived, they were advised by school officials that they had received a report of a student on campus with a gun. School administration found this student, took him to the office and recovered the gun from the student. Police say officers conducted an investigation and found that the juvenile suspect had shown the gun to a second suspect in one of the bathrooms. A third student was in the bathroom when the second suspect was looking at the gun. Police say the second suspect pointed the gun at the third student. Later during the officers investigation, police say they learned the suspect had made comments to others of shooting someone on campus.</v>
      </c>
      <c r="W32" s="1"/>
      <c r="X32" s="1" t="str">
        <f ca="1">IFERROR(__xludf.DUMMYFUNCTION("""COMPUTED_VALUE"""),"Victims Targeted")</f>
        <v>Victims Targeted</v>
      </c>
      <c r="Y32" s="1" t="str">
        <f ca="1">IFERROR(__xludf.DUMMYFUNCTION("""COMPUTED_VALUE"""),"Yes")</f>
        <v>Yes</v>
      </c>
      <c r="Z32" s="1" t="str">
        <f ca="1">IFERROR(__xludf.DUMMYFUNCTION("""COMPUTED_VALUE"""),"Two students")</f>
        <v>Two students</v>
      </c>
      <c r="AA32" s="1" t="str">
        <f ca="1">IFERROR(__xludf.DUMMYFUNCTION("""COMPUTED_VALUE"""),"No")</f>
        <v>No</v>
      </c>
      <c r="AB32" s="1" t="str">
        <f ca="1">IFERROR(__xludf.DUMMYFUNCTION("""COMPUTED_VALUE"""),"No")</f>
        <v>No</v>
      </c>
      <c r="AC32" s="1" t="str">
        <f ca="1">IFERROR(__xludf.DUMMYFUNCTION("""COMPUTED_VALUE"""),"No")</f>
        <v>No</v>
      </c>
      <c r="AD32" s="1" t="str">
        <f ca="1">IFERROR(__xludf.DUMMYFUNCTION("""COMPUTED_VALUE"""),"No")</f>
        <v>No</v>
      </c>
      <c r="AE32" s="1" t="str">
        <f ca="1">IFERROR(__xludf.DUMMYFUNCTION("""COMPUTED_VALUE"""),"No")</f>
        <v>No</v>
      </c>
      <c r="AF32" s="1" t="str">
        <f ca="1">IFERROR(__xludf.DUMMYFUNCTION("""COMPUTED_VALUE"""),"No")</f>
        <v>No</v>
      </c>
      <c r="AG32" s="1" t="str">
        <f ca="1">IFERROR(__xludf.DUMMYFUNCTION("""COMPUTED_VALUE"""),"No")</f>
        <v>No</v>
      </c>
      <c r="AH32" s="1">
        <f ca="1">IFERROR(__xludf.DUMMYFUNCTION("""COMPUTED_VALUE"""),0)</f>
        <v>0</v>
      </c>
    </row>
    <row r="33" spans="1:34" ht="12.5">
      <c r="A33" s="1" t="str">
        <f ca="1">IFERROR(__xludf.DUMMYFUNCTION("""COMPUTED_VALUE"""),"20240221CODED")</f>
        <v>20240221CODED</v>
      </c>
      <c r="B33" s="1">
        <f ca="1">IFERROR(__xludf.DUMMYFUNCTION("""COMPUTED_VALUE"""),2)</f>
        <v>2</v>
      </c>
      <c r="C33" s="1">
        <f ca="1">IFERROR(__xludf.DUMMYFUNCTION("""COMPUTED_VALUE"""),21)</f>
        <v>21</v>
      </c>
      <c r="D33" s="1">
        <f ca="1">IFERROR(__xludf.DUMMYFUNCTION("""COMPUTED_VALUE"""),2024)</f>
        <v>2024</v>
      </c>
      <c r="E33" s="4">
        <f ca="1">IFERROR(__xludf.DUMMYFUNCTION("""COMPUTED_VALUE"""),45343)</f>
        <v>45343</v>
      </c>
      <c r="F33" s="1" t="str">
        <f ca="1">IFERROR(__xludf.DUMMYFUNCTION("""COMPUTED_VALUE"""),"Denver Prep Academy")</f>
        <v>Denver Prep Academy</v>
      </c>
      <c r="G33" s="1">
        <f ca="1">IFERROR(__xludf.DUMMYFUNCTION("""COMPUTED_VALUE"""),0)</f>
        <v>0</v>
      </c>
      <c r="H33" s="1">
        <f ca="1">IFERROR(__xludf.DUMMYFUNCTION("""COMPUTED_VALUE"""),0)</f>
        <v>0</v>
      </c>
      <c r="I33" s="1">
        <f ca="1">IFERROR(__xludf.DUMMYFUNCTION("""COMPUTED_VALUE"""),0)</f>
        <v>0</v>
      </c>
      <c r="J33" s="1">
        <f ca="1">IFERROR(__xludf.DUMMYFUNCTION("""COMPUTED_VALUE"""),0)</f>
        <v>0</v>
      </c>
      <c r="K33" s="1" t="str">
        <f ca="1">IFERROR(__xludf.DUMMYFUNCTION("""COMPUTED_VALUE"""),"Winter")</f>
        <v>Winter</v>
      </c>
      <c r="L33" s="1" t="str">
        <f ca="1">IFERROR(__xludf.DUMMYFUNCTION("""COMPUTED_VALUE"""),"Denver")</f>
        <v>Denver</v>
      </c>
      <c r="M33" s="1" t="str">
        <f ca="1">IFERROR(__xludf.DUMMYFUNCTION("""COMPUTED_VALUE"""),"CO")</f>
        <v>CO</v>
      </c>
      <c r="N33" s="1" t="str">
        <f ca="1">IFERROR(__xludf.DUMMYFUNCTION("""COMPUTED_VALUE"""),"High")</f>
        <v>High</v>
      </c>
      <c r="O33" s="1" t="str">
        <f ca="1">IFERROR(__xludf.DUMMYFUNCTION("""COMPUTED_VALUE"""),"Front of School")</f>
        <v>Front of School</v>
      </c>
      <c r="P33" s="1" t="str">
        <f ca="1">IFERROR(__xludf.DUMMYFUNCTION("""COMPUTED_VALUE"""),"Outside on School Property")</f>
        <v>Outside on School Property</v>
      </c>
      <c r="Q33" s="1" t="str">
        <f ca="1">IFERROR(__xludf.DUMMYFUNCTION("""COMPUTED_VALUE"""),"Yes")</f>
        <v>Yes</v>
      </c>
      <c r="R33" s="1" t="str">
        <f ca="1">IFERROR(__xludf.DUMMYFUNCTION("""COMPUTED_VALUE"""),"Afternoon Classes")</f>
        <v>Afternoon Classes</v>
      </c>
      <c r="S33" s="5">
        <f ca="1">IFERROR(__xludf.DUMMYFUNCTION("""COMPUTED_VALUE"""),0.53125)</f>
        <v>0.53125</v>
      </c>
      <c r="T33" s="1">
        <f ca="1">IFERROR(__xludf.DUMMYFUNCTION("""COMPUTED_VALUE"""),1)</f>
        <v>1</v>
      </c>
      <c r="U33" s="1" t="str">
        <f ca="1">IFERROR(__xludf.DUMMYFUNCTION("""COMPUTED_VALUE"""),"Shots fired in front of the school, school went on lockdown and then dismissed")</f>
        <v>Shots fired in front of the school, school went on lockdown and then dismissed</v>
      </c>
      <c r="V33" s="1" t="str">
        <f ca="1">IFERROR(__xludf.DUMMYFUNCTION("""COMPUTED_VALUE"""),"Shots were fired outside Denver Prep Academy near 20th Avenue and Columbine Street around 12:45 p.m. on Wednesday. Officers are still trying to figure out what led up to the shooting as there is currently no victim or suspect, according to Denver police. "&amp;"Students were released early as parents left the school with their kids as some of them were seen crying. CBS News Colorado spoke with a parent after picking up his child following the incident. ""She was pretty freaked out she said that she heard the gun"&amp;"shots and grabbed her coat right away... took shelter. So, she's still pretty shooken up over the situation,"" said the father. ")</f>
        <v xml:space="preserve">Shots were fired outside Denver Prep Academy near 20th Avenue and Columbine Street around 12:45 p.m. on Wednesday. Officers are still trying to figure out what led up to the shooting as there is currently no victim or suspect, according to Denver police. Students were released early as parents left the school with their kids as some of them were seen crying. CBS News Colorado spoke with a parent after picking up his child following the incident. "She was pretty freaked out she said that she heard the gunshots and grabbed her coat right away... took shelter. So, she's still pretty shooken up over the situation," said the father. </v>
      </c>
      <c r="W33" s="1" t="str">
        <f ca="1">IFERROR(__xludf.DUMMYFUNCTION("""COMPUTED_VALUE"""),"Drive-by Shooting")</f>
        <v>Drive-by Shooting</v>
      </c>
      <c r="X33" s="1"/>
      <c r="Y33" s="1" t="str">
        <f ca="1">IFERROR(__xludf.DUMMYFUNCTION("""COMPUTED_VALUE"""),"No")</f>
        <v>No</v>
      </c>
      <c r="Z33" s="1"/>
      <c r="AA33" s="1" t="str">
        <f ca="1">IFERROR(__xludf.DUMMYFUNCTION("""COMPUTED_VALUE"""),"No")</f>
        <v>No</v>
      </c>
      <c r="AB33" s="1" t="str">
        <f ca="1">IFERROR(__xludf.DUMMYFUNCTION("""COMPUTED_VALUE"""),"No")</f>
        <v>No</v>
      </c>
      <c r="AC33" s="1" t="str">
        <f ca="1">IFERROR(__xludf.DUMMYFUNCTION("""COMPUTED_VALUE"""),"No")</f>
        <v>No</v>
      </c>
      <c r="AD33" s="1" t="str">
        <f ca="1">IFERROR(__xludf.DUMMYFUNCTION("""COMPUTED_VALUE"""),"No")</f>
        <v>No</v>
      </c>
      <c r="AE33" s="1" t="str">
        <f ca="1">IFERROR(__xludf.DUMMYFUNCTION("""COMPUTED_VALUE"""),"No")</f>
        <v>No</v>
      </c>
      <c r="AF33" s="1"/>
      <c r="AG33" s="1" t="str">
        <f ca="1">IFERROR(__xludf.DUMMYFUNCTION("""COMPUTED_VALUE"""),"No")</f>
        <v>No</v>
      </c>
      <c r="AH33" s="1">
        <f ca="1">IFERROR(__xludf.DUMMYFUNCTION("""COMPUTED_VALUE"""),99)</f>
        <v>99</v>
      </c>
    </row>
    <row r="34" spans="1:34" ht="12.5">
      <c r="A34" s="1" t="str">
        <f ca="1">IFERROR(__xludf.DUMMYFUNCTION("""COMPUTED_VALUE"""),"20240221TXECE")</f>
        <v>20240221TXECE</v>
      </c>
      <c r="B34" s="1">
        <f ca="1">IFERROR(__xludf.DUMMYFUNCTION("""COMPUTED_VALUE"""),2)</f>
        <v>2</v>
      </c>
      <c r="C34" s="1">
        <f ca="1">IFERROR(__xludf.DUMMYFUNCTION("""COMPUTED_VALUE"""),21)</f>
        <v>21</v>
      </c>
      <c r="D34" s="1">
        <f ca="1">IFERROR(__xludf.DUMMYFUNCTION("""COMPUTED_VALUE"""),2024)</f>
        <v>2024</v>
      </c>
      <c r="E34" s="4">
        <f ca="1">IFERROR(__xludf.DUMMYFUNCTION("""COMPUTED_VALUE"""),45343)</f>
        <v>45343</v>
      </c>
      <c r="F34" s="1" t="str">
        <f ca="1">IFERROR(__xludf.DUMMYFUNCTION("""COMPUTED_VALUE"""),"Economedes High School ")</f>
        <v xml:space="preserve">Economedes High School </v>
      </c>
      <c r="G34" s="1">
        <f ca="1">IFERROR(__xludf.DUMMYFUNCTION("""COMPUTED_VALUE"""),0)</f>
        <v>0</v>
      </c>
      <c r="H34" s="1">
        <f ca="1">IFERROR(__xludf.DUMMYFUNCTION("""COMPUTED_VALUE"""),0)</f>
        <v>0</v>
      </c>
      <c r="I34" s="1">
        <f ca="1">IFERROR(__xludf.DUMMYFUNCTION("""COMPUTED_VALUE"""),0)</f>
        <v>0</v>
      </c>
      <c r="J34" s="1">
        <f ca="1">IFERROR(__xludf.DUMMYFUNCTION("""COMPUTED_VALUE"""),0)</f>
        <v>0</v>
      </c>
      <c r="K34" s="1" t="str">
        <f ca="1">IFERROR(__xludf.DUMMYFUNCTION("""COMPUTED_VALUE"""),"Winter")</f>
        <v>Winter</v>
      </c>
      <c r="L34" s="1" t="str">
        <f ca="1">IFERROR(__xludf.DUMMYFUNCTION("""COMPUTED_VALUE"""),"Economedes")</f>
        <v>Economedes</v>
      </c>
      <c r="M34" s="1" t="str">
        <f ca="1">IFERROR(__xludf.DUMMYFUNCTION("""COMPUTED_VALUE"""),"TX")</f>
        <v>TX</v>
      </c>
      <c r="N34" s="1" t="str">
        <f ca="1">IFERROR(__xludf.DUMMYFUNCTION("""COMPUTED_VALUE"""),"High")</f>
        <v>High</v>
      </c>
      <c r="O34" s="1" t="str">
        <f ca="1">IFERROR(__xludf.DUMMYFUNCTION("""COMPUTED_VALUE"""),"Parking Lot")</f>
        <v>Parking Lot</v>
      </c>
      <c r="P34" s="1" t="str">
        <f ca="1">IFERROR(__xludf.DUMMYFUNCTION("""COMPUTED_VALUE"""),"Outside on School Property")</f>
        <v>Outside on School Property</v>
      </c>
      <c r="Q34" s="1" t="str">
        <f ca="1">IFERROR(__xludf.DUMMYFUNCTION("""COMPUTED_VALUE"""),"Yes")</f>
        <v>Yes</v>
      </c>
      <c r="R34" s="1" t="str">
        <f ca="1">IFERROR(__xludf.DUMMYFUNCTION("""COMPUTED_VALUE"""),"Dismissal")</f>
        <v>Dismissal</v>
      </c>
      <c r="S34" s="5">
        <f ca="1">IFERROR(__xludf.DUMMYFUNCTION("""COMPUTED_VALUE"""),0.677777777777777)</f>
        <v>0.67777777777777704</v>
      </c>
      <c r="T34" s="1">
        <f ca="1">IFERROR(__xludf.DUMMYFUNCTION("""COMPUTED_VALUE"""),1)</f>
        <v>1</v>
      </c>
      <c r="U34" s="1" t="str">
        <f ca="1">IFERROR(__xludf.DUMMYFUNCTION("""COMPUTED_VALUE"""),"Officer fired shots at student driving stolen vehicle")</f>
        <v>Officer fired shots at student driving stolen vehicle</v>
      </c>
      <c r="V34" s="1" t="str">
        <f ca="1">IFERROR(__xludf.DUMMYFUNCTION("""COMPUTED_VALUE"""),"Office fired shots at a student driving a stolen vehicle in the school parking lot. Student fled from the school and was arrested away from campus. All of the shots missed. No other students or staff were injured. School went on lockdown for 30 minutes du"&amp;"e to reports of an active shooter when the shots were fired by the officer.")</f>
        <v>Office fired shots at a student driving a stolen vehicle in the school parking lot. Student fled from the school and was arrested away from campus. All of the shots missed. No other students or staff were injured. School went on lockdown for 30 minutes due to reports of an active shooter when the shots were fired by the officer.</v>
      </c>
      <c r="W34" s="1" t="str">
        <f ca="1">IFERROR(__xludf.DUMMYFUNCTION("""COMPUTED_VALUE"""),"Officer-Involved Shooting")</f>
        <v>Officer-Involved Shooting</v>
      </c>
      <c r="X34" s="1" t="str">
        <f ca="1">IFERROR(__xludf.DUMMYFUNCTION("""COMPUTED_VALUE"""),"Victims Targeted")</f>
        <v>Victims Targeted</v>
      </c>
      <c r="Y34" s="1" t="str">
        <f ca="1">IFERROR(__xludf.DUMMYFUNCTION("""COMPUTED_VALUE"""),"No")</f>
        <v>No</v>
      </c>
      <c r="Z34" s="1"/>
      <c r="AA34" s="1" t="str">
        <f ca="1">IFERROR(__xludf.DUMMYFUNCTION("""COMPUTED_VALUE"""),"No")</f>
        <v>No</v>
      </c>
      <c r="AB34" s="1" t="str">
        <f ca="1">IFERROR(__xludf.DUMMYFUNCTION("""COMPUTED_VALUE"""),"No")</f>
        <v>No</v>
      </c>
      <c r="AC34" s="1" t="str">
        <f ca="1">IFERROR(__xludf.DUMMYFUNCTION("""COMPUTED_VALUE"""),"Yes")</f>
        <v>Yes</v>
      </c>
      <c r="AD34" s="1" t="str">
        <f ca="1">IFERROR(__xludf.DUMMYFUNCTION("""COMPUTED_VALUE"""),"No")</f>
        <v>No</v>
      </c>
      <c r="AE34" s="1" t="str">
        <f ca="1">IFERROR(__xludf.DUMMYFUNCTION("""COMPUTED_VALUE"""),"No")</f>
        <v>No</v>
      </c>
      <c r="AF34" s="1" t="str">
        <f ca="1">IFERROR(__xludf.DUMMYFUNCTION("""COMPUTED_VALUE"""),"No")</f>
        <v>No</v>
      </c>
      <c r="AG34" s="1" t="str">
        <f ca="1">IFERROR(__xludf.DUMMYFUNCTION("""COMPUTED_VALUE"""),"No")</f>
        <v>No</v>
      </c>
      <c r="AH34" s="1">
        <f ca="1">IFERROR(__xludf.DUMMYFUNCTION("""COMPUTED_VALUE"""),99)</f>
        <v>99</v>
      </c>
    </row>
    <row r="35" spans="1:34" ht="12.5">
      <c r="A35" s="1" t="str">
        <f ca="1">IFERROR(__xludf.DUMMYFUNCTION("""COMPUTED_VALUE"""),"20240221AZCAT")</f>
        <v>20240221AZCAT</v>
      </c>
      <c r="B35" s="1">
        <f ca="1">IFERROR(__xludf.DUMMYFUNCTION("""COMPUTED_VALUE"""),2)</f>
        <v>2</v>
      </c>
      <c r="C35" s="1">
        <f ca="1">IFERROR(__xludf.DUMMYFUNCTION("""COMPUTED_VALUE"""),21)</f>
        <v>21</v>
      </c>
      <c r="D35" s="1">
        <f ca="1">IFERROR(__xludf.DUMMYFUNCTION("""COMPUTED_VALUE"""),2024)</f>
        <v>2024</v>
      </c>
      <c r="E35" s="4">
        <f ca="1">IFERROR(__xludf.DUMMYFUNCTION("""COMPUTED_VALUE"""),45343)</f>
        <v>45343</v>
      </c>
      <c r="F35" s="1" t="str">
        <f ca="1">IFERROR(__xludf.DUMMYFUNCTION("""COMPUTED_VALUE"""),"Catalina Magnet High School")</f>
        <v>Catalina Magnet High School</v>
      </c>
      <c r="G35" s="1">
        <f ca="1">IFERROR(__xludf.DUMMYFUNCTION("""COMPUTED_VALUE"""),0)</f>
        <v>0</v>
      </c>
      <c r="H35" s="1">
        <f ca="1">IFERROR(__xludf.DUMMYFUNCTION("""COMPUTED_VALUE"""),1)</f>
        <v>1</v>
      </c>
      <c r="I35" s="1">
        <f ca="1">IFERROR(__xludf.DUMMYFUNCTION("""COMPUTED_VALUE"""),1)</f>
        <v>1</v>
      </c>
      <c r="J35" s="1">
        <f ca="1">IFERROR(__xludf.DUMMYFUNCTION("""COMPUTED_VALUE"""),0)</f>
        <v>0</v>
      </c>
      <c r="K35" s="1" t="str">
        <f ca="1">IFERROR(__xludf.DUMMYFUNCTION("""COMPUTED_VALUE"""),"Winter")</f>
        <v>Winter</v>
      </c>
      <c r="L35" s="1" t="str">
        <f ca="1">IFERROR(__xludf.DUMMYFUNCTION("""COMPUTED_VALUE"""),"Tucson")</f>
        <v>Tucson</v>
      </c>
      <c r="M35" s="1" t="str">
        <f ca="1">IFERROR(__xludf.DUMMYFUNCTION("""COMPUTED_VALUE"""),"AZ")</f>
        <v>AZ</v>
      </c>
      <c r="N35" s="1" t="str">
        <f ca="1">IFERROR(__xludf.DUMMYFUNCTION("""COMPUTED_VALUE"""),"High")</f>
        <v>High</v>
      </c>
      <c r="O35" s="1" t="str">
        <f ca="1">IFERROR(__xludf.DUMMYFUNCTION("""COMPUTED_VALUE"""),"Front of School")</f>
        <v>Front of School</v>
      </c>
      <c r="P35" s="1" t="str">
        <f ca="1">IFERROR(__xludf.DUMMYFUNCTION("""COMPUTED_VALUE"""),"Outside on School Property")</f>
        <v>Outside on School Property</v>
      </c>
      <c r="Q35" s="1" t="str">
        <f ca="1">IFERROR(__xludf.DUMMYFUNCTION("""COMPUTED_VALUE"""),"Yes")</f>
        <v>Yes</v>
      </c>
      <c r="R35" s="1" t="str">
        <f ca="1">IFERROR(__xludf.DUMMYFUNCTION("""COMPUTED_VALUE"""),"Lunch")</f>
        <v>Lunch</v>
      </c>
      <c r="S35" s="5">
        <f ca="1">IFERROR(__xludf.DUMMYFUNCTION("""COMPUTED_VALUE"""),0.520833333333333)</f>
        <v>0.52083333333333304</v>
      </c>
      <c r="T35" s="1">
        <f ca="1">IFERROR(__xludf.DUMMYFUNCTION("""COMPUTED_VALUE"""),1)</f>
        <v>1</v>
      </c>
      <c r="U35" s="1" t="str">
        <f ca="1">IFERROR(__xludf.DUMMYFUNCTION("""COMPUTED_VALUE"""),"Woman was shot in front of the school, school went on lockdown")</f>
        <v>Woman was shot in front of the school, school went on lockdown</v>
      </c>
      <c r="V35" s="1" t="str">
        <f ca="1">IFERROR(__xludf.DUMMYFUNCTION("""COMPUTED_VALUE"""),"Woman was shot near the front doors and gate to the campus. School went on lockdown. No students or staff were injured.")</f>
        <v>Woman was shot near the front doors and gate to the campus. School went on lockdown. No students or staff were injured.</v>
      </c>
      <c r="W35" s="1"/>
      <c r="X35" s="1" t="str">
        <f ca="1">IFERROR(__xludf.DUMMYFUNCTION("""COMPUTED_VALUE"""),"Victims Targeted")</f>
        <v>Victims Targeted</v>
      </c>
      <c r="Y35" s="1" t="str">
        <f ca="1">IFERROR(__xludf.DUMMYFUNCTION("""COMPUTED_VALUE"""),"No")</f>
        <v>No</v>
      </c>
      <c r="Z35" s="1"/>
      <c r="AA35" s="1" t="str">
        <f ca="1">IFERROR(__xludf.DUMMYFUNCTION("""COMPUTED_VALUE"""),"No")</f>
        <v>No</v>
      </c>
      <c r="AB35" s="1" t="str">
        <f ca="1">IFERROR(__xludf.DUMMYFUNCTION("""COMPUTED_VALUE"""),"No")</f>
        <v>No</v>
      </c>
      <c r="AC35" s="1" t="str">
        <f ca="1">IFERROR(__xludf.DUMMYFUNCTION("""COMPUTED_VALUE"""),"No")</f>
        <v>No</v>
      </c>
      <c r="AD35" s="1" t="str">
        <f ca="1">IFERROR(__xludf.DUMMYFUNCTION("""COMPUTED_VALUE"""),"No")</f>
        <v>No</v>
      </c>
      <c r="AE35" s="1"/>
      <c r="AF35" s="1"/>
      <c r="AG35" s="1" t="str">
        <f ca="1">IFERROR(__xludf.DUMMYFUNCTION("""COMPUTED_VALUE"""),"No")</f>
        <v>No</v>
      </c>
      <c r="AH35" s="1"/>
    </row>
    <row r="36" spans="1:34" ht="12.5">
      <c r="A36" s="1" t="str">
        <f ca="1">IFERROR(__xludf.DUMMYFUNCTION("""COMPUTED_VALUE"""),"20240220ALPEP")</f>
        <v>20240220ALPEP</v>
      </c>
      <c r="B36" s="1">
        <f ca="1">IFERROR(__xludf.DUMMYFUNCTION("""COMPUTED_VALUE"""),2)</f>
        <v>2</v>
      </c>
      <c r="C36" s="1">
        <f ca="1">IFERROR(__xludf.DUMMYFUNCTION("""COMPUTED_VALUE"""),20)</f>
        <v>20</v>
      </c>
      <c r="D36" s="1">
        <f ca="1">IFERROR(__xludf.DUMMYFUNCTION("""COMPUTED_VALUE"""),2024)</f>
        <v>2024</v>
      </c>
      <c r="E36" s="4">
        <f ca="1">IFERROR(__xludf.DUMMYFUNCTION("""COMPUTED_VALUE"""),45342)</f>
        <v>45342</v>
      </c>
      <c r="F36" s="1" t="str">
        <f ca="1">IFERROR(__xludf.DUMMYFUNCTION("""COMPUTED_VALUE"""),"Pell City High School")</f>
        <v>Pell City High School</v>
      </c>
      <c r="G36" s="1">
        <f ca="1">IFERROR(__xludf.DUMMYFUNCTION("""COMPUTED_VALUE"""),0)</f>
        <v>0</v>
      </c>
      <c r="H36" s="1">
        <f ca="1">IFERROR(__xludf.DUMMYFUNCTION("""COMPUTED_VALUE"""),1)</f>
        <v>1</v>
      </c>
      <c r="I36" s="1">
        <f ca="1">IFERROR(__xludf.DUMMYFUNCTION("""COMPUTED_VALUE"""),1)</f>
        <v>1</v>
      </c>
      <c r="J36" s="1">
        <f ca="1">IFERROR(__xludf.DUMMYFUNCTION("""COMPUTED_VALUE"""),0)</f>
        <v>0</v>
      </c>
      <c r="K36" s="1" t="str">
        <f ca="1">IFERROR(__xludf.DUMMYFUNCTION("""COMPUTED_VALUE"""),"Winter")</f>
        <v>Winter</v>
      </c>
      <c r="L36" s="1" t="str">
        <f ca="1">IFERROR(__xludf.DUMMYFUNCTION("""COMPUTED_VALUE"""),"Pell City")</f>
        <v>Pell City</v>
      </c>
      <c r="M36" s="1" t="str">
        <f ca="1">IFERROR(__xludf.DUMMYFUNCTION("""COMPUTED_VALUE"""),"AL")</f>
        <v>AL</v>
      </c>
      <c r="N36" s="1" t="str">
        <f ca="1">IFERROR(__xludf.DUMMYFUNCTION("""COMPUTED_VALUE"""),"High")</f>
        <v>High</v>
      </c>
      <c r="O36" s="1" t="str">
        <f ca="1">IFERROR(__xludf.DUMMYFUNCTION("""COMPUTED_VALUE"""),"Outside on School Property")</f>
        <v>Outside on School Property</v>
      </c>
      <c r="P36" s="1" t="str">
        <f ca="1">IFERROR(__xludf.DUMMYFUNCTION("""COMPUTED_VALUE"""),"Outside on School Property")</f>
        <v>Outside on School Property</v>
      </c>
      <c r="Q36" s="1" t="str">
        <f ca="1">IFERROR(__xludf.DUMMYFUNCTION("""COMPUTED_VALUE"""),"Yes")</f>
        <v>Yes</v>
      </c>
      <c r="R36" s="1" t="str">
        <f ca="1">IFERROR(__xludf.DUMMYFUNCTION("""COMPUTED_VALUE"""),"Dismissal")</f>
        <v>Dismissal</v>
      </c>
      <c r="S36" s="5">
        <f ca="1">IFERROR(__xludf.DUMMYFUNCTION("""COMPUTED_VALUE"""),0.625)</f>
        <v>0.625</v>
      </c>
      <c r="T36" s="1">
        <f ca="1">IFERROR(__xludf.DUMMYFUNCTION("""COMPUTED_VALUE"""),1)</f>
        <v>1</v>
      </c>
      <c r="U36" s="1" t="str">
        <f ca="1">IFERROR(__xludf.DUMMYFUNCTION("""COMPUTED_VALUE"""),"Student attacked by 3 adults who targeted him at dismissal")</f>
        <v>Student attacked by 3 adults who targeted him at dismissal</v>
      </c>
      <c r="V36" s="1" t="str">
        <f ca="1">IFERROR(__xludf.DUMMYFUNCTION("""COMPUTED_VALUE"""),"A Pell City High School student was leaving school Tuesday when three young adults came onto school grounds and attacked him. There was a fight in the parking lot where the attackers showed a gun on school grounds. ""During the fight a firearm was brandis"&amp;"hed by one of the suspects. The suspects involved the victim in a physical fight. A firearm was brandished, the victim was taken to the emergency room."" -- Pell City Police Chief Clay Morris. Chief Morris says the gun was not fired and that the police de"&amp;"partment has two out of the three suspects in custody on a number of charges right now.")</f>
        <v>A Pell City High School student was leaving school Tuesday when three young adults came onto school grounds and attacked him. There was a fight in the parking lot where the attackers showed a gun on school grounds. "During the fight a firearm was brandished by one of the suspects. The suspects involved the victim in a physical fight. A firearm was brandished, the victim was taken to the emergency room." -- Pell City Police Chief Clay Morris. Chief Morris says the gun was not fired and that the police department has two out of the three suspects in custody on a number of charges right now.</v>
      </c>
      <c r="W36" s="1"/>
      <c r="X36" s="1" t="str">
        <f ca="1">IFERROR(__xludf.DUMMYFUNCTION("""COMPUTED_VALUE"""),"Victims Targeted")</f>
        <v>Victims Targeted</v>
      </c>
      <c r="Y36" s="1" t="str">
        <f ca="1">IFERROR(__xludf.DUMMYFUNCTION("""COMPUTED_VALUE"""),"Yes")</f>
        <v>Yes</v>
      </c>
      <c r="Z36" s="1" t="str">
        <f ca="1">IFERROR(__xludf.DUMMYFUNCTION("""COMPUTED_VALUE"""),"3 adults")</f>
        <v>3 adults</v>
      </c>
      <c r="AA36" s="1" t="str">
        <f ca="1">IFERROR(__xludf.DUMMYFUNCTION("""COMPUTED_VALUE"""),"No")</f>
        <v>No</v>
      </c>
      <c r="AB36" s="1" t="str">
        <f ca="1">IFERROR(__xludf.DUMMYFUNCTION("""COMPUTED_VALUE"""),"No")</f>
        <v>No</v>
      </c>
      <c r="AC36" s="1" t="str">
        <f ca="1">IFERROR(__xludf.DUMMYFUNCTION("""COMPUTED_VALUE"""),"No")</f>
        <v>No</v>
      </c>
      <c r="AD36" s="1" t="str">
        <f ca="1">IFERROR(__xludf.DUMMYFUNCTION("""COMPUTED_VALUE"""),"No")</f>
        <v>No</v>
      </c>
      <c r="AE36" s="1" t="str">
        <f ca="1">IFERROR(__xludf.DUMMYFUNCTION("""COMPUTED_VALUE"""),"No")</f>
        <v>No</v>
      </c>
      <c r="AF36" s="1"/>
      <c r="AG36" s="1" t="str">
        <f ca="1">IFERROR(__xludf.DUMMYFUNCTION("""COMPUTED_VALUE"""),"No")</f>
        <v>No</v>
      </c>
      <c r="AH36" s="1">
        <f ca="1">IFERROR(__xludf.DUMMYFUNCTION("""COMPUTED_VALUE"""),0)</f>
        <v>0</v>
      </c>
    </row>
    <row r="37" spans="1:34" ht="12.5">
      <c r="A37" s="1" t="str">
        <f ca="1">IFERROR(__xludf.DUMMYFUNCTION("""COMPUTED_VALUE"""),"20240220MISAS")</f>
        <v>20240220MISAS</v>
      </c>
      <c r="B37" s="1">
        <f ca="1">IFERROR(__xludf.DUMMYFUNCTION("""COMPUTED_VALUE"""),2)</f>
        <v>2</v>
      </c>
      <c r="C37" s="1">
        <f ca="1">IFERROR(__xludf.DUMMYFUNCTION("""COMPUTED_VALUE"""),20)</f>
        <v>20</v>
      </c>
      <c r="D37" s="1">
        <f ca="1">IFERROR(__xludf.DUMMYFUNCTION("""COMPUTED_VALUE"""),2024)</f>
        <v>2024</v>
      </c>
      <c r="E37" s="4">
        <f ca="1">IFERROR(__xludf.DUMMYFUNCTION("""COMPUTED_VALUE"""),45342)</f>
        <v>45342</v>
      </c>
      <c r="F37" s="1" t="str">
        <f ca="1">IFERROR(__xludf.DUMMYFUNCTION("""COMPUTED_VALUE"""),"Saginaw High School")</f>
        <v>Saginaw High School</v>
      </c>
      <c r="G37" s="1">
        <f ca="1">IFERROR(__xludf.DUMMYFUNCTION("""COMPUTED_VALUE"""),0)</f>
        <v>0</v>
      </c>
      <c r="H37" s="1">
        <f ca="1">IFERROR(__xludf.DUMMYFUNCTION("""COMPUTED_VALUE"""),0)</f>
        <v>0</v>
      </c>
      <c r="I37" s="1">
        <f ca="1">IFERROR(__xludf.DUMMYFUNCTION("""COMPUTED_VALUE"""),0)</f>
        <v>0</v>
      </c>
      <c r="J37" s="1">
        <f ca="1">IFERROR(__xludf.DUMMYFUNCTION("""COMPUTED_VALUE"""),0)</f>
        <v>0</v>
      </c>
      <c r="K37" s="1" t="str">
        <f ca="1">IFERROR(__xludf.DUMMYFUNCTION("""COMPUTED_VALUE"""),"Winter")</f>
        <v>Winter</v>
      </c>
      <c r="L37" s="1" t="str">
        <f ca="1">IFERROR(__xludf.DUMMYFUNCTION("""COMPUTED_VALUE"""),"Saginaw")</f>
        <v>Saginaw</v>
      </c>
      <c r="M37" s="1" t="str">
        <f ca="1">IFERROR(__xludf.DUMMYFUNCTION("""COMPUTED_VALUE"""),"MI")</f>
        <v>MI</v>
      </c>
      <c r="N37" s="1" t="str">
        <f ca="1">IFERROR(__xludf.DUMMYFUNCTION("""COMPUTED_VALUE"""),"High")</f>
        <v>High</v>
      </c>
      <c r="O37" s="1" t="str">
        <f ca="1">IFERROR(__xludf.DUMMYFUNCTION("""COMPUTED_VALUE"""),"Parking Lot")</f>
        <v>Parking Lot</v>
      </c>
      <c r="P37" s="1" t="str">
        <f ca="1">IFERROR(__xludf.DUMMYFUNCTION("""COMPUTED_VALUE"""),"Outside on School Property")</f>
        <v>Outside on School Property</v>
      </c>
      <c r="Q37" s="1" t="str">
        <f ca="1">IFERROR(__xludf.DUMMYFUNCTION("""COMPUTED_VALUE"""),"Yes")</f>
        <v>Yes</v>
      </c>
      <c r="R37" s="1" t="str">
        <f ca="1">IFERROR(__xludf.DUMMYFUNCTION("""COMPUTED_VALUE"""),"Dismissal")</f>
        <v>Dismissal</v>
      </c>
      <c r="S37" s="5">
        <f ca="1">IFERROR(__xludf.DUMMYFUNCTION("""COMPUTED_VALUE"""),0.625)</f>
        <v>0.625</v>
      </c>
      <c r="T37" s="1">
        <f ca="1">IFERROR(__xludf.DUMMYFUNCTION("""COMPUTED_VALUE"""),1)</f>
        <v>1</v>
      </c>
      <c r="U37" s="1" t="str">
        <f ca="1">IFERROR(__xludf.DUMMYFUNCTION("""COMPUTED_VALUE"""),"Shot fired during fight at dismissal")</f>
        <v>Shot fired during fight at dismissal</v>
      </c>
      <c r="V37" s="1" t="str">
        <f ca="1">IFERROR(__xludf.DUMMYFUNCTION("""COMPUTED_VALUE"""),"Per police, a group of non-students came to the campus to target a group of students leaving the school at dismissal. Shot was fired during a fight and then shooter got into high speed chase with police. Shooter was arrested after crashing vehicle away fr"&amp;"om campus.")</f>
        <v>Per police, a group of non-students came to the campus to target a group of students leaving the school at dismissal. Shot was fired during a fight and then shooter got into high speed chase with police. Shooter was arrested after crashing vehicle away from campus.</v>
      </c>
      <c r="W37" s="1" t="str">
        <f ca="1">IFERROR(__xludf.DUMMYFUNCTION("""COMPUTED_VALUE"""),"Escalation of Dispute")</f>
        <v>Escalation of Dispute</v>
      </c>
      <c r="X37" s="1" t="str">
        <f ca="1">IFERROR(__xludf.DUMMYFUNCTION("""COMPUTED_VALUE"""),"Victims Targeted")</f>
        <v>Victims Targeted</v>
      </c>
      <c r="Y37" s="1"/>
      <c r="Z37" s="1"/>
      <c r="AA37" s="1" t="str">
        <f ca="1">IFERROR(__xludf.DUMMYFUNCTION("""COMPUTED_VALUE"""),"No")</f>
        <v>No</v>
      </c>
      <c r="AB37" s="1" t="str">
        <f ca="1">IFERROR(__xludf.DUMMYFUNCTION("""COMPUTED_VALUE"""),"No")</f>
        <v>No</v>
      </c>
      <c r="AC37" s="1" t="str">
        <f ca="1">IFERROR(__xludf.DUMMYFUNCTION("""COMPUTED_VALUE"""),"No")</f>
        <v>No</v>
      </c>
      <c r="AD37" s="1" t="str">
        <f ca="1">IFERROR(__xludf.DUMMYFUNCTION("""COMPUTED_VALUE"""),"No")</f>
        <v>No</v>
      </c>
      <c r="AE37" s="1" t="str">
        <f ca="1">IFERROR(__xludf.DUMMYFUNCTION("""COMPUTED_VALUE"""),"No")</f>
        <v>No</v>
      </c>
      <c r="AF37" s="1"/>
      <c r="AG37" s="1" t="str">
        <f ca="1">IFERROR(__xludf.DUMMYFUNCTION("""COMPUTED_VALUE"""),"No")</f>
        <v>No</v>
      </c>
      <c r="AH37" s="1">
        <f ca="1">IFERROR(__xludf.DUMMYFUNCTION("""COMPUTED_VALUE"""),1)</f>
        <v>1</v>
      </c>
    </row>
    <row r="38" spans="1:34" ht="12.5">
      <c r="A38" s="1" t="str">
        <f ca="1">IFERROR(__xludf.DUMMYFUNCTION("""COMPUTED_VALUE"""),"20240219TXPIM")</f>
        <v>20240219TXPIM</v>
      </c>
      <c r="B38" s="1">
        <f ca="1">IFERROR(__xludf.DUMMYFUNCTION("""COMPUTED_VALUE"""),2)</f>
        <v>2</v>
      </c>
      <c r="C38" s="1">
        <f ca="1">IFERROR(__xludf.DUMMYFUNCTION("""COMPUTED_VALUE"""),19)</f>
        <v>19</v>
      </c>
      <c r="D38" s="1">
        <f ca="1">IFERROR(__xludf.DUMMYFUNCTION("""COMPUTED_VALUE"""),2024)</f>
        <v>2024</v>
      </c>
      <c r="E38" s="4">
        <f ca="1">IFERROR(__xludf.DUMMYFUNCTION("""COMPUTED_VALUE"""),45341)</f>
        <v>45341</v>
      </c>
      <c r="F38" s="1" t="str">
        <f ca="1">IFERROR(__xludf.DUMMYFUNCTION("""COMPUTED_VALUE"""),"Pioneer Technology and Arts Academy")</f>
        <v>Pioneer Technology and Arts Academy</v>
      </c>
      <c r="G38" s="1">
        <f ca="1">IFERROR(__xludf.DUMMYFUNCTION("""COMPUTED_VALUE"""),0)</f>
        <v>0</v>
      </c>
      <c r="H38" s="1">
        <f ca="1">IFERROR(__xludf.DUMMYFUNCTION("""COMPUTED_VALUE"""),0)</f>
        <v>0</v>
      </c>
      <c r="I38" s="1">
        <f ca="1">IFERROR(__xludf.DUMMYFUNCTION("""COMPUTED_VALUE"""),0)</f>
        <v>0</v>
      </c>
      <c r="J38" s="1">
        <f ca="1">IFERROR(__xludf.DUMMYFUNCTION("""COMPUTED_VALUE"""),0)</f>
        <v>0</v>
      </c>
      <c r="K38" s="1" t="str">
        <f ca="1">IFERROR(__xludf.DUMMYFUNCTION("""COMPUTED_VALUE"""),"Winter")</f>
        <v>Winter</v>
      </c>
      <c r="L38" s="1" t="str">
        <f ca="1">IFERROR(__xludf.DUMMYFUNCTION("""COMPUTED_VALUE"""),"Mesquite")</f>
        <v>Mesquite</v>
      </c>
      <c r="M38" s="1" t="str">
        <f ca="1">IFERROR(__xludf.DUMMYFUNCTION("""COMPUTED_VALUE"""),"TX")</f>
        <v>TX</v>
      </c>
      <c r="N38" s="1" t="str">
        <f ca="1">IFERROR(__xludf.DUMMYFUNCTION("""COMPUTED_VALUE"""),"6-12")</f>
        <v>6-12</v>
      </c>
      <c r="O38" s="1" t="str">
        <f ca="1">IFERROR(__xludf.DUMMYFUNCTION("""COMPUTED_VALUE"""),"Office")</f>
        <v>Office</v>
      </c>
      <c r="P38" s="1" t="str">
        <f ca="1">IFERROR(__xludf.DUMMYFUNCTION("""COMPUTED_VALUE"""),"Inside School Building")</f>
        <v>Inside School Building</v>
      </c>
      <c r="Q38" s="1" t="str">
        <f ca="1">IFERROR(__xludf.DUMMYFUNCTION("""COMPUTED_VALUE"""),"Yes")</f>
        <v>Yes</v>
      </c>
      <c r="R38" s="1" t="str">
        <f ca="1">IFERROR(__xludf.DUMMYFUNCTION("""COMPUTED_VALUE"""),"Morning Classes")</f>
        <v>Morning Classes</v>
      </c>
      <c r="S38" s="5">
        <f ca="1">IFERROR(__xludf.DUMMYFUNCTION("""COMPUTED_VALUE"""),0.368055555555555)</f>
        <v>0.36805555555555503</v>
      </c>
      <c r="T38" s="1">
        <f ca="1">IFERROR(__xludf.DUMMYFUNCTION("""COMPUTED_VALUE"""),6)</f>
        <v>6</v>
      </c>
      <c r="U38" s="1" t="str">
        <f ca="1">IFERROR(__xludf.DUMMYFUNCTION("""COMPUTED_VALUE"""),"Student with gun shot by police inside school office")</f>
        <v>Student with gun shot by police inside school office</v>
      </c>
      <c r="V38" s="1" t="str">
        <f ca="1">IFERROR(__xludf.DUMMYFUNCTION("""COMPUTED_VALUE"""),"When police arrived, a 16-year-old student was alone in the school office with a gun. Officers reportedly gave the student verbal commands to put down the weapon, but at some point during negotiations, three officers shot at the armed student. The student"&amp;" was wounded and transported to the hospital where he remains in police custody. No other students and staff were injured. Police have not released information about how many shots the three officers fired or how many struck the teen. Officers fired 19 sh"&amp;"ots at the student. Prior to the shooting, the shooter had told other students he was going to commit a shooting during English class and planned to kill the teacher. He showed 3 students the gun inside his backpack before the shooting. ""He decides to ju"&amp;"st open his backpack and start flashing the gun at me,"" she said. ""He said he was going to do it one day so today was that day. He was going to do it and how he's only going to be going after the English teacher. That everybody should just leave the cla"&amp;"ssroom after.""")</f>
        <v>When police arrived, a 16-year-old student was alone in the school office with a gun. Officers reportedly gave the student verbal commands to put down the weapon, but at some point during negotiations, three officers shot at the armed student. The student was wounded and transported to the hospital where he remains in police custody. No other students and staff were injured. Police have not released information about how many shots the three officers fired or how many struck the teen. Officers fired 19 shots at the student. Prior to the shooting, the shooter had told other students he was going to commit a shooting during English class and planned to kill the teacher. He showed 3 students the gun inside his backpack before the shooting. "He decides to just open his backpack and start flashing the gun at me," she said. "He said he was going to do it one day so today was that day. He was going to do it and how he's only going to be going after the English teacher. That everybody should just leave the classroom after."</v>
      </c>
      <c r="W38" s="1" t="str">
        <f ca="1">IFERROR(__xludf.DUMMYFUNCTION("""COMPUTED_VALUE"""),"Anger Over Grade/Suspension/Discipline")</f>
        <v>Anger Over Grade/Suspension/Discipline</v>
      </c>
      <c r="X38" s="1" t="str">
        <f ca="1">IFERROR(__xludf.DUMMYFUNCTION("""COMPUTED_VALUE"""),"Victims Targeted")</f>
        <v>Victims Targeted</v>
      </c>
      <c r="Y38" s="1" t="str">
        <f ca="1">IFERROR(__xludf.DUMMYFUNCTION("""COMPUTED_VALUE"""),"No")</f>
        <v>No</v>
      </c>
      <c r="Z38" s="1"/>
      <c r="AA38" s="1" t="str">
        <f ca="1">IFERROR(__xludf.DUMMYFUNCTION("""COMPUTED_VALUE"""),"No")</f>
        <v>No</v>
      </c>
      <c r="AB38" s="1" t="str">
        <f ca="1">IFERROR(__xludf.DUMMYFUNCTION("""COMPUTED_VALUE"""),"No")</f>
        <v>No</v>
      </c>
      <c r="AC38" s="1" t="str">
        <f ca="1">IFERROR(__xludf.DUMMYFUNCTION("""COMPUTED_VALUE"""),"No")</f>
        <v>No</v>
      </c>
      <c r="AD38" s="1" t="str">
        <f ca="1">IFERROR(__xludf.DUMMYFUNCTION("""COMPUTED_VALUE"""),"No")</f>
        <v>No</v>
      </c>
      <c r="AE38" s="1" t="str">
        <f ca="1">IFERROR(__xludf.DUMMYFUNCTION("""COMPUTED_VALUE"""),"No")</f>
        <v>No</v>
      </c>
      <c r="AF38" s="1" t="str">
        <f ca="1">IFERROR(__xludf.DUMMYFUNCTION("""COMPUTED_VALUE"""),"No")</f>
        <v>No</v>
      </c>
      <c r="AG38" s="1" t="str">
        <f ca="1">IFERROR(__xludf.DUMMYFUNCTION("""COMPUTED_VALUE"""),"No")</f>
        <v>No</v>
      </c>
      <c r="AH38" s="1">
        <f ca="1">IFERROR(__xludf.DUMMYFUNCTION("""COMPUTED_VALUE"""),0)</f>
        <v>0</v>
      </c>
    </row>
    <row r="39" spans="1:34" ht="12.5">
      <c r="A39" s="1" t="str">
        <f ca="1">IFERROR(__xludf.DUMMYFUNCTION("""COMPUTED_VALUE"""),"20240215FLSHC")</f>
        <v>20240215FLSHC</v>
      </c>
      <c r="B39" s="1">
        <f ca="1">IFERROR(__xludf.DUMMYFUNCTION("""COMPUTED_VALUE"""),2)</f>
        <v>2</v>
      </c>
      <c r="C39" s="1">
        <f ca="1">IFERROR(__xludf.DUMMYFUNCTION("""COMPUTED_VALUE"""),15)</f>
        <v>15</v>
      </c>
      <c r="D39" s="1">
        <f ca="1">IFERROR(__xludf.DUMMYFUNCTION("""COMPUTED_VALUE"""),2024)</f>
        <v>2024</v>
      </c>
      <c r="E39" s="4">
        <f ca="1">IFERROR(__xludf.DUMMYFUNCTION("""COMPUTED_VALUE"""),45337)</f>
        <v>45337</v>
      </c>
      <c r="F39" s="1" t="str">
        <f ca="1">IFERROR(__xludf.DUMMYFUNCTION("""COMPUTED_VALUE"""),"Shadeville Elementary School")</f>
        <v>Shadeville Elementary School</v>
      </c>
      <c r="G39" s="1">
        <f ca="1">IFERROR(__xludf.DUMMYFUNCTION("""COMPUTED_VALUE"""),0)</f>
        <v>0</v>
      </c>
      <c r="H39" s="1">
        <f ca="1">IFERROR(__xludf.DUMMYFUNCTION("""COMPUTED_VALUE"""),1)</f>
        <v>1</v>
      </c>
      <c r="I39" s="1">
        <f ca="1">IFERROR(__xludf.DUMMYFUNCTION("""COMPUTED_VALUE"""),1)</f>
        <v>1</v>
      </c>
      <c r="J39" s="1">
        <f ca="1">IFERROR(__xludf.DUMMYFUNCTION("""COMPUTED_VALUE"""),0)</f>
        <v>0</v>
      </c>
      <c r="K39" s="1" t="str">
        <f ca="1">IFERROR(__xludf.DUMMYFUNCTION("""COMPUTED_VALUE"""),"Winter")</f>
        <v>Winter</v>
      </c>
      <c r="L39" s="1" t="str">
        <f ca="1">IFERROR(__xludf.DUMMYFUNCTION("""COMPUTED_VALUE"""),"Crawfordville")</f>
        <v>Crawfordville</v>
      </c>
      <c r="M39" s="1" t="str">
        <f ca="1">IFERROR(__xludf.DUMMYFUNCTION("""COMPUTED_VALUE"""),"FL")</f>
        <v>FL</v>
      </c>
      <c r="N39" s="1" t="str">
        <f ca="1">IFERROR(__xludf.DUMMYFUNCTION("""COMPUTED_VALUE"""),"Elementary")</f>
        <v>Elementary</v>
      </c>
      <c r="O39" s="1" t="str">
        <f ca="1">IFERROR(__xludf.DUMMYFUNCTION("""COMPUTED_VALUE"""),"School Bus")</f>
        <v>School Bus</v>
      </c>
      <c r="P39" s="1" t="str">
        <f ca="1">IFERROR(__xludf.DUMMYFUNCTION("""COMPUTED_VALUE"""),"School Bus")</f>
        <v>School Bus</v>
      </c>
      <c r="Q39" s="1" t="str">
        <f ca="1">IFERROR(__xludf.DUMMYFUNCTION("""COMPUTED_VALUE"""),"Yes")</f>
        <v>Yes</v>
      </c>
      <c r="R39" s="1" t="str">
        <f ca="1">IFERROR(__xludf.DUMMYFUNCTION("""COMPUTED_VALUE"""),"Dismissal")</f>
        <v>Dismissal</v>
      </c>
      <c r="S39" s="5">
        <f ca="1">IFERROR(__xludf.DUMMYFUNCTION("""COMPUTED_VALUE"""),0.65625)</f>
        <v>0.65625</v>
      </c>
      <c r="T39" s="1">
        <f ca="1">IFERROR(__xludf.DUMMYFUNCTION("""COMPUTED_VALUE"""),1)</f>
        <v>1</v>
      </c>
      <c r="U39" s="1" t="str">
        <f ca="1">IFERROR(__xludf.DUMMYFUNCTION("""COMPUTED_VALUE"""),"Two juveniles fired pellet guns at occupied school bus breaking windows, one student injured by broken glass")</f>
        <v>Two juveniles fired pellet guns at occupied school bus breaking windows, one student injured by broken glass</v>
      </c>
      <c r="V39" s="1" t="str">
        <f ca="1">IFERROR(__xludf.DUMMYFUNCTION("""COMPUTED_VALUE"""),"On February 15, 2024, Wakulla County District School bus 31 had two of its windows shattered when it was twice fired upon by pellet/BB gun air rifles. The bus was shot as it was transporting students home from Shadeville Elementary School while traveling "&amp;"in an easterly direction on Dr. Martin Luther King Jr. Memorial Blvd in the area of Graham Trail. No children were seriously injured. The shooting was reported to the Wakulla County Sheriff’s Office, Wakulla Fire Rescue, and Wakulla County District School"&amp;"s. Personnel from each of those entities immediately responded to the scene. Wakulla County Fire Rescue evaluated the bus driver and students. There was a minor leg injury to one of the children as a result of glass debris. Thereafter, Wakulla County Dist"&amp;"rict Schools arranged for alternate transportation for the children who had been riding the bus. Deputies saturated the area in an effort to ascertain the origin of the projectiles that shattered the two windows of the school bus.")</f>
        <v>On February 15, 2024, Wakulla County District School bus 31 had two of its windows shattered when it was twice fired upon by pellet/BB gun air rifles. The bus was shot as it was transporting students home from Shadeville Elementary School while traveling in an easterly direction on Dr. Martin Luther King Jr. Memorial Blvd in the area of Graham Trail. No children were seriously injured. The shooting was reported to the Wakulla County Sheriff’s Office, Wakulla Fire Rescue, and Wakulla County District Schools. Personnel from each of those entities immediately responded to the scene. Wakulla County Fire Rescue evaluated the bus driver and students. There was a minor leg injury to one of the children as a result of glass debris. Thereafter, Wakulla County District Schools arranged for alternate transportation for the children who had been riding the bus. Deputies saturated the area in an effort to ascertain the origin of the projectiles that shattered the two windows of the school bus.</v>
      </c>
      <c r="W39" s="1" t="str">
        <f ca="1">IFERROR(__xludf.DUMMYFUNCTION("""COMPUTED_VALUE"""),"Intentional Property Damage")</f>
        <v>Intentional Property Damage</v>
      </c>
      <c r="X39" s="1"/>
      <c r="Y39" s="1" t="str">
        <f ca="1">IFERROR(__xludf.DUMMYFUNCTION("""COMPUTED_VALUE"""),"Yes")</f>
        <v>Yes</v>
      </c>
      <c r="Z39" s="1" t="str">
        <f ca="1">IFERROR(__xludf.DUMMYFUNCTION("""COMPUTED_VALUE"""),"Two students")</f>
        <v>Two students</v>
      </c>
      <c r="AA39" s="1" t="str">
        <f ca="1">IFERROR(__xludf.DUMMYFUNCTION("""COMPUTED_VALUE"""),"No")</f>
        <v>No</v>
      </c>
      <c r="AB39" s="1" t="str">
        <f ca="1">IFERROR(__xludf.DUMMYFUNCTION("""COMPUTED_VALUE"""),"No")</f>
        <v>No</v>
      </c>
      <c r="AC39" s="1" t="str">
        <f ca="1">IFERROR(__xludf.DUMMYFUNCTION("""COMPUTED_VALUE"""),"No")</f>
        <v>No</v>
      </c>
      <c r="AD39" s="1" t="str">
        <f ca="1">IFERROR(__xludf.DUMMYFUNCTION("""COMPUTED_VALUE"""),"No")</f>
        <v>No</v>
      </c>
      <c r="AE39" s="1" t="str">
        <f ca="1">IFERROR(__xludf.DUMMYFUNCTION("""COMPUTED_VALUE"""),"No")</f>
        <v>No</v>
      </c>
      <c r="AF39" s="1" t="str">
        <f ca="1">IFERROR(__xludf.DUMMYFUNCTION("""COMPUTED_VALUE"""),"No")</f>
        <v>No</v>
      </c>
      <c r="AG39" s="1" t="str">
        <f ca="1">IFERROR(__xludf.DUMMYFUNCTION("""COMPUTED_VALUE"""),"No")</f>
        <v>No</v>
      </c>
      <c r="AH39" s="1">
        <f ca="1">IFERROR(__xludf.DUMMYFUNCTION("""COMPUTED_VALUE"""),99)</f>
        <v>99</v>
      </c>
    </row>
    <row r="40" spans="1:34" ht="12.5">
      <c r="A40" s="1" t="str">
        <f ca="1">IFERROR(__xludf.DUMMYFUNCTION("""COMPUTED_VALUE"""),"20240214GABEA")</f>
        <v>20240214GABEA</v>
      </c>
      <c r="B40" s="1">
        <f ca="1">IFERROR(__xludf.DUMMYFUNCTION("""COMPUTED_VALUE"""),2)</f>
        <v>2</v>
      </c>
      <c r="C40" s="1">
        <f ca="1">IFERROR(__xludf.DUMMYFUNCTION("""COMPUTED_VALUE"""),14)</f>
        <v>14</v>
      </c>
      <c r="D40" s="1">
        <f ca="1">IFERROR(__xludf.DUMMYFUNCTION("""COMPUTED_VALUE"""),2024)</f>
        <v>2024</v>
      </c>
      <c r="E40" s="4">
        <f ca="1">IFERROR(__xludf.DUMMYFUNCTION("""COMPUTED_VALUE"""),45336)</f>
        <v>45336</v>
      </c>
      <c r="F40" s="1" t="str">
        <f ca="1">IFERROR(__xludf.DUMMYFUNCTION("""COMPUTED_VALUE"""),"Benjamin E. Mays High School")</f>
        <v>Benjamin E. Mays High School</v>
      </c>
      <c r="G40" s="1">
        <f ca="1">IFERROR(__xludf.DUMMYFUNCTION("""COMPUTED_VALUE"""),0)</f>
        <v>0</v>
      </c>
      <c r="H40" s="1">
        <f ca="1">IFERROR(__xludf.DUMMYFUNCTION("""COMPUTED_VALUE"""),4)</f>
        <v>4</v>
      </c>
      <c r="I40" s="1">
        <f ca="1">IFERROR(__xludf.DUMMYFUNCTION("""COMPUTED_VALUE"""),4)</f>
        <v>4</v>
      </c>
      <c r="J40" s="1">
        <f ca="1">IFERROR(__xludf.DUMMYFUNCTION("""COMPUTED_VALUE"""),0)</f>
        <v>0</v>
      </c>
      <c r="K40" s="1" t="str">
        <f ca="1">IFERROR(__xludf.DUMMYFUNCTION("""COMPUTED_VALUE"""),"Winter")</f>
        <v>Winter</v>
      </c>
      <c r="L40" s="1" t="str">
        <f ca="1">IFERROR(__xludf.DUMMYFUNCTION("""COMPUTED_VALUE"""),"Atlanta")</f>
        <v>Atlanta</v>
      </c>
      <c r="M40" s="1" t="str">
        <f ca="1">IFERROR(__xludf.DUMMYFUNCTION("""COMPUTED_VALUE"""),"GA")</f>
        <v>GA</v>
      </c>
      <c r="N40" s="1" t="str">
        <f ca="1">IFERROR(__xludf.DUMMYFUNCTION("""COMPUTED_VALUE"""),"High")</f>
        <v>High</v>
      </c>
      <c r="O40" s="1" t="str">
        <f ca="1">IFERROR(__xludf.DUMMYFUNCTION("""COMPUTED_VALUE"""),"Parking Lot")</f>
        <v>Parking Lot</v>
      </c>
      <c r="P40" s="1" t="str">
        <f ca="1">IFERROR(__xludf.DUMMYFUNCTION("""COMPUTED_VALUE"""),"Outside on School Property")</f>
        <v>Outside on School Property</v>
      </c>
      <c r="Q40" s="1" t="str">
        <f ca="1">IFERROR(__xludf.DUMMYFUNCTION("""COMPUTED_VALUE"""),"Yes")</f>
        <v>Yes</v>
      </c>
      <c r="R40" s="1" t="str">
        <f ca="1">IFERROR(__xludf.DUMMYFUNCTION("""COMPUTED_VALUE"""),"Dismissal")</f>
        <v>Dismissal</v>
      </c>
      <c r="S40" s="5">
        <f ca="1">IFERROR(__xludf.DUMMYFUNCTION("""COMPUTED_VALUE"""),0.666666666666666)</f>
        <v>0.66666666666666596</v>
      </c>
      <c r="T40" s="1">
        <f ca="1">IFERROR(__xludf.DUMMYFUNCTION("""COMPUTED_VALUE"""),1)</f>
        <v>1</v>
      </c>
      <c r="U40" s="1" t="str">
        <f ca="1">IFERROR(__xludf.DUMMYFUNCTION("""COMPUTED_VALUE"""),"Four students shot in school parking lot at dismissal")</f>
        <v>Four students shot in school parking lot at dismissal</v>
      </c>
      <c r="V40" s="1" t="str">
        <f ca="1">IFERROR(__xludf.DUMMYFUNCTION("""COMPUTED_VALUE"""),"“Shortly after dismissal, shots were fired from an unknown vehicle, striking four students at Benjamin E. Mays High School lower campus parking lot,” the district said in a statement.")</f>
        <v>“Shortly after dismissal, shots were fired from an unknown vehicle, striking four students at Benjamin E. Mays High School lower campus parking lot,” the district said in a statement.</v>
      </c>
      <c r="W40" s="1" t="str">
        <f ca="1">IFERROR(__xludf.DUMMYFUNCTION("""COMPUTED_VALUE"""),"Drive-by Shooting")</f>
        <v>Drive-by Shooting</v>
      </c>
      <c r="X40" s="1" t="str">
        <f ca="1">IFERROR(__xludf.DUMMYFUNCTION("""COMPUTED_VALUE"""),"Victims Targeted")</f>
        <v>Victims Targeted</v>
      </c>
      <c r="Y40" s="1" t="str">
        <f ca="1">IFERROR(__xludf.DUMMYFUNCTION("""COMPUTED_VALUE"""),"Yes")</f>
        <v>Yes</v>
      </c>
      <c r="Z40" s="1"/>
      <c r="AA40" s="1" t="str">
        <f ca="1">IFERROR(__xludf.DUMMYFUNCTION("""COMPUTED_VALUE"""),"No")</f>
        <v>No</v>
      </c>
      <c r="AB40" s="1" t="str">
        <f ca="1">IFERROR(__xludf.DUMMYFUNCTION("""COMPUTED_VALUE"""),"No")</f>
        <v>No</v>
      </c>
      <c r="AC40" s="1" t="str">
        <f ca="1">IFERROR(__xludf.DUMMYFUNCTION("""COMPUTED_VALUE"""),"No")</f>
        <v>No</v>
      </c>
      <c r="AD40" s="1" t="str">
        <f ca="1">IFERROR(__xludf.DUMMYFUNCTION("""COMPUTED_VALUE"""),"No")</f>
        <v>No</v>
      </c>
      <c r="AE40" s="1" t="str">
        <f ca="1">IFERROR(__xludf.DUMMYFUNCTION("""COMPUTED_VALUE"""),"No")</f>
        <v>No</v>
      </c>
      <c r="AF40" s="1"/>
      <c r="AG40" s="1" t="str">
        <f ca="1">IFERROR(__xludf.DUMMYFUNCTION("""COMPUTED_VALUE"""),"No")</f>
        <v>No</v>
      </c>
      <c r="AH40" s="1">
        <f ca="1">IFERROR(__xludf.DUMMYFUNCTION("""COMPUTED_VALUE"""),99)</f>
        <v>99</v>
      </c>
    </row>
    <row r="41" spans="1:34" ht="12.5">
      <c r="A41" s="1" t="str">
        <f ca="1">IFERROR(__xludf.DUMMYFUNCTION("""COMPUTED_VALUE"""),"20240213TNRAM")</f>
        <v>20240213TNRAM</v>
      </c>
      <c r="B41" s="1">
        <f ca="1">IFERROR(__xludf.DUMMYFUNCTION("""COMPUTED_VALUE"""),2)</f>
        <v>2</v>
      </c>
      <c r="C41" s="1">
        <f ca="1">IFERROR(__xludf.DUMMYFUNCTION("""COMPUTED_VALUE"""),13)</f>
        <v>13</v>
      </c>
      <c r="D41" s="1">
        <f ca="1">IFERROR(__xludf.DUMMYFUNCTION("""COMPUTED_VALUE"""),2024)</f>
        <v>2024</v>
      </c>
      <c r="E41" s="4">
        <f ca="1">IFERROR(__xludf.DUMMYFUNCTION("""COMPUTED_VALUE"""),45335)</f>
        <v>45335</v>
      </c>
      <c r="F41" s="1" t="str">
        <f ca="1">IFERROR(__xludf.DUMMYFUNCTION("""COMPUTED_VALUE"""),"Raleigh Egypt Middle School")</f>
        <v>Raleigh Egypt Middle School</v>
      </c>
      <c r="G41" s="1">
        <f ca="1">IFERROR(__xludf.DUMMYFUNCTION("""COMPUTED_VALUE"""),0)</f>
        <v>0</v>
      </c>
      <c r="H41" s="1">
        <f ca="1">IFERROR(__xludf.DUMMYFUNCTION("""COMPUTED_VALUE"""),1)</f>
        <v>1</v>
      </c>
      <c r="I41" s="1">
        <f ca="1">IFERROR(__xludf.DUMMYFUNCTION("""COMPUTED_VALUE"""),1)</f>
        <v>1</v>
      </c>
      <c r="J41" s="1">
        <f ca="1">IFERROR(__xludf.DUMMYFUNCTION("""COMPUTED_VALUE"""),0)</f>
        <v>0</v>
      </c>
      <c r="K41" s="1" t="str">
        <f ca="1">IFERROR(__xludf.DUMMYFUNCTION("""COMPUTED_VALUE"""),"Winter")</f>
        <v>Winter</v>
      </c>
      <c r="L41" s="1" t="str">
        <f ca="1">IFERROR(__xludf.DUMMYFUNCTION("""COMPUTED_VALUE"""),"Memphis")</f>
        <v>Memphis</v>
      </c>
      <c r="M41" s="1" t="str">
        <f ca="1">IFERROR(__xludf.DUMMYFUNCTION("""COMPUTED_VALUE"""),"TN")</f>
        <v>TN</v>
      </c>
      <c r="N41" s="1" t="str">
        <f ca="1">IFERROR(__xludf.DUMMYFUNCTION("""COMPUTED_VALUE"""),"Middle")</f>
        <v>Middle</v>
      </c>
      <c r="O41" s="1" t="str">
        <f ca="1">IFERROR(__xludf.DUMMYFUNCTION("""COMPUTED_VALUE"""),"Parking Lot")</f>
        <v>Parking Lot</v>
      </c>
      <c r="P41" s="1" t="str">
        <f ca="1">IFERROR(__xludf.DUMMYFUNCTION("""COMPUTED_VALUE"""),"Outside on School Property")</f>
        <v>Outside on School Property</v>
      </c>
      <c r="Q41" s="1" t="str">
        <f ca="1">IFERROR(__xludf.DUMMYFUNCTION("""COMPUTED_VALUE"""),"Yes")</f>
        <v>Yes</v>
      </c>
      <c r="R41" s="1" t="str">
        <f ca="1">IFERROR(__xludf.DUMMYFUNCTION("""COMPUTED_VALUE"""),"Dismissal")</f>
        <v>Dismissal</v>
      </c>
      <c r="S41" s="5">
        <f ca="1">IFERROR(__xludf.DUMMYFUNCTION("""COMPUTED_VALUE"""),0.645833333333333)</f>
        <v>0.64583333333333304</v>
      </c>
      <c r="T41" s="1">
        <f ca="1">IFERROR(__xludf.DUMMYFUNCTION("""COMPUTED_VALUE"""),1)</f>
        <v>1</v>
      </c>
      <c r="U41" s="1" t="str">
        <f ca="1">IFERROR(__xludf.DUMMYFUNCTION("""COMPUTED_VALUE"""),"Mother struck student with handgun during fight at dismissal")</f>
        <v>Mother struck student with handgun during fight at dismissal</v>
      </c>
      <c r="V41" s="1" t="str">
        <f ca="1">IFERROR(__xludf.DUMMYFUNCTION("""COMPUTED_VALUE"""),"A woman was arrested by Memphis police for allegedly assaulting two female students at Raleigh Egypt Middle School and threatening to shoot the school. Tonishea McIntyre, 36, is charged with assault, aggravated assault, and the threat of mass violence on "&amp;"school property. The 16-year-old victim told police that she was involved in a large fight with multiple kids and during the fight, McIntyre struck her in the head with a small handgun. The victim had to receive three stitches on her forehead as a result.")</f>
        <v>A woman was arrested by Memphis police for allegedly assaulting two female students at Raleigh Egypt Middle School and threatening to shoot the school. Tonishea McIntyre, 36, is charged with assault, aggravated assault, and the threat of mass violence on school property. The 16-year-old victim told police that she was involved in a large fight with multiple kids and during the fight, McIntyre struck her in the head with a small handgun. The victim had to receive three stitches on her forehead as a result.</v>
      </c>
      <c r="W41" s="1" t="str">
        <f ca="1">IFERROR(__xludf.DUMMYFUNCTION("""COMPUTED_VALUE"""),"Escalation of Dispute")</f>
        <v>Escalation of Dispute</v>
      </c>
      <c r="X41" s="1" t="str">
        <f ca="1">IFERROR(__xludf.DUMMYFUNCTION("""COMPUTED_VALUE"""),"Victims Targeted")</f>
        <v>Victims Targeted</v>
      </c>
      <c r="Y41" s="1" t="str">
        <f ca="1">IFERROR(__xludf.DUMMYFUNCTION("""COMPUTED_VALUE"""),"No")</f>
        <v>No</v>
      </c>
      <c r="Z41" s="1"/>
      <c r="AA41" s="1" t="str">
        <f ca="1">IFERROR(__xludf.DUMMYFUNCTION("""COMPUTED_VALUE"""),"No")</f>
        <v>No</v>
      </c>
      <c r="AB41" s="1" t="str">
        <f ca="1">IFERROR(__xludf.DUMMYFUNCTION("""COMPUTED_VALUE"""),"No")</f>
        <v>No</v>
      </c>
      <c r="AC41" s="1" t="str">
        <f ca="1">IFERROR(__xludf.DUMMYFUNCTION("""COMPUTED_VALUE"""),"No")</f>
        <v>No</v>
      </c>
      <c r="AD41" s="1" t="str">
        <f ca="1">IFERROR(__xludf.DUMMYFUNCTION("""COMPUTED_VALUE"""),"No")</f>
        <v>No</v>
      </c>
      <c r="AE41" s="1" t="str">
        <f ca="1">IFERROR(__xludf.DUMMYFUNCTION("""COMPUTED_VALUE"""),"No")</f>
        <v>No</v>
      </c>
      <c r="AF41" s="1" t="str">
        <f ca="1">IFERROR(__xludf.DUMMYFUNCTION("""COMPUTED_VALUE"""),"No")</f>
        <v>No</v>
      </c>
      <c r="AG41" s="1" t="str">
        <f ca="1">IFERROR(__xludf.DUMMYFUNCTION("""COMPUTED_VALUE"""),"No")</f>
        <v>No</v>
      </c>
      <c r="AH41" s="1">
        <f ca="1">IFERROR(__xludf.DUMMYFUNCTION("""COMPUTED_VALUE"""),0)</f>
        <v>0</v>
      </c>
    </row>
    <row r="42" spans="1:34" ht="12.5">
      <c r="A42" s="1" t="str">
        <f ca="1">IFERROR(__xludf.DUMMYFUNCTION("""COMPUTED_VALUE"""),"20240212OHBEB")</f>
        <v>20240212OHBEB</v>
      </c>
      <c r="B42" s="1">
        <f ca="1">IFERROR(__xludf.DUMMYFUNCTION("""COMPUTED_VALUE"""),2)</f>
        <v>2</v>
      </c>
      <c r="C42" s="1">
        <f ca="1">IFERROR(__xludf.DUMMYFUNCTION("""COMPUTED_VALUE"""),12)</f>
        <v>12</v>
      </c>
      <c r="D42" s="1">
        <f ca="1">IFERROR(__xludf.DUMMYFUNCTION("""COMPUTED_VALUE"""),2024)</f>
        <v>2024</v>
      </c>
      <c r="E42" s="4">
        <f ca="1">IFERROR(__xludf.DUMMYFUNCTION("""COMPUTED_VALUE"""),45334)</f>
        <v>45334</v>
      </c>
      <c r="F42" s="1" t="str">
        <f ca="1">IFERROR(__xludf.DUMMYFUNCTION("""COMPUTED_VALUE"""),"Bedford High School")</f>
        <v>Bedford High School</v>
      </c>
      <c r="G42" s="1">
        <f ca="1">IFERROR(__xludf.DUMMYFUNCTION("""COMPUTED_VALUE"""),0)</f>
        <v>0</v>
      </c>
      <c r="H42" s="1">
        <f ca="1">IFERROR(__xludf.DUMMYFUNCTION("""COMPUTED_VALUE"""),1)</f>
        <v>1</v>
      </c>
      <c r="I42" s="1">
        <f ca="1">IFERROR(__xludf.DUMMYFUNCTION("""COMPUTED_VALUE"""),1)</f>
        <v>1</v>
      </c>
      <c r="J42" s="1">
        <f ca="1">IFERROR(__xludf.DUMMYFUNCTION("""COMPUTED_VALUE"""),0)</f>
        <v>0</v>
      </c>
      <c r="K42" s="1" t="str">
        <f ca="1">IFERROR(__xludf.DUMMYFUNCTION("""COMPUTED_VALUE"""),"Winter")</f>
        <v>Winter</v>
      </c>
      <c r="L42" s="1" t="str">
        <f ca="1">IFERROR(__xludf.DUMMYFUNCTION("""COMPUTED_VALUE"""),"Bedford")</f>
        <v>Bedford</v>
      </c>
      <c r="M42" s="1" t="str">
        <f ca="1">IFERROR(__xludf.DUMMYFUNCTION("""COMPUTED_VALUE"""),"OH")</f>
        <v>OH</v>
      </c>
      <c r="N42" s="1" t="str">
        <f ca="1">IFERROR(__xludf.DUMMYFUNCTION("""COMPUTED_VALUE"""),"High")</f>
        <v>High</v>
      </c>
      <c r="O42" s="1" t="str">
        <f ca="1">IFERROR(__xludf.DUMMYFUNCTION("""COMPUTED_VALUE"""),"Football Field/Track")</f>
        <v>Football Field/Track</v>
      </c>
      <c r="P42" s="1" t="str">
        <f ca="1">IFERROR(__xludf.DUMMYFUNCTION("""COMPUTED_VALUE"""),"Outside on School Property")</f>
        <v>Outside on School Property</v>
      </c>
      <c r="Q42" s="1" t="str">
        <f ca="1">IFERROR(__xludf.DUMMYFUNCTION("""COMPUTED_VALUE"""),"Yes")</f>
        <v>Yes</v>
      </c>
      <c r="R42" s="1" t="str">
        <f ca="1">IFERROR(__xludf.DUMMYFUNCTION("""COMPUTED_VALUE"""),"Afternoon Classes")</f>
        <v>Afternoon Classes</v>
      </c>
      <c r="S42" s="5">
        <f ca="1">IFERROR(__xludf.DUMMYFUNCTION("""COMPUTED_VALUE"""),0.611111111111111)</f>
        <v>0.61111111111111105</v>
      </c>
      <c r="T42" s="1">
        <f ca="1">IFERROR(__xludf.DUMMYFUNCTION("""COMPUTED_VALUE"""),1)</f>
        <v>1</v>
      </c>
      <c r="U42" s="1" t="str">
        <f ca="1">IFERROR(__xludf.DUMMYFUNCTION("""COMPUTED_VALUE"""),"Man struck student with gun near the football field, fled before SRO arrived")</f>
        <v>Man struck student with gun near the football field, fled before SRO arrived</v>
      </c>
      <c r="V42" s="1" t="str">
        <f ca="1">IFERROR(__xludf.DUMMYFUNCTION("""COMPUTED_VALUE"""),"The incident happened on Feb. 12 near Bearcat Stadium. Bedford High School Principal Khalisha Lewis informed families that at around 2:40 p.m., school leaders were informed that an unknown adult was on school grounds with a possible weapon. Bedford police"&amp;" says its school resource officer was dispatched to the stadium building for a call of an injured student. Suspect fled and was arrested off campus.")</f>
        <v>The incident happened on Feb. 12 near Bearcat Stadium. Bedford High School Principal Khalisha Lewis informed families that at around 2:40 p.m., school leaders were informed that an unknown adult was on school grounds with a possible weapon. Bedford police says its school resource officer was dispatched to the stadium building for a call of an injured student. Suspect fled and was arrested off campus.</v>
      </c>
      <c r="W42" s="1"/>
      <c r="X42" s="1" t="str">
        <f ca="1">IFERROR(__xludf.DUMMYFUNCTION("""COMPUTED_VALUE"""),"Victims Targeted")</f>
        <v>Victims Targeted</v>
      </c>
      <c r="Y42" s="1" t="str">
        <f ca="1">IFERROR(__xludf.DUMMYFUNCTION("""COMPUTED_VALUE"""),"No")</f>
        <v>No</v>
      </c>
      <c r="Z42" s="1"/>
      <c r="AA42" s="1" t="str">
        <f ca="1">IFERROR(__xludf.DUMMYFUNCTION("""COMPUTED_VALUE"""),"No")</f>
        <v>No</v>
      </c>
      <c r="AB42" s="1" t="str">
        <f ca="1">IFERROR(__xludf.DUMMYFUNCTION("""COMPUTED_VALUE"""),"No")</f>
        <v>No</v>
      </c>
      <c r="AC42" s="1" t="str">
        <f ca="1">IFERROR(__xludf.DUMMYFUNCTION("""COMPUTED_VALUE"""),"No")</f>
        <v>No</v>
      </c>
      <c r="AD42" s="1" t="str">
        <f ca="1">IFERROR(__xludf.DUMMYFUNCTION("""COMPUTED_VALUE"""),"No")</f>
        <v>No</v>
      </c>
      <c r="AE42" s="1" t="str">
        <f ca="1">IFERROR(__xludf.DUMMYFUNCTION("""COMPUTED_VALUE"""),"No")</f>
        <v>No</v>
      </c>
      <c r="AF42" s="1"/>
      <c r="AG42" s="1" t="str">
        <f ca="1">IFERROR(__xludf.DUMMYFUNCTION("""COMPUTED_VALUE"""),"No")</f>
        <v>No</v>
      </c>
      <c r="AH42" s="1">
        <f ca="1">IFERROR(__xludf.DUMMYFUNCTION("""COMPUTED_VALUE"""),0)</f>
        <v>0</v>
      </c>
    </row>
    <row r="43" spans="1:34" ht="12.5">
      <c r="A43" s="1" t="str">
        <f ca="1">IFERROR(__xludf.DUMMYFUNCTION("""COMPUTED_VALUE"""),"20240212IDCOI")</f>
        <v>20240212IDCOI</v>
      </c>
      <c r="B43" s="1">
        <f ca="1">IFERROR(__xludf.DUMMYFUNCTION("""COMPUTED_VALUE"""),2)</f>
        <v>2</v>
      </c>
      <c r="C43" s="1">
        <f ca="1">IFERROR(__xludf.DUMMYFUNCTION("""COMPUTED_VALUE"""),12)</f>
        <v>12</v>
      </c>
      <c r="D43" s="1">
        <f ca="1">IFERROR(__xludf.DUMMYFUNCTION("""COMPUTED_VALUE"""),2024)</f>
        <v>2024</v>
      </c>
      <c r="E43" s="4">
        <f ca="1">IFERROR(__xludf.DUMMYFUNCTION("""COMPUTED_VALUE"""),45334)</f>
        <v>45334</v>
      </c>
      <c r="F43" s="1" t="str">
        <f ca="1">IFERROR(__xludf.DUMMYFUNCTION("""COMPUTED_VALUE"""),"Compass Academy")</f>
        <v>Compass Academy</v>
      </c>
      <c r="G43" s="1">
        <f ca="1">IFERROR(__xludf.DUMMYFUNCTION("""COMPUTED_VALUE"""),1)</f>
        <v>1</v>
      </c>
      <c r="H43" s="1">
        <f ca="1">IFERROR(__xludf.DUMMYFUNCTION("""COMPUTED_VALUE"""),2)</f>
        <v>2</v>
      </c>
      <c r="I43" s="1">
        <f ca="1">IFERROR(__xludf.DUMMYFUNCTION("""COMPUTED_VALUE"""),3)</f>
        <v>3</v>
      </c>
      <c r="J43" s="1">
        <f ca="1">IFERROR(__xludf.DUMMYFUNCTION("""COMPUTED_VALUE"""),0)</f>
        <v>0</v>
      </c>
      <c r="K43" s="1" t="str">
        <f ca="1">IFERROR(__xludf.DUMMYFUNCTION("""COMPUTED_VALUE"""),"Winter")</f>
        <v>Winter</v>
      </c>
      <c r="L43" s="1" t="str">
        <f ca="1">IFERROR(__xludf.DUMMYFUNCTION("""COMPUTED_VALUE"""),"Idaho Falls")</f>
        <v>Idaho Falls</v>
      </c>
      <c r="M43" s="1" t="str">
        <f ca="1">IFERROR(__xludf.DUMMYFUNCTION("""COMPUTED_VALUE"""),"ID")</f>
        <v>ID</v>
      </c>
      <c r="N43" s="1" t="str">
        <f ca="1">IFERROR(__xludf.DUMMYFUNCTION("""COMPUTED_VALUE"""),"High")</f>
        <v>High</v>
      </c>
      <c r="O43" s="1" t="str">
        <f ca="1">IFERROR(__xludf.DUMMYFUNCTION("""COMPUTED_VALUE"""),"Parking Lot")</f>
        <v>Parking Lot</v>
      </c>
      <c r="P43" s="1" t="str">
        <f ca="1">IFERROR(__xludf.DUMMYFUNCTION("""COMPUTED_VALUE"""),"Outside on School Property")</f>
        <v>Outside on School Property</v>
      </c>
      <c r="Q43" s="1" t="str">
        <f ca="1">IFERROR(__xludf.DUMMYFUNCTION("""COMPUTED_VALUE"""),"No")</f>
        <v>No</v>
      </c>
      <c r="R43" s="1" t="str">
        <f ca="1">IFERROR(__xludf.DUMMYFUNCTION("""COMPUTED_VALUE"""),"Night")</f>
        <v>Night</v>
      </c>
      <c r="S43" s="5">
        <f ca="1">IFERROR(__xludf.DUMMYFUNCTION("""COMPUTED_VALUE"""),0.0416666666666666)</f>
        <v>4.1666666666666602E-2</v>
      </c>
      <c r="T43" s="1">
        <f ca="1">IFERROR(__xludf.DUMMYFUNCTION("""COMPUTED_VALUE"""),1)</f>
        <v>1</v>
      </c>
      <c r="U43" s="1" t="str">
        <f ca="1">IFERROR(__xludf.DUMMYFUNCTION("""COMPUTED_VALUE"""),"One person killed and two wounded following fight in school parking lot")</f>
        <v>One person killed and two wounded following fight in school parking lot</v>
      </c>
      <c r="V43" s="1" t="str">
        <f ca="1">IFERROR(__xludf.DUMMYFUNCTION("""COMPUTED_VALUE"""),"One person was killed and several others injured after two people fired guns during an argument in the parking lot of an Idaho Falls high school, according to a news release from the Idaho Falls Police Department. Police said a “large group” of people wer"&amp;"e arguing in the school’s parking lot when two people fired their guns and struck at least two people. Two others were injured, one of whom was run over by a car, according to the release, but police didn’t say how the fourth person was injured.")</f>
        <v>One person was killed and several others injured after two people fired guns during an argument in the parking lot of an Idaho Falls high school, according to a news release from the Idaho Falls Police Department. Police said a “large group” of people were arguing in the school’s parking lot when two people fired their guns and struck at least two people. Two others were injured, one of whom was run over by a car, according to the release, but police didn’t say how the fourth person was injured.</v>
      </c>
      <c r="W43" s="1" t="str">
        <f ca="1">IFERROR(__xludf.DUMMYFUNCTION("""COMPUTED_VALUE"""),"Escalation of Dispute")</f>
        <v>Escalation of Dispute</v>
      </c>
      <c r="X43" s="1" t="str">
        <f ca="1">IFERROR(__xludf.DUMMYFUNCTION("""COMPUTED_VALUE"""),"Victims Targeted")</f>
        <v>Victims Targeted</v>
      </c>
      <c r="Y43" s="1" t="str">
        <f ca="1">IFERROR(__xludf.DUMMYFUNCTION("""COMPUTED_VALUE"""),"Yes")</f>
        <v>Yes</v>
      </c>
      <c r="Z43" s="1" t="str">
        <f ca="1">IFERROR(__xludf.DUMMYFUNCTION("""COMPUTED_VALUE"""),"Large group")</f>
        <v>Large group</v>
      </c>
      <c r="AA43" s="1" t="str">
        <f ca="1">IFERROR(__xludf.DUMMYFUNCTION("""COMPUTED_VALUE"""),"No")</f>
        <v>No</v>
      </c>
      <c r="AB43" s="1" t="str">
        <f ca="1">IFERROR(__xludf.DUMMYFUNCTION("""COMPUTED_VALUE"""),"No")</f>
        <v>No</v>
      </c>
      <c r="AC43" s="1" t="str">
        <f ca="1">IFERROR(__xludf.DUMMYFUNCTION("""COMPUTED_VALUE"""),"No")</f>
        <v>No</v>
      </c>
      <c r="AD43" s="1" t="str">
        <f ca="1">IFERROR(__xludf.DUMMYFUNCTION("""COMPUTED_VALUE"""),"No")</f>
        <v>No</v>
      </c>
      <c r="AE43" s="1" t="str">
        <f ca="1">IFERROR(__xludf.DUMMYFUNCTION("""COMPUTED_VALUE"""),"No")</f>
        <v>No</v>
      </c>
      <c r="AF43" s="1" t="str">
        <f ca="1">IFERROR(__xludf.DUMMYFUNCTION("""COMPUTED_VALUE"""),"No")</f>
        <v>No</v>
      </c>
      <c r="AG43" s="1" t="str">
        <f ca="1">IFERROR(__xludf.DUMMYFUNCTION("""COMPUTED_VALUE"""),"No")</f>
        <v>No</v>
      </c>
      <c r="AH43" s="1">
        <f ca="1">IFERROR(__xludf.DUMMYFUNCTION("""COMPUTED_VALUE"""),99)</f>
        <v>99</v>
      </c>
    </row>
    <row r="44" spans="1:34" ht="12.5">
      <c r="A44" s="1" t="str">
        <f ca="1">IFERROR(__xludf.DUMMYFUNCTION("""COMPUTED_VALUE"""),"20240212CAELC")</f>
        <v>20240212CAELC</v>
      </c>
      <c r="B44" s="1">
        <f ca="1">IFERROR(__xludf.DUMMYFUNCTION("""COMPUTED_VALUE"""),2)</f>
        <v>2</v>
      </c>
      <c r="C44" s="1">
        <f ca="1">IFERROR(__xludf.DUMMYFUNCTION("""COMPUTED_VALUE"""),12)</f>
        <v>12</v>
      </c>
      <c r="D44" s="1">
        <f ca="1">IFERROR(__xludf.DUMMYFUNCTION("""COMPUTED_VALUE"""),2024)</f>
        <v>2024</v>
      </c>
      <c r="E44" s="4">
        <f ca="1">IFERROR(__xludf.DUMMYFUNCTION("""COMPUTED_VALUE"""),45334)</f>
        <v>45334</v>
      </c>
      <c r="F44" s="1" t="str">
        <f ca="1">IFERROR(__xludf.DUMMYFUNCTION("""COMPUTED_VALUE"""),"Ellen Ochoa Learning Center")</f>
        <v>Ellen Ochoa Learning Center</v>
      </c>
      <c r="G44" s="1">
        <f ca="1">IFERROR(__xludf.DUMMYFUNCTION("""COMPUTED_VALUE"""),1)</f>
        <v>1</v>
      </c>
      <c r="H44" s="1">
        <f ca="1">IFERROR(__xludf.DUMMYFUNCTION("""COMPUTED_VALUE"""),1)</f>
        <v>1</v>
      </c>
      <c r="I44" s="1">
        <f ca="1">IFERROR(__xludf.DUMMYFUNCTION("""COMPUTED_VALUE"""),2)</f>
        <v>2</v>
      </c>
      <c r="J44" s="1">
        <f ca="1">IFERROR(__xludf.DUMMYFUNCTION("""COMPUTED_VALUE"""),0)</f>
        <v>0</v>
      </c>
      <c r="K44" s="1" t="str">
        <f ca="1">IFERROR(__xludf.DUMMYFUNCTION("""COMPUTED_VALUE"""),"Winter")</f>
        <v>Winter</v>
      </c>
      <c r="L44" s="1" t="str">
        <f ca="1">IFERROR(__xludf.DUMMYFUNCTION("""COMPUTED_VALUE"""),"Cudahy")</f>
        <v>Cudahy</v>
      </c>
      <c r="M44" s="1" t="str">
        <f ca="1">IFERROR(__xludf.DUMMYFUNCTION("""COMPUTED_VALUE"""),"CA")</f>
        <v>CA</v>
      </c>
      <c r="N44" s="1" t="str">
        <f ca="1">IFERROR(__xludf.DUMMYFUNCTION("""COMPUTED_VALUE"""),"Elementary")</f>
        <v>Elementary</v>
      </c>
      <c r="O44" s="1" t="str">
        <f ca="1">IFERROR(__xludf.DUMMYFUNCTION("""COMPUTED_VALUE"""),"Front of School")</f>
        <v>Front of School</v>
      </c>
      <c r="P44" s="1" t="str">
        <f ca="1">IFERROR(__xludf.DUMMYFUNCTION("""COMPUTED_VALUE"""),"Outside on School Property")</f>
        <v>Outside on School Property</v>
      </c>
      <c r="Q44" s="1" t="str">
        <f ca="1">IFERROR(__xludf.DUMMYFUNCTION("""COMPUTED_VALUE"""),"No")</f>
        <v>No</v>
      </c>
      <c r="R44" s="1" t="str">
        <f ca="1">IFERROR(__xludf.DUMMYFUNCTION("""COMPUTED_VALUE"""),"Night")</f>
        <v>Night</v>
      </c>
      <c r="S44" s="5">
        <f ca="1">IFERROR(__xludf.DUMMYFUNCTION("""COMPUTED_VALUE"""),0.0208333333333333)</f>
        <v>2.0833333333333301E-2</v>
      </c>
      <c r="T44" s="1">
        <f ca="1">IFERROR(__xludf.DUMMYFUNCTION("""COMPUTED_VALUE"""),1)</f>
        <v>1</v>
      </c>
      <c r="U44" s="1" t="str">
        <f ca="1">IFERROR(__xludf.DUMMYFUNCTION("""COMPUTED_VALUE"""),"Teen was killed and another wounded in front of school")</f>
        <v>Teen was killed and another wounded in front of school</v>
      </c>
      <c r="V44" s="1" t="str">
        <f ca="1">IFERROR(__xludf.DUMMYFUNCTION("""COMPUTED_VALUE"""),"A double shooting outside of a Los Angeles County school left one teen dead and another wounded and now parents of students at the school are angry the district did not notify them of the gruesome crime scene in front of their children’s school. he incide"&amp;"nt was reported in the 5000 block of Live Oak Street shortly before 12:30 a.m., the Los Angeles County Sheriff’s Department stated in a news release. Video from the scene showed a black canopy covering the victim’s body just hours before students were exp"&amp;"ected to arrive for class at Ellen Ochoa Learning Center in Cudahy on Monday. Nearly eight hours after the shooting was reported and authorities responded, the body of the teen was still on the ground as children as young as 5 years old walked into the sc"&amp;"hool.  ")</f>
        <v xml:space="preserve">A double shooting outside of a Los Angeles County school left one teen dead and another wounded and now parents of students at the school are angry the district did not notify them of the gruesome crime scene in front of their children’s school. he incident was reported in the 5000 block of Live Oak Street shortly before 12:30 a.m., the Los Angeles County Sheriff’s Department stated in a news release. Video from the scene showed a black canopy covering the victim’s body just hours before students were expected to arrive for class at Ellen Ochoa Learning Center in Cudahy on Monday. Nearly eight hours after the shooting was reported and authorities responded, the body of the teen was still on the ground as children as young as 5 years old walked into the school.  </v>
      </c>
      <c r="W44" s="1" t="str">
        <f ca="1">IFERROR(__xludf.DUMMYFUNCTION("""COMPUTED_VALUE"""),"Drive-by Shooting")</f>
        <v>Drive-by Shooting</v>
      </c>
      <c r="X44" s="1" t="str">
        <f ca="1">IFERROR(__xludf.DUMMYFUNCTION("""COMPUTED_VALUE"""),"Victims Targeted")</f>
        <v>Victims Targeted</v>
      </c>
      <c r="Y44" s="1"/>
      <c r="Z44" s="1"/>
      <c r="AA44" s="1" t="str">
        <f ca="1">IFERROR(__xludf.DUMMYFUNCTION("""COMPUTED_VALUE"""),"No")</f>
        <v>No</v>
      </c>
      <c r="AB44" s="1" t="str">
        <f ca="1">IFERROR(__xludf.DUMMYFUNCTION("""COMPUTED_VALUE"""),"No")</f>
        <v>No</v>
      </c>
      <c r="AC44" s="1" t="str">
        <f ca="1">IFERROR(__xludf.DUMMYFUNCTION("""COMPUTED_VALUE"""),"No")</f>
        <v>No</v>
      </c>
      <c r="AD44" s="1" t="str">
        <f ca="1">IFERROR(__xludf.DUMMYFUNCTION("""COMPUTED_VALUE"""),"No")</f>
        <v>No</v>
      </c>
      <c r="AE44" s="1" t="str">
        <f ca="1">IFERROR(__xludf.DUMMYFUNCTION("""COMPUTED_VALUE"""),"No")</f>
        <v>No</v>
      </c>
      <c r="AF44" s="1"/>
      <c r="AG44" s="1" t="str">
        <f ca="1">IFERROR(__xludf.DUMMYFUNCTION("""COMPUTED_VALUE"""),"No")</f>
        <v>No</v>
      </c>
      <c r="AH44" s="1">
        <f ca="1">IFERROR(__xludf.DUMMYFUNCTION("""COMPUTED_VALUE"""),3)</f>
        <v>3</v>
      </c>
    </row>
    <row r="45" spans="1:34" ht="12.5">
      <c r="A45" s="1" t="str">
        <f ca="1">IFERROR(__xludf.DUMMYFUNCTION("""COMPUTED_VALUE"""),"20240211CAMAB")</f>
        <v>20240211CAMAB</v>
      </c>
      <c r="B45" s="1">
        <f ca="1">IFERROR(__xludf.DUMMYFUNCTION("""COMPUTED_VALUE"""),2)</f>
        <v>2</v>
      </c>
      <c r="C45" s="1">
        <f ca="1">IFERROR(__xludf.DUMMYFUNCTION("""COMPUTED_VALUE"""),11)</f>
        <v>11</v>
      </c>
      <c r="D45" s="1">
        <f ca="1">IFERROR(__xludf.DUMMYFUNCTION("""COMPUTED_VALUE"""),2024)</f>
        <v>2024</v>
      </c>
      <c r="E45" s="4">
        <f ca="1">IFERROR(__xludf.DUMMYFUNCTION("""COMPUTED_VALUE"""),45333)</f>
        <v>45333</v>
      </c>
      <c r="F45" s="1" t="str">
        <f ca="1">IFERROR(__xludf.DUMMYFUNCTION("""COMPUTED_VALUE"""),"Martha Escutia Primary Center")</f>
        <v>Martha Escutia Primary Center</v>
      </c>
      <c r="G45" s="1">
        <f ca="1">IFERROR(__xludf.DUMMYFUNCTION("""COMPUTED_VALUE"""),1)</f>
        <v>1</v>
      </c>
      <c r="H45" s="1">
        <f ca="1">IFERROR(__xludf.DUMMYFUNCTION("""COMPUTED_VALUE"""),0)</f>
        <v>0</v>
      </c>
      <c r="I45" s="1">
        <f ca="1">IFERROR(__xludf.DUMMYFUNCTION("""COMPUTED_VALUE"""),1)</f>
        <v>1</v>
      </c>
      <c r="J45" s="1">
        <f ca="1">IFERROR(__xludf.DUMMYFUNCTION("""COMPUTED_VALUE"""),0)</f>
        <v>0</v>
      </c>
      <c r="K45" s="1" t="str">
        <f ca="1">IFERROR(__xludf.DUMMYFUNCTION("""COMPUTED_VALUE"""),"Winter")</f>
        <v>Winter</v>
      </c>
      <c r="L45" s="1" t="str">
        <f ca="1">IFERROR(__xludf.DUMMYFUNCTION("""COMPUTED_VALUE"""),"Bell")</f>
        <v>Bell</v>
      </c>
      <c r="M45" s="1" t="str">
        <f ca="1">IFERROR(__xludf.DUMMYFUNCTION("""COMPUTED_VALUE"""),"CA")</f>
        <v>CA</v>
      </c>
      <c r="N45" s="1" t="str">
        <f ca="1">IFERROR(__xludf.DUMMYFUNCTION("""COMPUTED_VALUE"""),"Elementary")</f>
        <v>Elementary</v>
      </c>
      <c r="O45" s="1" t="str">
        <f ca="1">IFERROR(__xludf.DUMMYFUNCTION("""COMPUTED_VALUE"""),"Beside Building")</f>
        <v>Beside Building</v>
      </c>
      <c r="P45" s="1" t="str">
        <f ca="1">IFERROR(__xludf.DUMMYFUNCTION("""COMPUTED_VALUE"""),"Outside on School Property")</f>
        <v>Outside on School Property</v>
      </c>
      <c r="Q45" s="1" t="str">
        <f ca="1">IFERROR(__xludf.DUMMYFUNCTION("""COMPUTED_VALUE"""),"No")</f>
        <v>No</v>
      </c>
      <c r="R45" s="1" t="str">
        <f ca="1">IFERROR(__xludf.DUMMYFUNCTION("""COMPUTED_VALUE"""),"Night")</f>
        <v>Night</v>
      </c>
      <c r="S45" s="5">
        <f ca="1">IFERROR(__xludf.DUMMYFUNCTION("""COMPUTED_VALUE"""),0.9375)</f>
        <v>0.9375</v>
      </c>
      <c r="T45" s="1">
        <f ca="1">IFERROR(__xludf.DUMMYFUNCTION("""COMPUTED_VALUE"""),1)</f>
        <v>1</v>
      </c>
      <c r="U45" s="1" t="str">
        <f ca="1">IFERROR(__xludf.DUMMYFUNCTION("""COMPUTED_VALUE"""),"Man fatally shot next to school")</f>
        <v>Man fatally shot next to school</v>
      </c>
      <c r="V45" s="1" t="str">
        <f ca="1">IFERROR(__xludf.DUMMYFUNCTION("""COMPUTED_VALUE"""),"The first shooting was reported to the Bell Police Department at about 10:30 p.m., according to LASD. Officers found the unconscious victim next to the Martha Escutia Primary Center. Paramedics pronounced the victim dead shortly after arriving at the scen"&amp;"e. The death forced school officials to close the campus until Tuesday. ")</f>
        <v xml:space="preserve">The first shooting was reported to the Bell Police Department at about 10:30 p.m., according to LASD. Officers found the unconscious victim next to the Martha Escutia Primary Center. Paramedics pronounced the victim dead shortly after arriving at the scene. The death forced school officials to close the campus until Tuesday. </v>
      </c>
      <c r="W45" s="1" t="str">
        <f ca="1">IFERROR(__xludf.DUMMYFUNCTION("""COMPUTED_VALUE"""),"Drive-by Shooting")</f>
        <v>Drive-by Shooting</v>
      </c>
      <c r="X45" s="1" t="str">
        <f ca="1">IFERROR(__xludf.DUMMYFUNCTION("""COMPUTED_VALUE"""),"Victims Targeted")</f>
        <v>Victims Targeted</v>
      </c>
      <c r="Y45" s="1"/>
      <c r="Z45" s="1"/>
      <c r="AA45" s="1" t="str">
        <f ca="1">IFERROR(__xludf.DUMMYFUNCTION("""COMPUTED_VALUE"""),"No")</f>
        <v>No</v>
      </c>
      <c r="AB45" s="1" t="str">
        <f ca="1">IFERROR(__xludf.DUMMYFUNCTION("""COMPUTED_VALUE"""),"No")</f>
        <v>No</v>
      </c>
      <c r="AC45" s="1" t="str">
        <f ca="1">IFERROR(__xludf.DUMMYFUNCTION("""COMPUTED_VALUE"""),"No")</f>
        <v>No</v>
      </c>
      <c r="AD45" s="1" t="str">
        <f ca="1">IFERROR(__xludf.DUMMYFUNCTION("""COMPUTED_VALUE"""),"No")</f>
        <v>No</v>
      </c>
      <c r="AE45" s="1" t="str">
        <f ca="1">IFERROR(__xludf.DUMMYFUNCTION("""COMPUTED_VALUE"""),"No")</f>
        <v>No</v>
      </c>
      <c r="AF45" s="1"/>
      <c r="AG45" s="1" t="str">
        <f ca="1">IFERROR(__xludf.DUMMYFUNCTION("""COMPUTED_VALUE"""),"No")</f>
        <v>No</v>
      </c>
      <c r="AH45" s="1">
        <f ca="1">IFERROR(__xludf.DUMMYFUNCTION("""COMPUTED_VALUE"""),99)</f>
        <v>99</v>
      </c>
    </row>
    <row r="46" spans="1:34" ht="12.5">
      <c r="A46" s="1" t="str">
        <f ca="1">IFERROR(__xludf.DUMMYFUNCTION("""COMPUTED_VALUE"""),"20240209PACOR")</f>
        <v>20240209PACOR</v>
      </c>
      <c r="B46" s="1">
        <f ca="1">IFERROR(__xludf.DUMMYFUNCTION("""COMPUTED_VALUE"""),2)</f>
        <v>2</v>
      </c>
      <c r="C46" s="1">
        <f ca="1">IFERROR(__xludf.DUMMYFUNCTION("""COMPUTED_VALUE"""),9)</f>
        <v>9</v>
      </c>
      <c r="D46" s="1">
        <f ca="1">IFERROR(__xludf.DUMMYFUNCTION("""COMPUTED_VALUE"""),2024)</f>
        <v>2024</v>
      </c>
      <c r="E46" s="4">
        <f ca="1">IFERROR(__xludf.DUMMYFUNCTION("""COMPUTED_VALUE"""),45331)</f>
        <v>45331</v>
      </c>
      <c r="F46" s="1" t="str">
        <f ca="1">IFERROR(__xludf.DUMMYFUNCTION("""COMPUTED_VALUE"""),"Cornwall Terrace Elementary School")</f>
        <v>Cornwall Terrace Elementary School</v>
      </c>
      <c r="G46" s="1">
        <f ca="1">IFERROR(__xludf.DUMMYFUNCTION("""COMPUTED_VALUE"""),0)</f>
        <v>0</v>
      </c>
      <c r="H46" s="1">
        <f ca="1">IFERROR(__xludf.DUMMYFUNCTION("""COMPUTED_VALUE"""),0)</f>
        <v>0</v>
      </c>
      <c r="I46" s="1">
        <f ca="1">IFERROR(__xludf.DUMMYFUNCTION("""COMPUTED_VALUE"""),0)</f>
        <v>0</v>
      </c>
      <c r="J46" s="1">
        <f ca="1">IFERROR(__xludf.DUMMYFUNCTION("""COMPUTED_VALUE"""),0)</f>
        <v>0</v>
      </c>
      <c r="K46" s="1" t="str">
        <f ca="1">IFERROR(__xludf.DUMMYFUNCTION("""COMPUTED_VALUE"""),"Winter")</f>
        <v>Winter</v>
      </c>
      <c r="L46" s="1" t="str">
        <f ca="1">IFERROR(__xludf.DUMMYFUNCTION("""COMPUTED_VALUE"""),"Reading")</f>
        <v>Reading</v>
      </c>
      <c r="M46" s="1" t="str">
        <f ca="1">IFERROR(__xludf.DUMMYFUNCTION("""COMPUTED_VALUE"""),"PA")</f>
        <v>PA</v>
      </c>
      <c r="N46" s="1" t="str">
        <f ca="1">IFERROR(__xludf.DUMMYFUNCTION("""COMPUTED_VALUE"""),"Elementary")</f>
        <v>Elementary</v>
      </c>
      <c r="O46" s="1" t="str">
        <f ca="1">IFERROR(__xludf.DUMMYFUNCTION("""COMPUTED_VALUE"""),"Beside Building")</f>
        <v>Beside Building</v>
      </c>
      <c r="P46" s="1" t="str">
        <f ca="1">IFERROR(__xludf.DUMMYFUNCTION("""COMPUTED_VALUE"""),"Outside on School Property")</f>
        <v>Outside on School Property</v>
      </c>
      <c r="Q46" s="1" t="str">
        <f ca="1">IFERROR(__xludf.DUMMYFUNCTION("""COMPUTED_VALUE"""),"No")</f>
        <v>No</v>
      </c>
      <c r="R46" s="1" t="str">
        <f ca="1">IFERROR(__xludf.DUMMYFUNCTION("""COMPUTED_VALUE"""),"Evening")</f>
        <v>Evening</v>
      </c>
      <c r="S46" s="5">
        <f ca="1">IFERROR(__xludf.DUMMYFUNCTION("""COMPUTED_VALUE"""),0.78125)</f>
        <v>0.78125</v>
      </c>
      <c r="T46" s="1">
        <f ca="1">IFERROR(__xludf.DUMMYFUNCTION("""COMPUTED_VALUE"""),1)</f>
        <v>1</v>
      </c>
      <c r="U46" s="1" t="str">
        <f ca="1">IFERROR(__xludf.DUMMYFUNCTION("""COMPUTED_VALUE"""),"Shorts fired behind school")</f>
        <v>Shorts fired behind school</v>
      </c>
      <c r="V46" s="1" t="str">
        <f ca="1">IFERROR(__xludf.DUMMYFUNCTION("""COMPUTED_VALUE"""),"Police say evidence was discovered that multiple shots were fired at the back of the Cornwall Terrace Elementary School and that there were multiple people present at the time of the incident.")</f>
        <v>Police say evidence was discovered that multiple shots were fired at the back of the Cornwall Terrace Elementary School and that there were multiple people present at the time of the incident.</v>
      </c>
      <c r="W46" s="1" t="str">
        <f ca="1">IFERROR(__xludf.DUMMYFUNCTION("""COMPUTED_VALUE"""),"Intentional Property Damage")</f>
        <v>Intentional Property Damage</v>
      </c>
      <c r="X46" s="1" t="str">
        <f ca="1">IFERROR(__xludf.DUMMYFUNCTION("""COMPUTED_VALUE"""),"Neither")</f>
        <v>Neither</v>
      </c>
      <c r="Y46" s="1" t="str">
        <f ca="1">IFERROR(__xludf.DUMMYFUNCTION("""COMPUTED_VALUE"""),"Yes")</f>
        <v>Yes</v>
      </c>
      <c r="Z46" s="1"/>
      <c r="AA46" s="1" t="str">
        <f ca="1">IFERROR(__xludf.DUMMYFUNCTION("""COMPUTED_VALUE"""),"No")</f>
        <v>No</v>
      </c>
      <c r="AB46" s="1" t="str">
        <f ca="1">IFERROR(__xludf.DUMMYFUNCTION("""COMPUTED_VALUE"""),"No")</f>
        <v>No</v>
      </c>
      <c r="AC46" s="1" t="str">
        <f ca="1">IFERROR(__xludf.DUMMYFUNCTION("""COMPUTED_VALUE"""),"No")</f>
        <v>No</v>
      </c>
      <c r="AD46" s="1" t="str">
        <f ca="1">IFERROR(__xludf.DUMMYFUNCTION("""COMPUTED_VALUE"""),"No")</f>
        <v>No</v>
      </c>
      <c r="AE46" s="1" t="str">
        <f ca="1">IFERROR(__xludf.DUMMYFUNCTION("""COMPUTED_VALUE"""),"No")</f>
        <v>No</v>
      </c>
      <c r="AF46" s="1"/>
      <c r="AG46" s="1" t="str">
        <f ca="1">IFERROR(__xludf.DUMMYFUNCTION("""COMPUTED_VALUE"""),"No")</f>
        <v>No</v>
      </c>
      <c r="AH46" s="1">
        <f ca="1">IFERROR(__xludf.DUMMYFUNCTION("""COMPUTED_VALUE"""),99)</f>
        <v>99</v>
      </c>
    </row>
    <row r="47" spans="1:34" ht="12.5">
      <c r="A47" s="1" t="str">
        <f ca="1">IFERROR(__xludf.DUMMYFUNCTION("""COMPUTED_VALUE"""),"20240209GATRE")</f>
        <v>20240209GATRE</v>
      </c>
      <c r="B47" s="1">
        <f ca="1">IFERROR(__xludf.DUMMYFUNCTION("""COMPUTED_VALUE"""),2)</f>
        <v>2</v>
      </c>
      <c r="C47" s="1">
        <f ca="1">IFERROR(__xludf.DUMMYFUNCTION("""COMPUTED_VALUE"""),9)</f>
        <v>9</v>
      </c>
      <c r="D47" s="1">
        <f ca="1">IFERROR(__xludf.DUMMYFUNCTION("""COMPUTED_VALUE"""),2024)</f>
        <v>2024</v>
      </c>
      <c r="E47" s="4">
        <f ca="1">IFERROR(__xludf.DUMMYFUNCTION("""COMPUTED_VALUE"""),45331)</f>
        <v>45331</v>
      </c>
      <c r="F47" s="1" t="str">
        <f ca="1">IFERROR(__xludf.DUMMYFUNCTION("""COMPUTED_VALUE"""),"Tri-Cities High School")</f>
        <v>Tri-Cities High School</v>
      </c>
      <c r="G47" s="1">
        <f ca="1">IFERROR(__xludf.DUMMYFUNCTION("""COMPUTED_VALUE"""),1)</f>
        <v>1</v>
      </c>
      <c r="H47" s="1">
        <f ca="1">IFERROR(__xludf.DUMMYFUNCTION("""COMPUTED_VALUE"""),1)</f>
        <v>1</v>
      </c>
      <c r="I47" s="1">
        <f ca="1">IFERROR(__xludf.DUMMYFUNCTION("""COMPUTED_VALUE"""),2)</f>
        <v>2</v>
      </c>
      <c r="J47" s="1">
        <f ca="1">IFERROR(__xludf.DUMMYFUNCTION("""COMPUTED_VALUE"""),0)</f>
        <v>0</v>
      </c>
      <c r="K47" s="1" t="str">
        <f ca="1">IFERROR(__xludf.DUMMYFUNCTION("""COMPUTED_VALUE"""),"Winter")</f>
        <v>Winter</v>
      </c>
      <c r="L47" s="1" t="str">
        <f ca="1">IFERROR(__xludf.DUMMYFUNCTION("""COMPUTED_VALUE"""),"East Point")</f>
        <v>East Point</v>
      </c>
      <c r="M47" s="1" t="str">
        <f ca="1">IFERROR(__xludf.DUMMYFUNCTION("""COMPUTED_VALUE"""),"GA")</f>
        <v>GA</v>
      </c>
      <c r="N47" s="1" t="str">
        <f ca="1">IFERROR(__xludf.DUMMYFUNCTION("""COMPUTED_VALUE"""),"High")</f>
        <v>High</v>
      </c>
      <c r="O47" s="1" t="str">
        <f ca="1">IFERROR(__xludf.DUMMYFUNCTION("""COMPUTED_VALUE"""),"Beside Building")</f>
        <v>Beside Building</v>
      </c>
      <c r="P47" s="1" t="str">
        <f ca="1">IFERROR(__xludf.DUMMYFUNCTION("""COMPUTED_VALUE"""),"Outside on School Property")</f>
        <v>Outside on School Property</v>
      </c>
      <c r="Q47" s="1" t="str">
        <f ca="1">IFERROR(__xludf.DUMMYFUNCTION("""COMPUTED_VALUE"""),"No")</f>
        <v>No</v>
      </c>
      <c r="R47" s="1" t="str">
        <f ca="1">IFERROR(__xludf.DUMMYFUNCTION("""COMPUTED_VALUE"""),"Sport Event")</f>
        <v>Sport Event</v>
      </c>
      <c r="S47" s="5">
        <f ca="1">IFERROR(__xludf.DUMMYFUNCTION("""COMPUTED_VALUE"""),0.875)</f>
        <v>0.875</v>
      </c>
      <c r="T47" s="1">
        <f ca="1">IFERROR(__xludf.DUMMYFUNCTION("""COMPUTED_VALUE"""),1)</f>
        <v>1</v>
      </c>
      <c r="U47" s="1" t="str">
        <f ca="1">IFERROR(__xludf.DUMMYFUNCTION("""COMPUTED_VALUE"""),"One teen shot and another stabbed outside following high school basketball game")</f>
        <v>One teen shot and another stabbed outside following high school basketball game</v>
      </c>
      <c r="V47" s="1" t="str">
        <f ca="1">IFERROR(__xludf.DUMMYFUNCTION("""COMPUTED_VALUE"""),"Police in East Point are investigating after a teenager was shot and another was stabbed near a high school on Friday night. East Point Police Chief Shawn Buchanan told Channel 2′s Larry Spruill that a teen was shot and another teen was stabbed. The shoot"&amp;"ing happened after a basketball game. He says they are working two scenes, one outside the school’s gym and another just a few feet away at railroad tracks by the football stadium. ")</f>
        <v xml:space="preserve">Police in East Point are investigating after a teenager was shot and another was stabbed near a high school on Friday night. East Point Police Chief Shawn Buchanan told Channel 2′s Larry Spruill that a teen was shot and another teen was stabbed. The shooting happened after a basketball game. He says they are working two scenes, one outside the school’s gym and another just a few feet away at railroad tracks by the football stadium. </v>
      </c>
      <c r="W47" s="1"/>
      <c r="X47" s="1"/>
      <c r="Y47" s="1" t="str">
        <f ca="1">IFERROR(__xludf.DUMMYFUNCTION("""COMPUTED_VALUE"""),"No")</f>
        <v>No</v>
      </c>
      <c r="Z47" s="1"/>
      <c r="AA47" s="1" t="str">
        <f ca="1">IFERROR(__xludf.DUMMYFUNCTION("""COMPUTED_VALUE"""),"No")</f>
        <v>No</v>
      </c>
      <c r="AB47" s="1" t="str">
        <f ca="1">IFERROR(__xludf.DUMMYFUNCTION("""COMPUTED_VALUE"""),"No")</f>
        <v>No</v>
      </c>
      <c r="AC47" s="1" t="str">
        <f ca="1">IFERROR(__xludf.DUMMYFUNCTION("""COMPUTED_VALUE"""),"No")</f>
        <v>No</v>
      </c>
      <c r="AD47" s="1" t="str">
        <f ca="1">IFERROR(__xludf.DUMMYFUNCTION("""COMPUTED_VALUE"""),"No")</f>
        <v>No</v>
      </c>
      <c r="AE47" s="1" t="str">
        <f ca="1">IFERROR(__xludf.DUMMYFUNCTION("""COMPUTED_VALUE"""),"No")</f>
        <v>No</v>
      </c>
      <c r="AF47" s="1"/>
      <c r="AG47" s="1" t="str">
        <f ca="1">IFERROR(__xludf.DUMMYFUNCTION("""COMPUTED_VALUE"""),"No")</f>
        <v>No</v>
      </c>
      <c r="AH47" s="1">
        <f ca="1">IFERROR(__xludf.DUMMYFUNCTION("""COMPUTED_VALUE"""),99)</f>
        <v>99</v>
      </c>
    </row>
    <row r="48" spans="1:34" ht="12.5">
      <c r="A48" s="1" t="str">
        <f ca="1">IFERROR(__xludf.DUMMYFUNCTION("""COMPUTED_VALUE"""),"20240208MDBEB")</f>
        <v>20240208MDBEB</v>
      </c>
      <c r="B48" s="1">
        <f ca="1">IFERROR(__xludf.DUMMYFUNCTION("""COMPUTED_VALUE"""),2)</f>
        <v>2</v>
      </c>
      <c r="C48" s="1">
        <f ca="1">IFERROR(__xludf.DUMMYFUNCTION("""COMPUTED_VALUE"""),8)</f>
        <v>8</v>
      </c>
      <c r="D48" s="1">
        <f ca="1">IFERROR(__xludf.DUMMYFUNCTION("""COMPUTED_VALUE"""),2024)</f>
        <v>2024</v>
      </c>
      <c r="E48" s="4">
        <f ca="1">IFERROR(__xludf.DUMMYFUNCTION("""COMPUTED_VALUE"""),45330)</f>
        <v>45330</v>
      </c>
      <c r="F48" s="1" t="str">
        <f ca="1">IFERROR(__xludf.DUMMYFUNCTION("""COMPUTED_VALUE"""),"Bethesda Chevy Chase High School")</f>
        <v>Bethesda Chevy Chase High School</v>
      </c>
      <c r="G48" s="1">
        <f ca="1">IFERROR(__xludf.DUMMYFUNCTION("""COMPUTED_VALUE"""),0)</f>
        <v>0</v>
      </c>
      <c r="H48" s="1">
        <f ca="1">IFERROR(__xludf.DUMMYFUNCTION("""COMPUTED_VALUE"""),0)</f>
        <v>0</v>
      </c>
      <c r="I48" s="1">
        <f ca="1">IFERROR(__xludf.DUMMYFUNCTION("""COMPUTED_VALUE"""),0)</f>
        <v>0</v>
      </c>
      <c r="J48" s="1">
        <f ca="1">IFERROR(__xludf.DUMMYFUNCTION("""COMPUTED_VALUE"""),0)</f>
        <v>0</v>
      </c>
      <c r="K48" s="1" t="str">
        <f ca="1">IFERROR(__xludf.DUMMYFUNCTION("""COMPUTED_VALUE"""),"Winter")</f>
        <v>Winter</v>
      </c>
      <c r="L48" s="1" t="str">
        <f ca="1">IFERROR(__xludf.DUMMYFUNCTION("""COMPUTED_VALUE"""),"Bethesda")</f>
        <v>Bethesda</v>
      </c>
      <c r="M48" s="1" t="str">
        <f ca="1">IFERROR(__xludf.DUMMYFUNCTION("""COMPUTED_VALUE"""),"MD")</f>
        <v>MD</v>
      </c>
      <c r="N48" s="1" t="str">
        <f ca="1">IFERROR(__xludf.DUMMYFUNCTION("""COMPUTED_VALUE"""),"High")</f>
        <v>High</v>
      </c>
      <c r="O48" s="1" t="str">
        <f ca="1">IFERROR(__xludf.DUMMYFUNCTION("""COMPUTED_VALUE"""),"Front of School (Bus)")</f>
        <v>Front of School (Bus)</v>
      </c>
      <c r="P48" s="1" t="str">
        <f ca="1">IFERROR(__xludf.DUMMYFUNCTION("""COMPUTED_VALUE"""),"School Bus")</f>
        <v>School Bus</v>
      </c>
      <c r="Q48" s="1" t="str">
        <f ca="1">IFERROR(__xludf.DUMMYFUNCTION("""COMPUTED_VALUE"""),"Yes")</f>
        <v>Yes</v>
      </c>
      <c r="R48" s="1" t="str">
        <f ca="1">IFERROR(__xludf.DUMMYFUNCTION("""COMPUTED_VALUE"""),"Dismissal")</f>
        <v>Dismissal</v>
      </c>
      <c r="S48" s="5">
        <f ca="1">IFERROR(__xludf.DUMMYFUNCTION("""COMPUTED_VALUE"""),0.625)</f>
        <v>0.625</v>
      </c>
      <c r="T48" s="1">
        <f ca="1">IFERROR(__xludf.DUMMYFUNCTION("""COMPUTED_VALUE"""),1)</f>
        <v>1</v>
      </c>
      <c r="U48" s="1" t="str">
        <f ca="1">IFERROR(__xludf.DUMMYFUNCTION("""COMPUTED_VALUE"""),"Teen pointed gun at students head, pulled trigger, gun misfired")</f>
        <v>Teen pointed gun at students head, pulled trigger, gun misfired</v>
      </c>
      <c r="V48" s="1" t="str">
        <f ca="1">IFERROR(__xludf.DUMMYFUNCTION("""COMPUTED_VALUE"""),"On the school bus during dismissal, a teen put a gun against the head of a student and pulled the trigger. The gun misfired and the shooter fled.")</f>
        <v>On the school bus during dismissal, a teen put a gun against the head of a student and pulled the trigger. The gun misfired and the shooter fled.</v>
      </c>
      <c r="W48" s="1"/>
      <c r="X48" s="1" t="str">
        <f ca="1">IFERROR(__xludf.DUMMYFUNCTION("""COMPUTED_VALUE"""),"Victims Targeted")</f>
        <v>Victims Targeted</v>
      </c>
      <c r="Y48" s="1" t="str">
        <f ca="1">IFERROR(__xludf.DUMMYFUNCTION("""COMPUTED_VALUE"""),"No")</f>
        <v>No</v>
      </c>
      <c r="Z48" s="1"/>
      <c r="AA48" s="1" t="str">
        <f ca="1">IFERROR(__xludf.DUMMYFUNCTION("""COMPUTED_VALUE"""),"No")</f>
        <v>No</v>
      </c>
      <c r="AB48" s="1" t="str">
        <f ca="1">IFERROR(__xludf.DUMMYFUNCTION("""COMPUTED_VALUE"""),"No")</f>
        <v>No</v>
      </c>
      <c r="AC48" s="1" t="str">
        <f ca="1">IFERROR(__xludf.DUMMYFUNCTION("""COMPUTED_VALUE"""),"No")</f>
        <v>No</v>
      </c>
      <c r="AD48" s="1" t="str">
        <f ca="1">IFERROR(__xludf.DUMMYFUNCTION("""COMPUTED_VALUE"""),"No")</f>
        <v>No</v>
      </c>
      <c r="AE48" s="1" t="str">
        <f ca="1">IFERROR(__xludf.DUMMYFUNCTION("""COMPUTED_VALUE"""),"No")</f>
        <v>No</v>
      </c>
      <c r="AF48" s="1"/>
      <c r="AG48" s="1" t="str">
        <f ca="1">IFERROR(__xludf.DUMMYFUNCTION("""COMPUTED_VALUE"""),"No")</f>
        <v>No</v>
      </c>
      <c r="AH48" s="1">
        <f ca="1">IFERROR(__xludf.DUMMYFUNCTION("""COMPUTED_VALUE"""),0)</f>
        <v>0</v>
      </c>
    </row>
    <row r="49" spans="1:34" ht="12.5">
      <c r="A49" s="1" t="str">
        <f ca="1">IFERROR(__xludf.DUMMYFUNCTION("""COMPUTED_VALUE"""),"20240208TNMEN")</f>
        <v>20240208TNMEN</v>
      </c>
      <c r="B49" s="1">
        <f ca="1">IFERROR(__xludf.DUMMYFUNCTION("""COMPUTED_VALUE"""),2)</f>
        <v>2</v>
      </c>
      <c r="C49" s="1">
        <f ca="1">IFERROR(__xludf.DUMMYFUNCTION("""COMPUTED_VALUE"""),8)</f>
        <v>8</v>
      </c>
      <c r="D49" s="1">
        <f ca="1">IFERROR(__xludf.DUMMYFUNCTION("""COMPUTED_VALUE"""),2024)</f>
        <v>2024</v>
      </c>
      <c r="E49" s="4">
        <f ca="1">IFERROR(__xludf.DUMMYFUNCTION("""COMPUTED_VALUE"""),45330)</f>
        <v>45330</v>
      </c>
      <c r="F49" s="1" t="str">
        <f ca="1">IFERROR(__xludf.DUMMYFUNCTION("""COMPUTED_VALUE"""),"Meigs Magnet School")</f>
        <v>Meigs Magnet School</v>
      </c>
      <c r="G49" s="1">
        <f ca="1">IFERROR(__xludf.DUMMYFUNCTION("""COMPUTED_VALUE"""),2)</f>
        <v>2</v>
      </c>
      <c r="H49" s="1">
        <f ca="1">IFERROR(__xludf.DUMMYFUNCTION("""COMPUTED_VALUE"""),0)</f>
        <v>0</v>
      </c>
      <c r="I49" s="1">
        <f ca="1">IFERROR(__xludf.DUMMYFUNCTION("""COMPUTED_VALUE"""),2)</f>
        <v>2</v>
      </c>
      <c r="J49" s="1">
        <f ca="1">IFERROR(__xludf.DUMMYFUNCTION("""COMPUTED_VALUE"""),0)</f>
        <v>0</v>
      </c>
      <c r="K49" s="1" t="str">
        <f ca="1">IFERROR(__xludf.DUMMYFUNCTION("""COMPUTED_VALUE"""),"Winter")</f>
        <v>Winter</v>
      </c>
      <c r="L49" s="1" t="str">
        <f ca="1">IFERROR(__xludf.DUMMYFUNCTION("""COMPUTED_VALUE"""),"Nashville")</f>
        <v>Nashville</v>
      </c>
      <c r="M49" s="1" t="str">
        <f ca="1">IFERROR(__xludf.DUMMYFUNCTION("""COMPUTED_VALUE"""),"TN")</f>
        <v>TN</v>
      </c>
      <c r="N49" s="1" t="str">
        <f ca="1">IFERROR(__xludf.DUMMYFUNCTION("""COMPUTED_VALUE"""),"Middle")</f>
        <v>Middle</v>
      </c>
      <c r="O49" s="1" t="str">
        <f ca="1">IFERROR(__xludf.DUMMYFUNCTION("""COMPUTED_VALUE"""),"Parking Lot")</f>
        <v>Parking Lot</v>
      </c>
      <c r="P49" s="1" t="str">
        <f ca="1">IFERROR(__xludf.DUMMYFUNCTION("""COMPUTED_VALUE"""),"Outside on School Property")</f>
        <v>Outside on School Property</v>
      </c>
      <c r="Q49" s="1" t="str">
        <f ca="1">IFERROR(__xludf.DUMMYFUNCTION("""COMPUTED_VALUE"""),"No")</f>
        <v>No</v>
      </c>
      <c r="R49" s="1" t="str">
        <f ca="1">IFERROR(__xludf.DUMMYFUNCTION("""COMPUTED_VALUE"""),"Evening")</f>
        <v>Evening</v>
      </c>
      <c r="S49" s="5">
        <f ca="1">IFERROR(__xludf.DUMMYFUNCTION("""COMPUTED_VALUE"""),0.791666666666666)</f>
        <v>0.79166666666666596</v>
      </c>
      <c r="T49" s="1">
        <f ca="1">IFERROR(__xludf.DUMMYFUNCTION("""COMPUTED_VALUE"""),1)</f>
        <v>1</v>
      </c>
      <c r="U49" s="1" t="str">
        <f ca="1">IFERROR(__xludf.DUMMYFUNCTION("""COMPUTED_VALUE"""),"Two teens fatally shot in school parking lot during dispute")</f>
        <v>Two teens fatally shot in school parking lot during dispute</v>
      </c>
      <c r="V49" s="1" t="str">
        <f ca="1">IFERROR(__xludf.DUMMYFUNCTION("""COMPUTED_VALUE"""),"Two teens were fatally shot inside a vehicle in the school parking lot during “marijuana deal gone bad” with two unidentified men. School CCTV recorded the incident and staff were inside when the shooting happened. Shooter fled in a vehicle.")</f>
        <v>Two teens were fatally shot inside a vehicle in the school parking lot during “marijuana deal gone bad” with two unidentified men. School CCTV recorded the incident and staff were inside when the shooting happened. Shooter fled in a vehicle.</v>
      </c>
      <c r="W49" s="1" t="str">
        <f ca="1">IFERROR(__xludf.DUMMYFUNCTION("""COMPUTED_VALUE"""),"Illegal Activity")</f>
        <v>Illegal Activity</v>
      </c>
      <c r="X49" s="1" t="str">
        <f ca="1">IFERROR(__xludf.DUMMYFUNCTION("""COMPUTED_VALUE"""),"Victims Targeted")</f>
        <v>Victims Targeted</v>
      </c>
      <c r="Y49" s="1" t="str">
        <f ca="1">IFERROR(__xludf.DUMMYFUNCTION("""COMPUTED_VALUE"""),"Yes")</f>
        <v>Yes</v>
      </c>
      <c r="Z49" s="1" t="str">
        <f ca="1">IFERROR(__xludf.DUMMYFUNCTION("""COMPUTED_VALUE"""),"Two men")</f>
        <v>Two men</v>
      </c>
      <c r="AA49" s="1" t="str">
        <f ca="1">IFERROR(__xludf.DUMMYFUNCTION("""COMPUTED_VALUE"""),"No")</f>
        <v>No</v>
      </c>
      <c r="AB49" s="1" t="str">
        <f ca="1">IFERROR(__xludf.DUMMYFUNCTION("""COMPUTED_VALUE"""),"No")</f>
        <v>No</v>
      </c>
      <c r="AC49" s="1" t="str">
        <f ca="1">IFERROR(__xludf.DUMMYFUNCTION("""COMPUTED_VALUE"""),"No")</f>
        <v>No</v>
      </c>
      <c r="AD49" s="1" t="str">
        <f ca="1">IFERROR(__xludf.DUMMYFUNCTION("""COMPUTED_VALUE"""),"No")</f>
        <v>No</v>
      </c>
      <c r="AE49" s="1" t="str">
        <f ca="1">IFERROR(__xludf.DUMMYFUNCTION("""COMPUTED_VALUE"""),"No")</f>
        <v>No</v>
      </c>
      <c r="AF49" s="1"/>
      <c r="AG49" s="1" t="str">
        <f ca="1">IFERROR(__xludf.DUMMYFUNCTION("""COMPUTED_VALUE"""),"No")</f>
        <v>No</v>
      </c>
      <c r="AH49" s="1">
        <f ca="1">IFERROR(__xludf.DUMMYFUNCTION("""COMPUTED_VALUE"""),99)</f>
        <v>99</v>
      </c>
    </row>
    <row r="50" spans="1:34" ht="12.5">
      <c r="A50" s="1" t="str">
        <f ca="1">IFERROR(__xludf.DUMMYFUNCTION("""COMPUTED_VALUE"""),"20240207ORWIE")</f>
        <v>20240207ORWIE</v>
      </c>
      <c r="B50" s="1">
        <f ca="1">IFERROR(__xludf.DUMMYFUNCTION("""COMPUTED_VALUE"""),2)</f>
        <v>2</v>
      </c>
      <c r="C50" s="1">
        <f ca="1">IFERROR(__xludf.DUMMYFUNCTION("""COMPUTED_VALUE"""),7)</f>
        <v>7</v>
      </c>
      <c r="D50" s="1">
        <f ca="1">IFERROR(__xludf.DUMMYFUNCTION("""COMPUTED_VALUE"""),2024)</f>
        <v>2024</v>
      </c>
      <c r="E50" s="4">
        <f ca="1">IFERROR(__xludf.DUMMYFUNCTION("""COMPUTED_VALUE"""),45329)</f>
        <v>45329</v>
      </c>
      <c r="F50" s="1" t="str">
        <f ca="1">IFERROR(__xludf.DUMMYFUNCTION("""COMPUTED_VALUE"""),"Willagillespie Elementary School")</f>
        <v>Willagillespie Elementary School</v>
      </c>
      <c r="G50" s="1">
        <f ca="1">IFERROR(__xludf.DUMMYFUNCTION("""COMPUTED_VALUE"""),0)</f>
        <v>0</v>
      </c>
      <c r="H50" s="1">
        <f ca="1">IFERROR(__xludf.DUMMYFUNCTION("""COMPUTED_VALUE"""),0)</f>
        <v>0</v>
      </c>
      <c r="I50" s="1">
        <f ca="1">IFERROR(__xludf.DUMMYFUNCTION("""COMPUTED_VALUE"""),0)</f>
        <v>0</v>
      </c>
      <c r="J50" s="1">
        <f ca="1">IFERROR(__xludf.DUMMYFUNCTION("""COMPUTED_VALUE"""),0)</f>
        <v>0</v>
      </c>
      <c r="K50" s="1" t="str">
        <f ca="1">IFERROR(__xludf.DUMMYFUNCTION("""COMPUTED_VALUE"""),"Winter")</f>
        <v>Winter</v>
      </c>
      <c r="L50" s="1" t="str">
        <f ca="1">IFERROR(__xludf.DUMMYFUNCTION("""COMPUTED_VALUE"""),"Eugene")</f>
        <v>Eugene</v>
      </c>
      <c r="M50" s="1" t="str">
        <f ca="1">IFERROR(__xludf.DUMMYFUNCTION("""COMPUTED_VALUE"""),"OR")</f>
        <v>OR</v>
      </c>
      <c r="N50" s="1" t="str">
        <f ca="1">IFERROR(__xludf.DUMMYFUNCTION("""COMPUTED_VALUE"""),"Elementary")</f>
        <v>Elementary</v>
      </c>
      <c r="O50" s="1" t="str">
        <f ca="1">IFERROR(__xludf.DUMMYFUNCTION("""COMPUTED_VALUE"""),"Parking Lot")</f>
        <v>Parking Lot</v>
      </c>
      <c r="P50" s="1" t="str">
        <f ca="1">IFERROR(__xludf.DUMMYFUNCTION("""COMPUTED_VALUE"""),"Outside on School Property")</f>
        <v>Outside on School Property</v>
      </c>
      <c r="Q50" s="1" t="str">
        <f ca="1">IFERROR(__xludf.DUMMYFUNCTION("""COMPUTED_VALUE"""),"Yes")</f>
        <v>Yes</v>
      </c>
      <c r="R50" s="1" t="str">
        <f ca="1">IFERROR(__xludf.DUMMYFUNCTION("""COMPUTED_VALUE"""),"Afternoon Classes")</f>
        <v>Afternoon Classes</v>
      </c>
      <c r="S50" s="5">
        <f ca="1">IFERROR(__xludf.DUMMYFUNCTION("""COMPUTED_VALUE"""),0.638888888888888)</f>
        <v>0.63888888888888795</v>
      </c>
      <c r="T50" s="1">
        <f ca="1">IFERROR(__xludf.DUMMYFUNCTION("""COMPUTED_VALUE"""),1)</f>
        <v>1</v>
      </c>
      <c r="U50" s="1" t="str">
        <f ca="1">IFERROR(__xludf.DUMMYFUNCTION("""COMPUTED_VALUE"""),"Shots fired in school parking lot")</f>
        <v>Shots fired in school parking lot</v>
      </c>
      <c r="V50" s="1" t="str">
        <f ca="1">IFERROR(__xludf.DUMMYFUNCTION("""COMPUTED_VALUE"""),"According to Eugene Police Department officials, officers responded to reports of shots fired from a blue Ford Explorer in the south parking lot if Willagillespie Elementary School at about 3:29 p.m. on February 7. The Explorer reportedly left northbound "&amp;"on Delta Highway. No injuries were reported. Officials at Willagillespie said a lockdown was initiated after the incident, and that students and staff on campus were safe inside the building. School officials reiterated that no injuries occurred, and prai"&amp;"sed the calm professionalism with which staff carried out the lockdown procedure.")</f>
        <v>According to Eugene Police Department officials, officers responded to reports of shots fired from a blue Ford Explorer in the south parking lot if Willagillespie Elementary School at about 3:29 p.m. on February 7. The Explorer reportedly left northbound on Delta Highway. No injuries were reported. Officials at Willagillespie said a lockdown was initiated after the incident, and that students and staff on campus were safe inside the building. School officials reiterated that no injuries occurred, and praised the calm professionalism with which staff carried out the lockdown procedure.</v>
      </c>
      <c r="W50" s="1" t="str">
        <f ca="1">IFERROR(__xludf.DUMMYFUNCTION("""COMPUTED_VALUE"""),"Drive-by Shooting")</f>
        <v>Drive-by Shooting</v>
      </c>
      <c r="X50" s="1"/>
      <c r="Y50" s="1" t="str">
        <f ca="1">IFERROR(__xludf.DUMMYFUNCTION("""COMPUTED_VALUE"""),"Yes")</f>
        <v>Yes</v>
      </c>
      <c r="Z50" s="1" t="str">
        <f ca="1">IFERROR(__xludf.DUMMYFUNCTION("""COMPUTED_VALUE"""),"Three arrested")</f>
        <v>Three arrested</v>
      </c>
      <c r="AA50" s="1" t="str">
        <f ca="1">IFERROR(__xludf.DUMMYFUNCTION("""COMPUTED_VALUE"""),"No")</f>
        <v>No</v>
      </c>
      <c r="AB50" s="1" t="str">
        <f ca="1">IFERROR(__xludf.DUMMYFUNCTION("""COMPUTED_VALUE"""),"No")</f>
        <v>No</v>
      </c>
      <c r="AC50" s="1" t="str">
        <f ca="1">IFERROR(__xludf.DUMMYFUNCTION("""COMPUTED_VALUE"""),"No")</f>
        <v>No</v>
      </c>
      <c r="AD50" s="1" t="str">
        <f ca="1">IFERROR(__xludf.DUMMYFUNCTION("""COMPUTED_VALUE"""),"No")</f>
        <v>No</v>
      </c>
      <c r="AE50" s="1" t="str">
        <f ca="1">IFERROR(__xludf.DUMMYFUNCTION("""COMPUTED_VALUE"""),"No")</f>
        <v>No</v>
      </c>
      <c r="AF50" s="1"/>
      <c r="AG50" s="1" t="str">
        <f ca="1">IFERROR(__xludf.DUMMYFUNCTION("""COMPUTED_VALUE"""),"No")</f>
        <v>No</v>
      </c>
      <c r="AH50" s="1">
        <f ca="1">IFERROR(__xludf.DUMMYFUNCTION("""COMPUTED_VALUE"""),99)</f>
        <v>99</v>
      </c>
    </row>
    <row r="51" spans="1:34" ht="12.5">
      <c r="A51" s="1" t="str">
        <f ca="1">IFERROR(__xludf.DUMMYFUNCTION("""COMPUTED_VALUE"""),"2024207TXKUH")</f>
        <v>2024207TXKUH</v>
      </c>
      <c r="B51" s="1">
        <f ca="1">IFERROR(__xludf.DUMMYFUNCTION("""COMPUTED_VALUE"""),2)</f>
        <v>2</v>
      </c>
      <c r="C51" s="1">
        <f ca="1">IFERROR(__xludf.DUMMYFUNCTION("""COMPUTED_VALUE"""),6)</f>
        <v>6</v>
      </c>
      <c r="D51" s="1">
        <f ca="1">IFERROR(__xludf.DUMMYFUNCTION("""COMPUTED_VALUE"""),2024)</f>
        <v>2024</v>
      </c>
      <c r="E51" s="4">
        <f ca="1">IFERROR(__xludf.DUMMYFUNCTION("""COMPUTED_VALUE"""),45328)</f>
        <v>45328</v>
      </c>
      <c r="F51" s="1" t="str">
        <f ca="1">IFERROR(__xludf.DUMMYFUNCTION("""COMPUTED_VALUE"""),"Kujawa Elementary School")</f>
        <v>Kujawa Elementary School</v>
      </c>
      <c r="G51" s="1">
        <f ca="1">IFERROR(__xludf.DUMMYFUNCTION("""COMPUTED_VALUE"""),1)</f>
        <v>1</v>
      </c>
      <c r="H51" s="1">
        <f ca="1">IFERROR(__xludf.DUMMYFUNCTION("""COMPUTED_VALUE"""),0)</f>
        <v>0</v>
      </c>
      <c r="I51" s="1">
        <f ca="1">IFERROR(__xludf.DUMMYFUNCTION("""COMPUTED_VALUE"""),1)</f>
        <v>1</v>
      </c>
      <c r="J51" s="1">
        <f ca="1">IFERROR(__xludf.DUMMYFUNCTION("""COMPUTED_VALUE"""),0)</f>
        <v>0</v>
      </c>
      <c r="K51" s="1" t="str">
        <f ca="1">IFERROR(__xludf.DUMMYFUNCTION("""COMPUTED_VALUE"""),"Winter")</f>
        <v>Winter</v>
      </c>
      <c r="L51" s="1" t="str">
        <f ca="1">IFERROR(__xludf.DUMMYFUNCTION("""COMPUTED_VALUE"""),"Houston")</f>
        <v>Houston</v>
      </c>
      <c r="M51" s="1" t="str">
        <f ca="1">IFERROR(__xludf.DUMMYFUNCTION("""COMPUTED_VALUE"""),"TX")</f>
        <v>TX</v>
      </c>
      <c r="N51" s="1" t="str">
        <f ca="1">IFERROR(__xludf.DUMMYFUNCTION("""COMPUTED_VALUE"""),"Elementary")</f>
        <v>Elementary</v>
      </c>
      <c r="O51" s="1" t="str">
        <f ca="1">IFERROR(__xludf.DUMMYFUNCTION("""COMPUTED_VALUE"""),"Front of School")</f>
        <v>Front of School</v>
      </c>
      <c r="P51" s="1" t="str">
        <f ca="1">IFERROR(__xludf.DUMMYFUNCTION("""COMPUTED_VALUE"""),"Outside on School Property")</f>
        <v>Outside on School Property</v>
      </c>
      <c r="Q51" s="1" t="str">
        <f ca="1">IFERROR(__xludf.DUMMYFUNCTION("""COMPUTED_VALUE"""),"No")</f>
        <v>No</v>
      </c>
      <c r="R51" s="1" t="str">
        <f ca="1">IFERROR(__xludf.DUMMYFUNCTION("""COMPUTED_VALUE"""),"Night")</f>
        <v>Night</v>
      </c>
      <c r="S51" s="5">
        <f ca="1">IFERROR(__xludf.DUMMYFUNCTION("""COMPUTED_VALUE"""),0.979166666666666)</f>
        <v>0.97916666666666596</v>
      </c>
      <c r="T51" s="1">
        <f ca="1">IFERROR(__xludf.DUMMYFUNCTION("""COMPUTED_VALUE"""),1)</f>
        <v>1</v>
      </c>
      <c r="U51" s="1" t="str">
        <f ca="1">IFERROR(__xludf.DUMMYFUNCTION("""COMPUTED_VALUE"""),"Man fatally shot in front of the school")</f>
        <v>Man fatally shot in front of the school</v>
      </c>
      <c r="V51" s="1" t="str">
        <f ca="1">IFERROR(__xludf.DUMMYFUNCTION("""COMPUTED_VALUE"""),"Man was walking down the street when he was fatally shot in front of the school. Aldine ISD is off this week so there will not be students on campus as deputies conduct their investigation Wednesday morning.")</f>
        <v>Man was walking down the street when he was fatally shot in front of the school. Aldine ISD is off this week so there will not be students on campus as deputies conduct their investigation Wednesday morning.</v>
      </c>
      <c r="W51" s="1"/>
      <c r="X51" s="1" t="str">
        <f ca="1">IFERROR(__xludf.DUMMYFUNCTION("""COMPUTED_VALUE"""),"Victims Targeted")</f>
        <v>Victims Targeted</v>
      </c>
      <c r="Y51" s="1"/>
      <c r="Z51" s="1"/>
      <c r="AA51" s="1" t="str">
        <f ca="1">IFERROR(__xludf.DUMMYFUNCTION("""COMPUTED_VALUE"""),"No")</f>
        <v>No</v>
      </c>
      <c r="AB51" s="1" t="str">
        <f ca="1">IFERROR(__xludf.DUMMYFUNCTION("""COMPUTED_VALUE"""),"No")</f>
        <v>No</v>
      </c>
      <c r="AC51" s="1" t="str">
        <f ca="1">IFERROR(__xludf.DUMMYFUNCTION("""COMPUTED_VALUE"""),"No")</f>
        <v>No</v>
      </c>
      <c r="AD51" s="1" t="str">
        <f ca="1">IFERROR(__xludf.DUMMYFUNCTION("""COMPUTED_VALUE"""),"No")</f>
        <v>No</v>
      </c>
      <c r="AE51" s="1" t="str">
        <f ca="1">IFERROR(__xludf.DUMMYFUNCTION("""COMPUTED_VALUE"""),"No")</f>
        <v>No</v>
      </c>
      <c r="AF51" s="1"/>
      <c r="AG51" s="1" t="str">
        <f ca="1">IFERROR(__xludf.DUMMYFUNCTION("""COMPUTED_VALUE"""),"No")</f>
        <v>No</v>
      </c>
      <c r="AH51" s="1">
        <f ca="1">IFERROR(__xludf.DUMMYFUNCTION("""COMPUTED_VALUE"""),99)</f>
        <v>99</v>
      </c>
    </row>
    <row r="52" spans="1:34" ht="12.5">
      <c r="A52" s="1" t="str">
        <f ca="1">IFERROR(__xludf.DUMMYFUNCTION("""COMPUTED_VALUE"""),"20240206TNNOC")</f>
        <v>20240206TNNOC</v>
      </c>
      <c r="B52" s="1">
        <f ca="1">IFERROR(__xludf.DUMMYFUNCTION("""COMPUTED_VALUE"""),2)</f>
        <v>2</v>
      </c>
      <c r="C52" s="1">
        <f ca="1">IFERROR(__xludf.DUMMYFUNCTION("""COMPUTED_VALUE"""),6)</f>
        <v>6</v>
      </c>
      <c r="D52" s="1">
        <f ca="1">IFERROR(__xludf.DUMMYFUNCTION("""COMPUTED_VALUE"""),2024)</f>
        <v>2024</v>
      </c>
      <c r="E52" s="4">
        <f ca="1">IFERROR(__xludf.DUMMYFUNCTION("""COMPUTED_VALUE"""),45328)</f>
        <v>45328</v>
      </c>
      <c r="F52" s="1" t="str">
        <f ca="1">IFERROR(__xludf.DUMMYFUNCTION("""COMPUTED_VALUE"""),"Notre Dame High School")</f>
        <v>Notre Dame High School</v>
      </c>
      <c r="G52" s="1">
        <f ca="1">IFERROR(__xludf.DUMMYFUNCTION("""COMPUTED_VALUE"""),0)</f>
        <v>0</v>
      </c>
      <c r="H52" s="1">
        <f ca="1">IFERROR(__xludf.DUMMYFUNCTION("""COMPUTED_VALUE"""),1)</f>
        <v>1</v>
      </c>
      <c r="I52" s="1">
        <f ca="1">IFERROR(__xludf.DUMMYFUNCTION("""COMPUTED_VALUE"""),1)</f>
        <v>1</v>
      </c>
      <c r="J52" s="1">
        <f ca="1">IFERROR(__xludf.DUMMYFUNCTION("""COMPUTED_VALUE"""),0)</f>
        <v>0</v>
      </c>
      <c r="K52" s="1" t="str">
        <f ca="1">IFERROR(__xludf.DUMMYFUNCTION("""COMPUTED_VALUE"""),"Winter")</f>
        <v>Winter</v>
      </c>
      <c r="L52" s="1" t="str">
        <f ca="1">IFERROR(__xludf.DUMMYFUNCTION("""COMPUTED_VALUE"""),"Chattanooga")</f>
        <v>Chattanooga</v>
      </c>
      <c r="M52" s="1" t="str">
        <f ca="1">IFERROR(__xludf.DUMMYFUNCTION("""COMPUTED_VALUE"""),"TN")</f>
        <v>TN</v>
      </c>
      <c r="N52" s="1" t="str">
        <f ca="1">IFERROR(__xludf.DUMMYFUNCTION("""COMPUTED_VALUE"""),"High")</f>
        <v>High</v>
      </c>
      <c r="O52" s="1" t="str">
        <f ca="1">IFERROR(__xludf.DUMMYFUNCTION("""COMPUTED_VALUE"""),"Outside on School Property")</f>
        <v>Outside on School Property</v>
      </c>
      <c r="P52" s="1" t="str">
        <f ca="1">IFERROR(__xludf.DUMMYFUNCTION("""COMPUTED_VALUE"""),"Outside on School Property")</f>
        <v>Outside on School Property</v>
      </c>
      <c r="Q52" s="1" t="str">
        <f ca="1">IFERROR(__xludf.DUMMYFUNCTION("""COMPUTED_VALUE"""),"Yes")</f>
        <v>Yes</v>
      </c>
      <c r="R52" s="1" t="str">
        <f ca="1">IFERROR(__xludf.DUMMYFUNCTION("""COMPUTED_VALUE"""),"Afternoon Classes")</f>
        <v>Afternoon Classes</v>
      </c>
      <c r="S52" s="5">
        <f ca="1">IFERROR(__xludf.DUMMYFUNCTION("""COMPUTED_VALUE"""),0.602083333333333)</f>
        <v>0.60208333333333297</v>
      </c>
      <c r="T52" s="1">
        <f ca="1">IFERROR(__xludf.DUMMYFUNCTION("""COMPUTED_VALUE"""),1)</f>
        <v>1</v>
      </c>
      <c r="U52" s="1" t="str">
        <f ca="1">IFERROR(__xludf.DUMMYFUNCTION("""COMPUTED_VALUE"""),"Person shot outside on the campus, school went on lockdown")</f>
        <v>Person shot outside on the campus, school went on lockdown</v>
      </c>
      <c r="V52" s="1" t="str">
        <f ca="1">IFERROR(__xludf.DUMMYFUNCTION("""COMPUTED_VALUE"""),"A person was shot outside on the campus. Students and staff barricaded doors during 90 minute lockdown. No details released about the victim, shooter, or motive.")</f>
        <v>A person was shot outside on the campus. Students and staff barricaded doors during 90 minute lockdown. No details released about the victim, shooter, or motive.</v>
      </c>
      <c r="W52" s="1"/>
      <c r="X52" s="1"/>
      <c r="Y52" s="1" t="str">
        <f ca="1">IFERROR(__xludf.DUMMYFUNCTION("""COMPUTED_VALUE"""),"No")</f>
        <v>No</v>
      </c>
      <c r="Z52" s="1"/>
      <c r="AA52" s="1" t="str">
        <f ca="1">IFERROR(__xludf.DUMMYFUNCTION("""COMPUTED_VALUE"""),"No")</f>
        <v>No</v>
      </c>
      <c r="AB52" s="1" t="str">
        <f ca="1">IFERROR(__xludf.DUMMYFUNCTION("""COMPUTED_VALUE"""),"No")</f>
        <v>No</v>
      </c>
      <c r="AC52" s="1" t="str">
        <f ca="1">IFERROR(__xludf.DUMMYFUNCTION("""COMPUTED_VALUE"""),"No")</f>
        <v>No</v>
      </c>
      <c r="AD52" s="1"/>
      <c r="AE52" s="1"/>
      <c r="AF52" s="1"/>
      <c r="AG52" s="1" t="str">
        <f ca="1">IFERROR(__xludf.DUMMYFUNCTION("""COMPUTED_VALUE"""),"No")</f>
        <v>No</v>
      </c>
      <c r="AH52" s="1"/>
    </row>
    <row r="53" spans="1:34" ht="12.5">
      <c r="A53" s="1" t="str">
        <f ca="1">IFERROR(__xludf.DUMMYFUNCTION("""COMPUTED_VALUE"""),"20240205GALUA")</f>
        <v>20240205GALUA</v>
      </c>
      <c r="B53" s="1">
        <f ca="1">IFERROR(__xludf.DUMMYFUNCTION("""COMPUTED_VALUE"""),2)</f>
        <v>2</v>
      </c>
      <c r="C53" s="1">
        <f ca="1">IFERROR(__xludf.DUMMYFUNCTION("""COMPUTED_VALUE"""),5)</f>
        <v>5</v>
      </c>
      <c r="D53" s="1">
        <f ca="1">IFERROR(__xludf.DUMMYFUNCTION("""COMPUTED_VALUE"""),2024)</f>
        <v>2024</v>
      </c>
      <c r="E53" s="4">
        <f ca="1">IFERROR(__xludf.DUMMYFUNCTION("""COMPUTED_VALUE"""),45327)</f>
        <v>45327</v>
      </c>
      <c r="F53" s="1" t="str">
        <f ca="1">IFERROR(__xludf.DUMMYFUNCTION("""COMPUTED_VALUE"""),"Lucy C. Laney High School")</f>
        <v>Lucy C. Laney High School</v>
      </c>
      <c r="G53" s="1">
        <f ca="1">IFERROR(__xludf.DUMMYFUNCTION("""COMPUTED_VALUE"""),0)</f>
        <v>0</v>
      </c>
      <c r="H53" s="1">
        <f ca="1">IFERROR(__xludf.DUMMYFUNCTION("""COMPUTED_VALUE"""),0)</f>
        <v>0</v>
      </c>
      <c r="I53" s="1">
        <f ca="1">IFERROR(__xludf.DUMMYFUNCTION("""COMPUTED_VALUE"""),0)</f>
        <v>0</v>
      </c>
      <c r="J53" s="1">
        <f ca="1">IFERROR(__xludf.DUMMYFUNCTION("""COMPUTED_VALUE"""),0)</f>
        <v>0</v>
      </c>
      <c r="K53" s="1" t="str">
        <f ca="1">IFERROR(__xludf.DUMMYFUNCTION("""COMPUTED_VALUE"""),"Winter")</f>
        <v>Winter</v>
      </c>
      <c r="L53" s="1" t="str">
        <f ca="1">IFERROR(__xludf.DUMMYFUNCTION("""COMPUTED_VALUE"""),"Augusta")</f>
        <v>Augusta</v>
      </c>
      <c r="M53" s="1" t="str">
        <f ca="1">IFERROR(__xludf.DUMMYFUNCTION("""COMPUTED_VALUE"""),"GA")</f>
        <v>GA</v>
      </c>
      <c r="N53" s="1" t="str">
        <f ca="1">IFERROR(__xludf.DUMMYFUNCTION("""COMPUTED_VALUE"""),"High")</f>
        <v>High</v>
      </c>
      <c r="O53" s="1" t="str">
        <f ca="1">IFERROR(__xludf.DUMMYFUNCTION("""COMPUTED_VALUE"""),"Bathroom")</f>
        <v>Bathroom</v>
      </c>
      <c r="P53" s="1" t="str">
        <f ca="1">IFERROR(__xludf.DUMMYFUNCTION("""COMPUTED_VALUE"""),"Inside School Building")</f>
        <v>Inside School Building</v>
      </c>
      <c r="Q53" s="1" t="str">
        <f ca="1">IFERROR(__xludf.DUMMYFUNCTION("""COMPUTED_VALUE"""),"Yes")</f>
        <v>Yes</v>
      </c>
      <c r="R53" s="1" t="str">
        <f ca="1">IFERROR(__xludf.DUMMYFUNCTION("""COMPUTED_VALUE"""),"Morning Classes")</f>
        <v>Morning Classes</v>
      </c>
      <c r="S53" s="5">
        <f ca="1">IFERROR(__xludf.DUMMYFUNCTION("""COMPUTED_VALUE"""),0.416666666666666)</f>
        <v>0.41666666666666602</v>
      </c>
      <c r="T53" s="1">
        <f ca="1">IFERROR(__xludf.DUMMYFUNCTION("""COMPUTED_VALUE"""),1)</f>
        <v>1</v>
      </c>
      <c r="U53" s="1" t="str">
        <f ca="1">IFERROR(__xludf.DUMMYFUNCTION("""COMPUTED_VALUE"""),"Student fired gun inside bathroom, identified by CCTV and arrested inside school")</f>
        <v>Student fired gun inside bathroom, identified by CCTV and arrested inside school</v>
      </c>
      <c r="V53" s="1" t="str">
        <f ca="1">IFERROR(__xludf.DUMMYFUNCTION("""COMPUTED_VALUE"""),"Just before 10 a.m., Richmond County Sheriff's Office deputies responded to Laney High School for shots fired, according to a news release. Deputies were told at least one gunshot was fired in a restroom inside the school, according to the release. After "&amp;"reviewing video from inside the school, deputies located and detained the students responsible for the shooting.")</f>
        <v>Just before 10 a.m., Richmond County Sheriff's Office deputies responded to Laney High School for shots fired, according to a news release. Deputies were told at least one gunshot was fired in a restroom inside the school, according to the release. After reviewing video from inside the school, deputies located and detained the students responsible for the shooting.</v>
      </c>
      <c r="W53" s="1"/>
      <c r="X53" s="1"/>
      <c r="Y53" s="1" t="str">
        <f ca="1">IFERROR(__xludf.DUMMYFUNCTION("""COMPUTED_VALUE"""),"Yes")</f>
        <v>Yes</v>
      </c>
      <c r="Z53" s="1" t="str">
        <f ca="1">IFERROR(__xludf.DUMMYFUNCTION("""COMPUTED_VALUE"""),"Two students arrested")</f>
        <v>Two students arrested</v>
      </c>
      <c r="AA53" s="1" t="str">
        <f ca="1">IFERROR(__xludf.DUMMYFUNCTION("""COMPUTED_VALUE"""),"No")</f>
        <v>No</v>
      </c>
      <c r="AB53" s="1" t="str">
        <f ca="1">IFERROR(__xludf.DUMMYFUNCTION("""COMPUTED_VALUE"""),"No")</f>
        <v>No</v>
      </c>
      <c r="AC53" s="1" t="str">
        <f ca="1">IFERROR(__xludf.DUMMYFUNCTION("""COMPUTED_VALUE"""),"No")</f>
        <v>No</v>
      </c>
      <c r="AD53" s="1" t="str">
        <f ca="1">IFERROR(__xludf.DUMMYFUNCTION("""COMPUTED_VALUE"""),"No")</f>
        <v>No</v>
      </c>
      <c r="AE53" s="1" t="str">
        <f ca="1">IFERROR(__xludf.DUMMYFUNCTION("""COMPUTED_VALUE"""),"No")</f>
        <v>No</v>
      </c>
      <c r="AF53" s="1" t="str">
        <f ca="1">IFERROR(__xludf.DUMMYFUNCTION("""COMPUTED_VALUE"""),"No")</f>
        <v>No</v>
      </c>
      <c r="AG53" s="1" t="str">
        <f ca="1">IFERROR(__xludf.DUMMYFUNCTION("""COMPUTED_VALUE"""),"No")</f>
        <v>No</v>
      </c>
      <c r="AH53" s="1">
        <f ca="1">IFERROR(__xludf.DUMMYFUNCTION("""COMPUTED_VALUE"""),1)</f>
        <v>1</v>
      </c>
    </row>
    <row r="54" spans="1:34" ht="12.5">
      <c r="A54" s="1" t="str">
        <f ca="1">IFERROR(__xludf.DUMMYFUNCTION("""COMPUTED_VALUE"""),"20240202AZLAA")</f>
        <v>20240202AZLAA</v>
      </c>
      <c r="B54" s="1">
        <f ca="1">IFERROR(__xludf.DUMMYFUNCTION("""COMPUTED_VALUE"""),2)</f>
        <v>2</v>
      </c>
      <c r="C54" s="1">
        <f ca="1">IFERROR(__xludf.DUMMYFUNCTION("""COMPUTED_VALUE"""),2)</f>
        <v>2</v>
      </c>
      <c r="D54" s="1">
        <f ca="1">IFERROR(__xludf.DUMMYFUNCTION("""COMPUTED_VALUE"""),2024)</f>
        <v>2024</v>
      </c>
      <c r="E54" s="4">
        <f ca="1">IFERROR(__xludf.DUMMYFUNCTION("""COMPUTED_VALUE"""),45324)</f>
        <v>45324</v>
      </c>
      <c r="F54" s="1" t="str">
        <f ca="1">IFERROR(__xludf.DUMMYFUNCTION("""COMPUTED_VALUE"""),"La Joya Community High School")</f>
        <v>La Joya Community High School</v>
      </c>
      <c r="G54" s="1">
        <f ca="1">IFERROR(__xludf.DUMMYFUNCTION("""COMPUTED_VALUE"""),0)</f>
        <v>0</v>
      </c>
      <c r="H54" s="1">
        <f ca="1">IFERROR(__xludf.DUMMYFUNCTION("""COMPUTED_VALUE"""),0)</f>
        <v>0</v>
      </c>
      <c r="I54" s="1">
        <f ca="1">IFERROR(__xludf.DUMMYFUNCTION("""COMPUTED_VALUE"""),0)</f>
        <v>0</v>
      </c>
      <c r="J54" s="1">
        <f ca="1">IFERROR(__xludf.DUMMYFUNCTION("""COMPUTED_VALUE"""),0)</f>
        <v>0</v>
      </c>
      <c r="K54" s="1" t="str">
        <f ca="1">IFERROR(__xludf.DUMMYFUNCTION("""COMPUTED_VALUE"""),"Winter")</f>
        <v>Winter</v>
      </c>
      <c r="L54" s="1" t="str">
        <f ca="1">IFERROR(__xludf.DUMMYFUNCTION("""COMPUTED_VALUE"""),"Avondale")</f>
        <v>Avondale</v>
      </c>
      <c r="M54" s="1" t="str">
        <f ca="1">IFERROR(__xludf.DUMMYFUNCTION("""COMPUTED_VALUE"""),"AZ")</f>
        <v>AZ</v>
      </c>
      <c r="N54" s="1" t="str">
        <f ca="1">IFERROR(__xludf.DUMMYFUNCTION("""COMPUTED_VALUE"""),"High")</f>
        <v>High</v>
      </c>
      <c r="O54" s="1" t="str">
        <f ca="1">IFERROR(__xludf.DUMMYFUNCTION("""COMPUTED_VALUE"""),"Parking Lot")</f>
        <v>Parking Lot</v>
      </c>
      <c r="P54" s="1" t="str">
        <f ca="1">IFERROR(__xludf.DUMMYFUNCTION("""COMPUTED_VALUE"""),"Outside on School Property")</f>
        <v>Outside on School Property</v>
      </c>
      <c r="Q54" s="1" t="str">
        <f ca="1">IFERROR(__xludf.DUMMYFUNCTION("""COMPUTED_VALUE"""),"Yes")</f>
        <v>Yes</v>
      </c>
      <c r="R54" s="1" t="str">
        <f ca="1">IFERROR(__xludf.DUMMYFUNCTION("""COMPUTED_VALUE"""),"School Start")</f>
        <v>School Start</v>
      </c>
      <c r="S54" s="5">
        <f ca="1">IFERROR(__xludf.DUMMYFUNCTION("""COMPUTED_VALUE"""),0.319444444444444)</f>
        <v>0.31944444444444398</v>
      </c>
      <c r="T54" s="1">
        <f ca="1">IFERROR(__xludf.DUMMYFUNCTION("""COMPUTED_VALUE"""),1)</f>
        <v>1</v>
      </c>
      <c r="U54" s="1" t="str">
        <f ca="1">IFERROR(__xludf.DUMMYFUNCTION("""COMPUTED_VALUE"""),"Two students arrested after pointing gun in school parking lot")</f>
        <v>Two students arrested after pointing gun in school parking lot</v>
      </c>
      <c r="V54" s="1" t="str">
        <f ca="1">IFERROR(__xludf.DUMMYFUNCTION("""COMPUTED_VALUE"""),"Two students were arrested Friday morning after Avondale police say they waved a gun in front of their high school. Around 7:40 a.m., police were notified that two students were waving a gun from inside a car outside La Joya Community High School, located"&amp;" on Avondale Boulevard near Lower Buckeye Road. Police say school staff identified the students involved, and officers then searched the car they arrived in. A handgun was recovered from inside the car. Officers then took the two students, both under the "&amp;"age of 18, into custody for weapons violations. ")</f>
        <v xml:space="preserve">Two students were arrested Friday morning after Avondale police say they waved a gun in front of their high school. Around 7:40 a.m., police were notified that two students were waving a gun from inside a car outside La Joya Community High School, located on Avondale Boulevard near Lower Buckeye Road. Police say school staff identified the students involved, and officers then searched the car they arrived in. A handgun was recovered from inside the car. Officers then took the two students, both under the age of 18, into custody for weapons violations. </v>
      </c>
      <c r="W54" s="1"/>
      <c r="X54" s="1" t="str">
        <f ca="1">IFERROR(__xludf.DUMMYFUNCTION("""COMPUTED_VALUE"""),"Neither")</f>
        <v>Neither</v>
      </c>
      <c r="Y54" s="1" t="str">
        <f ca="1">IFERROR(__xludf.DUMMYFUNCTION("""COMPUTED_VALUE"""),"Yes")</f>
        <v>Yes</v>
      </c>
      <c r="Z54" s="1" t="str">
        <f ca="1">IFERROR(__xludf.DUMMYFUNCTION("""COMPUTED_VALUE"""),"Two students")</f>
        <v>Two students</v>
      </c>
      <c r="AA54" s="1" t="str">
        <f ca="1">IFERROR(__xludf.DUMMYFUNCTION("""COMPUTED_VALUE"""),"No")</f>
        <v>No</v>
      </c>
      <c r="AB54" s="1" t="str">
        <f ca="1">IFERROR(__xludf.DUMMYFUNCTION("""COMPUTED_VALUE"""),"No")</f>
        <v>No</v>
      </c>
      <c r="AC54" s="1" t="str">
        <f ca="1">IFERROR(__xludf.DUMMYFUNCTION("""COMPUTED_VALUE"""),"No")</f>
        <v>No</v>
      </c>
      <c r="AD54" s="1" t="str">
        <f ca="1">IFERROR(__xludf.DUMMYFUNCTION("""COMPUTED_VALUE"""),"No")</f>
        <v>No</v>
      </c>
      <c r="AE54" s="1" t="str">
        <f ca="1">IFERROR(__xludf.DUMMYFUNCTION("""COMPUTED_VALUE"""),"No")</f>
        <v>No</v>
      </c>
      <c r="AF54" s="1"/>
      <c r="AG54" s="1" t="str">
        <f ca="1">IFERROR(__xludf.DUMMYFUNCTION("""COMPUTED_VALUE"""),"No")</f>
        <v>No</v>
      </c>
      <c r="AH54" s="1">
        <f ca="1">IFERROR(__xludf.DUMMYFUNCTION("""COMPUTED_VALUE"""),0)</f>
        <v>0</v>
      </c>
    </row>
    <row r="55" spans="1:34" ht="12.5">
      <c r="A55" s="1" t="str">
        <f ca="1">IFERROR(__xludf.DUMMYFUNCTION("""COMPUTED_VALUE"""),"20240201TNHAN")</f>
        <v>20240201TNHAN</v>
      </c>
      <c r="B55" s="1">
        <f ca="1">IFERROR(__xludf.DUMMYFUNCTION("""COMPUTED_VALUE"""),2)</f>
        <v>2</v>
      </c>
      <c r="C55" s="1">
        <f ca="1">IFERROR(__xludf.DUMMYFUNCTION("""COMPUTED_VALUE"""),1)</f>
        <v>1</v>
      </c>
      <c r="D55" s="1">
        <f ca="1">IFERROR(__xludf.DUMMYFUNCTION("""COMPUTED_VALUE"""),2024)</f>
        <v>2024</v>
      </c>
      <c r="E55" s="4">
        <f ca="1">IFERROR(__xludf.DUMMYFUNCTION("""COMPUTED_VALUE"""),45323)</f>
        <v>45323</v>
      </c>
      <c r="F55" s="1" t="str">
        <f ca="1">IFERROR(__xludf.DUMMYFUNCTION("""COMPUTED_VALUE"""),"Haynes Middle School")</f>
        <v>Haynes Middle School</v>
      </c>
      <c r="G55" s="1">
        <f ca="1">IFERROR(__xludf.DUMMYFUNCTION("""COMPUTED_VALUE"""),0)</f>
        <v>0</v>
      </c>
      <c r="H55" s="1">
        <f ca="1">IFERROR(__xludf.DUMMYFUNCTION("""COMPUTED_VALUE"""),0)</f>
        <v>0</v>
      </c>
      <c r="I55" s="1">
        <f ca="1">IFERROR(__xludf.DUMMYFUNCTION("""COMPUTED_VALUE"""),0)</f>
        <v>0</v>
      </c>
      <c r="J55" s="1">
        <f ca="1">IFERROR(__xludf.DUMMYFUNCTION("""COMPUTED_VALUE"""),0)</f>
        <v>0</v>
      </c>
      <c r="K55" s="1" t="str">
        <f ca="1">IFERROR(__xludf.DUMMYFUNCTION("""COMPUTED_VALUE"""),"Winter")</f>
        <v>Winter</v>
      </c>
      <c r="L55" s="1" t="str">
        <f ca="1">IFERROR(__xludf.DUMMYFUNCTION("""COMPUTED_VALUE"""),"Nashville")</f>
        <v>Nashville</v>
      </c>
      <c r="M55" s="1" t="str">
        <f ca="1">IFERROR(__xludf.DUMMYFUNCTION("""COMPUTED_VALUE"""),"TN")</f>
        <v>TN</v>
      </c>
      <c r="N55" s="1" t="str">
        <f ca="1">IFERROR(__xludf.DUMMYFUNCTION("""COMPUTED_VALUE"""),"Middle")</f>
        <v>Middle</v>
      </c>
      <c r="O55" s="1" t="str">
        <f ca="1">IFERROR(__xludf.DUMMYFUNCTION("""COMPUTED_VALUE"""),"Bathroom")</f>
        <v>Bathroom</v>
      </c>
      <c r="P55" s="1" t="str">
        <f ca="1">IFERROR(__xludf.DUMMYFUNCTION("""COMPUTED_VALUE"""),"Inside School Building")</f>
        <v>Inside School Building</v>
      </c>
      <c r="Q55" s="1" t="str">
        <f ca="1">IFERROR(__xludf.DUMMYFUNCTION("""COMPUTED_VALUE"""),"Yes")</f>
        <v>Yes</v>
      </c>
      <c r="R55" s="1" t="str">
        <f ca="1">IFERROR(__xludf.DUMMYFUNCTION("""COMPUTED_VALUE"""),"Morning Classes")</f>
        <v>Morning Classes</v>
      </c>
      <c r="S55" s="1"/>
      <c r="T55" s="1">
        <f ca="1">IFERROR(__xludf.DUMMYFUNCTION("""COMPUTED_VALUE"""),1)</f>
        <v>1</v>
      </c>
      <c r="U55" s="1" t="str">
        <f ca="1">IFERROR(__xludf.DUMMYFUNCTION("""COMPUTED_VALUE"""),"Student pointed gun at classmate inside bathroom, chased him through building, fired shot outside")</f>
        <v>Student pointed gun at classmate inside bathroom, chased him through building, fired shot outside</v>
      </c>
      <c r="V55" s="1" t="str">
        <f ca="1">IFERROR(__xludf.DUMMYFUNCTION("""COMPUTED_VALUE"""),"The two students were reportedly involved in a fight last week. On Wednesday, the 13-year-old brought a gun to school and confronted the 14-year-old in a restroom, police said. The 14-year-old fled and ran outside of the school to get away. The 13-year-ol"&amp;"d also ran out of the school and admitted to officers that he fired a shot from his pistol once outside. He then fled into some nearby woods behind the school. He was eventually taken into custody unarmed near Liberia Street. The gun was later recovered i"&amp;"n the woods with assistance from an ATF K-9. Shooter and victim had recently been involved in fight.")</f>
        <v>The two students were reportedly involved in a fight last week. On Wednesday, the 13-year-old brought a gun to school and confronted the 14-year-old in a restroom, police said. The 14-year-old fled and ran outside of the school to get away. The 13-year-old also ran out of the school and admitted to officers that he fired a shot from his pistol once outside. He then fled into some nearby woods behind the school. He was eventually taken into custody unarmed near Liberia Street. The gun was later recovered in the woods with assistance from an ATF K-9. Shooter and victim had recently been involved in fight.</v>
      </c>
      <c r="W55" s="1" t="str">
        <f ca="1">IFERROR(__xludf.DUMMYFUNCTION("""COMPUTED_VALUE"""),"Escalation of Dispute")</f>
        <v>Escalation of Dispute</v>
      </c>
      <c r="X55" s="1" t="str">
        <f ca="1">IFERROR(__xludf.DUMMYFUNCTION("""COMPUTED_VALUE"""),"Victims Targeted")</f>
        <v>Victims Targeted</v>
      </c>
      <c r="Y55" s="1" t="str">
        <f ca="1">IFERROR(__xludf.DUMMYFUNCTION("""COMPUTED_VALUE"""),"No")</f>
        <v>No</v>
      </c>
      <c r="Z55" s="1"/>
      <c r="AA55" s="1" t="str">
        <f ca="1">IFERROR(__xludf.DUMMYFUNCTION("""COMPUTED_VALUE"""),"No")</f>
        <v>No</v>
      </c>
      <c r="AB55" s="1" t="str">
        <f ca="1">IFERROR(__xludf.DUMMYFUNCTION("""COMPUTED_VALUE"""),"No")</f>
        <v>No</v>
      </c>
      <c r="AC55" s="1" t="str">
        <f ca="1">IFERROR(__xludf.DUMMYFUNCTION("""COMPUTED_VALUE"""),"No")</f>
        <v>No</v>
      </c>
      <c r="AD55" s="1"/>
      <c r="AE55" s="1" t="str">
        <f ca="1">IFERROR(__xludf.DUMMYFUNCTION("""COMPUTED_VALUE"""),"No")</f>
        <v>No</v>
      </c>
      <c r="AF55" s="1" t="str">
        <f ca="1">IFERROR(__xludf.DUMMYFUNCTION("""COMPUTED_VALUE"""),"No")</f>
        <v>No</v>
      </c>
      <c r="AG55" s="1" t="str">
        <f ca="1">IFERROR(__xludf.DUMMYFUNCTION("""COMPUTED_VALUE"""),"No")</f>
        <v>No</v>
      </c>
      <c r="AH55" s="1">
        <f ca="1">IFERROR(__xludf.DUMMYFUNCTION("""COMPUTED_VALUE"""),1)</f>
        <v>1</v>
      </c>
    </row>
    <row r="56" spans="1:34" ht="12.5">
      <c r="A56" s="1" t="str">
        <f ca="1">IFERROR(__xludf.DUMMYFUNCTION("""COMPUTED_VALUE"""),"20240201GAMCP")</f>
        <v>20240201GAMCP</v>
      </c>
      <c r="B56" s="1">
        <f ca="1">IFERROR(__xludf.DUMMYFUNCTION("""COMPUTED_VALUE"""),2)</f>
        <v>2</v>
      </c>
      <c r="C56" s="1">
        <f ca="1">IFERROR(__xludf.DUMMYFUNCTION("""COMPUTED_VALUE"""),1)</f>
        <v>1</v>
      </c>
      <c r="D56" s="1">
        <f ca="1">IFERROR(__xludf.DUMMYFUNCTION("""COMPUTED_VALUE"""),2024)</f>
        <v>2024</v>
      </c>
      <c r="E56" s="4">
        <f ca="1">IFERROR(__xludf.DUMMYFUNCTION("""COMPUTED_VALUE"""),45323)</f>
        <v>45323</v>
      </c>
      <c r="F56" s="1" t="str">
        <f ca="1">IFERROR(__xludf.DUMMYFUNCTION("""COMPUTED_VALUE"""),"McEachern High School")</f>
        <v>McEachern High School</v>
      </c>
      <c r="G56" s="1">
        <f ca="1">IFERROR(__xludf.DUMMYFUNCTION("""COMPUTED_VALUE"""),0)</f>
        <v>0</v>
      </c>
      <c r="H56" s="1">
        <f ca="1">IFERROR(__xludf.DUMMYFUNCTION("""COMPUTED_VALUE"""),2)</f>
        <v>2</v>
      </c>
      <c r="I56" s="1">
        <f ca="1">IFERROR(__xludf.DUMMYFUNCTION("""COMPUTED_VALUE"""),2)</f>
        <v>2</v>
      </c>
      <c r="J56" s="1">
        <f ca="1">IFERROR(__xludf.DUMMYFUNCTION("""COMPUTED_VALUE"""),0)</f>
        <v>0</v>
      </c>
      <c r="K56" s="1" t="str">
        <f ca="1">IFERROR(__xludf.DUMMYFUNCTION("""COMPUTED_VALUE"""),"Winter")</f>
        <v>Winter</v>
      </c>
      <c r="L56" s="1" t="str">
        <f ca="1">IFERROR(__xludf.DUMMYFUNCTION("""COMPUTED_VALUE"""),"Powder Springs")</f>
        <v>Powder Springs</v>
      </c>
      <c r="M56" s="1" t="str">
        <f ca="1">IFERROR(__xludf.DUMMYFUNCTION("""COMPUTED_VALUE"""),"GA")</f>
        <v>GA</v>
      </c>
      <c r="N56" s="1" t="str">
        <f ca="1">IFERROR(__xludf.DUMMYFUNCTION("""COMPUTED_VALUE"""),"High")</f>
        <v>High</v>
      </c>
      <c r="O56" s="1" t="str">
        <f ca="1">IFERROR(__xludf.DUMMYFUNCTION("""COMPUTED_VALUE"""),"Parking Lot")</f>
        <v>Parking Lot</v>
      </c>
      <c r="P56" s="1" t="str">
        <f ca="1">IFERROR(__xludf.DUMMYFUNCTION("""COMPUTED_VALUE"""),"Outside on School Property")</f>
        <v>Outside on School Property</v>
      </c>
      <c r="Q56" s="1" t="str">
        <f ca="1">IFERROR(__xludf.DUMMYFUNCTION("""COMPUTED_VALUE"""),"Yes")</f>
        <v>Yes</v>
      </c>
      <c r="R56" s="1" t="str">
        <f ca="1">IFERROR(__xludf.DUMMYFUNCTION("""COMPUTED_VALUE"""),"Afternoon Classes")</f>
        <v>Afternoon Classes</v>
      </c>
      <c r="S56" s="5">
        <f ca="1">IFERROR(__xludf.DUMMYFUNCTION("""COMPUTED_VALUE"""),0.574305555555555)</f>
        <v>0.57430555555555496</v>
      </c>
      <c r="T56" s="1">
        <f ca="1">IFERROR(__xludf.DUMMYFUNCTION("""COMPUTED_VALUE"""),1)</f>
        <v>1</v>
      </c>
      <c r="U56" s="1" t="str">
        <f ca="1">IFERROR(__xludf.DUMMYFUNCTION("""COMPUTED_VALUE"""),"Two teens were shot in the school parking lot during an altercation")</f>
        <v>Two teens were shot in the school parking lot during an altercation</v>
      </c>
      <c r="V56" s="1" t="str">
        <f ca="1">IFERROR(__xludf.DUMMYFUNCTION("""COMPUTED_VALUE"""),"Cobb County police confirmed two younger people, who are not students, were shot in the parking lot following some sort of argument or altercation. 20 teens were in the area when the shooting happened. Those two people, who have not yet been identified, w"&amp;"ere taken to the hospital with non-life-threatening injuries where authorities say they are expected to survive. Authorities say they do not know why the individuals were on campus. ")</f>
        <v xml:space="preserve">Cobb County police confirmed two younger people, who are not students, were shot in the parking lot following some sort of argument or altercation. 20 teens were in the area when the shooting happened. Those two people, who have not yet been identified, were taken to the hospital with non-life-threatening injuries where authorities say they are expected to survive. Authorities say they do not know why the individuals were on campus. </v>
      </c>
      <c r="W56" s="1" t="str">
        <f ca="1">IFERROR(__xludf.DUMMYFUNCTION("""COMPUTED_VALUE"""),"Escalation of Dispute")</f>
        <v>Escalation of Dispute</v>
      </c>
      <c r="X56" s="1" t="str">
        <f ca="1">IFERROR(__xludf.DUMMYFUNCTION("""COMPUTED_VALUE"""),"Victims Targeted")</f>
        <v>Victims Targeted</v>
      </c>
      <c r="Y56" s="1"/>
      <c r="Z56" s="1"/>
      <c r="AA56" s="1" t="str">
        <f ca="1">IFERROR(__xludf.DUMMYFUNCTION("""COMPUTED_VALUE"""),"No")</f>
        <v>No</v>
      </c>
      <c r="AB56" s="1" t="str">
        <f ca="1">IFERROR(__xludf.DUMMYFUNCTION("""COMPUTED_VALUE"""),"No")</f>
        <v>No</v>
      </c>
      <c r="AC56" s="1" t="str">
        <f ca="1">IFERROR(__xludf.DUMMYFUNCTION("""COMPUTED_VALUE"""),"No")</f>
        <v>No</v>
      </c>
      <c r="AD56" s="1" t="str">
        <f ca="1">IFERROR(__xludf.DUMMYFUNCTION("""COMPUTED_VALUE"""),"No")</f>
        <v>No</v>
      </c>
      <c r="AE56" s="1" t="str">
        <f ca="1">IFERROR(__xludf.DUMMYFUNCTION("""COMPUTED_VALUE"""),"No")</f>
        <v>No</v>
      </c>
      <c r="AF56" s="1"/>
      <c r="AG56" s="1" t="str">
        <f ca="1">IFERROR(__xludf.DUMMYFUNCTION("""COMPUTED_VALUE"""),"No")</f>
        <v>No</v>
      </c>
      <c r="AH56" s="1">
        <f ca="1">IFERROR(__xludf.DUMMYFUNCTION("""COMPUTED_VALUE"""),99)</f>
        <v>99</v>
      </c>
    </row>
    <row r="57" spans="1:34" ht="12.5">
      <c r="A57" s="1" t="str">
        <f ca="1">IFERROR(__xludf.DUMMYFUNCTION("""COMPUTED_VALUE"""),"20240131CADUD")</f>
        <v>20240131CADUD</v>
      </c>
      <c r="B57" s="1">
        <f ca="1">IFERROR(__xludf.DUMMYFUNCTION("""COMPUTED_VALUE"""),1)</f>
        <v>1</v>
      </c>
      <c r="C57" s="1">
        <f ca="1">IFERROR(__xludf.DUMMYFUNCTION("""COMPUTED_VALUE"""),31)</f>
        <v>31</v>
      </c>
      <c r="D57" s="1">
        <f ca="1">IFERROR(__xludf.DUMMYFUNCTION("""COMPUTED_VALUE"""),2024)</f>
        <v>2024</v>
      </c>
      <c r="E57" s="4">
        <f ca="1">IFERROR(__xludf.DUMMYFUNCTION("""COMPUTED_VALUE"""),45322)</f>
        <v>45322</v>
      </c>
      <c r="F57" s="1" t="str">
        <f ca="1">IFERROR(__xludf.DUMMYFUNCTION("""COMPUTED_VALUE"""),"Dublin High School")</f>
        <v>Dublin High School</v>
      </c>
      <c r="G57" s="1">
        <f ca="1">IFERROR(__xludf.DUMMYFUNCTION("""COMPUTED_VALUE"""),0)</f>
        <v>0</v>
      </c>
      <c r="H57" s="1">
        <f ca="1">IFERROR(__xludf.DUMMYFUNCTION("""COMPUTED_VALUE"""),1)</f>
        <v>1</v>
      </c>
      <c r="I57" s="1">
        <f ca="1">IFERROR(__xludf.DUMMYFUNCTION("""COMPUTED_VALUE"""),1)</f>
        <v>1</v>
      </c>
      <c r="J57" s="1">
        <f ca="1">IFERROR(__xludf.DUMMYFUNCTION("""COMPUTED_VALUE"""),0)</f>
        <v>0</v>
      </c>
      <c r="K57" s="1" t="str">
        <f ca="1">IFERROR(__xludf.DUMMYFUNCTION("""COMPUTED_VALUE"""),"Winter")</f>
        <v>Winter</v>
      </c>
      <c r="L57" s="1" t="str">
        <f ca="1">IFERROR(__xludf.DUMMYFUNCTION("""COMPUTED_VALUE"""),"Dublin")</f>
        <v>Dublin</v>
      </c>
      <c r="M57" s="1" t="str">
        <f ca="1">IFERROR(__xludf.DUMMYFUNCTION("""COMPUTED_VALUE"""),"CA")</f>
        <v>CA</v>
      </c>
      <c r="N57" s="1" t="str">
        <f ca="1">IFERROR(__xludf.DUMMYFUNCTION("""COMPUTED_VALUE"""),"High")</f>
        <v>High</v>
      </c>
      <c r="O57" s="1" t="str">
        <f ca="1">IFERROR(__xludf.DUMMYFUNCTION("""COMPUTED_VALUE"""),"Parking Lot")</f>
        <v>Parking Lot</v>
      </c>
      <c r="P57" s="1" t="str">
        <f ca="1">IFERROR(__xludf.DUMMYFUNCTION("""COMPUTED_VALUE"""),"Outside on School Property")</f>
        <v>Outside on School Property</v>
      </c>
      <c r="Q57" s="1" t="str">
        <f ca="1">IFERROR(__xludf.DUMMYFUNCTION("""COMPUTED_VALUE"""),"Yes")</f>
        <v>Yes</v>
      </c>
      <c r="R57" s="1"/>
      <c r="S57" s="1"/>
      <c r="T57" s="1">
        <f ca="1">IFERROR(__xludf.DUMMYFUNCTION("""COMPUTED_VALUE"""),1)</f>
        <v>1</v>
      </c>
      <c r="U57" s="1" t="str">
        <f ca="1">IFERROR(__xludf.DUMMYFUNCTION("""COMPUTED_VALUE"""),"Student shot in the eye with pellet gun during ""Senior Assassins"" game")</f>
        <v>Student shot in the eye with pellet gun during "Senior Assassins" game</v>
      </c>
      <c r="V57" s="1" t="str">
        <f ca="1">IFERROR(__xludf.DUMMYFUNCTION("""COMPUTED_VALUE"""),"It happened in the school parking lot during the so called “assassins game” -- an unsanctioned competition amongst seniors that involves students using toy guns to shoot at other students. Last Wednesday, the victim, who does not want to be identified, wa"&amp;"s just sitting in her car in the school parking lot and was unfortunately on the receiving end of this dangerous game. Doctors have diagnosed her with blunt force trauma, and she says it’s unclear if she’ll ever regain vision in her right eye. Now, a lawy"&amp;"er for the family says they’re taking legal action against the Dublin Unified School District as the victim recovers from this life-changing injury.")</f>
        <v>It happened in the school parking lot during the so called “assassins game” -- an unsanctioned competition amongst seniors that involves students using toy guns to shoot at other students. Last Wednesday, the victim, who does not want to be identified, was just sitting in her car in the school parking lot and was unfortunately on the receiving end of this dangerous game. Doctors have diagnosed her with blunt force trauma, and she says it’s unclear if she’ll ever regain vision in her right eye. Now, a lawyer for the family says they’re taking legal action against the Dublin Unified School District as the victim recovers from this life-changing injury.</v>
      </c>
      <c r="W57" s="1"/>
      <c r="X57" s="1" t="str">
        <f ca="1">IFERROR(__xludf.DUMMYFUNCTION("""COMPUTED_VALUE"""),"Victims Targeted")</f>
        <v>Victims Targeted</v>
      </c>
      <c r="Y57" s="1" t="str">
        <f ca="1">IFERROR(__xludf.DUMMYFUNCTION("""COMPUTED_VALUE"""),"No")</f>
        <v>No</v>
      </c>
      <c r="Z57" s="1"/>
      <c r="AA57" s="1" t="str">
        <f ca="1">IFERROR(__xludf.DUMMYFUNCTION("""COMPUTED_VALUE"""),"No")</f>
        <v>No</v>
      </c>
      <c r="AB57" s="1" t="str">
        <f ca="1">IFERROR(__xludf.DUMMYFUNCTION("""COMPUTED_VALUE"""),"No")</f>
        <v>No</v>
      </c>
      <c r="AC57" s="1" t="str">
        <f ca="1">IFERROR(__xludf.DUMMYFUNCTION("""COMPUTED_VALUE"""),"No")</f>
        <v>No</v>
      </c>
      <c r="AD57" s="1" t="str">
        <f ca="1">IFERROR(__xludf.DUMMYFUNCTION("""COMPUTED_VALUE"""),"No")</f>
        <v>No</v>
      </c>
      <c r="AE57" s="1" t="str">
        <f ca="1">IFERROR(__xludf.DUMMYFUNCTION("""COMPUTED_VALUE"""),"No")</f>
        <v>No</v>
      </c>
      <c r="AF57" s="1" t="str">
        <f ca="1">IFERROR(__xludf.DUMMYFUNCTION("""COMPUTED_VALUE"""),"No")</f>
        <v>No</v>
      </c>
      <c r="AG57" s="1" t="str">
        <f ca="1">IFERROR(__xludf.DUMMYFUNCTION("""COMPUTED_VALUE"""),"No")</f>
        <v>No</v>
      </c>
      <c r="AH57" s="1">
        <f ca="1">IFERROR(__xludf.DUMMYFUNCTION("""COMPUTED_VALUE"""),1)</f>
        <v>1</v>
      </c>
    </row>
    <row r="58" spans="1:34" ht="12.5">
      <c r="A58" s="1" t="str">
        <f ca="1">IFERROR(__xludf.DUMMYFUNCTION("""COMPUTED_VALUE"""),"20240131ILCHC")</f>
        <v>20240131ILCHC</v>
      </c>
      <c r="B58" s="1">
        <f ca="1">IFERROR(__xludf.DUMMYFUNCTION("""COMPUTED_VALUE"""),1)</f>
        <v>1</v>
      </c>
      <c r="C58" s="1">
        <f ca="1">IFERROR(__xludf.DUMMYFUNCTION("""COMPUTED_VALUE"""),31)</f>
        <v>31</v>
      </c>
      <c r="D58" s="1">
        <f ca="1">IFERROR(__xludf.DUMMYFUNCTION("""COMPUTED_VALUE"""),2024)</f>
        <v>2024</v>
      </c>
      <c r="E58" s="4">
        <f ca="1">IFERROR(__xludf.DUMMYFUNCTION("""COMPUTED_VALUE"""),45322)</f>
        <v>45322</v>
      </c>
      <c r="F58" s="1" t="str">
        <f ca="1">IFERROR(__xludf.DUMMYFUNCTION("""COMPUTED_VALUE"""),"Chicago Friends School")</f>
        <v>Chicago Friends School</v>
      </c>
      <c r="G58" s="1">
        <f ca="1">IFERROR(__xludf.DUMMYFUNCTION("""COMPUTED_VALUE"""),1)</f>
        <v>1</v>
      </c>
      <c r="H58" s="1">
        <f ca="1">IFERROR(__xludf.DUMMYFUNCTION("""COMPUTED_VALUE"""),2)</f>
        <v>2</v>
      </c>
      <c r="I58" s="1">
        <f ca="1">IFERROR(__xludf.DUMMYFUNCTION("""COMPUTED_VALUE"""),3)</f>
        <v>3</v>
      </c>
      <c r="J58" s="1">
        <f ca="1">IFERROR(__xludf.DUMMYFUNCTION("""COMPUTED_VALUE"""),0)</f>
        <v>0</v>
      </c>
      <c r="K58" s="1" t="str">
        <f ca="1">IFERROR(__xludf.DUMMYFUNCTION("""COMPUTED_VALUE"""),"Winter")</f>
        <v>Winter</v>
      </c>
      <c r="L58" s="1" t="str">
        <f ca="1">IFERROR(__xludf.DUMMYFUNCTION("""COMPUTED_VALUE"""),"Chicago")</f>
        <v>Chicago</v>
      </c>
      <c r="M58" s="1" t="str">
        <f ca="1">IFERROR(__xludf.DUMMYFUNCTION("""COMPUTED_VALUE"""),"IL")</f>
        <v>IL</v>
      </c>
      <c r="N58" s="1" t="str">
        <f ca="1">IFERROR(__xludf.DUMMYFUNCTION("""COMPUTED_VALUE"""),"High")</f>
        <v>High</v>
      </c>
      <c r="O58" s="1" t="str">
        <f ca="1">IFERROR(__xludf.DUMMYFUNCTION("""COMPUTED_VALUE"""),"Front of School")</f>
        <v>Front of School</v>
      </c>
      <c r="P58" s="1" t="str">
        <f ca="1">IFERROR(__xludf.DUMMYFUNCTION("""COMPUTED_VALUE"""),"Outside on School Property")</f>
        <v>Outside on School Property</v>
      </c>
      <c r="Q58" s="1" t="str">
        <f ca="1">IFERROR(__xludf.DUMMYFUNCTION("""COMPUTED_VALUE"""),"Yes")</f>
        <v>Yes</v>
      </c>
      <c r="R58" s="1" t="str">
        <f ca="1">IFERROR(__xludf.DUMMYFUNCTION("""COMPUTED_VALUE"""),"Dismissal")</f>
        <v>Dismissal</v>
      </c>
      <c r="S58" s="5">
        <f ca="1">IFERROR(__xludf.DUMMYFUNCTION("""COMPUTED_VALUE"""),0.645833333333333)</f>
        <v>0.64583333333333304</v>
      </c>
      <c r="T58" s="1">
        <f ca="1">IFERROR(__xludf.DUMMYFUNCTION("""COMPUTED_VALUE"""),1)</f>
        <v>1</v>
      </c>
      <c r="U58" s="1" t="str">
        <f ca="1">IFERROR(__xludf.DUMMYFUNCTION("""COMPUTED_VALUE"""),"Three students shot in front of school by multiple teens in vehicle")</f>
        <v>Three students shot in front of school by multiple teens in vehicle</v>
      </c>
      <c r="V58" s="1" t="str">
        <f ca="1">IFERROR(__xludf.DUMMYFUNCTION("""COMPUTED_VALUE"""),"Three teens were shot in front of the school by a group of teens who got out of a vehicle and opened fire. ")</f>
        <v xml:space="preserve">Three teens were shot in front of the school by a group of teens who got out of a vehicle and opened fire. </v>
      </c>
      <c r="W58" s="1" t="str">
        <f ca="1">IFERROR(__xludf.DUMMYFUNCTION("""COMPUTED_VALUE"""),"Drive-by Shooting")</f>
        <v>Drive-by Shooting</v>
      </c>
      <c r="X58" s="1" t="str">
        <f ca="1">IFERROR(__xludf.DUMMYFUNCTION("""COMPUTED_VALUE"""),"Victims Targeted")</f>
        <v>Victims Targeted</v>
      </c>
      <c r="Y58" s="1" t="str">
        <f ca="1">IFERROR(__xludf.DUMMYFUNCTION("""COMPUTED_VALUE"""),"Yes")</f>
        <v>Yes</v>
      </c>
      <c r="Z58" s="1" t="str">
        <f ca="1">IFERROR(__xludf.DUMMYFUNCTION("""COMPUTED_VALUE"""),"Multiple teen shooters")</f>
        <v>Multiple teen shooters</v>
      </c>
      <c r="AA58" s="1" t="str">
        <f ca="1">IFERROR(__xludf.DUMMYFUNCTION("""COMPUTED_VALUE"""),"No")</f>
        <v>No</v>
      </c>
      <c r="AB58" s="1" t="str">
        <f ca="1">IFERROR(__xludf.DUMMYFUNCTION("""COMPUTED_VALUE"""),"No")</f>
        <v>No</v>
      </c>
      <c r="AC58" s="1" t="str">
        <f ca="1">IFERROR(__xludf.DUMMYFUNCTION("""COMPUTED_VALUE"""),"No")</f>
        <v>No</v>
      </c>
      <c r="AD58" s="1" t="str">
        <f ca="1">IFERROR(__xludf.DUMMYFUNCTION("""COMPUTED_VALUE"""),"No")</f>
        <v>No</v>
      </c>
      <c r="AE58" s="1" t="str">
        <f ca="1">IFERROR(__xludf.DUMMYFUNCTION("""COMPUTED_VALUE"""),"No")</f>
        <v>No</v>
      </c>
      <c r="AF58" s="1"/>
      <c r="AG58" s="1" t="str">
        <f ca="1">IFERROR(__xludf.DUMMYFUNCTION("""COMPUTED_VALUE"""),"No")</f>
        <v>No</v>
      </c>
      <c r="AH58" s="1">
        <f ca="1">IFERROR(__xludf.DUMMYFUNCTION("""COMPUTED_VALUE"""),99)</f>
        <v>99</v>
      </c>
    </row>
    <row r="59" spans="1:34" ht="12.5">
      <c r="A59" s="1" t="str">
        <f ca="1">IFERROR(__xludf.DUMMYFUNCTION("""COMPUTED_VALUE"""),"20240130TNBLM")</f>
        <v>20240130TNBLM</v>
      </c>
      <c r="B59" s="1">
        <f ca="1">IFERROR(__xludf.DUMMYFUNCTION("""COMPUTED_VALUE"""),1)</f>
        <v>1</v>
      </c>
      <c r="C59" s="1">
        <f ca="1">IFERROR(__xludf.DUMMYFUNCTION("""COMPUTED_VALUE"""),30)</f>
        <v>30</v>
      </c>
      <c r="D59" s="1">
        <f ca="1">IFERROR(__xludf.DUMMYFUNCTION("""COMPUTED_VALUE"""),2024)</f>
        <v>2024</v>
      </c>
      <c r="E59" s="4">
        <f ca="1">IFERROR(__xludf.DUMMYFUNCTION("""COMPUTED_VALUE"""),45321)</f>
        <v>45321</v>
      </c>
      <c r="F59" s="1" t="str">
        <f ca="1">IFERROR(__xludf.DUMMYFUNCTION("""COMPUTED_VALUE"""),"Blackman High School")</f>
        <v>Blackman High School</v>
      </c>
      <c r="G59" s="1">
        <f ca="1">IFERROR(__xludf.DUMMYFUNCTION("""COMPUTED_VALUE"""),0)</f>
        <v>0</v>
      </c>
      <c r="H59" s="1">
        <f ca="1">IFERROR(__xludf.DUMMYFUNCTION("""COMPUTED_VALUE"""),0)</f>
        <v>0</v>
      </c>
      <c r="I59" s="1">
        <f ca="1">IFERROR(__xludf.DUMMYFUNCTION("""COMPUTED_VALUE"""),0)</f>
        <v>0</v>
      </c>
      <c r="J59" s="1">
        <f ca="1">IFERROR(__xludf.DUMMYFUNCTION("""COMPUTED_VALUE"""),0)</f>
        <v>0</v>
      </c>
      <c r="K59" s="1" t="str">
        <f ca="1">IFERROR(__xludf.DUMMYFUNCTION("""COMPUTED_VALUE"""),"Winter")</f>
        <v>Winter</v>
      </c>
      <c r="L59" s="1" t="str">
        <f ca="1">IFERROR(__xludf.DUMMYFUNCTION("""COMPUTED_VALUE"""),"Murfreesboro")</f>
        <v>Murfreesboro</v>
      </c>
      <c r="M59" s="1" t="str">
        <f ca="1">IFERROR(__xludf.DUMMYFUNCTION("""COMPUTED_VALUE"""),"TN")</f>
        <v>TN</v>
      </c>
      <c r="N59" s="1" t="str">
        <f ca="1">IFERROR(__xludf.DUMMYFUNCTION("""COMPUTED_VALUE"""),"High")</f>
        <v>High</v>
      </c>
      <c r="O59" s="1" t="str">
        <f ca="1">IFERROR(__xludf.DUMMYFUNCTION("""COMPUTED_VALUE"""),"Parking Lot")</f>
        <v>Parking Lot</v>
      </c>
      <c r="P59" s="1" t="str">
        <f ca="1">IFERROR(__xludf.DUMMYFUNCTION("""COMPUTED_VALUE"""),"Outside on School Property")</f>
        <v>Outside on School Property</v>
      </c>
      <c r="Q59" s="1" t="str">
        <f ca="1">IFERROR(__xludf.DUMMYFUNCTION("""COMPUTED_VALUE"""),"No")</f>
        <v>No</v>
      </c>
      <c r="R59" s="1" t="str">
        <f ca="1">IFERROR(__xludf.DUMMYFUNCTION("""COMPUTED_VALUE"""),"Sport Event")</f>
        <v>Sport Event</v>
      </c>
      <c r="S59" s="5">
        <f ca="1">IFERROR(__xludf.DUMMYFUNCTION("""COMPUTED_VALUE"""),0.833333333333333)</f>
        <v>0.83333333333333304</v>
      </c>
      <c r="T59" s="1">
        <f ca="1">IFERROR(__xludf.DUMMYFUNCTION("""COMPUTED_VALUE"""),1)</f>
        <v>1</v>
      </c>
      <c r="U59" s="1" t="str">
        <f ca="1">IFERROR(__xludf.DUMMYFUNCTION("""COMPUTED_VALUE"""),"Teen fired shots into air during fight in school parking lot outside basketball game")</f>
        <v>Teen fired shots into air during fight in school parking lot outside basketball game</v>
      </c>
      <c r="V59" s="1" t="str">
        <f ca="1">IFERROR(__xludf.DUMMYFUNCTION("""COMPUTED_VALUE"""),"Two teen brothers were charged after shots were fired into the air during a fight after a high school basketball game Tuesday night in the Blackman High School parking lot, according to the Rutherford County Sheriff’s Office. RCSO said the brothers are fa"&amp;"cing several charges after one of them allegedly fired shots into the air during a fight.")</f>
        <v>Two teen brothers were charged after shots were fired into the air during a fight after a high school basketball game Tuesday night in the Blackman High School parking lot, according to the Rutherford County Sheriff’s Office. RCSO said the brothers are facing several charges after one of them allegedly fired shots into the air during a fight.</v>
      </c>
      <c r="W59" s="1" t="str">
        <f ca="1">IFERROR(__xludf.DUMMYFUNCTION("""COMPUTED_VALUE"""),"Escalation of Dispute")</f>
        <v>Escalation of Dispute</v>
      </c>
      <c r="X59" s="1" t="str">
        <f ca="1">IFERROR(__xludf.DUMMYFUNCTION("""COMPUTED_VALUE"""),"Neither")</f>
        <v>Neither</v>
      </c>
      <c r="Y59" s="1" t="str">
        <f ca="1">IFERROR(__xludf.DUMMYFUNCTION("""COMPUTED_VALUE"""),"Yes")</f>
        <v>Yes</v>
      </c>
      <c r="Z59" s="1" t="str">
        <f ca="1">IFERROR(__xludf.DUMMYFUNCTION("""COMPUTED_VALUE"""),"Two brothers")</f>
        <v>Two brothers</v>
      </c>
      <c r="AA59" s="1" t="str">
        <f ca="1">IFERROR(__xludf.DUMMYFUNCTION("""COMPUTED_VALUE"""),"No")</f>
        <v>No</v>
      </c>
      <c r="AB59" s="1" t="str">
        <f ca="1">IFERROR(__xludf.DUMMYFUNCTION("""COMPUTED_VALUE"""),"No")</f>
        <v>No</v>
      </c>
      <c r="AC59" s="1" t="str">
        <f ca="1">IFERROR(__xludf.DUMMYFUNCTION("""COMPUTED_VALUE"""),"No")</f>
        <v>No</v>
      </c>
      <c r="AD59" s="1" t="str">
        <f ca="1">IFERROR(__xludf.DUMMYFUNCTION("""COMPUTED_VALUE"""),"No")</f>
        <v>No</v>
      </c>
      <c r="AE59" s="1" t="str">
        <f ca="1">IFERROR(__xludf.DUMMYFUNCTION("""COMPUTED_VALUE"""),"No")</f>
        <v>No</v>
      </c>
      <c r="AF59" s="1" t="str">
        <f ca="1">IFERROR(__xludf.DUMMYFUNCTION("""COMPUTED_VALUE"""),"No")</f>
        <v>No</v>
      </c>
      <c r="AG59" s="1" t="str">
        <f ca="1">IFERROR(__xludf.DUMMYFUNCTION("""COMPUTED_VALUE"""),"No")</f>
        <v>No</v>
      </c>
      <c r="AH59" s="1">
        <f ca="1">IFERROR(__xludf.DUMMYFUNCTION("""COMPUTED_VALUE"""),99)</f>
        <v>99</v>
      </c>
    </row>
    <row r="60" spans="1:34" ht="12.5">
      <c r="A60" s="1" t="str">
        <f ca="1">IFERROR(__xludf.DUMMYFUNCTION("""COMPUTED_VALUE"""),"20240130INBEB")</f>
        <v>20240130INBEB</v>
      </c>
      <c r="B60" s="1">
        <f ca="1">IFERROR(__xludf.DUMMYFUNCTION("""COMPUTED_VALUE"""),1)</f>
        <v>1</v>
      </c>
      <c r="C60" s="1">
        <f ca="1">IFERROR(__xludf.DUMMYFUNCTION("""COMPUTED_VALUE"""),30)</f>
        <v>30</v>
      </c>
      <c r="D60" s="1">
        <f ca="1">IFERROR(__xludf.DUMMYFUNCTION("""COMPUTED_VALUE"""),2024)</f>
        <v>2024</v>
      </c>
      <c r="E60" s="4">
        <f ca="1">IFERROR(__xludf.DUMMYFUNCTION("""COMPUTED_VALUE"""),45321)</f>
        <v>45321</v>
      </c>
      <c r="F60" s="1" t="str">
        <f ca="1">IFERROR(__xludf.DUMMYFUNCTION("""COMPUTED_VALUE"""),"Beech Grove High School")</f>
        <v>Beech Grove High School</v>
      </c>
      <c r="G60" s="1">
        <f ca="1">IFERROR(__xludf.DUMMYFUNCTION("""COMPUTED_VALUE"""),0)</f>
        <v>0</v>
      </c>
      <c r="H60" s="1">
        <f ca="1">IFERROR(__xludf.DUMMYFUNCTION("""COMPUTED_VALUE"""),0)</f>
        <v>0</v>
      </c>
      <c r="I60" s="1">
        <f ca="1">IFERROR(__xludf.DUMMYFUNCTION("""COMPUTED_VALUE"""),0)</f>
        <v>0</v>
      </c>
      <c r="J60" s="1">
        <f ca="1">IFERROR(__xludf.DUMMYFUNCTION("""COMPUTED_VALUE"""),0)</f>
        <v>0</v>
      </c>
      <c r="K60" s="1" t="str">
        <f ca="1">IFERROR(__xludf.DUMMYFUNCTION("""COMPUTED_VALUE"""),"Winter")</f>
        <v>Winter</v>
      </c>
      <c r="L60" s="1" t="str">
        <f ca="1">IFERROR(__xludf.DUMMYFUNCTION("""COMPUTED_VALUE"""),"Beech Grove")</f>
        <v>Beech Grove</v>
      </c>
      <c r="M60" s="1" t="str">
        <f ca="1">IFERROR(__xludf.DUMMYFUNCTION("""COMPUTED_VALUE"""),"IN")</f>
        <v>IN</v>
      </c>
      <c r="N60" s="1" t="str">
        <f ca="1">IFERROR(__xludf.DUMMYFUNCTION("""COMPUTED_VALUE"""),"High")</f>
        <v>High</v>
      </c>
      <c r="O60" s="1" t="str">
        <f ca="1">IFERROR(__xludf.DUMMYFUNCTION("""COMPUTED_VALUE"""),"Parking Lot")</f>
        <v>Parking Lot</v>
      </c>
      <c r="P60" s="1" t="str">
        <f ca="1">IFERROR(__xludf.DUMMYFUNCTION("""COMPUTED_VALUE"""),"Outside on School Property")</f>
        <v>Outside on School Property</v>
      </c>
      <c r="Q60" s="1" t="str">
        <f ca="1">IFERROR(__xludf.DUMMYFUNCTION("""COMPUTED_VALUE"""),"No")</f>
        <v>No</v>
      </c>
      <c r="R60" s="1" t="str">
        <f ca="1">IFERROR(__xludf.DUMMYFUNCTION("""COMPUTED_VALUE"""),"Sport Event")</f>
        <v>Sport Event</v>
      </c>
      <c r="S60" s="5">
        <f ca="1">IFERROR(__xludf.DUMMYFUNCTION("""COMPUTED_VALUE"""),0.875)</f>
        <v>0.875</v>
      </c>
      <c r="T60" s="1">
        <f ca="1">IFERROR(__xludf.DUMMYFUNCTION("""COMPUTED_VALUE"""),1)</f>
        <v>1</v>
      </c>
      <c r="U60" s="1" t="str">
        <f ca="1">IFERROR(__xludf.DUMMYFUNCTION("""COMPUTED_VALUE"""),"Teen fired 12 shots in school parking lot during fight at high school girls basketball game")</f>
        <v>Teen fired 12 shots in school parking lot during fight at high school girls basketball game</v>
      </c>
      <c r="V60" s="1" t="str">
        <f ca="1">IFERROR(__xludf.DUMMYFUNCTION("""COMPUTED_VALUE"""),"Teen fired 12 shots in school parking lot during fight at high school girls basketball game.")</f>
        <v>Teen fired 12 shots in school parking lot during fight at high school girls basketball game.</v>
      </c>
      <c r="W60" s="1" t="str">
        <f ca="1">IFERROR(__xludf.DUMMYFUNCTION("""COMPUTED_VALUE"""),"Escalation of Dispute")</f>
        <v>Escalation of Dispute</v>
      </c>
      <c r="X60" s="1"/>
      <c r="Y60" s="1" t="str">
        <f ca="1">IFERROR(__xludf.DUMMYFUNCTION("""COMPUTED_VALUE"""),"No")</f>
        <v>No</v>
      </c>
      <c r="Z60" s="1"/>
      <c r="AA60" s="1" t="str">
        <f ca="1">IFERROR(__xludf.DUMMYFUNCTION("""COMPUTED_VALUE"""),"No")</f>
        <v>No</v>
      </c>
      <c r="AB60" s="1" t="str">
        <f ca="1">IFERROR(__xludf.DUMMYFUNCTION("""COMPUTED_VALUE"""),"No")</f>
        <v>No</v>
      </c>
      <c r="AC60" s="1" t="str">
        <f ca="1">IFERROR(__xludf.DUMMYFUNCTION("""COMPUTED_VALUE"""),"No")</f>
        <v>No</v>
      </c>
      <c r="AD60" s="1"/>
      <c r="AE60" s="1" t="str">
        <f ca="1">IFERROR(__xludf.DUMMYFUNCTION("""COMPUTED_VALUE"""),"No")</f>
        <v>No</v>
      </c>
      <c r="AF60" s="1"/>
      <c r="AG60" s="1" t="str">
        <f ca="1">IFERROR(__xludf.DUMMYFUNCTION("""COMPUTED_VALUE"""),"No")</f>
        <v>No</v>
      </c>
      <c r="AH60" s="1">
        <f ca="1">IFERROR(__xludf.DUMMYFUNCTION("""COMPUTED_VALUE"""),12)</f>
        <v>12</v>
      </c>
    </row>
    <row r="61" spans="1:34" ht="12.5">
      <c r="A61" s="1" t="str">
        <f ca="1">IFERROR(__xludf.DUMMYFUNCTION("""COMPUTED_VALUE"""),"20240130CAGRS")</f>
        <v>20240130CAGRS</v>
      </c>
      <c r="B61" s="1">
        <f ca="1">IFERROR(__xludf.DUMMYFUNCTION("""COMPUTED_VALUE"""),1)</f>
        <v>1</v>
      </c>
      <c r="C61" s="1">
        <f ca="1">IFERROR(__xludf.DUMMYFUNCTION("""COMPUTED_VALUE"""),30)</f>
        <v>30</v>
      </c>
      <c r="D61" s="1">
        <f ca="1">IFERROR(__xludf.DUMMYFUNCTION("""COMPUTED_VALUE"""),2024)</f>
        <v>2024</v>
      </c>
      <c r="E61" s="4">
        <f ca="1">IFERROR(__xludf.DUMMYFUNCTION("""COMPUTED_VALUE"""),45321)</f>
        <v>45321</v>
      </c>
      <c r="F61" s="1" t="str">
        <f ca="1">IFERROR(__xludf.DUMMYFUNCTION("""COMPUTED_VALUE"""),"Grant High School")</f>
        <v>Grant High School</v>
      </c>
      <c r="G61" s="1">
        <f ca="1">IFERROR(__xludf.DUMMYFUNCTION("""COMPUTED_VALUE"""),0)</f>
        <v>0</v>
      </c>
      <c r="H61" s="1">
        <f ca="1">IFERROR(__xludf.DUMMYFUNCTION("""COMPUTED_VALUE"""),1)</f>
        <v>1</v>
      </c>
      <c r="I61" s="1">
        <f ca="1">IFERROR(__xludf.DUMMYFUNCTION("""COMPUTED_VALUE"""),1)</f>
        <v>1</v>
      </c>
      <c r="J61" s="1">
        <f ca="1">IFERROR(__xludf.DUMMYFUNCTION("""COMPUTED_VALUE"""),0)</f>
        <v>0</v>
      </c>
      <c r="K61" s="1" t="str">
        <f ca="1">IFERROR(__xludf.DUMMYFUNCTION("""COMPUTED_VALUE"""),"Winter")</f>
        <v>Winter</v>
      </c>
      <c r="L61" s="1" t="str">
        <f ca="1">IFERROR(__xludf.DUMMYFUNCTION("""COMPUTED_VALUE"""),"Sacramento")</f>
        <v>Sacramento</v>
      </c>
      <c r="M61" s="1" t="str">
        <f ca="1">IFERROR(__xludf.DUMMYFUNCTION("""COMPUTED_VALUE"""),"CA")</f>
        <v>CA</v>
      </c>
      <c r="N61" s="1" t="str">
        <f ca="1">IFERROR(__xludf.DUMMYFUNCTION("""COMPUTED_VALUE"""),"High")</f>
        <v>High</v>
      </c>
      <c r="O61" s="1" t="str">
        <f ca="1">IFERROR(__xludf.DUMMYFUNCTION("""COMPUTED_VALUE"""),"Parking Lot")</f>
        <v>Parking Lot</v>
      </c>
      <c r="P61" s="1" t="str">
        <f ca="1">IFERROR(__xludf.DUMMYFUNCTION("""COMPUTED_VALUE"""),"Outside on School Property")</f>
        <v>Outside on School Property</v>
      </c>
      <c r="Q61" s="1" t="str">
        <f ca="1">IFERROR(__xludf.DUMMYFUNCTION("""COMPUTED_VALUE"""),"Yes")</f>
        <v>Yes</v>
      </c>
      <c r="R61" s="1" t="str">
        <f ca="1">IFERROR(__xludf.DUMMYFUNCTION("""COMPUTED_VALUE"""),"Morning Classes")</f>
        <v>Morning Classes</v>
      </c>
      <c r="S61" s="5">
        <f ca="1">IFERROR(__xludf.DUMMYFUNCTION("""COMPUTED_VALUE"""),0.416666666666666)</f>
        <v>0.41666666666666602</v>
      </c>
      <c r="T61" s="1">
        <f ca="1">IFERROR(__xludf.DUMMYFUNCTION("""COMPUTED_VALUE"""),1)</f>
        <v>1</v>
      </c>
      <c r="U61" s="1" t="str">
        <f ca="1">IFERROR(__xludf.DUMMYFUNCTION("""COMPUTED_VALUE"""),"Student was shot during dispute with another student in the parking lot.")</f>
        <v>Student was shot during dispute with another student in the parking lot.</v>
      </c>
      <c r="V61" s="1" t="str">
        <f ca="1">IFERROR(__xludf.DUMMYFUNCTION("""COMPUTED_VALUE"""),"Sacramento police say they got a ShotSpotter alert near the campus a little before 10 a.m. Police soon got calls reporting that a student had been shot by another student. ""I was with my friends in the parking lot and this kid walked up to us with a gun "&amp;"and he was trying to scare us,"" victim said. He later added that the gun initially jammed, and when he ran after the gunman, ""that's when I got shot."" Police noted that the incident was isolated and targeted, saying that there was no outstanding threat"&amp;" to the surrounding community. They added that the suspect, a 14-year-old boy, was arrested just a block away from the school along Balsam Street. Police said the young suspect has since been booked into juvenile hall on assault-related charges. Grant Hig"&amp;"h was on lockdown and students were sheltering in place due to the incident. In a message posted to the school's website, parents were being urged to not come to campus at this time. The lockdown was lifted just before 12:30 p.m. and classes resumed for t"&amp;"he rest of the day, but parents who wished to pick up their children could now do so at the Grant West campus. ")</f>
        <v xml:space="preserve">Sacramento police say they got a ShotSpotter alert near the campus a little before 10 a.m. Police soon got calls reporting that a student had been shot by another student. "I was with my friends in the parking lot and this kid walked up to us with a gun and he was trying to scare us," victim said. He later added that the gun initially jammed, and when he ran after the gunman, "that's when I got shot." Police noted that the incident was isolated and targeted, saying that there was no outstanding threat to the surrounding community. They added that the suspect, a 14-year-old boy, was arrested just a block away from the school along Balsam Street. Police said the young suspect has since been booked into juvenile hall on assault-related charges. Grant High was on lockdown and students were sheltering in place due to the incident. In a message posted to the school's website, parents were being urged to not come to campus at this time. The lockdown was lifted just before 12:30 p.m. and classes resumed for the rest of the day, but parents who wished to pick up their children could now do so at the Grant West campus. </v>
      </c>
      <c r="W61" s="1" t="str">
        <f ca="1">IFERROR(__xludf.DUMMYFUNCTION("""COMPUTED_VALUE"""),"Escalation of Dispute")</f>
        <v>Escalation of Dispute</v>
      </c>
      <c r="X61" s="1" t="str">
        <f ca="1">IFERROR(__xludf.DUMMYFUNCTION("""COMPUTED_VALUE"""),"Victims Targeted")</f>
        <v>Victims Targeted</v>
      </c>
      <c r="Y61" s="1" t="str">
        <f ca="1">IFERROR(__xludf.DUMMYFUNCTION("""COMPUTED_VALUE"""),"No")</f>
        <v>No</v>
      </c>
      <c r="Z61" s="1"/>
      <c r="AA61" s="1" t="str">
        <f ca="1">IFERROR(__xludf.DUMMYFUNCTION("""COMPUTED_VALUE"""),"No")</f>
        <v>No</v>
      </c>
      <c r="AB61" s="1" t="str">
        <f ca="1">IFERROR(__xludf.DUMMYFUNCTION("""COMPUTED_VALUE"""),"No")</f>
        <v>No</v>
      </c>
      <c r="AC61" s="1" t="str">
        <f ca="1">IFERROR(__xludf.DUMMYFUNCTION("""COMPUTED_VALUE"""),"No")</f>
        <v>No</v>
      </c>
      <c r="AD61" s="1"/>
      <c r="AE61" s="1" t="str">
        <f ca="1">IFERROR(__xludf.DUMMYFUNCTION("""COMPUTED_VALUE"""),"No")</f>
        <v>No</v>
      </c>
      <c r="AF61" s="1"/>
      <c r="AG61" s="1" t="str">
        <f ca="1">IFERROR(__xludf.DUMMYFUNCTION("""COMPUTED_VALUE"""),"No")</f>
        <v>No</v>
      </c>
      <c r="AH61" s="1">
        <f ca="1">IFERROR(__xludf.DUMMYFUNCTION("""COMPUTED_VALUE"""),1)</f>
        <v>1</v>
      </c>
    </row>
    <row r="62" spans="1:34" ht="12.5">
      <c r="A62" s="1" t="str">
        <f ca="1">IFERROR(__xludf.DUMMYFUNCTION("""COMPUTED_VALUE"""),"20240130ALLEM")</f>
        <v>20240130ALLEM</v>
      </c>
      <c r="B62" s="1">
        <f ca="1">IFERROR(__xludf.DUMMYFUNCTION("""COMPUTED_VALUE"""),1)</f>
        <v>1</v>
      </c>
      <c r="C62" s="1">
        <f ca="1">IFERROR(__xludf.DUMMYFUNCTION("""COMPUTED_VALUE"""),30)</f>
        <v>30</v>
      </c>
      <c r="D62" s="1">
        <f ca="1">IFERROR(__xludf.DUMMYFUNCTION("""COMPUTED_VALUE"""),2024)</f>
        <v>2024</v>
      </c>
      <c r="E62" s="4">
        <f ca="1">IFERROR(__xludf.DUMMYFUNCTION("""COMPUTED_VALUE"""),45321)</f>
        <v>45321</v>
      </c>
      <c r="F62" s="1" t="str">
        <f ca="1">IFERROR(__xludf.DUMMYFUNCTION("""COMPUTED_VALUE"""),"LeFlore High School")</f>
        <v>LeFlore High School</v>
      </c>
      <c r="G62" s="1">
        <f ca="1">IFERROR(__xludf.DUMMYFUNCTION("""COMPUTED_VALUE"""),0)</f>
        <v>0</v>
      </c>
      <c r="H62" s="1">
        <f ca="1">IFERROR(__xludf.DUMMYFUNCTION("""COMPUTED_VALUE"""),2)</f>
        <v>2</v>
      </c>
      <c r="I62" s="1">
        <f ca="1">IFERROR(__xludf.DUMMYFUNCTION("""COMPUTED_VALUE"""),2)</f>
        <v>2</v>
      </c>
      <c r="J62" s="1">
        <f ca="1">IFERROR(__xludf.DUMMYFUNCTION("""COMPUTED_VALUE"""),0)</f>
        <v>0</v>
      </c>
      <c r="K62" s="1" t="str">
        <f ca="1">IFERROR(__xludf.DUMMYFUNCTION("""COMPUTED_VALUE"""),"Winter")</f>
        <v>Winter</v>
      </c>
      <c r="L62" s="1" t="str">
        <f ca="1">IFERROR(__xludf.DUMMYFUNCTION("""COMPUTED_VALUE"""),"Mobile")</f>
        <v>Mobile</v>
      </c>
      <c r="M62" s="1" t="str">
        <f ca="1">IFERROR(__xludf.DUMMYFUNCTION("""COMPUTED_VALUE"""),"AL")</f>
        <v>AL</v>
      </c>
      <c r="N62" s="1" t="str">
        <f ca="1">IFERROR(__xludf.DUMMYFUNCTION("""COMPUTED_VALUE"""),"High")</f>
        <v>High</v>
      </c>
      <c r="O62" s="1" t="str">
        <f ca="1">IFERROR(__xludf.DUMMYFUNCTION("""COMPUTED_VALUE"""),"Inside School Building")</f>
        <v>Inside School Building</v>
      </c>
      <c r="P62" s="1" t="str">
        <f ca="1">IFERROR(__xludf.DUMMYFUNCTION("""COMPUTED_VALUE"""),"Inside School Building")</f>
        <v>Inside School Building</v>
      </c>
      <c r="Q62" s="1" t="str">
        <f ca="1">IFERROR(__xludf.DUMMYFUNCTION("""COMPUTED_VALUE"""),"Yes")</f>
        <v>Yes</v>
      </c>
      <c r="R62" s="1" t="str">
        <f ca="1">IFERROR(__xludf.DUMMYFUNCTION("""COMPUTED_VALUE"""),"Lunch")</f>
        <v>Lunch</v>
      </c>
      <c r="S62" s="5">
        <f ca="1">IFERROR(__xludf.DUMMYFUNCTION("""COMPUTED_VALUE"""),0.502083333333333)</f>
        <v>0.50208333333333299</v>
      </c>
      <c r="T62" s="1">
        <f ca="1">IFERROR(__xludf.DUMMYFUNCTION("""COMPUTED_VALUE"""),1)</f>
        <v>1</v>
      </c>
      <c r="U62" s="1" t="str">
        <f ca="1">IFERROR(__xludf.DUMMYFUNCTION("""COMPUTED_VALUE"""),"Female student shot two male students during dispute inside the school")</f>
        <v>Female student shot two male students during dispute inside the school</v>
      </c>
      <c r="V62" s="1" t="str">
        <f ca="1">IFERROR(__xludf.DUMMYFUNCTION("""COMPUTED_VALUE"""),"There were reports of shots fired around midday Tuesday. The MPD said officers responded to the school at 12:03 p.m. and found that a 16-year-old girl had been engaged in an argument with a 15-year-old boy. The girl then produced a handgun and shot the bo"&amp;"y, causing a superficial wound. The bullet also struck a 17-year-old male student who was taken to the hospital for a non-life-threatening injury. The suspect surrendered to police with the assistance of her parents, according to officials. In court, vide"&amp;"o showed the female student shot the first victim in the leg, followed him as he crawled down the hallway, put the gun to his head, and missed hitting a bystander student.")</f>
        <v>There were reports of shots fired around midday Tuesday. The MPD said officers responded to the school at 12:03 p.m. and found that a 16-year-old girl had been engaged in an argument with a 15-year-old boy. The girl then produced a handgun and shot the boy, causing a superficial wound. The bullet also struck a 17-year-old male student who was taken to the hospital for a non-life-threatening injury. The suspect surrendered to police with the assistance of her parents, according to officials. In court, video showed the female student shot the first victim in the leg, followed him as he crawled down the hallway, put the gun to his head, and missed hitting a bystander student.</v>
      </c>
      <c r="W62" s="1" t="str">
        <f ca="1">IFERROR(__xludf.DUMMYFUNCTION("""COMPUTED_VALUE"""),"Escalation of Dispute")</f>
        <v>Escalation of Dispute</v>
      </c>
      <c r="X62" s="1" t="str">
        <f ca="1">IFERROR(__xludf.DUMMYFUNCTION("""COMPUTED_VALUE"""),"Both")</f>
        <v>Both</v>
      </c>
      <c r="Y62" s="1" t="str">
        <f ca="1">IFERROR(__xludf.DUMMYFUNCTION("""COMPUTED_VALUE"""),"No")</f>
        <v>No</v>
      </c>
      <c r="Z62" s="1"/>
      <c r="AA62" s="1" t="str">
        <f ca="1">IFERROR(__xludf.DUMMYFUNCTION("""COMPUTED_VALUE"""),"No")</f>
        <v>No</v>
      </c>
      <c r="AB62" s="1" t="str">
        <f ca="1">IFERROR(__xludf.DUMMYFUNCTION("""COMPUTED_VALUE"""),"No")</f>
        <v>No</v>
      </c>
      <c r="AC62" s="1" t="str">
        <f ca="1">IFERROR(__xludf.DUMMYFUNCTION("""COMPUTED_VALUE"""),"No")</f>
        <v>No</v>
      </c>
      <c r="AD62" s="1"/>
      <c r="AE62" s="1"/>
      <c r="AF62" s="1" t="str">
        <f ca="1">IFERROR(__xludf.DUMMYFUNCTION("""COMPUTED_VALUE"""),"No")</f>
        <v>No</v>
      </c>
      <c r="AG62" s="1" t="str">
        <f ca="1">IFERROR(__xludf.DUMMYFUNCTION("""COMPUTED_VALUE"""),"No")</f>
        <v>No</v>
      </c>
      <c r="AH62" s="1">
        <f ca="1">IFERROR(__xludf.DUMMYFUNCTION("""COMPUTED_VALUE"""),1)</f>
        <v>1</v>
      </c>
    </row>
    <row r="63" spans="1:34" ht="12.5">
      <c r="A63" s="1" t="str">
        <f ca="1">IFERROR(__xludf.DUMMYFUNCTION("""COMPUTED_VALUE"""),"20240129TXCOA")</f>
        <v>20240129TXCOA</v>
      </c>
      <c r="B63" s="1">
        <f ca="1">IFERROR(__xludf.DUMMYFUNCTION("""COMPUTED_VALUE"""),1)</f>
        <v>1</v>
      </c>
      <c r="C63" s="1">
        <f ca="1">IFERROR(__xludf.DUMMYFUNCTION("""COMPUTED_VALUE"""),29)</f>
        <v>29</v>
      </c>
      <c r="D63" s="1">
        <f ca="1">IFERROR(__xludf.DUMMYFUNCTION("""COMPUTED_VALUE"""),2024)</f>
        <v>2024</v>
      </c>
      <c r="E63" s="4">
        <f ca="1">IFERROR(__xludf.DUMMYFUNCTION("""COMPUTED_VALUE"""),45320)</f>
        <v>45320</v>
      </c>
      <c r="F63" s="1" t="str">
        <f ca="1">IFERROR(__xludf.DUMMYFUNCTION("""COMPUTED_VALUE"""),"Connally High School")</f>
        <v>Connally High School</v>
      </c>
      <c r="G63" s="1">
        <f ca="1">IFERROR(__xludf.DUMMYFUNCTION("""COMPUTED_VALUE"""),0)</f>
        <v>0</v>
      </c>
      <c r="H63" s="1">
        <f ca="1">IFERROR(__xludf.DUMMYFUNCTION("""COMPUTED_VALUE"""),1)</f>
        <v>1</v>
      </c>
      <c r="I63" s="1">
        <f ca="1">IFERROR(__xludf.DUMMYFUNCTION("""COMPUTED_VALUE"""),1)</f>
        <v>1</v>
      </c>
      <c r="J63" s="1">
        <f ca="1">IFERROR(__xludf.DUMMYFUNCTION("""COMPUTED_VALUE"""),0)</f>
        <v>0</v>
      </c>
      <c r="K63" s="1" t="str">
        <f ca="1">IFERROR(__xludf.DUMMYFUNCTION("""COMPUTED_VALUE"""),"Winter")</f>
        <v>Winter</v>
      </c>
      <c r="L63" s="1" t="str">
        <f ca="1">IFERROR(__xludf.DUMMYFUNCTION("""COMPUTED_VALUE"""),"Austin")</f>
        <v>Austin</v>
      </c>
      <c r="M63" s="1" t="str">
        <f ca="1">IFERROR(__xludf.DUMMYFUNCTION("""COMPUTED_VALUE"""),"TX")</f>
        <v>TX</v>
      </c>
      <c r="N63" s="1" t="str">
        <f ca="1">IFERROR(__xludf.DUMMYFUNCTION("""COMPUTED_VALUE"""),"High")</f>
        <v>High</v>
      </c>
      <c r="O63" s="1" t="str">
        <f ca="1">IFERROR(__xludf.DUMMYFUNCTION("""COMPUTED_VALUE"""),"Parking Lot")</f>
        <v>Parking Lot</v>
      </c>
      <c r="P63" s="1" t="str">
        <f ca="1">IFERROR(__xludf.DUMMYFUNCTION("""COMPUTED_VALUE"""),"Outside on School Property")</f>
        <v>Outside on School Property</v>
      </c>
      <c r="Q63" s="1" t="str">
        <f ca="1">IFERROR(__xludf.DUMMYFUNCTION("""COMPUTED_VALUE"""),"Yes")</f>
        <v>Yes</v>
      </c>
      <c r="R63" s="1" t="str">
        <f ca="1">IFERROR(__xludf.DUMMYFUNCTION("""COMPUTED_VALUE"""),"Lunch")</f>
        <v>Lunch</v>
      </c>
      <c r="S63" s="5">
        <f ca="1">IFERROR(__xludf.DUMMYFUNCTION("""COMPUTED_VALUE"""),0.513888888888888)</f>
        <v>0.51388888888888795</v>
      </c>
      <c r="T63" s="1">
        <f ca="1">IFERROR(__xludf.DUMMYFUNCTION("""COMPUTED_VALUE"""),1)</f>
        <v>1</v>
      </c>
      <c r="U63" s="1" t="str">
        <f ca="1">IFERROR(__xludf.DUMMYFUNCTION("""COMPUTED_VALUE"""),"Student shot at a classmate and then ran him over with his car in the school parking lot")</f>
        <v>Student shot at a classmate and then ran him over with his car in the school parking lot</v>
      </c>
      <c r="V63" s="1" t="str">
        <f ca="1">IFERROR(__xludf.DUMMYFUNCTION("""COMPUTED_VALUE"""),"Student armed with an AK47 rifle and a pistol told a former student who was on campus during lunch ""you are done"" and then shot him in the school parking lot. The shooter then ran the victim over with his vehicle before fleeing from the scene. Shooter a"&amp;"nd victim had an ongoing dispute over a former girlfriend.")</f>
        <v>Student armed with an AK47 rifle and a pistol told a former student who was on campus during lunch "you are done" and then shot him in the school parking lot. The shooter then ran the victim over with his vehicle before fleeing from the scene. Shooter and victim had an ongoing dispute over a former girlfriend.</v>
      </c>
      <c r="W63" s="1" t="str">
        <f ca="1">IFERROR(__xludf.DUMMYFUNCTION("""COMPUTED_VALUE"""),"Domestic w/ Targeted Victim")</f>
        <v>Domestic w/ Targeted Victim</v>
      </c>
      <c r="X63" s="1" t="str">
        <f ca="1">IFERROR(__xludf.DUMMYFUNCTION("""COMPUTED_VALUE"""),"Victims Targeted")</f>
        <v>Victims Targeted</v>
      </c>
      <c r="Y63" s="1" t="str">
        <f ca="1">IFERROR(__xludf.DUMMYFUNCTION("""COMPUTED_VALUE"""),"No")</f>
        <v>No</v>
      </c>
      <c r="Z63" s="1"/>
      <c r="AA63" s="1" t="str">
        <f ca="1">IFERROR(__xludf.DUMMYFUNCTION("""COMPUTED_VALUE"""),"No")</f>
        <v>No</v>
      </c>
      <c r="AB63" s="1" t="str">
        <f ca="1">IFERROR(__xludf.DUMMYFUNCTION("""COMPUTED_VALUE"""),"No")</f>
        <v>No</v>
      </c>
      <c r="AC63" s="1" t="str">
        <f ca="1">IFERROR(__xludf.DUMMYFUNCTION("""COMPUTED_VALUE"""),"No")</f>
        <v>No</v>
      </c>
      <c r="AD63" s="1"/>
      <c r="AE63" s="1" t="str">
        <f ca="1">IFERROR(__xludf.DUMMYFUNCTION("""COMPUTED_VALUE"""),"No")</f>
        <v>No</v>
      </c>
      <c r="AF63" s="1" t="str">
        <f ca="1">IFERROR(__xludf.DUMMYFUNCTION("""COMPUTED_VALUE"""),"No")</f>
        <v>No</v>
      </c>
      <c r="AG63" s="1" t="str">
        <f ca="1">IFERROR(__xludf.DUMMYFUNCTION("""COMPUTED_VALUE"""),"No")</f>
        <v>No</v>
      </c>
      <c r="AH63" s="1">
        <f ca="1">IFERROR(__xludf.DUMMYFUNCTION("""COMPUTED_VALUE"""),1)</f>
        <v>1</v>
      </c>
    </row>
    <row r="64" spans="1:34" ht="12.5">
      <c r="A64" s="1" t="str">
        <f ca="1">IFERROR(__xludf.DUMMYFUNCTION("""COMPUTED_VALUE"""),"20240126ILINC")</f>
        <v>20240126ILINC</v>
      </c>
      <c r="B64" s="1">
        <f ca="1">IFERROR(__xludf.DUMMYFUNCTION("""COMPUTED_VALUE"""),1)</f>
        <v>1</v>
      </c>
      <c r="C64" s="1">
        <f ca="1">IFERROR(__xludf.DUMMYFUNCTION("""COMPUTED_VALUE"""),26)</f>
        <v>26</v>
      </c>
      <c r="D64" s="1">
        <f ca="1">IFERROR(__xludf.DUMMYFUNCTION("""COMPUTED_VALUE"""),2024)</f>
        <v>2024</v>
      </c>
      <c r="E64" s="4">
        <f ca="1">IFERROR(__xludf.DUMMYFUNCTION("""COMPUTED_VALUE"""),45317)</f>
        <v>45317</v>
      </c>
      <c r="F64" s="1" t="str">
        <f ca="1">IFERROR(__xludf.DUMMYFUNCTION("""COMPUTED_VALUE"""),"Innovations High School")</f>
        <v>Innovations High School</v>
      </c>
      <c r="G64" s="1">
        <f ca="1">IFERROR(__xludf.DUMMYFUNCTION("""COMPUTED_VALUE"""),2)</f>
        <v>2</v>
      </c>
      <c r="H64" s="1">
        <f ca="1">IFERROR(__xludf.DUMMYFUNCTION("""COMPUTED_VALUE"""),0)</f>
        <v>0</v>
      </c>
      <c r="I64" s="1">
        <f ca="1">IFERROR(__xludf.DUMMYFUNCTION("""COMPUTED_VALUE"""),2)</f>
        <v>2</v>
      </c>
      <c r="J64" s="1">
        <f ca="1">IFERROR(__xludf.DUMMYFUNCTION("""COMPUTED_VALUE"""),0)</f>
        <v>0</v>
      </c>
      <c r="K64" s="1" t="str">
        <f ca="1">IFERROR(__xludf.DUMMYFUNCTION("""COMPUTED_VALUE"""),"Winter")</f>
        <v>Winter</v>
      </c>
      <c r="L64" s="1" t="str">
        <f ca="1">IFERROR(__xludf.DUMMYFUNCTION("""COMPUTED_VALUE"""),"Chicago")</f>
        <v>Chicago</v>
      </c>
      <c r="M64" s="1" t="str">
        <f ca="1">IFERROR(__xludf.DUMMYFUNCTION("""COMPUTED_VALUE"""),"IL")</f>
        <v>IL</v>
      </c>
      <c r="N64" s="1" t="str">
        <f ca="1">IFERROR(__xludf.DUMMYFUNCTION("""COMPUTED_VALUE"""),"High")</f>
        <v>High</v>
      </c>
      <c r="O64" s="1" t="str">
        <f ca="1">IFERROR(__xludf.DUMMYFUNCTION("""COMPUTED_VALUE"""),"Front of School")</f>
        <v>Front of School</v>
      </c>
      <c r="P64" s="1" t="str">
        <f ca="1">IFERROR(__xludf.DUMMYFUNCTION("""COMPUTED_VALUE"""),"Outside on School Property")</f>
        <v>Outside on School Property</v>
      </c>
      <c r="Q64" s="1" t="str">
        <f ca="1">IFERROR(__xludf.DUMMYFUNCTION("""COMPUTED_VALUE"""),"Yes")</f>
        <v>Yes</v>
      </c>
      <c r="R64" s="1" t="str">
        <f ca="1">IFERROR(__xludf.DUMMYFUNCTION("""COMPUTED_VALUE"""),"Afternoon Classes")</f>
        <v>Afternoon Classes</v>
      </c>
      <c r="S64" s="5">
        <f ca="1">IFERROR(__xludf.DUMMYFUNCTION("""COMPUTED_VALUE"""),0.517361111111111)</f>
        <v>0.51736111111111105</v>
      </c>
      <c r="T64" s="1">
        <f ca="1">IFERROR(__xludf.DUMMYFUNCTION("""COMPUTED_VALUE"""),1)</f>
        <v>1</v>
      </c>
      <c r="U64" s="1" t="str">
        <f ca="1">IFERROR(__xludf.DUMMYFUNCTION("""COMPUTED_VALUE"""),"Two students shot during ambush at front door to school")</f>
        <v>Two students shot during ambush at front door to school</v>
      </c>
      <c r="V64" s="1" t="str">
        <f ca="1">IFERROR(__xludf.DUMMYFUNCTION("""COMPUTED_VALUE"""),"When two students left the front door of the school, multiple masked gunmen got out of two vehicles and fired at them. Both students were killed. Shooters fled.")</f>
        <v>When two students left the front door of the school, multiple masked gunmen got out of two vehicles and fired at them. Both students were killed. Shooters fled.</v>
      </c>
      <c r="W64" s="1" t="str">
        <f ca="1">IFERROR(__xludf.DUMMYFUNCTION("""COMPUTED_VALUE"""),"Drive-by Shooting")</f>
        <v>Drive-by Shooting</v>
      </c>
      <c r="X64" s="1" t="str">
        <f ca="1">IFERROR(__xludf.DUMMYFUNCTION("""COMPUTED_VALUE"""),"Victims Targeted")</f>
        <v>Victims Targeted</v>
      </c>
      <c r="Y64" s="1" t="str">
        <f ca="1">IFERROR(__xludf.DUMMYFUNCTION("""COMPUTED_VALUE"""),"Yes")</f>
        <v>Yes</v>
      </c>
      <c r="Z64" s="1" t="str">
        <f ca="1">IFERROR(__xludf.DUMMYFUNCTION("""COMPUTED_VALUE"""),"Multiple shooters")</f>
        <v>Multiple shooters</v>
      </c>
      <c r="AA64" s="1" t="str">
        <f ca="1">IFERROR(__xludf.DUMMYFUNCTION("""COMPUTED_VALUE"""),"No")</f>
        <v>No</v>
      </c>
      <c r="AB64" s="1" t="str">
        <f ca="1">IFERROR(__xludf.DUMMYFUNCTION("""COMPUTED_VALUE"""),"No")</f>
        <v>No</v>
      </c>
      <c r="AC64" s="1" t="str">
        <f ca="1">IFERROR(__xludf.DUMMYFUNCTION("""COMPUTED_VALUE"""),"No")</f>
        <v>No</v>
      </c>
      <c r="AD64" s="1" t="str">
        <f ca="1">IFERROR(__xludf.DUMMYFUNCTION("""COMPUTED_VALUE"""),"No")</f>
        <v>No</v>
      </c>
      <c r="AE64" s="1" t="str">
        <f ca="1">IFERROR(__xludf.DUMMYFUNCTION("""COMPUTED_VALUE"""),"No")</f>
        <v>No</v>
      </c>
      <c r="AF64" s="1"/>
      <c r="AG64" s="1" t="str">
        <f ca="1">IFERROR(__xludf.DUMMYFUNCTION("""COMPUTED_VALUE"""),"No")</f>
        <v>No</v>
      </c>
      <c r="AH64" s="1">
        <f ca="1">IFERROR(__xludf.DUMMYFUNCTION("""COMPUTED_VALUE"""),99)</f>
        <v>99</v>
      </c>
    </row>
    <row r="65" spans="1:34" ht="12.5">
      <c r="A65" s="1" t="str">
        <f ca="1">IFERROR(__xludf.DUMMYFUNCTION("""COMPUTED_VALUE"""),"20240126ALHUH")</f>
        <v>20240126ALHUH</v>
      </c>
      <c r="B65" s="1">
        <f ca="1">IFERROR(__xludf.DUMMYFUNCTION("""COMPUTED_VALUE"""),1)</f>
        <v>1</v>
      </c>
      <c r="C65" s="1">
        <f ca="1">IFERROR(__xludf.DUMMYFUNCTION("""COMPUTED_VALUE"""),26)</f>
        <v>26</v>
      </c>
      <c r="D65" s="1">
        <f ca="1">IFERROR(__xludf.DUMMYFUNCTION("""COMPUTED_VALUE"""),2024)</f>
        <v>2024</v>
      </c>
      <c r="E65" s="4">
        <f ca="1">IFERROR(__xludf.DUMMYFUNCTION("""COMPUTED_VALUE"""),45315)</f>
        <v>45315</v>
      </c>
      <c r="F65" s="1" t="str">
        <f ca="1">IFERROR(__xludf.DUMMYFUNCTION("""COMPUTED_VALUE"""),"Hueytown High School ")</f>
        <v xml:space="preserve">Hueytown High School </v>
      </c>
      <c r="G65" s="1">
        <f ca="1">IFERROR(__xludf.DUMMYFUNCTION("""COMPUTED_VALUE"""),0)</f>
        <v>0</v>
      </c>
      <c r="H65" s="1">
        <f ca="1">IFERROR(__xludf.DUMMYFUNCTION("""COMPUTED_VALUE"""),0)</f>
        <v>0</v>
      </c>
      <c r="I65" s="1">
        <f ca="1">IFERROR(__xludf.DUMMYFUNCTION("""COMPUTED_VALUE"""),0)</f>
        <v>0</v>
      </c>
      <c r="J65" s="1">
        <f ca="1">IFERROR(__xludf.DUMMYFUNCTION("""COMPUTED_VALUE"""),0)</f>
        <v>0</v>
      </c>
      <c r="K65" s="1" t="str">
        <f ca="1">IFERROR(__xludf.DUMMYFUNCTION("""COMPUTED_VALUE"""),"Winter")</f>
        <v>Winter</v>
      </c>
      <c r="L65" s="1" t="str">
        <f ca="1">IFERROR(__xludf.DUMMYFUNCTION("""COMPUTED_VALUE"""),"Hueytown")</f>
        <v>Hueytown</v>
      </c>
      <c r="M65" s="1" t="str">
        <f ca="1">IFERROR(__xludf.DUMMYFUNCTION("""COMPUTED_VALUE"""),"AL")</f>
        <v>AL</v>
      </c>
      <c r="N65" s="1" t="str">
        <f ca="1">IFERROR(__xludf.DUMMYFUNCTION("""COMPUTED_VALUE"""),"High")</f>
        <v>High</v>
      </c>
      <c r="O65" s="1" t="str">
        <f ca="1">IFERROR(__xludf.DUMMYFUNCTION("""COMPUTED_VALUE"""),"Parking Lot")</f>
        <v>Parking Lot</v>
      </c>
      <c r="P65" s="1" t="str">
        <f ca="1">IFERROR(__xludf.DUMMYFUNCTION("""COMPUTED_VALUE"""),"Outside on School Property")</f>
        <v>Outside on School Property</v>
      </c>
      <c r="Q65" s="1" t="str">
        <f ca="1">IFERROR(__xludf.DUMMYFUNCTION("""COMPUTED_VALUE"""),"No")</f>
        <v>No</v>
      </c>
      <c r="R65" s="1" t="str">
        <f ca="1">IFERROR(__xludf.DUMMYFUNCTION("""COMPUTED_VALUE"""),"Sport Event")</f>
        <v>Sport Event</v>
      </c>
      <c r="S65" s="5">
        <f ca="1">IFERROR(__xludf.DUMMYFUNCTION("""COMPUTED_VALUE"""),0.895833333333333)</f>
        <v>0.89583333333333304</v>
      </c>
      <c r="T65" s="1">
        <f ca="1">IFERROR(__xludf.DUMMYFUNCTION("""COMPUTED_VALUE"""),1)</f>
        <v>1</v>
      </c>
      <c r="U65" s="1" t="str">
        <f ca="1">IFERROR(__xludf.DUMMYFUNCTION("""COMPUTED_VALUE"""),"Adult fired shots into the air during dispute after high school basketball game")</f>
        <v>Adult fired shots into the air during dispute after high school basketball game</v>
      </c>
      <c r="V65" s="1" t="str">
        <f ca="1">IFERROR(__xludf.DUMMYFUNCTION("""COMPUTED_VALUE"""),"According to witnesses, a group of juveniles were involved in a fight in the parking lot of the school when adult family members intervened. One of the family members fired shots in the air and fled the scene with some of the juveniles. Money also stated "&amp;"no one had been shot or injured in the incident. No further information is available at this time.")</f>
        <v>According to witnesses, a group of juveniles were involved in a fight in the parking lot of the school when adult family members intervened. One of the family members fired shots in the air and fled the scene with some of the juveniles. Money also stated no one had been shot or injured in the incident. No further information is available at this time.</v>
      </c>
      <c r="W65" s="1" t="str">
        <f ca="1">IFERROR(__xludf.DUMMYFUNCTION("""COMPUTED_VALUE"""),"Escalation of Dispute")</f>
        <v>Escalation of Dispute</v>
      </c>
      <c r="X65" s="1" t="str">
        <f ca="1">IFERROR(__xludf.DUMMYFUNCTION("""COMPUTED_VALUE"""),"Neither")</f>
        <v>Neither</v>
      </c>
      <c r="Y65" s="1" t="str">
        <f ca="1">IFERROR(__xludf.DUMMYFUNCTION("""COMPUTED_VALUE"""),"No")</f>
        <v>No</v>
      </c>
      <c r="Z65" s="1"/>
      <c r="AA65" s="1" t="str">
        <f ca="1">IFERROR(__xludf.DUMMYFUNCTION("""COMPUTED_VALUE"""),"No")</f>
        <v>No</v>
      </c>
      <c r="AB65" s="1" t="str">
        <f ca="1">IFERROR(__xludf.DUMMYFUNCTION("""COMPUTED_VALUE"""),"No")</f>
        <v>No</v>
      </c>
      <c r="AC65" s="1" t="str">
        <f ca="1">IFERROR(__xludf.DUMMYFUNCTION("""COMPUTED_VALUE"""),"No")</f>
        <v>No</v>
      </c>
      <c r="AD65" s="1" t="str">
        <f ca="1">IFERROR(__xludf.DUMMYFUNCTION("""COMPUTED_VALUE"""),"No")</f>
        <v>No</v>
      </c>
      <c r="AE65" s="1" t="str">
        <f ca="1">IFERROR(__xludf.DUMMYFUNCTION("""COMPUTED_VALUE"""),"No")</f>
        <v>No</v>
      </c>
      <c r="AF65" s="1"/>
      <c r="AG65" s="1" t="str">
        <f ca="1">IFERROR(__xludf.DUMMYFUNCTION("""COMPUTED_VALUE"""),"No")</f>
        <v>No</v>
      </c>
      <c r="AH65" s="1">
        <f ca="1">IFERROR(__xludf.DUMMYFUNCTION("""COMPUTED_VALUE"""),99)</f>
        <v>99</v>
      </c>
    </row>
    <row r="66" spans="1:34" ht="12.5">
      <c r="A66" s="1" t="str">
        <f ca="1">IFERROR(__xludf.DUMMYFUNCTION("""COMPUTED_VALUE"""),"20240124TNWEM")</f>
        <v>20240124TNWEM</v>
      </c>
      <c r="B66" s="1">
        <f ca="1">IFERROR(__xludf.DUMMYFUNCTION("""COMPUTED_VALUE"""),1)</f>
        <v>1</v>
      </c>
      <c r="C66" s="1">
        <f ca="1">IFERROR(__xludf.DUMMYFUNCTION("""COMPUTED_VALUE"""),24)</f>
        <v>24</v>
      </c>
      <c r="D66" s="1">
        <f ca="1">IFERROR(__xludf.DUMMYFUNCTION("""COMPUTED_VALUE"""),2024)</f>
        <v>2024</v>
      </c>
      <c r="E66" s="4">
        <f ca="1">IFERROR(__xludf.DUMMYFUNCTION("""COMPUTED_VALUE"""),45315)</f>
        <v>45315</v>
      </c>
      <c r="F66" s="1" t="str">
        <f ca="1">IFERROR(__xludf.DUMMYFUNCTION("""COMPUTED_VALUE"""),"Weaver Elementary School")</f>
        <v>Weaver Elementary School</v>
      </c>
      <c r="G66" s="1">
        <f ca="1">IFERROR(__xludf.DUMMYFUNCTION("""COMPUTED_VALUE"""),1)</f>
        <v>1</v>
      </c>
      <c r="H66" s="1">
        <f ca="1">IFERROR(__xludf.DUMMYFUNCTION("""COMPUTED_VALUE"""),0)</f>
        <v>0</v>
      </c>
      <c r="I66" s="1">
        <f ca="1">IFERROR(__xludf.DUMMYFUNCTION("""COMPUTED_VALUE"""),1)</f>
        <v>1</v>
      </c>
      <c r="J66" s="1">
        <f ca="1">IFERROR(__xludf.DUMMYFUNCTION("""COMPUTED_VALUE"""),0)</f>
        <v>0</v>
      </c>
      <c r="K66" s="1" t="str">
        <f ca="1">IFERROR(__xludf.DUMMYFUNCTION("""COMPUTED_VALUE"""),"Winter")</f>
        <v>Winter</v>
      </c>
      <c r="L66" s="1" t="str">
        <f ca="1">IFERROR(__xludf.DUMMYFUNCTION("""COMPUTED_VALUE"""),"Memphis")</f>
        <v>Memphis</v>
      </c>
      <c r="M66" s="1" t="str">
        <f ca="1">IFERROR(__xludf.DUMMYFUNCTION("""COMPUTED_VALUE"""),"TN")</f>
        <v>TN</v>
      </c>
      <c r="N66" s="1" t="str">
        <f ca="1">IFERROR(__xludf.DUMMYFUNCTION("""COMPUTED_VALUE"""),"Elementary")</f>
        <v>Elementary</v>
      </c>
      <c r="O66" s="1" t="str">
        <f ca="1">IFERROR(__xludf.DUMMYFUNCTION("""COMPUTED_VALUE"""),"Parking Lot")</f>
        <v>Parking Lot</v>
      </c>
      <c r="P66" s="1" t="str">
        <f ca="1">IFERROR(__xludf.DUMMYFUNCTION("""COMPUTED_VALUE"""),"Outside on School Property")</f>
        <v>Outside on School Property</v>
      </c>
      <c r="Q66" s="1" t="str">
        <f ca="1">IFERROR(__xludf.DUMMYFUNCTION("""COMPUTED_VALUE"""),"Yes")</f>
        <v>Yes</v>
      </c>
      <c r="R66" s="1" t="str">
        <f ca="1">IFERROR(__xludf.DUMMYFUNCTION("""COMPUTED_VALUE"""),"Dismissal")</f>
        <v>Dismissal</v>
      </c>
      <c r="S66" s="5">
        <f ca="1">IFERROR(__xludf.DUMMYFUNCTION("""COMPUTED_VALUE"""),0.625)</f>
        <v>0.625</v>
      </c>
      <c r="T66" s="1">
        <f ca="1">IFERROR(__xludf.DUMMYFUNCTION("""COMPUTED_VALUE"""),1)</f>
        <v>1</v>
      </c>
      <c r="U66" s="1" t="str">
        <f ca="1">IFERROR(__xludf.DUMMYFUNCTION("""COMPUTED_VALUE"""),"Parent fatally shot while picking children up at dismissal")</f>
        <v>Parent fatally shot while picking children up at dismissal</v>
      </c>
      <c r="V66" s="1" t="str">
        <f ca="1">IFERROR(__xludf.DUMMYFUNCTION("""COMPUTED_VALUE"""),"Parent was fatally shot outside the school while picking his children up at dismissal. Other student, staff, and parents witnessed the shooting. Student and staff when back into the building to lockdown while police investigated. Shooter fled.")</f>
        <v>Parent was fatally shot outside the school while picking his children up at dismissal. Other student, staff, and parents witnessed the shooting. Student and staff when back into the building to lockdown while police investigated. Shooter fled.</v>
      </c>
      <c r="W66" s="1"/>
      <c r="X66" s="1" t="str">
        <f ca="1">IFERROR(__xludf.DUMMYFUNCTION("""COMPUTED_VALUE"""),"Victims Targeted")</f>
        <v>Victims Targeted</v>
      </c>
      <c r="Y66" s="1" t="str">
        <f ca="1">IFERROR(__xludf.DUMMYFUNCTION("""COMPUTED_VALUE"""),"No")</f>
        <v>No</v>
      </c>
      <c r="Z66" s="1"/>
      <c r="AA66" s="1" t="str">
        <f ca="1">IFERROR(__xludf.DUMMYFUNCTION("""COMPUTED_VALUE"""),"No")</f>
        <v>No</v>
      </c>
      <c r="AB66" s="1" t="str">
        <f ca="1">IFERROR(__xludf.DUMMYFUNCTION("""COMPUTED_VALUE"""),"No")</f>
        <v>No</v>
      </c>
      <c r="AC66" s="1" t="str">
        <f ca="1">IFERROR(__xludf.DUMMYFUNCTION("""COMPUTED_VALUE"""),"No")</f>
        <v>No</v>
      </c>
      <c r="AD66" s="1" t="str">
        <f ca="1">IFERROR(__xludf.DUMMYFUNCTION("""COMPUTED_VALUE"""),"No")</f>
        <v>No</v>
      </c>
      <c r="AE66" s="1" t="str">
        <f ca="1">IFERROR(__xludf.DUMMYFUNCTION("""COMPUTED_VALUE"""),"No")</f>
        <v>No</v>
      </c>
      <c r="AF66" s="1"/>
      <c r="AG66" s="1" t="str">
        <f ca="1">IFERROR(__xludf.DUMMYFUNCTION("""COMPUTED_VALUE"""),"No")</f>
        <v>No</v>
      </c>
      <c r="AH66" s="1">
        <f ca="1">IFERROR(__xludf.DUMMYFUNCTION("""COMPUTED_VALUE"""),99)</f>
        <v>99</v>
      </c>
    </row>
    <row r="67" spans="1:34" ht="12.5">
      <c r="A67" s="1" t="str">
        <f ca="1">IFERROR(__xludf.DUMMYFUNCTION("""COMPUTED_VALUE"""),"20240122ILCIC")</f>
        <v>20240122ILCIC</v>
      </c>
      <c r="B67" s="1">
        <f ca="1">IFERROR(__xludf.DUMMYFUNCTION("""COMPUTED_VALUE"""),1)</f>
        <v>1</v>
      </c>
      <c r="C67" s="1">
        <f ca="1">IFERROR(__xludf.DUMMYFUNCTION("""COMPUTED_VALUE"""),22)</f>
        <v>22</v>
      </c>
      <c r="D67" s="1">
        <f ca="1">IFERROR(__xludf.DUMMYFUNCTION("""COMPUTED_VALUE"""),2024)</f>
        <v>2024</v>
      </c>
      <c r="E67" s="4">
        <f ca="1">IFERROR(__xludf.DUMMYFUNCTION("""COMPUTED_VALUE"""),45313)</f>
        <v>45313</v>
      </c>
      <c r="F67" s="1" t="str">
        <f ca="1">IFERROR(__xludf.DUMMYFUNCTION("""COMPUTED_VALUE"""),"CICS Loomis-Longwood High School")</f>
        <v>CICS Loomis-Longwood High School</v>
      </c>
      <c r="G67" s="1">
        <f ca="1">IFERROR(__xludf.DUMMYFUNCTION("""COMPUTED_VALUE"""),1)</f>
        <v>1</v>
      </c>
      <c r="H67" s="1">
        <f ca="1">IFERROR(__xludf.DUMMYFUNCTION("""COMPUTED_VALUE"""),1)</f>
        <v>1</v>
      </c>
      <c r="I67" s="1">
        <f ca="1">IFERROR(__xludf.DUMMYFUNCTION("""COMPUTED_VALUE"""),2)</f>
        <v>2</v>
      </c>
      <c r="J67" s="1">
        <f ca="1">IFERROR(__xludf.DUMMYFUNCTION("""COMPUTED_VALUE"""),0)</f>
        <v>0</v>
      </c>
      <c r="K67" s="1" t="str">
        <f ca="1">IFERROR(__xludf.DUMMYFUNCTION("""COMPUTED_VALUE"""),"Winter")</f>
        <v>Winter</v>
      </c>
      <c r="L67" s="1" t="str">
        <f ca="1">IFERROR(__xludf.DUMMYFUNCTION("""COMPUTED_VALUE"""),"Chicago")</f>
        <v>Chicago</v>
      </c>
      <c r="M67" s="1" t="str">
        <f ca="1">IFERROR(__xludf.DUMMYFUNCTION("""COMPUTED_VALUE"""),"IL")</f>
        <v>IL</v>
      </c>
      <c r="N67" s="1" t="str">
        <f ca="1">IFERROR(__xludf.DUMMYFUNCTION("""COMPUTED_VALUE"""),"High")</f>
        <v>High</v>
      </c>
      <c r="O67" s="1" t="str">
        <f ca="1">IFERROR(__xludf.DUMMYFUNCTION("""COMPUTED_VALUE"""),"Front of School")</f>
        <v>Front of School</v>
      </c>
      <c r="P67" s="1" t="str">
        <f ca="1">IFERROR(__xludf.DUMMYFUNCTION("""COMPUTED_VALUE"""),"Outside on School Property")</f>
        <v>Outside on School Property</v>
      </c>
      <c r="Q67" s="1" t="str">
        <f ca="1">IFERROR(__xludf.DUMMYFUNCTION("""COMPUTED_VALUE"""),"No")</f>
        <v>No</v>
      </c>
      <c r="R67" s="1" t="str">
        <f ca="1">IFERROR(__xludf.DUMMYFUNCTION("""COMPUTED_VALUE"""),"Sport Event")</f>
        <v>Sport Event</v>
      </c>
      <c r="S67" s="5">
        <f ca="1">IFERROR(__xludf.DUMMYFUNCTION("""COMPUTED_VALUE"""),0.71875)</f>
        <v>0.71875</v>
      </c>
      <c r="T67" s="1">
        <f ca="1">IFERROR(__xludf.DUMMYFUNCTION("""COMPUTED_VALUE"""),1)</f>
        <v>1</v>
      </c>
      <c r="U67" s="1" t="str">
        <f ca="1">IFERROR(__xludf.DUMMYFUNCTION("""COMPUTED_VALUE"""),"Two brothers shot outside basketball game following dispute")</f>
        <v>Two brothers shot outside basketball game following dispute</v>
      </c>
      <c r="V67" s="1" t="str">
        <f ca="1">IFERROR(__xludf.DUMMYFUNCTION("""COMPUTED_VALUE"""),"Police had been called to a South Side high school after a “disturbance” broke out among students Monday evening — including one who had warned officials they should guard the exits because “this is not over,” a police report said. An officer said police "&amp;"ensured no weapons were seen inside the school, CICS Loomis-Longwood at 1309 W. 95th St., and said they were able to “gain control of the situation” after they arrived. Police then made sure one of the students involved, 18-year-old Maurice Clay, was esco"&amp;"rted outside and released to his older brother, Martell. But minutes after police left, a small black car with a missing bumper drove up, and someone got out and fired “dozens of rounds,” the brother said — striking both of them. One of the students invol"&amp;"ved in the scuffle allegedly said, “Have somebody on all the exits because this is not over,” the report said. “You should cancel school tomorrow.” Security guards also informed officers another “individual” had attempted to enter the school and was gestu"&amp;"ring inside his jacket “like he had a weapon,” according to the police report. Officers said they spoke with a school official who said Maurice Clay and another student were later refusing to leave the school gym, but said things were “under control” afte"&amp;"r the students were escorted out. Police said they stayed with Maurice Clay until his brother arrived in an Uber to pick him up. Martell Clay said he saw the police squad car when he arrived. After police left, the two waited for another brother to arrive"&amp;", Martell Clay said, so they could go home to safety. The shooting, he said, took place 10-15 minutes later. Investigators recovered multiple shell casings from two guns, one of which was possibly a rifle, the report said.")</f>
        <v>Police had been called to a South Side high school after a “disturbance” broke out among students Monday evening — including one who had warned officials they should guard the exits because “this is not over,” a police report said. An officer said police ensured no weapons were seen inside the school, CICS Loomis-Longwood at 1309 W. 95th St., and said they were able to “gain control of the situation” after they arrived. Police then made sure one of the students involved, 18-year-old Maurice Clay, was escorted outside and released to his older brother, Martell. But minutes after police left, a small black car with a missing bumper drove up, and someone got out and fired “dozens of rounds,” the brother said — striking both of them. One of the students involved in the scuffle allegedly said, “Have somebody on all the exits because this is not over,” the report said. “You should cancel school tomorrow.” Security guards also informed officers another “individual” had attempted to enter the school and was gesturing inside his jacket “like he had a weapon,” according to the police report. Officers said they spoke with a school official who said Maurice Clay and another student were later refusing to leave the school gym, but said things were “under control” after the students were escorted out. Police said they stayed with Maurice Clay until his brother arrived in an Uber to pick him up. Martell Clay said he saw the police squad car when he arrived. After police left, the two waited for another brother to arrive, Martell Clay said, so they could go home to safety. The shooting, he said, took place 10-15 minutes later. Investigators recovered multiple shell casings from two guns, one of which was possibly a rifle, the report said.</v>
      </c>
      <c r="W67" s="1" t="str">
        <f ca="1">IFERROR(__xludf.DUMMYFUNCTION("""COMPUTED_VALUE"""),"Escalation of Dispute")</f>
        <v>Escalation of Dispute</v>
      </c>
      <c r="X67" s="1" t="str">
        <f ca="1">IFERROR(__xludf.DUMMYFUNCTION("""COMPUTED_VALUE"""),"Victims Targeted")</f>
        <v>Victims Targeted</v>
      </c>
      <c r="Y67" s="1" t="str">
        <f ca="1">IFERROR(__xludf.DUMMYFUNCTION("""COMPUTED_VALUE"""),"Yes")</f>
        <v>Yes</v>
      </c>
      <c r="Z67" s="1" t="str">
        <f ca="1">IFERROR(__xludf.DUMMYFUNCTION("""COMPUTED_VALUE"""),"Two guns fired from vehicle")</f>
        <v>Two guns fired from vehicle</v>
      </c>
      <c r="AA67" s="1" t="str">
        <f ca="1">IFERROR(__xludf.DUMMYFUNCTION("""COMPUTED_VALUE"""),"No")</f>
        <v>No</v>
      </c>
      <c r="AB67" s="1" t="str">
        <f ca="1">IFERROR(__xludf.DUMMYFUNCTION("""COMPUTED_VALUE"""),"No")</f>
        <v>No</v>
      </c>
      <c r="AC67" s="1" t="str">
        <f ca="1">IFERROR(__xludf.DUMMYFUNCTION("""COMPUTED_VALUE"""),"No")</f>
        <v>No</v>
      </c>
      <c r="AD67" s="1" t="str">
        <f ca="1">IFERROR(__xludf.DUMMYFUNCTION("""COMPUTED_VALUE"""),"No")</f>
        <v>No</v>
      </c>
      <c r="AE67" s="1" t="str">
        <f ca="1">IFERROR(__xludf.DUMMYFUNCTION("""COMPUTED_VALUE"""),"No")</f>
        <v>No</v>
      </c>
      <c r="AF67" s="1" t="str">
        <f ca="1">IFERROR(__xludf.DUMMYFUNCTION("""COMPUTED_VALUE"""),"Yes")</f>
        <v>Yes</v>
      </c>
      <c r="AG67" s="1" t="str">
        <f ca="1">IFERROR(__xludf.DUMMYFUNCTION("""COMPUTED_VALUE"""),"No")</f>
        <v>No</v>
      </c>
      <c r="AH67" s="1">
        <f ca="1">IFERROR(__xludf.DUMMYFUNCTION("""COMPUTED_VALUE"""),99)</f>
        <v>99</v>
      </c>
    </row>
    <row r="68" spans="1:34" ht="12.5">
      <c r="A68" s="1" t="str">
        <f ca="1">IFERROR(__xludf.DUMMYFUNCTION("""COMPUTED_VALUE"""),"20240118MNCOS")</f>
        <v>20240118MNCOS</v>
      </c>
      <c r="B68" s="1">
        <f ca="1">IFERROR(__xludf.DUMMYFUNCTION("""COMPUTED_VALUE"""),1)</f>
        <v>1</v>
      </c>
      <c r="C68" s="1">
        <f ca="1">IFERROR(__xludf.DUMMYFUNCTION("""COMPUTED_VALUE"""),18)</f>
        <v>18</v>
      </c>
      <c r="D68" s="1">
        <f ca="1">IFERROR(__xludf.DUMMYFUNCTION("""COMPUTED_VALUE"""),2024)</f>
        <v>2024</v>
      </c>
      <c r="E68" s="4">
        <f ca="1">IFERROR(__xludf.DUMMYFUNCTION("""COMPUTED_VALUE"""),45309)</f>
        <v>45309</v>
      </c>
      <c r="F68" s="1" t="str">
        <f ca="1">IFERROR(__xludf.DUMMYFUNCTION("""COMPUTED_VALUE"""),"Como Park Elementary School")</f>
        <v>Como Park Elementary School</v>
      </c>
      <c r="G68" s="1">
        <f ca="1">IFERROR(__xludf.DUMMYFUNCTION("""COMPUTED_VALUE"""),0)</f>
        <v>0</v>
      </c>
      <c r="H68" s="1">
        <f ca="1">IFERROR(__xludf.DUMMYFUNCTION("""COMPUTED_VALUE"""),1)</f>
        <v>1</v>
      </c>
      <c r="I68" s="1">
        <f ca="1">IFERROR(__xludf.DUMMYFUNCTION("""COMPUTED_VALUE"""),1)</f>
        <v>1</v>
      </c>
      <c r="J68" s="1">
        <f ca="1">IFERROR(__xludf.DUMMYFUNCTION("""COMPUTED_VALUE"""),0)</f>
        <v>0</v>
      </c>
      <c r="K68" s="1" t="str">
        <f ca="1">IFERROR(__xludf.DUMMYFUNCTION("""COMPUTED_VALUE"""),"Winter")</f>
        <v>Winter</v>
      </c>
      <c r="L68" s="1" t="str">
        <f ca="1">IFERROR(__xludf.DUMMYFUNCTION("""COMPUTED_VALUE"""),"St. Paul")</f>
        <v>St. Paul</v>
      </c>
      <c r="M68" s="1" t="str">
        <f ca="1">IFERROR(__xludf.DUMMYFUNCTION("""COMPUTED_VALUE"""),"MN")</f>
        <v>MN</v>
      </c>
      <c r="N68" s="1" t="str">
        <f ca="1">IFERROR(__xludf.DUMMYFUNCTION("""COMPUTED_VALUE"""),"Elementary")</f>
        <v>Elementary</v>
      </c>
      <c r="O68" s="1" t="str">
        <f ca="1">IFERROR(__xludf.DUMMYFUNCTION("""COMPUTED_VALUE"""),"Gym")</f>
        <v>Gym</v>
      </c>
      <c r="P68" s="1" t="str">
        <f ca="1">IFERROR(__xludf.DUMMYFUNCTION("""COMPUTED_VALUE"""),"Inside School Building")</f>
        <v>Inside School Building</v>
      </c>
      <c r="Q68" s="1" t="str">
        <f ca="1">IFERROR(__xludf.DUMMYFUNCTION("""COMPUTED_VALUE"""),"No")</f>
        <v>No</v>
      </c>
      <c r="R68" s="1" t="str">
        <f ca="1">IFERROR(__xludf.DUMMYFUNCTION("""COMPUTED_VALUE"""),"Evening")</f>
        <v>Evening</v>
      </c>
      <c r="S68" s="5">
        <f ca="1">IFERROR(__xludf.DUMMYFUNCTION("""COMPUTED_VALUE"""),0.739583333333333)</f>
        <v>0.73958333333333304</v>
      </c>
      <c r="T68" s="1">
        <f ca="1">IFERROR(__xludf.DUMMYFUNCTION("""COMPUTED_VALUE"""),1)</f>
        <v>1</v>
      </c>
      <c r="U68" s="1" t="str">
        <f ca="1">IFERROR(__xludf.DUMMYFUNCTION("""COMPUTED_VALUE"""),"Man shot self in the leg while playing basketball in school gym")</f>
        <v>Man shot self in the leg while playing basketball in school gym</v>
      </c>
      <c r="V68" s="1" t="str">
        <f ca="1">IFERROR(__xludf.DUMMYFUNCTION("""COMPUTED_VALUE"""),"Police in St. Paul say a man accidentally shot himself in the leg during an open house at an elementary school Thursday night. Officers were called to Como Elementary School on a report of a person accidentally shot with their own gun around 5:45 p.m., ac"&amp;"cording to the St. Paul Police Department. Upon arrival, officers found a 30-year-old man with a gunshot injury to the leg. He was transported to Regions Hospital for treatment. Police say the man had been playing basketball while carrying a handgun on hi"&amp;"s body, unholstered, when it discharged. According to school officials, the incident happened inside the gymnasium. The man reportedly had a valid permit to carry a firearm. The school says a district crisis team is available for students and staff on Fri"&amp;"day, in addition to the school counselor and social worker. ")</f>
        <v xml:space="preserve">Police in St. Paul say a man accidentally shot himself in the leg during an open house at an elementary school Thursday night. Officers were called to Como Elementary School on a report of a person accidentally shot with their own gun around 5:45 p.m., according to the St. Paul Police Department. Upon arrival, officers found a 30-year-old man with a gunshot injury to the leg. He was transported to Regions Hospital for treatment. Police say the man had been playing basketball while carrying a handgun on his body, unholstered, when it discharged. According to school officials, the incident happened inside the gymnasium. The man reportedly had a valid permit to carry a firearm. The school says a district crisis team is available for students and staff on Friday, in addition to the school counselor and social worker. </v>
      </c>
      <c r="W68" s="1" t="str">
        <f ca="1">IFERROR(__xludf.DUMMYFUNCTION("""COMPUTED_VALUE"""),"Accidental")</f>
        <v>Accidental</v>
      </c>
      <c r="X68" s="1" t="str">
        <f ca="1">IFERROR(__xludf.DUMMYFUNCTION("""COMPUTED_VALUE"""),"Neither")</f>
        <v>Neither</v>
      </c>
      <c r="Y68" s="1" t="str">
        <f ca="1">IFERROR(__xludf.DUMMYFUNCTION("""COMPUTED_VALUE"""),"No")</f>
        <v>No</v>
      </c>
      <c r="Z68" s="1"/>
      <c r="AA68" s="1" t="str">
        <f ca="1">IFERROR(__xludf.DUMMYFUNCTION("""COMPUTED_VALUE"""),"No")</f>
        <v>No</v>
      </c>
      <c r="AB68" s="1" t="str">
        <f ca="1">IFERROR(__xludf.DUMMYFUNCTION("""COMPUTED_VALUE"""),"No")</f>
        <v>No</v>
      </c>
      <c r="AC68" s="1" t="str">
        <f ca="1">IFERROR(__xludf.DUMMYFUNCTION("""COMPUTED_VALUE"""),"No")</f>
        <v>No</v>
      </c>
      <c r="AD68" s="1" t="str">
        <f ca="1">IFERROR(__xludf.DUMMYFUNCTION("""COMPUTED_VALUE"""),"No")</f>
        <v>No</v>
      </c>
      <c r="AE68" s="1" t="str">
        <f ca="1">IFERROR(__xludf.DUMMYFUNCTION("""COMPUTED_VALUE"""),"No")</f>
        <v>No</v>
      </c>
      <c r="AF68" s="1" t="str">
        <f ca="1">IFERROR(__xludf.DUMMYFUNCTION("""COMPUTED_VALUE"""),"No")</f>
        <v>No</v>
      </c>
      <c r="AG68" s="1" t="str">
        <f ca="1">IFERROR(__xludf.DUMMYFUNCTION("""COMPUTED_VALUE"""),"No")</f>
        <v>No</v>
      </c>
      <c r="AH68" s="1">
        <f ca="1">IFERROR(__xludf.DUMMYFUNCTION("""COMPUTED_VALUE"""),1)</f>
        <v>1</v>
      </c>
    </row>
    <row r="69" spans="1:34" ht="12.5">
      <c r="A69" s="1" t="str">
        <f ca="1">IFERROR(__xludf.DUMMYFUNCTION("""COMPUTED_VALUE"""),"20240117VAWED")</f>
        <v>20240117VAWED</v>
      </c>
      <c r="B69" s="1">
        <f ca="1">IFERROR(__xludf.DUMMYFUNCTION("""COMPUTED_VALUE"""),1)</f>
        <v>1</v>
      </c>
      <c r="C69" s="1">
        <f ca="1">IFERROR(__xludf.DUMMYFUNCTION("""COMPUTED_VALUE"""),17)</f>
        <v>17</v>
      </c>
      <c r="D69" s="1">
        <f ca="1">IFERROR(__xludf.DUMMYFUNCTION("""COMPUTED_VALUE"""),2024)</f>
        <v>2024</v>
      </c>
      <c r="E69" s="4">
        <f ca="1">IFERROR(__xludf.DUMMYFUNCTION("""COMPUTED_VALUE"""),45308)</f>
        <v>45308</v>
      </c>
      <c r="F69" s="1" t="str">
        <f ca="1">IFERROR(__xludf.DUMMYFUNCTION("""COMPUTED_VALUE"""),"Westwood Middle School")</f>
        <v>Westwood Middle School</v>
      </c>
      <c r="G69" s="1">
        <f ca="1">IFERROR(__xludf.DUMMYFUNCTION("""COMPUTED_VALUE"""),0)</f>
        <v>0</v>
      </c>
      <c r="H69" s="1">
        <f ca="1">IFERROR(__xludf.DUMMYFUNCTION("""COMPUTED_VALUE"""),0)</f>
        <v>0</v>
      </c>
      <c r="I69" s="1">
        <f ca="1">IFERROR(__xludf.DUMMYFUNCTION("""COMPUTED_VALUE"""),0)</f>
        <v>0</v>
      </c>
      <c r="J69" s="1">
        <f ca="1">IFERROR(__xludf.DUMMYFUNCTION("""COMPUTED_VALUE"""),0)</f>
        <v>0</v>
      </c>
      <c r="K69" s="1" t="str">
        <f ca="1">IFERROR(__xludf.DUMMYFUNCTION("""COMPUTED_VALUE"""),"Winter")</f>
        <v>Winter</v>
      </c>
      <c r="L69" s="1" t="str">
        <f ca="1">IFERROR(__xludf.DUMMYFUNCTION("""COMPUTED_VALUE"""),"Danville")</f>
        <v>Danville</v>
      </c>
      <c r="M69" s="1" t="str">
        <f ca="1">IFERROR(__xludf.DUMMYFUNCTION("""COMPUTED_VALUE"""),"VA")</f>
        <v>VA</v>
      </c>
      <c r="N69" s="1" t="str">
        <f ca="1">IFERROR(__xludf.DUMMYFUNCTION("""COMPUTED_VALUE"""),"Middle")</f>
        <v>Middle</v>
      </c>
      <c r="O69" s="1" t="str">
        <f ca="1">IFERROR(__xludf.DUMMYFUNCTION("""COMPUTED_VALUE"""),"Parking Lot")</f>
        <v>Parking Lot</v>
      </c>
      <c r="P69" s="1" t="str">
        <f ca="1">IFERROR(__xludf.DUMMYFUNCTION("""COMPUTED_VALUE"""),"Outside on School Property")</f>
        <v>Outside on School Property</v>
      </c>
      <c r="Q69" s="1" t="str">
        <f ca="1">IFERROR(__xludf.DUMMYFUNCTION("""COMPUTED_VALUE"""),"No")</f>
        <v>No</v>
      </c>
      <c r="R69" s="1" t="str">
        <f ca="1">IFERROR(__xludf.DUMMYFUNCTION("""COMPUTED_VALUE"""),"Not a School Day")</f>
        <v>Not a School Day</v>
      </c>
      <c r="S69" s="5">
        <f ca="1">IFERROR(__xludf.DUMMYFUNCTION("""COMPUTED_VALUE"""),0.666666666666666)</f>
        <v>0.66666666666666596</v>
      </c>
      <c r="T69" s="1">
        <f ca="1">IFERROR(__xludf.DUMMYFUNCTION("""COMPUTED_VALUE"""),1)</f>
        <v>1</v>
      </c>
      <c r="U69" s="1" t="str">
        <f ca="1">IFERROR(__xludf.DUMMYFUNCTION("""COMPUTED_VALUE"""),"Police called for suicidal man with gun in school parking lot, shot by officers")</f>
        <v>Police called for suicidal man with gun in school parking lot, shot by officers</v>
      </c>
      <c r="V69" s="1" t="str">
        <f ca="1">IFERROR(__xludf.DUMMYFUNCTION("""COMPUTED_VALUE"""),"Police were called for a report of a suspicious man with a weapon. Police found the suspect, who claimed he was armed and suicidal, in the school parking lot. They tried for 25 minutes to negotiate with him. A news release reported the suspect pulled out "&amp;"a handgun from his waistband, and police commanded him to drop it. Then, the suspect fired the gun away from the officers before turning and pointing at them. That’s when the officers fired, hitting armed man. After receiving first aid on the scene, shoot"&amp;"er was taken to Sovah Health-Danville. He was then been transported to another unidentified facility for treatment.")</f>
        <v>Police were called for a report of a suspicious man with a weapon. Police found the suspect, who claimed he was armed and suicidal, in the school parking lot. They tried for 25 minutes to negotiate with him. A news release reported the suspect pulled out a handgun from his waistband, and police commanded him to drop it. Then, the suspect fired the gun away from the officers before turning and pointing at them. That’s when the officers fired, hitting armed man. After receiving first aid on the scene, shooter was taken to Sovah Health-Danville. He was then been transported to another unidentified facility for treatment.</v>
      </c>
      <c r="W69" s="1" t="str">
        <f ca="1">IFERROR(__xludf.DUMMYFUNCTION("""COMPUTED_VALUE"""),"Suicide/Attempted")</f>
        <v>Suicide/Attempted</v>
      </c>
      <c r="X69" s="1" t="str">
        <f ca="1">IFERROR(__xludf.DUMMYFUNCTION("""COMPUTED_VALUE"""),"Neither")</f>
        <v>Neither</v>
      </c>
      <c r="Y69" s="1" t="str">
        <f ca="1">IFERROR(__xludf.DUMMYFUNCTION("""COMPUTED_VALUE"""),"No")</f>
        <v>No</v>
      </c>
      <c r="Z69" s="1"/>
      <c r="AA69" s="1" t="str">
        <f ca="1">IFERROR(__xludf.DUMMYFUNCTION("""COMPUTED_VALUE"""),"No")</f>
        <v>No</v>
      </c>
      <c r="AB69" s="1" t="str">
        <f ca="1">IFERROR(__xludf.DUMMYFUNCTION("""COMPUTED_VALUE"""),"No")</f>
        <v>No</v>
      </c>
      <c r="AC69" s="1" t="str">
        <f ca="1">IFERROR(__xludf.DUMMYFUNCTION("""COMPUTED_VALUE"""),"No")</f>
        <v>No</v>
      </c>
      <c r="AD69" s="1" t="str">
        <f ca="1">IFERROR(__xludf.DUMMYFUNCTION("""COMPUTED_VALUE"""),"No")</f>
        <v>No</v>
      </c>
      <c r="AE69" s="1" t="str">
        <f ca="1">IFERROR(__xludf.DUMMYFUNCTION("""COMPUTED_VALUE"""),"No")</f>
        <v>No</v>
      </c>
      <c r="AF69" s="1" t="str">
        <f ca="1">IFERROR(__xludf.DUMMYFUNCTION("""COMPUTED_VALUE"""),"No")</f>
        <v>No</v>
      </c>
      <c r="AG69" s="1" t="str">
        <f ca="1">IFERROR(__xludf.DUMMYFUNCTION("""COMPUTED_VALUE"""),"No")</f>
        <v>No</v>
      </c>
      <c r="AH69" s="1">
        <f ca="1">IFERROR(__xludf.DUMMYFUNCTION("""COMPUTED_VALUE"""),99)</f>
        <v>99</v>
      </c>
    </row>
    <row r="70" spans="1:34" ht="12.5">
      <c r="A70" s="1" t="str">
        <f ca="1">IFERROR(__xludf.DUMMYFUNCTION("""COMPUTED_VALUE"""),"20240117INLIG")</f>
        <v>20240117INLIG</v>
      </c>
      <c r="B70" s="1">
        <f ca="1">IFERROR(__xludf.DUMMYFUNCTION("""COMPUTED_VALUE"""),1)</f>
        <v>1</v>
      </c>
      <c r="C70" s="1">
        <f ca="1">IFERROR(__xludf.DUMMYFUNCTION("""COMPUTED_VALUE"""),17)</f>
        <v>17</v>
      </c>
      <c r="D70" s="1">
        <f ca="1">IFERROR(__xludf.DUMMYFUNCTION("""COMPUTED_VALUE"""),2024)</f>
        <v>2024</v>
      </c>
      <c r="E70" s="4">
        <f ca="1">IFERROR(__xludf.DUMMYFUNCTION("""COMPUTED_VALUE"""),45308)</f>
        <v>45308</v>
      </c>
      <c r="F70" s="1" t="str">
        <f ca="1">IFERROR(__xludf.DUMMYFUNCTION("""COMPUTED_VALUE"""),"Lighthouse College Prep Academy")</f>
        <v>Lighthouse College Prep Academy</v>
      </c>
      <c r="G70" s="1">
        <f ca="1">IFERROR(__xludf.DUMMYFUNCTION("""COMPUTED_VALUE"""),0)</f>
        <v>0</v>
      </c>
      <c r="H70" s="1">
        <f ca="1">IFERROR(__xludf.DUMMYFUNCTION("""COMPUTED_VALUE"""),0)</f>
        <v>0</v>
      </c>
      <c r="I70" s="1">
        <f ca="1">IFERROR(__xludf.DUMMYFUNCTION("""COMPUTED_VALUE"""),0)</f>
        <v>0</v>
      </c>
      <c r="J70" s="1">
        <f ca="1">IFERROR(__xludf.DUMMYFUNCTION("""COMPUTED_VALUE"""),0)</f>
        <v>0</v>
      </c>
      <c r="K70" s="1" t="str">
        <f ca="1">IFERROR(__xludf.DUMMYFUNCTION("""COMPUTED_VALUE"""),"Winter")</f>
        <v>Winter</v>
      </c>
      <c r="L70" s="1" t="str">
        <f ca="1">IFERROR(__xludf.DUMMYFUNCTION("""COMPUTED_VALUE"""),"Gary")</f>
        <v>Gary</v>
      </c>
      <c r="M70" s="1" t="str">
        <f ca="1">IFERROR(__xludf.DUMMYFUNCTION("""COMPUTED_VALUE"""),"IN")</f>
        <v>IN</v>
      </c>
      <c r="N70" s="1" t="str">
        <f ca="1">IFERROR(__xludf.DUMMYFUNCTION("""COMPUTED_VALUE"""),"High")</f>
        <v>High</v>
      </c>
      <c r="O70" s="1" t="str">
        <f ca="1">IFERROR(__xludf.DUMMYFUNCTION("""COMPUTED_VALUE"""),"Bathroom")</f>
        <v>Bathroom</v>
      </c>
      <c r="P70" s="1" t="str">
        <f ca="1">IFERROR(__xludf.DUMMYFUNCTION("""COMPUTED_VALUE"""),"Inside School Building")</f>
        <v>Inside School Building</v>
      </c>
      <c r="Q70" s="1" t="str">
        <f ca="1">IFERROR(__xludf.DUMMYFUNCTION("""COMPUTED_VALUE"""),"Yes")</f>
        <v>Yes</v>
      </c>
      <c r="R70" s="1" t="str">
        <f ca="1">IFERROR(__xludf.DUMMYFUNCTION("""COMPUTED_VALUE"""),"Morning Classes")</f>
        <v>Morning Classes</v>
      </c>
      <c r="S70" s="5">
        <f ca="1">IFERROR(__xludf.DUMMYFUNCTION("""COMPUTED_VALUE"""),0.375)</f>
        <v>0.375</v>
      </c>
      <c r="T70" s="1">
        <f ca="1">IFERROR(__xludf.DUMMYFUNCTION("""COMPUTED_VALUE"""),1)</f>
        <v>1</v>
      </c>
      <c r="U70" s="1" t="str">
        <f ca="1">IFERROR(__xludf.DUMMYFUNCTION("""COMPUTED_VALUE"""),"Student fired gun inside school bathroom")</f>
        <v>Student fired gun inside school bathroom</v>
      </c>
      <c r="V70" s="1" t="str">
        <f ca="1">IFERROR(__xludf.DUMMYFUNCTION("""COMPUTED_VALUE"""),"At around 9 a.m. Wednesday, police were dispatched to Lighthouse College Prep Academy, located in the 700 block of Clark Road, on the report of a shot fired inside the school. The school was placed on lockdown by staff and the staff already isolated a stu"&amp;"dent that was possible involved. The school said a shot was fired inside of the boys’ bathroom. A handgun was recovered and a brief struggle ensued between authorities and the student with the gun, police said. The student, a boy, was charged with dangero"&amp;"us possession of a firearm, possession of a firearm on school property, criminal recklessness and resisting law enforcement.")</f>
        <v>At around 9 a.m. Wednesday, police were dispatched to Lighthouse College Prep Academy, located in the 700 block of Clark Road, on the report of a shot fired inside the school. The school was placed on lockdown by staff and the staff already isolated a student that was possible involved. The school said a shot was fired inside of the boys’ bathroom. A handgun was recovered and a brief struggle ensued between authorities and the student with the gun, police said. The student, a boy, was charged with dangerous possession of a firearm, possession of a firearm on school property, criminal recklessness and resisting law enforcement.</v>
      </c>
      <c r="W70" s="1"/>
      <c r="X70" s="1"/>
      <c r="Y70" s="1" t="str">
        <f ca="1">IFERROR(__xludf.DUMMYFUNCTION("""COMPUTED_VALUE"""),"No")</f>
        <v>No</v>
      </c>
      <c r="Z70" s="1"/>
      <c r="AA70" s="1" t="str">
        <f ca="1">IFERROR(__xludf.DUMMYFUNCTION("""COMPUTED_VALUE"""),"No")</f>
        <v>No</v>
      </c>
      <c r="AB70" s="1" t="str">
        <f ca="1">IFERROR(__xludf.DUMMYFUNCTION("""COMPUTED_VALUE"""),"No")</f>
        <v>No</v>
      </c>
      <c r="AC70" s="1" t="str">
        <f ca="1">IFERROR(__xludf.DUMMYFUNCTION("""COMPUTED_VALUE"""),"No")</f>
        <v>No</v>
      </c>
      <c r="AD70" s="1"/>
      <c r="AE70" s="1" t="str">
        <f ca="1">IFERROR(__xludf.DUMMYFUNCTION("""COMPUTED_VALUE"""),"No")</f>
        <v>No</v>
      </c>
      <c r="AF70" s="1"/>
      <c r="AG70" s="1" t="str">
        <f ca="1">IFERROR(__xludf.DUMMYFUNCTION("""COMPUTED_VALUE"""),"No")</f>
        <v>No</v>
      </c>
      <c r="AH70" s="1">
        <f ca="1">IFERROR(__xludf.DUMMYFUNCTION("""COMPUTED_VALUE"""),1)</f>
        <v>1</v>
      </c>
    </row>
    <row r="71" spans="1:34" ht="12.5">
      <c r="A71" s="1" t="str">
        <f ca="1">IFERROR(__xludf.DUMMYFUNCTION("""COMPUTED_VALUE"""),"20240117MDCHE")</f>
        <v>20240117MDCHE</v>
      </c>
      <c r="B71" s="1">
        <f ca="1">IFERROR(__xludf.DUMMYFUNCTION("""COMPUTED_VALUE"""),1)</f>
        <v>1</v>
      </c>
      <c r="C71" s="1">
        <f ca="1">IFERROR(__xludf.DUMMYFUNCTION("""COMPUTED_VALUE"""),17)</f>
        <v>17</v>
      </c>
      <c r="D71" s="1">
        <f ca="1">IFERROR(__xludf.DUMMYFUNCTION("""COMPUTED_VALUE"""),2024)</f>
        <v>2024</v>
      </c>
      <c r="E71" s="4">
        <f ca="1">IFERROR(__xludf.DUMMYFUNCTION("""COMPUTED_VALUE"""),45308)</f>
        <v>45308</v>
      </c>
      <c r="F71" s="1" t="str">
        <f ca="1">IFERROR(__xludf.DUMMYFUNCTION("""COMPUTED_VALUE"""),"Children's Manor Montessori School")</f>
        <v>Children's Manor Montessori School</v>
      </c>
      <c r="G71" s="1">
        <f ca="1">IFERROR(__xludf.DUMMYFUNCTION("""COMPUTED_VALUE"""),1)</f>
        <v>1</v>
      </c>
      <c r="H71" s="1">
        <f ca="1">IFERROR(__xludf.DUMMYFUNCTION("""COMPUTED_VALUE"""),0)</f>
        <v>0</v>
      </c>
      <c r="I71" s="1">
        <f ca="1">IFERROR(__xludf.DUMMYFUNCTION("""COMPUTED_VALUE"""),1)</f>
        <v>1</v>
      </c>
      <c r="J71" s="1">
        <f ca="1">IFERROR(__xludf.DUMMYFUNCTION("""COMPUTED_VALUE"""),0)</f>
        <v>0</v>
      </c>
      <c r="K71" s="1" t="str">
        <f ca="1">IFERROR(__xludf.DUMMYFUNCTION("""COMPUTED_VALUE"""),"Winter")</f>
        <v>Winter</v>
      </c>
      <c r="L71" s="1" t="str">
        <f ca="1">IFERROR(__xludf.DUMMYFUNCTION("""COMPUTED_VALUE"""),"Ellicott City")</f>
        <v>Ellicott City</v>
      </c>
      <c r="M71" s="1" t="str">
        <f ca="1">IFERROR(__xludf.DUMMYFUNCTION("""COMPUTED_VALUE"""),"MD")</f>
        <v>MD</v>
      </c>
      <c r="N71" s="1" t="str">
        <f ca="1">IFERROR(__xludf.DUMMYFUNCTION("""COMPUTED_VALUE"""),"Elementary")</f>
        <v>Elementary</v>
      </c>
      <c r="O71" s="1" t="str">
        <f ca="1">IFERROR(__xludf.DUMMYFUNCTION("""COMPUTED_VALUE"""),"Parking Lot")</f>
        <v>Parking Lot</v>
      </c>
      <c r="P71" s="1" t="str">
        <f ca="1">IFERROR(__xludf.DUMMYFUNCTION("""COMPUTED_VALUE"""),"Outside on School Property")</f>
        <v>Outside on School Property</v>
      </c>
      <c r="Q71" s="1" t="str">
        <f ca="1">IFERROR(__xludf.DUMMYFUNCTION("""COMPUTED_VALUE"""),"Yes")</f>
        <v>Yes</v>
      </c>
      <c r="R71" s="1" t="str">
        <f ca="1">IFERROR(__xludf.DUMMYFUNCTION("""COMPUTED_VALUE"""),"Morning Classes")</f>
        <v>Morning Classes</v>
      </c>
      <c r="S71" s="5">
        <f ca="1">IFERROR(__xludf.DUMMYFUNCTION("""COMPUTED_VALUE"""),0.364583333333333)</f>
        <v>0.36458333333333298</v>
      </c>
      <c r="T71" s="1">
        <f ca="1">IFERROR(__xludf.DUMMYFUNCTION("""COMPUTED_VALUE"""),1)</f>
        <v>1</v>
      </c>
      <c r="U71" s="1" t="str">
        <f ca="1">IFERROR(__xludf.DUMMYFUNCTION("""COMPUTED_VALUE"""),"Plow driver shot in parking lot shared by middle school and montessori school while clearing snow from the school lots")</f>
        <v>Plow driver shot in parking lot shared by middle school and montessori school while clearing snow from the school lots</v>
      </c>
      <c r="V71" s="1" t="str">
        <f ca="1">IFERROR(__xludf.DUMMYFUNCTION("""COMPUTED_VALUE"""),"Howard County police responded at 8:45 a.m. to the Children's Manor Montessori School on Montgomery Road. They said they found a snow plow driver who was clearning snow at the school with a single gunshot wound. He was taken to Johns Hopkins Hospital in c"&amp;"ritical condition. Police said they don't believe there is any connection to the school.")</f>
        <v>Howard County police responded at 8:45 a.m. to the Children's Manor Montessori School on Montgomery Road. They said they found a snow plow driver who was clearning snow at the school with a single gunshot wound. He was taken to Johns Hopkins Hospital in critical condition. Police said they don't believe there is any connection to the school.</v>
      </c>
      <c r="W71" s="1"/>
      <c r="X71" s="1" t="str">
        <f ca="1">IFERROR(__xludf.DUMMYFUNCTION("""COMPUTED_VALUE"""),"Victims Targeted")</f>
        <v>Victims Targeted</v>
      </c>
      <c r="Y71" s="1" t="str">
        <f ca="1">IFERROR(__xludf.DUMMYFUNCTION("""COMPUTED_VALUE"""),"No")</f>
        <v>No</v>
      </c>
      <c r="Z71" s="1"/>
      <c r="AA71" s="1" t="str">
        <f ca="1">IFERROR(__xludf.DUMMYFUNCTION("""COMPUTED_VALUE"""),"No")</f>
        <v>No</v>
      </c>
      <c r="AB71" s="1" t="str">
        <f ca="1">IFERROR(__xludf.DUMMYFUNCTION("""COMPUTED_VALUE"""),"No")</f>
        <v>No</v>
      </c>
      <c r="AC71" s="1" t="str">
        <f ca="1">IFERROR(__xludf.DUMMYFUNCTION("""COMPUTED_VALUE"""),"No")</f>
        <v>No</v>
      </c>
      <c r="AD71" s="1" t="str">
        <f ca="1">IFERROR(__xludf.DUMMYFUNCTION("""COMPUTED_VALUE"""),"No")</f>
        <v>No</v>
      </c>
      <c r="AE71" s="1" t="str">
        <f ca="1">IFERROR(__xludf.DUMMYFUNCTION("""COMPUTED_VALUE"""),"No")</f>
        <v>No</v>
      </c>
      <c r="AF71" s="1"/>
      <c r="AG71" s="1" t="str">
        <f ca="1">IFERROR(__xludf.DUMMYFUNCTION("""COMPUTED_VALUE"""),"No")</f>
        <v>No</v>
      </c>
      <c r="AH71" s="1">
        <f ca="1">IFERROR(__xludf.DUMMYFUNCTION("""COMPUTED_VALUE"""),1)</f>
        <v>1</v>
      </c>
    </row>
    <row r="72" spans="1:34" ht="12.5">
      <c r="A72" s="1" t="str">
        <f ca="1">IFERROR(__xludf.DUMMYFUNCTION("""COMPUTED_VALUE"""),"20240113INLAF")</f>
        <v>20240113INLAF</v>
      </c>
      <c r="B72" s="1">
        <f ca="1">IFERROR(__xludf.DUMMYFUNCTION("""COMPUTED_VALUE"""),1)</f>
        <v>1</v>
      </c>
      <c r="C72" s="1">
        <f ca="1">IFERROR(__xludf.DUMMYFUNCTION("""COMPUTED_VALUE"""),13)</f>
        <v>13</v>
      </c>
      <c r="D72" s="1">
        <f ca="1">IFERROR(__xludf.DUMMYFUNCTION("""COMPUTED_VALUE"""),2024)</f>
        <v>2024</v>
      </c>
      <c r="E72" s="4">
        <f ca="1">IFERROR(__xludf.DUMMYFUNCTION("""COMPUTED_VALUE"""),45304)</f>
        <v>45304</v>
      </c>
      <c r="F72" s="1" t="str">
        <f ca="1">IFERROR(__xludf.DUMMYFUNCTION("""COMPUTED_VALUE"""),"Wayne Middle School")</f>
        <v>Wayne Middle School</v>
      </c>
      <c r="G72" s="1">
        <f ca="1">IFERROR(__xludf.DUMMYFUNCTION("""COMPUTED_VALUE"""),1)</f>
        <v>1</v>
      </c>
      <c r="H72" s="1">
        <f ca="1">IFERROR(__xludf.DUMMYFUNCTION("""COMPUTED_VALUE"""),0)</f>
        <v>0</v>
      </c>
      <c r="I72" s="1">
        <f ca="1">IFERROR(__xludf.DUMMYFUNCTION("""COMPUTED_VALUE"""),1)</f>
        <v>1</v>
      </c>
      <c r="J72" s="1">
        <f ca="1">IFERROR(__xludf.DUMMYFUNCTION("""COMPUTED_VALUE"""),0)</f>
        <v>0</v>
      </c>
      <c r="K72" s="1" t="str">
        <f ca="1">IFERROR(__xludf.DUMMYFUNCTION("""COMPUTED_VALUE"""),"Winter")</f>
        <v>Winter</v>
      </c>
      <c r="L72" s="1" t="str">
        <f ca="1">IFERROR(__xludf.DUMMYFUNCTION("""COMPUTED_VALUE"""),"Fort Wayne")</f>
        <v>Fort Wayne</v>
      </c>
      <c r="M72" s="1" t="str">
        <f ca="1">IFERROR(__xludf.DUMMYFUNCTION("""COMPUTED_VALUE"""),"IN")</f>
        <v>IN</v>
      </c>
      <c r="N72" s="1" t="str">
        <f ca="1">IFERROR(__xludf.DUMMYFUNCTION("""COMPUTED_VALUE"""),"Middle")</f>
        <v>Middle</v>
      </c>
      <c r="O72" s="1" t="str">
        <f ca="1">IFERROR(__xludf.DUMMYFUNCTION("""COMPUTED_VALUE"""),"Parking Lot")</f>
        <v>Parking Lot</v>
      </c>
      <c r="P72" s="1" t="str">
        <f ca="1">IFERROR(__xludf.DUMMYFUNCTION("""COMPUTED_VALUE"""),"Outside on School Property")</f>
        <v>Outside on School Property</v>
      </c>
      <c r="Q72" s="1" t="str">
        <f ca="1">IFERROR(__xludf.DUMMYFUNCTION("""COMPUTED_VALUE"""),"No")</f>
        <v>No</v>
      </c>
      <c r="R72" s="1" t="str">
        <f ca="1">IFERROR(__xludf.DUMMYFUNCTION("""COMPUTED_VALUE"""),"Night")</f>
        <v>Night</v>
      </c>
      <c r="S72" s="5">
        <f ca="1">IFERROR(__xludf.DUMMYFUNCTION("""COMPUTED_VALUE"""),0.00347222222222222)</f>
        <v>3.4722222222222199E-3</v>
      </c>
      <c r="T72" s="1">
        <f ca="1">IFERROR(__xludf.DUMMYFUNCTION("""COMPUTED_VALUE"""),1)</f>
        <v>1</v>
      </c>
      <c r="U72" s="1" t="str">
        <f ca="1">IFERROR(__xludf.DUMMYFUNCTION("""COMPUTED_VALUE"""),"Juvenile male was fatally shot in the school parking lot")</f>
        <v>Juvenile male was fatally shot in the school parking lot</v>
      </c>
      <c r="V72" s="1" t="str">
        <f ca="1">IFERROR(__xludf.DUMMYFUNCTION("""COMPUTED_VALUE"""),"Officers were dispatched for a shotspotter alert and found a juvenile male who was shot multiple times. He was transported to the hospital and died.")</f>
        <v>Officers were dispatched for a shotspotter alert and found a juvenile male who was shot multiple times. He was transported to the hospital and died.</v>
      </c>
      <c r="W72" s="1"/>
      <c r="X72" s="1" t="str">
        <f ca="1">IFERROR(__xludf.DUMMYFUNCTION("""COMPUTED_VALUE"""),"Victims Targeted")</f>
        <v>Victims Targeted</v>
      </c>
      <c r="Y72" s="1"/>
      <c r="Z72" s="1"/>
      <c r="AA72" s="1" t="str">
        <f ca="1">IFERROR(__xludf.DUMMYFUNCTION("""COMPUTED_VALUE"""),"No")</f>
        <v>No</v>
      </c>
      <c r="AB72" s="1" t="str">
        <f ca="1">IFERROR(__xludf.DUMMYFUNCTION("""COMPUTED_VALUE"""),"No")</f>
        <v>No</v>
      </c>
      <c r="AC72" s="1" t="str">
        <f ca="1">IFERROR(__xludf.DUMMYFUNCTION("""COMPUTED_VALUE"""),"No")</f>
        <v>No</v>
      </c>
      <c r="AD72" s="1"/>
      <c r="AE72" s="1" t="str">
        <f ca="1">IFERROR(__xludf.DUMMYFUNCTION("""COMPUTED_VALUE"""),"No")</f>
        <v>No</v>
      </c>
      <c r="AF72" s="1"/>
      <c r="AG72" s="1" t="str">
        <f ca="1">IFERROR(__xludf.DUMMYFUNCTION("""COMPUTED_VALUE"""),"No")</f>
        <v>No</v>
      </c>
      <c r="AH72" s="1">
        <f ca="1">IFERROR(__xludf.DUMMYFUNCTION("""COMPUTED_VALUE"""),99)</f>
        <v>99</v>
      </c>
    </row>
    <row r="73" spans="1:34" ht="12.5">
      <c r="A73" s="1" t="str">
        <f ca="1">IFERROR(__xludf.DUMMYFUNCTION("""COMPUTED_VALUE"""),"20240112OKHEO")</f>
        <v>20240112OKHEO</v>
      </c>
      <c r="B73" s="1">
        <f ca="1">IFERROR(__xludf.DUMMYFUNCTION("""COMPUTED_VALUE"""),1)</f>
        <v>1</v>
      </c>
      <c r="C73" s="1">
        <f ca="1">IFERROR(__xludf.DUMMYFUNCTION("""COMPUTED_VALUE"""),12)</f>
        <v>12</v>
      </c>
      <c r="D73" s="1">
        <f ca="1">IFERROR(__xludf.DUMMYFUNCTION("""COMPUTED_VALUE"""),2024)</f>
        <v>2024</v>
      </c>
      <c r="E73" s="4">
        <f ca="1">IFERROR(__xludf.DUMMYFUNCTION("""COMPUTED_VALUE"""),45303)</f>
        <v>45303</v>
      </c>
      <c r="F73" s="1" t="str">
        <f ca="1">IFERROR(__xludf.DUMMYFUNCTION("""COMPUTED_VALUE"""),"Hefner Middle School")</f>
        <v>Hefner Middle School</v>
      </c>
      <c r="G73" s="1">
        <f ca="1">IFERROR(__xludf.DUMMYFUNCTION("""COMPUTED_VALUE"""),0)</f>
        <v>0</v>
      </c>
      <c r="H73" s="1">
        <f ca="1">IFERROR(__xludf.DUMMYFUNCTION("""COMPUTED_VALUE"""),0)</f>
        <v>0</v>
      </c>
      <c r="I73" s="1">
        <f ca="1">IFERROR(__xludf.DUMMYFUNCTION("""COMPUTED_VALUE"""),0)</f>
        <v>0</v>
      </c>
      <c r="J73" s="1">
        <f ca="1">IFERROR(__xludf.DUMMYFUNCTION("""COMPUTED_VALUE"""),0)</f>
        <v>0</v>
      </c>
      <c r="K73" s="1" t="str">
        <f ca="1">IFERROR(__xludf.DUMMYFUNCTION("""COMPUTED_VALUE"""),"Winter")</f>
        <v>Winter</v>
      </c>
      <c r="L73" s="1" t="str">
        <f ca="1">IFERROR(__xludf.DUMMYFUNCTION("""COMPUTED_VALUE"""),"Oklahoma City")</f>
        <v>Oklahoma City</v>
      </c>
      <c r="M73" s="1" t="str">
        <f ca="1">IFERROR(__xludf.DUMMYFUNCTION("""COMPUTED_VALUE"""),"OK")</f>
        <v>OK</v>
      </c>
      <c r="N73" s="1" t="str">
        <f ca="1">IFERROR(__xludf.DUMMYFUNCTION("""COMPUTED_VALUE"""),"Middle")</f>
        <v>Middle</v>
      </c>
      <c r="O73" s="1" t="str">
        <f ca="1">IFERROR(__xludf.DUMMYFUNCTION("""COMPUTED_VALUE"""),"Bathroom")</f>
        <v>Bathroom</v>
      </c>
      <c r="P73" s="1" t="str">
        <f ca="1">IFERROR(__xludf.DUMMYFUNCTION("""COMPUTED_VALUE"""),"Inside School Building")</f>
        <v>Inside School Building</v>
      </c>
      <c r="Q73" s="1" t="str">
        <f ca="1">IFERROR(__xludf.DUMMYFUNCTION("""COMPUTED_VALUE"""),"Yes")</f>
        <v>Yes</v>
      </c>
      <c r="R73" s="1" t="str">
        <f ca="1">IFERROR(__xludf.DUMMYFUNCTION("""COMPUTED_VALUE"""),"School Start")</f>
        <v>School Start</v>
      </c>
      <c r="S73" s="5">
        <f ca="1">IFERROR(__xludf.DUMMYFUNCTION("""COMPUTED_VALUE"""),0.316666666666666)</f>
        <v>0.31666666666666599</v>
      </c>
      <c r="T73" s="1">
        <f ca="1">IFERROR(__xludf.DUMMYFUNCTION("""COMPUTED_VALUE"""),1)</f>
        <v>1</v>
      </c>
      <c r="U73" s="1" t="str">
        <f ca="1">IFERROR(__xludf.DUMMYFUNCTION("""COMPUTED_VALUE"""),"Student fired gun inside bathroom after carrying gun through metal detector")</f>
        <v>Student fired gun inside bathroom after carrying gun through metal detector</v>
      </c>
      <c r="V73" s="1" t="str">
        <f ca="1">IFERROR(__xludf.DUMMYFUNCTION("""COMPUTED_VALUE"""),"According to school officials, the student entered the school through the main entrance at around 7:11 a.m. and the weapon was discharged at around 7:36 a.m. The school went into a lockdown shortly after as police began an investigation. Student left the "&amp;"gun in the bathroom and walked away. According to Putnam City Schools, the student involved was arrested and the weapon was taken by police.")</f>
        <v>According to school officials, the student entered the school through the main entrance at around 7:11 a.m. and the weapon was discharged at around 7:36 a.m. The school went into a lockdown shortly after as police began an investigation. Student left the gun in the bathroom and walked away. According to Putnam City Schools, the student involved was arrested and the weapon was taken by police.</v>
      </c>
      <c r="W73" s="1"/>
      <c r="X73" s="1"/>
      <c r="Y73" s="1" t="str">
        <f ca="1">IFERROR(__xludf.DUMMYFUNCTION("""COMPUTED_VALUE"""),"No")</f>
        <v>No</v>
      </c>
      <c r="Z73" s="1"/>
      <c r="AA73" s="1" t="str">
        <f ca="1">IFERROR(__xludf.DUMMYFUNCTION("""COMPUTED_VALUE"""),"No")</f>
        <v>No</v>
      </c>
      <c r="AB73" s="1" t="str">
        <f ca="1">IFERROR(__xludf.DUMMYFUNCTION("""COMPUTED_VALUE"""),"No")</f>
        <v>No</v>
      </c>
      <c r="AC73" s="1" t="str">
        <f ca="1">IFERROR(__xludf.DUMMYFUNCTION("""COMPUTED_VALUE"""),"No")</f>
        <v>No</v>
      </c>
      <c r="AD73" s="1"/>
      <c r="AE73" s="1" t="str">
        <f ca="1">IFERROR(__xludf.DUMMYFUNCTION("""COMPUTED_VALUE"""),"No")</f>
        <v>No</v>
      </c>
      <c r="AF73" s="1" t="str">
        <f ca="1">IFERROR(__xludf.DUMMYFUNCTION("""COMPUTED_VALUE"""),"No")</f>
        <v>No</v>
      </c>
      <c r="AG73" s="1" t="str">
        <f ca="1">IFERROR(__xludf.DUMMYFUNCTION("""COMPUTED_VALUE"""),"No")</f>
        <v>No</v>
      </c>
      <c r="AH73" s="1">
        <f ca="1">IFERROR(__xludf.DUMMYFUNCTION("""COMPUTED_VALUE"""),1)</f>
        <v>1</v>
      </c>
    </row>
    <row r="74" spans="1:34" ht="12.5">
      <c r="A74" s="1" t="str">
        <f ca="1">IFERROR(__xludf.DUMMYFUNCTION("""COMPUTED_VALUE"""),"20240112OHROD")</f>
        <v>20240112OHROD</v>
      </c>
      <c r="B74" s="1">
        <f ca="1">IFERROR(__xludf.DUMMYFUNCTION("""COMPUTED_VALUE"""),1)</f>
        <v>1</v>
      </c>
      <c r="C74" s="1">
        <f ca="1">IFERROR(__xludf.DUMMYFUNCTION("""COMPUTED_VALUE"""),12)</f>
        <v>12</v>
      </c>
      <c r="D74" s="1">
        <f ca="1">IFERROR(__xludf.DUMMYFUNCTION("""COMPUTED_VALUE"""),2024)</f>
        <v>2024</v>
      </c>
      <c r="E74" s="4">
        <f ca="1">IFERROR(__xludf.DUMMYFUNCTION("""COMPUTED_VALUE"""),45303)</f>
        <v>45303</v>
      </c>
      <c r="F74" s="1" t="str">
        <f ca="1">IFERROR(__xludf.DUMMYFUNCTION("""COMPUTED_VALUE"""),"Roosevelt Elementary School")</f>
        <v>Roosevelt Elementary School</v>
      </c>
      <c r="G74" s="1">
        <f ca="1">IFERROR(__xludf.DUMMYFUNCTION("""COMPUTED_VALUE"""),1)</f>
        <v>1</v>
      </c>
      <c r="H74" s="1">
        <f ca="1">IFERROR(__xludf.DUMMYFUNCTION("""COMPUTED_VALUE"""),0)</f>
        <v>0</v>
      </c>
      <c r="I74" s="1">
        <f ca="1">IFERROR(__xludf.DUMMYFUNCTION("""COMPUTED_VALUE"""),1)</f>
        <v>1</v>
      </c>
      <c r="J74" s="1">
        <f ca="1">IFERROR(__xludf.DUMMYFUNCTION("""COMPUTED_VALUE"""),0)</f>
        <v>0</v>
      </c>
      <c r="K74" s="1" t="str">
        <f ca="1">IFERROR(__xludf.DUMMYFUNCTION("""COMPUTED_VALUE"""),"Winter")</f>
        <v>Winter</v>
      </c>
      <c r="L74" s="1" t="str">
        <f ca="1">IFERROR(__xludf.DUMMYFUNCTION("""COMPUTED_VALUE"""),"Dayton")</f>
        <v>Dayton</v>
      </c>
      <c r="M74" s="1" t="str">
        <f ca="1">IFERROR(__xludf.DUMMYFUNCTION("""COMPUTED_VALUE"""),"OH")</f>
        <v>OH</v>
      </c>
      <c r="N74" s="1" t="str">
        <f ca="1">IFERROR(__xludf.DUMMYFUNCTION("""COMPUTED_VALUE"""),"Elementary")</f>
        <v>Elementary</v>
      </c>
      <c r="O74" s="1" t="str">
        <f ca="1">IFERROR(__xludf.DUMMYFUNCTION("""COMPUTED_VALUE"""),"Basketball Court")</f>
        <v>Basketball Court</v>
      </c>
      <c r="P74" s="1" t="str">
        <f ca="1">IFERROR(__xludf.DUMMYFUNCTION("""COMPUTED_VALUE"""),"Outside on School Property")</f>
        <v>Outside on School Property</v>
      </c>
      <c r="Q74" s="1" t="str">
        <f ca="1">IFERROR(__xludf.DUMMYFUNCTION("""COMPUTED_VALUE"""),"Yes")</f>
        <v>Yes</v>
      </c>
      <c r="R74" s="1" t="str">
        <f ca="1">IFERROR(__xludf.DUMMYFUNCTION("""COMPUTED_VALUE"""),"Afternoon Classes")</f>
        <v>Afternoon Classes</v>
      </c>
      <c r="S74" s="5">
        <f ca="1">IFERROR(__xludf.DUMMYFUNCTION("""COMPUTED_VALUE"""),0.524305555555555)</f>
        <v>0.52430555555555503</v>
      </c>
      <c r="T74" s="1">
        <f ca="1">IFERROR(__xludf.DUMMYFUNCTION("""COMPUTED_VALUE"""),1)</f>
        <v>1</v>
      </c>
      <c r="U74" s="1" t="str">
        <f ca="1">IFERROR(__xludf.DUMMYFUNCTION("""COMPUTED_VALUE"""),"Man killed on the outdoor basketball court, school went on lockdown for 2 hours, stray bullet hit building")</f>
        <v>Man killed on the outdoor basketball court, school went on lockdown for 2 hours, stray bullet hit building</v>
      </c>
      <c r="V74" s="1" t="str">
        <f ca="1">IFERROR(__xludf.DUMMYFUNCTION("""COMPUTED_VALUE"""),"A shooting occurred in the shared parking lot and outdoor basketball court of the Roosevelt Elementary School and the Greater Dayton Recreation Center (both are in the same building). The school went into a shelter-in-place as a precautionary measure, but"&amp;" there was no threat to the building. The shooting involved teenagers, and multiple shell cases were found in the parking lot. ")</f>
        <v xml:space="preserve">A shooting occurred in the shared parking lot and outdoor basketball court of the Roosevelt Elementary School and the Greater Dayton Recreation Center (both are in the same building). The school went into a shelter-in-place as a precautionary measure, but there was no threat to the building. The shooting involved teenagers, and multiple shell cases were found in the parking lot. </v>
      </c>
      <c r="W74" s="1" t="str">
        <f ca="1">IFERROR(__xludf.DUMMYFUNCTION("""COMPUTED_VALUE"""),"Drive-by Shooting")</f>
        <v>Drive-by Shooting</v>
      </c>
      <c r="X74" s="1" t="str">
        <f ca="1">IFERROR(__xludf.DUMMYFUNCTION("""COMPUTED_VALUE"""),"Victims Targeted")</f>
        <v>Victims Targeted</v>
      </c>
      <c r="Y74" s="1" t="str">
        <f ca="1">IFERROR(__xludf.DUMMYFUNCTION("""COMPUTED_VALUE"""),"Yes")</f>
        <v>Yes</v>
      </c>
      <c r="Z74" s="1" t="str">
        <f ca="1">IFERROR(__xludf.DUMMYFUNCTION("""COMPUTED_VALUE"""),"Multiple teens fled in vehicle")</f>
        <v>Multiple teens fled in vehicle</v>
      </c>
      <c r="AA74" s="1" t="str">
        <f ca="1">IFERROR(__xludf.DUMMYFUNCTION("""COMPUTED_VALUE"""),"No")</f>
        <v>No</v>
      </c>
      <c r="AB74" s="1" t="str">
        <f ca="1">IFERROR(__xludf.DUMMYFUNCTION("""COMPUTED_VALUE"""),"No")</f>
        <v>No</v>
      </c>
      <c r="AC74" s="1" t="str">
        <f ca="1">IFERROR(__xludf.DUMMYFUNCTION("""COMPUTED_VALUE"""),"No")</f>
        <v>No</v>
      </c>
      <c r="AD74" s="1" t="str">
        <f ca="1">IFERROR(__xludf.DUMMYFUNCTION("""COMPUTED_VALUE"""),"No")</f>
        <v>No</v>
      </c>
      <c r="AE74" s="1" t="str">
        <f ca="1">IFERROR(__xludf.DUMMYFUNCTION("""COMPUTED_VALUE"""),"No")</f>
        <v>No</v>
      </c>
      <c r="AF74" s="1"/>
      <c r="AG74" s="1" t="str">
        <f ca="1">IFERROR(__xludf.DUMMYFUNCTION("""COMPUTED_VALUE"""),"No")</f>
        <v>No</v>
      </c>
      <c r="AH74" s="1">
        <f ca="1">IFERROR(__xludf.DUMMYFUNCTION("""COMPUTED_VALUE"""),99)</f>
        <v>99</v>
      </c>
    </row>
    <row r="75" spans="1:34" ht="12.5">
      <c r="A75" s="1" t="str">
        <f ca="1">IFERROR(__xludf.DUMMYFUNCTION("""COMPUTED_VALUE"""),"20240111FLNOM")</f>
        <v>20240111FLNOM</v>
      </c>
      <c r="B75" s="1">
        <f ca="1">IFERROR(__xludf.DUMMYFUNCTION("""COMPUTED_VALUE"""),1)</f>
        <v>1</v>
      </c>
      <c r="C75" s="1">
        <f ca="1">IFERROR(__xludf.DUMMYFUNCTION("""COMPUTED_VALUE"""),11)</f>
        <v>11</v>
      </c>
      <c r="D75" s="1">
        <f ca="1">IFERROR(__xludf.DUMMYFUNCTION("""COMPUTED_VALUE"""),2024)</f>
        <v>2024</v>
      </c>
      <c r="E75" s="4">
        <f ca="1">IFERROR(__xludf.DUMMYFUNCTION("""COMPUTED_VALUE"""),45302)</f>
        <v>45302</v>
      </c>
      <c r="F75" s="1" t="str">
        <f ca="1">IFERROR(__xludf.DUMMYFUNCTION("""COMPUTED_VALUE"""),"Miami Northwestern Senior High School")</f>
        <v>Miami Northwestern Senior High School</v>
      </c>
      <c r="G75" s="1">
        <f ca="1">IFERROR(__xludf.DUMMYFUNCTION("""COMPUTED_VALUE"""),0)</f>
        <v>0</v>
      </c>
      <c r="H75" s="1">
        <f ca="1">IFERROR(__xludf.DUMMYFUNCTION("""COMPUTED_VALUE"""),1)</f>
        <v>1</v>
      </c>
      <c r="I75" s="1">
        <f ca="1">IFERROR(__xludf.DUMMYFUNCTION("""COMPUTED_VALUE"""),1)</f>
        <v>1</v>
      </c>
      <c r="J75" s="1">
        <f ca="1">IFERROR(__xludf.DUMMYFUNCTION("""COMPUTED_VALUE"""),0)</f>
        <v>0</v>
      </c>
      <c r="K75" s="1" t="str">
        <f ca="1">IFERROR(__xludf.DUMMYFUNCTION("""COMPUTED_VALUE"""),"Winter")</f>
        <v>Winter</v>
      </c>
      <c r="L75" s="1" t="str">
        <f ca="1">IFERROR(__xludf.DUMMYFUNCTION("""COMPUTED_VALUE"""),"Miami")</f>
        <v>Miami</v>
      </c>
      <c r="M75" s="1" t="str">
        <f ca="1">IFERROR(__xludf.DUMMYFUNCTION("""COMPUTED_VALUE"""),"FL")</f>
        <v>FL</v>
      </c>
      <c r="N75" s="1" t="str">
        <f ca="1">IFERROR(__xludf.DUMMYFUNCTION("""COMPUTED_VALUE"""),"High")</f>
        <v>High</v>
      </c>
      <c r="O75" s="1" t="str">
        <f ca="1">IFERROR(__xludf.DUMMYFUNCTION("""COMPUTED_VALUE"""),"Parking Lot")</f>
        <v>Parking Lot</v>
      </c>
      <c r="P75" s="1" t="str">
        <f ca="1">IFERROR(__xludf.DUMMYFUNCTION("""COMPUTED_VALUE"""),"Outside on School Property")</f>
        <v>Outside on School Property</v>
      </c>
      <c r="Q75" s="1" t="str">
        <f ca="1">IFERROR(__xludf.DUMMYFUNCTION("""COMPUTED_VALUE"""),"No")</f>
        <v>No</v>
      </c>
      <c r="R75" s="1" t="str">
        <f ca="1">IFERROR(__xludf.DUMMYFUNCTION("""COMPUTED_VALUE"""),"Sport Event")</f>
        <v>Sport Event</v>
      </c>
      <c r="S75" s="1"/>
      <c r="T75" s="1">
        <f ca="1">IFERROR(__xludf.DUMMYFUNCTION("""COMPUTED_VALUE"""),1)</f>
        <v>1</v>
      </c>
      <c r="U75" s="1" t="str">
        <f ca="1">IFERROR(__xludf.DUMMYFUNCTION("""COMPUTED_VALUE"""),"Student shot multiple times during fight outside high school basketball game")</f>
        <v>Student shot multiple times during fight outside high school basketball game</v>
      </c>
      <c r="V75" s="1" t="str">
        <f ca="1">IFERROR(__xludf.DUMMYFUNCTION("""COMPUTED_VALUE"""),"A 15-year-old student was shot five times in the parking lot of Miami Northwestern Senior High School after a sporting event. The shooting occurred in the evening. The victim was transported to Jackson Memorial Hospital in critical conidition. The shootin"&amp;"g was the result of a fight or altercation that took place during or after the basketball game between Northwestern and Miami Central High School. ")</f>
        <v xml:space="preserve">A 15-year-old student was shot five times in the parking lot of Miami Northwestern Senior High School after a sporting event. The shooting occurred in the evening. The victim was transported to Jackson Memorial Hospital in critical conidition. The shooting was the result of a fight or altercation that took place during or after the basketball game between Northwestern and Miami Central High School. </v>
      </c>
      <c r="W75" s="1" t="str">
        <f ca="1">IFERROR(__xludf.DUMMYFUNCTION("""COMPUTED_VALUE"""),"Escalation of Dispute")</f>
        <v>Escalation of Dispute</v>
      </c>
      <c r="X75" s="1" t="str">
        <f ca="1">IFERROR(__xludf.DUMMYFUNCTION("""COMPUTED_VALUE"""),"Victims Targeted")</f>
        <v>Victims Targeted</v>
      </c>
      <c r="Y75" s="1" t="str">
        <f ca="1">IFERROR(__xludf.DUMMYFUNCTION("""COMPUTED_VALUE"""),"No")</f>
        <v>No</v>
      </c>
      <c r="Z75" s="1"/>
      <c r="AA75" s="1" t="str">
        <f ca="1">IFERROR(__xludf.DUMMYFUNCTION("""COMPUTED_VALUE"""),"No")</f>
        <v>No</v>
      </c>
      <c r="AB75" s="1" t="str">
        <f ca="1">IFERROR(__xludf.DUMMYFUNCTION("""COMPUTED_VALUE"""),"No")</f>
        <v>No</v>
      </c>
      <c r="AC75" s="1" t="str">
        <f ca="1">IFERROR(__xludf.DUMMYFUNCTION("""COMPUTED_VALUE"""),"No")</f>
        <v>No</v>
      </c>
      <c r="AD75" s="1" t="str">
        <f ca="1">IFERROR(__xludf.DUMMYFUNCTION("""COMPUTED_VALUE"""),"Yes")</f>
        <v>Yes</v>
      </c>
      <c r="AE75" s="1" t="str">
        <f ca="1">IFERROR(__xludf.DUMMYFUNCTION("""COMPUTED_VALUE"""),"No")</f>
        <v>No</v>
      </c>
      <c r="AF75" s="1" t="str">
        <f ca="1">IFERROR(__xludf.DUMMYFUNCTION("""COMPUTED_VALUE"""),"No")</f>
        <v>No</v>
      </c>
      <c r="AG75" s="1" t="str">
        <f ca="1">IFERROR(__xludf.DUMMYFUNCTION("""COMPUTED_VALUE"""),"No")</f>
        <v>No</v>
      </c>
      <c r="AH75" s="1">
        <f ca="1">IFERROR(__xludf.DUMMYFUNCTION("""COMPUTED_VALUE"""),5)</f>
        <v>5</v>
      </c>
    </row>
    <row r="76" spans="1:34" ht="12.5">
      <c r="A76" s="1" t="str">
        <f ca="1">IFERROR(__xludf.DUMMYFUNCTION("""COMPUTED_VALUE"""),"20240111LABOB")</f>
        <v>20240111LABOB</v>
      </c>
      <c r="B76" s="1">
        <f ca="1">IFERROR(__xludf.DUMMYFUNCTION("""COMPUTED_VALUE"""),1)</f>
        <v>1</v>
      </c>
      <c r="C76" s="1">
        <f ca="1">IFERROR(__xludf.DUMMYFUNCTION("""COMPUTED_VALUE"""),11)</f>
        <v>11</v>
      </c>
      <c r="D76" s="1">
        <f ca="1">IFERROR(__xludf.DUMMYFUNCTION("""COMPUTED_VALUE"""),2024)</f>
        <v>2024</v>
      </c>
      <c r="E76" s="4">
        <f ca="1">IFERROR(__xludf.DUMMYFUNCTION("""COMPUTED_VALUE"""),45302)</f>
        <v>45302</v>
      </c>
      <c r="F76" s="1" t="str">
        <f ca="1">IFERROR(__xludf.DUMMYFUNCTION("""COMPUTED_VALUE"""),"Bogalusa High School")</f>
        <v>Bogalusa High School</v>
      </c>
      <c r="G76" s="1">
        <f ca="1">IFERROR(__xludf.DUMMYFUNCTION("""COMPUTED_VALUE"""),1)</f>
        <v>1</v>
      </c>
      <c r="H76" s="1">
        <f ca="1">IFERROR(__xludf.DUMMYFUNCTION("""COMPUTED_VALUE"""),1)</f>
        <v>1</v>
      </c>
      <c r="I76" s="1">
        <f ca="1">IFERROR(__xludf.DUMMYFUNCTION("""COMPUTED_VALUE"""),2)</f>
        <v>2</v>
      </c>
      <c r="J76" s="1">
        <f ca="1">IFERROR(__xludf.DUMMYFUNCTION("""COMPUTED_VALUE"""),0)</f>
        <v>0</v>
      </c>
      <c r="K76" s="1" t="str">
        <f ca="1">IFERROR(__xludf.DUMMYFUNCTION("""COMPUTED_VALUE"""),"Winter")</f>
        <v>Winter</v>
      </c>
      <c r="L76" s="1" t="str">
        <f ca="1">IFERROR(__xludf.DUMMYFUNCTION("""COMPUTED_VALUE"""),"Bogalusa")</f>
        <v>Bogalusa</v>
      </c>
      <c r="M76" s="1" t="str">
        <f ca="1">IFERROR(__xludf.DUMMYFUNCTION("""COMPUTED_VALUE"""),"LA")</f>
        <v>LA</v>
      </c>
      <c r="N76" s="1" t="str">
        <f ca="1">IFERROR(__xludf.DUMMYFUNCTION("""COMPUTED_VALUE"""),"High")</f>
        <v>High</v>
      </c>
      <c r="O76" s="1" t="str">
        <f ca="1">IFERROR(__xludf.DUMMYFUNCTION("""COMPUTED_VALUE"""),"Parking Lot")</f>
        <v>Parking Lot</v>
      </c>
      <c r="P76" s="1" t="str">
        <f ca="1">IFERROR(__xludf.DUMMYFUNCTION("""COMPUTED_VALUE"""),"Outside on School Property")</f>
        <v>Outside on School Property</v>
      </c>
      <c r="Q76" s="1" t="str">
        <f ca="1">IFERROR(__xludf.DUMMYFUNCTION("""COMPUTED_VALUE"""),"No")</f>
        <v>No</v>
      </c>
      <c r="R76" s="1" t="str">
        <f ca="1">IFERROR(__xludf.DUMMYFUNCTION("""COMPUTED_VALUE"""),"Sport Event")</f>
        <v>Sport Event</v>
      </c>
      <c r="S76" s="5">
        <f ca="1">IFERROR(__xludf.DUMMYFUNCTION("""COMPUTED_VALUE"""),0.864583333333333)</f>
        <v>0.86458333333333304</v>
      </c>
      <c r="T76" s="1">
        <f ca="1">IFERROR(__xludf.DUMMYFUNCTION("""COMPUTED_VALUE"""),1)</f>
        <v>1</v>
      </c>
      <c r="U76" s="1" t="str">
        <f ca="1">IFERROR(__xludf.DUMMYFUNCTION("""COMPUTED_VALUE"""),"One student killed, another hurt outside high school basketball game")</f>
        <v>One student killed, another hurt outside high school basketball game</v>
      </c>
      <c r="V76" s="1" t="str">
        <f ca="1">IFERROR(__xludf.DUMMYFUNCTION("""COMPUTED_VALUE"""),"One student was shot and killed outside a Thursday night basketball game at Bogalusa High School. Another student was hurt. The shooting happened outside a Thursday night basketball game against Covington High School at around 8:45 p.m. Officers working a"&amp;"t the game heard the gunshots. Shooter had already fled when they found the victims outside.")</f>
        <v>One student was shot and killed outside a Thursday night basketball game at Bogalusa High School. Another student was hurt. The shooting happened outside a Thursday night basketball game against Covington High School at around 8:45 p.m. Officers working at the game heard the gunshots. Shooter had already fled when they found the victims outside.</v>
      </c>
      <c r="W76" s="1"/>
      <c r="X76" s="1"/>
      <c r="Y76" s="1"/>
      <c r="Z76" s="1"/>
      <c r="AA76" s="1" t="str">
        <f ca="1">IFERROR(__xludf.DUMMYFUNCTION("""COMPUTED_VALUE"""),"No")</f>
        <v>No</v>
      </c>
      <c r="AB76" s="1" t="str">
        <f ca="1">IFERROR(__xludf.DUMMYFUNCTION("""COMPUTED_VALUE"""),"No")</f>
        <v>No</v>
      </c>
      <c r="AC76" s="1" t="str">
        <f ca="1">IFERROR(__xludf.DUMMYFUNCTION("""COMPUTED_VALUE"""),"No")</f>
        <v>No</v>
      </c>
      <c r="AD76" s="1" t="str">
        <f ca="1">IFERROR(__xludf.DUMMYFUNCTION("""COMPUTED_VALUE"""),"No")</f>
        <v>No</v>
      </c>
      <c r="AE76" s="1" t="str">
        <f ca="1">IFERROR(__xludf.DUMMYFUNCTION("""COMPUTED_VALUE"""),"No")</f>
        <v>No</v>
      </c>
      <c r="AF76" s="1"/>
      <c r="AG76" s="1" t="str">
        <f ca="1">IFERROR(__xludf.DUMMYFUNCTION("""COMPUTED_VALUE"""),"No")</f>
        <v>No</v>
      </c>
      <c r="AH76" s="1">
        <f ca="1">IFERROR(__xludf.DUMMYFUNCTION("""COMPUTED_VALUE"""),99)</f>
        <v>99</v>
      </c>
    </row>
    <row r="77" spans="1:34" ht="12.5">
      <c r="A77" s="1" t="str">
        <f ca="1">IFERROR(__xludf.DUMMYFUNCTION("""COMPUTED_VALUE"""),"20240110WAWHW")</f>
        <v>20240110WAWHW</v>
      </c>
      <c r="B77" s="1">
        <f ca="1">IFERROR(__xludf.DUMMYFUNCTION("""COMPUTED_VALUE"""),1)</f>
        <v>1</v>
      </c>
      <c r="C77" s="1">
        <f ca="1">IFERROR(__xludf.DUMMYFUNCTION("""COMPUTED_VALUE"""),10)</f>
        <v>10</v>
      </c>
      <c r="D77" s="1">
        <f ca="1">IFERROR(__xludf.DUMMYFUNCTION("""COMPUTED_VALUE"""),2024)</f>
        <v>2024</v>
      </c>
      <c r="E77" s="4">
        <f ca="1">IFERROR(__xludf.DUMMYFUNCTION("""COMPUTED_VALUE"""),45301)</f>
        <v>45301</v>
      </c>
      <c r="F77" s="1" t="str">
        <f ca="1">IFERROR(__xludf.DUMMYFUNCTION("""COMPUTED_VALUE"""),"White Swan High School")</f>
        <v>White Swan High School</v>
      </c>
      <c r="G77" s="1">
        <f ca="1">IFERROR(__xludf.DUMMYFUNCTION("""COMPUTED_VALUE"""),0)</f>
        <v>0</v>
      </c>
      <c r="H77" s="1">
        <f ca="1">IFERROR(__xludf.DUMMYFUNCTION("""COMPUTED_VALUE"""),0)</f>
        <v>0</v>
      </c>
      <c r="I77" s="1">
        <f ca="1">IFERROR(__xludf.DUMMYFUNCTION("""COMPUTED_VALUE"""),0)</f>
        <v>0</v>
      </c>
      <c r="J77" s="1">
        <f ca="1">IFERROR(__xludf.DUMMYFUNCTION("""COMPUTED_VALUE"""),0)</f>
        <v>0</v>
      </c>
      <c r="K77" s="1" t="str">
        <f ca="1">IFERROR(__xludf.DUMMYFUNCTION("""COMPUTED_VALUE"""),"Winter")</f>
        <v>Winter</v>
      </c>
      <c r="L77" s="1" t="str">
        <f ca="1">IFERROR(__xludf.DUMMYFUNCTION("""COMPUTED_VALUE"""),"White Swan")</f>
        <v>White Swan</v>
      </c>
      <c r="M77" s="1" t="str">
        <f ca="1">IFERROR(__xludf.DUMMYFUNCTION("""COMPUTED_VALUE"""),"WA")</f>
        <v>WA</v>
      </c>
      <c r="N77" s="1" t="str">
        <f ca="1">IFERROR(__xludf.DUMMYFUNCTION("""COMPUTED_VALUE"""),"High")</f>
        <v>High</v>
      </c>
      <c r="O77" s="1" t="str">
        <f ca="1">IFERROR(__xludf.DUMMYFUNCTION("""COMPUTED_VALUE"""),"Outside on School Property")</f>
        <v>Outside on School Property</v>
      </c>
      <c r="P77" s="1" t="str">
        <f ca="1">IFERROR(__xludf.DUMMYFUNCTION("""COMPUTED_VALUE"""),"Outside on School Property")</f>
        <v>Outside on School Property</v>
      </c>
      <c r="Q77" s="1" t="str">
        <f ca="1">IFERROR(__xludf.DUMMYFUNCTION("""COMPUTED_VALUE"""),"Yes")</f>
        <v>Yes</v>
      </c>
      <c r="R77" s="1" t="str">
        <f ca="1">IFERROR(__xludf.DUMMYFUNCTION("""COMPUTED_VALUE"""),"Morning Classes")</f>
        <v>Morning Classes</v>
      </c>
      <c r="S77" s="5">
        <f ca="1">IFERROR(__xludf.DUMMYFUNCTION("""COMPUTED_VALUE"""),0.326388888888888)</f>
        <v>0.32638888888888801</v>
      </c>
      <c r="T77" s="1">
        <f ca="1">IFERROR(__xludf.DUMMYFUNCTION("""COMPUTED_VALUE"""),1)</f>
        <v>1</v>
      </c>
      <c r="U77" s="1" t="str">
        <f ca="1">IFERROR(__xludf.DUMMYFUNCTION("""COMPUTED_VALUE"""),"Student pointed rifle a SRO outside school, school went on lockdown, no shots fired")</f>
        <v>Student pointed rifle a SRO outside school, school went on lockdown, no shots fired</v>
      </c>
      <c r="V77" s="1" t="str">
        <f ca="1">IFERROR(__xludf.DUMMYFUNCTION("""COMPUTED_VALUE"""),"Student pointed rifle a SRO outside school, school went on lockdown, and no shots fired. Students were buses to an alternate location after the lockdown.")</f>
        <v>Student pointed rifle a SRO outside school, school went on lockdown, and no shots fired. Students were buses to an alternate location after the lockdown.</v>
      </c>
      <c r="W77" s="1"/>
      <c r="X77" s="1"/>
      <c r="Y77" s="1" t="str">
        <f ca="1">IFERROR(__xludf.DUMMYFUNCTION("""COMPUTED_VALUE"""),"No")</f>
        <v>No</v>
      </c>
      <c r="Z77" s="1"/>
      <c r="AA77" s="1" t="str">
        <f ca="1">IFERROR(__xludf.DUMMYFUNCTION("""COMPUTED_VALUE"""),"No")</f>
        <v>No</v>
      </c>
      <c r="AB77" s="1" t="str">
        <f ca="1">IFERROR(__xludf.DUMMYFUNCTION("""COMPUTED_VALUE"""),"No")</f>
        <v>No</v>
      </c>
      <c r="AC77" s="1" t="str">
        <f ca="1">IFERROR(__xludf.DUMMYFUNCTION("""COMPUTED_VALUE"""),"No")</f>
        <v>No</v>
      </c>
      <c r="AD77" s="1" t="str">
        <f ca="1">IFERROR(__xludf.DUMMYFUNCTION("""COMPUTED_VALUE"""),"No")</f>
        <v>No</v>
      </c>
      <c r="AE77" s="1" t="str">
        <f ca="1">IFERROR(__xludf.DUMMYFUNCTION("""COMPUTED_VALUE"""),"No")</f>
        <v>No</v>
      </c>
      <c r="AF77" s="1" t="str">
        <f ca="1">IFERROR(__xludf.DUMMYFUNCTION("""COMPUTED_VALUE"""),"No")</f>
        <v>No</v>
      </c>
      <c r="AG77" s="1"/>
      <c r="AH77" s="1">
        <f ca="1">IFERROR(__xludf.DUMMYFUNCTION("""COMPUTED_VALUE"""),0)</f>
        <v>0</v>
      </c>
    </row>
    <row r="78" spans="1:34" ht="12.5">
      <c r="A78" s="1" t="str">
        <f ca="1">IFERROR(__xludf.DUMMYFUNCTION("""COMPUTED_VALUE"""),"20240109TXACH")</f>
        <v>20240109TXACH</v>
      </c>
      <c r="B78" s="1">
        <f ca="1">IFERROR(__xludf.DUMMYFUNCTION("""COMPUTED_VALUE"""),1)</f>
        <v>1</v>
      </c>
      <c r="C78" s="1">
        <f ca="1">IFERROR(__xludf.DUMMYFUNCTION("""COMPUTED_VALUE"""),9)</f>
        <v>9</v>
      </c>
      <c r="D78" s="1">
        <f ca="1">IFERROR(__xludf.DUMMYFUNCTION("""COMPUTED_VALUE"""),2024)</f>
        <v>2024</v>
      </c>
      <c r="E78" s="4">
        <f ca="1">IFERROR(__xludf.DUMMYFUNCTION("""COMPUTED_VALUE"""),45300)</f>
        <v>45300</v>
      </c>
      <c r="F78" s="1" t="str">
        <f ca="1">IFERROR(__xludf.DUMMYFUNCTION("""COMPUTED_VALUE"""),"Academy of Accelerated Learning Middle School")</f>
        <v>Academy of Accelerated Learning Middle School</v>
      </c>
      <c r="G78" s="1">
        <f ca="1">IFERROR(__xludf.DUMMYFUNCTION("""COMPUTED_VALUE"""),1)</f>
        <v>1</v>
      </c>
      <c r="H78" s="1">
        <f ca="1">IFERROR(__xludf.DUMMYFUNCTION("""COMPUTED_VALUE"""),0)</f>
        <v>0</v>
      </c>
      <c r="I78" s="1">
        <f ca="1">IFERROR(__xludf.DUMMYFUNCTION("""COMPUTED_VALUE"""),1)</f>
        <v>1</v>
      </c>
      <c r="J78" s="1">
        <f ca="1">IFERROR(__xludf.DUMMYFUNCTION("""COMPUTED_VALUE"""),0)</f>
        <v>0</v>
      </c>
      <c r="K78" s="1" t="str">
        <f ca="1">IFERROR(__xludf.DUMMYFUNCTION("""COMPUTED_VALUE"""),"Winter")</f>
        <v>Winter</v>
      </c>
      <c r="L78" s="1" t="str">
        <f ca="1">IFERROR(__xludf.DUMMYFUNCTION("""COMPUTED_VALUE"""),"Houston")</f>
        <v>Houston</v>
      </c>
      <c r="M78" s="1" t="str">
        <f ca="1">IFERROR(__xludf.DUMMYFUNCTION("""COMPUTED_VALUE"""),"TX")</f>
        <v>TX</v>
      </c>
      <c r="N78" s="1" t="str">
        <f ca="1">IFERROR(__xludf.DUMMYFUNCTION("""COMPUTED_VALUE"""),"Middle")</f>
        <v>Middle</v>
      </c>
      <c r="O78" s="1" t="str">
        <f ca="1">IFERROR(__xludf.DUMMYFUNCTION("""COMPUTED_VALUE"""),"Front of School")</f>
        <v>Front of School</v>
      </c>
      <c r="P78" s="1" t="str">
        <f ca="1">IFERROR(__xludf.DUMMYFUNCTION("""COMPUTED_VALUE"""),"Outside on School Property")</f>
        <v>Outside on School Property</v>
      </c>
      <c r="Q78" s="1" t="str">
        <f ca="1">IFERROR(__xludf.DUMMYFUNCTION("""COMPUTED_VALUE"""),"Yes")</f>
        <v>Yes</v>
      </c>
      <c r="R78" s="1" t="str">
        <f ca="1">IFERROR(__xludf.DUMMYFUNCTION("""COMPUTED_VALUE"""),"Before School")</f>
        <v>Before School</v>
      </c>
      <c r="S78" s="1"/>
      <c r="T78" s="1">
        <f ca="1">IFERROR(__xludf.DUMMYFUNCTION("""COMPUTED_VALUE"""),1)</f>
        <v>1</v>
      </c>
      <c r="U78" s="1" t="str">
        <f ca="1">IFERROR(__xludf.DUMMYFUNCTION("""COMPUTED_VALUE"""),"Man's body found in the bushes near the front door by staffer arriving at school")</f>
        <v>Man's body found in the bushes near the front door by staffer arriving at school</v>
      </c>
      <c r="V78" s="1" t="str">
        <f ca="1">IFERROR(__xludf.DUMMYFUNCTION("""COMPUTED_VALUE"""),"Houston police said the man, who is in his early 20s, was found just after 7 a.m. outside the Academy of Accelerated Learning building off Savoy and Harwin Drive. An employee arrived at the middle school and spotted the victim's body in the bushes, police"&amp;" said. She called for help and had another employee check out the body. When paramedics arrived at the scene, they pronounced him dead. Police believe the shooting happened in the school parking lot, where multiple shell casings were located. However, wha"&amp;"t led up to the shooting is still under investigation. The victim has yet to be identified, but police said he is not affiliated with the school and had been shot several times.")</f>
        <v>Houston police said the man, who is in his early 20s, was found just after 7 a.m. outside the Academy of Accelerated Learning building off Savoy and Harwin Drive. An employee arrived at the middle school and spotted the victim's body in the bushes, police said. She called for help and had another employee check out the body. When paramedics arrived at the scene, they pronounced him dead. Police believe the shooting happened in the school parking lot, where multiple shell casings were located. However, what led up to the shooting is still under investigation. The victim has yet to be identified, but police said he is not affiliated with the school and had been shot several times.</v>
      </c>
      <c r="W78" s="1"/>
      <c r="X78" s="1" t="str">
        <f ca="1">IFERROR(__xludf.DUMMYFUNCTION("""COMPUTED_VALUE"""),"Victims Targeted")</f>
        <v>Victims Targeted</v>
      </c>
      <c r="Y78" s="1"/>
      <c r="Z78" s="1"/>
      <c r="AA78" s="1" t="str">
        <f ca="1">IFERROR(__xludf.DUMMYFUNCTION("""COMPUTED_VALUE"""),"No")</f>
        <v>No</v>
      </c>
      <c r="AB78" s="1" t="str">
        <f ca="1">IFERROR(__xludf.DUMMYFUNCTION("""COMPUTED_VALUE"""),"No")</f>
        <v>No</v>
      </c>
      <c r="AC78" s="1" t="str">
        <f ca="1">IFERROR(__xludf.DUMMYFUNCTION("""COMPUTED_VALUE"""),"No")</f>
        <v>No</v>
      </c>
      <c r="AD78" s="1" t="str">
        <f ca="1">IFERROR(__xludf.DUMMYFUNCTION("""COMPUTED_VALUE"""),"No")</f>
        <v>No</v>
      </c>
      <c r="AE78" s="1" t="str">
        <f ca="1">IFERROR(__xludf.DUMMYFUNCTION("""COMPUTED_VALUE"""),"No")</f>
        <v>No</v>
      </c>
      <c r="AF78" s="1"/>
      <c r="AG78" s="1" t="str">
        <f ca="1">IFERROR(__xludf.DUMMYFUNCTION("""COMPUTED_VALUE"""),"No")</f>
        <v>No</v>
      </c>
      <c r="AH78" s="1">
        <f ca="1">IFERROR(__xludf.DUMMYFUNCTION("""COMPUTED_VALUE"""),99)</f>
        <v>99</v>
      </c>
    </row>
    <row r="79" spans="1:34" ht="12.5">
      <c r="A79" s="1" t="str">
        <f ca="1">IFERROR(__xludf.DUMMYFUNCTION("""COMPUTED_VALUE"""),"20240108MSSIS")</f>
        <v>20240108MSSIS</v>
      </c>
      <c r="B79" s="1">
        <f ca="1">IFERROR(__xludf.DUMMYFUNCTION("""COMPUTED_VALUE"""),1)</f>
        <v>1</v>
      </c>
      <c r="C79" s="1">
        <f ca="1">IFERROR(__xludf.DUMMYFUNCTION("""COMPUTED_VALUE"""),8)</f>
        <v>8</v>
      </c>
      <c r="D79" s="1">
        <f ca="1">IFERROR(__xludf.DUMMYFUNCTION("""COMPUTED_VALUE"""),2024)</f>
        <v>2024</v>
      </c>
      <c r="E79" s="4">
        <f ca="1">IFERROR(__xludf.DUMMYFUNCTION("""COMPUTED_VALUE"""),45299)</f>
        <v>45299</v>
      </c>
      <c r="F79" s="1" t="str">
        <f ca="1">IFERROR(__xludf.DUMMYFUNCTION("""COMPUTED_VALUE"""),"Simpson County School Bus")</f>
        <v>Simpson County School Bus</v>
      </c>
      <c r="G79" s="1">
        <f ca="1">IFERROR(__xludf.DUMMYFUNCTION("""COMPUTED_VALUE"""),0)</f>
        <v>0</v>
      </c>
      <c r="H79" s="1">
        <f ca="1">IFERROR(__xludf.DUMMYFUNCTION("""COMPUTED_VALUE"""),1)</f>
        <v>1</v>
      </c>
      <c r="I79" s="1">
        <f ca="1">IFERROR(__xludf.DUMMYFUNCTION("""COMPUTED_VALUE"""),1)</f>
        <v>1</v>
      </c>
      <c r="J79" s="1">
        <f ca="1">IFERROR(__xludf.DUMMYFUNCTION("""COMPUTED_VALUE"""),0)</f>
        <v>0</v>
      </c>
      <c r="K79" s="1" t="str">
        <f ca="1">IFERROR(__xludf.DUMMYFUNCTION("""COMPUTED_VALUE"""),"Winter")</f>
        <v>Winter</v>
      </c>
      <c r="L79" s="1" t="str">
        <f ca="1">IFERROR(__xludf.DUMMYFUNCTION("""COMPUTED_VALUE"""),"Shivers")</f>
        <v>Shivers</v>
      </c>
      <c r="M79" s="1" t="str">
        <f ca="1">IFERROR(__xludf.DUMMYFUNCTION("""COMPUTED_VALUE"""),"MS")</f>
        <v>MS</v>
      </c>
      <c r="N79" s="1" t="str">
        <f ca="1">IFERROR(__xludf.DUMMYFUNCTION("""COMPUTED_VALUE"""),"High")</f>
        <v>High</v>
      </c>
      <c r="O79" s="1" t="str">
        <f ca="1">IFERROR(__xludf.DUMMYFUNCTION("""COMPUTED_VALUE"""),"School Bus")</f>
        <v>School Bus</v>
      </c>
      <c r="P79" s="1" t="str">
        <f ca="1">IFERROR(__xludf.DUMMYFUNCTION("""COMPUTED_VALUE"""),"School Bus")</f>
        <v>School Bus</v>
      </c>
      <c r="Q79" s="1" t="str">
        <f ca="1">IFERROR(__xludf.DUMMYFUNCTION("""COMPUTED_VALUE"""),"Yes")</f>
        <v>Yes</v>
      </c>
      <c r="R79" s="1" t="str">
        <f ca="1">IFERROR(__xludf.DUMMYFUNCTION("""COMPUTED_VALUE"""),"Dismissal")</f>
        <v>Dismissal</v>
      </c>
      <c r="S79" s="5">
        <f ca="1">IFERROR(__xludf.DUMMYFUNCTION("""COMPUTED_VALUE"""),0.604166666666666)</f>
        <v>0.60416666666666596</v>
      </c>
      <c r="T79" s="1">
        <f ca="1">IFERROR(__xludf.DUMMYFUNCTION("""COMPUTED_VALUE"""),1)</f>
        <v>1</v>
      </c>
      <c r="U79" s="1" t="str">
        <f ca="1">IFERROR(__xludf.DUMMYFUNCTION("""COMPUTED_VALUE"""),"Student shot while getting off of the school bus")</f>
        <v>Student shot while getting off of the school bus</v>
      </c>
      <c r="V79" s="1" t="str">
        <f ca="1">IFERROR(__xludf.DUMMYFUNCTION("""COMPUTED_VALUE"""),"Simpson County Sheriff Paul Mullins said the 16-year-old was shot around 2:30 p.m. on Monday after getting off of a school bus near Shivers Road. The sheriff says the teen was shot in the back. The name of the victim has not been released. Investigators b"&amp;"elieve the incident was not a random attack, and possibly an ambush.")</f>
        <v>Simpson County Sheriff Paul Mullins said the 16-year-old was shot around 2:30 p.m. on Monday after getting off of a school bus near Shivers Road. The sheriff says the teen was shot in the back. The name of the victim has not been released. Investigators believe the incident was not a random attack, and possibly an ambush.</v>
      </c>
      <c r="W79" s="1"/>
      <c r="X79" s="1" t="str">
        <f ca="1">IFERROR(__xludf.DUMMYFUNCTION("""COMPUTED_VALUE"""),"Victims Targeted")</f>
        <v>Victims Targeted</v>
      </c>
      <c r="Y79" s="1"/>
      <c r="Z79" s="1"/>
      <c r="AA79" s="1" t="str">
        <f ca="1">IFERROR(__xludf.DUMMYFUNCTION("""COMPUTED_VALUE"""),"No")</f>
        <v>No</v>
      </c>
      <c r="AB79" s="1" t="str">
        <f ca="1">IFERROR(__xludf.DUMMYFUNCTION("""COMPUTED_VALUE"""),"No")</f>
        <v>No</v>
      </c>
      <c r="AC79" s="1" t="str">
        <f ca="1">IFERROR(__xludf.DUMMYFUNCTION("""COMPUTED_VALUE"""),"No")</f>
        <v>No</v>
      </c>
      <c r="AD79" s="1"/>
      <c r="AE79" s="1" t="str">
        <f ca="1">IFERROR(__xludf.DUMMYFUNCTION("""COMPUTED_VALUE"""),"No")</f>
        <v>No</v>
      </c>
      <c r="AF79" s="1"/>
      <c r="AG79" s="1" t="str">
        <f ca="1">IFERROR(__xludf.DUMMYFUNCTION("""COMPUTED_VALUE"""),"No")</f>
        <v>No</v>
      </c>
      <c r="AH79" s="1">
        <f ca="1">IFERROR(__xludf.DUMMYFUNCTION("""COMPUTED_VALUE"""),1)</f>
        <v>1</v>
      </c>
    </row>
    <row r="80" spans="1:34" ht="12.5">
      <c r="A80" s="1" t="str">
        <f ca="1">IFERROR(__xludf.DUMMYFUNCTION("""COMPUTED_VALUE"""),"20240108CARIR")</f>
        <v>20240108CARIR</v>
      </c>
      <c r="B80" s="1">
        <f ca="1">IFERROR(__xludf.DUMMYFUNCTION("""COMPUTED_VALUE"""),1)</f>
        <v>1</v>
      </c>
      <c r="C80" s="1">
        <f ca="1">IFERROR(__xludf.DUMMYFUNCTION("""COMPUTED_VALUE"""),8)</f>
        <v>8</v>
      </c>
      <c r="D80" s="1">
        <f ca="1">IFERROR(__xludf.DUMMYFUNCTION("""COMPUTED_VALUE"""),2024)</f>
        <v>2024</v>
      </c>
      <c r="E80" s="4">
        <f ca="1">IFERROR(__xludf.DUMMYFUNCTION("""COMPUTED_VALUE"""),45299)</f>
        <v>45299</v>
      </c>
      <c r="F80" s="1" t="str">
        <f ca="1">IFERROR(__xludf.DUMMYFUNCTION("""COMPUTED_VALUE"""),"Richmond High School")</f>
        <v>Richmond High School</v>
      </c>
      <c r="G80" s="1">
        <f ca="1">IFERROR(__xludf.DUMMYFUNCTION("""COMPUTED_VALUE"""),0)</f>
        <v>0</v>
      </c>
      <c r="H80" s="1">
        <f ca="1">IFERROR(__xludf.DUMMYFUNCTION("""COMPUTED_VALUE"""),0)</f>
        <v>0</v>
      </c>
      <c r="I80" s="1">
        <f ca="1">IFERROR(__xludf.DUMMYFUNCTION("""COMPUTED_VALUE"""),0)</f>
        <v>0</v>
      </c>
      <c r="J80" s="1">
        <f ca="1">IFERROR(__xludf.DUMMYFUNCTION("""COMPUTED_VALUE"""),0)</f>
        <v>0</v>
      </c>
      <c r="K80" s="1" t="str">
        <f ca="1">IFERROR(__xludf.DUMMYFUNCTION("""COMPUTED_VALUE"""),"Winter")</f>
        <v>Winter</v>
      </c>
      <c r="L80" s="1" t="str">
        <f ca="1">IFERROR(__xludf.DUMMYFUNCTION("""COMPUTED_VALUE"""),"Richmond")</f>
        <v>Richmond</v>
      </c>
      <c r="M80" s="1" t="str">
        <f ca="1">IFERROR(__xludf.DUMMYFUNCTION("""COMPUTED_VALUE"""),"CA")</f>
        <v>CA</v>
      </c>
      <c r="N80" s="1" t="str">
        <f ca="1">IFERROR(__xludf.DUMMYFUNCTION("""COMPUTED_VALUE"""),"High")</f>
        <v>High</v>
      </c>
      <c r="O80" s="1" t="str">
        <f ca="1">IFERROR(__xludf.DUMMYFUNCTION("""COMPUTED_VALUE"""),"Parking Lot")</f>
        <v>Parking Lot</v>
      </c>
      <c r="P80" s="1" t="str">
        <f ca="1">IFERROR(__xludf.DUMMYFUNCTION("""COMPUTED_VALUE"""),"Outside on School Property")</f>
        <v>Outside on School Property</v>
      </c>
      <c r="Q80" s="1" t="str">
        <f ca="1">IFERROR(__xludf.DUMMYFUNCTION("""COMPUTED_VALUE"""),"Yes")</f>
        <v>Yes</v>
      </c>
      <c r="R80" s="1" t="str">
        <f ca="1">IFERROR(__xludf.DUMMYFUNCTION("""COMPUTED_VALUE"""),"Afternoon Classes")</f>
        <v>Afternoon Classes</v>
      </c>
      <c r="S80" s="5">
        <f ca="1">IFERROR(__xludf.DUMMYFUNCTION("""COMPUTED_VALUE"""),0.65625)</f>
        <v>0.65625</v>
      </c>
      <c r="T80" s="1">
        <f ca="1">IFERROR(__xludf.DUMMYFUNCTION("""COMPUTED_VALUE"""),1)</f>
        <v>1</v>
      </c>
      <c r="U80" s="1" t="str">
        <f ca="1">IFERROR(__xludf.DUMMYFUNCTION("""COMPUTED_VALUE"""),"Shots fired in visitor parking lot, school went on lockdown")</f>
        <v>Shots fired in visitor parking lot, school went on lockdown</v>
      </c>
      <c r="V80" s="1" t="str">
        <f ca="1">IFERROR(__xludf.DUMMYFUNCTION("""COMPUTED_VALUE"""),"Shots fired in vistor parking lot. School went on lockdown for 30 minutes. No injuries. Shooter fled.")</f>
        <v>Shots fired in vistor parking lot. School went on lockdown for 30 minutes. No injuries. Shooter fled.</v>
      </c>
      <c r="W80" s="1"/>
      <c r="X80" s="1"/>
      <c r="Y80" s="1" t="str">
        <f ca="1">IFERROR(__xludf.DUMMYFUNCTION("""COMPUTED_VALUE"""),"No")</f>
        <v>No</v>
      </c>
      <c r="Z80" s="1"/>
      <c r="AA80" s="1" t="str">
        <f ca="1">IFERROR(__xludf.DUMMYFUNCTION("""COMPUTED_VALUE"""),"No")</f>
        <v>No</v>
      </c>
      <c r="AB80" s="1" t="str">
        <f ca="1">IFERROR(__xludf.DUMMYFUNCTION("""COMPUTED_VALUE"""),"No")</f>
        <v>No</v>
      </c>
      <c r="AC80" s="1" t="str">
        <f ca="1">IFERROR(__xludf.DUMMYFUNCTION("""COMPUTED_VALUE"""),"No")</f>
        <v>No</v>
      </c>
      <c r="AD80" s="1" t="str">
        <f ca="1">IFERROR(__xludf.DUMMYFUNCTION("""COMPUTED_VALUE"""),"No")</f>
        <v>No</v>
      </c>
      <c r="AE80" s="1" t="str">
        <f ca="1">IFERROR(__xludf.DUMMYFUNCTION("""COMPUTED_VALUE"""),"No")</f>
        <v>No</v>
      </c>
      <c r="AF80" s="1"/>
      <c r="AG80" s="1" t="str">
        <f ca="1">IFERROR(__xludf.DUMMYFUNCTION("""COMPUTED_VALUE"""),"No")</f>
        <v>No</v>
      </c>
      <c r="AH80" s="1">
        <f ca="1">IFERROR(__xludf.DUMMYFUNCTION("""COMPUTED_VALUE"""),99)</f>
        <v>99</v>
      </c>
    </row>
    <row r="81" spans="1:34" ht="12.5">
      <c r="A81" s="1" t="str">
        <f ca="1">IFERROR(__xludf.DUMMYFUNCTION("""COMPUTED_VALUE"""),"20240104IAPEP")</f>
        <v>20240104IAPEP</v>
      </c>
      <c r="B81" s="1">
        <f ca="1">IFERROR(__xludf.DUMMYFUNCTION("""COMPUTED_VALUE"""),1)</f>
        <v>1</v>
      </c>
      <c r="C81" s="1">
        <f ca="1">IFERROR(__xludf.DUMMYFUNCTION("""COMPUTED_VALUE"""),4)</f>
        <v>4</v>
      </c>
      <c r="D81" s="1">
        <f ca="1">IFERROR(__xludf.DUMMYFUNCTION("""COMPUTED_VALUE"""),2024)</f>
        <v>2024</v>
      </c>
      <c r="E81" s="4">
        <f ca="1">IFERROR(__xludf.DUMMYFUNCTION("""COMPUTED_VALUE"""),45295)</f>
        <v>45295</v>
      </c>
      <c r="F81" s="1" t="str">
        <f ca="1">IFERROR(__xludf.DUMMYFUNCTION("""COMPUTED_VALUE"""),"Perry Middle and High School")</f>
        <v>Perry Middle and High School</v>
      </c>
      <c r="G81" s="1">
        <f ca="1">IFERROR(__xludf.DUMMYFUNCTION("""COMPUTED_VALUE"""),2)</f>
        <v>2</v>
      </c>
      <c r="H81" s="1">
        <f ca="1">IFERROR(__xludf.DUMMYFUNCTION("""COMPUTED_VALUE"""),6)</f>
        <v>6</v>
      </c>
      <c r="I81" s="1">
        <f ca="1">IFERROR(__xludf.DUMMYFUNCTION("""COMPUTED_VALUE"""),8)</f>
        <v>8</v>
      </c>
      <c r="J81" s="1">
        <f ca="1">IFERROR(__xludf.DUMMYFUNCTION("""COMPUTED_VALUE"""),1)</f>
        <v>1</v>
      </c>
      <c r="K81" s="1" t="str">
        <f ca="1">IFERROR(__xludf.DUMMYFUNCTION("""COMPUTED_VALUE"""),"Winter")</f>
        <v>Winter</v>
      </c>
      <c r="L81" s="1" t="str">
        <f ca="1">IFERROR(__xludf.DUMMYFUNCTION("""COMPUTED_VALUE"""),"Perry")</f>
        <v>Perry</v>
      </c>
      <c r="M81" s="1" t="str">
        <f ca="1">IFERROR(__xludf.DUMMYFUNCTION("""COMPUTED_VALUE"""),"IA")</f>
        <v>IA</v>
      </c>
      <c r="N81" s="1" t="str">
        <f ca="1">IFERROR(__xludf.DUMMYFUNCTION("""COMPUTED_VALUE"""),"6-12")</f>
        <v>6-12</v>
      </c>
      <c r="O81" s="1" t="str">
        <f ca="1">IFERROR(__xludf.DUMMYFUNCTION("""COMPUTED_VALUE"""),"Cafeteria")</f>
        <v>Cafeteria</v>
      </c>
      <c r="P81" s="1" t="str">
        <f ca="1">IFERROR(__xludf.DUMMYFUNCTION("""COMPUTED_VALUE"""),"Inside School Building")</f>
        <v>Inside School Building</v>
      </c>
      <c r="Q81" s="1" t="str">
        <f ca="1">IFERROR(__xludf.DUMMYFUNCTION("""COMPUTED_VALUE"""),"Yes")</f>
        <v>Yes</v>
      </c>
      <c r="R81" s="1" t="str">
        <f ca="1">IFERROR(__xludf.DUMMYFUNCTION("""COMPUTED_VALUE"""),"School Start")</f>
        <v>School Start</v>
      </c>
      <c r="S81" s="5">
        <f ca="1">IFERROR(__xludf.DUMMYFUNCTION("""COMPUTED_VALUE"""),0.317361111111111)</f>
        <v>0.31736111111111098</v>
      </c>
      <c r="T81" s="1">
        <f ca="1">IFERROR(__xludf.DUMMYFUNCTION("""COMPUTED_VALUE"""),7)</f>
        <v>7</v>
      </c>
      <c r="U81" s="1" t="str">
        <f ca="1">IFERROR(__xludf.DUMMYFUNCTION("""COMPUTED_VALUE"""),"Student with shotgun and handgun opened fire inside the school before classes started then commit suicide")</f>
        <v>Student with shotgun and handgun opened fire inside the school before classes started then commit suicide</v>
      </c>
      <c r="V81" s="1" t="str">
        <f ca="1">IFERROR(__xludf.DUMMYFUNCTION("""COMPUTED_VALUE"""),"A 17-year-old student armed with a pump-action shotgun and a small-caliber handgun opened fire at Perry High School just after 7:30 a.m. The shooting started in the cafeteria and spilled outside. The student who was killed, 11-year-old Ahmir Jolliff, was "&amp;"shot three times. Perry High School Principal Dan Marburger and six others, including two staff members and four teenage students, suffered injuries ranging from significant to minor. The high-schooler identified as the shooter died of an apparent self-in"&amp;"flicted gunshot. The motive for the shooting is unknown.")</f>
        <v>A 17-year-old student armed with a pump-action shotgun and a small-caliber handgun opened fire at Perry High School just after 7:30 a.m. The shooting started in the cafeteria and spilled outside. The student who was killed, 11-year-old Ahmir Jolliff, was shot three times. Perry High School Principal Dan Marburger and six others, including two staff members and four teenage students, suffered injuries ranging from significant to minor. The high-schooler identified as the shooter died of an apparent self-inflicted gunshot. The motive for the shooting is unknown.</v>
      </c>
      <c r="W81" s="1" t="str">
        <f ca="1">IFERROR(__xludf.DUMMYFUNCTION("""COMPUTED_VALUE"""),"Indiscriminate Shooting")</f>
        <v>Indiscriminate Shooting</v>
      </c>
      <c r="X81" s="1"/>
      <c r="Y81" s="1" t="str">
        <f ca="1">IFERROR(__xludf.DUMMYFUNCTION("""COMPUTED_VALUE"""),"No")</f>
        <v>No</v>
      </c>
      <c r="Z81" s="1"/>
      <c r="AA81" s="1" t="str">
        <f ca="1">IFERROR(__xludf.DUMMYFUNCTION("""COMPUTED_VALUE"""),"No")</f>
        <v>No</v>
      </c>
      <c r="AB81" s="1" t="str">
        <f ca="1">IFERROR(__xludf.DUMMYFUNCTION("""COMPUTED_VALUE"""),"No")</f>
        <v>No</v>
      </c>
      <c r="AC81" s="1" t="str">
        <f ca="1">IFERROR(__xludf.DUMMYFUNCTION("""COMPUTED_VALUE"""),"No")</f>
        <v>No</v>
      </c>
      <c r="AD81" s="1" t="str">
        <f ca="1">IFERROR(__xludf.DUMMYFUNCTION("""COMPUTED_VALUE"""),"Yes")</f>
        <v>Yes</v>
      </c>
      <c r="AE81" s="1" t="str">
        <f ca="1">IFERROR(__xludf.DUMMYFUNCTION("""COMPUTED_VALUE"""),"No")</f>
        <v>No</v>
      </c>
      <c r="AF81" s="1" t="str">
        <f ca="1">IFERROR(__xludf.DUMMYFUNCTION("""COMPUTED_VALUE"""),"No")</f>
        <v>No</v>
      </c>
      <c r="AG81" s="1" t="str">
        <f ca="1">IFERROR(__xludf.DUMMYFUNCTION("""COMPUTED_VALUE"""),"Yes")</f>
        <v>Yes</v>
      </c>
      <c r="AH81" s="1"/>
    </row>
    <row r="82" spans="1:34" ht="12.5">
      <c r="A82" s="1" t="str">
        <f ca="1">IFERROR(__xludf.DUMMYFUNCTION("""COMPUTED_VALUE"""),"20240103TNFRM")</f>
        <v>20240103TNFRM</v>
      </c>
      <c r="B82" s="1">
        <f ca="1">IFERROR(__xludf.DUMMYFUNCTION("""COMPUTED_VALUE"""),1)</f>
        <v>1</v>
      </c>
      <c r="C82" s="1">
        <f ca="1">IFERROR(__xludf.DUMMYFUNCTION("""COMPUTED_VALUE"""),3)</f>
        <v>3</v>
      </c>
      <c r="D82" s="1">
        <f ca="1">IFERROR(__xludf.DUMMYFUNCTION("""COMPUTED_VALUE"""),2024)</f>
        <v>2024</v>
      </c>
      <c r="E82" s="4">
        <f ca="1">IFERROR(__xludf.DUMMYFUNCTION("""COMPUTED_VALUE"""),45294)</f>
        <v>45294</v>
      </c>
      <c r="F82" s="1" t="str">
        <f ca="1">IFERROR(__xludf.DUMMYFUNCTION("""COMPUTED_VALUE"""),"Freedom Preparatory Academy Westwood")</f>
        <v>Freedom Preparatory Academy Westwood</v>
      </c>
      <c r="G82" s="1">
        <f ca="1">IFERROR(__xludf.DUMMYFUNCTION("""COMPUTED_VALUE"""),0)</f>
        <v>0</v>
      </c>
      <c r="H82" s="1">
        <f ca="1">IFERROR(__xludf.DUMMYFUNCTION("""COMPUTED_VALUE"""),0)</f>
        <v>0</v>
      </c>
      <c r="I82" s="1">
        <f ca="1">IFERROR(__xludf.DUMMYFUNCTION("""COMPUTED_VALUE"""),0)</f>
        <v>0</v>
      </c>
      <c r="J82" s="1">
        <f ca="1">IFERROR(__xludf.DUMMYFUNCTION("""COMPUTED_VALUE"""),0)</f>
        <v>0</v>
      </c>
      <c r="K82" s="1" t="str">
        <f ca="1">IFERROR(__xludf.DUMMYFUNCTION("""COMPUTED_VALUE"""),"Winter")</f>
        <v>Winter</v>
      </c>
      <c r="L82" s="1" t="str">
        <f ca="1">IFERROR(__xludf.DUMMYFUNCTION("""COMPUTED_VALUE"""),"Memphis")</f>
        <v>Memphis</v>
      </c>
      <c r="M82" s="1" t="str">
        <f ca="1">IFERROR(__xludf.DUMMYFUNCTION("""COMPUTED_VALUE"""),"TN")</f>
        <v>TN</v>
      </c>
      <c r="N82" s="1" t="str">
        <f ca="1">IFERROR(__xludf.DUMMYFUNCTION("""COMPUTED_VALUE"""),"Elementary")</f>
        <v>Elementary</v>
      </c>
      <c r="O82" s="1" t="str">
        <f ca="1">IFERROR(__xludf.DUMMYFUNCTION("""COMPUTED_VALUE"""),"Classroom")</f>
        <v>Classroom</v>
      </c>
      <c r="P82" s="1" t="str">
        <f ca="1">IFERROR(__xludf.DUMMYFUNCTION("""COMPUTED_VALUE"""),"Both Inside/Outside")</f>
        <v>Both Inside/Outside</v>
      </c>
      <c r="Q82" s="1" t="str">
        <f ca="1">IFERROR(__xludf.DUMMYFUNCTION("""COMPUTED_VALUE"""),"Yes")</f>
        <v>Yes</v>
      </c>
      <c r="R82" s="1" t="str">
        <f ca="1">IFERROR(__xludf.DUMMYFUNCTION("""COMPUTED_VALUE"""),"Morning Classes")</f>
        <v>Morning Classes</v>
      </c>
      <c r="S82" s="5">
        <f ca="1">IFERROR(__xludf.DUMMYFUNCTION("""COMPUTED_VALUE"""),0.40625)</f>
        <v>0.40625</v>
      </c>
      <c r="T82" s="1">
        <f ca="1">IFERROR(__xludf.DUMMYFUNCTION("""COMPUTED_VALUE"""),1)</f>
        <v>1</v>
      </c>
      <c r="U82" s="1" t="str">
        <f ca="1">IFERROR(__xludf.DUMMYFUNCTION("""COMPUTED_VALUE"""),"Bullet shattered classroom window during morning classes with students inside the room")</f>
        <v>Bullet shattered classroom window during morning classes with students inside the room</v>
      </c>
      <c r="V82" s="1" t="str">
        <f ca="1">IFERROR(__xludf.DUMMYFUNCTION("""COMPUTED_VALUE"""),"A stray bullet shattered a window at Freedom Preparatory Academy in Westwood as students returned from break Wednesday. The bullet tore through a classroom window at 9:45 a.m. while students were inside. No one was hurt but it still left students and educ"&amp;"ators shaken for the rest of the day. School administrators said they immediately took precautionary measures and evacuated the students that were in that impacted classroom, as well as the surrounding classrooms, to move them to a safe space within the b"&amp;"uilding. The school was placed on a soft lockdown as police investigated. Police believe it was a stray bullet. ")</f>
        <v xml:space="preserve">A stray bullet shattered a window at Freedom Preparatory Academy in Westwood as students returned from break Wednesday. The bullet tore through a classroom window at 9:45 a.m. while students were inside. No one was hurt but it still left students and educators shaken for the rest of the day. School administrators said they immediately took precautionary measures and evacuated the students that were in that impacted classroom, as well as the surrounding classrooms, to move them to a safe space within the building. The school was placed on a soft lockdown as police investigated. Police believe it was a stray bullet. </v>
      </c>
      <c r="W82" s="1"/>
      <c r="X82" s="1"/>
      <c r="Y82" s="1" t="str">
        <f ca="1">IFERROR(__xludf.DUMMYFUNCTION("""COMPUTED_VALUE"""),"No")</f>
        <v>No</v>
      </c>
      <c r="Z82" s="1"/>
      <c r="AA82" s="1" t="str">
        <f ca="1">IFERROR(__xludf.DUMMYFUNCTION("""COMPUTED_VALUE"""),"No")</f>
        <v>No</v>
      </c>
      <c r="AB82" s="1" t="str">
        <f ca="1">IFERROR(__xludf.DUMMYFUNCTION("""COMPUTED_VALUE"""),"No")</f>
        <v>No</v>
      </c>
      <c r="AC82" s="1" t="str">
        <f ca="1">IFERROR(__xludf.DUMMYFUNCTION("""COMPUTED_VALUE"""),"No")</f>
        <v>No</v>
      </c>
      <c r="AD82" s="1" t="str">
        <f ca="1">IFERROR(__xludf.DUMMYFUNCTION("""COMPUTED_VALUE"""),"No")</f>
        <v>No</v>
      </c>
      <c r="AE82" s="1" t="str">
        <f ca="1">IFERROR(__xludf.DUMMYFUNCTION("""COMPUTED_VALUE"""),"No")</f>
        <v>No</v>
      </c>
      <c r="AF82" s="1"/>
      <c r="AG82" s="1" t="str">
        <f ca="1">IFERROR(__xludf.DUMMYFUNCTION("""COMPUTED_VALUE"""),"No")</f>
        <v>No</v>
      </c>
      <c r="AH82" s="1">
        <f ca="1">IFERROR(__xludf.DUMMYFUNCTION("""COMPUTED_VALUE"""),99)</f>
        <v>99</v>
      </c>
    </row>
    <row r="83" spans="1:34" ht="12.5">
      <c r="A83" s="1" t="str">
        <f ca="1">IFERROR(__xludf.DUMMYFUNCTION("""COMPUTED_VALUE"""),"20240103VAMAM")</f>
        <v>20240103VAMAM</v>
      </c>
      <c r="B83" s="1">
        <f ca="1">IFERROR(__xludf.DUMMYFUNCTION("""COMPUTED_VALUE"""),1)</f>
        <v>1</v>
      </c>
      <c r="C83" s="1">
        <f ca="1">IFERROR(__xludf.DUMMYFUNCTION("""COMPUTED_VALUE"""),3)</f>
        <v>3</v>
      </c>
      <c r="D83" s="1">
        <f ca="1">IFERROR(__xludf.DUMMYFUNCTION("""COMPUTED_VALUE"""),2024)</f>
        <v>2024</v>
      </c>
      <c r="E83" s="4">
        <f ca="1">IFERROR(__xludf.DUMMYFUNCTION("""COMPUTED_VALUE"""),45294)</f>
        <v>45294</v>
      </c>
      <c r="F83" s="1" t="str">
        <f ca="1">IFERROR(__xludf.DUMMYFUNCTION("""COMPUTED_VALUE"""),"Manchester High School")</f>
        <v>Manchester High School</v>
      </c>
      <c r="G83" s="1">
        <f ca="1">IFERROR(__xludf.DUMMYFUNCTION("""COMPUTED_VALUE"""),0)</f>
        <v>0</v>
      </c>
      <c r="H83" s="1">
        <f ca="1">IFERROR(__xludf.DUMMYFUNCTION("""COMPUTED_VALUE"""),1)</f>
        <v>1</v>
      </c>
      <c r="I83" s="1">
        <f ca="1">IFERROR(__xludf.DUMMYFUNCTION("""COMPUTED_VALUE"""),1)</f>
        <v>1</v>
      </c>
      <c r="J83" s="1">
        <f ca="1">IFERROR(__xludf.DUMMYFUNCTION("""COMPUTED_VALUE"""),0)</f>
        <v>0</v>
      </c>
      <c r="K83" s="1" t="str">
        <f ca="1">IFERROR(__xludf.DUMMYFUNCTION("""COMPUTED_VALUE"""),"Winter")</f>
        <v>Winter</v>
      </c>
      <c r="L83" s="1" t="str">
        <f ca="1">IFERROR(__xludf.DUMMYFUNCTION("""COMPUTED_VALUE"""),"Midlothian")</f>
        <v>Midlothian</v>
      </c>
      <c r="M83" s="1" t="str">
        <f ca="1">IFERROR(__xludf.DUMMYFUNCTION("""COMPUTED_VALUE"""),"VA")</f>
        <v>VA</v>
      </c>
      <c r="N83" s="1" t="str">
        <f ca="1">IFERROR(__xludf.DUMMYFUNCTION("""COMPUTED_VALUE"""),"High")</f>
        <v>High</v>
      </c>
      <c r="O83" s="1" t="str">
        <f ca="1">IFERROR(__xludf.DUMMYFUNCTION("""COMPUTED_VALUE"""),"Parking Lot")</f>
        <v>Parking Lot</v>
      </c>
      <c r="P83" s="1" t="str">
        <f ca="1">IFERROR(__xludf.DUMMYFUNCTION("""COMPUTED_VALUE"""),"Outside on School Property")</f>
        <v>Outside on School Property</v>
      </c>
      <c r="Q83" s="1" t="str">
        <f ca="1">IFERROR(__xludf.DUMMYFUNCTION("""COMPUTED_VALUE"""),"No")</f>
        <v>No</v>
      </c>
      <c r="R83" s="1" t="str">
        <f ca="1">IFERROR(__xludf.DUMMYFUNCTION("""COMPUTED_VALUE"""),"Sport Event")</f>
        <v>Sport Event</v>
      </c>
      <c r="S83" s="5">
        <f ca="1">IFERROR(__xludf.DUMMYFUNCTION("""COMPUTED_VALUE"""),0.680555555555555)</f>
        <v>0.68055555555555503</v>
      </c>
      <c r="T83" s="1">
        <f ca="1">IFERROR(__xludf.DUMMYFUNCTION("""COMPUTED_VALUE"""),1)</f>
        <v>1</v>
      </c>
      <c r="U83" s="1" t="str">
        <f ca="1">IFERROR(__xludf.DUMMYFUNCTION("""COMPUTED_VALUE"""),"14-year-old shot an 18-year-old during a dispute in the school parking lot")</f>
        <v>14-year-old shot an 18-year-old during a dispute in the school parking lot</v>
      </c>
      <c r="V83" s="1" t="str">
        <f ca="1">IFERROR(__xludf.DUMMYFUNCTION("""COMPUTED_VALUE"""),"An 18-year-old girl has been hospitalized with a non-life-threatening gunshot wound after an argument in a Chesterfield high school parking lot led to shots being fired. Police say the argument took place at around 4:20 Wednesday afternoon in the parking "&amp;"lot of Manchester High School. A basketball tournament was being played at the same time as the shooting, inside the school's gym. Police are now looking for evidence in the school's parking lot. They say four teenagers fled the scene of the shooting, wit"&amp;"h three of them driving away in the same car.")</f>
        <v>An 18-year-old girl has been hospitalized with a non-life-threatening gunshot wound after an argument in a Chesterfield high school parking lot led to shots being fired. Police say the argument took place at around 4:20 Wednesday afternoon in the parking lot of Manchester High School. A basketball tournament was being played at the same time as the shooting, inside the school's gym. Police are now looking for evidence in the school's parking lot. They say four teenagers fled the scene of the shooting, with three of them driving away in the same car.</v>
      </c>
      <c r="W83" s="1" t="str">
        <f ca="1">IFERROR(__xludf.DUMMYFUNCTION("""COMPUTED_VALUE"""),"Escalation of Dispute")</f>
        <v>Escalation of Dispute</v>
      </c>
      <c r="X83" s="1" t="str">
        <f ca="1">IFERROR(__xludf.DUMMYFUNCTION("""COMPUTED_VALUE"""),"Victims Targeted")</f>
        <v>Victims Targeted</v>
      </c>
      <c r="Y83" s="1" t="str">
        <f ca="1">IFERROR(__xludf.DUMMYFUNCTION("""COMPUTED_VALUE"""),"Yes")</f>
        <v>Yes</v>
      </c>
      <c r="Z83" s="1" t="str">
        <f ca="1">IFERROR(__xludf.DUMMYFUNCTION("""COMPUTED_VALUE"""),"3 fled in vehicle")</f>
        <v>3 fled in vehicle</v>
      </c>
      <c r="AA83" s="1" t="str">
        <f ca="1">IFERROR(__xludf.DUMMYFUNCTION("""COMPUTED_VALUE"""),"No")</f>
        <v>No</v>
      </c>
      <c r="AB83" s="1" t="str">
        <f ca="1">IFERROR(__xludf.DUMMYFUNCTION("""COMPUTED_VALUE"""),"No")</f>
        <v>No</v>
      </c>
      <c r="AC83" s="1" t="str">
        <f ca="1">IFERROR(__xludf.DUMMYFUNCTION("""COMPUTED_VALUE"""),"No")</f>
        <v>No</v>
      </c>
      <c r="AD83" s="1"/>
      <c r="AE83" s="1" t="str">
        <f ca="1">IFERROR(__xludf.DUMMYFUNCTION("""COMPUTED_VALUE"""),"No")</f>
        <v>No</v>
      </c>
      <c r="AF83" s="1" t="str">
        <f ca="1">IFERROR(__xludf.DUMMYFUNCTION("""COMPUTED_VALUE"""),"No")</f>
        <v>No</v>
      </c>
      <c r="AG83" s="1" t="str">
        <f ca="1">IFERROR(__xludf.DUMMYFUNCTION("""COMPUTED_VALUE"""),"No")</f>
        <v>No</v>
      </c>
      <c r="AH83" s="1"/>
    </row>
    <row r="84" spans="1:34" ht="12.5">
      <c r="A84" s="1" t="str">
        <f ca="1">IFERROR(__xludf.DUMMYFUNCTION("""COMPUTED_VALUE"""),"20240101LABAM")</f>
        <v>20240101LABAM</v>
      </c>
      <c r="B84" s="1">
        <f ca="1">IFERROR(__xludf.DUMMYFUNCTION("""COMPUTED_VALUE"""),1)</f>
        <v>1</v>
      </c>
      <c r="C84" s="1">
        <f ca="1">IFERROR(__xludf.DUMMYFUNCTION("""COMPUTED_VALUE"""),1)</f>
        <v>1</v>
      </c>
      <c r="D84" s="1">
        <f ca="1">IFERROR(__xludf.DUMMYFUNCTION("""COMPUTED_VALUE"""),2024)</f>
        <v>2024</v>
      </c>
      <c r="E84" s="4">
        <f ca="1">IFERROR(__xludf.DUMMYFUNCTION("""COMPUTED_VALUE"""),45292)</f>
        <v>45292</v>
      </c>
      <c r="F84" s="1" t="str">
        <f ca="1">IFERROR(__xludf.DUMMYFUNCTION("""COMPUTED_VALUE"""),"Barkdull Faulk Elementary School")</f>
        <v>Barkdull Faulk Elementary School</v>
      </c>
      <c r="G84" s="1">
        <f ca="1">IFERROR(__xludf.DUMMYFUNCTION("""COMPUTED_VALUE"""),0)</f>
        <v>0</v>
      </c>
      <c r="H84" s="1">
        <f ca="1">IFERROR(__xludf.DUMMYFUNCTION("""COMPUTED_VALUE"""),0)</f>
        <v>0</v>
      </c>
      <c r="I84" s="1">
        <f ca="1">IFERROR(__xludf.DUMMYFUNCTION("""COMPUTED_VALUE"""),0)</f>
        <v>0</v>
      </c>
      <c r="J84" s="1">
        <f ca="1">IFERROR(__xludf.DUMMYFUNCTION("""COMPUTED_VALUE"""),0)</f>
        <v>0</v>
      </c>
      <c r="K84" s="1" t="str">
        <f ca="1">IFERROR(__xludf.DUMMYFUNCTION("""COMPUTED_VALUE"""),"Winter")</f>
        <v>Winter</v>
      </c>
      <c r="L84" s="1" t="str">
        <f ca="1">IFERROR(__xludf.DUMMYFUNCTION("""COMPUTED_VALUE"""),"Monroe")</f>
        <v>Monroe</v>
      </c>
      <c r="M84" s="1" t="str">
        <f ca="1">IFERROR(__xludf.DUMMYFUNCTION("""COMPUTED_VALUE"""),"LA")</f>
        <v>LA</v>
      </c>
      <c r="N84" s="1" t="str">
        <f ca="1">IFERROR(__xludf.DUMMYFUNCTION("""COMPUTED_VALUE"""),"Elementary")</f>
        <v>Elementary</v>
      </c>
      <c r="O84" s="1" t="str">
        <f ca="1">IFERROR(__xludf.DUMMYFUNCTION("""COMPUTED_VALUE"""),"Beside Building")</f>
        <v>Beside Building</v>
      </c>
      <c r="P84" s="1" t="str">
        <f ca="1">IFERROR(__xludf.DUMMYFUNCTION("""COMPUTED_VALUE"""),"Outside on School Property")</f>
        <v>Outside on School Property</v>
      </c>
      <c r="Q84" s="1" t="str">
        <f ca="1">IFERROR(__xludf.DUMMYFUNCTION("""COMPUTED_VALUE"""),"No")</f>
        <v>No</v>
      </c>
      <c r="R84" s="1" t="str">
        <f ca="1">IFERROR(__xludf.DUMMYFUNCTION("""COMPUTED_VALUE"""),"Night")</f>
        <v>Night</v>
      </c>
      <c r="S84" s="1"/>
      <c r="T84" s="1">
        <f ca="1">IFERROR(__xludf.DUMMYFUNCTION("""COMPUTED_VALUE"""),1)</f>
        <v>1</v>
      </c>
      <c r="U84" s="1" t="str">
        <f ca="1">IFERROR(__xludf.DUMMYFUNCTION("""COMPUTED_VALUE"""),"Man arrested for firing 100 shots outside elementary school")</f>
        <v>Man arrested for firing 100 shots outside elementary school</v>
      </c>
      <c r="V84" s="1" t="str">
        <f ca="1">IFERROR(__xludf.DUMMYFUNCTION("""COMPUTED_VALUE"""),"According to arrest records, an MPD officer saw Antonio Sanders standing behind Barkfull Faulk Elementary School, located at 2204 Gordon Ave. The officer says Sanders was carrying an AR-15. Once Sanders was arrested, the officer secured the AR-15 and also"&amp;" allegedly found a 9MM handgun in Sanders’ car. Sanders allegedly admitted to both firearms being his. The officer says they found approximately 80 fired 5.56 caliber casings and approximately 20 fired 9MM casings where Sanders was first found.")</f>
        <v>According to arrest records, an MPD officer saw Antonio Sanders standing behind Barkfull Faulk Elementary School, located at 2204 Gordon Ave. The officer says Sanders was carrying an AR-15. Once Sanders was arrested, the officer secured the AR-15 and also allegedly found a 9MM handgun in Sanders’ car. Sanders allegedly admitted to both firearms being his. The officer says they found approximately 80 fired 5.56 caliber casings and approximately 20 fired 9MM casings where Sanders was first found.</v>
      </c>
      <c r="W84" s="1"/>
      <c r="X84" s="1"/>
      <c r="Y84" s="1" t="str">
        <f ca="1">IFERROR(__xludf.DUMMYFUNCTION("""COMPUTED_VALUE"""),"No")</f>
        <v>No</v>
      </c>
      <c r="Z84" s="1"/>
      <c r="AA84" s="1" t="str">
        <f ca="1">IFERROR(__xludf.DUMMYFUNCTION("""COMPUTED_VALUE"""),"No")</f>
        <v>No</v>
      </c>
      <c r="AB84" s="1" t="str">
        <f ca="1">IFERROR(__xludf.DUMMYFUNCTION("""COMPUTED_VALUE"""),"No")</f>
        <v>No</v>
      </c>
      <c r="AC84" s="1" t="str">
        <f ca="1">IFERROR(__xludf.DUMMYFUNCTION("""COMPUTED_VALUE"""),"No")</f>
        <v>No</v>
      </c>
      <c r="AD84" s="1" t="str">
        <f ca="1">IFERROR(__xludf.DUMMYFUNCTION("""COMPUTED_VALUE"""),"No")</f>
        <v>No</v>
      </c>
      <c r="AE84" s="1" t="str">
        <f ca="1">IFERROR(__xludf.DUMMYFUNCTION("""COMPUTED_VALUE"""),"No")</f>
        <v>No</v>
      </c>
      <c r="AF84" s="1" t="str">
        <f ca="1">IFERROR(__xludf.DUMMYFUNCTION("""COMPUTED_VALUE"""),"No")</f>
        <v>No</v>
      </c>
      <c r="AG84" s="1" t="str">
        <f ca="1">IFERROR(__xludf.DUMMYFUNCTION("""COMPUTED_VALUE"""),"No")</f>
        <v>No</v>
      </c>
      <c r="AH84" s="1">
        <f ca="1">IFERROR(__xludf.DUMMYFUNCTION("""COMPUTED_VALUE"""),100)</f>
        <v>100</v>
      </c>
    </row>
    <row r="85" spans="1:34" ht="12.5">
      <c r="A85" s="1" t="str">
        <f ca="1">IFERROR(__xludf.DUMMYFUNCTION("""COMPUTED_VALUE"""),"20231226RIEME")</f>
        <v>20231226RIEME</v>
      </c>
      <c r="B85" s="1">
        <f ca="1">IFERROR(__xludf.DUMMYFUNCTION("""COMPUTED_VALUE"""),12)</f>
        <v>12</v>
      </c>
      <c r="C85" s="1">
        <f ca="1">IFERROR(__xludf.DUMMYFUNCTION("""COMPUTED_VALUE"""),26)</f>
        <v>26</v>
      </c>
      <c r="D85" s="1">
        <f ca="1">IFERROR(__xludf.DUMMYFUNCTION("""COMPUTED_VALUE"""),2023)</f>
        <v>2023</v>
      </c>
      <c r="E85" s="4">
        <f ca="1">IFERROR(__xludf.DUMMYFUNCTION("""COMPUTED_VALUE"""),45286)</f>
        <v>45286</v>
      </c>
      <c r="F85" s="1" t="str">
        <f ca="1">IFERROR(__xludf.DUMMYFUNCTION("""COMPUTED_VALUE"""),"Emma G. Whiteknact Elementary School")</f>
        <v>Emma G. Whiteknact Elementary School</v>
      </c>
      <c r="G85" s="1">
        <f ca="1">IFERROR(__xludf.DUMMYFUNCTION("""COMPUTED_VALUE"""),0)</f>
        <v>0</v>
      </c>
      <c r="H85" s="1">
        <f ca="1">IFERROR(__xludf.DUMMYFUNCTION("""COMPUTED_VALUE"""),1)</f>
        <v>1</v>
      </c>
      <c r="I85" s="1">
        <f ca="1">IFERROR(__xludf.DUMMYFUNCTION("""COMPUTED_VALUE"""),1)</f>
        <v>1</v>
      </c>
      <c r="J85" s="1">
        <f ca="1">IFERROR(__xludf.DUMMYFUNCTION("""COMPUTED_VALUE"""),0)</f>
        <v>0</v>
      </c>
      <c r="K85" s="1" t="str">
        <f ca="1">IFERROR(__xludf.DUMMYFUNCTION("""COMPUTED_VALUE"""),"Winter")</f>
        <v>Winter</v>
      </c>
      <c r="L85" s="1" t="str">
        <f ca="1">IFERROR(__xludf.DUMMYFUNCTION("""COMPUTED_VALUE"""),"East Providence")</f>
        <v>East Providence</v>
      </c>
      <c r="M85" s="1" t="str">
        <f ca="1">IFERROR(__xludf.DUMMYFUNCTION("""COMPUTED_VALUE"""),"RI")</f>
        <v>RI</v>
      </c>
      <c r="N85" s="1" t="str">
        <f ca="1">IFERROR(__xludf.DUMMYFUNCTION("""COMPUTED_VALUE"""),"Elementary")</f>
        <v>Elementary</v>
      </c>
      <c r="O85" s="1" t="str">
        <f ca="1">IFERROR(__xludf.DUMMYFUNCTION("""COMPUTED_VALUE"""),"Playground")</f>
        <v>Playground</v>
      </c>
      <c r="P85" s="1" t="str">
        <f ca="1">IFERROR(__xludf.DUMMYFUNCTION("""COMPUTED_VALUE"""),"Outside on School Property")</f>
        <v>Outside on School Property</v>
      </c>
      <c r="Q85" s="1" t="str">
        <f ca="1">IFERROR(__xludf.DUMMYFUNCTION("""COMPUTED_VALUE"""),"No")</f>
        <v>No</v>
      </c>
      <c r="R85" s="1" t="str">
        <f ca="1">IFERROR(__xludf.DUMMYFUNCTION("""COMPUTED_VALUE"""),"Not a School Day")</f>
        <v>Not a School Day</v>
      </c>
      <c r="S85" s="5">
        <f ca="1">IFERROR(__xludf.DUMMYFUNCTION("""COMPUTED_VALUE"""),0.541666666666666)</f>
        <v>0.54166666666666596</v>
      </c>
      <c r="T85" s="1">
        <f ca="1">IFERROR(__xludf.DUMMYFUNCTION("""COMPUTED_VALUE"""),1)</f>
        <v>1</v>
      </c>
      <c r="U85" s="1" t="str">
        <f ca="1">IFERROR(__xludf.DUMMYFUNCTION("""COMPUTED_VALUE"""),"Adult man shot on the playground, shell casing recovered in parking lot")</f>
        <v>Adult man shot on the playground, shell casing recovered in parking lot</v>
      </c>
      <c r="V85" s="1" t="str">
        <f ca="1">IFERROR(__xludf.DUMMYFUNCTION("""COMPUTED_VALUE"""),"Adult man shot on the playground, shell casing recovered in parking lot. Both shooter and victim fled the scene before police arrived. Victim was found at a nearby gas station.")</f>
        <v>Adult man shot on the playground, shell casing recovered in parking lot. Both shooter and victim fled the scene before police arrived. Victim was found at a nearby gas station.</v>
      </c>
      <c r="W85" s="1"/>
      <c r="X85" s="1"/>
      <c r="Y85" s="1" t="str">
        <f ca="1">IFERROR(__xludf.DUMMYFUNCTION("""COMPUTED_VALUE"""),"No")</f>
        <v>No</v>
      </c>
      <c r="Z85" s="1"/>
      <c r="AA85" s="1" t="str">
        <f ca="1">IFERROR(__xludf.DUMMYFUNCTION("""COMPUTED_VALUE"""),"No")</f>
        <v>No</v>
      </c>
      <c r="AB85" s="1" t="str">
        <f ca="1">IFERROR(__xludf.DUMMYFUNCTION("""COMPUTED_VALUE"""),"No")</f>
        <v>No</v>
      </c>
      <c r="AC85" s="1" t="str">
        <f ca="1">IFERROR(__xludf.DUMMYFUNCTION("""COMPUTED_VALUE"""),"No")</f>
        <v>No</v>
      </c>
      <c r="AD85" s="1" t="str">
        <f ca="1">IFERROR(__xludf.DUMMYFUNCTION("""COMPUTED_VALUE"""),"No")</f>
        <v>No</v>
      </c>
      <c r="AE85" s="1" t="str">
        <f ca="1">IFERROR(__xludf.DUMMYFUNCTION("""COMPUTED_VALUE"""),"No")</f>
        <v>No</v>
      </c>
      <c r="AF85" s="1"/>
      <c r="AG85" s="1" t="str">
        <f ca="1">IFERROR(__xludf.DUMMYFUNCTION("""COMPUTED_VALUE"""),"No")</f>
        <v>No</v>
      </c>
      <c r="AH85" s="1">
        <f ca="1">IFERROR(__xludf.DUMMYFUNCTION("""COMPUTED_VALUE"""),1)</f>
        <v>1</v>
      </c>
    </row>
    <row r="86" spans="1:34" ht="12.5">
      <c r="A86" s="1" t="str">
        <f ca="1">IFERROR(__xludf.DUMMYFUNCTION("""COMPUTED_VALUE"""),"20231220TXEAF")</f>
        <v>20231220TXEAF</v>
      </c>
      <c r="B86" s="1">
        <f ca="1">IFERROR(__xludf.DUMMYFUNCTION("""COMPUTED_VALUE"""),12)</f>
        <v>12</v>
      </c>
      <c r="C86" s="1">
        <f ca="1">IFERROR(__xludf.DUMMYFUNCTION("""COMPUTED_VALUE"""),20)</f>
        <v>20</v>
      </c>
      <c r="D86" s="1">
        <f ca="1">IFERROR(__xludf.DUMMYFUNCTION("""COMPUTED_VALUE"""),2023)</f>
        <v>2023</v>
      </c>
      <c r="E86" s="4">
        <f ca="1">IFERROR(__xludf.DUMMYFUNCTION("""COMPUTED_VALUE"""),45280)</f>
        <v>45280</v>
      </c>
      <c r="F86" s="1" t="str">
        <f ca="1">IFERROR(__xludf.DUMMYFUNCTION("""COMPUTED_VALUE"""),"Eastern Hills High School")</f>
        <v>Eastern Hills High School</v>
      </c>
      <c r="G86" s="1">
        <f ca="1">IFERROR(__xludf.DUMMYFUNCTION("""COMPUTED_VALUE"""),0)</f>
        <v>0</v>
      </c>
      <c r="H86" s="1">
        <f ca="1">IFERROR(__xludf.DUMMYFUNCTION("""COMPUTED_VALUE"""),0)</f>
        <v>0</v>
      </c>
      <c r="I86" s="1">
        <f ca="1">IFERROR(__xludf.DUMMYFUNCTION("""COMPUTED_VALUE"""),0)</f>
        <v>0</v>
      </c>
      <c r="J86" s="1">
        <f ca="1">IFERROR(__xludf.DUMMYFUNCTION("""COMPUTED_VALUE"""),0)</f>
        <v>0</v>
      </c>
      <c r="K86" s="1" t="str">
        <f ca="1">IFERROR(__xludf.DUMMYFUNCTION("""COMPUTED_VALUE"""),"Winter")</f>
        <v>Winter</v>
      </c>
      <c r="L86" s="1" t="str">
        <f ca="1">IFERROR(__xludf.DUMMYFUNCTION("""COMPUTED_VALUE"""),"Fort Worth")</f>
        <v>Fort Worth</v>
      </c>
      <c r="M86" s="1" t="str">
        <f ca="1">IFERROR(__xludf.DUMMYFUNCTION("""COMPUTED_VALUE"""),"TX")</f>
        <v>TX</v>
      </c>
      <c r="N86" s="1" t="str">
        <f ca="1">IFERROR(__xludf.DUMMYFUNCTION("""COMPUTED_VALUE"""),"High")</f>
        <v>High</v>
      </c>
      <c r="O86" s="1" t="str">
        <f ca="1">IFERROR(__xludf.DUMMYFUNCTION("""COMPUTED_VALUE"""),"Outside on School Property")</f>
        <v>Outside on School Property</v>
      </c>
      <c r="P86" s="1" t="str">
        <f ca="1">IFERROR(__xludf.DUMMYFUNCTION("""COMPUTED_VALUE"""),"Outside on School Property")</f>
        <v>Outside on School Property</v>
      </c>
      <c r="Q86" s="1" t="str">
        <f ca="1">IFERROR(__xludf.DUMMYFUNCTION("""COMPUTED_VALUE"""),"Yes")</f>
        <v>Yes</v>
      </c>
      <c r="R86" s="1" t="str">
        <f ca="1">IFERROR(__xludf.DUMMYFUNCTION("""COMPUTED_VALUE"""),"Dismissal")</f>
        <v>Dismissal</v>
      </c>
      <c r="S86" s="5">
        <f ca="1">IFERROR(__xludf.DUMMYFUNCTION("""COMPUTED_VALUE"""),0.583333333333333)</f>
        <v>0.58333333333333304</v>
      </c>
      <c r="T86" s="1">
        <f ca="1">IFERROR(__xludf.DUMMYFUNCTION("""COMPUTED_VALUE"""),1)</f>
        <v>1</v>
      </c>
      <c r="U86" s="1" t="str">
        <f ca="1">IFERROR(__xludf.DUMMYFUNCTION("""COMPUTED_VALUE"""),"Shot fired outside school at dismissal")</f>
        <v>Shot fired outside school at dismissal</v>
      </c>
      <c r="V86" s="1" t="str">
        <f ca="1">IFERROR(__xludf.DUMMYFUNCTION("""COMPUTED_VALUE"""),"Shot fired outside school during fight at dismisal. Shooter fled. No injuries.")</f>
        <v>Shot fired outside school during fight at dismisal. Shooter fled. No injuries.</v>
      </c>
      <c r="W86" s="1" t="str">
        <f ca="1">IFERROR(__xludf.DUMMYFUNCTION("""COMPUTED_VALUE"""),"Escalation of Dispute")</f>
        <v>Escalation of Dispute</v>
      </c>
      <c r="X86" s="1"/>
      <c r="Y86" s="1"/>
      <c r="Z86" s="1"/>
      <c r="AA86" s="1" t="str">
        <f ca="1">IFERROR(__xludf.DUMMYFUNCTION("""COMPUTED_VALUE"""),"No")</f>
        <v>No</v>
      </c>
      <c r="AB86" s="1" t="str">
        <f ca="1">IFERROR(__xludf.DUMMYFUNCTION("""COMPUTED_VALUE"""),"No")</f>
        <v>No</v>
      </c>
      <c r="AC86" s="1" t="str">
        <f ca="1">IFERROR(__xludf.DUMMYFUNCTION("""COMPUTED_VALUE"""),"No")</f>
        <v>No</v>
      </c>
      <c r="AD86" s="1" t="str">
        <f ca="1">IFERROR(__xludf.DUMMYFUNCTION("""COMPUTED_VALUE"""),"No")</f>
        <v>No</v>
      </c>
      <c r="AE86" s="1" t="str">
        <f ca="1">IFERROR(__xludf.DUMMYFUNCTION("""COMPUTED_VALUE"""),"No")</f>
        <v>No</v>
      </c>
      <c r="AF86" s="1"/>
      <c r="AG86" s="1" t="str">
        <f ca="1">IFERROR(__xludf.DUMMYFUNCTION("""COMPUTED_VALUE"""),"No")</f>
        <v>No</v>
      </c>
      <c r="AH86" s="1">
        <f ca="1">IFERROR(__xludf.DUMMYFUNCTION("""COMPUTED_VALUE"""),1)</f>
        <v>1</v>
      </c>
    </row>
    <row r="87" spans="1:34" ht="12.5">
      <c r="A87" s="1" t="str">
        <f ca="1">IFERROR(__xludf.DUMMYFUNCTION("""COMPUTED_VALUE"""),"20231220NJKIN")</f>
        <v>20231220NJKIN</v>
      </c>
      <c r="B87" s="1">
        <f ca="1">IFERROR(__xludf.DUMMYFUNCTION("""COMPUTED_VALUE"""),12)</f>
        <v>12</v>
      </c>
      <c r="C87" s="1">
        <f ca="1">IFERROR(__xludf.DUMMYFUNCTION("""COMPUTED_VALUE"""),20)</f>
        <v>20</v>
      </c>
      <c r="D87" s="1">
        <f ca="1">IFERROR(__xludf.DUMMYFUNCTION("""COMPUTED_VALUE"""),2023)</f>
        <v>2023</v>
      </c>
      <c r="E87" s="4">
        <f ca="1">IFERROR(__xludf.DUMMYFUNCTION("""COMPUTED_VALUE"""),45280)</f>
        <v>45280</v>
      </c>
      <c r="F87" s="1" t="str">
        <f ca="1">IFERROR(__xludf.DUMMYFUNCTION("""COMPUTED_VALUE"""),"KIPP Life Academy")</f>
        <v>KIPP Life Academy</v>
      </c>
      <c r="G87" s="1">
        <f ca="1">IFERROR(__xludf.DUMMYFUNCTION("""COMPUTED_VALUE"""),0)</f>
        <v>0</v>
      </c>
      <c r="H87" s="1">
        <f ca="1">IFERROR(__xludf.DUMMYFUNCTION("""COMPUTED_VALUE"""),1)</f>
        <v>1</v>
      </c>
      <c r="I87" s="1">
        <f ca="1">IFERROR(__xludf.DUMMYFUNCTION("""COMPUTED_VALUE"""),1)</f>
        <v>1</v>
      </c>
      <c r="J87" s="1">
        <f ca="1">IFERROR(__xludf.DUMMYFUNCTION("""COMPUTED_VALUE"""),0)</f>
        <v>0</v>
      </c>
      <c r="K87" s="1" t="str">
        <f ca="1">IFERROR(__xludf.DUMMYFUNCTION("""COMPUTED_VALUE"""),"Winter")</f>
        <v>Winter</v>
      </c>
      <c r="L87" s="1" t="str">
        <f ca="1">IFERROR(__xludf.DUMMYFUNCTION("""COMPUTED_VALUE"""),"Newark")</f>
        <v>Newark</v>
      </c>
      <c r="M87" s="1" t="str">
        <f ca="1">IFERROR(__xludf.DUMMYFUNCTION("""COMPUTED_VALUE"""),"NJ")</f>
        <v>NJ</v>
      </c>
      <c r="N87" s="1" t="str">
        <f ca="1">IFERROR(__xludf.DUMMYFUNCTION("""COMPUTED_VALUE"""),"K-12")</f>
        <v>K-12</v>
      </c>
      <c r="O87" s="1" t="str">
        <f ca="1">IFERROR(__xludf.DUMMYFUNCTION("""COMPUTED_VALUE"""),"Front of School")</f>
        <v>Front of School</v>
      </c>
      <c r="P87" s="1" t="str">
        <f ca="1">IFERROR(__xludf.DUMMYFUNCTION("""COMPUTED_VALUE"""),"Outside on School Property")</f>
        <v>Outside on School Property</v>
      </c>
      <c r="Q87" s="1" t="str">
        <f ca="1">IFERROR(__xludf.DUMMYFUNCTION("""COMPUTED_VALUE"""),"Yes")</f>
        <v>Yes</v>
      </c>
      <c r="R87" s="1" t="str">
        <f ca="1">IFERROR(__xludf.DUMMYFUNCTION("""COMPUTED_VALUE"""),"Morning Classes")</f>
        <v>Morning Classes</v>
      </c>
      <c r="S87" s="5">
        <f ca="1">IFERROR(__xludf.DUMMYFUNCTION("""COMPUTED_VALUE"""),0.444444444444444)</f>
        <v>0.44444444444444398</v>
      </c>
      <c r="T87" s="1">
        <f ca="1">IFERROR(__xludf.DUMMYFUNCTION("""COMPUTED_VALUE"""),1)</f>
        <v>1</v>
      </c>
      <c r="U87" s="1" t="str">
        <f ca="1">IFERROR(__xludf.DUMMYFUNCTION("""COMPUTED_VALUE"""),"13-year-old shot in front of the school, staff heard 11 shots and locked down")</f>
        <v>13-year-old shot in front of the school, staff heard 11 shots and locked down</v>
      </c>
      <c r="V87" s="1" t="str">
        <f ca="1">IFERROR(__xludf.DUMMYFUNCTION("""COMPUTED_VALUE"""),"13-year-old shot in front of the school, staff heard 11 shots and locked down. Teen was transported to the hospital in a private vehicle before EMS arrrived. Shooter fled.")</f>
        <v>13-year-old shot in front of the school, staff heard 11 shots and locked down. Teen was transported to the hospital in a private vehicle before EMS arrrived. Shooter fled.</v>
      </c>
      <c r="W87" s="1"/>
      <c r="X87" s="1"/>
      <c r="Y87" s="1"/>
      <c r="Z87" s="1"/>
      <c r="AA87" s="1" t="str">
        <f ca="1">IFERROR(__xludf.DUMMYFUNCTION("""COMPUTED_VALUE"""),"No")</f>
        <v>No</v>
      </c>
      <c r="AB87" s="1" t="str">
        <f ca="1">IFERROR(__xludf.DUMMYFUNCTION("""COMPUTED_VALUE"""),"No")</f>
        <v>No</v>
      </c>
      <c r="AC87" s="1" t="str">
        <f ca="1">IFERROR(__xludf.DUMMYFUNCTION("""COMPUTED_VALUE"""),"No")</f>
        <v>No</v>
      </c>
      <c r="AD87" s="1" t="str">
        <f ca="1">IFERROR(__xludf.DUMMYFUNCTION("""COMPUTED_VALUE"""),"No")</f>
        <v>No</v>
      </c>
      <c r="AE87" s="1" t="str">
        <f ca="1">IFERROR(__xludf.DUMMYFUNCTION("""COMPUTED_VALUE"""),"No")</f>
        <v>No</v>
      </c>
      <c r="AF87" s="1"/>
      <c r="AG87" s="1" t="str">
        <f ca="1">IFERROR(__xludf.DUMMYFUNCTION("""COMPUTED_VALUE"""),"No")</f>
        <v>No</v>
      </c>
      <c r="AH87" s="1">
        <f ca="1">IFERROR(__xludf.DUMMYFUNCTION("""COMPUTED_VALUE"""),11)</f>
        <v>11</v>
      </c>
    </row>
    <row r="88" spans="1:34" ht="12.5">
      <c r="A88" s="1" t="str">
        <f ca="1">IFERROR(__xludf.DUMMYFUNCTION("""COMPUTED_VALUE"""),"20231219COLEC")</f>
        <v>20231219COLEC</v>
      </c>
      <c r="B88" s="1">
        <f ca="1">IFERROR(__xludf.DUMMYFUNCTION("""COMPUTED_VALUE"""),12)</f>
        <v>12</v>
      </c>
      <c r="C88" s="1">
        <f ca="1">IFERROR(__xludf.DUMMYFUNCTION("""COMPUTED_VALUE"""),19)</f>
        <v>19</v>
      </c>
      <c r="D88" s="1">
        <f ca="1">IFERROR(__xludf.DUMMYFUNCTION("""COMPUTED_VALUE"""),2023)</f>
        <v>2023</v>
      </c>
      <c r="E88" s="4">
        <f ca="1">IFERROR(__xludf.DUMMYFUNCTION("""COMPUTED_VALUE"""),45279)</f>
        <v>45279</v>
      </c>
      <c r="F88" s="1" t="str">
        <f ca="1">IFERROR(__xludf.DUMMYFUNCTION("""COMPUTED_VALUE"""),"Legacy Peak Elementary School")</f>
        <v>Legacy Peak Elementary School</v>
      </c>
      <c r="G88" s="1">
        <f ca="1">IFERROR(__xludf.DUMMYFUNCTION("""COMPUTED_VALUE"""),0)</f>
        <v>0</v>
      </c>
      <c r="H88" s="1">
        <f ca="1">IFERROR(__xludf.DUMMYFUNCTION("""COMPUTED_VALUE"""),2)</f>
        <v>2</v>
      </c>
      <c r="I88" s="1">
        <f ca="1">IFERROR(__xludf.DUMMYFUNCTION("""COMPUTED_VALUE"""),2)</f>
        <v>2</v>
      </c>
      <c r="J88" s="1">
        <f ca="1">IFERROR(__xludf.DUMMYFUNCTION("""COMPUTED_VALUE"""),0)</f>
        <v>0</v>
      </c>
      <c r="K88" s="1" t="str">
        <f ca="1">IFERROR(__xludf.DUMMYFUNCTION("""COMPUTED_VALUE"""),"Winter")</f>
        <v>Winter</v>
      </c>
      <c r="L88" s="1" t="str">
        <f ca="1">IFERROR(__xludf.DUMMYFUNCTION("""COMPUTED_VALUE"""),"Colorado Springs")</f>
        <v>Colorado Springs</v>
      </c>
      <c r="M88" s="1" t="str">
        <f ca="1">IFERROR(__xludf.DUMMYFUNCTION("""COMPUTED_VALUE"""),"CO")</f>
        <v>CO</v>
      </c>
      <c r="N88" s="1" t="str">
        <f ca="1">IFERROR(__xludf.DUMMYFUNCTION("""COMPUTED_VALUE"""),"Elementary")</f>
        <v>Elementary</v>
      </c>
      <c r="O88" s="1" t="str">
        <f ca="1">IFERROR(__xludf.DUMMYFUNCTION("""COMPUTED_VALUE"""),"Parking Lot")</f>
        <v>Parking Lot</v>
      </c>
      <c r="P88" s="1" t="str">
        <f ca="1">IFERROR(__xludf.DUMMYFUNCTION("""COMPUTED_VALUE"""),"Outside on School Property")</f>
        <v>Outside on School Property</v>
      </c>
      <c r="Q88" s="1" t="str">
        <f ca="1">IFERROR(__xludf.DUMMYFUNCTION("""COMPUTED_VALUE"""),"No")</f>
        <v>No</v>
      </c>
      <c r="R88" s="1" t="str">
        <f ca="1">IFERROR(__xludf.DUMMYFUNCTION("""COMPUTED_VALUE"""),"Evening")</f>
        <v>Evening</v>
      </c>
      <c r="S88" s="5">
        <f ca="1">IFERROR(__xludf.DUMMYFUNCTION("""COMPUTED_VALUE"""),0.895833333333333)</f>
        <v>0.89583333333333304</v>
      </c>
      <c r="T88" s="1">
        <f ca="1">IFERROR(__xludf.DUMMYFUNCTION("""COMPUTED_VALUE"""),1)</f>
        <v>1</v>
      </c>
      <c r="U88" s="1" t="str">
        <f ca="1">IFERROR(__xludf.DUMMYFUNCTION("""COMPUTED_VALUE"""),"Two people shot inside vehicle parked at the school")</f>
        <v>Two people shot inside vehicle parked at the school</v>
      </c>
      <c r="V88" s="1" t="str">
        <f ca="1">IFERROR(__xludf.DUMMYFUNCTION("""COMPUTED_VALUE"""),"Two people shot inside vehicle parked at the school. Both victims transported to the hospital. Shooter fled. School was closed at the time of the shooting.")</f>
        <v>Two people shot inside vehicle parked at the school. Both victims transported to the hospital. Shooter fled. School was closed at the time of the shooting.</v>
      </c>
      <c r="W88" s="1" t="str">
        <f ca="1">IFERROR(__xludf.DUMMYFUNCTION("""COMPUTED_VALUE"""),"Escalation of Dispute")</f>
        <v>Escalation of Dispute</v>
      </c>
      <c r="X88" s="1" t="str">
        <f ca="1">IFERROR(__xludf.DUMMYFUNCTION("""COMPUTED_VALUE"""),"Victims Targeted")</f>
        <v>Victims Targeted</v>
      </c>
      <c r="Y88" s="1" t="str">
        <f ca="1">IFERROR(__xludf.DUMMYFUNCTION("""COMPUTED_VALUE"""),"No")</f>
        <v>No</v>
      </c>
      <c r="Z88" s="1"/>
      <c r="AA88" s="1" t="str">
        <f ca="1">IFERROR(__xludf.DUMMYFUNCTION("""COMPUTED_VALUE"""),"No")</f>
        <v>No</v>
      </c>
      <c r="AB88" s="1" t="str">
        <f ca="1">IFERROR(__xludf.DUMMYFUNCTION("""COMPUTED_VALUE"""),"No")</f>
        <v>No</v>
      </c>
      <c r="AC88" s="1" t="str">
        <f ca="1">IFERROR(__xludf.DUMMYFUNCTION("""COMPUTED_VALUE"""),"No")</f>
        <v>No</v>
      </c>
      <c r="AD88" s="1" t="str">
        <f ca="1">IFERROR(__xludf.DUMMYFUNCTION("""COMPUTED_VALUE"""),"No")</f>
        <v>No</v>
      </c>
      <c r="AE88" s="1" t="str">
        <f ca="1">IFERROR(__xludf.DUMMYFUNCTION("""COMPUTED_VALUE"""),"No")</f>
        <v>No</v>
      </c>
      <c r="AF88" s="1"/>
      <c r="AG88" s="1" t="str">
        <f ca="1">IFERROR(__xludf.DUMMYFUNCTION("""COMPUTED_VALUE"""),"No")</f>
        <v>No</v>
      </c>
      <c r="AH88" s="1">
        <f ca="1">IFERROR(__xludf.DUMMYFUNCTION("""COMPUTED_VALUE"""),10)</f>
        <v>10</v>
      </c>
    </row>
    <row r="89" spans="1:34" ht="12.5">
      <c r="A89" s="1" t="str">
        <f ca="1">IFERROR(__xludf.DUMMYFUNCTION("""COMPUTED_VALUE"""),"20231219TXCYK")</f>
        <v>20231219TXCYK</v>
      </c>
      <c r="B89" s="1">
        <f ca="1">IFERROR(__xludf.DUMMYFUNCTION("""COMPUTED_VALUE"""),12)</f>
        <v>12</v>
      </c>
      <c r="C89" s="1">
        <f ca="1">IFERROR(__xludf.DUMMYFUNCTION("""COMPUTED_VALUE"""),19)</f>
        <v>19</v>
      </c>
      <c r="D89" s="1">
        <f ca="1">IFERROR(__xludf.DUMMYFUNCTION("""COMPUTED_VALUE"""),2023)</f>
        <v>2023</v>
      </c>
      <c r="E89" s="4">
        <f ca="1">IFERROR(__xludf.DUMMYFUNCTION("""COMPUTED_VALUE"""),45279)</f>
        <v>45279</v>
      </c>
      <c r="F89" s="1" t="str">
        <f ca="1">IFERROR(__xludf.DUMMYFUNCTION("""COMPUTED_VALUE"""),"Cypress Lakes High School")</f>
        <v>Cypress Lakes High School</v>
      </c>
      <c r="G89" s="1">
        <f ca="1">IFERROR(__xludf.DUMMYFUNCTION("""COMPUTED_VALUE"""),1)</f>
        <v>1</v>
      </c>
      <c r="H89" s="1">
        <f ca="1">IFERROR(__xludf.DUMMYFUNCTION("""COMPUTED_VALUE"""),0)</f>
        <v>0</v>
      </c>
      <c r="I89" s="1">
        <f ca="1">IFERROR(__xludf.DUMMYFUNCTION("""COMPUTED_VALUE"""),1)</f>
        <v>1</v>
      </c>
      <c r="J89" s="1">
        <f ca="1">IFERROR(__xludf.DUMMYFUNCTION("""COMPUTED_VALUE"""),0)</f>
        <v>0</v>
      </c>
      <c r="K89" s="1" t="str">
        <f ca="1">IFERROR(__xludf.DUMMYFUNCTION("""COMPUTED_VALUE"""),"Winter")</f>
        <v>Winter</v>
      </c>
      <c r="L89" s="1" t="str">
        <f ca="1">IFERROR(__xludf.DUMMYFUNCTION("""COMPUTED_VALUE"""),"Katy")</f>
        <v>Katy</v>
      </c>
      <c r="M89" s="1" t="str">
        <f ca="1">IFERROR(__xludf.DUMMYFUNCTION("""COMPUTED_VALUE"""),"TX")</f>
        <v>TX</v>
      </c>
      <c r="N89" s="1" t="str">
        <f ca="1">IFERROR(__xludf.DUMMYFUNCTION("""COMPUTED_VALUE"""),"High")</f>
        <v>High</v>
      </c>
      <c r="O89" s="1" t="str">
        <f ca="1">IFERROR(__xludf.DUMMYFUNCTION("""COMPUTED_VALUE"""),"Parking Lot")</f>
        <v>Parking Lot</v>
      </c>
      <c r="P89" s="1" t="str">
        <f ca="1">IFERROR(__xludf.DUMMYFUNCTION("""COMPUTED_VALUE"""),"Outside on School Property")</f>
        <v>Outside on School Property</v>
      </c>
      <c r="Q89" s="1" t="str">
        <f ca="1">IFERROR(__xludf.DUMMYFUNCTION("""COMPUTED_VALUE"""),"Yes")</f>
        <v>Yes</v>
      </c>
      <c r="R89" s="1" t="str">
        <f ca="1">IFERROR(__xludf.DUMMYFUNCTION("""COMPUTED_VALUE"""),"Morning Classes")</f>
        <v>Morning Classes</v>
      </c>
      <c r="S89" s="5">
        <f ca="1">IFERROR(__xludf.DUMMYFUNCTION("""COMPUTED_VALUE"""),0.4375)</f>
        <v>0.4375</v>
      </c>
      <c r="T89" s="1">
        <f ca="1">IFERROR(__xludf.DUMMYFUNCTION("""COMPUTED_VALUE"""),1)</f>
        <v>1</v>
      </c>
      <c r="U89" s="1" t="str">
        <f ca="1">IFERROR(__xludf.DUMMYFUNCTION("""COMPUTED_VALUE"""),"Student fatally shot inside vehicle parked by the school tennis courts while waiting to pick another student up")</f>
        <v>Student fatally shot inside vehicle parked by the school tennis courts while waiting to pick another student up</v>
      </c>
      <c r="V89" s="1" t="str">
        <f ca="1">IFERROR(__xludf.DUMMYFUNCTION("""COMPUTED_VALUE"""),"17-year-old was fatally shot inside his vehicle while parked next to the school tennis court. He ws waiting to pick a student up. Shooter fled on foot. Three schools were placed on lockdown and then dismissed early.
The mother of a teen suspect in the sh"&amp;"ooting death of a 17-year-old near Cypress Lakes High School has been charged. Brittany Breann Reese, 35, is charged with tampering with evidence in connection to the murder of Jake Mason on Dec.19 on Brenwood Trails Lane. Court records state Reese ""disp"&amp;"osed of a firearm used in a shooting death by her son, making it unavailable to law enforcement in their homicide investigation.""")</f>
        <v>17-year-old was fatally shot inside his vehicle while parked next to the school tennis court. He ws waiting to pick a student up. Shooter fled on foot. Three schools were placed on lockdown and then dismissed early.
The mother of a teen suspect in the shooting death of a 17-year-old near Cypress Lakes High School has been charged. Brittany Breann Reese, 35, is charged with tampering with evidence in connection to the murder of Jake Mason on Dec.19 on Brenwood Trails Lane. Court records state Reese "disposed of a firearm used in a shooting death by her son, making it unavailable to law enforcement in their homicide investigation."</v>
      </c>
      <c r="W89" s="1"/>
      <c r="X89" s="1" t="str">
        <f ca="1">IFERROR(__xludf.DUMMYFUNCTION("""COMPUTED_VALUE"""),"Victims Targeted")</f>
        <v>Victims Targeted</v>
      </c>
      <c r="Y89" s="1" t="str">
        <f ca="1">IFERROR(__xludf.DUMMYFUNCTION("""COMPUTED_VALUE"""),"No")</f>
        <v>No</v>
      </c>
      <c r="Z89" s="1"/>
      <c r="AA89" s="1" t="str">
        <f ca="1">IFERROR(__xludf.DUMMYFUNCTION("""COMPUTED_VALUE"""),"No")</f>
        <v>No</v>
      </c>
      <c r="AB89" s="1" t="str">
        <f ca="1">IFERROR(__xludf.DUMMYFUNCTION("""COMPUTED_VALUE"""),"No")</f>
        <v>No</v>
      </c>
      <c r="AC89" s="1" t="str">
        <f ca="1">IFERROR(__xludf.DUMMYFUNCTION("""COMPUTED_VALUE"""),"No")</f>
        <v>No</v>
      </c>
      <c r="AD89" s="1" t="str">
        <f ca="1">IFERROR(__xludf.DUMMYFUNCTION("""COMPUTED_VALUE"""),"No")</f>
        <v>No</v>
      </c>
      <c r="AE89" s="1" t="str">
        <f ca="1">IFERROR(__xludf.DUMMYFUNCTION("""COMPUTED_VALUE"""),"No")</f>
        <v>No</v>
      </c>
      <c r="AF89" s="1" t="str">
        <f ca="1">IFERROR(__xludf.DUMMYFUNCTION("""COMPUTED_VALUE"""),"No")</f>
        <v>No</v>
      </c>
      <c r="AG89" s="1" t="str">
        <f ca="1">IFERROR(__xludf.DUMMYFUNCTION("""COMPUTED_VALUE"""),"No")</f>
        <v>No</v>
      </c>
      <c r="AH89" s="1">
        <f ca="1">IFERROR(__xludf.DUMMYFUNCTION("""COMPUTED_VALUE"""),99)</f>
        <v>99</v>
      </c>
    </row>
    <row r="90" spans="1:34" ht="12.5">
      <c r="A90" s="1" t="str">
        <f ca="1">IFERROR(__xludf.DUMMYFUNCTION("""COMPUTED_VALUE"""),"20231218VAORC")</f>
        <v>20231218VAORC</v>
      </c>
      <c r="B90" s="1">
        <f ca="1">IFERROR(__xludf.DUMMYFUNCTION("""COMPUTED_VALUE"""),12)</f>
        <v>12</v>
      </c>
      <c r="C90" s="1">
        <f ca="1">IFERROR(__xludf.DUMMYFUNCTION("""COMPUTED_VALUE"""),18)</f>
        <v>18</v>
      </c>
      <c r="D90" s="1">
        <f ca="1">IFERROR(__xludf.DUMMYFUNCTION("""COMPUTED_VALUE"""),2023)</f>
        <v>2023</v>
      </c>
      <c r="E90" s="4">
        <f ca="1">IFERROR(__xludf.DUMMYFUNCTION("""COMPUTED_VALUE"""),45278)</f>
        <v>45278</v>
      </c>
      <c r="F90" s="1" t="str">
        <f ca="1">IFERROR(__xludf.DUMMYFUNCTION("""COMPUTED_VALUE"""),"Orange County Public Schools Bus")</f>
        <v>Orange County Public Schools Bus</v>
      </c>
      <c r="G90" s="1">
        <f ca="1">IFERROR(__xludf.DUMMYFUNCTION("""COMPUTED_VALUE"""),0)</f>
        <v>0</v>
      </c>
      <c r="H90" s="1">
        <f ca="1">IFERROR(__xludf.DUMMYFUNCTION("""COMPUTED_VALUE"""),0)</f>
        <v>0</v>
      </c>
      <c r="I90" s="1">
        <f ca="1">IFERROR(__xludf.DUMMYFUNCTION("""COMPUTED_VALUE"""),0)</f>
        <v>0</v>
      </c>
      <c r="J90" s="1">
        <f ca="1">IFERROR(__xludf.DUMMYFUNCTION("""COMPUTED_VALUE"""),0)</f>
        <v>0</v>
      </c>
      <c r="K90" s="1" t="str">
        <f ca="1">IFERROR(__xludf.DUMMYFUNCTION("""COMPUTED_VALUE"""),"Winter")</f>
        <v>Winter</v>
      </c>
      <c r="L90" s="1" t="str">
        <f ca="1">IFERROR(__xludf.DUMMYFUNCTION("""COMPUTED_VALUE"""),"Culpeper")</f>
        <v>Culpeper</v>
      </c>
      <c r="M90" s="1" t="str">
        <f ca="1">IFERROR(__xludf.DUMMYFUNCTION("""COMPUTED_VALUE"""),"VA")</f>
        <v>VA</v>
      </c>
      <c r="N90" s="1"/>
      <c r="O90" s="1" t="str">
        <f ca="1">IFERROR(__xludf.DUMMYFUNCTION("""COMPUTED_VALUE"""),"Parking Lot")</f>
        <v>Parking Lot</v>
      </c>
      <c r="P90" s="1" t="str">
        <f ca="1">IFERROR(__xludf.DUMMYFUNCTION("""COMPUTED_VALUE"""),"Outside on School Property")</f>
        <v>Outside on School Property</v>
      </c>
      <c r="Q90" s="1" t="str">
        <f ca="1">IFERROR(__xludf.DUMMYFUNCTION("""COMPUTED_VALUE"""),"No")</f>
        <v>No</v>
      </c>
      <c r="R90" s="1" t="str">
        <f ca="1">IFERROR(__xludf.DUMMYFUNCTION("""COMPUTED_VALUE"""),"Before School")</f>
        <v>Before School</v>
      </c>
      <c r="S90" s="1"/>
      <c r="T90" s="1">
        <f ca="1">IFERROR(__xludf.DUMMYFUNCTION("""COMPUTED_VALUE"""),1)</f>
        <v>1</v>
      </c>
      <c r="U90" s="1" t="str">
        <f ca="1">IFERROR(__xludf.DUMMYFUNCTION("""COMPUTED_VALUE"""),"Three school bus windows shot with BB gun")</f>
        <v>Three school bus windows shot with BB gun</v>
      </c>
      <c r="V90" s="1" t="str">
        <f ca="1">IFERROR(__xludf.DUMMYFUNCTION("""COMPUTED_VALUE"""),"According to Orange County Public Schools Superintendent Daniel Hornick, no one was on the bus and it was stationary when someone shot a BB gun at the vehicle, shattering one window and damaging two others.")</f>
        <v>According to Orange County Public Schools Superintendent Daniel Hornick, no one was on the bus and it was stationary when someone shot a BB gun at the vehicle, shattering one window and damaging two others.</v>
      </c>
      <c r="W90" s="1" t="str">
        <f ca="1">IFERROR(__xludf.DUMMYFUNCTION("""COMPUTED_VALUE"""),"Indiscriminate Shooting")</f>
        <v>Indiscriminate Shooting</v>
      </c>
      <c r="X90" s="1" t="str">
        <f ca="1">IFERROR(__xludf.DUMMYFUNCTION("""COMPUTED_VALUE"""),"Neither")</f>
        <v>Neither</v>
      </c>
      <c r="Y90" s="1"/>
      <c r="Z90" s="1"/>
      <c r="AA90" s="1" t="str">
        <f ca="1">IFERROR(__xludf.DUMMYFUNCTION("""COMPUTED_VALUE"""),"No")</f>
        <v>No</v>
      </c>
      <c r="AB90" s="1" t="str">
        <f ca="1">IFERROR(__xludf.DUMMYFUNCTION("""COMPUTED_VALUE"""),"No")</f>
        <v>No</v>
      </c>
      <c r="AC90" s="1" t="str">
        <f ca="1">IFERROR(__xludf.DUMMYFUNCTION("""COMPUTED_VALUE"""),"No")</f>
        <v>No</v>
      </c>
      <c r="AD90" s="1" t="str">
        <f ca="1">IFERROR(__xludf.DUMMYFUNCTION("""COMPUTED_VALUE"""),"No")</f>
        <v>No</v>
      </c>
      <c r="AE90" s="1" t="str">
        <f ca="1">IFERROR(__xludf.DUMMYFUNCTION("""COMPUTED_VALUE"""),"No")</f>
        <v>No</v>
      </c>
      <c r="AF90" s="1" t="str">
        <f ca="1">IFERROR(__xludf.DUMMYFUNCTION("""COMPUTED_VALUE"""),"No")</f>
        <v>No</v>
      </c>
      <c r="AG90" s="1" t="str">
        <f ca="1">IFERROR(__xludf.DUMMYFUNCTION("""COMPUTED_VALUE"""),"No")</f>
        <v>No</v>
      </c>
      <c r="AH90" s="1">
        <f ca="1">IFERROR(__xludf.DUMMYFUNCTION("""COMPUTED_VALUE"""),3)</f>
        <v>3</v>
      </c>
    </row>
    <row r="91" spans="1:34" ht="12.5">
      <c r="A91" s="1" t="str">
        <f ca="1">IFERROR(__xludf.DUMMYFUNCTION("""COMPUTED_VALUE"""),"20231218INEGH")</f>
        <v>20231218INEGH</v>
      </c>
      <c r="B91" s="1">
        <f ca="1">IFERROR(__xludf.DUMMYFUNCTION("""COMPUTED_VALUE"""),12)</f>
        <v>12</v>
      </c>
      <c r="C91" s="1">
        <f ca="1">IFERROR(__xludf.DUMMYFUNCTION("""COMPUTED_VALUE"""),18)</f>
        <v>18</v>
      </c>
      <c r="D91" s="1">
        <f ca="1">IFERROR(__xludf.DUMMYFUNCTION("""COMPUTED_VALUE"""),2023)</f>
        <v>2023</v>
      </c>
      <c r="E91" s="4">
        <f ca="1">IFERROR(__xludf.DUMMYFUNCTION("""COMPUTED_VALUE"""),45278)</f>
        <v>45278</v>
      </c>
      <c r="F91" s="1" t="str">
        <f ca="1">IFERROR(__xludf.DUMMYFUNCTION("""COMPUTED_VALUE"""),"Eggers Middle School")</f>
        <v>Eggers Middle School</v>
      </c>
      <c r="G91" s="1">
        <f ca="1">IFERROR(__xludf.DUMMYFUNCTION("""COMPUTED_VALUE"""),0)</f>
        <v>0</v>
      </c>
      <c r="H91" s="1">
        <f ca="1">IFERROR(__xludf.DUMMYFUNCTION("""COMPUTED_VALUE"""),0)</f>
        <v>0</v>
      </c>
      <c r="I91" s="1">
        <f ca="1">IFERROR(__xludf.DUMMYFUNCTION("""COMPUTED_VALUE"""),0)</f>
        <v>0</v>
      </c>
      <c r="J91" s="1">
        <f ca="1">IFERROR(__xludf.DUMMYFUNCTION("""COMPUTED_VALUE"""),0)</f>
        <v>0</v>
      </c>
      <c r="K91" s="1" t="str">
        <f ca="1">IFERROR(__xludf.DUMMYFUNCTION("""COMPUTED_VALUE"""),"Winter")</f>
        <v>Winter</v>
      </c>
      <c r="L91" s="1" t="str">
        <f ca="1">IFERROR(__xludf.DUMMYFUNCTION("""COMPUTED_VALUE"""),"Hammond")</f>
        <v>Hammond</v>
      </c>
      <c r="M91" s="1" t="str">
        <f ca="1">IFERROR(__xludf.DUMMYFUNCTION("""COMPUTED_VALUE"""),"IN")</f>
        <v>IN</v>
      </c>
      <c r="N91" s="1" t="str">
        <f ca="1">IFERROR(__xludf.DUMMYFUNCTION("""COMPUTED_VALUE"""),"Middle")</f>
        <v>Middle</v>
      </c>
      <c r="O91" s="1" t="str">
        <f ca="1">IFERROR(__xludf.DUMMYFUNCTION("""COMPUTED_VALUE"""),"Hallway")</f>
        <v>Hallway</v>
      </c>
      <c r="P91" s="1" t="str">
        <f ca="1">IFERROR(__xludf.DUMMYFUNCTION("""COMPUTED_VALUE"""),"Inside School Building")</f>
        <v>Inside School Building</v>
      </c>
      <c r="Q91" s="1" t="str">
        <f ca="1">IFERROR(__xludf.DUMMYFUNCTION("""COMPUTED_VALUE"""),"Yes")</f>
        <v>Yes</v>
      </c>
      <c r="R91" s="1" t="str">
        <f ca="1">IFERROR(__xludf.DUMMYFUNCTION("""COMPUTED_VALUE"""),"Afternoon Classes")</f>
        <v>Afternoon Classes</v>
      </c>
      <c r="S91" s="1"/>
      <c r="T91" s="1">
        <f ca="1">IFERROR(__xludf.DUMMYFUNCTION("""COMPUTED_VALUE"""),1)</f>
        <v>1</v>
      </c>
      <c r="U91" s="1" t="str">
        <f ca="1">IFERROR(__xludf.DUMMYFUNCTION("""COMPUTED_VALUE"""),"Student fired SRO's weapon during struggle")</f>
        <v>Student fired SRO's weapon during struggle</v>
      </c>
      <c r="V91" s="1" t="str">
        <f ca="1">IFERROR(__xludf.DUMMYFUNCTION("""COMPUTED_VALUE"""),"According to School City of Hammond spokesperson Nathaniel George V, a school administrator noticed two students roaming the hallways. Both students were escorted to the school's main office by security staff. One of the students, identified by Hammond po"&amp;"lice as a 14-year-old female, had a mental health episode. According to Hammond Police Lt. Steven Kellogg, efforts were then made by an SRO to bring the child back into the school's main office. The student managed to reach her finger into the officer's d"&amp;"uty belt and pull the trigger of the weapon, according to Kellogg. The bullet hit a wall within the office, getting lodged into a supply cabinet.")</f>
        <v>According to School City of Hammond spokesperson Nathaniel George V, a school administrator noticed two students roaming the hallways. Both students were escorted to the school's main office by security staff. One of the students, identified by Hammond police as a 14-year-old female, had a mental health episode. According to Hammond Police Lt. Steven Kellogg, efforts were then made by an SRO to bring the child back into the school's main office. The student managed to reach her finger into the officer's duty belt and pull the trigger of the weapon, according to Kellogg. The bullet hit a wall within the office, getting lodged into a supply cabinet.</v>
      </c>
      <c r="W91" s="1"/>
      <c r="X91" s="1" t="str">
        <f ca="1">IFERROR(__xludf.DUMMYFUNCTION("""COMPUTED_VALUE"""),"Neither")</f>
        <v>Neither</v>
      </c>
      <c r="Y91" s="1" t="str">
        <f ca="1">IFERROR(__xludf.DUMMYFUNCTION("""COMPUTED_VALUE"""),"No")</f>
        <v>No</v>
      </c>
      <c r="Z91" s="1"/>
      <c r="AA91" s="1" t="str">
        <f ca="1">IFERROR(__xludf.DUMMYFUNCTION("""COMPUTED_VALUE"""),"No")</f>
        <v>No</v>
      </c>
      <c r="AB91" s="1" t="str">
        <f ca="1">IFERROR(__xludf.DUMMYFUNCTION("""COMPUTED_VALUE"""),"No")</f>
        <v>No</v>
      </c>
      <c r="AC91" s="1" t="str">
        <f ca="1">IFERROR(__xludf.DUMMYFUNCTION("""COMPUTED_VALUE"""),"No")</f>
        <v>No</v>
      </c>
      <c r="AD91" s="1" t="str">
        <f ca="1">IFERROR(__xludf.DUMMYFUNCTION("""COMPUTED_VALUE"""),"No")</f>
        <v>No</v>
      </c>
      <c r="AE91" s="1" t="str">
        <f ca="1">IFERROR(__xludf.DUMMYFUNCTION("""COMPUTED_VALUE"""),"No")</f>
        <v>No</v>
      </c>
      <c r="AF91" s="1" t="str">
        <f ca="1">IFERROR(__xludf.DUMMYFUNCTION("""COMPUTED_VALUE"""),"No")</f>
        <v>No</v>
      </c>
      <c r="AG91" s="1" t="str">
        <f ca="1">IFERROR(__xludf.DUMMYFUNCTION("""COMPUTED_VALUE"""),"No")</f>
        <v>No</v>
      </c>
      <c r="AH91" s="1">
        <f ca="1">IFERROR(__xludf.DUMMYFUNCTION("""COMPUTED_VALUE"""),1)</f>
        <v>1</v>
      </c>
    </row>
    <row r="92" spans="1:34" ht="12.5">
      <c r="A92" s="1" t="str">
        <f ca="1">IFERROR(__xludf.DUMMYFUNCTION("""COMPUTED_VALUE"""),"20231215CAPAP")</f>
        <v>20231215CAPAP</v>
      </c>
      <c r="B92" s="1">
        <f ca="1">IFERROR(__xludf.DUMMYFUNCTION("""COMPUTED_VALUE"""),12)</f>
        <v>12</v>
      </c>
      <c r="C92" s="1">
        <f ca="1">IFERROR(__xludf.DUMMYFUNCTION("""COMPUTED_VALUE"""),15)</f>
        <v>15</v>
      </c>
      <c r="D92" s="1">
        <f ca="1">IFERROR(__xludf.DUMMYFUNCTION("""COMPUTED_VALUE"""),2023)</f>
        <v>2023</v>
      </c>
      <c r="E92" s="4">
        <f ca="1">IFERROR(__xludf.DUMMYFUNCTION("""COMPUTED_VALUE"""),45275)</f>
        <v>45275</v>
      </c>
      <c r="F92" s="1" t="str">
        <f ca="1">IFERROR(__xludf.DUMMYFUNCTION("""COMPUTED_VALUE"""),"Palo Alto High School")</f>
        <v>Palo Alto High School</v>
      </c>
      <c r="G92" s="1">
        <f ca="1">IFERROR(__xludf.DUMMYFUNCTION("""COMPUTED_VALUE"""),0)</f>
        <v>0</v>
      </c>
      <c r="H92" s="1">
        <f ca="1">IFERROR(__xludf.DUMMYFUNCTION("""COMPUTED_VALUE"""),0)</f>
        <v>0</v>
      </c>
      <c r="I92" s="1">
        <f ca="1">IFERROR(__xludf.DUMMYFUNCTION("""COMPUTED_VALUE"""),0)</f>
        <v>0</v>
      </c>
      <c r="J92" s="1">
        <f ca="1">IFERROR(__xludf.DUMMYFUNCTION("""COMPUTED_VALUE"""),0)</f>
        <v>0</v>
      </c>
      <c r="K92" s="1" t="str">
        <f ca="1">IFERROR(__xludf.DUMMYFUNCTION("""COMPUTED_VALUE"""),"Winter")</f>
        <v>Winter</v>
      </c>
      <c r="L92" s="1" t="str">
        <f ca="1">IFERROR(__xludf.DUMMYFUNCTION("""COMPUTED_VALUE"""),"Palo Alto")</f>
        <v>Palo Alto</v>
      </c>
      <c r="M92" s="1" t="str">
        <f ca="1">IFERROR(__xludf.DUMMYFUNCTION("""COMPUTED_VALUE"""),"CA")</f>
        <v>CA</v>
      </c>
      <c r="N92" s="1" t="str">
        <f ca="1">IFERROR(__xludf.DUMMYFUNCTION("""COMPUTED_VALUE"""),"High")</f>
        <v>High</v>
      </c>
      <c r="O92" s="1" t="str">
        <f ca="1">IFERROR(__xludf.DUMMYFUNCTION("""COMPUTED_VALUE"""),"Outside on School Property")</f>
        <v>Outside on School Property</v>
      </c>
      <c r="P92" s="1" t="str">
        <f ca="1">IFERROR(__xludf.DUMMYFUNCTION("""COMPUTED_VALUE"""),"Outside on School Property")</f>
        <v>Outside on School Property</v>
      </c>
      <c r="Q92" s="1" t="str">
        <f ca="1">IFERROR(__xludf.DUMMYFUNCTION("""COMPUTED_VALUE"""),"Yes")</f>
        <v>Yes</v>
      </c>
      <c r="R92" s="1" t="str">
        <f ca="1">IFERROR(__xludf.DUMMYFUNCTION("""COMPUTED_VALUE"""),"Morning Classes")</f>
        <v>Morning Classes</v>
      </c>
      <c r="S92" s="5">
        <f ca="1">IFERROR(__xludf.DUMMYFUNCTION("""COMPUTED_VALUE"""),0.479166666666666)</f>
        <v>0.47916666666666602</v>
      </c>
      <c r="T92" s="1">
        <f ca="1">IFERROR(__xludf.DUMMYFUNCTION("""COMPUTED_VALUE"""),1)</f>
        <v>1</v>
      </c>
      <c r="U92" s="1" t="str">
        <f ca="1">IFERROR(__xludf.DUMMYFUNCTION("""COMPUTED_VALUE"""),"School went on lockdown when man brandished gun near classroom buildings and athletic field")</f>
        <v>School went on lockdown when man brandished gun near classroom buildings and athletic field</v>
      </c>
      <c r="V92" s="1" t="str">
        <f ca="1">IFERROR(__xludf.DUMMYFUNCTION("""COMPUTED_VALUE"""),"Police began investigating a report of a man with a handgun near Palo Alto High at about 11:30 a.m. The suspect was on a bike path behind the school and was seen brandishing a gun at passing cars on Alma Street. Police placed the school on lockdown as off"&amp;"icers responded to investigate the report. The shelter-in-place order was lifted at 12:15 p.m. Police said the campus itself was checked and cleared, but officers were planning to stay in the area out of an abundance of caution.  ")</f>
        <v xml:space="preserve">Police began investigating a report of a man with a handgun near Palo Alto High at about 11:30 a.m. The suspect was on a bike path behind the school and was seen brandishing a gun at passing cars on Alma Street. Police placed the school on lockdown as officers responded to investigate the report. The shelter-in-place order was lifted at 12:15 p.m. Police said the campus itself was checked and cleared, but officers were planning to stay in the area out of an abundance of caution.  </v>
      </c>
      <c r="W92" s="1"/>
      <c r="X92" s="1" t="str">
        <f ca="1">IFERROR(__xludf.DUMMYFUNCTION("""COMPUTED_VALUE"""),"Neither")</f>
        <v>Neither</v>
      </c>
      <c r="Y92" s="1" t="str">
        <f ca="1">IFERROR(__xludf.DUMMYFUNCTION("""COMPUTED_VALUE"""),"No")</f>
        <v>No</v>
      </c>
      <c r="Z92" s="1"/>
      <c r="AA92" s="1" t="str">
        <f ca="1">IFERROR(__xludf.DUMMYFUNCTION("""COMPUTED_VALUE"""),"No")</f>
        <v>No</v>
      </c>
      <c r="AB92" s="1" t="str">
        <f ca="1">IFERROR(__xludf.DUMMYFUNCTION("""COMPUTED_VALUE"""),"No")</f>
        <v>No</v>
      </c>
      <c r="AC92" s="1" t="str">
        <f ca="1">IFERROR(__xludf.DUMMYFUNCTION("""COMPUTED_VALUE"""),"No")</f>
        <v>No</v>
      </c>
      <c r="AD92" s="1" t="str">
        <f ca="1">IFERROR(__xludf.DUMMYFUNCTION("""COMPUTED_VALUE"""),"No")</f>
        <v>No</v>
      </c>
      <c r="AE92" s="1" t="str">
        <f ca="1">IFERROR(__xludf.DUMMYFUNCTION("""COMPUTED_VALUE"""),"No")</f>
        <v>No</v>
      </c>
      <c r="AF92" s="1" t="str">
        <f ca="1">IFERROR(__xludf.DUMMYFUNCTION("""COMPUTED_VALUE"""),"No")</f>
        <v>No</v>
      </c>
      <c r="AG92" s="1" t="str">
        <f ca="1">IFERROR(__xludf.DUMMYFUNCTION("""COMPUTED_VALUE"""),"No")</f>
        <v>No</v>
      </c>
      <c r="AH92" s="1">
        <f ca="1">IFERROR(__xludf.DUMMYFUNCTION("""COMPUTED_VALUE"""),0)</f>
        <v>0</v>
      </c>
    </row>
    <row r="93" spans="1:34" ht="12.5">
      <c r="A93" s="1" t="str">
        <f ca="1">IFERROR(__xludf.DUMMYFUNCTION("""COMPUTED_VALUE"""),"20231215TNLEN")</f>
        <v>20231215TNLEN</v>
      </c>
      <c r="B93" s="1">
        <f ca="1">IFERROR(__xludf.DUMMYFUNCTION("""COMPUTED_VALUE"""),12)</f>
        <v>12</v>
      </c>
      <c r="C93" s="1">
        <f ca="1">IFERROR(__xludf.DUMMYFUNCTION("""COMPUTED_VALUE"""),15)</f>
        <v>15</v>
      </c>
      <c r="D93" s="1">
        <f ca="1">IFERROR(__xludf.DUMMYFUNCTION("""COMPUTED_VALUE"""),2023)</f>
        <v>2023</v>
      </c>
      <c r="E93" s="4">
        <f ca="1">IFERROR(__xludf.DUMMYFUNCTION("""COMPUTED_VALUE"""),45275)</f>
        <v>45275</v>
      </c>
      <c r="F93" s="1" t="str">
        <f ca="1">IFERROR(__xludf.DUMMYFUNCTION("""COMPUTED_VALUE"""),"LEAD Brick Church School")</f>
        <v>LEAD Brick Church School</v>
      </c>
      <c r="G93" s="1">
        <f ca="1">IFERROR(__xludf.DUMMYFUNCTION("""COMPUTED_VALUE"""),0)</f>
        <v>0</v>
      </c>
      <c r="H93" s="1">
        <f ca="1">IFERROR(__xludf.DUMMYFUNCTION("""COMPUTED_VALUE"""),0)</f>
        <v>0</v>
      </c>
      <c r="I93" s="1">
        <f ca="1">IFERROR(__xludf.DUMMYFUNCTION("""COMPUTED_VALUE"""),0)</f>
        <v>0</v>
      </c>
      <c r="J93" s="1">
        <f ca="1">IFERROR(__xludf.DUMMYFUNCTION("""COMPUTED_VALUE"""),0)</f>
        <v>0</v>
      </c>
      <c r="K93" s="1" t="str">
        <f ca="1">IFERROR(__xludf.DUMMYFUNCTION("""COMPUTED_VALUE"""),"Winter")</f>
        <v>Winter</v>
      </c>
      <c r="L93" s="1" t="str">
        <f ca="1">IFERROR(__xludf.DUMMYFUNCTION("""COMPUTED_VALUE"""),"Nashville")</f>
        <v>Nashville</v>
      </c>
      <c r="M93" s="1" t="str">
        <f ca="1">IFERROR(__xludf.DUMMYFUNCTION("""COMPUTED_VALUE"""),"TN")</f>
        <v>TN</v>
      </c>
      <c r="N93" s="1" t="str">
        <f ca="1">IFERROR(__xludf.DUMMYFUNCTION("""COMPUTED_VALUE"""),"Middle")</f>
        <v>Middle</v>
      </c>
      <c r="O93" s="1" t="str">
        <f ca="1">IFERROR(__xludf.DUMMYFUNCTION("""COMPUTED_VALUE"""),"Parking Lot")</f>
        <v>Parking Lot</v>
      </c>
      <c r="P93" s="1" t="str">
        <f ca="1">IFERROR(__xludf.DUMMYFUNCTION("""COMPUTED_VALUE"""),"Outside on School Property")</f>
        <v>Outside on School Property</v>
      </c>
      <c r="Q93" s="1" t="str">
        <f ca="1">IFERROR(__xludf.DUMMYFUNCTION("""COMPUTED_VALUE"""),"No")</f>
        <v>No</v>
      </c>
      <c r="R93" s="1" t="str">
        <f ca="1">IFERROR(__xludf.DUMMYFUNCTION("""COMPUTED_VALUE"""),"Sport Event")</f>
        <v>Sport Event</v>
      </c>
      <c r="S93" s="5">
        <f ca="1">IFERROR(__xludf.DUMMYFUNCTION("""COMPUTED_VALUE"""),0.881944444444444)</f>
        <v>0.88194444444444398</v>
      </c>
      <c r="T93" s="1">
        <f ca="1">IFERROR(__xludf.DUMMYFUNCTION("""COMPUTED_VALUE"""),1)</f>
        <v>1</v>
      </c>
      <c r="U93" s="1" t="str">
        <f ca="1">IFERROR(__xludf.DUMMYFUNCTION("""COMPUTED_VALUE"""),"Shots fired during fight during middle school basketball game")</f>
        <v>Shots fired during fight during middle school basketball game</v>
      </c>
      <c r="V93" s="1" t="str">
        <f ca="1">IFERROR(__xludf.DUMMYFUNCTION("""COMPUTED_VALUE"""),"Officers were dispatched to LEAD Brick Church at 9:10 p.m. after a report of shots fired. Officers arrived and determined that shots were fired and no one was struck after a fight had occurred in the parking lot of the school.")</f>
        <v>Officers were dispatched to LEAD Brick Church at 9:10 p.m. after a report of shots fired. Officers arrived and determined that shots were fired and no one was struck after a fight had occurred in the parking lot of the school.</v>
      </c>
      <c r="W93" s="1" t="str">
        <f ca="1">IFERROR(__xludf.DUMMYFUNCTION("""COMPUTED_VALUE"""),"Escalation of Dispute")</f>
        <v>Escalation of Dispute</v>
      </c>
      <c r="X93" s="1" t="str">
        <f ca="1">IFERROR(__xludf.DUMMYFUNCTION("""COMPUTED_VALUE"""),"Victims Targeted")</f>
        <v>Victims Targeted</v>
      </c>
      <c r="Y93" s="1" t="str">
        <f ca="1">IFERROR(__xludf.DUMMYFUNCTION("""COMPUTED_VALUE"""),"No")</f>
        <v>No</v>
      </c>
      <c r="Z93" s="1"/>
      <c r="AA93" s="1" t="str">
        <f ca="1">IFERROR(__xludf.DUMMYFUNCTION("""COMPUTED_VALUE"""),"No")</f>
        <v>No</v>
      </c>
      <c r="AB93" s="1" t="str">
        <f ca="1">IFERROR(__xludf.DUMMYFUNCTION("""COMPUTED_VALUE"""),"No")</f>
        <v>No</v>
      </c>
      <c r="AC93" s="1" t="str">
        <f ca="1">IFERROR(__xludf.DUMMYFUNCTION("""COMPUTED_VALUE"""),"No")</f>
        <v>No</v>
      </c>
      <c r="AD93" s="1" t="str">
        <f ca="1">IFERROR(__xludf.DUMMYFUNCTION("""COMPUTED_VALUE"""),"No")</f>
        <v>No</v>
      </c>
      <c r="AE93" s="1" t="str">
        <f ca="1">IFERROR(__xludf.DUMMYFUNCTION("""COMPUTED_VALUE"""),"No")</f>
        <v>No</v>
      </c>
      <c r="AF93" s="1" t="str">
        <f ca="1">IFERROR(__xludf.DUMMYFUNCTION("""COMPUTED_VALUE"""),"No")</f>
        <v>No</v>
      </c>
      <c r="AG93" s="1" t="str">
        <f ca="1">IFERROR(__xludf.DUMMYFUNCTION("""COMPUTED_VALUE"""),"No")</f>
        <v>No</v>
      </c>
      <c r="AH93" s="1">
        <f ca="1">IFERROR(__xludf.DUMMYFUNCTION("""COMPUTED_VALUE"""),99)</f>
        <v>99</v>
      </c>
    </row>
    <row r="94" spans="1:34" ht="12.5">
      <c r="A94" s="1" t="str">
        <f ca="1">IFERROR(__xludf.DUMMYFUNCTION("""COMPUTED_VALUE"""),"20231213MIDED")</f>
        <v>20231213MIDED</v>
      </c>
      <c r="B94" s="1">
        <f ca="1">IFERROR(__xludf.DUMMYFUNCTION("""COMPUTED_VALUE"""),12)</f>
        <v>12</v>
      </c>
      <c r="C94" s="1">
        <f ca="1">IFERROR(__xludf.DUMMYFUNCTION("""COMPUTED_VALUE"""),13)</f>
        <v>13</v>
      </c>
      <c r="D94" s="1">
        <f ca="1">IFERROR(__xludf.DUMMYFUNCTION("""COMPUTED_VALUE"""),2023)</f>
        <v>2023</v>
      </c>
      <c r="E94" s="4">
        <f ca="1">IFERROR(__xludf.DUMMYFUNCTION("""COMPUTED_VALUE"""),45273)</f>
        <v>45273</v>
      </c>
      <c r="F94" s="1" t="str">
        <f ca="1">IFERROR(__xludf.DUMMYFUNCTION("""COMPUTED_VALUE"""),"Detroit Leadership Academy")</f>
        <v>Detroit Leadership Academy</v>
      </c>
      <c r="G94" s="1">
        <f ca="1">IFERROR(__xludf.DUMMYFUNCTION("""COMPUTED_VALUE"""),0)</f>
        <v>0</v>
      </c>
      <c r="H94" s="1">
        <f ca="1">IFERROR(__xludf.DUMMYFUNCTION("""COMPUTED_VALUE"""),0)</f>
        <v>0</v>
      </c>
      <c r="I94" s="1">
        <f ca="1">IFERROR(__xludf.DUMMYFUNCTION("""COMPUTED_VALUE"""),0)</f>
        <v>0</v>
      </c>
      <c r="J94" s="1">
        <f ca="1">IFERROR(__xludf.DUMMYFUNCTION("""COMPUTED_VALUE"""),0)</f>
        <v>0</v>
      </c>
      <c r="K94" s="1" t="str">
        <f ca="1">IFERROR(__xludf.DUMMYFUNCTION("""COMPUTED_VALUE"""),"Winter")</f>
        <v>Winter</v>
      </c>
      <c r="L94" s="1" t="str">
        <f ca="1">IFERROR(__xludf.DUMMYFUNCTION("""COMPUTED_VALUE"""),"Detroit")</f>
        <v>Detroit</v>
      </c>
      <c r="M94" s="1" t="str">
        <f ca="1">IFERROR(__xludf.DUMMYFUNCTION("""COMPUTED_VALUE"""),"MI")</f>
        <v>MI</v>
      </c>
      <c r="N94" s="1" t="str">
        <f ca="1">IFERROR(__xludf.DUMMYFUNCTION("""COMPUTED_VALUE"""),"K-12")</f>
        <v>K-12</v>
      </c>
      <c r="O94" s="1" t="str">
        <f ca="1">IFERROR(__xludf.DUMMYFUNCTION("""COMPUTED_VALUE"""),"Classroom")</f>
        <v>Classroom</v>
      </c>
      <c r="P94" s="1" t="str">
        <f ca="1">IFERROR(__xludf.DUMMYFUNCTION("""COMPUTED_VALUE"""),"Inside School Building")</f>
        <v>Inside School Building</v>
      </c>
      <c r="Q94" s="1" t="str">
        <f ca="1">IFERROR(__xludf.DUMMYFUNCTION("""COMPUTED_VALUE"""),"Yes")</f>
        <v>Yes</v>
      </c>
      <c r="R94" s="1" t="str">
        <f ca="1">IFERROR(__xludf.DUMMYFUNCTION("""COMPUTED_VALUE"""),"Afternoon Classes")</f>
        <v>Afternoon Classes</v>
      </c>
      <c r="S94" s="5">
        <f ca="1">IFERROR(__xludf.DUMMYFUNCTION("""COMPUTED_VALUE"""),0.558333333333333)</f>
        <v>0.55833333333333302</v>
      </c>
      <c r="T94" s="1">
        <f ca="1">IFERROR(__xludf.DUMMYFUNCTION("""COMPUTED_VALUE"""),1)</f>
        <v>1</v>
      </c>
      <c r="U94" s="1" t="str">
        <f ca="1">IFERROR(__xludf.DUMMYFUNCTION("""COMPUTED_VALUE"""),"Student fired two shots at the chalkboard inside a classroom")</f>
        <v>Student fired two shots at the chalkboard inside a classroom</v>
      </c>
      <c r="V94" s="1" t="str">
        <f ca="1">IFERROR(__xludf.DUMMYFUNCTION("""COMPUTED_VALUE"""),"15-year-old male student fired two shot inside a classroom striking the chalkboard. He passed the gun to a 14-year-old female student who hid it in her backpack. Both students were arrested.")</f>
        <v>15-year-old male student fired two shot inside a classroom striking the chalkboard. He passed the gun to a 14-year-old female student who hid it in her backpack. Both students were arrested.</v>
      </c>
      <c r="W94" s="1" t="str">
        <f ca="1">IFERROR(__xludf.DUMMYFUNCTION("""COMPUTED_VALUE"""),"Accidental")</f>
        <v>Accidental</v>
      </c>
      <c r="X94" s="1"/>
      <c r="Y94" s="1" t="str">
        <f ca="1">IFERROR(__xludf.DUMMYFUNCTION("""COMPUTED_VALUE"""),"Yes")</f>
        <v>Yes</v>
      </c>
      <c r="Z94" s="1" t="str">
        <f ca="1">IFERROR(__xludf.DUMMYFUNCTION("""COMPUTED_VALUE"""),"Two students arrested")</f>
        <v>Two students arrested</v>
      </c>
      <c r="AA94" s="1" t="str">
        <f ca="1">IFERROR(__xludf.DUMMYFUNCTION("""COMPUTED_VALUE"""),"No")</f>
        <v>No</v>
      </c>
      <c r="AB94" s="1" t="str">
        <f ca="1">IFERROR(__xludf.DUMMYFUNCTION("""COMPUTED_VALUE"""),"No")</f>
        <v>No</v>
      </c>
      <c r="AC94" s="1" t="str">
        <f ca="1">IFERROR(__xludf.DUMMYFUNCTION("""COMPUTED_VALUE"""),"No")</f>
        <v>No</v>
      </c>
      <c r="AD94" s="1" t="str">
        <f ca="1">IFERROR(__xludf.DUMMYFUNCTION("""COMPUTED_VALUE"""),"No")</f>
        <v>No</v>
      </c>
      <c r="AE94" s="1" t="str">
        <f ca="1">IFERROR(__xludf.DUMMYFUNCTION("""COMPUTED_VALUE"""),"No")</f>
        <v>No</v>
      </c>
      <c r="AF94" s="1" t="str">
        <f ca="1">IFERROR(__xludf.DUMMYFUNCTION("""COMPUTED_VALUE"""),"No")</f>
        <v>No</v>
      </c>
      <c r="AG94" s="1" t="str">
        <f ca="1">IFERROR(__xludf.DUMMYFUNCTION("""COMPUTED_VALUE"""),"No")</f>
        <v>No</v>
      </c>
      <c r="AH94" s="1">
        <f ca="1">IFERROR(__xludf.DUMMYFUNCTION("""COMPUTED_VALUE"""),2)</f>
        <v>2</v>
      </c>
    </row>
    <row r="95" spans="1:34" ht="12.5">
      <c r="A95" s="1" t="str">
        <f ca="1">IFERROR(__xludf.DUMMYFUNCTION("""COMPUTED_VALUE"""),"20231212MICOK")</f>
        <v>20231212MICOK</v>
      </c>
      <c r="B95" s="1">
        <f ca="1">IFERROR(__xludf.DUMMYFUNCTION("""COMPUTED_VALUE"""),12)</f>
        <v>12</v>
      </c>
      <c r="C95" s="1">
        <f ca="1">IFERROR(__xludf.DUMMYFUNCTION("""COMPUTED_VALUE"""),12)</f>
        <v>12</v>
      </c>
      <c r="D95" s="1">
        <f ca="1">IFERROR(__xludf.DUMMYFUNCTION("""COMPUTED_VALUE"""),2023)</f>
        <v>2023</v>
      </c>
      <c r="E95" s="4">
        <f ca="1">IFERROR(__xludf.DUMMYFUNCTION("""COMPUTED_VALUE"""),45272)</f>
        <v>45272</v>
      </c>
      <c r="F95" s="1" t="str">
        <f ca="1">IFERROR(__xludf.DUMMYFUNCTION("""COMPUTED_VALUE"""),"Comstock High School")</f>
        <v>Comstock High School</v>
      </c>
      <c r="G95" s="1">
        <f ca="1">IFERROR(__xludf.DUMMYFUNCTION("""COMPUTED_VALUE"""),0)</f>
        <v>0</v>
      </c>
      <c r="H95" s="1">
        <f ca="1">IFERROR(__xludf.DUMMYFUNCTION("""COMPUTED_VALUE"""),0)</f>
        <v>0</v>
      </c>
      <c r="I95" s="1">
        <f ca="1">IFERROR(__xludf.DUMMYFUNCTION("""COMPUTED_VALUE"""),0)</f>
        <v>0</v>
      </c>
      <c r="J95" s="1">
        <f ca="1">IFERROR(__xludf.DUMMYFUNCTION("""COMPUTED_VALUE"""),0)</f>
        <v>0</v>
      </c>
      <c r="K95" s="1" t="str">
        <f ca="1">IFERROR(__xludf.DUMMYFUNCTION("""COMPUTED_VALUE"""),"Winter")</f>
        <v>Winter</v>
      </c>
      <c r="L95" s="1" t="str">
        <f ca="1">IFERROR(__xludf.DUMMYFUNCTION("""COMPUTED_VALUE"""),"Kalamazoo")</f>
        <v>Kalamazoo</v>
      </c>
      <c r="M95" s="1" t="str">
        <f ca="1">IFERROR(__xludf.DUMMYFUNCTION("""COMPUTED_VALUE"""),"MI")</f>
        <v>MI</v>
      </c>
      <c r="N95" s="1" t="str">
        <f ca="1">IFERROR(__xludf.DUMMYFUNCTION("""COMPUTED_VALUE"""),"High")</f>
        <v>High</v>
      </c>
      <c r="O95" s="1" t="str">
        <f ca="1">IFERROR(__xludf.DUMMYFUNCTION("""COMPUTED_VALUE"""),"Parking Lot")</f>
        <v>Parking Lot</v>
      </c>
      <c r="P95" s="1" t="str">
        <f ca="1">IFERROR(__xludf.DUMMYFUNCTION("""COMPUTED_VALUE"""),"Outside on School Property")</f>
        <v>Outside on School Property</v>
      </c>
      <c r="Q95" s="1" t="str">
        <f ca="1">IFERROR(__xludf.DUMMYFUNCTION("""COMPUTED_VALUE"""),"No")</f>
        <v>No</v>
      </c>
      <c r="R95" s="1" t="str">
        <f ca="1">IFERROR(__xludf.DUMMYFUNCTION("""COMPUTED_VALUE"""),"Sport Event")</f>
        <v>Sport Event</v>
      </c>
      <c r="S95" s="5">
        <f ca="1">IFERROR(__xludf.DUMMYFUNCTION("""COMPUTED_VALUE"""),0.875)</f>
        <v>0.875</v>
      </c>
      <c r="T95" s="1">
        <f ca="1">IFERROR(__xludf.DUMMYFUNCTION("""COMPUTED_VALUE"""),1)</f>
        <v>1</v>
      </c>
      <c r="U95" s="1" t="str">
        <f ca="1">IFERROR(__xludf.DUMMYFUNCTION("""COMPUTED_VALUE"""),"Shooting in parking lot during high school basketball game")</f>
        <v>Shooting in parking lot during high school basketball game</v>
      </c>
      <c r="V95" s="1" t="str">
        <f ca="1">IFERROR(__xludf.DUMMYFUNCTION("""COMPUTED_VALUE"""),"No one was hurt when more than 30 gunshots were fired at the parking lot of Comstock High School Tuesday evening, officials say. The boys’ junior varsity and varsity basketball games against Lawrence High School were taking place in the gym. An argument b"&amp;"etween two groups of people started in the bleachers, escalating to the point that one group was kicked out, Kalamazoo County Sheriff Richard Fuller said. “It sounds like that they may have called for reinforcements, or they had gone to their vehicles, re"&amp;"trieved firearms,” Fuller said. “The other group that was on the other side of the argument was also going to be escorted out. But prior to that happening, the shots (were) fired in the parking lot by the original people that had been moved out of the sch"&amp;"ool.” Four guns were used, and at least 30 casings were found on scene, Fuller said. No one was hurt, though it is believed some vehicles may have been hit.")</f>
        <v>No one was hurt when more than 30 gunshots were fired at the parking lot of Comstock High School Tuesday evening, officials say. The boys’ junior varsity and varsity basketball games against Lawrence High School were taking place in the gym. An argument between two groups of people started in the bleachers, escalating to the point that one group was kicked out, Kalamazoo County Sheriff Richard Fuller said. “It sounds like that they may have called for reinforcements, or they had gone to their vehicles, retrieved firearms,” Fuller said. “The other group that was on the other side of the argument was also going to be escorted out. But prior to that happening, the shots (were) fired in the parking lot by the original people that had been moved out of the school.” Four guns were used, and at least 30 casings were found on scene, Fuller said. No one was hurt, though it is believed some vehicles may have been hit.</v>
      </c>
      <c r="W95" s="1" t="str">
        <f ca="1">IFERROR(__xludf.DUMMYFUNCTION("""COMPUTED_VALUE"""),"Escalation of Dispute")</f>
        <v>Escalation of Dispute</v>
      </c>
      <c r="X95" s="1" t="str">
        <f ca="1">IFERROR(__xludf.DUMMYFUNCTION("""COMPUTED_VALUE"""),"Victims Targeted")</f>
        <v>Victims Targeted</v>
      </c>
      <c r="Y95" s="1" t="str">
        <f ca="1">IFERROR(__xludf.DUMMYFUNCTION("""COMPUTED_VALUE"""),"No")</f>
        <v>No</v>
      </c>
      <c r="Z95" s="1"/>
      <c r="AA95" s="1" t="str">
        <f ca="1">IFERROR(__xludf.DUMMYFUNCTION("""COMPUTED_VALUE"""),"No")</f>
        <v>No</v>
      </c>
      <c r="AB95" s="1" t="str">
        <f ca="1">IFERROR(__xludf.DUMMYFUNCTION("""COMPUTED_VALUE"""),"No")</f>
        <v>No</v>
      </c>
      <c r="AC95" s="1" t="str">
        <f ca="1">IFERROR(__xludf.DUMMYFUNCTION("""COMPUTED_VALUE"""),"No")</f>
        <v>No</v>
      </c>
      <c r="AD95" s="1" t="str">
        <f ca="1">IFERROR(__xludf.DUMMYFUNCTION("""COMPUTED_VALUE"""),"No")</f>
        <v>No</v>
      </c>
      <c r="AE95" s="1" t="str">
        <f ca="1">IFERROR(__xludf.DUMMYFUNCTION("""COMPUTED_VALUE"""),"No")</f>
        <v>No</v>
      </c>
      <c r="AF95" s="1" t="str">
        <f ca="1">IFERROR(__xludf.DUMMYFUNCTION("""COMPUTED_VALUE"""),"No")</f>
        <v>No</v>
      </c>
      <c r="AG95" s="1" t="str">
        <f ca="1">IFERROR(__xludf.DUMMYFUNCTION("""COMPUTED_VALUE"""),"No")</f>
        <v>No</v>
      </c>
      <c r="AH95" s="1">
        <f ca="1">IFERROR(__xludf.DUMMYFUNCTION("""COMPUTED_VALUE"""),30)</f>
        <v>30</v>
      </c>
    </row>
    <row r="96" spans="1:34" ht="12.5">
      <c r="A96" s="1" t="str">
        <f ca="1">IFERROR(__xludf.DUMMYFUNCTION("""COMPUTED_VALUE"""),"20231211NYROQ")</f>
        <v>20231211NYROQ</v>
      </c>
      <c r="B96" s="1">
        <f ca="1">IFERROR(__xludf.DUMMYFUNCTION("""COMPUTED_VALUE"""),12)</f>
        <v>12</v>
      </c>
      <c r="C96" s="1">
        <f ca="1">IFERROR(__xludf.DUMMYFUNCTION("""COMPUTED_VALUE"""),11)</f>
        <v>11</v>
      </c>
      <c r="D96" s="1">
        <f ca="1">IFERROR(__xludf.DUMMYFUNCTION("""COMPUTED_VALUE"""),2023)</f>
        <v>2023</v>
      </c>
      <c r="E96" s="4">
        <f ca="1">IFERROR(__xludf.DUMMYFUNCTION("""COMPUTED_VALUE"""),45271)</f>
        <v>45271</v>
      </c>
      <c r="F96" s="1" t="str">
        <f ca="1">IFERROR(__xludf.DUMMYFUNCTION("""COMPUTED_VALUE"""),"Robert F. Kennedy Community School")</f>
        <v>Robert F. Kennedy Community School</v>
      </c>
      <c r="G96" s="1">
        <f ca="1">IFERROR(__xludf.DUMMYFUNCTION("""COMPUTED_VALUE"""),0)</f>
        <v>0</v>
      </c>
      <c r="H96" s="1">
        <f ca="1">IFERROR(__xludf.DUMMYFUNCTION("""COMPUTED_VALUE"""),0)</f>
        <v>0</v>
      </c>
      <c r="I96" s="1">
        <f ca="1">IFERROR(__xludf.DUMMYFUNCTION("""COMPUTED_VALUE"""),0)</f>
        <v>0</v>
      </c>
      <c r="J96" s="1">
        <f ca="1">IFERROR(__xludf.DUMMYFUNCTION("""COMPUTED_VALUE"""),0)</f>
        <v>0</v>
      </c>
      <c r="K96" s="1" t="str">
        <f ca="1">IFERROR(__xludf.DUMMYFUNCTION("""COMPUTED_VALUE"""),"Winter")</f>
        <v>Winter</v>
      </c>
      <c r="L96" s="1" t="str">
        <f ca="1">IFERROR(__xludf.DUMMYFUNCTION("""COMPUTED_VALUE"""),"Queens")</f>
        <v>Queens</v>
      </c>
      <c r="M96" s="1" t="str">
        <f ca="1">IFERROR(__xludf.DUMMYFUNCTION("""COMPUTED_VALUE"""),"NY")</f>
        <v>NY</v>
      </c>
      <c r="N96" s="1" t="str">
        <f ca="1">IFERROR(__xludf.DUMMYFUNCTION("""COMPUTED_VALUE"""),"High")</f>
        <v>High</v>
      </c>
      <c r="O96" s="1" t="str">
        <f ca="1">IFERROR(__xludf.DUMMYFUNCTION("""COMPUTED_VALUE"""),"Front of School")</f>
        <v>Front of School</v>
      </c>
      <c r="P96" s="1" t="str">
        <f ca="1">IFERROR(__xludf.DUMMYFUNCTION("""COMPUTED_VALUE"""),"Outside on School Property")</f>
        <v>Outside on School Property</v>
      </c>
      <c r="Q96" s="1" t="str">
        <f ca="1">IFERROR(__xludf.DUMMYFUNCTION("""COMPUTED_VALUE"""),"Yes")</f>
        <v>Yes</v>
      </c>
      <c r="R96" s="1" t="str">
        <f ca="1">IFERROR(__xludf.DUMMYFUNCTION("""COMPUTED_VALUE"""),"Dismissal")</f>
        <v>Dismissal</v>
      </c>
      <c r="S96" s="5">
        <f ca="1">IFERROR(__xludf.DUMMYFUNCTION("""COMPUTED_VALUE"""),0.645833333333333)</f>
        <v>0.64583333333333304</v>
      </c>
      <c r="T96" s="1">
        <f ca="1">IFERROR(__xludf.DUMMYFUNCTION("""COMPUTED_VALUE"""),1)</f>
        <v>1</v>
      </c>
      <c r="U96" s="1" t="str">
        <f ca="1">IFERROR(__xludf.DUMMYFUNCTION("""COMPUTED_VALUE"""),"Teen fired shots in front of the school at dismissal and then fled")</f>
        <v>Teen fired shots in front of the school at dismissal and then fled</v>
      </c>
      <c r="V96" s="1" t="str">
        <f ca="1">IFERROR(__xludf.DUMMYFUNCTION("""COMPUTED_VALUE"""),"The suspect was in front of I.S. 250, the Robert F. Kennedy Community School, at 75-40 Parsons Blvd just after 3:30 p.m. on Monday, Dec. 11, when he pulled out a handgun and fired multiple times before running off in an unknown direction. No one was injur"&amp;"ed in the gunfire.")</f>
        <v>The suspect was in front of I.S. 250, the Robert F. Kennedy Community School, at 75-40 Parsons Blvd just after 3:30 p.m. on Monday, Dec. 11, when he pulled out a handgun and fired multiple times before running off in an unknown direction. No one was injured in the gunfire.</v>
      </c>
      <c r="W96" s="1"/>
      <c r="X96" s="1"/>
      <c r="Y96" s="1" t="str">
        <f ca="1">IFERROR(__xludf.DUMMYFUNCTION("""COMPUTED_VALUE"""),"No")</f>
        <v>No</v>
      </c>
      <c r="Z96" s="1"/>
      <c r="AA96" s="1" t="str">
        <f ca="1">IFERROR(__xludf.DUMMYFUNCTION("""COMPUTED_VALUE"""),"No")</f>
        <v>No</v>
      </c>
      <c r="AB96" s="1" t="str">
        <f ca="1">IFERROR(__xludf.DUMMYFUNCTION("""COMPUTED_VALUE"""),"No")</f>
        <v>No</v>
      </c>
      <c r="AC96" s="1" t="str">
        <f ca="1">IFERROR(__xludf.DUMMYFUNCTION("""COMPUTED_VALUE"""),"No")</f>
        <v>No</v>
      </c>
      <c r="AD96" s="1" t="str">
        <f ca="1">IFERROR(__xludf.DUMMYFUNCTION("""COMPUTED_VALUE"""),"No")</f>
        <v>No</v>
      </c>
      <c r="AE96" s="1" t="str">
        <f ca="1">IFERROR(__xludf.DUMMYFUNCTION("""COMPUTED_VALUE"""),"No")</f>
        <v>No</v>
      </c>
      <c r="AF96" s="1" t="str">
        <f ca="1">IFERROR(__xludf.DUMMYFUNCTION("""COMPUTED_VALUE"""),"No")</f>
        <v>No</v>
      </c>
      <c r="AG96" s="1" t="str">
        <f ca="1">IFERROR(__xludf.DUMMYFUNCTION("""COMPUTED_VALUE"""),"No")</f>
        <v>No</v>
      </c>
      <c r="AH96" s="1">
        <f ca="1">IFERROR(__xludf.DUMMYFUNCTION("""COMPUTED_VALUE"""),99)</f>
        <v>99</v>
      </c>
    </row>
    <row r="97" spans="1:34" ht="12.5">
      <c r="A97" s="1" t="str">
        <f ca="1">IFERROR(__xludf.DUMMYFUNCTION("""COMPUTED_VALUE"""),"20231208MONOS")</f>
        <v>20231208MONOS</v>
      </c>
      <c r="B97" s="1">
        <f ca="1">IFERROR(__xludf.DUMMYFUNCTION("""COMPUTED_VALUE"""),12)</f>
        <v>12</v>
      </c>
      <c r="C97" s="1">
        <f ca="1">IFERROR(__xludf.DUMMYFUNCTION("""COMPUTED_VALUE"""),8)</f>
        <v>8</v>
      </c>
      <c r="D97" s="1">
        <f ca="1">IFERROR(__xludf.DUMMYFUNCTION("""COMPUTED_VALUE"""),2023)</f>
        <v>2023</v>
      </c>
      <c r="E97" s="4">
        <f ca="1">IFERROR(__xludf.DUMMYFUNCTION("""COMPUTED_VALUE"""),45268)</f>
        <v>45268</v>
      </c>
      <c r="F97" s="1" t="str">
        <f ca="1">IFERROR(__xludf.DUMMYFUNCTION("""COMPUTED_VALUE"""),"Normandy High School")</f>
        <v>Normandy High School</v>
      </c>
      <c r="G97" s="1">
        <f ca="1">IFERROR(__xludf.DUMMYFUNCTION("""COMPUTED_VALUE"""),0)</f>
        <v>0</v>
      </c>
      <c r="H97" s="1">
        <f ca="1">IFERROR(__xludf.DUMMYFUNCTION("""COMPUTED_VALUE"""),1)</f>
        <v>1</v>
      </c>
      <c r="I97" s="1">
        <f ca="1">IFERROR(__xludf.DUMMYFUNCTION("""COMPUTED_VALUE"""),1)</f>
        <v>1</v>
      </c>
      <c r="J97" s="1">
        <f ca="1">IFERROR(__xludf.DUMMYFUNCTION("""COMPUTED_VALUE"""),0)</f>
        <v>0</v>
      </c>
      <c r="K97" s="1" t="str">
        <f ca="1">IFERROR(__xludf.DUMMYFUNCTION("""COMPUTED_VALUE"""),"Winter")</f>
        <v>Winter</v>
      </c>
      <c r="L97" s="1" t="str">
        <f ca="1">IFERROR(__xludf.DUMMYFUNCTION("""COMPUTED_VALUE"""),"St. Louis")</f>
        <v>St. Louis</v>
      </c>
      <c r="M97" s="1" t="str">
        <f ca="1">IFERROR(__xludf.DUMMYFUNCTION("""COMPUTED_VALUE"""),"MO")</f>
        <v>MO</v>
      </c>
      <c r="N97" s="1" t="str">
        <f ca="1">IFERROR(__xludf.DUMMYFUNCTION("""COMPUTED_VALUE"""),"High")</f>
        <v>High</v>
      </c>
      <c r="O97" s="1" t="str">
        <f ca="1">IFERROR(__xludf.DUMMYFUNCTION("""COMPUTED_VALUE"""),"Parking Lot")</f>
        <v>Parking Lot</v>
      </c>
      <c r="P97" s="1" t="str">
        <f ca="1">IFERROR(__xludf.DUMMYFUNCTION("""COMPUTED_VALUE"""),"Outside on School Property")</f>
        <v>Outside on School Property</v>
      </c>
      <c r="Q97" s="1" t="str">
        <f ca="1">IFERROR(__xludf.DUMMYFUNCTION("""COMPUTED_VALUE"""),"No")</f>
        <v>No</v>
      </c>
      <c r="R97" s="1" t="str">
        <f ca="1">IFERROR(__xludf.DUMMYFUNCTION("""COMPUTED_VALUE"""),"Night")</f>
        <v>Night</v>
      </c>
      <c r="S97" s="5">
        <f ca="1">IFERROR(__xludf.DUMMYFUNCTION("""COMPUTED_VALUE"""),0)</f>
        <v>0</v>
      </c>
      <c r="T97" s="1">
        <f ca="1">IFERROR(__xludf.DUMMYFUNCTION("""COMPUTED_VALUE"""),1)</f>
        <v>1</v>
      </c>
      <c r="U97" s="1" t="str">
        <f ca="1">IFERROR(__xludf.DUMMYFUNCTION("""COMPUTED_VALUE"""),"Man fired shots into the air and then shot a woman in the leg during a dispute")</f>
        <v>Man fired shots into the air and then shot a woman in the leg during a dispute</v>
      </c>
      <c r="V97" s="1" t="str">
        <f ca="1">IFERROR(__xludf.DUMMYFUNCTION("""COMPUTED_VALUE"""),"According to the St. Louis County Prosecuting Attorney's Office, 37-year-old Steven Brown of Pine Lawn met up with a woman to smoke together at about midnight on Dec. 8 at the high school on St. Charles Rock Road in Wellston. A fight ensued after Brown ma"&amp;"de unwanted sexual advances toward the woman. Charging documents say Brown pulled out a pistol. He fired a shot in the air before aiming the weapon near the woman's legs and firing again. They ended up leaving in separate vehicles. While driving away, the"&amp;" woman began to feel pain in her leg, and she drove to an area hospital, where she was treated for a graze wound from bullet shrapnel, according to charging documents.")</f>
        <v>According to the St. Louis County Prosecuting Attorney's Office, 37-year-old Steven Brown of Pine Lawn met up with a woman to smoke together at about midnight on Dec. 8 at the high school on St. Charles Rock Road in Wellston. A fight ensued after Brown made unwanted sexual advances toward the woman. Charging documents say Brown pulled out a pistol. He fired a shot in the air before aiming the weapon near the woman's legs and firing again. They ended up leaving in separate vehicles. While driving away, the woman began to feel pain in her leg, and she drove to an area hospital, where she was treated for a graze wound from bullet shrapnel, according to charging documents.</v>
      </c>
      <c r="W97" s="1" t="str">
        <f ca="1">IFERROR(__xludf.DUMMYFUNCTION("""COMPUTED_VALUE"""),"Escalation of Dispute")</f>
        <v>Escalation of Dispute</v>
      </c>
      <c r="X97" s="1" t="str">
        <f ca="1">IFERROR(__xludf.DUMMYFUNCTION("""COMPUTED_VALUE"""),"Victims Targeted")</f>
        <v>Victims Targeted</v>
      </c>
      <c r="Y97" s="1" t="str">
        <f ca="1">IFERROR(__xludf.DUMMYFUNCTION("""COMPUTED_VALUE"""),"No")</f>
        <v>No</v>
      </c>
      <c r="Z97" s="1"/>
      <c r="AA97" s="1" t="str">
        <f ca="1">IFERROR(__xludf.DUMMYFUNCTION("""COMPUTED_VALUE"""),"No")</f>
        <v>No</v>
      </c>
      <c r="AB97" s="1" t="str">
        <f ca="1">IFERROR(__xludf.DUMMYFUNCTION("""COMPUTED_VALUE"""),"No")</f>
        <v>No</v>
      </c>
      <c r="AC97" s="1" t="str">
        <f ca="1">IFERROR(__xludf.DUMMYFUNCTION("""COMPUTED_VALUE"""),"No")</f>
        <v>No</v>
      </c>
      <c r="AD97" s="1" t="str">
        <f ca="1">IFERROR(__xludf.DUMMYFUNCTION("""COMPUTED_VALUE"""),"No")</f>
        <v>No</v>
      </c>
      <c r="AE97" s="1" t="str">
        <f ca="1">IFERROR(__xludf.DUMMYFUNCTION("""COMPUTED_VALUE"""),"Yes")</f>
        <v>Yes</v>
      </c>
      <c r="AF97" s="1" t="str">
        <f ca="1">IFERROR(__xludf.DUMMYFUNCTION("""COMPUTED_VALUE"""),"No")</f>
        <v>No</v>
      </c>
      <c r="AG97" s="1" t="str">
        <f ca="1">IFERROR(__xludf.DUMMYFUNCTION("""COMPUTED_VALUE"""),"No")</f>
        <v>No</v>
      </c>
      <c r="AH97" s="1">
        <f ca="1">IFERROR(__xludf.DUMMYFUNCTION("""COMPUTED_VALUE"""),99)</f>
        <v>99</v>
      </c>
    </row>
    <row r="98" spans="1:34" ht="12.5">
      <c r="A98" s="1" t="str">
        <f ca="1">IFERROR(__xludf.DUMMYFUNCTION("""COMPUTED_VALUE"""),"20231208NMATA")</f>
        <v>20231208NMATA</v>
      </c>
      <c r="B98" s="1">
        <f ca="1">IFERROR(__xludf.DUMMYFUNCTION("""COMPUTED_VALUE"""),12)</f>
        <v>12</v>
      </c>
      <c r="C98" s="1">
        <f ca="1">IFERROR(__xludf.DUMMYFUNCTION("""COMPUTED_VALUE"""),8)</f>
        <v>8</v>
      </c>
      <c r="D98" s="1">
        <f ca="1">IFERROR(__xludf.DUMMYFUNCTION("""COMPUTED_VALUE"""),2023)</f>
        <v>2023</v>
      </c>
      <c r="E98" s="4">
        <f ca="1">IFERROR(__xludf.DUMMYFUNCTION("""COMPUTED_VALUE"""),45268)</f>
        <v>45268</v>
      </c>
      <c r="F98" s="1" t="str">
        <f ca="1">IFERROR(__xludf.DUMMYFUNCTION("""COMPUTED_VALUE"""),"Atrisco Heritage Academy")</f>
        <v>Atrisco Heritage Academy</v>
      </c>
      <c r="G98" s="1">
        <f ca="1">IFERROR(__xludf.DUMMYFUNCTION("""COMPUTED_VALUE"""),1)</f>
        <v>1</v>
      </c>
      <c r="H98" s="1">
        <f ca="1">IFERROR(__xludf.DUMMYFUNCTION("""COMPUTED_VALUE"""),0)</f>
        <v>0</v>
      </c>
      <c r="I98" s="1">
        <f ca="1">IFERROR(__xludf.DUMMYFUNCTION("""COMPUTED_VALUE"""),1)</f>
        <v>1</v>
      </c>
      <c r="J98" s="1">
        <f ca="1">IFERROR(__xludf.DUMMYFUNCTION("""COMPUTED_VALUE"""),0)</f>
        <v>0</v>
      </c>
      <c r="K98" s="1" t="str">
        <f ca="1">IFERROR(__xludf.DUMMYFUNCTION("""COMPUTED_VALUE"""),"Winter")</f>
        <v>Winter</v>
      </c>
      <c r="L98" s="1" t="str">
        <f ca="1">IFERROR(__xludf.DUMMYFUNCTION("""COMPUTED_VALUE"""),"Albuquerque")</f>
        <v>Albuquerque</v>
      </c>
      <c r="M98" s="1" t="str">
        <f ca="1">IFERROR(__xludf.DUMMYFUNCTION("""COMPUTED_VALUE"""),"NM")</f>
        <v>NM</v>
      </c>
      <c r="N98" s="1" t="str">
        <f ca="1">IFERROR(__xludf.DUMMYFUNCTION("""COMPUTED_VALUE"""),"High")</f>
        <v>High</v>
      </c>
      <c r="O98" s="1" t="str">
        <f ca="1">IFERROR(__xludf.DUMMYFUNCTION("""COMPUTED_VALUE"""),"Parking Lot")</f>
        <v>Parking Lot</v>
      </c>
      <c r="P98" s="1" t="str">
        <f ca="1">IFERROR(__xludf.DUMMYFUNCTION("""COMPUTED_VALUE"""),"Outside on School Property")</f>
        <v>Outside on School Property</v>
      </c>
      <c r="Q98" s="1" t="str">
        <f ca="1">IFERROR(__xludf.DUMMYFUNCTION("""COMPUTED_VALUE"""),"No")</f>
        <v>No</v>
      </c>
      <c r="R98" s="1" t="str">
        <f ca="1">IFERROR(__xludf.DUMMYFUNCTION("""COMPUTED_VALUE"""),"Sport Event")</f>
        <v>Sport Event</v>
      </c>
      <c r="S98" s="5">
        <f ca="1">IFERROR(__xludf.DUMMYFUNCTION("""COMPUTED_VALUE"""),0.90625)</f>
        <v>0.90625</v>
      </c>
      <c r="T98" s="1">
        <f ca="1">IFERROR(__xludf.DUMMYFUNCTION("""COMPUTED_VALUE"""),1)</f>
        <v>1</v>
      </c>
      <c r="U98" s="1" t="str">
        <f ca="1">IFERROR(__xludf.DUMMYFUNCTION("""COMPUTED_VALUE"""),"Student killed in parking lot while friend was showing off handgun and fired")</f>
        <v>Student killed in parking lot while friend was showing off handgun and fired</v>
      </c>
      <c r="V98" s="1" t="str">
        <f ca="1">IFERROR(__xludf.DUMMYFUNCTION("""COMPUTED_VALUE"""),"Three teenage boys walked to the Atrisco Heritage Academy parking lot on Friday night after watching a basketball game at the high school. Then, according to deputies, two 16-year-olds pulled out guns and began playing with them. One teen “began messing w"&amp;"ith” the laser sight on his gun and it went off, striking the other teen and killing him.")</f>
        <v>Three teenage boys walked to the Atrisco Heritage Academy parking lot on Friday night after watching a basketball game at the high school. Then, according to deputies, two 16-year-olds pulled out guns and began playing with them. One teen “began messing with” the laser sight on his gun and it went off, striking the other teen and killing him.</v>
      </c>
      <c r="W98" s="1" t="str">
        <f ca="1">IFERROR(__xludf.DUMMYFUNCTION("""COMPUTED_VALUE"""),"Accidental")</f>
        <v>Accidental</v>
      </c>
      <c r="X98" s="1" t="str">
        <f ca="1">IFERROR(__xludf.DUMMYFUNCTION("""COMPUTED_VALUE"""),"Neither")</f>
        <v>Neither</v>
      </c>
      <c r="Y98" s="1" t="str">
        <f ca="1">IFERROR(__xludf.DUMMYFUNCTION("""COMPUTED_VALUE"""),"No")</f>
        <v>No</v>
      </c>
      <c r="Z98" s="1"/>
      <c r="AA98" s="1" t="str">
        <f ca="1">IFERROR(__xludf.DUMMYFUNCTION("""COMPUTED_VALUE"""),"No")</f>
        <v>No</v>
      </c>
      <c r="AB98" s="1" t="str">
        <f ca="1">IFERROR(__xludf.DUMMYFUNCTION("""COMPUTED_VALUE"""),"No")</f>
        <v>No</v>
      </c>
      <c r="AC98" s="1" t="str">
        <f ca="1">IFERROR(__xludf.DUMMYFUNCTION("""COMPUTED_VALUE"""),"No")</f>
        <v>No</v>
      </c>
      <c r="AD98" s="1" t="str">
        <f ca="1">IFERROR(__xludf.DUMMYFUNCTION("""COMPUTED_VALUE"""),"No")</f>
        <v>No</v>
      </c>
      <c r="AE98" s="1" t="str">
        <f ca="1">IFERROR(__xludf.DUMMYFUNCTION("""COMPUTED_VALUE"""),"No")</f>
        <v>No</v>
      </c>
      <c r="AF98" s="1" t="str">
        <f ca="1">IFERROR(__xludf.DUMMYFUNCTION("""COMPUTED_VALUE"""),"No")</f>
        <v>No</v>
      </c>
      <c r="AG98" s="1" t="str">
        <f ca="1">IFERROR(__xludf.DUMMYFUNCTION("""COMPUTED_VALUE"""),"No")</f>
        <v>No</v>
      </c>
      <c r="AH98" s="1">
        <f ca="1">IFERROR(__xludf.DUMMYFUNCTION("""COMPUTED_VALUE"""),1)</f>
        <v>1</v>
      </c>
    </row>
    <row r="99" spans="1:34" ht="12.5">
      <c r="A99" s="1" t="str">
        <f ca="1">IFERROR(__xludf.DUMMYFUNCTION("""COMPUTED_VALUE"""),"20231208VAWOW")</f>
        <v>20231208VAWOW</v>
      </c>
      <c r="B99" s="1">
        <f ca="1">IFERROR(__xludf.DUMMYFUNCTION("""COMPUTED_VALUE"""),12)</f>
        <v>12</v>
      </c>
      <c r="C99" s="1">
        <f ca="1">IFERROR(__xludf.DUMMYFUNCTION("""COMPUTED_VALUE"""),8)</f>
        <v>8</v>
      </c>
      <c r="D99" s="1">
        <f ca="1">IFERROR(__xludf.DUMMYFUNCTION("""COMPUTED_VALUE"""),2023)</f>
        <v>2023</v>
      </c>
      <c r="E99" s="4">
        <f ca="1">IFERROR(__xludf.DUMMYFUNCTION("""COMPUTED_VALUE"""),45268)</f>
        <v>45268</v>
      </c>
      <c r="F99" s="1" t="str">
        <f ca="1">IFERROR(__xludf.DUMMYFUNCTION("""COMPUTED_VALUE"""),"Woodbridge Senior High School")</f>
        <v>Woodbridge Senior High School</v>
      </c>
      <c r="G99" s="1">
        <f ca="1">IFERROR(__xludf.DUMMYFUNCTION("""COMPUTED_VALUE"""),0)</f>
        <v>0</v>
      </c>
      <c r="H99" s="1">
        <f ca="1">IFERROR(__xludf.DUMMYFUNCTION("""COMPUTED_VALUE"""),3)</f>
        <v>3</v>
      </c>
      <c r="I99" s="1">
        <f ca="1">IFERROR(__xludf.DUMMYFUNCTION("""COMPUTED_VALUE"""),3)</f>
        <v>3</v>
      </c>
      <c r="J99" s="1">
        <f ca="1">IFERROR(__xludf.DUMMYFUNCTION("""COMPUTED_VALUE"""),0)</f>
        <v>0</v>
      </c>
      <c r="K99" s="1" t="str">
        <f ca="1">IFERROR(__xludf.DUMMYFUNCTION("""COMPUTED_VALUE"""),"Winter")</f>
        <v>Winter</v>
      </c>
      <c r="L99" s="1" t="str">
        <f ca="1">IFERROR(__xludf.DUMMYFUNCTION("""COMPUTED_VALUE"""),"Woodbridge")</f>
        <v>Woodbridge</v>
      </c>
      <c r="M99" s="1" t="str">
        <f ca="1">IFERROR(__xludf.DUMMYFUNCTION("""COMPUTED_VALUE"""),"VA")</f>
        <v>VA</v>
      </c>
      <c r="N99" s="1" t="str">
        <f ca="1">IFERROR(__xludf.DUMMYFUNCTION("""COMPUTED_VALUE"""),"High")</f>
        <v>High</v>
      </c>
      <c r="O99" s="1" t="str">
        <f ca="1">IFERROR(__xludf.DUMMYFUNCTION("""COMPUTED_VALUE"""),"School Bus")</f>
        <v>School Bus</v>
      </c>
      <c r="P99" s="1" t="str">
        <f ca="1">IFERROR(__xludf.DUMMYFUNCTION("""COMPUTED_VALUE"""),"School Bus")</f>
        <v>School Bus</v>
      </c>
      <c r="Q99" s="1" t="str">
        <f ca="1">IFERROR(__xludf.DUMMYFUNCTION("""COMPUTED_VALUE"""),"Yes")</f>
        <v>Yes</v>
      </c>
      <c r="R99" s="1" t="str">
        <f ca="1">IFERROR(__xludf.DUMMYFUNCTION("""COMPUTED_VALUE"""),"Dismissal")</f>
        <v>Dismissal</v>
      </c>
      <c r="S99" s="5">
        <f ca="1">IFERROR(__xludf.DUMMYFUNCTION("""COMPUTED_VALUE"""),0.611805555555555)</f>
        <v>0.61180555555555505</v>
      </c>
      <c r="T99" s="1">
        <f ca="1">IFERROR(__xludf.DUMMYFUNCTION("""COMPUTED_VALUE"""),1)</f>
        <v>1</v>
      </c>
      <c r="U99" s="1" t="str">
        <f ca="1">IFERROR(__xludf.DUMMYFUNCTION("""COMPUTED_VALUE"""),"Teen shot moving school bus with BBs breaking window")</f>
        <v>Teen shot moving school bus with BBs breaking window</v>
      </c>
      <c r="V99" s="1" t="str">
        <f ca="1">IFERROR(__xludf.DUMMYFUNCTION("""COMPUTED_VALUE"""),"On December 8 at 2:41 p.m., officers responded to the area of Harbor Drive and Colby Drive in Woodbridge to investigate reports of injury and property damage from BB projectiles. The investigation revealed two occupied Prince William County Public School "&amp;"buses were struck by BB projectiles in the above area. Windows were damaged on both buses and one occupant sustained a cut from the broken glass. No additional injuries were reported. Additionally, a female juvenile and a male juvenile, both 17 years of a"&amp;"ge, were walking separately in the area of Old Bridge Road and Oakwood Drive when they were also struck by BB projectiles. Both juveniles were treated for non-life threatening injuries. Officers searched the area for the suspect(s), who were not located. "&amp;"No additional injuries or property damage were reported.")</f>
        <v>On December 8 at 2:41 p.m., officers responded to the area of Harbor Drive and Colby Drive in Woodbridge to investigate reports of injury and property damage from BB projectiles. The investigation revealed two occupied Prince William County Public School buses were struck by BB projectiles in the above area. Windows were damaged on both buses and one occupant sustained a cut from the broken glass. No additional injuries were reported. Additionally, a female juvenile and a male juvenile, both 17 years of age, were walking separately in the area of Old Bridge Road and Oakwood Drive when they were also struck by BB projectiles. Both juveniles were treated for non-life threatening injuries. Officers searched the area for the suspect(s), who were not located. No additional injuries or property damage were reported.</v>
      </c>
      <c r="W99" s="1" t="str">
        <f ca="1">IFERROR(__xludf.DUMMYFUNCTION("""COMPUTED_VALUE"""),"Intentional Property Damage")</f>
        <v>Intentional Property Damage</v>
      </c>
      <c r="X99" s="1" t="str">
        <f ca="1">IFERROR(__xludf.DUMMYFUNCTION("""COMPUTED_VALUE"""),"Random Shooting")</f>
        <v>Random Shooting</v>
      </c>
      <c r="Y99" s="1" t="str">
        <f ca="1">IFERROR(__xludf.DUMMYFUNCTION("""COMPUTED_VALUE"""),"No")</f>
        <v>No</v>
      </c>
      <c r="Z99" s="1"/>
      <c r="AA99" s="1" t="str">
        <f ca="1">IFERROR(__xludf.DUMMYFUNCTION("""COMPUTED_VALUE"""),"No")</f>
        <v>No</v>
      </c>
      <c r="AB99" s="1" t="str">
        <f ca="1">IFERROR(__xludf.DUMMYFUNCTION("""COMPUTED_VALUE"""),"No")</f>
        <v>No</v>
      </c>
      <c r="AC99" s="1" t="str">
        <f ca="1">IFERROR(__xludf.DUMMYFUNCTION("""COMPUTED_VALUE"""),"No")</f>
        <v>No</v>
      </c>
      <c r="AD99" s="1" t="str">
        <f ca="1">IFERROR(__xludf.DUMMYFUNCTION("""COMPUTED_VALUE"""),"No")</f>
        <v>No</v>
      </c>
      <c r="AE99" s="1" t="str">
        <f ca="1">IFERROR(__xludf.DUMMYFUNCTION("""COMPUTED_VALUE"""),"No")</f>
        <v>No</v>
      </c>
      <c r="AF99" s="1" t="str">
        <f ca="1">IFERROR(__xludf.DUMMYFUNCTION("""COMPUTED_VALUE"""),"No")</f>
        <v>No</v>
      </c>
      <c r="AG99" s="1" t="str">
        <f ca="1">IFERROR(__xludf.DUMMYFUNCTION("""COMPUTED_VALUE"""),"No")</f>
        <v>No</v>
      </c>
      <c r="AH99" s="1">
        <f ca="1">IFERROR(__xludf.DUMMYFUNCTION("""COMPUTED_VALUE"""),99)</f>
        <v>99</v>
      </c>
    </row>
    <row r="100" spans="1:34" ht="12.5">
      <c r="A100" s="1" t="str">
        <f ca="1">IFERROR(__xludf.DUMMYFUNCTION("""COMPUTED_VALUE"""),"20231208WIBUW")</f>
        <v>20231208WIBUW</v>
      </c>
      <c r="B100" s="1">
        <f ca="1">IFERROR(__xludf.DUMMYFUNCTION("""COMPUTED_VALUE"""),12)</f>
        <v>12</v>
      </c>
      <c r="C100" s="1">
        <f ca="1">IFERROR(__xludf.DUMMYFUNCTION("""COMPUTED_VALUE"""),8)</f>
        <v>8</v>
      </c>
      <c r="D100" s="1">
        <f ca="1">IFERROR(__xludf.DUMMYFUNCTION("""COMPUTED_VALUE"""),2023)</f>
        <v>2023</v>
      </c>
      <c r="E100" s="4">
        <f ca="1">IFERROR(__xludf.DUMMYFUNCTION("""COMPUTED_VALUE"""),45268)</f>
        <v>45268</v>
      </c>
      <c r="F100" s="1" t="str">
        <f ca="1">IFERROR(__xludf.DUMMYFUNCTION("""COMPUTED_VALUE"""),"Butler Middle School")</f>
        <v>Butler Middle School</v>
      </c>
      <c r="G100" s="1">
        <f ca="1">IFERROR(__xludf.DUMMYFUNCTION("""COMPUTED_VALUE"""),0)</f>
        <v>0</v>
      </c>
      <c r="H100" s="1">
        <f ca="1">IFERROR(__xludf.DUMMYFUNCTION("""COMPUTED_VALUE"""),0)</f>
        <v>0</v>
      </c>
      <c r="I100" s="1">
        <f ca="1">IFERROR(__xludf.DUMMYFUNCTION("""COMPUTED_VALUE"""),0)</f>
        <v>0</v>
      </c>
      <c r="J100" s="1">
        <f ca="1">IFERROR(__xludf.DUMMYFUNCTION("""COMPUTED_VALUE"""),0)</f>
        <v>0</v>
      </c>
      <c r="K100" s="1" t="str">
        <f ca="1">IFERROR(__xludf.DUMMYFUNCTION("""COMPUTED_VALUE"""),"Winter")</f>
        <v>Winter</v>
      </c>
      <c r="L100" s="1" t="str">
        <f ca="1">IFERROR(__xludf.DUMMYFUNCTION("""COMPUTED_VALUE"""),"Waukesha")</f>
        <v>Waukesha</v>
      </c>
      <c r="M100" s="1" t="str">
        <f ca="1">IFERROR(__xludf.DUMMYFUNCTION("""COMPUTED_VALUE"""),"WI")</f>
        <v>WI</v>
      </c>
      <c r="N100" s="1" t="str">
        <f ca="1">IFERROR(__xludf.DUMMYFUNCTION("""COMPUTED_VALUE"""),"High")</f>
        <v>High</v>
      </c>
      <c r="O100" s="1" t="str">
        <f ca="1">IFERROR(__xludf.DUMMYFUNCTION("""COMPUTED_VALUE"""),"Front of School")</f>
        <v>Front of School</v>
      </c>
      <c r="P100" s="1" t="str">
        <f ca="1">IFERROR(__xludf.DUMMYFUNCTION("""COMPUTED_VALUE"""),"Outside on School Property")</f>
        <v>Outside on School Property</v>
      </c>
      <c r="Q100" s="1" t="str">
        <f ca="1">IFERROR(__xludf.DUMMYFUNCTION("""COMPUTED_VALUE"""),"Yes")</f>
        <v>Yes</v>
      </c>
      <c r="R100" s="1" t="str">
        <f ca="1">IFERROR(__xludf.DUMMYFUNCTION("""COMPUTED_VALUE"""),"Dismissal")</f>
        <v>Dismissal</v>
      </c>
      <c r="S100" s="5">
        <f ca="1">IFERROR(__xludf.DUMMYFUNCTION("""COMPUTED_VALUE"""),0.625)</f>
        <v>0.625</v>
      </c>
      <c r="T100" s="1">
        <f ca="1">IFERROR(__xludf.DUMMYFUNCTION("""COMPUTED_VALUE"""),1)</f>
        <v>1</v>
      </c>
      <c r="U100" s="1" t="str">
        <f ca="1">IFERROR(__xludf.DUMMYFUNCTION("""COMPUTED_VALUE"""),"Parent racked and waved gun in the air during argument at dismissal")</f>
        <v>Parent racked and waved gun in the air during argument at dismissal</v>
      </c>
      <c r="V100" s="1" t="str">
        <f ca="1">IFERROR(__xludf.DUMMYFUNCTION("""COMPUTED_VALUE"""),"Waukesha police arrested a man who they said waved a gun in the air outside Butler Middle School on Thursday, Dec. 8. Prosecutors charged that man, 33-year-old Abisai Villafuentes Mercado, with misdemeanor disorderly conduct. Police said he got upset with"&amp;" another driver while waiting to pick up a student. ""Some of the children who saw this were scared and ran back into the school,"" said Prosecutor Melissa Zilavy. No shots were fired, and no one was hurt – but police said a bullet fell out of the chamber"&amp;". It sent kids and parents into a panic. ""I thought I was about to get shot,"" said student Robert Mercado. ""He got mad at somebody and walked out the car and cocked his gun.""")</f>
        <v>Waukesha police arrested a man who they said waved a gun in the air outside Butler Middle School on Thursday, Dec. 8. Prosecutors charged that man, 33-year-old Abisai Villafuentes Mercado, with misdemeanor disorderly conduct. Police said he got upset with another driver while waiting to pick up a student. "Some of the children who saw this were scared and ran back into the school," said Prosecutor Melissa Zilavy. No shots were fired, and no one was hurt – but police said a bullet fell out of the chamber. It sent kids and parents into a panic. "I thought I was about to get shot," said student Robert Mercado. "He got mad at somebody and walked out the car and cocked his gun."</v>
      </c>
      <c r="W100" s="1" t="str">
        <f ca="1">IFERROR(__xludf.DUMMYFUNCTION("""COMPUTED_VALUE"""),"Escalation of Dispute")</f>
        <v>Escalation of Dispute</v>
      </c>
      <c r="X100" s="1" t="str">
        <f ca="1">IFERROR(__xludf.DUMMYFUNCTION("""COMPUTED_VALUE"""),"Neither")</f>
        <v>Neither</v>
      </c>
      <c r="Y100" s="1" t="str">
        <f ca="1">IFERROR(__xludf.DUMMYFUNCTION("""COMPUTED_VALUE"""),"No")</f>
        <v>No</v>
      </c>
      <c r="Z100" s="1"/>
      <c r="AA100" s="1" t="str">
        <f ca="1">IFERROR(__xludf.DUMMYFUNCTION("""COMPUTED_VALUE"""),"No")</f>
        <v>No</v>
      </c>
      <c r="AB100" s="1" t="str">
        <f ca="1">IFERROR(__xludf.DUMMYFUNCTION("""COMPUTED_VALUE"""),"No")</f>
        <v>No</v>
      </c>
      <c r="AC100" s="1" t="str">
        <f ca="1">IFERROR(__xludf.DUMMYFUNCTION("""COMPUTED_VALUE"""),"No")</f>
        <v>No</v>
      </c>
      <c r="AD100" s="1" t="str">
        <f ca="1">IFERROR(__xludf.DUMMYFUNCTION("""COMPUTED_VALUE"""),"No")</f>
        <v>No</v>
      </c>
      <c r="AE100" s="1" t="str">
        <f ca="1">IFERROR(__xludf.DUMMYFUNCTION("""COMPUTED_VALUE"""),"No")</f>
        <v>No</v>
      </c>
      <c r="AF100" s="1" t="str">
        <f ca="1">IFERROR(__xludf.DUMMYFUNCTION("""COMPUTED_VALUE"""),"No")</f>
        <v>No</v>
      </c>
      <c r="AG100" s="1" t="str">
        <f ca="1">IFERROR(__xludf.DUMMYFUNCTION("""COMPUTED_VALUE"""),"No")</f>
        <v>No</v>
      </c>
      <c r="AH100" s="1">
        <f ca="1">IFERROR(__xludf.DUMMYFUNCTION("""COMPUTED_VALUE"""),0)</f>
        <v>0</v>
      </c>
    </row>
    <row r="101" spans="1:34" ht="12.5">
      <c r="A101" s="1" t="str">
        <f ca="1">IFERROR(__xludf.DUMMYFUNCTION("""COMPUTED_VALUE"""),"20231206INLAL")</f>
        <v>20231206INLAL</v>
      </c>
      <c r="B101" s="1">
        <f ca="1">IFERROR(__xludf.DUMMYFUNCTION("""COMPUTED_VALUE"""),12)</f>
        <v>12</v>
      </c>
      <c r="C101" s="1">
        <f ca="1">IFERROR(__xludf.DUMMYFUNCTION("""COMPUTED_VALUE"""),6)</f>
        <v>6</v>
      </c>
      <c r="D101" s="1">
        <f ca="1">IFERROR(__xludf.DUMMYFUNCTION("""COMPUTED_VALUE"""),2023)</f>
        <v>2023</v>
      </c>
      <c r="E101" s="4">
        <f ca="1">IFERROR(__xludf.DUMMYFUNCTION("""COMPUTED_VALUE"""),45266)</f>
        <v>45266</v>
      </c>
      <c r="F101" s="1" t="str">
        <f ca="1">IFERROR(__xludf.DUMMYFUNCTION("""COMPUTED_VALUE"""),"Lawrence Central High School Wednesday")</f>
        <v>Lawrence Central High School Wednesday</v>
      </c>
      <c r="G101" s="1">
        <f ca="1">IFERROR(__xludf.DUMMYFUNCTION("""COMPUTED_VALUE"""),0)</f>
        <v>0</v>
      </c>
      <c r="H101" s="1">
        <f ca="1">IFERROR(__xludf.DUMMYFUNCTION("""COMPUTED_VALUE"""),0)</f>
        <v>0</v>
      </c>
      <c r="I101" s="1">
        <f ca="1">IFERROR(__xludf.DUMMYFUNCTION("""COMPUTED_VALUE"""),0)</f>
        <v>0</v>
      </c>
      <c r="J101" s="1">
        <f ca="1">IFERROR(__xludf.DUMMYFUNCTION("""COMPUTED_VALUE"""),0)</f>
        <v>0</v>
      </c>
      <c r="K101" s="1" t="str">
        <f ca="1">IFERROR(__xludf.DUMMYFUNCTION("""COMPUTED_VALUE"""),"Winter")</f>
        <v>Winter</v>
      </c>
      <c r="L101" s="1" t="str">
        <f ca="1">IFERROR(__xludf.DUMMYFUNCTION("""COMPUTED_VALUE"""),"Lawrence")</f>
        <v>Lawrence</v>
      </c>
      <c r="M101" s="1" t="str">
        <f ca="1">IFERROR(__xludf.DUMMYFUNCTION("""COMPUTED_VALUE"""),"IN")</f>
        <v>IN</v>
      </c>
      <c r="N101" s="1" t="str">
        <f ca="1">IFERROR(__xludf.DUMMYFUNCTION("""COMPUTED_VALUE"""),"High")</f>
        <v>High</v>
      </c>
      <c r="O101" s="1" t="str">
        <f ca="1">IFERROR(__xludf.DUMMYFUNCTION("""COMPUTED_VALUE"""),"Parking Lot")</f>
        <v>Parking Lot</v>
      </c>
      <c r="P101" s="1" t="str">
        <f ca="1">IFERROR(__xludf.DUMMYFUNCTION("""COMPUTED_VALUE"""),"Outside on School Property")</f>
        <v>Outside on School Property</v>
      </c>
      <c r="Q101" s="1" t="str">
        <f ca="1">IFERROR(__xludf.DUMMYFUNCTION("""COMPUTED_VALUE"""),"No")</f>
        <v>No</v>
      </c>
      <c r="R101" s="1" t="str">
        <f ca="1">IFERROR(__xludf.DUMMYFUNCTION("""COMPUTED_VALUE"""),"Sport Event")</f>
        <v>Sport Event</v>
      </c>
      <c r="S101" s="5">
        <f ca="1">IFERROR(__xludf.DUMMYFUNCTION("""COMPUTED_VALUE"""),0.875)</f>
        <v>0.875</v>
      </c>
      <c r="T101" s="1">
        <f ca="1">IFERROR(__xludf.DUMMYFUNCTION("""COMPUTED_VALUE"""),1)</f>
        <v>1</v>
      </c>
      <c r="U101" s="1" t="str">
        <f ca="1">IFERROR(__xludf.DUMMYFUNCTION("""COMPUTED_VALUE"""),"Shots fired in parking lot during high school basketball game")</f>
        <v>Shots fired in parking lot during high school basketball game</v>
      </c>
      <c r="V101" s="1" t="str">
        <f ca="1">IFERROR(__xludf.DUMMYFUNCTION("""COMPUTED_VALUE"""),"Two teenagers were arrested after gunshots were fired during a disturbance outside a school in Lawrence Wednesday night. According to a Lawrence Police Department spokesperson, officers were called to Lawrence Central High School, along 56th Street just e"&amp;"ast of I-465, around 9 p.m. when two shots were heard in a parking lot. No one was injured. The spokesperson said one person, a minor, was detained inside the school after officers discovered he was in possession of a handgun. It's not clear whether the j"&amp;"uvenile had been involved in the disturbance in the parking lot. A police report obtained by 13News Thursday indicated two teenage boys, a 15-year-old and 14-year-old, were arrested by Lawrence police in connection with the incident. Both face preliminary"&amp;" charges including possession of a gun on school property and resisting law enforcement, according to the report. The 15-year-old is also preliminarily charged with possession of a Glock switch, and the 14-year-old is preliminarily charged with theft of a"&amp;" firearm.")</f>
        <v>Two teenagers were arrested after gunshots were fired during a disturbance outside a school in Lawrence Wednesday night. According to a Lawrence Police Department spokesperson, officers were called to Lawrence Central High School, along 56th Street just east of I-465, around 9 p.m. when two shots were heard in a parking lot. No one was injured. The spokesperson said one person, a minor, was detained inside the school after officers discovered he was in possession of a handgun. It's not clear whether the juvenile had been involved in the disturbance in the parking lot. A police report obtained by 13News Thursday indicated two teenage boys, a 15-year-old and 14-year-old, were arrested by Lawrence police in connection with the incident. Both face preliminary charges including possession of a gun on school property and resisting law enforcement, according to the report. The 15-year-old is also preliminarily charged with possession of a Glock switch, and the 14-year-old is preliminarily charged with theft of a firearm.</v>
      </c>
      <c r="W101" s="1" t="str">
        <f ca="1">IFERROR(__xludf.DUMMYFUNCTION("""COMPUTED_VALUE"""),"Escalation of Dispute")</f>
        <v>Escalation of Dispute</v>
      </c>
      <c r="X101" s="1" t="str">
        <f ca="1">IFERROR(__xludf.DUMMYFUNCTION("""COMPUTED_VALUE"""),"Random Shooting")</f>
        <v>Random Shooting</v>
      </c>
      <c r="Y101" s="1" t="str">
        <f ca="1">IFERROR(__xludf.DUMMYFUNCTION("""COMPUTED_VALUE"""),"Yes")</f>
        <v>Yes</v>
      </c>
      <c r="Z101" s="1" t="str">
        <f ca="1">IFERROR(__xludf.DUMMYFUNCTION("""COMPUTED_VALUE"""),"Two arrested")</f>
        <v>Two arrested</v>
      </c>
      <c r="AA101" s="1" t="str">
        <f ca="1">IFERROR(__xludf.DUMMYFUNCTION("""COMPUTED_VALUE"""),"No")</f>
        <v>No</v>
      </c>
      <c r="AB101" s="1" t="str">
        <f ca="1">IFERROR(__xludf.DUMMYFUNCTION("""COMPUTED_VALUE"""),"No")</f>
        <v>No</v>
      </c>
      <c r="AC101" s="1" t="str">
        <f ca="1">IFERROR(__xludf.DUMMYFUNCTION("""COMPUTED_VALUE"""),"No")</f>
        <v>No</v>
      </c>
      <c r="AD101" s="1" t="str">
        <f ca="1">IFERROR(__xludf.DUMMYFUNCTION("""COMPUTED_VALUE"""),"No")</f>
        <v>No</v>
      </c>
      <c r="AE101" s="1" t="str">
        <f ca="1">IFERROR(__xludf.DUMMYFUNCTION("""COMPUTED_VALUE"""),"No")</f>
        <v>No</v>
      </c>
      <c r="AF101" s="1"/>
      <c r="AG101" s="1" t="str">
        <f ca="1">IFERROR(__xludf.DUMMYFUNCTION("""COMPUTED_VALUE"""),"No")</f>
        <v>No</v>
      </c>
      <c r="AH101" s="1">
        <f ca="1">IFERROR(__xludf.DUMMYFUNCTION("""COMPUTED_VALUE"""),2)</f>
        <v>2</v>
      </c>
    </row>
    <row r="102" spans="1:34" ht="12.5">
      <c r="A102" s="1" t="str">
        <f ca="1">IFERROR(__xludf.DUMMYFUNCTION("""COMPUTED_VALUE"""),"20231205NCVAH")</f>
        <v>20231205NCVAH</v>
      </c>
      <c r="B102" s="1">
        <f ca="1">IFERROR(__xludf.DUMMYFUNCTION("""COMPUTED_VALUE"""),12)</f>
        <v>12</v>
      </c>
      <c r="C102" s="1">
        <f ca="1">IFERROR(__xludf.DUMMYFUNCTION("""COMPUTED_VALUE"""),5)</f>
        <v>5</v>
      </c>
      <c r="D102" s="1">
        <f ca="1">IFERROR(__xludf.DUMMYFUNCTION("""COMPUTED_VALUE"""),2023)</f>
        <v>2023</v>
      </c>
      <c r="E102" s="4">
        <f ca="1">IFERROR(__xludf.DUMMYFUNCTION("""COMPUTED_VALUE"""),45265)</f>
        <v>45265</v>
      </c>
      <c r="F102" s="1" t="str">
        <f ca="1">IFERROR(__xludf.DUMMYFUNCTION("""COMPUTED_VALUE"""),"Vance County High School")</f>
        <v>Vance County High School</v>
      </c>
      <c r="G102" s="1">
        <f ca="1">IFERROR(__xludf.DUMMYFUNCTION("""COMPUTED_VALUE"""),0)</f>
        <v>0</v>
      </c>
      <c r="H102" s="1">
        <f ca="1">IFERROR(__xludf.DUMMYFUNCTION("""COMPUTED_VALUE"""),0)</f>
        <v>0</v>
      </c>
      <c r="I102" s="1">
        <f ca="1">IFERROR(__xludf.DUMMYFUNCTION("""COMPUTED_VALUE"""),0)</f>
        <v>0</v>
      </c>
      <c r="J102" s="1">
        <f ca="1">IFERROR(__xludf.DUMMYFUNCTION("""COMPUTED_VALUE"""),0)</f>
        <v>0</v>
      </c>
      <c r="K102" s="1" t="str">
        <f ca="1">IFERROR(__xludf.DUMMYFUNCTION("""COMPUTED_VALUE"""),"Winter")</f>
        <v>Winter</v>
      </c>
      <c r="L102" s="1" t="str">
        <f ca="1">IFERROR(__xludf.DUMMYFUNCTION("""COMPUTED_VALUE"""),"Hendersonville")</f>
        <v>Hendersonville</v>
      </c>
      <c r="M102" s="1" t="str">
        <f ca="1">IFERROR(__xludf.DUMMYFUNCTION("""COMPUTED_VALUE"""),"NC")</f>
        <v>NC</v>
      </c>
      <c r="N102" s="1" t="str">
        <f ca="1">IFERROR(__xludf.DUMMYFUNCTION("""COMPUTED_VALUE"""),"High")</f>
        <v>High</v>
      </c>
      <c r="O102" s="1" t="str">
        <f ca="1">IFERROR(__xludf.DUMMYFUNCTION("""COMPUTED_VALUE"""),"Parking Lot")</f>
        <v>Parking Lot</v>
      </c>
      <c r="P102" s="1" t="str">
        <f ca="1">IFERROR(__xludf.DUMMYFUNCTION("""COMPUTED_VALUE"""),"Outside on School Property")</f>
        <v>Outside on School Property</v>
      </c>
      <c r="Q102" s="1" t="str">
        <f ca="1">IFERROR(__xludf.DUMMYFUNCTION("""COMPUTED_VALUE"""),"No")</f>
        <v>No</v>
      </c>
      <c r="R102" s="1" t="str">
        <f ca="1">IFERROR(__xludf.DUMMYFUNCTION("""COMPUTED_VALUE"""),"Sport Event")</f>
        <v>Sport Event</v>
      </c>
      <c r="S102" s="5">
        <f ca="1">IFERROR(__xludf.DUMMYFUNCTION("""COMPUTED_VALUE"""),0.833333333333333)</f>
        <v>0.83333333333333304</v>
      </c>
      <c r="T102" s="1">
        <f ca="1">IFERROR(__xludf.DUMMYFUNCTION("""COMPUTED_VALUE"""),1)</f>
        <v>1</v>
      </c>
      <c r="U102" s="1" t="str">
        <f ca="1">IFERROR(__xludf.DUMMYFUNCTION("""COMPUTED_VALUE"""),"20 shots fired during large fight at high school basketball game")</f>
        <v>20 shots fired during large fight at high school basketball game</v>
      </c>
      <c r="V102" s="1" t="str">
        <f ca="1">IFERROR(__xludf.DUMMYFUNCTION("""COMPUTED_VALUE"""),"Twenty shots were fired outside of the school when a large fight inside the gym ended the high school basketball game early. Fight continued outside.")</f>
        <v>Twenty shots were fired outside of the school when a large fight inside the gym ended the high school basketball game early. Fight continued outside.</v>
      </c>
      <c r="W102" s="1" t="str">
        <f ca="1">IFERROR(__xludf.DUMMYFUNCTION("""COMPUTED_VALUE"""),"Escalation of Dispute")</f>
        <v>Escalation of Dispute</v>
      </c>
      <c r="X102" s="1" t="str">
        <f ca="1">IFERROR(__xludf.DUMMYFUNCTION("""COMPUTED_VALUE"""),"Both")</f>
        <v>Both</v>
      </c>
      <c r="Y102" s="1"/>
      <c r="Z102" s="1"/>
      <c r="AA102" s="1" t="str">
        <f ca="1">IFERROR(__xludf.DUMMYFUNCTION("""COMPUTED_VALUE"""),"No")</f>
        <v>No</v>
      </c>
      <c r="AB102" s="1" t="str">
        <f ca="1">IFERROR(__xludf.DUMMYFUNCTION("""COMPUTED_VALUE"""),"No")</f>
        <v>No</v>
      </c>
      <c r="AC102" s="1" t="str">
        <f ca="1">IFERROR(__xludf.DUMMYFUNCTION("""COMPUTED_VALUE"""),"No")</f>
        <v>No</v>
      </c>
      <c r="AD102" s="1" t="str">
        <f ca="1">IFERROR(__xludf.DUMMYFUNCTION("""COMPUTED_VALUE"""),"No")</f>
        <v>No</v>
      </c>
      <c r="AE102" s="1" t="str">
        <f ca="1">IFERROR(__xludf.DUMMYFUNCTION("""COMPUTED_VALUE"""),"No")</f>
        <v>No</v>
      </c>
      <c r="AF102" s="1" t="str">
        <f ca="1">IFERROR(__xludf.DUMMYFUNCTION("""COMPUTED_VALUE"""),"No")</f>
        <v>No</v>
      </c>
      <c r="AG102" s="1" t="str">
        <f ca="1">IFERROR(__xludf.DUMMYFUNCTION("""COMPUTED_VALUE"""),"No")</f>
        <v>No</v>
      </c>
      <c r="AH102" s="1">
        <f ca="1">IFERROR(__xludf.DUMMYFUNCTION("""COMPUTED_VALUE"""),20)</f>
        <v>20</v>
      </c>
    </row>
    <row r="103" spans="1:34" ht="12.5">
      <c r="A103" s="1" t="str">
        <f ca="1">IFERROR(__xludf.DUMMYFUNCTION("""COMPUTED_VALUE"""),"20231205TXNOA")</f>
        <v>20231205TXNOA</v>
      </c>
      <c r="B103" s="1">
        <f ca="1">IFERROR(__xludf.DUMMYFUNCTION("""COMPUTED_VALUE"""),12)</f>
        <v>12</v>
      </c>
      <c r="C103" s="1">
        <f ca="1">IFERROR(__xludf.DUMMYFUNCTION("""COMPUTED_VALUE"""),5)</f>
        <v>5</v>
      </c>
      <c r="D103" s="1">
        <f ca="1">IFERROR(__xludf.DUMMYFUNCTION("""COMPUTED_VALUE"""),2023)</f>
        <v>2023</v>
      </c>
      <c r="E103" s="4">
        <f ca="1">IFERROR(__xludf.DUMMYFUNCTION("""COMPUTED_VALUE"""),45265)</f>
        <v>45265</v>
      </c>
      <c r="F103" s="1" t="str">
        <f ca="1">IFERROR(__xludf.DUMMYFUNCTION("""COMPUTED_VALUE"""),"Northeast Early College High School")</f>
        <v>Northeast Early College High School</v>
      </c>
      <c r="G103" s="1">
        <f ca="1">IFERROR(__xludf.DUMMYFUNCTION("""COMPUTED_VALUE"""),0)</f>
        <v>0</v>
      </c>
      <c r="H103" s="1">
        <f ca="1">IFERROR(__xludf.DUMMYFUNCTION("""COMPUTED_VALUE"""),1)</f>
        <v>1</v>
      </c>
      <c r="I103" s="1">
        <f ca="1">IFERROR(__xludf.DUMMYFUNCTION("""COMPUTED_VALUE"""),1)</f>
        <v>1</v>
      </c>
      <c r="J103" s="1">
        <f ca="1">IFERROR(__xludf.DUMMYFUNCTION("""COMPUTED_VALUE"""),0)</f>
        <v>0</v>
      </c>
      <c r="K103" s="1" t="str">
        <f ca="1">IFERROR(__xludf.DUMMYFUNCTION("""COMPUTED_VALUE"""),"Winter")</f>
        <v>Winter</v>
      </c>
      <c r="L103" s="1" t="str">
        <f ca="1">IFERROR(__xludf.DUMMYFUNCTION("""COMPUTED_VALUE"""),"Austin")</f>
        <v>Austin</v>
      </c>
      <c r="M103" s="1" t="str">
        <f ca="1">IFERROR(__xludf.DUMMYFUNCTION("""COMPUTED_VALUE"""),"TX")</f>
        <v>TX</v>
      </c>
      <c r="N103" s="1" t="str">
        <f ca="1">IFERROR(__xludf.DUMMYFUNCTION("""COMPUTED_VALUE"""),"High")</f>
        <v>High</v>
      </c>
      <c r="O103" s="1" t="str">
        <f ca="1">IFERROR(__xludf.DUMMYFUNCTION("""COMPUTED_VALUE"""),"Parking Lot")</f>
        <v>Parking Lot</v>
      </c>
      <c r="P103" s="1" t="str">
        <f ca="1">IFERROR(__xludf.DUMMYFUNCTION("""COMPUTED_VALUE"""),"Outside on School Property")</f>
        <v>Outside on School Property</v>
      </c>
      <c r="Q103" s="1" t="str">
        <f ca="1">IFERROR(__xludf.DUMMYFUNCTION("""COMPUTED_VALUE"""),"Yes")</f>
        <v>Yes</v>
      </c>
      <c r="R103" s="1" t="str">
        <f ca="1">IFERROR(__xludf.DUMMYFUNCTION("""COMPUTED_VALUE"""),"Morning Classes")</f>
        <v>Morning Classes</v>
      </c>
      <c r="S103" s="5">
        <f ca="1">IFERROR(__xludf.DUMMYFUNCTION("""COMPUTED_VALUE"""),0.444444444444444)</f>
        <v>0.44444444444444398</v>
      </c>
      <c r="T103" s="1">
        <f ca="1">IFERROR(__xludf.DUMMYFUNCTION("""COMPUTED_VALUE"""),1)</f>
        <v>1</v>
      </c>
      <c r="U103" s="1" t="str">
        <f ca="1">IFERROR(__xludf.DUMMYFUNCTION("""COMPUTED_VALUE"""),"Officer shot in school parking lot while patroling the campus, shooter fled and was arrested away from campus")</f>
        <v>Officer shot in school parking lot while patroling the campus, shooter fled and was arrested away from campus</v>
      </c>
      <c r="V103" s="1" t="str">
        <f ca="1">IFERROR(__xludf.DUMMYFUNCTION("""COMPUTED_VALUE"""),"A suspect has been arrested after an Austin ISD Police Department officer was shot and injured near Northeast Early College High School on Tuesday morning. Police are also investigating a connection with the incident and multiple other shootings that happ"&amp;"ened later on Tuesday. The shooting occurred around 10:40 a.m. near the school, located at 7105 Berkman Dr., near US 290. Officials told KVUE the officer was shot in ""an unprovoked way,"" where there had been no interaction between the officer and the su"&amp;"spect. AISD police confirmed the officer who was shot was hit in the leg. As of around 2:30 p.m., he was stable and was set to be released from the hospital later on Tuesday afternoon. The high school was placed on lockdown at 10:46 a.m. The Austin Police"&amp;" Department arrived on the scene shortly after, along with other law enforcement, first responders and investigators. The AISD Police Department said 15 different agencies responded to the scene. Around 2 p.m., the school conducted a controlled release af"&amp;"ter the campus was cleared. Students were bused to the Delco Activity Center. Classes cancelled on Wednesday.")</f>
        <v>A suspect has been arrested after an Austin ISD Police Department officer was shot and injured near Northeast Early College High School on Tuesday morning. Police are also investigating a connection with the incident and multiple other shootings that happened later on Tuesday. The shooting occurred around 10:40 a.m. near the school, located at 7105 Berkman Dr., near US 290. Officials told KVUE the officer was shot in "an unprovoked way," where there had been no interaction between the officer and the suspect. AISD police confirmed the officer who was shot was hit in the leg. As of around 2:30 p.m., he was stable and was set to be released from the hospital later on Tuesday afternoon. The high school was placed on lockdown at 10:46 a.m. The Austin Police Department arrived on the scene shortly after, along with other law enforcement, first responders and investigators. The AISD Police Department said 15 different agencies responded to the scene. Around 2 p.m., the school conducted a controlled release after the campus was cleared. Students were bused to the Delco Activity Center. Classes cancelled on Wednesday.</v>
      </c>
      <c r="W103" s="1"/>
      <c r="X103" s="1" t="str">
        <f ca="1">IFERROR(__xludf.DUMMYFUNCTION("""COMPUTED_VALUE"""),"Victims Targeted")</f>
        <v>Victims Targeted</v>
      </c>
      <c r="Y103" s="1" t="str">
        <f ca="1">IFERROR(__xludf.DUMMYFUNCTION("""COMPUTED_VALUE"""),"No")</f>
        <v>No</v>
      </c>
      <c r="Z103" s="1"/>
      <c r="AA103" s="1" t="str">
        <f ca="1">IFERROR(__xludf.DUMMYFUNCTION("""COMPUTED_VALUE"""),"No")</f>
        <v>No</v>
      </c>
      <c r="AB103" s="1" t="str">
        <f ca="1">IFERROR(__xludf.DUMMYFUNCTION("""COMPUTED_VALUE"""),"No")</f>
        <v>No</v>
      </c>
      <c r="AC103" s="1" t="str">
        <f ca="1">IFERROR(__xludf.DUMMYFUNCTION("""COMPUTED_VALUE"""),"No")</f>
        <v>No</v>
      </c>
      <c r="AD103" s="1" t="str">
        <f ca="1">IFERROR(__xludf.DUMMYFUNCTION("""COMPUTED_VALUE"""),"No")</f>
        <v>No</v>
      </c>
      <c r="AE103" s="1" t="str">
        <f ca="1">IFERROR(__xludf.DUMMYFUNCTION("""COMPUTED_VALUE"""),"No")</f>
        <v>No</v>
      </c>
      <c r="AF103" s="1" t="str">
        <f ca="1">IFERROR(__xludf.DUMMYFUNCTION("""COMPUTED_VALUE"""),"No")</f>
        <v>No</v>
      </c>
      <c r="AG103" s="1" t="str">
        <f ca="1">IFERROR(__xludf.DUMMYFUNCTION("""COMPUTED_VALUE"""),"No")</f>
        <v>No</v>
      </c>
      <c r="AH103" s="1"/>
    </row>
    <row r="104" spans="1:34" ht="12.5">
      <c r="A104" s="1" t="str">
        <f ca="1">IFERROR(__xludf.DUMMYFUNCTION("""COMPUTED_VALUE"""),"20231202VADRA")</f>
        <v>20231202VADRA</v>
      </c>
      <c r="B104" s="1">
        <f ca="1">IFERROR(__xludf.DUMMYFUNCTION("""COMPUTED_VALUE"""),12)</f>
        <v>12</v>
      </c>
      <c r="C104" s="1">
        <f ca="1">IFERROR(__xludf.DUMMYFUNCTION("""COMPUTED_VALUE"""),2)</f>
        <v>2</v>
      </c>
      <c r="D104" s="1">
        <f ca="1">IFERROR(__xludf.DUMMYFUNCTION("""COMPUTED_VALUE"""),2023)</f>
        <v>2023</v>
      </c>
      <c r="E104" s="4">
        <f ca="1">IFERROR(__xludf.DUMMYFUNCTION("""COMPUTED_VALUE"""),45262)</f>
        <v>45262</v>
      </c>
      <c r="F104" s="1" t="str">
        <f ca="1">IFERROR(__xludf.DUMMYFUNCTION("""COMPUTED_VALUE"""),"Dr. Charles R. Drew Elementary School")</f>
        <v>Dr. Charles R. Drew Elementary School</v>
      </c>
      <c r="G104" s="1">
        <f ca="1">IFERROR(__xludf.DUMMYFUNCTION("""COMPUTED_VALUE"""),0)</f>
        <v>0</v>
      </c>
      <c r="H104" s="1">
        <f ca="1">IFERROR(__xludf.DUMMYFUNCTION("""COMPUTED_VALUE"""),0)</f>
        <v>0</v>
      </c>
      <c r="I104" s="1">
        <f ca="1">IFERROR(__xludf.DUMMYFUNCTION("""COMPUTED_VALUE"""),0)</f>
        <v>0</v>
      </c>
      <c r="J104" s="1">
        <f ca="1">IFERROR(__xludf.DUMMYFUNCTION("""COMPUTED_VALUE"""),0)</f>
        <v>0</v>
      </c>
      <c r="K104" s="1" t="str">
        <f ca="1">IFERROR(__xludf.DUMMYFUNCTION("""COMPUTED_VALUE"""),"Winter")</f>
        <v>Winter</v>
      </c>
      <c r="L104" s="1" t="str">
        <f ca="1">IFERROR(__xludf.DUMMYFUNCTION("""COMPUTED_VALUE"""),"Arlington")</f>
        <v>Arlington</v>
      </c>
      <c r="M104" s="1" t="str">
        <f ca="1">IFERROR(__xludf.DUMMYFUNCTION("""COMPUTED_VALUE"""),"VA")</f>
        <v>VA</v>
      </c>
      <c r="N104" s="1" t="str">
        <f ca="1">IFERROR(__xludf.DUMMYFUNCTION("""COMPUTED_VALUE"""),"Elementary")</f>
        <v>Elementary</v>
      </c>
      <c r="O104" s="1" t="str">
        <f ca="1">IFERROR(__xludf.DUMMYFUNCTION("""COMPUTED_VALUE"""),"Parking Lot")</f>
        <v>Parking Lot</v>
      </c>
      <c r="P104" s="1" t="str">
        <f ca="1">IFERROR(__xludf.DUMMYFUNCTION("""COMPUTED_VALUE"""),"Outside on School Property")</f>
        <v>Outside on School Property</v>
      </c>
      <c r="Q104" s="1" t="str">
        <f ca="1">IFERROR(__xludf.DUMMYFUNCTION("""COMPUTED_VALUE"""),"No")</f>
        <v>No</v>
      </c>
      <c r="R104" s="1" t="str">
        <f ca="1">IFERROR(__xludf.DUMMYFUNCTION("""COMPUTED_VALUE"""),"Not a School Day")</f>
        <v>Not a School Day</v>
      </c>
      <c r="S104" s="1"/>
      <c r="T104" s="1"/>
      <c r="U104" s="1" t="str">
        <f ca="1">IFERROR(__xludf.DUMMYFUNCTION("""COMPUTED_VALUE"""),"Two men fired at a vehicle leaving the school parking lot")</f>
        <v>Two men fired at a vehicle leaving the school parking lot</v>
      </c>
      <c r="V104" s="1" t="str">
        <f ca="1">IFERROR(__xludf.DUMMYFUNCTION("""COMPUTED_VALUE"""),"Elijah Broadus, 21, and  Isaiah Grady, 18, were charged for their roles in a shooting in which at least one person in a group of six fired at a vehicle leaving the school parking lot on Dec. 2, Arlington County police said.")</f>
        <v>Elijah Broadus, 21, and  Isaiah Grady, 18, were charged for their roles in a shooting in which at least one person in a group of six fired at a vehicle leaving the school parking lot on Dec. 2, Arlington County police said.</v>
      </c>
      <c r="W104" s="1"/>
      <c r="X104" s="1" t="str">
        <f ca="1">IFERROR(__xludf.DUMMYFUNCTION("""COMPUTED_VALUE"""),"Victims Targeted")</f>
        <v>Victims Targeted</v>
      </c>
      <c r="Y104" s="1" t="str">
        <f ca="1">IFERROR(__xludf.DUMMYFUNCTION("""COMPUTED_VALUE"""),"Yes")</f>
        <v>Yes</v>
      </c>
      <c r="Z104" s="1"/>
      <c r="AA104" s="1" t="str">
        <f ca="1">IFERROR(__xludf.DUMMYFUNCTION("""COMPUTED_VALUE"""),"No")</f>
        <v>No</v>
      </c>
      <c r="AB104" s="1" t="str">
        <f ca="1">IFERROR(__xludf.DUMMYFUNCTION("""COMPUTED_VALUE"""),"No")</f>
        <v>No</v>
      </c>
      <c r="AC104" s="1" t="str">
        <f ca="1">IFERROR(__xludf.DUMMYFUNCTION("""COMPUTED_VALUE"""),"No")</f>
        <v>No</v>
      </c>
      <c r="AD104" s="1" t="str">
        <f ca="1">IFERROR(__xludf.DUMMYFUNCTION("""COMPUTED_VALUE"""),"No")</f>
        <v>No</v>
      </c>
      <c r="AE104" s="1" t="str">
        <f ca="1">IFERROR(__xludf.DUMMYFUNCTION("""COMPUTED_VALUE"""),"No")</f>
        <v>No</v>
      </c>
      <c r="AF104" s="1"/>
      <c r="AG104" s="1" t="str">
        <f ca="1">IFERROR(__xludf.DUMMYFUNCTION("""COMPUTED_VALUE"""),"No")</f>
        <v>No</v>
      </c>
      <c r="AH104" s="1">
        <f ca="1">IFERROR(__xludf.DUMMYFUNCTION("""COMPUTED_VALUE"""),99)</f>
        <v>99</v>
      </c>
    </row>
    <row r="105" spans="1:34" ht="12.5">
      <c r="A105" s="1" t="str">
        <f ca="1">IFERROR(__xludf.DUMMYFUNCTION("""COMPUTED_VALUE"""),"20231201OHBUA")</f>
        <v>20231201OHBUA</v>
      </c>
      <c r="B105" s="1">
        <f ca="1">IFERROR(__xludf.DUMMYFUNCTION("""COMPUTED_VALUE"""),12)</f>
        <v>12</v>
      </c>
      <c r="C105" s="1">
        <f ca="1">IFERROR(__xludf.DUMMYFUNCTION("""COMPUTED_VALUE"""),1)</f>
        <v>1</v>
      </c>
      <c r="D105" s="1">
        <f ca="1">IFERROR(__xludf.DUMMYFUNCTION("""COMPUTED_VALUE"""),2023)</f>
        <v>2023</v>
      </c>
      <c r="E105" s="4">
        <f ca="1">IFERROR(__xludf.DUMMYFUNCTION("""COMPUTED_VALUE"""),45261)</f>
        <v>45261</v>
      </c>
      <c r="F105" s="1" t="str">
        <f ca="1">IFERROR(__xludf.DUMMYFUNCTION("""COMPUTED_VALUE"""),"Buchtel High School")</f>
        <v>Buchtel High School</v>
      </c>
      <c r="G105" s="1">
        <f ca="1">IFERROR(__xludf.DUMMYFUNCTION("""COMPUTED_VALUE"""),0)</f>
        <v>0</v>
      </c>
      <c r="H105" s="1">
        <f ca="1">IFERROR(__xludf.DUMMYFUNCTION("""COMPUTED_VALUE"""),0)</f>
        <v>0</v>
      </c>
      <c r="I105" s="1">
        <f ca="1">IFERROR(__xludf.DUMMYFUNCTION("""COMPUTED_VALUE"""),0)</f>
        <v>0</v>
      </c>
      <c r="J105" s="1">
        <f ca="1">IFERROR(__xludf.DUMMYFUNCTION("""COMPUTED_VALUE"""),0)</f>
        <v>0</v>
      </c>
      <c r="K105" s="1" t="str">
        <f ca="1">IFERROR(__xludf.DUMMYFUNCTION("""COMPUTED_VALUE"""),"Winter")</f>
        <v>Winter</v>
      </c>
      <c r="L105" s="1" t="str">
        <f ca="1">IFERROR(__xludf.DUMMYFUNCTION("""COMPUTED_VALUE"""),"Akron")</f>
        <v>Akron</v>
      </c>
      <c r="M105" s="1" t="str">
        <f ca="1">IFERROR(__xludf.DUMMYFUNCTION("""COMPUTED_VALUE"""),"OH")</f>
        <v>OH</v>
      </c>
      <c r="N105" s="1" t="str">
        <f ca="1">IFERROR(__xludf.DUMMYFUNCTION("""COMPUTED_VALUE"""),"High")</f>
        <v>High</v>
      </c>
      <c r="O105" s="1" t="str">
        <f ca="1">IFERROR(__xludf.DUMMYFUNCTION("""COMPUTED_VALUE"""),"Front of School")</f>
        <v>Front of School</v>
      </c>
      <c r="P105" s="1" t="str">
        <f ca="1">IFERROR(__xludf.DUMMYFUNCTION("""COMPUTED_VALUE"""),"Outside on School Property")</f>
        <v>Outside on School Property</v>
      </c>
      <c r="Q105" s="1" t="str">
        <f ca="1">IFERROR(__xludf.DUMMYFUNCTION("""COMPUTED_VALUE"""),"Yes")</f>
        <v>Yes</v>
      </c>
      <c r="R105" s="1" t="str">
        <f ca="1">IFERROR(__xludf.DUMMYFUNCTION("""COMPUTED_VALUE"""),"Dismissal")</f>
        <v>Dismissal</v>
      </c>
      <c r="S105" s="5">
        <f ca="1">IFERROR(__xludf.DUMMYFUNCTION("""COMPUTED_VALUE"""),0.642361111111111)</f>
        <v>0.64236111111111105</v>
      </c>
      <c r="T105" s="1">
        <f ca="1">IFERROR(__xludf.DUMMYFUNCTION("""COMPUTED_VALUE"""),1)</f>
        <v>1</v>
      </c>
      <c r="U105" s="1" t="str">
        <f ca="1">IFERROR(__xludf.DUMMYFUNCTION("""COMPUTED_VALUE"""),"Teen attempted to pull replica rifle loaded with .223 ammo during fight, subdued by SRO")</f>
        <v>Teen attempted to pull replica rifle loaded with .223 ammo during fight, subdued by SRO</v>
      </c>
      <c r="V105" s="1" t="str">
        <f ca="1">IFERROR(__xludf.DUMMYFUNCTION("""COMPUTED_VALUE"""),"Akron police arrested a 15-year-old who they said had live ammunition in an airsoft-type gun after they were called to a fight outside Buchtel CLC Friday afternoon. The call came just after dismissal around 3:25 p.m., when APS safety team members said the"&amp;"y saw at least three male teens in a fight. Two of the teens are presumed students at the school, while the 15-year-old police arrested was not. Police said safety team members saw the 15-year-old with what appeared to be the end of a firearm concealed an"&amp;"d sticking out of his waistband. Police said the other two teens involved in the fight fled the scene, and the school resource officer joined the safety team members, who were actively struggling to restrain the armed teen on the ground.")</f>
        <v>Akron police arrested a 15-year-old who they said had live ammunition in an airsoft-type gun after they were called to a fight outside Buchtel CLC Friday afternoon. The call came just after dismissal around 3:25 p.m., when APS safety team members said they saw at least three male teens in a fight. Two of the teens are presumed students at the school, while the 15-year-old police arrested was not. Police said safety team members saw the 15-year-old with what appeared to be the end of a firearm concealed and sticking out of his waistband. Police said the other two teens involved in the fight fled the scene, and the school resource officer joined the safety team members, who were actively struggling to restrain the armed teen on the ground.</v>
      </c>
      <c r="W105" s="1" t="str">
        <f ca="1">IFERROR(__xludf.DUMMYFUNCTION("""COMPUTED_VALUE"""),"Escalation of Dispute")</f>
        <v>Escalation of Dispute</v>
      </c>
      <c r="X105" s="1" t="str">
        <f ca="1">IFERROR(__xludf.DUMMYFUNCTION("""COMPUTED_VALUE"""),"Victims Targeted")</f>
        <v>Victims Targeted</v>
      </c>
      <c r="Y105" s="1" t="str">
        <f ca="1">IFERROR(__xludf.DUMMYFUNCTION("""COMPUTED_VALUE"""),"No")</f>
        <v>No</v>
      </c>
      <c r="Z105" s="1"/>
      <c r="AA105" s="1" t="str">
        <f ca="1">IFERROR(__xludf.DUMMYFUNCTION("""COMPUTED_VALUE"""),"No")</f>
        <v>No</v>
      </c>
      <c r="AB105" s="1" t="str">
        <f ca="1">IFERROR(__xludf.DUMMYFUNCTION("""COMPUTED_VALUE"""),"No")</f>
        <v>No</v>
      </c>
      <c r="AC105" s="1" t="str">
        <f ca="1">IFERROR(__xludf.DUMMYFUNCTION("""COMPUTED_VALUE"""),"No")</f>
        <v>No</v>
      </c>
      <c r="AD105" s="1" t="str">
        <f ca="1">IFERROR(__xludf.DUMMYFUNCTION("""COMPUTED_VALUE"""),"No")</f>
        <v>No</v>
      </c>
      <c r="AE105" s="1" t="str">
        <f ca="1">IFERROR(__xludf.DUMMYFUNCTION("""COMPUTED_VALUE"""),"No")</f>
        <v>No</v>
      </c>
      <c r="AF105" s="1"/>
      <c r="AG105" s="1" t="str">
        <f ca="1">IFERROR(__xludf.DUMMYFUNCTION("""COMPUTED_VALUE"""),"No")</f>
        <v>No</v>
      </c>
      <c r="AH105" s="1">
        <f ca="1">IFERROR(__xludf.DUMMYFUNCTION("""COMPUTED_VALUE"""),0)</f>
        <v>0</v>
      </c>
    </row>
    <row r="106" spans="1:34" ht="12.5">
      <c r="A106" s="1" t="str">
        <f ca="1">IFERROR(__xludf.DUMMYFUNCTION("""COMPUTED_VALUE"""),"20231201OHNOC")</f>
        <v>20231201OHNOC</v>
      </c>
      <c r="B106" s="1">
        <f ca="1">IFERROR(__xludf.DUMMYFUNCTION("""COMPUTED_VALUE"""),12)</f>
        <v>12</v>
      </c>
      <c r="C106" s="1">
        <f ca="1">IFERROR(__xludf.DUMMYFUNCTION("""COMPUTED_VALUE"""),1)</f>
        <v>1</v>
      </c>
      <c r="D106" s="1">
        <f ca="1">IFERROR(__xludf.DUMMYFUNCTION("""COMPUTED_VALUE"""),2023)</f>
        <v>2023</v>
      </c>
      <c r="E106" s="4">
        <f ca="1">IFERROR(__xludf.DUMMYFUNCTION("""COMPUTED_VALUE"""),45261)</f>
        <v>45261</v>
      </c>
      <c r="F106" s="1" t="str">
        <f ca="1">IFERROR(__xludf.DUMMYFUNCTION("""COMPUTED_VALUE"""),"North College Hill High School")</f>
        <v>North College Hill High School</v>
      </c>
      <c r="G106" s="1">
        <f ca="1">IFERROR(__xludf.DUMMYFUNCTION("""COMPUTED_VALUE"""),0)</f>
        <v>0</v>
      </c>
      <c r="H106" s="1">
        <f ca="1">IFERROR(__xludf.DUMMYFUNCTION("""COMPUTED_VALUE"""),1)</f>
        <v>1</v>
      </c>
      <c r="I106" s="1">
        <f ca="1">IFERROR(__xludf.DUMMYFUNCTION("""COMPUTED_VALUE"""),1)</f>
        <v>1</v>
      </c>
      <c r="J106" s="1">
        <f ca="1">IFERROR(__xludf.DUMMYFUNCTION("""COMPUTED_VALUE"""),0)</f>
        <v>0</v>
      </c>
      <c r="K106" s="1" t="str">
        <f ca="1">IFERROR(__xludf.DUMMYFUNCTION("""COMPUTED_VALUE"""),"Winter")</f>
        <v>Winter</v>
      </c>
      <c r="L106" s="1" t="str">
        <f ca="1">IFERROR(__xludf.DUMMYFUNCTION("""COMPUTED_VALUE"""),"Cincinnati")</f>
        <v>Cincinnati</v>
      </c>
      <c r="M106" s="1" t="str">
        <f ca="1">IFERROR(__xludf.DUMMYFUNCTION("""COMPUTED_VALUE"""),"OH")</f>
        <v>OH</v>
      </c>
      <c r="N106" s="1" t="str">
        <f ca="1">IFERROR(__xludf.DUMMYFUNCTION("""COMPUTED_VALUE"""),"High")</f>
        <v>High</v>
      </c>
      <c r="O106" s="1" t="str">
        <f ca="1">IFERROR(__xludf.DUMMYFUNCTION("""COMPUTED_VALUE"""),"Football Field/Track")</f>
        <v>Football Field/Track</v>
      </c>
      <c r="P106" s="1" t="str">
        <f ca="1">IFERROR(__xludf.DUMMYFUNCTION("""COMPUTED_VALUE"""),"Outside on School Property")</f>
        <v>Outside on School Property</v>
      </c>
      <c r="Q106" s="1" t="str">
        <f ca="1">IFERROR(__xludf.DUMMYFUNCTION("""COMPUTED_VALUE"""),"Yes")</f>
        <v>Yes</v>
      </c>
      <c r="R106" s="1" t="str">
        <f ca="1">IFERROR(__xludf.DUMMYFUNCTION("""COMPUTED_VALUE"""),"Afternoon Classes")</f>
        <v>Afternoon Classes</v>
      </c>
      <c r="S106" s="5">
        <f ca="1">IFERROR(__xludf.DUMMYFUNCTION("""COMPUTED_VALUE"""),0.583333333333333)</f>
        <v>0.58333333333333304</v>
      </c>
      <c r="T106" s="1">
        <f ca="1">IFERROR(__xludf.DUMMYFUNCTION("""COMPUTED_VALUE"""),1)</f>
        <v>1</v>
      </c>
      <c r="U106" s="1" t="str">
        <f ca="1">IFERROR(__xludf.DUMMYFUNCTION("""COMPUTED_VALUE"""),"Man shot near the football field during an altercation between adults, school went on lockdown")</f>
        <v>Man shot near the football field during an altercation between adults, school went on lockdown</v>
      </c>
      <c r="V106" s="1" t="str">
        <f ca="1">IFERROR(__xludf.DUMMYFUNCTION("""COMPUTED_VALUE"""),"Man shot near the football field during an altercation between adults. Shooter fled  school and school went on lockdown.")</f>
        <v>Man shot near the football field during an altercation between adults. Shooter fled  school and school went on lockdown.</v>
      </c>
      <c r="W106" s="1" t="str">
        <f ca="1">IFERROR(__xludf.DUMMYFUNCTION("""COMPUTED_VALUE"""),"Escalation of Dispute")</f>
        <v>Escalation of Dispute</v>
      </c>
      <c r="X106" s="1" t="str">
        <f ca="1">IFERROR(__xludf.DUMMYFUNCTION("""COMPUTED_VALUE"""),"Victims Targeted")</f>
        <v>Victims Targeted</v>
      </c>
      <c r="Y106" s="1" t="str">
        <f ca="1">IFERROR(__xludf.DUMMYFUNCTION("""COMPUTED_VALUE"""),"No")</f>
        <v>No</v>
      </c>
      <c r="Z106" s="1"/>
      <c r="AA106" s="1" t="str">
        <f ca="1">IFERROR(__xludf.DUMMYFUNCTION("""COMPUTED_VALUE"""),"No")</f>
        <v>No</v>
      </c>
      <c r="AB106" s="1" t="str">
        <f ca="1">IFERROR(__xludf.DUMMYFUNCTION("""COMPUTED_VALUE"""),"No")</f>
        <v>No</v>
      </c>
      <c r="AC106" s="1" t="str">
        <f ca="1">IFERROR(__xludf.DUMMYFUNCTION("""COMPUTED_VALUE"""),"No")</f>
        <v>No</v>
      </c>
      <c r="AD106" s="1" t="str">
        <f ca="1">IFERROR(__xludf.DUMMYFUNCTION("""COMPUTED_VALUE"""),"No")</f>
        <v>No</v>
      </c>
      <c r="AE106" s="1" t="str">
        <f ca="1">IFERROR(__xludf.DUMMYFUNCTION("""COMPUTED_VALUE"""),"No")</f>
        <v>No</v>
      </c>
      <c r="AF106" s="1" t="str">
        <f ca="1">IFERROR(__xludf.DUMMYFUNCTION("""COMPUTED_VALUE"""),"No")</f>
        <v>No</v>
      </c>
      <c r="AG106" s="1" t="str">
        <f ca="1">IFERROR(__xludf.DUMMYFUNCTION("""COMPUTED_VALUE"""),"No")</f>
        <v>No</v>
      </c>
      <c r="AH106" s="1">
        <f ca="1">IFERROR(__xludf.DUMMYFUNCTION("""COMPUTED_VALUE"""),99)</f>
        <v>99</v>
      </c>
    </row>
    <row r="107" spans="1:34" ht="12.5">
      <c r="A107" s="1" t="str">
        <f ca="1">IFERROR(__xludf.DUMMYFUNCTION("""COMPUTED_VALUE"""),"20231201DCKIW")</f>
        <v>20231201DCKIW</v>
      </c>
      <c r="B107" s="1">
        <f ca="1">IFERROR(__xludf.DUMMYFUNCTION("""COMPUTED_VALUE"""),12)</f>
        <v>12</v>
      </c>
      <c r="C107" s="1">
        <f ca="1">IFERROR(__xludf.DUMMYFUNCTION("""COMPUTED_VALUE"""),1)</f>
        <v>1</v>
      </c>
      <c r="D107" s="1">
        <f ca="1">IFERROR(__xludf.DUMMYFUNCTION("""COMPUTED_VALUE"""),2023)</f>
        <v>2023</v>
      </c>
      <c r="E107" s="4">
        <f ca="1">IFERROR(__xludf.DUMMYFUNCTION("""COMPUTED_VALUE"""),45261)</f>
        <v>45261</v>
      </c>
      <c r="F107" s="1" t="str">
        <f ca="1">IFERROR(__xludf.DUMMYFUNCTION("""COMPUTED_VALUE"""),"KIPP DC College Preparatory School")</f>
        <v>KIPP DC College Preparatory School</v>
      </c>
      <c r="G107" s="1">
        <f ca="1">IFERROR(__xludf.DUMMYFUNCTION("""COMPUTED_VALUE"""),0)</f>
        <v>0</v>
      </c>
      <c r="H107" s="1">
        <f ca="1">IFERROR(__xludf.DUMMYFUNCTION("""COMPUTED_VALUE"""),1)</f>
        <v>1</v>
      </c>
      <c r="I107" s="1">
        <f ca="1">IFERROR(__xludf.DUMMYFUNCTION("""COMPUTED_VALUE"""),1)</f>
        <v>1</v>
      </c>
      <c r="J107" s="1">
        <f ca="1">IFERROR(__xludf.DUMMYFUNCTION("""COMPUTED_VALUE"""),0)</f>
        <v>0</v>
      </c>
      <c r="K107" s="1" t="str">
        <f ca="1">IFERROR(__xludf.DUMMYFUNCTION("""COMPUTED_VALUE"""),"Winter")</f>
        <v>Winter</v>
      </c>
      <c r="L107" s="1" t="str">
        <f ca="1">IFERROR(__xludf.DUMMYFUNCTION("""COMPUTED_VALUE"""),"Washington")</f>
        <v>Washington</v>
      </c>
      <c r="M107" s="1" t="str">
        <f ca="1">IFERROR(__xludf.DUMMYFUNCTION("""COMPUTED_VALUE"""),"DC")</f>
        <v>DC</v>
      </c>
      <c r="N107" s="1" t="str">
        <f ca="1">IFERROR(__xludf.DUMMYFUNCTION("""COMPUTED_VALUE"""),"High")</f>
        <v>High</v>
      </c>
      <c r="O107" s="1" t="str">
        <f ca="1">IFERROR(__xludf.DUMMYFUNCTION("""COMPUTED_VALUE"""),"Front of School")</f>
        <v>Front of School</v>
      </c>
      <c r="P107" s="1" t="str">
        <f ca="1">IFERROR(__xludf.DUMMYFUNCTION("""COMPUTED_VALUE"""),"Outside on School Property")</f>
        <v>Outside on School Property</v>
      </c>
      <c r="Q107" s="1" t="str">
        <f ca="1">IFERROR(__xludf.DUMMYFUNCTION("""COMPUTED_VALUE"""),"Yes")</f>
        <v>Yes</v>
      </c>
      <c r="R107" s="1" t="str">
        <f ca="1">IFERROR(__xludf.DUMMYFUNCTION("""COMPUTED_VALUE"""),"Morning Classes")</f>
        <v>Morning Classes</v>
      </c>
      <c r="S107" s="5">
        <f ca="1">IFERROR(__xludf.DUMMYFUNCTION("""COMPUTED_VALUE"""),0.4375)</f>
        <v>0.4375</v>
      </c>
      <c r="T107" s="1">
        <f ca="1">IFERROR(__xludf.DUMMYFUNCTION("""COMPUTED_VALUE"""),1)</f>
        <v>1</v>
      </c>
      <c r="U107" s="1" t="str">
        <f ca="1">IFERROR(__xludf.DUMMYFUNCTION("""COMPUTED_VALUE"""),"Student shot in front of school during morning classes, went inside the school for help")</f>
        <v>Student shot in front of school during morning classes, went inside the school for help</v>
      </c>
      <c r="V107" s="1" t="str">
        <f ca="1">IFERROR(__xludf.DUMMYFUNCTION("""COMPUTED_VALUE"""),"A student at the school was shot near Brentwood Parkway and Sixth Street NE at about 10:30 a.m., police said. He was hit in the calf, was able to make it into the school and was taken to a hospital. Police believe the driver of a white sedan pulled up to "&amp;"the boy and at least one person inside opened fire. As many as 10 shell casings could be seen in the street.")</f>
        <v>A student at the school was shot near Brentwood Parkway and Sixth Street NE at about 10:30 a.m., police said. He was hit in the calf, was able to make it into the school and was taken to a hospital. Police believe the driver of a white sedan pulled up to the boy and at least one person inside opened fire. As many as 10 shell casings could be seen in the street.</v>
      </c>
      <c r="W107" s="1" t="str">
        <f ca="1">IFERROR(__xludf.DUMMYFUNCTION("""COMPUTED_VALUE"""),"Drive-by Shooting")</f>
        <v>Drive-by Shooting</v>
      </c>
      <c r="X107" s="1" t="str">
        <f ca="1">IFERROR(__xludf.DUMMYFUNCTION("""COMPUTED_VALUE"""),"Victims Targeted")</f>
        <v>Victims Targeted</v>
      </c>
      <c r="Y107" s="1" t="str">
        <f ca="1">IFERROR(__xludf.DUMMYFUNCTION("""COMPUTED_VALUE"""),"Yes")</f>
        <v>Yes</v>
      </c>
      <c r="Z107" s="1" t="str">
        <f ca="1">IFERROR(__xludf.DUMMYFUNCTION("""COMPUTED_VALUE"""),"Multiple in car")</f>
        <v>Multiple in car</v>
      </c>
      <c r="AA107" s="1" t="str">
        <f ca="1">IFERROR(__xludf.DUMMYFUNCTION("""COMPUTED_VALUE"""),"No")</f>
        <v>No</v>
      </c>
      <c r="AB107" s="1" t="str">
        <f ca="1">IFERROR(__xludf.DUMMYFUNCTION("""COMPUTED_VALUE"""),"No")</f>
        <v>No</v>
      </c>
      <c r="AC107" s="1" t="str">
        <f ca="1">IFERROR(__xludf.DUMMYFUNCTION("""COMPUTED_VALUE"""),"No")</f>
        <v>No</v>
      </c>
      <c r="AD107" s="1" t="str">
        <f ca="1">IFERROR(__xludf.DUMMYFUNCTION("""COMPUTED_VALUE"""),"No")</f>
        <v>No</v>
      </c>
      <c r="AE107" s="1" t="str">
        <f ca="1">IFERROR(__xludf.DUMMYFUNCTION("""COMPUTED_VALUE"""),"No")</f>
        <v>No</v>
      </c>
      <c r="AF107" s="1"/>
      <c r="AG107" s="1" t="str">
        <f ca="1">IFERROR(__xludf.DUMMYFUNCTION("""COMPUTED_VALUE"""),"No")</f>
        <v>No</v>
      </c>
      <c r="AH107" s="1">
        <f ca="1">IFERROR(__xludf.DUMMYFUNCTION("""COMPUTED_VALUE"""),10)</f>
        <v>10</v>
      </c>
    </row>
    <row r="108" spans="1:34" ht="12.5">
      <c r="A108" s="1" t="str">
        <f ca="1">IFERROR(__xludf.DUMMYFUNCTION("""COMPUTED_VALUE"""),"20231130TXBUH")</f>
        <v>20231130TXBUH</v>
      </c>
      <c r="B108" s="1">
        <f ca="1">IFERROR(__xludf.DUMMYFUNCTION("""COMPUTED_VALUE"""),11)</f>
        <v>11</v>
      </c>
      <c r="C108" s="1">
        <f ca="1">IFERROR(__xludf.DUMMYFUNCTION("""COMPUTED_VALUE"""),30)</f>
        <v>30</v>
      </c>
      <c r="D108" s="1">
        <f ca="1">IFERROR(__xludf.DUMMYFUNCTION("""COMPUTED_VALUE"""),2023)</f>
        <v>2023</v>
      </c>
      <c r="E108" s="4">
        <f ca="1">IFERROR(__xludf.DUMMYFUNCTION("""COMPUTED_VALUE"""),45260)</f>
        <v>45260</v>
      </c>
      <c r="F108" s="1" t="str">
        <f ca="1">IFERROR(__xludf.DUMMYFUNCTION("""COMPUTED_VALUE"""),"Buffalo Creek Elementary")</f>
        <v>Buffalo Creek Elementary</v>
      </c>
      <c r="G108" s="1">
        <f ca="1">IFERROR(__xludf.DUMMYFUNCTION("""COMPUTED_VALUE"""),0)</f>
        <v>0</v>
      </c>
      <c r="H108" s="1">
        <f ca="1">IFERROR(__xludf.DUMMYFUNCTION("""COMPUTED_VALUE"""),0)</f>
        <v>0</v>
      </c>
      <c r="I108" s="1">
        <f ca="1">IFERROR(__xludf.DUMMYFUNCTION("""COMPUTED_VALUE"""),0)</f>
        <v>0</v>
      </c>
      <c r="J108" s="1">
        <f ca="1">IFERROR(__xludf.DUMMYFUNCTION("""COMPUTED_VALUE"""),1)</f>
        <v>1</v>
      </c>
      <c r="K108" s="1" t="str">
        <f ca="1">IFERROR(__xludf.DUMMYFUNCTION("""COMPUTED_VALUE"""),"Fall")</f>
        <v>Fall</v>
      </c>
      <c r="L108" s="1" t="str">
        <f ca="1">IFERROR(__xludf.DUMMYFUNCTION("""COMPUTED_VALUE"""),"Houston")</f>
        <v>Houston</v>
      </c>
      <c r="M108" s="1" t="str">
        <f ca="1">IFERROR(__xludf.DUMMYFUNCTION("""COMPUTED_VALUE"""),"TX")</f>
        <v>TX</v>
      </c>
      <c r="N108" s="1" t="str">
        <f ca="1">IFERROR(__xludf.DUMMYFUNCTION("""COMPUTED_VALUE"""),"Elementary")</f>
        <v>Elementary</v>
      </c>
      <c r="O108" s="1" t="str">
        <f ca="1">IFERROR(__xludf.DUMMYFUNCTION("""COMPUTED_VALUE"""),"Front of School")</f>
        <v>Front of School</v>
      </c>
      <c r="P108" s="1" t="str">
        <f ca="1">IFERROR(__xludf.DUMMYFUNCTION("""COMPUTED_VALUE"""),"Outside on School Property")</f>
        <v>Outside on School Property</v>
      </c>
      <c r="Q108" s="1" t="str">
        <f ca="1">IFERROR(__xludf.DUMMYFUNCTION("""COMPUTED_VALUE"""),"Yes")</f>
        <v>Yes</v>
      </c>
      <c r="R108" s="1" t="str">
        <f ca="1">IFERROR(__xludf.DUMMYFUNCTION("""COMPUTED_VALUE"""),"School Start")</f>
        <v>School Start</v>
      </c>
      <c r="S108" s="5">
        <f ca="1">IFERROR(__xludf.DUMMYFUNCTION("""COMPUTED_VALUE"""),0.3125)</f>
        <v>0.3125</v>
      </c>
      <c r="T108" s="1">
        <f ca="1">IFERROR(__xludf.DUMMYFUNCTION("""COMPUTED_VALUE"""),1)</f>
        <v>1</v>
      </c>
      <c r="U108" s="1" t="str">
        <f ca="1">IFERROR(__xludf.DUMMYFUNCTION("""COMPUTED_VALUE"""),"SRO fatally shot man attempting to carjack parent during student dropoff")</f>
        <v>SRO fatally shot man attempting to carjack parent during student dropoff</v>
      </c>
      <c r="V108" s="1" t="str">
        <f ca="1">IFERROR(__xludf.DUMMYFUNCTION("""COMPUTED_VALUE"""),"A 12-year veteran of the Spring Branch ISD Police Department acted in self-defense when he fatally shot the suspected murderer and carjacker, estimated to be about 30 years old, at about 7:30 a.m. Thursday in the 2800 block of Campbell Road, according to "&amp;"school district police chief Larry Baimbridge. He said the officer pursued the now-deceased man after he unsuccessfully tried to carjack a woman who was dropping off her children at nearby Buffalo Creek Elementary, subsequently stealing another car and si"&amp;"deswiping several other vehicles and a school bus during a brief chase. Man fired shot at officer before being killed.")</f>
        <v>A 12-year veteran of the Spring Branch ISD Police Department acted in self-defense when he fatally shot the suspected murderer and carjacker, estimated to be about 30 years old, at about 7:30 a.m. Thursday in the 2800 block of Campbell Road, according to school district police chief Larry Baimbridge. He said the officer pursued the now-deceased man after he unsuccessfully tried to carjack a woman who was dropping off her children at nearby Buffalo Creek Elementary, subsequently stealing another car and sideswiping several other vehicles and a school bus during a brief chase. Man fired shot at officer before being killed.</v>
      </c>
      <c r="W108" s="1" t="str">
        <f ca="1">IFERROR(__xludf.DUMMYFUNCTION("""COMPUTED_VALUE"""),"Illegal Activity")</f>
        <v>Illegal Activity</v>
      </c>
      <c r="X108" s="1" t="str">
        <f ca="1">IFERROR(__xludf.DUMMYFUNCTION("""COMPUTED_VALUE"""),"Random Shooting")</f>
        <v>Random Shooting</v>
      </c>
      <c r="Y108" s="1" t="str">
        <f ca="1">IFERROR(__xludf.DUMMYFUNCTION("""COMPUTED_VALUE"""),"No")</f>
        <v>No</v>
      </c>
      <c r="Z108" s="1"/>
      <c r="AA108" s="1" t="str">
        <f ca="1">IFERROR(__xludf.DUMMYFUNCTION("""COMPUTED_VALUE"""),"No")</f>
        <v>No</v>
      </c>
      <c r="AB108" s="1" t="str">
        <f ca="1">IFERROR(__xludf.DUMMYFUNCTION("""COMPUTED_VALUE"""),"No")</f>
        <v>No</v>
      </c>
      <c r="AC108" s="1" t="str">
        <f ca="1">IFERROR(__xludf.DUMMYFUNCTION("""COMPUTED_VALUE"""),"No")</f>
        <v>No</v>
      </c>
      <c r="AD108" s="1" t="str">
        <f ca="1">IFERROR(__xludf.DUMMYFUNCTION("""COMPUTED_VALUE"""),"No")</f>
        <v>No</v>
      </c>
      <c r="AE108" s="1" t="str">
        <f ca="1">IFERROR(__xludf.DUMMYFUNCTION("""COMPUTED_VALUE"""),"No")</f>
        <v>No</v>
      </c>
      <c r="AF108" s="1" t="str">
        <f ca="1">IFERROR(__xludf.DUMMYFUNCTION("""COMPUTED_VALUE"""),"No")</f>
        <v>No</v>
      </c>
      <c r="AG108" s="1" t="str">
        <f ca="1">IFERROR(__xludf.DUMMYFUNCTION("""COMPUTED_VALUE"""),"No")</f>
        <v>No</v>
      </c>
      <c r="AH108" s="1">
        <f ca="1">IFERROR(__xludf.DUMMYFUNCTION("""COMPUTED_VALUE"""),1)</f>
        <v>1</v>
      </c>
    </row>
    <row r="109" spans="1:34" ht="12.5">
      <c r="A109" s="1" t="str">
        <f ca="1">IFERROR(__xludf.DUMMYFUNCTION("""COMPUTED_VALUE"""),"20231129OHMAT")</f>
        <v>20231129OHMAT</v>
      </c>
      <c r="B109" s="1">
        <f ca="1">IFERROR(__xludf.DUMMYFUNCTION("""COMPUTED_VALUE"""),11)</f>
        <v>11</v>
      </c>
      <c r="C109" s="1">
        <f ca="1">IFERROR(__xludf.DUMMYFUNCTION("""COMPUTED_VALUE"""),29)</f>
        <v>29</v>
      </c>
      <c r="D109" s="1">
        <f ca="1">IFERROR(__xludf.DUMMYFUNCTION("""COMPUTED_VALUE"""),2023)</f>
        <v>2023</v>
      </c>
      <c r="E109" s="4">
        <f ca="1">IFERROR(__xludf.DUMMYFUNCTION("""COMPUTED_VALUE"""),45259)</f>
        <v>45259</v>
      </c>
      <c r="F109" s="1" t="str">
        <f ca="1">IFERROR(__xludf.DUMMYFUNCTION("""COMPUTED_VALUE"""),"Martin Luther King Jr. Academy for Boys")</f>
        <v>Martin Luther King Jr. Academy for Boys</v>
      </c>
      <c r="G109" s="1">
        <f ca="1">IFERROR(__xludf.DUMMYFUNCTION("""COMPUTED_VALUE"""),0)</f>
        <v>0</v>
      </c>
      <c r="H109" s="1">
        <f ca="1">IFERROR(__xludf.DUMMYFUNCTION("""COMPUTED_VALUE"""),0)</f>
        <v>0</v>
      </c>
      <c r="I109" s="1">
        <f ca="1">IFERROR(__xludf.DUMMYFUNCTION("""COMPUTED_VALUE"""),0)</f>
        <v>0</v>
      </c>
      <c r="J109" s="1">
        <f ca="1">IFERROR(__xludf.DUMMYFUNCTION("""COMPUTED_VALUE"""),0)</f>
        <v>0</v>
      </c>
      <c r="K109" s="1" t="str">
        <f ca="1">IFERROR(__xludf.DUMMYFUNCTION("""COMPUTED_VALUE"""),"Fall")</f>
        <v>Fall</v>
      </c>
      <c r="L109" s="1" t="str">
        <f ca="1">IFERROR(__xludf.DUMMYFUNCTION("""COMPUTED_VALUE"""),"Toledo")</f>
        <v>Toledo</v>
      </c>
      <c r="M109" s="1" t="str">
        <f ca="1">IFERROR(__xludf.DUMMYFUNCTION("""COMPUTED_VALUE"""),"OH")</f>
        <v>OH</v>
      </c>
      <c r="N109" s="1" t="str">
        <f ca="1">IFERROR(__xludf.DUMMYFUNCTION("""COMPUTED_VALUE"""),"Middle")</f>
        <v>Middle</v>
      </c>
      <c r="O109" s="1" t="str">
        <f ca="1">IFERROR(__xludf.DUMMYFUNCTION("""COMPUTED_VALUE"""),"Beside Building")</f>
        <v>Beside Building</v>
      </c>
      <c r="P109" s="1" t="str">
        <f ca="1">IFERROR(__xludf.DUMMYFUNCTION("""COMPUTED_VALUE"""),"Outside on School Property")</f>
        <v>Outside on School Property</v>
      </c>
      <c r="Q109" s="1" t="str">
        <f ca="1">IFERROR(__xludf.DUMMYFUNCTION("""COMPUTED_VALUE"""),"Yes")</f>
        <v>Yes</v>
      </c>
      <c r="R109" s="1"/>
      <c r="S109" s="1"/>
      <c r="T109" s="1">
        <f ca="1">IFERROR(__xludf.DUMMYFUNCTION("""COMPUTED_VALUE"""),1)</f>
        <v>1</v>
      </c>
      <c r="U109" s="1" t="str">
        <f ca="1">IFERROR(__xludf.DUMMYFUNCTION("""COMPUTED_VALUE"""),"Teen fired 7 shots behind school causing lockdown")</f>
        <v>Teen fired 7 shots behind school causing lockdown</v>
      </c>
      <c r="V109" s="1" t="str">
        <f ca="1">IFERROR(__xludf.DUMMYFUNCTION("""COMPUTED_VALUE"""),"According to Toledo police, Mykeile Crawford, 18, fired a pistol seven times in an alley near Martin Luther King, Jr. Academy for Boys, prompting the school to go on lockdown for a brief time. TPD responded to the location after getting a ShotSpotter aler"&amp;"t and later arrested Crawford. He is charged with improperly discharging a firearm near a school and is being held on a $20,000 bond.")</f>
        <v>According to Toledo police, Mykeile Crawford, 18, fired a pistol seven times in an alley near Martin Luther King, Jr. Academy for Boys, prompting the school to go on lockdown for a brief time. TPD responded to the location after getting a ShotSpotter alert and later arrested Crawford. He is charged with improperly discharging a firearm near a school and is being held on a $20,000 bond.</v>
      </c>
      <c r="W109" s="1"/>
      <c r="X109" s="1"/>
      <c r="Y109" s="1" t="str">
        <f ca="1">IFERROR(__xludf.DUMMYFUNCTION("""COMPUTED_VALUE"""),"No")</f>
        <v>No</v>
      </c>
      <c r="Z109" s="1"/>
      <c r="AA109" s="1" t="str">
        <f ca="1">IFERROR(__xludf.DUMMYFUNCTION("""COMPUTED_VALUE"""),"No")</f>
        <v>No</v>
      </c>
      <c r="AB109" s="1" t="str">
        <f ca="1">IFERROR(__xludf.DUMMYFUNCTION("""COMPUTED_VALUE"""),"No")</f>
        <v>No</v>
      </c>
      <c r="AC109" s="1" t="str">
        <f ca="1">IFERROR(__xludf.DUMMYFUNCTION("""COMPUTED_VALUE"""),"No")</f>
        <v>No</v>
      </c>
      <c r="AD109" s="1" t="str">
        <f ca="1">IFERROR(__xludf.DUMMYFUNCTION("""COMPUTED_VALUE"""),"No")</f>
        <v>No</v>
      </c>
      <c r="AE109" s="1" t="str">
        <f ca="1">IFERROR(__xludf.DUMMYFUNCTION("""COMPUTED_VALUE"""),"No")</f>
        <v>No</v>
      </c>
      <c r="AF109" s="1"/>
      <c r="AG109" s="1" t="str">
        <f ca="1">IFERROR(__xludf.DUMMYFUNCTION("""COMPUTED_VALUE"""),"No")</f>
        <v>No</v>
      </c>
      <c r="AH109" s="1">
        <f ca="1">IFERROR(__xludf.DUMMYFUNCTION("""COMPUTED_VALUE"""),7)</f>
        <v>7</v>
      </c>
    </row>
    <row r="110" spans="1:34" ht="12.5">
      <c r="A110" s="1" t="str">
        <f ca="1">IFERROR(__xludf.DUMMYFUNCTION("""COMPUTED_VALUE"""),"20231128TXNOH")</f>
        <v>20231128TXNOH</v>
      </c>
      <c r="B110" s="1">
        <f ca="1">IFERROR(__xludf.DUMMYFUNCTION("""COMPUTED_VALUE"""),11)</f>
        <v>11</v>
      </c>
      <c r="C110" s="1">
        <f ca="1">IFERROR(__xludf.DUMMYFUNCTION("""COMPUTED_VALUE"""),28)</f>
        <v>28</v>
      </c>
      <c r="D110" s="1">
        <f ca="1">IFERROR(__xludf.DUMMYFUNCTION("""COMPUTED_VALUE"""),2023)</f>
        <v>2023</v>
      </c>
      <c r="E110" s="4">
        <f ca="1">IFERROR(__xludf.DUMMYFUNCTION("""COMPUTED_VALUE"""),45258)</f>
        <v>45258</v>
      </c>
      <c r="F110" s="1" t="str">
        <f ca="1">IFERROR(__xludf.DUMMYFUNCTION("""COMPUTED_VALUE"""),"Northside High School")</f>
        <v>Northside High School</v>
      </c>
      <c r="G110" s="1">
        <f ca="1">IFERROR(__xludf.DUMMYFUNCTION("""COMPUTED_VALUE"""),0)</f>
        <v>0</v>
      </c>
      <c r="H110" s="1">
        <f ca="1">IFERROR(__xludf.DUMMYFUNCTION("""COMPUTED_VALUE"""),1)</f>
        <v>1</v>
      </c>
      <c r="I110" s="1">
        <f ca="1">IFERROR(__xludf.DUMMYFUNCTION("""COMPUTED_VALUE"""),1)</f>
        <v>1</v>
      </c>
      <c r="J110" s="1">
        <f ca="1">IFERROR(__xludf.DUMMYFUNCTION("""COMPUTED_VALUE"""),0)</f>
        <v>0</v>
      </c>
      <c r="K110" s="1" t="str">
        <f ca="1">IFERROR(__xludf.DUMMYFUNCTION("""COMPUTED_VALUE"""),"Fall")</f>
        <v>Fall</v>
      </c>
      <c r="L110" s="1" t="str">
        <f ca="1">IFERROR(__xludf.DUMMYFUNCTION("""COMPUTED_VALUE"""),"Houston")</f>
        <v>Houston</v>
      </c>
      <c r="M110" s="1" t="str">
        <f ca="1">IFERROR(__xludf.DUMMYFUNCTION("""COMPUTED_VALUE"""),"TX")</f>
        <v>TX</v>
      </c>
      <c r="N110" s="1" t="str">
        <f ca="1">IFERROR(__xludf.DUMMYFUNCTION("""COMPUTED_VALUE"""),"High")</f>
        <v>High</v>
      </c>
      <c r="O110" s="1" t="str">
        <f ca="1">IFERROR(__xludf.DUMMYFUNCTION("""COMPUTED_VALUE"""),"Parking Lot")</f>
        <v>Parking Lot</v>
      </c>
      <c r="P110" s="1" t="str">
        <f ca="1">IFERROR(__xludf.DUMMYFUNCTION("""COMPUTED_VALUE"""),"Outside on School Property")</f>
        <v>Outside on School Property</v>
      </c>
      <c r="Q110" s="1" t="str">
        <f ca="1">IFERROR(__xludf.DUMMYFUNCTION("""COMPUTED_VALUE"""),"Yes")</f>
        <v>Yes</v>
      </c>
      <c r="R110" s="1" t="str">
        <f ca="1">IFERROR(__xludf.DUMMYFUNCTION("""COMPUTED_VALUE"""),"Afternoon Classes")</f>
        <v>Afternoon Classes</v>
      </c>
      <c r="S110" s="5">
        <f ca="1">IFERROR(__xludf.DUMMYFUNCTION("""COMPUTED_VALUE"""),0.541666666666666)</f>
        <v>0.54166666666666596</v>
      </c>
      <c r="T110" s="1">
        <f ca="1">IFERROR(__xludf.DUMMYFUNCTION("""COMPUTED_VALUE"""),1)</f>
        <v>1</v>
      </c>
      <c r="U110" s="1" t="str">
        <f ca="1">IFERROR(__xludf.DUMMYFUNCTION("""COMPUTED_VALUE"""),"Teen shot during fight at school parking lot")</f>
        <v>Teen shot during fight at school parking lot</v>
      </c>
      <c r="V110" s="1" t="str">
        <f ca="1">IFERROR(__xludf.DUMMYFUNCTION("""COMPUTED_VALUE"""),"Teen shot during fight at the gate to the school parking lot. Three schools went on lockdown.")</f>
        <v>Teen shot during fight at the gate to the school parking lot. Three schools went on lockdown.</v>
      </c>
      <c r="W110" s="1" t="str">
        <f ca="1">IFERROR(__xludf.DUMMYFUNCTION("""COMPUTED_VALUE"""),"Escalation of Dispute")</f>
        <v>Escalation of Dispute</v>
      </c>
      <c r="X110" s="1" t="str">
        <f ca="1">IFERROR(__xludf.DUMMYFUNCTION("""COMPUTED_VALUE"""),"Victims Targeted")</f>
        <v>Victims Targeted</v>
      </c>
      <c r="Y110" s="1" t="str">
        <f ca="1">IFERROR(__xludf.DUMMYFUNCTION("""COMPUTED_VALUE"""),"Yes")</f>
        <v>Yes</v>
      </c>
      <c r="Z110" s="1" t="str">
        <f ca="1">IFERROR(__xludf.DUMMYFUNCTION("""COMPUTED_VALUE"""),"Two teens fled")</f>
        <v>Two teens fled</v>
      </c>
      <c r="AA110" s="1" t="str">
        <f ca="1">IFERROR(__xludf.DUMMYFUNCTION("""COMPUTED_VALUE"""),"No")</f>
        <v>No</v>
      </c>
      <c r="AB110" s="1" t="str">
        <f ca="1">IFERROR(__xludf.DUMMYFUNCTION("""COMPUTED_VALUE"""),"No")</f>
        <v>No</v>
      </c>
      <c r="AC110" s="1" t="str">
        <f ca="1">IFERROR(__xludf.DUMMYFUNCTION("""COMPUTED_VALUE"""),"No")</f>
        <v>No</v>
      </c>
      <c r="AD110" s="1" t="str">
        <f ca="1">IFERROR(__xludf.DUMMYFUNCTION("""COMPUTED_VALUE"""),"No")</f>
        <v>No</v>
      </c>
      <c r="AE110" s="1" t="str">
        <f ca="1">IFERROR(__xludf.DUMMYFUNCTION("""COMPUTED_VALUE"""),"No")</f>
        <v>No</v>
      </c>
      <c r="AF110" s="1" t="str">
        <f ca="1">IFERROR(__xludf.DUMMYFUNCTION("""COMPUTED_VALUE"""),"No")</f>
        <v>No</v>
      </c>
      <c r="AG110" s="1" t="str">
        <f ca="1">IFERROR(__xludf.DUMMYFUNCTION("""COMPUTED_VALUE"""),"No")</f>
        <v>No</v>
      </c>
      <c r="AH110" s="1">
        <f ca="1">IFERROR(__xludf.DUMMYFUNCTION("""COMPUTED_VALUE"""),99)</f>
        <v>99</v>
      </c>
    </row>
    <row r="111" spans="1:34" ht="12.5">
      <c r="A111" s="1" t="str">
        <f ca="1">IFERROR(__xludf.DUMMYFUNCTION("""COMPUTED_VALUE"""),"20231126OHEDD")</f>
        <v>20231126OHEDD</v>
      </c>
      <c r="B111" s="1">
        <f ca="1">IFERROR(__xludf.DUMMYFUNCTION("""COMPUTED_VALUE"""),11)</f>
        <v>11</v>
      </c>
      <c r="C111" s="1">
        <f ca="1">IFERROR(__xludf.DUMMYFUNCTION("""COMPUTED_VALUE"""),26)</f>
        <v>26</v>
      </c>
      <c r="D111" s="1">
        <f ca="1">IFERROR(__xludf.DUMMYFUNCTION("""COMPUTED_VALUE"""),2023)</f>
        <v>2023</v>
      </c>
      <c r="E111" s="4">
        <f ca="1">IFERROR(__xludf.DUMMYFUNCTION("""COMPUTED_VALUE"""),45256)</f>
        <v>45256</v>
      </c>
      <c r="F111" s="1" t="str">
        <f ca="1">IFERROR(__xludf.DUMMYFUNCTION("""COMPUTED_VALUE"""),"Edwin Joel Brown Middle School")</f>
        <v>Edwin Joel Brown Middle School</v>
      </c>
      <c r="G111" s="1">
        <f ca="1">IFERROR(__xludf.DUMMYFUNCTION("""COMPUTED_VALUE"""),0)</f>
        <v>0</v>
      </c>
      <c r="H111" s="1">
        <f ca="1">IFERROR(__xludf.DUMMYFUNCTION("""COMPUTED_VALUE"""),1)</f>
        <v>1</v>
      </c>
      <c r="I111" s="1">
        <f ca="1">IFERROR(__xludf.DUMMYFUNCTION("""COMPUTED_VALUE"""),1)</f>
        <v>1</v>
      </c>
      <c r="J111" s="1">
        <f ca="1">IFERROR(__xludf.DUMMYFUNCTION("""COMPUTED_VALUE"""),0)</f>
        <v>0</v>
      </c>
      <c r="K111" s="1" t="str">
        <f ca="1">IFERROR(__xludf.DUMMYFUNCTION("""COMPUTED_VALUE"""),"Fall")</f>
        <v>Fall</v>
      </c>
      <c r="L111" s="1" t="str">
        <f ca="1">IFERROR(__xludf.DUMMYFUNCTION("""COMPUTED_VALUE"""),"Dayton")</f>
        <v>Dayton</v>
      </c>
      <c r="M111" s="1" t="str">
        <f ca="1">IFERROR(__xludf.DUMMYFUNCTION("""COMPUTED_VALUE"""),"OH")</f>
        <v>OH</v>
      </c>
      <c r="N111" s="1" t="str">
        <f ca="1">IFERROR(__xludf.DUMMYFUNCTION("""COMPUTED_VALUE"""),"Middle")</f>
        <v>Middle</v>
      </c>
      <c r="O111" s="1" t="str">
        <f ca="1">IFERROR(__xludf.DUMMYFUNCTION("""COMPUTED_VALUE"""),"Outside on School Property")</f>
        <v>Outside on School Property</v>
      </c>
      <c r="P111" s="1" t="str">
        <f ca="1">IFERROR(__xludf.DUMMYFUNCTION("""COMPUTED_VALUE"""),"Outside on School Property")</f>
        <v>Outside on School Property</v>
      </c>
      <c r="Q111" s="1" t="str">
        <f ca="1">IFERROR(__xludf.DUMMYFUNCTION("""COMPUTED_VALUE"""),"No")</f>
        <v>No</v>
      </c>
      <c r="R111" s="1" t="str">
        <f ca="1">IFERROR(__xludf.DUMMYFUNCTION("""COMPUTED_VALUE"""),"Not a School Day")</f>
        <v>Not a School Day</v>
      </c>
      <c r="S111" s="5">
        <f ca="1">IFERROR(__xludf.DUMMYFUNCTION("""COMPUTED_VALUE"""),0.736111111111111)</f>
        <v>0.73611111111111105</v>
      </c>
      <c r="T111" s="1">
        <f ca="1">IFERROR(__xludf.DUMMYFUNCTION("""COMPUTED_VALUE"""),1)</f>
        <v>1</v>
      </c>
      <c r="U111" s="1" t="str">
        <f ca="1">IFERROR(__xludf.DUMMYFUNCTION("""COMPUTED_VALUE"""),"Teen shot behind school during robbery")</f>
        <v>Teen shot behind school during robbery</v>
      </c>
      <c r="V111" s="1" t="str">
        <f ca="1">IFERROR(__xludf.DUMMYFUNCTION("""COMPUTED_VALUE"""),"Teen shot behind school during robbery. Shooter fled.")</f>
        <v>Teen shot behind school during robbery. Shooter fled.</v>
      </c>
      <c r="W111" s="1" t="str">
        <f ca="1">IFERROR(__xludf.DUMMYFUNCTION("""COMPUTED_VALUE"""),"Illegal Activity")</f>
        <v>Illegal Activity</v>
      </c>
      <c r="X111" s="1" t="str">
        <f ca="1">IFERROR(__xludf.DUMMYFUNCTION("""COMPUTED_VALUE"""),"Victims Targeted")</f>
        <v>Victims Targeted</v>
      </c>
      <c r="Y111" s="1" t="str">
        <f ca="1">IFERROR(__xludf.DUMMYFUNCTION("""COMPUTED_VALUE"""),"Yes")</f>
        <v>Yes</v>
      </c>
      <c r="Z111" s="1" t="str">
        <f ca="1">IFERROR(__xludf.DUMMYFUNCTION("""COMPUTED_VALUE"""),"Two teens fled")</f>
        <v>Two teens fled</v>
      </c>
      <c r="AA111" s="1" t="str">
        <f ca="1">IFERROR(__xludf.DUMMYFUNCTION("""COMPUTED_VALUE"""),"No")</f>
        <v>No</v>
      </c>
      <c r="AB111" s="1" t="str">
        <f ca="1">IFERROR(__xludf.DUMMYFUNCTION("""COMPUTED_VALUE"""),"No")</f>
        <v>No</v>
      </c>
      <c r="AC111" s="1" t="str">
        <f ca="1">IFERROR(__xludf.DUMMYFUNCTION("""COMPUTED_VALUE"""),"No")</f>
        <v>No</v>
      </c>
      <c r="AD111" s="1" t="str">
        <f ca="1">IFERROR(__xludf.DUMMYFUNCTION("""COMPUTED_VALUE"""),"No")</f>
        <v>No</v>
      </c>
      <c r="AE111" s="1" t="str">
        <f ca="1">IFERROR(__xludf.DUMMYFUNCTION("""COMPUTED_VALUE"""),"No")</f>
        <v>No</v>
      </c>
      <c r="AF111" s="1" t="str">
        <f ca="1">IFERROR(__xludf.DUMMYFUNCTION("""COMPUTED_VALUE"""),"No")</f>
        <v>No</v>
      </c>
      <c r="AG111" s="1" t="str">
        <f ca="1">IFERROR(__xludf.DUMMYFUNCTION("""COMPUTED_VALUE"""),"No")</f>
        <v>No</v>
      </c>
      <c r="AH111" s="1"/>
    </row>
    <row r="112" spans="1:34" ht="12.5">
      <c r="A112" s="1" t="str">
        <f ca="1">IFERROR(__xludf.DUMMYFUNCTION("""COMPUTED_VALUE"""),"20231123OHSOC")</f>
        <v>20231123OHSOC</v>
      </c>
      <c r="B112" s="1">
        <f ca="1">IFERROR(__xludf.DUMMYFUNCTION("""COMPUTED_VALUE"""),11)</f>
        <v>11</v>
      </c>
      <c r="C112" s="1">
        <f ca="1">IFERROR(__xludf.DUMMYFUNCTION("""COMPUTED_VALUE"""),23)</f>
        <v>23</v>
      </c>
      <c r="D112" s="1">
        <f ca="1">IFERROR(__xludf.DUMMYFUNCTION("""COMPUTED_VALUE"""),2023)</f>
        <v>2023</v>
      </c>
      <c r="E112" s="4">
        <f ca="1">IFERROR(__xludf.DUMMYFUNCTION("""COMPUTED_VALUE"""),45253)</f>
        <v>45253</v>
      </c>
      <c r="F112" s="1" t="str">
        <f ca="1">IFERROR(__xludf.DUMMYFUNCTION("""COMPUTED_VALUE"""),"South Avondale Elementary School")</f>
        <v>South Avondale Elementary School</v>
      </c>
      <c r="G112" s="1">
        <f ca="1">IFERROR(__xludf.DUMMYFUNCTION("""COMPUTED_VALUE"""),0)</f>
        <v>0</v>
      </c>
      <c r="H112" s="1">
        <f ca="1">IFERROR(__xludf.DUMMYFUNCTION("""COMPUTED_VALUE"""),1)</f>
        <v>1</v>
      </c>
      <c r="I112" s="1">
        <f ca="1">IFERROR(__xludf.DUMMYFUNCTION("""COMPUTED_VALUE"""),1)</f>
        <v>1</v>
      </c>
      <c r="J112" s="1">
        <f ca="1">IFERROR(__xludf.DUMMYFUNCTION("""COMPUTED_VALUE"""),0)</f>
        <v>0</v>
      </c>
      <c r="K112" s="1" t="str">
        <f ca="1">IFERROR(__xludf.DUMMYFUNCTION("""COMPUTED_VALUE"""),"Fall")</f>
        <v>Fall</v>
      </c>
      <c r="L112" s="1" t="str">
        <f ca="1">IFERROR(__xludf.DUMMYFUNCTION("""COMPUTED_VALUE"""),"Cincinnati")</f>
        <v>Cincinnati</v>
      </c>
      <c r="M112" s="1" t="str">
        <f ca="1">IFERROR(__xludf.DUMMYFUNCTION("""COMPUTED_VALUE"""),"OH")</f>
        <v>OH</v>
      </c>
      <c r="N112" s="1" t="str">
        <f ca="1">IFERROR(__xludf.DUMMYFUNCTION("""COMPUTED_VALUE"""),"Elementary")</f>
        <v>Elementary</v>
      </c>
      <c r="O112" s="1" t="str">
        <f ca="1">IFERROR(__xludf.DUMMYFUNCTION("""COMPUTED_VALUE"""),"Football Field/Track")</f>
        <v>Football Field/Track</v>
      </c>
      <c r="P112" s="1" t="str">
        <f ca="1">IFERROR(__xludf.DUMMYFUNCTION("""COMPUTED_VALUE"""),"Outside on School Property")</f>
        <v>Outside on School Property</v>
      </c>
      <c r="Q112" s="1" t="str">
        <f ca="1">IFERROR(__xludf.DUMMYFUNCTION("""COMPUTED_VALUE"""),"No")</f>
        <v>No</v>
      </c>
      <c r="R112" s="1" t="str">
        <f ca="1">IFERROR(__xludf.DUMMYFUNCTION("""COMPUTED_VALUE"""),"Not a School Day")</f>
        <v>Not a School Day</v>
      </c>
      <c r="S112" s="5">
        <f ca="1">IFERROR(__xludf.DUMMYFUNCTION("""COMPUTED_VALUE"""),0.513888888888888)</f>
        <v>0.51388888888888795</v>
      </c>
      <c r="T112" s="1">
        <f ca="1">IFERROR(__xludf.DUMMYFUNCTION("""COMPUTED_VALUE"""),1)</f>
        <v>1</v>
      </c>
      <c r="U112" s="1" t="str">
        <f ca="1">IFERROR(__xludf.DUMMYFUNCTION("""COMPUTED_VALUE"""),"Man shot on the school football field during family Thanksgiving game")</f>
        <v>Man shot on the school football field during family Thanksgiving game</v>
      </c>
      <c r="V112" s="1" t="str">
        <f ca="1">IFERROR(__xludf.DUMMYFUNCTION("""COMPUTED_VALUE"""),"Man shot on the school football field during family Thanksgiving game")</f>
        <v>Man shot on the school football field during family Thanksgiving game</v>
      </c>
      <c r="W112" s="1"/>
      <c r="X112" s="1" t="str">
        <f ca="1">IFERROR(__xludf.DUMMYFUNCTION("""COMPUTED_VALUE"""),"Victims Targeted")</f>
        <v>Victims Targeted</v>
      </c>
      <c r="Y112" s="1" t="str">
        <f ca="1">IFERROR(__xludf.DUMMYFUNCTION("""COMPUTED_VALUE"""),"No")</f>
        <v>No</v>
      </c>
      <c r="Z112" s="1"/>
      <c r="AA112" s="1" t="str">
        <f ca="1">IFERROR(__xludf.DUMMYFUNCTION("""COMPUTED_VALUE"""),"No")</f>
        <v>No</v>
      </c>
      <c r="AB112" s="1" t="str">
        <f ca="1">IFERROR(__xludf.DUMMYFUNCTION("""COMPUTED_VALUE"""),"No")</f>
        <v>No</v>
      </c>
      <c r="AC112" s="1" t="str">
        <f ca="1">IFERROR(__xludf.DUMMYFUNCTION("""COMPUTED_VALUE"""),"No")</f>
        <v>No</v>
      </c>
      <c r="AD112" s="1" t="str">
        <f ca="1">IFERROR(__xludf.DUMMYFUNCTION("""COMPUTED_VALUE"""),"No")</f>
        <v>No</v>
      </c>
      <c r="AE112" s="1" t="str">
        <f ca="1">IFERROR(__xludf.DUMMYFUNCTION("""COMPUTED_VALUE"""),"No")</f>
        <v>No</v>
      </c>
      <c r="AF112" s="1" t="str">
        <f ca="1">IFERROR(__xludf.DUMMYFUNCTION("""COMPUTED_VALUE"""),"No")</f>
        <v>No</v>
      </c>
      <c r="AG112" s="1" t="str">
        <f ca="1">IFERROR(__xludf.DUMMYFUNCTION("""COMPUTED_VALUE"""),"No")</f>
        <v>No</v>
      </c>
      <c r="AH112" s="1"/>
    </row>
    <row r="113" spans="1:34" ht="12.5">
      <c r="A113" s="1" t="str">
        <f ca="1">IFERROR(__xludf.DUMMYFUNCTION("""COMPUTED_VALUE"""),"20231119ILURU")</f>
        <v>20231119ILURU</v>
      </c>
      <c r="B113" s="1">
        <f ca="1">IFERROR(__xludf.DUMMYFUNCTION("""COMPUTED_VALUE"""),11)</f>
        <v>11</v>
      </c>
      <c r="C113" s="1">
        <f ca="1">IFERROR(__xludf.DUMMYFUNCTION("""COMPUTED_VALUE"""),19)</f>
        <v>19</v>
      </c>
      <c r="D113" s="1">
        <f ca="1">IFERROR(__xludf.DUMMYFUNCTION("""COMPUTED_VALUE"""),2023)</f>
        <v>2023</v>
      </c>
      <c r="E113" s="4">
        <f ca="1">IFERROR(__xludf.DUMMYFUNCTION("""COMPUTED_VALUE"""),45249)</f>
        <v>45249</v>
      </c>
      <c r="F113" s="1" t="str">
        <f ca="1">IFERROR(__xludf.DUMMYFUNCTION("""COMPUTED_VALUE"""),"Urbana High School")</f>
        <v>Urbana High School</v>
      </c>
      <c r="G113" s="1">
        <f ca="1">IFERROR(__xludf.DUMMYFUNCTION("""COMPUTED_VALUE"""),0)</f>
        <v>0</v>
      </c>
      <c r="H113" s="1">
        <f ca="1">IFERROR(__xludf.DUMMYFUNCTION("""COMPUTED_VALUE"""),1)</f>
        <v>1</v>
      </c>
      <c r="I113" s="1">
        <f ca="1">IFERROR(__xludf.DUMMYFUNCTION("""COMPUTED_VALUE"""),1)</f>
        <v>1</v>
      </c>
      <c r="J113" s="1">
        <f ca="1">IFERROR(__xludf.DUMMYFUNCTION("""COMPUTED_VALUE"""),0)</f>
        <v>0</v>
      </c>
      <c r="K113" s="1" t="str">
        <f ca="1">IFERROR(__xludf.DUMMYFUNCTION("""COMPUTED_VALUE"""),"Fall")</f>
        <v>Fall</v>
      </c>
      <c r="L113" s="1" t="str">
        <f ca="1">IFERROR(__xludf.DUMMYFUNCTION("""COMPUTED_VALUE"""),"Urbana")</f>
        <v>Urbana</v>
      </c>
      <c r="M113" s="1" t="str">
        <f ca="1">IFERROR(__xludf.DUMMYFUNCTION("""COMPUTED_VALUE"""),"IL")</f>
        <v>IL</v>
      </c>
      <c r="N113" s="1" t="str">
        <f ca="1">IFERROR(__xludf.DUMMYFUNCTION("""COMPUTED_VALUE"""),"High")</f>
        <v>High</v>
      </c>
      <c r="O113" s="1" t="str">
        <f ca="1">IFERROR(__xludf.DUMMYFUNCTION("""COMPUTED_VALUE"""),"Beside Building")</f>
        <v>Beside Building</v>
      </c>
      <c r="P113" s="1" t="str">
        <f ca="1">IFERROR(__xludf.DUMMYFUNCTION("""COMPUTED_VALUE"""),"Outside on School Property")</f>
        <v>Outside on School Property</v>
      </c>
      <c r="Q113" s="1" t="str">
        <f ca="1">IFERROR(__xludf.DUMMYFUNCTION("""COMPUTED_VALUE"""),"No")</f>
        <v>No</v>
      </c>
      <c r="R113" s="1" t="str">
        <f ca="1">IFERROR(__xludf.DUMMYFUNCTION("""COMPUTED_VALUE"""),"Not a School Day")</f>
        <v>Not a School Day</v>
      </c>
      <c r="S113" s="5">
        <f ca="1">IFERROR(__xludf.DUMMYFUNCTION("""COMPUTED_VALUE"""),0.571527777777777)</f>
        <v>0.57152777777777697</v>
      </c>
      <c r="T113" s="1">
        <f ca="1">IFERROR(__xludf.DUMMYFUNCTION("""COMPUTED_VALUE"""),1)</f>
        <v>1</v>
      </c>
      <c r="U113" s="1" t="str">
        <f ca="1">IFERROR(__xludf.DUMMYFUNCTION("""COMPUTED_VALUE"""),"Man shot outside of school gym")</f>
        <v>Man shot outside of school gym</v>
      </c>
      <c r="V113" s="1" t="str">
        <f ca="1">IFERROR(__xludf.DUMMYFUNCTION("""COMPUTED_VALUE"""),"Following a dispute at the apartment complex across the street, a man was chased onto the school campus and shot next to the school gym. The school CCTV system recorded the shooting. Man was transported to the hospital.")</f>
        <v>Following a dispute at the apartment complex across the street, a man was chased onto the school campus and shot next to the school gym. The school CCTV system recorded the shooting. Man was transported to the hospital.</v>
      </c>
      <c r="W113" s="1" t="str">
        <f ca="1">IFERROR(__xludf.DUMMYFUNCTION("""COMPUTED_VALUE"""),"Escalation of Dispute")</f>
        <v>Escalation of Dispute</v>
      </c>
      <c r="X113" s="1" t="str">
        <f ca="1">IFERROR(__xludf.DUMMYFUNCTION("""COMPUTED_VALUE"""),"Victims Targeted")</f>
        <v>Victims Targeted</v>
      </c>
      <c r="Y113" s="1" t="str">
        <f ca="1">IFERROR(__xludf.DUMMYFUNCTION("""COMPUTED_VALUE"""),"No")</f>
        <v>No</v>
      </c>
      <c r="Z113" s="1"/>
      <c r="AA113" s="1" t="str">
        <f ca="1">IFERROR(__xludf.DUMMYFUNCTION("""COMPUTED_VALUE"""),"No")</f>
        <v>No</v>
      </c>
      <c r="AB113" s="1" t="str">
        <f ca="1">IFERROR(__xludf.DUMMYFUNCTION("""COMPUTED_VALUE"""),"No")</f>
        <v>No</v>
      </c>
      <c r="AC113" s="1" t="str">
        <f ca="1">IFERROR(__xludf.DUMMYFUNCTION("""COMPUTED_VALUE"""),"No")</f>
        <v>No</v>
      </c>
      <c r="AD113" s="1" t="str">
        <f ca="1">IFERROR(__xludf.DUMMYFUNCTION("""COMPUTED_VALUE"""),"No")</f>
        <v>No</v>
      </c>
      <c r="AE113" s="1" t="str">
        <f ca="1">IFERROR(__xludf.DUMMYFUNCTION("""COMPUTED_VALUE"""),"No")</f>
        <v>No</v>
      </c>
      <c r="AF113" s="1" t="str">
        <f ca="1">IFERROR(__xludf.DUMMYFUNCTION("""COMPUTED_VALUE"""),"No")</f>
        <v>No</v>
      </c>
      <c r="AG113" s="1" t="str">
        <f ca="1">IFERROR(__xludf.DUMMYFUNCTION("""COMPUTED_VALUE"""),"No")</f>
        <v>No</v>
      </c>
      <c r="AH113" s="1">
        <f ca="1">IFERROR(__xludf.DUMMYFUNCTION("""COMPUTED_VALUE"""),99)</f>
        <v>99</v>
      </c>
    </row>
    <row r="114" spans="1:34" ht="12.5">
      <c r="A114" s="1" t="str">
        <f ca="1">IFERROR(__xludf.DUMMYFUNCTION("""COMPUTED_VALUE"""),"20231117LAACL")</f>
        <v>20231117LAACL</v>
      </c>
      <c r="B114" s="1">
        <f ca="1">IFERROR(__xludf.DUMMYFUNCTION("""COMPUTED_VALUE"""),11)</f>
        <v>11</v>
      </c>
      <c r="C114" s="1">
        <f ca="1">IFERROR(__xludf.DUMMYFUNCTION("""COMPUTED_VALUE"""),18)</f>
        <v>18</v>
      </c>
      <c r="D114" s="1">
        <f ca="1">IFERROR(__xludf.DUMMYFUNCTION("""COMPUTED_VALUE"""),2023)</f>
        <v>2023</v>
      </c>
      <c r="E114" s="4">
        <f ca="1">IFERROR(__xludf.DUMMYFUNCTION("""COMPUTED_VALUE"""),45247)</f>
        <v>45247</v>
      </c>
      <c r="F114" s="1" t="str">
        <f ca="1">IFERROR(__xludf.DUMMYFUNCTION("""COMPUTED_VALUE"""),"Acadiana High School")</f>
        <v>Acadiana High School</v>
      </c>
      <c r="G114" s="1">
        <f ca="1">IFERROR(__xludf.DUMMYFUNCTION("""COMPUTED_VALUE"""),0)</f>
        <v>0</v>
      </c>
      <c r="H114" s="1">
        <f ca="1">IFERROR(__xludf.DUMMYFUNCTION("""COMPUTED_VALUE"""),0)</f>
        <v>0</v>
      </c>
      <c r="I114" s="1">
        <f ca="1">IFERROR(__xludf.DUMMYFUNCTION("""COMPUTED_VALUE"""),0)</f>
        <v>0</v>
      </c>
      <c r="J114" s="1">
        <f ca="1">IFERROR(__xludf.DUMMYFUNCTION("""COMPUTED_VALUE"""),0)</f>
        <v>0</v>
      </c>
      <c r="K114" s="1" t="str">
        <f ca="1">IFERROR(__xludf.DUMMYFUNCTION("""COMPUTED_VALUE"""),"Fall")</f>
        <v>Fall</v>
      </c>
      <c r="L114" s="1" t="str">
        <f ca="1">IFERROR(__xludf.DUMMYFUNCTION("""COMPUTED_VALUE"""),"Lafayette")</f>
        <v>Lafayette</v>
      </c>
      <c r="M114" s="1" t="str">
        <f ca="1">IFERROR(__xludf.DUMMYFUNCTION("""COMPUTED_VALUE"""),"LA")</f>
        <v>LA</v>
      </c>
      <c r="N114" s="1" t="str">
        <f ca="1">IFERROR(__xludf.DUMMYFUNCTION("""COMPUTED_VALUE"""),"High")</f>
        <v>High</v>
      </c>
      <c r="O114" s="1" t="str">
        <f ca="1">IFERROR(__xludf.DUMMYFUNCTION("""COMPUTED_VALUE"""),"Football Field/Track")</f>
        <v>Football Field/Track</v>
      </c>
      <c r="P114" s="1" t="str">
        <f ca="1">IFERROR(__xludf.DUMMYFUNCTION("""COMPUTED_VALUE"""),"Outside on School Property")</f>
        <v>Outside on School Property</v>
      </c>
      <c r="Q114" s="1" t="str">
        <f ca="1">IFERROR(__xludf.DUMMYFUNCTION("""COMPUTED_VALUE"""),"No")</f>
        <v>No</v>
      </c>
      <c r="R114" s="1" t="str">
        <f ca="1">IFERROR(__xludf.DUMMYFUNCTION("""COMPUTED_VALUE"""),"Sport Event")</f>
        <v>Sport Event</v>
      </c>
      <c r="S114" s="5">
        <f ca="1">IFERROR(__xludf.DUMMYFUNCTION("""COMPUTED_VALUE"""),0.909722222222222)</f>
        <v>0.90972222222222199</v>
      </c>
      <c r="T114" s="1">
        <f ca="1">IFERROR(__xludf.DUMMYFUNCTION("""COMPUTED_VALUE"""),1)</f>
        <v>1</v>
      </c>
      <c r="U114" s="1" t="str">
        <f ca="1">IFERROR(__xludf.DUMMYFUNCTION("""COMPUTED_VALUE"""),"Teen fired shots during fight on the football field during a high school game")</f>
        <v>Teen fired shots during fight on the football field during a high school game</v>
      </c>
      <c r="V114" s="1" t="str">
        <f ca="1">IFERROR(__xludf.DUMMYFUNCTION("""COMPUTED_VALUE"""),"While Acadiana was taking on Carencro, a verbal argument in a road next to the practice football field led to a juvenile male shooting a gun, according to the Scott Police Department. The juvenile told Scott Police officers he believed the person he fired"&amp;" at had pointed a gun at him during the argument. Two handguns and multiple shell casings were found at the scene. No injuries are reported but two witnesses and three cars were hit by stray projectiles. The male juvenile was arrested and booked into the "&amp;"Lafayette Juvenile Detention center on one count of possession of a firearm in a firearm free zone, one count of illegal discharge of a firearm and three counts of aggravated damage to property.")</f>
        <v>While Acadiana was taking on Carencro, a verbal argument in a road next to the practice football field led to a juvenile male shooting a gun, according to the Scott Police Department. The juvenile told Scott Police officers he believed the person he fired at had pointed a gun at him during the argument. Two handguns and multiple shell casings were found at the scene. No injuries are reported but two witnesses and three cars were hit by stray projectiles. The male juvenile was arrested and booked into the Lafayette Juvenile Detention center on one count of possession of a firearm in a firearm free zone, one count of illegal discharge of a firearm and three counts of aggravated damage to property.</v>
      </c>
      <c r="W114" s="1" t="str">
        <f ca="1">IFERROR(__xludf.DUMMYFUNCTION("""COMPUTED_VALUE"""),"Escalation of Dispute")</f>
        <v>Escalation of Dispute</v>
      </c>
      <c r="X114" s="1" t="str">
        <f ca="1">IFERROR(__xludf.DUMMYFUNCTION("""COMPUTED_VALUE"""),"Victims Targeted")</f>
        <v>Victims Targeted</v>
      </c>
      <c r="Y114" s="1" t="str">
        <f ca="1">IFERROR(__xludf.DUMMYFUNCTION("""COMPUTED_VALUE"""),"Yes")</f>
        <v>Yes</v>
      </c>
      <c r="Z114" s="1" t="str">
        <f ca="1">IFERROR(__xludf.DUMMYFUNCTION("""COMPUTED_VALUE"""),"Two guns recovered")</f>
        <v>Two guns recovered</v>
      </c>
      <c r="AA114" s="1" t="str">
        <f ca="1">IFERROR(__xludf.DUMMYFUNCTION("""COMPUTED_VALUE"""),"No")</f>
        <v>No</v>
      </c>
      <c r="AB114" s="1" t="str">
        <f ca="1">IFERROR(__xludf.DUMMYFUNCTION("""COMPUTED_VALUE"""),"No")</f>
        <v>No</v>
      </c>
      <c r="AC114" s="1" t="str">
        <f ca="1">IFERROR(__xludf.DUMMYFUNCTION("""COMPUTED_VALUE"""),"No")</f>
        <v>No</v>
      </c>
      <c r="AD114" s="1" t="str">
        <f ca="1">IFERROR(__xludf.DUMMYFUNCTION("""COMPUTED_VALUE"""),"No")</f>
        <v>No</v>
      </c>
      <c r="AE114" s="1" t="str">
        <f ca="1">IFERROR(__xludf.DUMMYFUNCTION("""COMPUTED_VALUE"""),"No")</f>
        <v>No</v>
      </c>
      <c r="AF114" s="1" t="str">
        <f ca="1">IFERROR(__xludf.DUMMYFUNCTION("""COMPUTED_VALUE"""),"No")</f>
        <v>No</v>
      </c>
      <c r="AG114" s="1" t="str">
        <f ca="1">IFERROR(__xludf.DUMMYFUNCTION("""COMPUTED_VALUE"""),"No")</f>
        <v>No</v>
      </c>
      <c r="AH114" s="1">
        <f ca="1">IFERROR(__xludf.DUMMYFUNCTION("""COMPUTED_VALUE"""),99)</f>
        <v>99</v>
      </c>
    </row>
    <row r="115" spans="1:34" ht="12.5">
      <c r="A115" s="1" t="str">
        <f ca="1">IFERROR(__xludf.DUMMYFUNCTION("""COMPUTED_VALUE"""),"20231116CALAW")</f>
        <v>20231116CALAW</v>
      </c>
      <c r="B115" s="1">
        <f ca="1">IFERROR(__xludf.DUMMYFUNCTION("""COMPUTED_VALUE"""),11)</f>
        <v>11</v>
      </c>
      <c r="C115" s="1">
        <f ca="1">IFERROR(__xludf.DUMMYFUNCTION("""COMPUTED_VALUE"""),16)</f>
        <v>16</v>
      </c>
      <c r="D115" s="1">
        <f ca="1">IFERROR(__xludf.DUMMYFUNCTION("""COMPUTED_VALUE"""),2023)</f>
        <v>2023</v>
      </c>
      <c r="E115" s="4">
        <f ca="1">IFERROR(__xludf.DUMMYFUNCTION("""COMPUTED_VALUE"""),45246)</f>
        <v>45246</v>
      </c>
      <c r="F115" s="1" t="str">
        <f ca="1">IFERROR(__xludf.DUMMYFUNCTION("""COMPUTED_VALUE"""),"Larchmont Charter School")</f>
        <v>Larchmont Charter School</v>
      </c>
      <c r="G115" s="1">
        <f ca="1">IFERROR(__xludf.DUMMYFUNCTION("""COMPUTED_VALUE"""),0)</f>
        <v>0</v>
      </c>
      <c r="H115" s="1">
        <f ca="1">IFERROR(__xludf.DUMMYFUNCTION("""COMPUTED_VALUE"""),0)</f>
        <v>0</v>
      </c>
      <c r="I115" s="1">
        <f ca="1">IFERROR(__xludf.DUMMYFUNCTION("""COMPUTED_VALUE"""),0)</f>
        <v>0</v>
      </c>
      <c r="J115" s="1">
        <f ca="1">IFERROR(__xludf.DUMMYFUNCTION("""COMPUTED_VALUE"""),0)</f>
        <v>0</v>
      </c>
      <c r="K115" s="1" t="str">
        <f ca="1">IFERROR(__xludf.DUMMYFUNCTION("""COMPUTED_VALUE"""),"Fall")</f>
        <v>Fall</v>
      </c>
      <c r="L115" s="1" t="str">
        <f ca="1">IFERROR(__xludf.DUMMYFUNCTION("""COMPUTED_VALUE"""),"West Hollywood")</f>
        <v>West Hollywood</v>
      </c>
      <c r="M115" s="1" t="str">
        <f ca="1">IFERROR(__xludf.DUMMYFUNCTION("""COMPUTED_VALUE"""),"CA")</f>
        <v>CA</v>
      </c>
      <c r="N115" s="1" t="str">
        <f ca="1">IFERROR(__xludf.DUMMYFUNCTION("""COMPUTED_VALUE"""),"Elementary")</f>
        <v>Elementary</v>
      </c>
      <c r="O115" s="1" t="str">
        <f ca="1">IFERROR(__xludf.DUMMYFUNCTION("""COMPUTED_VALUE"""),"Parking Lot")</f>
        <v>Parking Lot</v>
      </c>
      <c r="P115" s="1" t="str">
        <f ca="1">IFERROR(__xludf.DUMMYFUNCTION("""COMPUTED_VALUE"""),"Outside on School Property")</f>
        <v>Outside on School Property</v>
      </c>
      <c r="Q115" s="1" t="str">
        <f ca="1">IFERROR(__xludf.DUMMYFUNCTION("""COMPUTED_VALUE"""),"Yes")</f>
        <v>Yes</v>
      </c>
      <c r="R115" s="1" t="str">
        <f ca="1">IFERROR(__xludf.DUMMYFUNCTION("""COMPUTED_VALUE"""),"School Start")</f>
        <v>School Start</v>
      </c>
      <c r="S115" s="5">
        <f ca="1">IFERROR(__xludf.DUMMYFUNCTION("""COMPUTED_VALUE"""),0.333333333333333)</f>
        <v>0.33333333333333298</v>
      </c>
      <c r="T115" s="1">
        <f ca="1">IFERROR(__xludf.DUMMYFUNCTION("""COMPUTED_VALUE"""),1)</f>
        <v>1</v>
      </c>
      <c r="U115" s="1" t="str">
        <f ca="1">IFERROR(__xludf.DUMMYFUNCTION("""COMPUTED_VALUE"""),"Man got out of his car and pointed a rifle at the school during dropoff, school went on lockdown, man fled")</f>
        <v>Man got out of his car and pointed a rifle at the school during dropoff, school went on lockdown, man fled</v>
      </c>
      <c r="V115" s="1" t="str">
        <f ca="1">IFERROR(__xludf.DUMMYFUNCTION("""COMPUTED_VALUE"""),"Man got out of his car and pointed a rifle at the school during dropoff, school went on lockdown, man fled. Police identified and arrested the man. He had a replica semi-auto rifle that fired pellets. Unclear why he went to the school or pointed the gun a"&amp;"t the school. Students dismissed early after lockdown.")</f>
        <v>Man got out of his car and pointed a rifle at the school during dropoff, school went on lockdown, man fled. Police identified and arrested the man. He had a replica semi-auto rifle that fired pellets. Unclear why he went to the school or pointed the gun at the school. Students dismissed early after lockdown.</v>
      </c>
      <c r="W115" s="1"/>
      <c r="X115" s="1"/>
      <c r="Y115" s="1" t="str">
        <f ca="1">IFERROR(__xludf.DUMMYFUNCTION("""COMPUTED_VALUE"""),"No")</f>
        <v>No</v>
      </c>
      <c r="Z115" s="1"/>
      <c r="AA115" s="1" t="str">
        <f ca="1">IFERROR(__xludf.DUMMYFUNCTION("""COMPUTED_VALUE"""),"No")</f>
        <v>No</v>
      </c>
      <c r="AB115" s="1" t="str">
        <f ca="1">IFERROR(__xludf.DUMMYFUNCTION("""COMPUTED_VALUE"""),"No")</f>
        <v>No</v>
      </c>
      <c r="AC115" s="1" t="str">
        <f ca="1">IFERROR(__xludf.DUMMYFUNCTION("""COMPUTED_VALUE"""),"No")</f>
        <v>No</v>
      </c>
      <c r="AD115" s="1" t="str">
        <f ca="1">IFERROR(__xludf.DUMMYFUNCTION("""COMPUTED_VALUE"""),"No")</f>
        <v>No</v>
      </c>
      <c r="AE115" s="1" t="str">
        <f ca="1">IFERROR(__xludf.DUMMYFUNCTION("""COMPUTED_VALUE"""),"No")</f>
        <v>No</v>
      </c>
      <c r="AF115" s="1" t="str">
        <f ca="1">IFERROR(__xludf.DUMMYFUNCTION("""COMPUTED_VALUE"""),"No")</f>
        <v>No</v>
      </c>
      <c r="AG115" s="1" t="str">
        <f ca="1">IFERROR(__xludf.DUMMYFUNCTION("""COMPUTED_VALUE"""),"No")</f>
        <v>No</v>
      </c>
      <c r="AH115" s="1">
        <f ca="1">IFERROR(__xludf.DUMMYFUNCTION("""COMPUTED_VALUE"""),0)</f>
        <v>0</v>
      </c>
    </row>
    <row r="116" spans="1:34" ht="12.5">
      <c r="A116" s="1" t="str">
        <f ca="1">IFERROR(__xludf.DUMMYFUNCTION("""COMPUTED_VALUE"""),"20231116OHSTC")</f>
        <v>20231116OHSTC</v>
      </c>
      <c r="B116" s="1">
        <f ca="1">IFERROR(__xludf.DUMMYFUNCTION("""COMPUTED_VALUE"""),11)</f>
        <v>11</v>
      </c>
      <c r="C116" s="1">
        <f ca="1">IFERROR(__xludf.DUMMYFUNCTION("""COMPUTED_VALUE"""),16)</f>
        <v>16</v>
      </c>
      <c r="D116" s="1">
        <f ca="1">IFERROR(__xludf.DUMMYFUNCTION("""COMPUTED_VALUE"""),2023)</f>
        <v>2023</v>
      </c>
      <c r="E116" s="4">
        <f ca="1">IFERROR(__xludf.DUMMYFUNCTION("""COMPUTED_VALUE"""),45246)</f>
        <v>45246</v>
      </c>
      <c r="F116" s="1" t="str">
        <f ca="1">IFERROR(__xludf.DUMMYFUNCTION("""COMPUTED_VALUE"""),"St. Francis Catholic School")</f>
        <v>St. Francis Catholic School</v>
      </c>
      <c r="G116" s="1">
        <f ca="1">IFERROR(__xludf.DUMMYFUNCTION("""COMPUTED_VALUE"""),1)</f>
        <v>1</v>
      </c>
      <c r="H116" s="1">
        <f ca="1">IFERROR(__xludf.DUMMYFUNCTION("""COMPUTED_VALUE"""),0)</f>
        <v>0</v>
      </c>
      <c r="I116" s="1">
        <f ca="1">IFERROR(__xludf.DUMMYFUNCTION("""COMPUTED_VALUE"""),1)</f>
        <v>1</v>
      </c>
      <c r="J116" s="1">
        <f ca="1">IFERROR(__xludf.DUMMYFUNCTION("""COMPUTED_VALUE"""),0)</f>
        <v>0</v>
      </c>
      <c r="K116" s="1" t="str">
        <f ca="1">IFERROR(__xludf.DUMMYFUNCTION("""COMPUTED_VALUE"""),"Fall")</f>
        <v>Fall</v>
      </c>
      <c r="L116" s="1" t="str">
        <f ca="1">IFERROR(__xludf.DUMMYFUNCTION("""COMPUTED_VALUE"""),"Cleveland")</f>
        <v>Cleveland</v>
      </c>
      <c r="M116" s="1" t="str">
        <f ca="1">IFERROR(__xludf.DUMMYFUNCTION("""COMPUTED_VALUE"""),"OH")</f>
        <v>OH</v>
      </c>
      <c r="N116" s="1" t="str">
        <f ca="1">IFERROR(__xludf.DUMMYFUNCTION("""COMPUTED_VALUE"""),"Elementary")</f>
        <v>Elementary</v>
      </c>
      <c r="O116" s="1" t="str">
        <f ca="1">IFERROR(__xludf.DUMMYFUNCTION("""COMPUTED_VALUE"""),"Playground")</f>
        <v>Playground</v>
      </c>
      <c r="P116" s="1" t="str">
        <f ca="1">IFERROR(__xludf.DUMMYFUNCTION("""COMPUTED_VALUE"""),"Outside on School Property")</f>
        <v>Outside on School Property</v>
      </c>
      <c r="Q116" s="1" t="str">
        <f ca="1">IFERROR(__xludf.DUMMYFUNCTION("""COMPUTED_VALUE"""),"Yes")</f>
        <v>Yes</v>
      </c>
      <c r="R116" s="1" t="str">
        <f ca="1">IFERROR(__xludf.DUMMYFUNCTION("""COMPUTED_VALUE"""),"Morning Classes")</f>
        <v>Morning Classes</v>
      </c>
      <c r="S116" s="5">
        <f ca="1">IFERROR(__xludf.DUMMYFUNCTION("""COMPUTED_VALUE"""),0.363888888888888)</f>
        <v>0.36388888888888798</v>
      </c>
      <c r="T116" s="1">
        <f ca="1">IFERROR(__xludf.DUMMYFUNCTION("""COMPUTED_VALUE"""),1)</f>
        <v>1</v>
      </c>
      <c r="U116" s="1" t="str">
        <f ca="1">IFERROR(__xludf.DUMMYFUNCTION("""COMPUTED_VALUE"""),"Man was fatally shot next to the fence around the school playground")</f>
        <v>Man was fatally shot next to the fence around the school playground</v>
      </c>
      <c r="V116" s="1" t="str">
        <f ca="1">IFERROR(__xludf.DUMMYFUNCTION("""COMPUTED_VALUE"""),"Man was fatally shot next to the fence around the school playground.")</f>
        <v>Man was fatally shot next to the fence around the school playground.</v>
      </c>
      <c r="W116" s="1"/>
      <c r="X116" s="1" t="str">
        <f ca="1">IFERROR(__xludf.DUMMYFUNCTION("""COMPUTED_VALUE"""),"Victims Targeted")</f>
        <v>Victims Targeted</v>
      </c>
      <c r="Y116" s="1" t="str">
        <f ca="1">IFERROR(__xludf.DUMMYFUNCTION("""COMPUTED_VALUE"""),"No")</f>
        <v>No</v>
      </c>
      <c r="Z116" s="1"/>
      <c r="AA116" s="1" t="str">
        <f ca="1">IFERROR(__xludf.DUMMYFUNCTION("""COMPUTED_VALUE"""),"No")</f>
        <v>No</v>
      </c>
      <c r="AB116" s="1" t="str">
        <f ca="1">IFERROR(__xludf.DUMMYFUNCTION("""COMPUTED_VALUE"""),"No")</f>
        <v>No</v>
      </c>
      <c r="AC116" s="1" t="str">
        <f ca="1">IFERROR(__xludf.DUMMYFUNCTION("""COMPUTED_VALUE"""),"No")</f>
        <v>No</v>
      </c>
      <c r="AD116" s="1" t="str">
        <f ca="1">IFERROR(__xludf.DUMMYFUNCTION("""COMPUTED_VALUE"""),"No")</f>
        <v>No</v>
      </c>
      <c r="AE116" s="1" t="str">
        <f ca="1">IFERROR(__xludf.DUMMYFUNCTION("""COMPUTED_VALUE"""),"No")</f>
        <v>No</v>
      </c>
      <c r="AF116" s="1"/>
      <c r="AG116" s="1" t="str">
        <f ca="1">IFERROR(__xludf.DUMMYFUNCTION("""COMPUTED_VALUE"""),"No")</f>
        <v>No</v>
      </c>
      <c r="AH116" s="1">
        <f ca="1">IFERROR(__xludf.DUMMYFUNCTION("""COMPUTED_VALUE"""),99)</f>
        <v>99</v>
      </c>
    </row>
    <row r="117" spans="1:34" ht="12.5">
      <c r="A117" s="1" t="str">
        <f ca="1">IFERROR(__xludf.DUMMYFUNCTION("""COMPUTED_VALUE"""),"20231114MILID")</f>
        <v>20231114MILID</v>
      </c>
      <c r="B117" s="1">
        <f ca="1">IFERROR(__xludf.DUMMYFUNCTION("""COMPUTED_VALUE"""),11)</f>
        <v>11</v>
      </c>
      <c r="C117" s="1">
        <f ca="1">IFERROR(__xludf.DUMMYFUNCTION("""COMPUTED_VALUE"""),14)</f>
        <v>14</v>
      </c>
      <c r="D117" s="1">
        <f ca="1">IFERROR(__xludf.DUMMYFUNCTION("""COMPUTED_VALUE"""),2023)</f>
        <v>2023</v>
      </c>
      <c r="E117" s="4">
        <f ca="1">IFERROR(__xludf.DUMMYFUNCTION("""COMPUTED_VALUE"""),45244)</f>
        <v>45244</v>
      </c>
      <c r="F117" s="1" t="str">
        <f ca="1">IFERROR(__xludf.DUMMYFUNCTION("""COMPUTED_VALUE"""),"Lincoln Park High School")</f>
        <v>Lincoln Park High School</v>
      </c>
      <c r="G117" s="1">
        <f ca="1">IFERROR(__xludf.DUMMYFUNCTION("""COMPUTED_VALUE"""),0)</f>
        <v>0</v>
      </c>
      <c r="H117" s="1">
        <f ca="1">IFERROR(__xludf.DUMMYFUNCTION("""COMPUTED_VALUE"""),0)</f>
        <v>0</v>
      </c>
      <c r="I117" s="1">
        <f ca="1">IFERROR(__xludf.DUMMYFUNCTION("""COMPUTED_VALUE"""),0)</f>
        <v>0</v>
      </c>
      <c r="J117" s="1">
        <f ca="1">IFERROR(__xludf.DUMMYFUNCTION("""COMPUTED_VALUE"""),0)</f>
        <v>0</v>
      </c>
      <c r="K117" s="1" t="str">
        <f ca="1">IFERROR(__xludf.DUMMYFUNCTION("""COMPUTED_VALUE"""),"Fall")</f>
        <v>Fall</v>
      </c>
      <c r="L117" s="1" t="str">
        <f ca="1">IFERROR(__xludf.DUMMYFUNCTION("""COMPUTED_VALUE"""),"Detroit")</f>
        <v>Detroit</v>
      </c>
      <c r="M117" s="1" t="str">
        <f ca="1">IFERROR(__xludf.DUMMYFUNCTION("""COMPUTED_VALUE"""),"MI")</f>
        <v>MI</v>
      </c>
      <c r="N117" s="1" t="str">
        <f ca="1">IFERROR(__xludf.DUMMYFUNCTION("""COMPUTED_VALUE"""),"High")</f>
        <v>High</v>
      </c>
      <c r="O117" s="1" t="str">
        <f ca="1">IFERROR(__xludf.DUMMYFUNCTION("""COMPUTED_VALUE"""),"Outside on School Property")</f>
        <v>Outside on School Property</v>
      </c>
      <c r="P117" s="1" t="str">
        <f ca="1">IFERROR(__xludf.DUMMYFUNCTION("""COMPUTED_VALUE"""),"Outside on School Property")</f>
        <v>Outside on School Property</v>
      </c>
      <c r="Q117" s="1" t="str">
        <f ca="1">IFERROR(__xludf.DUMMYFUNCTION("""COMPUTED_VALUE"""),"Yes")</f>
        <v>Yes</v>
      </c>
      <c r="R117" s="1"/>
      <c r="S117" s="1"/>
      <c r="T117" s="1">
        <f ca="1">IFERROR(__xludf.DUMMYFUNCTION("""COMPUTED_VALUE"""),1)</f>
        <v>1</v>
      </c>
      <c r="U117" s="1" t="str">
        <f ca="1">IFERROR(__xludf.DUMMYFUNCTION("""COMPUTED_VALUE"""),"SRO saw student brandish handgun outside on the campus")</f>
        <v>SRO saw student brandish handgun outside on the campus</v>
      </c>
      <c r="V117" s="1" t="str">
        <f ca="1">IFERROR(__xludf.DUMMYFUNCTION("""COMPUTED_VALUE"""),"Student brandished handgun outside on the school campus. Arrested with loaded handgun, ammo, and knife. Student claimed he was carrying the gun for protection.")</f>
        <v>Student brandished handgun outside on the school campus. Arrested with loaded handgun, ammo, and knife. Student claimed he was carrying the gun for protection.</v>
      </c>
      <c r="W117" s="1" t="str">
        <f ca="1">IFERROR(__xludf.DUMMYFUNCTION("""COMPUTED_VALUE"""),"Escalation of Dispute")</f>
        <v>Escalation of Dispute</v>
      </c>
      <c r="X117" s="1" t="str">
        <f ca="1">IFERROR(__xludf.DUMMYFUNCTION("""COMPUTED_VALUE"""),"Neither")</f>
        <v>Neither</v>
      </c>
      <c r="Y117" s="1" t="str">
        <f ca="1">IFERROR(__xludf.DUMMYFUNCTION("""COMPUTED_VALUE"""),"No")</f>
        <v>No</v>
      </c>
      <c r="Z117" s="1"/>
      <c r="AA117" s="1" t="str">
        <f ca="1">IFERROR(__xludf.DUMMYFUNCTION("""COMPUTED_VALUE"""),"No")</f>
        <v>No</v>
      </c>
      <c r="AB117" s="1" t="str">
        <f ca="1">IFERROR(__xludf.DUMMYFUNCTION("""COMPUTED_VALUE"""),"No")</f>
        <v>No</v>
      </c>
      <c r="AC117" s="1" t="str">
        <f ca="1">IFERROR(__xludf.DUMMYFUNCTION("""COMPUTED_VALUE"""),"No")</f>
        <v>No</v>
      </c>
      <c r="AD117" s="1" t="str">
        <f ca="1">IFERROR(__xludf.DUMMYFUNCTION("""COMPUTED_VALUE"""),"No")</f>
        <v>No</v>
      </c>
      <c r="AE117" s="1" t="str">
        <f ca="1">IFERROR(__xludf.DUMMYFUNCTION("""COMPUTED_VALUE"""),"No")</f>
        <v>No</v>
      </c>
      <c r="AF117" s="1"/>
      <c r="AG117" s="1" t="str">
        <f ca="1">IFERROR(__xludf.DUMMYFUNCTION("""COMPUTED_VALUE"""),"No")</f>
        <v>No</v>
      </c>
      <c r="AH117" s="1">
        <f ca="1">IFERROR(__xludf.DUMMYFUNCTION("""COMPUTED_VALUE"""),0)</f>
        <v>0</v>
      </c>
    </row>
    <row r="118" spans="1:34" ht="12.5">
      <c r="A118" s="1" t="str">
        <f ca="1">IFERROR(__xludf.DUMMYFUNCTION("""COMPUTED_VALUE"""),"2023114ILMAP")</f>
        <v>2023114ILMAP</v>
      </c>
      <c r="B118" s="1">
        <f ca="1">IFERROR(__xludf.DUMMYFUNCTION("""COMPUTED_VALUE"""),11)</f>
        <v>11</v>
      </c>
      <c r="C118" s="1">
        <f ca="1">IFERROR(__xludf.DUMMYFUNCTION("""COMPUTED_VALUE"""),14)</f>
        <v>14</v>
      </c>
      <c r="D118" s="1">
        <f ca="1">IFERROR(__xludf.DUMMYFUNCTION("""COMPUTED_VALUE"""),2023)</f>
        <v>2023</v>
      </c>
      <c r="E118" s="4">
        <f ca="1">IFERROR(__xludf.DUMMYFUNCTION("""COMPUTED_VALUE"""),45244)</f>
        <v>45244</v>
      </c>
      <c r="F118" s="1" t="str">
        <f ca="1">IFERROR(__xludf.DUMMYFUNCTION("""COMPUTED_VALUE"""),"Manual High School")</f>
        <v>Manual High School</v>
      </c>
      <c r="G118" s="1">
        <f ca="1">IFERROR(__xludf.DUMMYFUNCTION("""COMPUTED_VALUE"""),0)</f>
        <v>0</v>
      </c>
      <c r="H118" s="1">
        <f ca="1">IFERROR(__xludf.DUMMYFUNCTION("""COMPUTED_VALUE"""),0)</f>
        <v>0</v>
      </c>
      <c r="I118" s="1">
        <f ca="1">IFERROR(__xludf.DUMMYFUNCTION("""COMPUTED_VALUE"""),0)</f>
        <v>0</v>
      </c>
      <c r="J118" s="1">
        <f ca="1">IFERROR(__xludf.DUMMYFUNCTION("""COMPUTED_VALUE"""),0)</f>
        <v>0</v>
      </c>
      <c r="K118" s="1" t="str">
        <f ca="1">IFERROR(__xludf.DUMMYFUNCTION("""COMPUTED_VALUE"""),"Fall")</f>
        <v>Fall</v>
      </c>
      <c r="L118" s="1" t="str">
        <f ca="1">IFERROR(__xludf.DUMMYFUNCTION("""COMPUTED_VALUE"""),"Peoria")</f>
        <v>Peoria</v>
      </c>
      <c r="M118" s="1" t="str">
        <f ca="1">IFERROR(__xludf.DUMMYFUNCTION("""COMPUTED_VALUE"""),"IL")</f>
        <v>IL</v>
      </c>
      <c r="N118" s="1" t="str">
        <f ca="1">IFERROR(__xludf.DUMMYFUNCTION("""COMPUTED_VALUE"""),"High")</f>
        <v>High</v>
      </c>
      <c r="O118" s="1" t="str">
        <f ca="1">IFERROR(__xludf.DUMMYFUNCTION("""COMPUTED_VALUE"""),"Front of School")</f>
        <v>Front of School</v>
      </c>
      <c r="P118" s="1" t="str">
        <f ca="1">IFERROR(__xludf.DUMMYFUNCTION("""COMPUTED_VALUE"""),"Outside on School Property")</f>
        <v>Outside on School Property</v>
      </c>
      <c r="Q118" s="1" t="str">
        <f ca="1">IFERROR(__xludf.DUMMYFUNCTION("""COMPUTED_VALUE"""),"Yes")</f>
        <v>Yes</v>
      </c>
      <c r="R118" s="1" t="str">
        <f ca="1">IFERROR(__xludf.DUMMYFUNCTION("""COMPUTED_VALUE"""),"Morning Classes")</f>
        <v>Morning Classes</v>
      </c>
      <c r="S118" s="5">
        <f ca="1">IFERROR(__xludf.DUMMYFUNCTION("""COMPUTED_VALUE"""),0.458333333333333)</f>
        <v>0.45833333333333298</v>
      </c>
      <c r="T118" s="1">
        <f ca="1">IFERROR(__xludf.DUMMYFUNCTION("""COMPUTED_VALUE"""),1)</f>
        <v>1</v>
      </c>
      <c r="U118" s="1" t="str">
        <f ca="1">IFERROR(__xludf.DUMMYFUNCTION("""COMPUTED_VALUE"""),"ShotSpotter identified 22 shots near the school, building was struck by bullets. School went on lockdown.")</f>
        <v>ShotSpotter identified 22 shots near the school, building was struck by bullets. School went on lockdown.</v>
      </c>
      <c r="V118" s="1" t="str">
        <f ca="1">IFERROR(__xludf.DUMMYFUNCTION("""COMPUTED_VALUE"""),"Manual High School was briefly placed on lockdown this morning after the Peoria Police Department detected 22 shots fired on ShotSpotter. Upon investigation, PPD discovered that the school building and a vehicle were struck.")</f>
        <v>Manual High School was briefly placed on lockdown this morning after the Peoria Police Department detected 22 shots fired on ShotSpotter. Upon investigation, PPD discovered that the school building and a vehicle were struck.</v>
      </c>
      <c r="W118" s="1"/>
      <c r="X118" s="1"/>
      <c r="Y118" s="1"/>
      <c r="Z118" s="1"/>
      <c r="AA118" s="1" t="str">
        <f ca="1">IFERROR(__xludf.DUMMYFUNCTION("""COMPUTED_VALUE"""),"No")</f>
        <v>No</v>
      </c>
      <c r="AB118" s="1" t="str">
        <f ca="1">IFERROR(__xludf.DUMMYFUNCTION("""COMPUTED_VALUE"""),"No")</f>
        <v>No</v>
      </c>
      <c r="AC118" s="1" t="str">
        <f ca="1">IFERROR(__xludf.DUMMYFUNCTION("""COMPUTED_VALUE"""),"No")</f>
        <v>No</v>
      </c>
      <c r="AD118" s="1" t="str">
        <f ca="1">IFERROR(__xludf.DUMMYFUNCTION("""COMPUTED_VALUE"""),"No")</f>
        <v>No</v>
      </c>
      <c r="AE118" s="1" t="str">
        <f ca="1">IFERROR(__xludf.DUMMYFUNCTION("""COMPUTED_VALUE"""),"No")</f>
        <v>No</v>
      </c>
      <c r="AF118" s="1"/>
      <c r="AG118" s="1" t="str">
        <f ca="1">IFERROR(__xludf.DUMMYFUNCTION("""COMPUTED_VALUE"""),"No")</f>
        <v>No</v>
      </c>
      <c r="AH118" s="1">
        <f ca="1">IFERROR(__xludf.DUMMYFUNCTION("""COMPUTED_VALUE"""),22)</f>
        <v>22</v>
      </c>
    </row>
    <row r="119" spans="1:34" ht="12.5">
      <c r="A119" s="1" t="str">
        <f ca="1">IFERROR(__xludf.DUMMYFUNCTION("""COMPUTED_VALUE"""),"2023113KYJEL")</f>
        <v>2023113KYJEL</v>
      </c>
      <c r="B119" s="1">
        <f ca="1">IFERROR(__xludf.DUMMYFUNCTION("""COMPUTED_VALUE"""),11)</f>
        <v>11</v>
      </c>
      <c r="C119" s="1">
        <f ca="1">IFERROR(__xludf.DUMMYFUNCTION("""COMPUTED_VALUE"""),13)</f>
        <v>13</v>
      </c>
      <c r="D119" s="1">
        <f ca="1">IFERROR(__xludf.DUMMYFUNCTION("""COMPUTED_VALUE"""),2023)</f>
        <v>2023</v>
      </c>
      <c r="E119" s="4">
        <f ca="1">IFERROR(__xludf.DUMMYFUNCTION("""COMPUTED_VALUE"""),45243)</f>
        <v>45243</v>
      </c>
      <c r="F119" s="1" t="str">
        <f ca="1">IFERROR(__xludf.DUMMYFUNCTION("""COMPUTED_VALUE"""),"Jefferson County School Bus")</f>
        <v>Jefferson County School Bus</v>
      </c>
      <c r="G119" s="1">
        <f ca="1">IFERROR(__xludf.DUMMYFUNCTION("""COMPUTED_VALUE"""),0)</f>
        <v>0</v>
      </c>
      <c r="H119" s="1">
        <f ca="1">IFERROR(__xludf.DUMMYFUNCTION("""COMPUTED_VALUE"""),1)</f>
        <v>1</v>
      </c>
      <c r="I119" s="1">
        <f ca="1">IFERROR(__xludf.DUMMYFUNCTION("""COMPUTED_VALUE"""),1)</f>
        <v>1</v>
      </c>
      <c r="J119" s="1">
        <f ca="1">IFERROR(__xludf.DUMMYFUNCTION("""COMPUTED_VALUE"""),0)</f>
        <v>0</v>
      </c>
      <c r="K119" s="1" t="str">
        <f ca="1">IFERROR(__xludf.DUMMYFUNCTION("""COMPUTED_VALUE"""),"Fall")</f>
        <v>Fall</v>
      </c>
      <c r="L119" s="1" t="str">
        <f ca="1">IFERROR(__xludf.DUMMYFUNCTION("""COMPUTED_VALUE"""),"Louisville")</f>
        <v>Louisville</v>
      </c>
      <c r="M119" s="1" t="str">
        <f ca="1">IFERROR(__xludf.DUMMYFUNCTION("""COMPUTED_VALUE"""),"KY")</f>
        <v>KY</v>
      </c>
      <c r="N119" s="1" t="str">
        <f ca="1">IFERROR(__xludf.DUMMYFUNCTION("""COMPUTED_VALUE"""),"High")</f>
        <v>High</v>
      </c>
      <c r="O119" s="1" t="str">
        <f ca="1">IFERROR(__xludf.DUMMYFUNCTION("""COMPUTED_VALUE"""),"School Bus")</f>
        <v>School Bus</v>
      </c>
      <c r="P119" s="1" t="str">
        <f ca="1">IFERROR(__xludf.DUMMYFUNCTION("""COMPUTED_VALUE"""),"School Bus")</f>
        <v>School Bus</v>
      </c>
      <c r="Q119" s="1" t="str">
        <f ca="1">IFERROR(__xludf.DUMMYFUNCTION("""COMPUTED_VALUE"""),"Yes")</f>
        <v>Yes</v>
      </c>
      <c r="R119" s="1" t="str">
        <f ca="1">IFERROR(__xludf.DUMMYFUNCTION("""COMPUTED_VALUE"""),"Dismissal")</f>
        <v>Dismissal</v>
      </c>
      <c r="S119" s="1"/>
      <c r="T119" s="1">
        <f ca="1">IFERROR(__xludf.DUMMYFUNCTION("""COMPUTED_VALUE"""),1)</f>
        <v>1</v>
      </c>
      <c r="U119" s="1" t="str">
        <f ca="1">IFERROR(__xludf.DUMMYFUNCTION("""COMPUTED_VALUE"""),"Student shot bus driver with pellet gun multiple times while getting off the bus.")</f>
        <v>Student shot bus driver with pellet gun multiple times while getting off the bus.</v>
      </c>
      <c r="V119" s="1" t="str">
        <f ca="1">IFERROR(__xludf.DUMMYFUNCTION("""COMPUTED_VALUE"""),"Student shot bus driver with pellet gun multiple times while getting off the bus.")</f>
        <v>Student shot bus driver with pellet gun multiple times while getting off the bus.</v>
      </c>
      <c r="W119" s="1"/>
      <c r="X119" s="1" t="str">
        <f ca="1">IFERROR(__xludf.DUMMYFUNCTION("""COMPUTED_VALUE"""),"Victims Targeted")</f>
        <v>Victims Targeted</v>
      </c>
      <c r="Y119" s="1"/>
      <c r="Z119" s="1"/>
      <c r="AA119" s="1" t="str">
        <f ca="1">IFERROR(__xludf.DUMMYFUNCTION("""COMPUTED_VALUE"""),"No")</f>
        <v>No</v>
      </c>
      <c r="AB119" s="1" t="str">
        <f ca="1">IFERROR(__xludf.DUMMYFUNCTION("""COMPUTED_VALUE"""),"No")</f>
        <v>No</v>
      </c>
      <c r="AC119" s="1" t="str">
        <f ca="1">IFERROR(__xludf.DUMMYFUNCTION("""COMPUTED_VALUE"""),"No")</f>
        <v>No</v>
      </c>
      <c r="AD119" s="1" t="str">
        <f ca="1">IFERROR(__xludf.DUMMYFUNCTION("""COMPUTED_VALUE"""),"No")</f>
        <v>No</v>
      </c>
      <c r="AE119" s="1" t="str">
        <f ca="1">IFERROR(__xludf.DUMMYFUNCTION("""COMPUTED_VALUE"""),"No")</f>
        <v>No</v>
      </c>
      <c r="AF119" s="1" t="str">
        <f ca="1">IFERROR(__xludf.DUMMYFUNCTION("""COMPUTED_VALUE"""),"No")</f>
        <v>No</v>
      </c>
      <c r="AG119" s="1" t="str">
        <f ca="1">IFERROR(__xludf.DUMMYFUNCTION("""COMPUTED_VALUE"""),"No")</f>
        <v>No</v>
      </c>
      <c r="AH119" s="1">
        <f ca="1">IFERROR(__xludf.DUMMYFUNCTION("""COMPUTED_VALUE"""),99)</f>
        <v>99</v>
      </c>
    </row>
    <row r="120" spans="1:34" ht="12.5">
      <c r="A120" s="1" t="str">
        <f ca="1">IFERROR(__xludf.DUMMYFUNCTION("""COMPUTED_VALUE"""),"20231113NJCEN")</f>
        <v>20231113NJCEN</v>
      </c>
      <c r="B120" s="1">
        <f ca="1">IFERROR(__xludf.DUMMYFUNCTION("""COMPUTED_VALUE"""),11)</f>
        <v>11</v>
      </c>
      <c r="C120" s="1">
        <f ca="1">IFERROR(__xludf.DUMMYFUNCTION("""COMPUTED_VALUE"""),13)</f>
        <v>13</v>
      </c>
      <c r="D120" s="1">
        <f ca="1">IFERROR(__xludf.DUMMYFUNCTION("""COMPUTED_VALUE"""),2023)</f>
        <v>2023</v>
      </c>
      <c r="E120" s="4">
        <f ca="1">IFERROR(__xludf.DUMMYFUNCTION("""COMPUTED_VALUE"""),45243)</f>
        <v>45243</v>
      </c>
      <c r="F120" s="1" t="str">
        <f ca="1">IFERROR(__xludf.DUMMYFUNCTION("""COMPUTED_VALUE"""),"Central High School")</f>
        <v>Central High School</v>
      </c>
      <c r="G120" s="1">
        <f ca="1">IFERROR(__xludf.DUMMYFUNCTION("""COMPUTED_VALUE"""),0)</f>
        <v>0</v>
      </c>
      <c r="H120" s="1">
        <f ca="1">IFERROR(__xludf.DUMMYFUNCTION("""COMPUTED_VALUE"""),1)</f>
        <v>1</v>
      </c>
      <c r="I120" s="1">
        <f ca="1">IFERROR(__xludf.DUMMYFUNCTION("""COMPUTED_VALUE"""),1)</f>
        <v>1</v>
      </c>
      <c r="J120" s="1">
        <f ca="1">IFERROR(__xludf.DUMMYFUNCTION("""COMPUTED_VALUE"""),0)</f>
        <v>0</v>
      </c>
      <c r="K120" s="1" t="str">
        <f ca="1">IFERROR(__xludf.DUMMYFUNCTION("""COMPUTED_VALUE"""),"Fall")</f>
        <v>Fall</v>
      </c>
      <c r="L120" s="1" t="str">
        <f ca="1">IFERROR(__xludf.DUMMYFUNCTION("""COMPUTED_VALUE"""),"Newark")</f>
        <v>Newark</v>
      </c>
      <c r="M120" s="1" t="str">
        <f ca="1">IFERROR(__xludf.DUMMYFUNCTION("""COMPUTED_VALUE"""),"NJ")</f>
        <v>NJ</v>
      </c>
      <c r="N120" s="1" t="str">
        <f ca="1">IFERROR(__xludf.DUMMYFUNCTION("""COMPUTED_VALUE"""),"High")</f>
        <v>High</v>
      </c>
      <c r="O120" s="1" t="str">
        <f ca="1">IFERROR(__xludf.DUMMYFUNCTION("""COMPUTED_VALUE"""),"Front of School")</f>
        <v>Front of School</v>
      </c>
      <c r="P120" s="1" t="str">
        <f ca="1">IFERROR(__xludf.DUMMYFUNCTION("""COMPUTED_VALUE"""),"Outside on School Property")</f>
        <v>Outside on School Property</v>
      </c>
      <c r="Q120" s="1" t="str">
        <f ca="1">IFERROR(__xludf.DUMMYFUNCTION("""COMPUTED_VALUE"""),"Yes")</f>
        <v>Yes</v>
      </c>
      <c r="R120" s="1" t="str">
        <f ca="1">IFERROR(__xludf.DUMMYFUNCTION("""COMPUTED_VALUE"""),"Morning Classes")</f>
        <v>Morning Classes</v>
      </c>
      <c r="S120" s="5">
        <f ca="1">IFERROR(__xludf.DUMMYFUNCTION("""COMPUTED_VALUE"""),0)</f>
        <v>0</v>
      </c>
      <c r="T120" s="1">
        <f ca="1">IFERROR(__xludf.DUMMYFUNCTION("""COMPUTED_VALUE"""),1)</f>
        <v>1</v>
      </c>
      <c r="U120" s="1" t="str">
        <f ca="1">IFERROR(__xludf.DUMMYFUNCTION("""COMPUTED_VALUE"""),"Student shot outside while students evacuated the building for a gasleak")</f>
        <v>Student shot outside while students evacuated the building for a gasleak</v>
      </c>
      <c r="V120" s="1" t="str">
        <f ca="1">IFERROR(__xludf.DUMMYFUNCTION("""COMPUTED_VALUE"""),"A 15-year-old boy was injured in an apparent drive-by shooting outside of Central High School in Newark on Monday afternoon. Gunshots rang out shortly after 12 p.m. outside the school near 17th Avenue and Sayre Street. A spokesperson said the shooting occ"&amp;"urred during an evacuation for a gas leak. The entire student body was outside when the shooting happened. The student who was shot, reportedly in the shoulder, was standing on Sayre Street across from the school. Students began calling their parents and "&amp;"several showed up to get their children. Two small gas leaks were discovered after the evacuation.")</f>
        <v>A 15-year-old boy was injured in an apparent drive-by shooting outside of Central High School in Newark on Monday afternoon. Gunshots rang out shortly after 12 p.m. outside the school near 17th Avenue and Sayre Street. A spokesperson said the shooting occurred during an evacuation for a gas leak. The entire student body was outside when the shooting happened. The student who was shot, reportedly in the shoulder, was standing on Sayre Street across from the school. Students began calling their parents and several showed up to get their children. Two small gas leaks were discovered after the evacuation.</v>
      </c>
      <c r="W120" s="1" t="str">
        <f ca="1">IFERROR(__xludf.DUMMYFUNCTION("""COMPUTED_VALUE"""),"Drive-by Shooting")</f>
        <v>Drive-by Shooting</v>
      </c>
      <c r="X120" s="1"/>
      <c r="Y120" s="1"/>
      <c r="Z120" s="1"/>
      <c r="AA120" s="1" t="str">
        <f ca="1">IFERROR(__xludf.DUMMYFUNCTION("""COMPUTED_VALUE"""),"No")</f>
        <v>No</v>
      </c>
      <c r="AB120" s="1" t="str">
        <f ca="1">IFERROR(__xludf.DUMMYFUNCTION("""COMPUTED_VALUE"""),"No")</f>
        <v>No</v>
      </c>
      <c r="AC120" s="1" t="str">
        <f ca="1">IFERROR(__xludf.DUMMYFUNCTION("""COMPUTED_VALUE"""),"No")</f>
        <v>No</v>
      </c>
      <c r="AD120" s="1" t="str">
        <f ca="1">IFERROR(__xludf.DUMMYFUNCTION("""COMPUTED_VALUE"""),"No")</f>
        <v>No</v>
      </c>
      <c r="AE120" s="1" t="str">
        <f ca="1">IFERROR(__xludf.DUMMYFUNCTION("""COMPUTED_VALUE"""),"No")</f>
        <v>No</v>
      </c>
      <c r="AF120" s="1"/>
      <c r="AG120" s="1" t="str">
        <f ca="1">IFERROR(__xludf.DUMMYFUNCTION("""COMPUTED_VALUE"""),"No")</f>
        <v>No</v>
      </c>
      <c r="AH120" s="1">
        <f ca="1">IFERROR(__xludf.DUMMYFUNCTION("""COMPUTED_VALUE"""),99)</f>
        <v>99</v>
      </c>
    </row>
    <row r="121" spans="1:34" ht="12.5">
      <c r="A121" s="1" t="str">
        <f ca="1">IFERROR(__xludf.DUMMYFUNCTION("""COMPUTED_VALUE"""),"20231110CAVAV")</f>
        <v>20231110CAVAV</v>
      </c>
      <c r="B121" s="1">
        <f ca="1">IFERROR(__xludf.DUMMYFUNCTION("""COMPUTED_VALUE"""),11)</f>
        <v>11</v>
      </c>
      <c r="C121" s="1">
        <f ca="1">IFERROR(__xludf.DUMMYFUNCTION("""COMPUTED_VALUE"""),10)</f>
        <v>10</v>
      </c>
      <c r="D121" s="1">
        <f ca="1">IFERROR(__xludf.DUMMYFUNCTION("""COMPUTED_VALUE"""),2023)</f>
        <v>2023</v>
      </c>
      <c r="E121" s="4">
        <f ca="1">IFERROR(__xludf.DUMMYFUNCTION("""COMPUTED_VALUE"""),45240)</f>
        <v>45240</v>
      </c>
      <c r="F121" s="1" t="str">
        <f ca="1">IFERROR(__xludf.DUMMYFUNCTION("""COMPUTED_VALUE"""),"Vallejo High School")</f>
        <v>Vallejo High School</v>
      </c>
      <c r="G121" s="1">
        <f ca="1">IFERROR(__xludf.DUMMYFUNCTION("""COMPUTED_VALUE"""),0)</f>
        <v>0</v>
      </c>
      <c r="H121" s="1">
        <f ca="1">IFERROR(__xludf.DUMMYFUNCTION("""COMPUTED_VALUE"""),1)</f>
        <v>1</v>
      </c>
      <c r="I121" s="1">
        <f ca="1">IFERROR(__xludf.DUMMYFUNCTION("""COMPUTED_VALUE"""),1)</f>
        <v>1</v>
      </c>
      <c r="J121" s="1">
        <f ca="1">IFERROR(__xludf.DUMMYFUNCTION("""COMPUTED_VALUE"""),0)</f>
        <v>0</v>
      </c>
      <c r="K121" s="1" t="str">
        <f ca="1">IFERROR(__xludf.DUMMYFUNCTION("""COMPUTED_VALUE"""),"Fall")</f>
        <v>Fall</v>
      </c>
      <c r="L121" s="1" t="str">
        <f ca="1">IFERROR(__xludf.DUMMYFUNCTION("""COMPUTED_VALUE"""),"Vallejo")</f>
        <v>Vallejo</v>
      </c>
      <c r="M121" s="1" t="str">
        <f ca="1">IFERROR(__xludf.DUMMYFUNCTION("""COMPUTED_VALUE"""),"CA")</f>
        <v>CA</v>
      </c>
      <c r="N121" s="1" t="str">
        <f ca="1">IFERROR(__xludf.DUMMYFUNCTION("""COMPUTED_VALUE"""),"High")</f>
        <v>High</v>
      </c>
      <c r="O121" s="1" t="str">
        <f ca="1">IFERROR(__xludf.DUMMYFUNCTION("""COMPUTED_VALUE"""),"Front of School")</f>
        <v>Front of School</v>
      </c>
      <c r="P121" s="1" t="str">
        <f ca="1">IFERROR(__xludf.DUMMYFUNCTION("""COMPUTED_VALUE"""),"Outside on School Property")</f>
        <v>Outside on School Property</v>
      </c>
      <c r="Q121" s="1" t="str">
        <f ca="1">IFERROR(__xludf.DUMMYFUNCTION("""COMPUTED_VALUE"""),"No")</f>
        <v>No</v>
      </c>
      <c r="R121" s="1" t="str">
        <f ca="1">IFERROR(__xludf.DUMMYFUNCTION("""COMPUTED_VALUE"""),"Sport Event")</f>
        <v>Sport Event</v>
      </c>
      <c r="S121" s="5">
        <f ca="1">IFERROR(__xludf.DUMMYFUNCTION("""COMPUTED_VALUE"""),0.911111111111111)</f>
        <v>0.91111111111111098</v>
      </c>
      <c r="T121" s="1">
        <f ca="1">IFERROR(__xludf.DUMMYFUNCTION("""COMPUTED_VALUE"""),1)</f>
        <v>1</v>
      </c>
      <c r="U121" s="1" t="str">
        <f ca="1">IFERROR(__xludf.DUMMYFUNCTION("""COMPUTED_VALUE"""),"Student shot while standing in front of the school after a football game ended")</f>
        <v>Student shot while standing in front of the school after a football game ended</v>
      </c>
      <c r="V121" s="1" t="str">
        <f ca="1">IFERROR(__xludf.DUMMYFUNCTION("""COMPUTED_VALUE"""),"Student shot while standing in front of the school after a football game ended. Transported to the hospital with serious injuries.")</f>
        <v>Student shot while standing in front of the school after a football game ended. Transported to the hospital with serious injuries.</v>
      </c>
      <c r="W121" s="1"/>
      <c r="X121" s="1" t="str">
        <f ca="1">IFERROR(__xludf.DUMMYFUNCTION("""COMPUTED_VALUE"""),"Victims Targeted")</f>
        <v>Victims Targeted</v>
      </c>
      <c r="Y121" s="1"/>
      <c r="Z121" s="1"/>
      <c r="AA121" s="1" t="str">
        <f ca="1">IFERROR(__xludf.DUMMYFUNCTION("""COMPUTED_VALUE"""),"No")</f>
        <v>No</v>
      </c>
      <c r="AB121" s="1" t="str">
        <f ca="1">IFERROR(__xludf.DUMMYFUNCTION("""COMPUTED_VALUE"""),"No")</f>
        <v>No</v>
      </c>
      <c r="AC121" s="1" t="str">
        <f ca="1">IFERROR(__xludf.DUMMYFUNCTION("""COMPUTED_VALUE"""),"No")</f>
        <v>No</v>
      </c>
      <c r="AD121" s="1" t="str">
        <f ca="1">IFERROR(__xludf.DUMMYFUNCTION("""COMPUTED_VALUE"""),"No")</f>
        <v>No</v>
      </c>
      <c r="AE121" s="1" t="str">
        <f ca="1">IFERROR(__xludf.DUMMYFUNCTION("""COMPUTED_VALUE"""),"No")</f>
        <v>No</v>
      </c>
      <c r="AF121" s="1"/>
      <c r="AG121" s="1" t="str">
        <f ca="1">IFERROR(__xludf.DUMMYFUNCTION("""COMPUTED_VALUE"""),"No")</f>
        <v>No</v>
      </c>
      <c r="AH121" s="1">
        <f ca="1">IFERROR(__xludf.DUMMYFUNCTION("""COMPUTED_VALUE"""),99)</f>
        <v>99</v>
      </c>
    </row>
    <row r="122" spans="1:34" ht="12.5">
      <c r="A122" s="1" t="str">
        <f ca="1">IFERROR(__xludf.DUMMYFUNCTION("""COMPUTED_VALUE"""),"20231109NVLAL")</f>
        <v>20231109NVLAL</v>
      </c>
      <c r="B122" s="1">
        <f ca="1">IFERROR(__xludf.DUMMYFUNCTION("""COMPUTED_VALUE"""),11)</f>
        <v>11</v>
      </c>
      <c r="C122" s="1">
        <f ca="1">IFERROR(__xludf.DUMMYFUNCTION("""COMPUTED_VALUE"""),9)</f>
        <v>9</v>
      </c>
      <c r="D122" s="1">
        <f ca="1">IFERROR(__xludf.DUMMYFUNCTION("""COMPUTED_VALUE"""),2023)</f>
        <v>2023</v>
      </c>
      <c r="E122" s="4">
        <f ca="1">IFERROR(__xludf.DUMMYFUNCTION("""COMPUTED_VALUE"""),45239)</f>
        <v>45239</v>
      </c>
      <c r="F122" s="1" t="str">
        <f ca="1">IFERROR(__xludf.DUMMYFUNCTION("""COMPUTED_VALUE"""),"Las Vegas Academy")</f>
        <v>Las Vegas Academy</v>
      </c>
      <c r="G122" s="1">
        <f ca="1">IFERROR(__xludf.DUMMYFUNCTION("""COMPUTED_VALUE"""),1)</f>
        <v>1</v>
      </c>
      <c r="H122" s="1">
        <f ca="1">IFERROR(__xludf.DUMMYFUNCTION("""COMPUTED_VALUE"""),0)</f>
        <v>0</v>
      </c>
      <c r="I122" s="1">
        <f ca="1">IFERROR(__xludf.DUMMYFUNCTION("""COMPUTED_VALUE"""),1)</f>
        <v>1</v>
      </c>
      <c r="J122" s="1">
        <f ca="1">IFERROR(__xludf.DUMMYFUNCTION("""COMPUTED_VALUE"""),0)</f>
        <v>0</v>
      </c>
      <c r="K122" s="1" t="str">
        <f ca="1">IFERROR(__xludf.DUMMYFUNCTION("""COMPUTED_VALUE"""),"Fall")</f>
        <v>Fall</v>
      </c>
      <c r="L122" s="1" t="str">
        <f ca="1">IFERROR(__xludf.DUMMYFUNCTION("""COMPUTED_VALUE"""),"Las Vegas")</f>
        <v>Las Vegas</v>
      </c>
      <c r="M122" s="1" t="str">
        <f ca="1">IFERROR(__xludf.DUMMYFUNCTION("""COMPUTED_VALUE"""),"NV")</f>
        <v>NV</v>
      </c>
      <c r="N122" s="1" t="str">
        <f ca="1">IFERROR(__xludf.DUMMYFUNCTION("""COMPUTED_VALUE"""),"High")</f>
        <v>High</v>
      </c>
      <c r="O122" s="1" t="str">
        <f ca="1">IFERROR(__xludf.DUMMYFUNCTION("""COMPUTED_VALUE"""),"Parking Lot")</f>
        <v>Parking Lot</v>
      </c>
      <c r="P122" s="1" t="str">
        <f ca="1">IFERROR(__xludf.DUMMYFUNCTION("""COMPUTED_VALUE"""),"Outside on School Property")</f>
        <v>Outside on School Property</v>
      </c>
      <c r="Q122" s="1" t="str">
        <f ca="1">IFERROR(__xludf.DUMMYFUNCTION("""COMPUTED_VALUE"""),"Yes")</f>
        <v>Yes</v>
      </c>
      <c r="R122" s="1" t="str">
        <f ca="1">IFERROR(__xludf.DUMMYFUNCTION("""COMPUTED_VALUE"""),"School Start")</f>
        <v>School Start</v>
      </c>
      <c r="S122" s="5">
        <f ca="1">IFERROR(__xludf.DUMMYFUNCTION("""COMPUTED_VALUE"""),0.290972222222222)</f>
        <v>0.29097222222222202</v>
      </c>
      <c r="T122" s="1">
        <f ca="1">IFERROR(__xludf.DUMMYFUNCTION("""COMPUTED_VALUE"""),1)</f>
        <v>1</v>
      </c>
      <c r="U122" s="1" t="str">
        <f ca="1">IFERROR(__xludf.DUMMYFUNCTION("""COMPUTED_VALUE"""),"When students were arriving, man fired multiple shots from the school parking lot that his the school theater and an apartment across the street.")</f>
        <v>When students were arriving, man fired multiple shots from the school parking lot that his the school theater and an apartment across the street.</v>
      </c>
      <c r="V122" s="1" t="str">
        <f ca="1">IFERROR(__xludf.DUMMYFUNCTION("""COMPUTED_VALUE"""),"When students were arriving, man fired multiple shots from the school parking lot at an apartment across the street. Las Vegas Metropolitan police said officers responded to calls about several shots being fired in the area of the school shortly before th"&amp;"e school opened for classes and arrested Sanford based on descriptions from witnesses. Officers then found a man who was dead at a nearby apartment complex with a gunshot wound to his head. School went on lockdown for 2 hours. A witness told police she wa"&amp;"s walking toward the theatre building of the Las Vegas Academy of Arts when she heard five to seven “loud pops” and saw a man standing in the doorway of one of the apartments, the report stated. She told police she saw him shooting at the theatre building"&amp;" “indiscriminately,” so she got into her friend’s car and they left the area. She later positively identified Sanford as the man she saw, according to the report. Police later found three bullet impacts on the east side of the theater building.")</f>
        <v>When students were arriving, man fired multiple shots from the school parking lot at an apartment across the street. Las Vegas Metropolitan police said officers responded to calls about several shots being fired in the area of the school shortly before the school opened for classes and arrested Sanford based on descriptions from witnesses. Officers then found a man who was dead at a nearby apartment complex with a gunshot wound to his head. School went on lockdown for 2 hours. A witness told police she was walking toward the theatre building of the Las Vegas Academy of Arts when she heard five to seven “loud pops” and saw a man standing in the doorway of one of the apartments, the report stated. She told police she saw him shooting at the theatre building “indiscriminately,” so she got into her friend’s car and they left the area. She later positively identified Sanford as the man she saw, according to the report. Police later found three bullet impacts on the east side of the theater building.</v>
      </c>
      <c r="W122" s="1" t="str">
        <f ca="1">IFERROR(__xludf.DUMMYFUNCTION("""COMPUTED_VALUE"""),"Psychosis")</f>
        <v>Psychosis</v>
      </c>
      <c r="X122" s="1" t="str">
        <f ca="1">IFERROR(__xludf.DUMMYFUNCTION("""COMPUTED_VALUE"""),"Both")</f>
        <v>Both</v>
      </c>
      <c r="Y122" s="1" t="str">
        <f ca="1">IFERROR(__xludf.DUMMYFUNCTION("""COMPUTED_VALUE"""),"No")</f>
        <v>No</v>
      </c>
      <c r="Z122" s="1"/>
      <c r="AA122" s="1" t="str">
        <f ca="1">IFERROR(__xludf.DUMMYFUNCTION("""COMPUTED_VALUE"""),"No")</f>
        <v>No</v>
      </c>
      <c r="AB122" s="1" t="str">
        <f ca="1">IFERROR(__xludf.DUMMYFUNCTION("""COMPUTED_VALUE"""),"No")</f>
        <v>No</v>
      </c>
      <c r="AC122" s="1" t="str">
        <f ca="1">IFERROR(__xludf.DUMMYFUNCTION("""COMPUTED_VALUE"""),"No")</f>
        <v>No</v>
      </c>
      <c r="AD122" s="1" t="str">
        <f ca="1">IFERROR(__xludf.DUMMYFUNCTION("""COMPUTED_VALUE"""),"No")</f>
        <v>No</v>
      </c>
      <c r="AE122" s="1" t="str">
        <f ca="1">IFERROR(__xludf.DUMMYFUNCTION("""COMPUTED_VALUE"""),"No")</f>
        <v>No</v>
      </c>
      <c r="AF122" s="1"/>
      <c r="AG122" s="1" t="str">
        <f ca="1">IFERROR(__xludf.DUMMYFUNCTION("""COMPUTED_VALUE"""),"No")</f>
        <v>No</v>
      </c>
      <c r="AH122" s="1">
        <f ca="1">IFERROR(__xludf.DUMMYFUNCTION("""COMPUTED_VALUE"""),99)</f>
        <v>99</v>
      </c>
    </row>
    <row r="123" spans="1:34" ht="12.5">
      <c r="A123" s="1" t="str">
        <f ca="1">IFERROR(__xludf.DUMMYFUNCTION("""COMPUTED_VALUE"""),"20231109ALESA")</f>
        <v>20231109ALESA</v>
      </c>
      <c r="B123" s="1">
        <f ca="1">IFERROR(__xludf.DUMMYFUNCTION("""COMPUTED_VALUE"""),11)</f>
        <v>11</v>
      </c>
      <c r="C123" s="1">
        <f ca="1">IFERROR(__xludf.DUMMYFUNCTION("""COMPUTED_VALUE"""),9)</f>
        <v>9</v>
      </c>
      <c r="D123" s="1">
        <f ca="1">IFERROR(__xludf.DUMMYFUNCTION("""COMPUTED_VALUE"""),2023)</f>
        <v>2023</v>
      </c>
      <c r="E123" s="4">
        <f ca="1">IFERROR(__xludf.DUMMYFUNCTION("""COMPUTED_VALUE"""),45239)</f>
        <v>45239</v>
      </c>
      <c r="F123" s="1" t="str">
        <f ca="1">IFERROR(__xludf.DUMMYFUNCTION("""COMPUTED_VALUE"""),"Escambia County High School")</f>
        <v>Escambia County High School</v>
      </c>
      <c r="G123" s="1">
        <f ca="1">IFERROR(__xludf.DUMMYFUNCTION("""COMPUTED_VALUE"""),0)</f>
        <v>0</v>
      </c>
      <c r="H123" s="1">
        <f ca="1">IFERROR(__xludf.DUMMYFUNCTION("""COMPUTED_VALUE"""),2)</f>
        <v>2</v>
      </c>
      <c r="I123" s="1">
        <f ca="1">IFERROR(__xludf.DUMMYFUNCTION("""COMPUTED_VALUE"""),2)</f>
        <v>2</v>
      </c>
      <c r="J123" s="1">
        <f ca="1">IFERROR(__xludf.DUMMYFUNCTION("""COMPUTED_VALUE"""),0)</f>
        <v>0</v>
      </c>
      <c r="K123" s="1" t="str">
        <f ca="1">IFERROR(__xludf.DUMMYFUNCTION("""COMPUTED_VALUE"""),"Fall")</f>
        <v>Fall</v>
      </c>
      <c r="L123" s="1" t="str">
        <f ca="1">IFERROR(__xludf.DUMMYFUNCTION("""COMPUTED_VALUE"""),"Atmore")</f>
        <v>Atmore</v>
      </c>
      <c r="M123" s="1" t="str">
        <f ca="1">IFERROR(__xludf.DUMMYFUNCTION("""COMPUTED_VALUE"""),"AL")</f>
        <v>AL</v>
      </c>
      <c r="N123" s="1" t="str">
        <f ca="1">IFERROR(__xludf.DUMMYFUNCTION("""COMPUTED_VALUE"""),"High")</f>
        <v>High</v>
      </c>
      <c r="O123" s="1" t="str">
        <f ca="1">IFERROR(__xludf.DUMMYFUNCTION("""COMPUTED_VALUE"""),"Gym")</f>
        <v>Gym</v>
      </c>
      <c r="P123" s="1" t="str">
        <f ca="1">IFERROR(__xludf.DUMMYFUNCTION("""COMPUTED_VALUE"""),"Inside School Building")</f>
        <v>Inside School Building</v>
      </c>
      <c r="Q123" s="1" t="str">
        <f ca="1">IFERROR(__xludf.DUMMYFUNCTION("""COMPUTED_VALUE"""),"No")</f>
        <v>No</v>
      </c>
      <c r="R123" s="1" t="str">
        <f ca="1">IFERROR(__xludf.DUMMYFUNCTION("""COMPUTED_VALUE"""),"Sport Event")</f>
        <v>Sport Event</v>
      </c>
      <c r="S123" s="1"/>
      <c r="T123" s="1">
        <f ca="1">IFERROR(__xludf.DUMMYFUNCTION("""COMPUTED_VALUE"""),1)</f>
        <v>1</v>
      </c>
      <c r="U123" s="1" t="str">
        <f ca="1">IFERROR(__xludf.DUMMYFUNCTION("""COMPUTED_VALUE"""),"Gun fell from man's waistband during basketball game and fired when it hit the floor, two wounded")</f>
        <v>Gun fell from man's waistband during basketball game and fired when it hit the floor, two wounded</v>
      </c>
      <c r="V123" s="1" t="str">
        <f ca="1">IFERROR(__xludf.DUMMYFUNCTION("""COMPUTED_VALUE"""),"On November 9, 2023, Escambia County (AL) Sheriff’s Deputies along with Atmore Police officers responded to a report of a weapon being discharged at Escambia County High School inside the gym during a basketball game,” Sheriff Heath Jackson said. “A preli"&amp;"minary investigation led to the determination that a small group of individuals entered the gym area and that one of the young men was concealing a handgun in his waistband. The firearm fell from the suspects pants and hit the ground causing the gun to di"&amp;"scharge. Two people in the group later showed up at area hospitals for treatment for what appeared to be wounds from bullet fragments. This is still an ongoing investigation and will be updated in the future as arrests are made.")</f>
        <v>On November 9, 2023, Escambia County (AL) Sheriff’s Deputies along with Atmore Police officers responded to a report of a weapon being discharged at Escambia County High School inside the gym during a basketball game,” Sheriff Heath Jackson said. “A preliminary investigation led to the determination that a small group of individuals entered the gym area and that one of the young men was concealing a handgun in his waistband. The firearm fell from the suspects pants and hit the ground causing the gun to discharge. Two people in the group later showed up at area hospitals for treatment for what appeared to be wounds from bullet fragments. This is still an ongoing investigation and will be updated in the future as arrests are made.</v>
      </c>
      <c r="W123" s="1" t="str">
        <f ca="1">IFERROR(__xludf.DUMMYFUNCTION("""COMPUTED_VALUE"""),"Accidental")</f>
        <v>Accidental</v>
      </c>
      <c r="X123" s="1" t="str">
        <f ca="1">IFERROR(__xludf.DUMMYFUNCTION("""COMPUTED_VALUE"""),"Neither")</f>
        <v>Neither</v>
      </c>
      <c r="Y123" s="1" t="str">
        <f ca="1">IFERROR(__xludf.DUMMYFUNCTION("""COMPUTED_VALUE"""),"No")</f>
        <v>No</v>
      </c>
      <c r="Z123" s="1"/>
      <c r="AA123" s="1" t="str">
        <f ca="1">IFERROR(__xludf.DUMMYFUNCTION("""COMPUTED_VALUE"""),"No")</f>
        <v>No</v>
      </c>
      <c r="AB123" s="1" t="str">
        <f ca="1">IFERROR(__xludf.DUMMYFUNCTION("""COMPUTED_VALUE"""),"No")</f>
        <v>No</v>
      </c>
      <c r="AC123" s="1" t="str">
        <f ca="1">IFERROR(__xludf.DUMMYFUNCTION("""COMPUTED_VALUE"""),"No")</f>
        <v>No</v>
      </c>
      <c r="AD123" s="1" t="str">
        <f ca="1">IFERROR(__xludf.DUMMYFUNCTION("""COMPUTED_VALUE"""),"No")</f>
        <v>No</v>
      </c>
      <c r="AE123" s="1" t="str">
        <f ca="1">IFERROR(__xludf.DUMMYFUNCTION("""COMPUTED_VALUE"""),"No")</f>
        <v>No</v>
      </c>
      <c r="AF123" s="1" t="str">
        <f ca="1">IFERROR(__xludf.DUMMYFUNCTION("""COMPUTED_VALUE"""),"No")</f>
        <v>No</v>
      </c>
      <c r="AG123" s="1" t="str">
        <f ca="1">IFERROR(__xludf.DUMMYFUNCTION("""COMPUTED_VALUE"""),"No")</f>
        <v>No</v>
      </c>
      <c r="AH123" s="1">
        <f ca="1">IFERROR(__xludf.DUMMYFUNCTION("""COMPUTED_VALUE"""),1)</f>
        <v>1</v>
      </c>
    </row>
    <row r="124" spans="1:34" ht="12.5">
      <c r="A124" s="1" t="str">
        <f ca="1">IFERROR(__xludf.DUMMYFUNCTION("""COMPUTED_VALUE"""),"20231108CTLIN")</f>
        <v>20231108CTLIN</v>
      </c>
      <c r="B124" s="1">
        <f ca="1">IFERROR(__xludf.DUMMYFUNCTION("""COMPUTED_VALUE"""),11)</f>
        <v>11</v>
      </c>
      <c r="C124" s="1">
        <f ca="1">IFERROR(__xludf.DUMMYFUNCTION("""COMPUTED_VALUE"""),8)</f>
        <v>8</v>
      </c>
      <c r="D124" s="1">
        <f ca="1">IFERROR(__xludf.DUMMYFUNCTION("""COMPUTED_VALUE"""),2023)</f>
        <v>2023</v>
      </c>
      <c r="E124" s="4">
        <f ca="1">IFERROR(__xludf.DUMMYFUNCTION("""COMPUTED_VALUE"""),45238)</f>
        <v>45238</v>
      </c>
      <c r="F124" s="1" t="str">
        <f ca="1">IFERROR(__xludf.DUMMYFUNCTION("""COMPUTED_VALUE"""),"Lincoln Bassett School")</f>
        <v>Lincoln Bassett School</v>
      </c>
      <c r="G124" s="1">
        <f ca="1">IFERROR(__xludf.DUMMYFUNCTION("""COMPUTED_VALUE"""),0)</f>
        <v>0</v>
      </c>
      <c r="H124" s="1">
        <f ca="1">IFERROR(__xludf.DUMMYFUNCTION("""COMPUTED_VALUE"""),0)</f>
        <v>0</v>
      </c>
      <c r="I124" s="1">
        <f ca="1">IFERROR(__xludf.DUMMYFUNCTION("""COMPUTED_VALUE"""),0)</f>
        <v>0</v>
      </c>
      <c r="J124" s="1">
        <f ca="1">IFERROR(__xludf.DUMMYFUNCTION("""COMPUTED_VALUE"""),0)</f>
        <v>0</v>
      </c>
      <c r="K124" s="1" t="str">
        <f ca="1">IFERROR(__xludf.DUMMYFUNCTION("""COMPUTED_VALUE"""),"Fall")</f>
        <v>Fall</v>
      </c>
      <c r="L124" s="1" t="str">
        <f ca="1">IFERROR(__xludf.DUMMYFUNCTION("""COMPUTED_VALUE"""),"New Haven")</f>
        <v>New Haven</v>
      </c>
      <c r="M124" s="1" t="str">
        <f ca="1">IFERROR(__xludf.DUMMYFUNCTION("""COMPUTED_VALUE"""),"CT")</f>
        <v>CT</v>
      </c>
      <c r="N124" s="1" t="str">
        <f ca="1">IFERROR(__xludf.DUMMYFUNCTION("""COMPUTED_VALUE"""),"Elementary")</f>
        <v>Elementary</v>
      </c>
      <c r="O124" s="1" t="str">
        <f ca="1">IFERROR(__xludf.DUMMYFUNCTION("""COMPUTED_VALUE"""),"Parking Lot")</f>
        <v>Parking Lot</v>
      </c>
      <c r="P124" s="1" t="str">
        <f ca="1">IFERROR(__xludf.DUMMYFUNCTION("""COMPUTED_VALUE"""),"Outside on School Property")</f>
        <v>Outside on School Property</v>
      </c>
      <c r="Q124" s="1" t="str">
        <f ca="1">IFERROR(__xludf.DUMMYFUNCTION("""COMPUTED_VALUE"""),"Yes")</f>
        <v>Yes</v>
      </c>
      <c r="R124" s="1" t="str">
        <f ca="1">IFERROR(__xludf.DUMMYFUNCTION("""COMPUTED_VALUE"""),"Morning Classes")</f>
        <v>Morning Classes</v>
      </c>
      <c r="S124" s="5">
        <f ca="1">IFERROR(__xludf.DUMMYFUNCTION("""COMPUTED_VALUE"""),0.415277777777777)</f>
        <v>0.41527777777777702</v>
      </c>
      <c r="T124" s="1">
        <f ca="1">IFERROR(__xludf.DUMMYFUNCTION("""COMPUTED_VALUE"""),1)</f>
        <v>1</v>
      </c>
      <c r="U124" s="1" t="str">
        <f ca="1">IFERROR(__xludf.DUMMYFUNCTION("""COMPUTED_VALUE"""),"Janitor spotted man with gun in school parking lot, de-escalated situation, man arrested and taken for psych eval")</f>
        <v>Janitor spotted man with gun in school parking lot, de-escalated situation, man arrested and taken for psych eval</v>
      </c>
      <c r="V124" s="1" t="str">
        <f ca="1">IFERROR(__xludf.DUMMYFUNCTION("""COMPUTED_VALUE"""),"The custodian was arriving at Lincoln Bassett School in the morning hours while classes were already in session when he noticed the armed individual who appeared to be “distraught,” officials with the New Haven Public School system wrote in a message to p"&amp;"arents and guardians Wednesday. The custodian approached the individual and was successful in “de-escalating the situation,” according to the school system. Members of the New Haven Police Department were notified at about 9:58 a.m. and responded to take "&amp;"custody of the armed man. Police said the individual was found lying naked on an area of concrete in front of the school. The man, who appeared disoriented, was taken in an ambulance to Yale New Haven Hospital “under a committal for a psychiatric evaluati"&amp;"on,” New Haven police Sgt. Cherelle Carr said. “Students were indoors and did not witness the event,” school officials told parents and guardians. “They were safe at all times. We are grateful for the courageous intervention of the staff member.”")</f>
        <v>The custodian was arriving at Lincoln Bassett School in the morning hours while classes were already in session when he noticed the armed individual who appeared to be “distraught,” officials with the New Haven Public School system wrote in a message to parents and guardians Wednesday. The custodian approached the individual and was successful in “de-escalating the situation,” according to the school system. Members of the New Haven Police Department were notified at about 9:58 a.m. and responded to take custody of the armed man. Police said the individual was found lying naked on an area of concrete in front of the school. The man, who appeared disoriented, was taken in an ambulance to Yale New Haven Hospital “under a committal for a psychiatric evaluation,” New Haven police Sgt. Cherelle Carr said. “Students were indoors and did not witness the event,” school officials told parents and guardians. “They were safe at all times. We are grateful for the courageous intervention of the staff member.”</v>
      </c>
      <c r="W124" s="1" t="str">
        <f ca="1">IFERROR(__xludf.DUMMYFUNCTION("""COMPUTED_VALUE"""),"Psychosis")</f>
        <v>Psychosis</v>
      </c>
      <c r="X124" s="1" t="str">
        <f ca="1">IFERROR(__xludf.DUMMYFUNCTION("""COMPUTED_VALUE"""),"Neither")</f>
        <v>Neither</v>
      </c>
      <c r="Y124" s="1" t="str">
        <f ca="1">IFERROR(__xludf.DUMMYFUNCTION("""COMPUTED_VALUE"""),"No")</f>
        <v>No</v>
      </c>
      <c r="Z124" s="1"/>
      <c r="AA124" s="1" t="str">
        <f ca="1">IFERROR(__xludf.DUMMYFUNCTION("""COMPUTED_VALUE"""),"No")</f>
        <v>No</v>
      </c>
      <c r="AB124" s="1" t="str">
        <f ca="1">IFERROR(__xludf.DUMMYFUNCTION("""COMPUTED_VALUE"""),"No")</f>
        <v>No</v>
      </c>
      <c r="AC124" s="1" t="str">
        <f ca="1">IFERROR(__xludf.DUMMYFUNCTION("""COMPUTED_VALUE"""),"No")</f>
        <v>No</v>
      </c>
      <c r="AD124" s="1" t="str">
        <f ca="1">IFERROR(__xludf.DUMMYFUNCTION("""COMPUTED_VALUE"""),"No")</f>
        <v>No</v>
      </c>
      <c r="AE124" s="1" t="str">
        <f ca="1">IFERROR(__xludf.DUMMYFUNCTION("""COMPUTED_VALUE"""),"No")</f>
        <v>No</v>
      </c>
      <c r="AF124" s="1" t="str">
        <f ca="1">IFERROR(__xludf.DUMMYFUNCTION("""COMPUTED_VALUE"""),"No")</f>
        <v>No</v>
      </c>
      <c r="AG124" s="1" t="str">
        <f ca="1">IFERROR(__xludf.DUMMYFUNCTION("""COMPUTED_VALUE"""),"No")</f>
        <v>No</v>
      </c>
      <c r="AH124" s="1">
        <f ca="1">IFERROR(__xludf.DUMMYFUNCTION("""COMPUTED_VALUE"""),0)</f>
        <v>0</v>
      </c>
    </row>
    <row r="125" spans="1:34" ht="12.5">
      <c r="A125" s="1" t="str">
        <f ca="1">IFERROR(__xludf.DUMMYFUNCTION("""COMPUTED_VALUE"""),"20231107CABUB")</f>
        <v>20231107CABUB</v>
      </c>
      <c r="B125" s="1">
        <f ca="1">IFERROR(__xludf.DUMMYFUNCTION("""COMPUTED_VALUE"""),11)</f>
        <v>11</v>
      </c>
      <c r="C125" s="1">
        <f ca="1">IFERROR(__xludf.DUMMYFUNCTION("""COMPUTED_VALUE"""),7)</f>
        <v>7</v>
      </c>
      <c r="D125" s="1">
        <f ca="1">IFERROR(__xludf.DUMMYFUNCTION("""COMPUTED_VALUE"""),2023)</f>
        <v>2023</v>
      </c>
      <c r="E125" s="4">
        <f ca="1">IFERROR(__xludf.DUMMYFUNCTION("""COMPUTED_VALUE"""),45237)</f>
        <v>45237</v>
      </c>
      <c r="F125" s="1" t="str">
        <f ca="1">IFERROR(__xludf.DUMMYFUNCTION("""COMPUTED_VALUE"""),"Bullard High School")</f>
        <v>Bullard High School</v>
      </c>
      <c r="G125" s="1">
        <f ca="1">IFERROR(__xludf.DUMMYFUNCTION("""COMPUTED_VALUE"""),0)</f>
        <v>0</v>
      </c>
      <c r="H125" s="1">
        <f ca="1">IFERROR(__xludf.DUMMYFUNCTION("""COMPUTED_VALUE"""),0)</f>
        <v>0</v>
      </c>
      <c r="I125" s="1">
        <f ca="1">IFERROR(__xludf.DUMMYFUNCTION("""COMPUTED_VALUE"""),0)</f>
        <v>0</v>
      </c>
      <c r="J125" s="1">
        <f ca="1">IFERROR(__xludf.DUMMYFUNCTION("""COMPUTED_VALUE"""),0)</f>
        <v>0</v>
      </c>
      <c r="K125" s="1" t="str">
        <f ca="1">IFERROR(__xludf.DUMMYFUNCTION("""COMPUTED_VALUE"""),"Fall")</f>
        <v>Fall</v>
      </c>
      <c r="L125" s="1" t="str">
        <f ca="1">IFERROR(__xludf.DUMMYFUNCTION("""COMPUTED_VALUE"""),"Fresno")</f>
        <v>Fresno</v>
      </c>
      <c r="M125" s="1" t="str">
        <f ca="1">IFERROR(__xludf.DUMMYFUNCTION("""COMPUTED_VALUE"""),"CA")</f>
        <v>CA</v>
      </c>
      <c r="N125" s="1" t="str">
        <f ca="1">IFERROR(__xludf.DUMMYFUNCTION("""COMPUTED_VALUE"""),"High")</f>
        <v>High</v>
      </c>
      <c r="O125" s="1" t="str">
        <f ca="1">IFERROR(__xludf.DUMMYFUNCTION("""COMPUTED_VALUE"""),"School Bus")</f>
        <v>School Bus</v>
      </c>
      <c r="P125" s="1" t="str">
        <f ca="1">IFERROR(__xludf.DUMMYFUNCTION("""COMPUTED_VALUE"""),"School Bus")</f>
        <v>School Bus</v>
      </c>
      <c r="Q125" s="1" t="str">
        <f ca="1">IFERROR(__xludf.DUMMYFUNCTION("""COMPUTED_VALUE"""),"Yes")</f>
        <v>Yes</v>
      </c>
      <c r="R125" s="1" t="str">
        <f ca="1">IFERROR(__xludf.DUMMYFUNCTION("""COMPUTED_VALUE"""),"School Start")</f>
        <v>School Start</v>
      </c>
      <c r="S125" s="5">
        <f ca="1">IFERROR(__xludf.DUMMYFUNCTION("""COMPUTED_VALUE"""),0.34375)</f>
        <v>0.34375</v>
      </c>
      <c r="T125" s="1">
        <f ca="1">IFERROR(__xludf.DUMMYFUNCTION("""COMPUTED_VALUE"""),1)</f>
        <v>1</v>
      </c>
      <c r="U125" s="1" t="str">
        <f ca="1">IFERROR(__xludf.DUMMYFUNCTION("""COMPUTED_VALUE"""),"Student fired gel pellet gun on moving school bus striking driver and 13 students, charged with 13 counts of assault and battery")</f>
        <v>Student fired gel pellet gun on moving school bus striking driver and 13 students, charged with 13 counts of assault and battery</v>
      </c>
      <c r="V125" s="1" t="str">
        <f ca="1">IFERROR(__xludf.DUMMYFUNCTION("""COMPUTED_VALUE"""),"Bullard High School issued a statement to parents regarding the matter: ""This morning one of our buses was involved in an incident where a student riding the school bus had a plastic Orbeez water pellet gun. The student shot the water pellets towards the"&amp;" front of the bus. After further investigation by the Sherriff’s Department, we have learned a second student took the water pellet gun and began to shoot the water pellets at students who were sitting on the bus. No one was physically injured and all stu"&amp;"dents riding the bus are okay and safe. Parents were notified and all students who were on the bus were brought back on campus where they were provided breakfast and social emotional support. As part of the investigation, students who were witnesses were "&amp;"interviewed by the Sherriff’s Department to get first-hand information from students. The students involved have been identified, arrested, and are facing legal consequences. This event is extremely unacceptable and does not reflect the Knight characteris"&amp;"tics or behavior we expect from our Bullard students. In addition, the students involved are facing appropriate disciplinary action from the school site level.")</f>
        <v>Bullard High School issued a statement to parents regarding the matter: "This morning one of our buses was involved in an incident where a student riding the school bus had a plastic Orbeez water pellet gun. The student shot the water pellets towards the front of the bus. After further investigation by the Sherriff’s Department, we have learned a second student took the water pellet gun and began to shoot the water pellets at students who were sitting on the bus. No one was physically injured and all students riding the bus are okay and safe. Parents were notified and all students who were on the bus were brought back on campus where they were provided breakfast and social emotional support. As part of the investigation, students who were witnesses were interviewed by the Sherriff’s Department to get first-hand information from students. The students involved have been identified, arrested, and are facing legal consequences. This event is extremely unacceptable and does not reflect the Knight characteristics or behavior we expect from our Bullard students. In addition, the students involved are facing appropriate disciplinary action from the school site level.</v>
      </c>
      <c r="W125" s="1"/>
      <c r="X125" s="1" t="str">
        <f ca="1">IFERROR(__xludf.DUMMYFUNCTION("""COMPUTED_VALUE"""),"Both")</f>
        <v>Both</v>
      </c>
      <c r="Y125" s="1"/>
      <c r="Z125" s="1"/>
      <c r="AA125" s="1" t="str">
        <f ca="1">IFERROR(__xludf.DUMMYFUNCTION("""COMPUTED_VALUE"""),"No")</f>
        <v>No</v>
      </c>
      <c r="AB125" s="1" t="str">
        <f ca="1">IFERROR(__xludf.DUMMYFUNCTION("""COMPUTED_VALUE"""),"No")</f>
        <v>No</v>
      </c>
      <c r="AC125" s="1" t="str">
        <f ca="1">IFERROR(__xludf.DUMMYFUNCTION("""COMPUTED_VALUE"""),"No")</f>
        <v>No</v>
      </c>
      <c r="AD125" s="1" t="str">
        <f ca="1">IFERROR(__xludf.DUMMYFUNCTION("""COMPUTED_VALUE"""),"No")</f>
        <v>No</v>
      </c>
      <c r="AE125" s="1" t="str">
        <f ca="1">IFERROR(__xludf.DUMMYFUNCTION("""COMPUTED_VALUE"""),"No")</f>
        <v>No</v>
      </c>
      <c r="AF125" s="1" t="str">
        <f ca="1">IFERROR(__xludf.DUMMYFUNCTION("""COMPUTED_VALUE"""),"No")</f>
        <v>No</v>
      </c>
      <c r="AG125" s="1" t="str">
        <f ca="1">IFERROR(__xludf.DUMMYFUNCTION("""COMPUTED_VALUE"""),"No")</f>
        <v>No</v>
      </c>
      <c r="AH125" s="1">
        <f ca="1">IFERROR(__xludf.DUMMYFUNCTION("""COMPUTED_VALUE"""),99)</f>
        <v>99</v>
      </c>
    </row>
    <row r="126" spans="1:34" ht="12.5">
      <c r="A126" s="1" t="str">
        <f ca="1">IFERROR(__xludf.DUMMYFUNCTION("""COMPUTED_VALUE"""),"20231103INKII")</f>
        <v>20231103INKII</v>
      </c>
      <c r="B126" s="1">
        <f ca="1">IFERROR(__xludf.DUMMYFUNCTION("""COMPUTED_VALUE"""),11)</f>
        <v>11</v>
      </c>
      <c r="C126" s="1">
        <f ca="1">IFERROR(__xludf.DUMMYFUNCTION("""COMPUTED_VALUE"""),3)</f>
        <v>3</v>
      </c>
      <c r="D126" s="1">
        <f ca="1">IFERROR(__xludf.DUMMYFUNCTION("""COMPUTED_VALUE"""),2023)</f>
        <v>2023</v>
      </c>
      <c r="E126" s="4">
        <f ca="1">IFERROR(__xludf.DUMMYFUNCTION("""COMPUTED_VALUE"""),45233)</f>
        <v>45233</v>
      </c>
      <c r="F126" s="1" t="str">
        <f ca="1">IFERROR(__xludf.DUMMYFUNCTION("""COMPUTED_VALUE"""),"Kipp Indy Legacy High School")</f>
        <v>Kipp Indy Legacy High School</v>
      </c>
      <c r="G126" s="1">
        <f ca="1">IFERROR(__xludf.DUMMYFUNCTION("""COMPUTED_VALUE"""),1)</f>
        <v>1</v>
      </c>
      <c r="H126" s="1">
        <f ca="1">IFERROR(__xludf.DUMMYFUNCTION("""COMPUTED_VALUE"""),0)</f>
        <v>0</v>
      </c>
      <c r="I126" s="1">
        <f ca="1">IFERROR(__xludf.DUMMYFUNCTION("""COMPUTED_VALUE"""),1)</f>
        <v>1</v>
      </c>
      <c r="J126" s="1">
        <f ca="1">IFERROR(__xludf.DUMMYFUNCTION("""COMPUTED_VALUE"""),0)</f>
        <v>0</v>
      </c>
      <c r="K126" s="1" t="str">
        <f ca="1">IFERROR(__xludf.DUMMYFUNCTION("""COMPUTED_VALUE"""),"Fall")</f>
        <v>Fall</v>
      </c>
      <c r="L126" s="1" t="str">
        <f ca="1">IFERROR(__xludf.DUMMYFUNCTION("""COMPUTED_VALUE"""),"Indianapolis")</f>
        <v>Indianapolis</v>
      </c>
      <c r="M126" s="1" t="str">
        <f ca="1">IFERROR(__xludf.DUMMYFUNCTION("""COMPUTED_VALUE"""),"IN")</f>
        <v>IN</v>
      </c>
      <c r="N126" s="1" t="str">
        <f ca="1">IFERROR(__xludf.DUMMYFUNCTION("""COMPUTED_VALUE"""),"High")</f>
        <v>High</v>
      </c>
      <c r="O126" s="1" t="str">
        <f ca="1">IFERROR(__xludf.DUMMYFUNCTION("""COMPUTED_VALUE"""),"Parking Lot")</f>
        <v>Parking Lot</v>
      </c>
      <c r="P126" s="1" t="str">
        <f ca="1">IFERROR(__xludf.DUMMYFUNCTION("""COMPUTED_VALUE"""),"Outside on School Property")</f>
        <v>Outside on School Property</v>
      </c>
      <c r="Q126" s="1" t="str">
        <f ca="1">IFERROR(__xludf.DUMMYFUNCTION("""COMPUTED_VALUE"""),"Yes")</f>
        <v>Yes</v>
      </c>
      <c r="R126" s="1" t="str">
        <f ca="1">IFERROR(__xludf.DUMMYFUNCTION("""COMPUTED_VALUE"""),"Afternoon Classes")</f>
        <v>Afternoon Classes</v>
      </c>
      <c r="S126" s="5">
        <f ca="1">IFERROR(__xludf.DUMMYFUNCTION("""COMPUTED_VALUE"""),0.541666666666666)</f>
        <v>0.54166666666666596</v>
      </c>
      <c r="T126" s="1">
        <f ca="1">IFERROR(__xludf.DUMMYFUNCTION("""COMPUTED_VALUE"""),1)</f>
        <v>1</v>
      </c>
      <c r="U126" s="1" t="str">
        <f ca="1">IFERROR(__xludf.DUMMYFUNCTION("""COMPUTED_VALUE"""),"Student fatally shot in parking lot during afternoon classes")</f>
        <v>Student fatally shot in parking lot during afternoon classes</v>
      </c>
      <c r="V126" s="1" t="str">
        <f ca="1">IFERROR(__xludf.DUMMYFUNCTION("""COMPUTED_VALUE"""),"The teenage student was shot shortly before 1 p.m. outside KIPP Indy Legacy School, the Indianapolis Metropolitan Police Department said. The shooter was another teenager who is not a student at the school")</f>
        <v>The teenage student was shot shortly before 1 p.m. outside KIPP Indy Legacy School, the Indianapolis Metropolitan Police Department said. The shooter was another teenager who is not a student at the school</v>
      </c>
      <c r="W126" s="1" t="str">
        <f ca="1">IFERROR(__xludf.DUMMYFUNCTION("""COMPUTED_VALUE"""),"Escalation of Dispute")</f>
        <v>Escalation of Dispute</v>
      </c>
      <c r="X126" s="1" t="str">
        <f ca="1">IFERROR(__xludf.DUMMYFUNCTION("""COMPUTED_VALUE"""),"Victims Targeted")</f>
        <v>Victims Targeted</v>
      </c>
      <c r="Y126" s="1" t="str">
        <f ca="1">IFERROR(__xludf.DUMMYFUNCTION("""COMPUTED_VALUE"""),"No")</f>
        <v>No</v>
      </c>
      <c r="Z126" s="1"/>
      <c r="AA126" s="1" t="str">
        <f ca="1">IFERROR(__xludf.DUMMYFUNCTION("""COMPUTED_VALUE"""),"No")</f>
        <v>No</v>
      </c>
      <c r="AB126" s="1" t="str">
        <f ca="1">IFERROR(__xludf.DUMMYFUNCTION("""COMPUTED_VALUE"""),"No")</f>
        <v>No</v>
      </c>
      <c r="AC126" s="1" t="str">
        <f ca="1">IFERROR(__xludf.DUMMYFUNCTION("""COMPUTED_VALUE"""),"No")</f>
        <v>No</v>
      </c>
      <c r="AD126" s="1" t="str">
        <f ca="1">IFERROR(__xludf.DUMMYFUNCTION("""COMPUTED_VALUE"""),"No")</f>
        <v>No</v>
      </c>
      <c r="AE126" s="1" t="str">
        <f ca="1">IFERROR(__xludf.DUMMYFUNCTION("""COMPUTED_VALUE"""),"No")</f>
        <v>No</v>
      </c>
      <c r="AF126" s="1"/>
      <c r="AG126" s="1" t="str">
        <f ca="1">IFERROR(__xludf.DUMMYFUNCTION("""COMPUTED_VALUE"""),"No")</f>
        <v>No</v>
      </c>
      <c r="AH126" s="1">
        <f ca="1">IFERROR(__xludf.DUMMYFUNCTION("""COMPUTED_VALUE"""),99)</f>
        <v>99</v>
      </c>
    </row>
    <row r="127" spans="1:34" ht="12.5">
      <c r="A127" s="1" t="str">
        <f ca="1">IFERROR(__xludf.DUMMYFUNCTION("""COMPUTED_VALUE"""),"20231102NCFRM")</f>
        <v>20231102NCFRM</v>
      </c>
      <c r="B127" s="1">
        <f ca="1">IFERROR(__xludf.DUMMYFUNCTION("""COMPUTED_VALUE"""),11)</f>
        <v>11</v>
      </c>
      <c r="C127" s="1">
        <f ca="1">IFERROR(__xludf.DUMMYFUNCTION("""COMPUTED_VALUE"""),2)</f>
        <v>2</v>
      </c>
      <c r="D127" s="1">
        <f ca="1">IFERROR(__xludf.DUMMYFUNCTION("""COMPUTED_VALUE"""),2023)</f>
        <v>2023</v>
      </c>
      <c r="E127" s="4">
        <f ca="1">IFERROR(__xludf.DUMMYFUNCTION("""COMPUTED_VALUE"""),45232)</f>
        <v>45232</v>
      </c>
      <c r="F127" s="1" t="str">
        <f ca="1">IFERROR(__xludf.DUMMYFUNCTION("""COMPUTED_VALUE"""),"Freedom High School")</f>
        <v>Freedom High School</v>
      </c>
      <c r="G127" s="1">
        <f ca="1">IFERROR(__xludf.DUMMYFUNCTION("""COMPUTED_VALUE"""),0)</f>
        <v>0</v>
      </c>
      <c r="H127" s="1">
        <f ca="1">IFERROR(__xludf.DUMMYFUNCTION("""COMPUTED_VALUE"""),0)</f>
        <v>0</v>
      </c>
      <c r="I127" s="1">
        <f ca="1">IFERROR(__xludf.DUMMYFUNCTION("""COMPUTED_VALUE"""),0)</f>
        <v>0</v>
      </c>
      <c r="J127" s="1">
        <f ca="1">IFERROR(__xludf.DUMMYFUNCTION("""COMPUTED_VALUE"""),0)</f>
        <v>0</v>
      </c>
      <c r="K127" s="1" t="str">
        <f ca="1">IFERROR(__xludf.DUMMYFUNCTION("""COMPUTED_VALUE"""),"Fall")</f>
        <v>Fall</v>
      </c>
      <c r="L127" s="1" t="str">
        <f ca="1">IFERROR(__xludf.DUMMYFUNCTION("""COMPUTED_VALUE"""),"Morganton")</f>
        <v>Morganton</v>
      </c>
      <c r="M127" s="1" t="str">
        <f ca="1">IFERROR(__xludf.DUMMYFUNCTION("""COMPUTED_VALUE"""),"NC")</f>
        <v>NC</v>
      </c>
      <c r="N127" s="1" t="str">
        <f ca="1">IFERROR(__xludf.DUMMYFUNCTION("""COMPUTED_VALUE"""),"High")</f>
        <v>High</v>
      </c>
      <c r="O127" s="1" t="str">
        <f ca="1">IFERROR(__xludf.DUMMYFUNCTION("""COMPUTED_VALUE"""),"Front of School")</f>
        <v>Front of School</v>
      </c>
      <c r="P127" s="1" t="str">
        <f ca="1">IFERROR(__xludf.DUMMYFUNCTION("""COMPUTED_VALUE"""),"Outside on School Property")</f>
        <v>Outside on School Property</v>
      </c>
      <c r="Q127" s="1" t="str">
        <f ca="1">IFERROR(__xludf.DUMMYFUNCTION("""COMPUTED_VALUE"""),"Yes")</f>
        <v>Yes</v>
      </c>
      <c r="R127" s="1" t="str">
        <f ca="1">IFERROR(__xludf.DUMMYFUNCTION("""COMPUTED_VALUE"""),"Morning Classes")</f>
        <v>Morning Classes</v>
      </c>
      <c r="S127" s="5">
        <f ca="1">IFERROR(__xludf.DUMMYFUNCTION("""COMPUTED_VALUE"""),0.458333333333333)</f>
        <v>0.45833333333333298</v>
      </c>
      <c r="T127" s="1">
        <f ca="1">IFERROR(__xludf.DUMMYFUNCTION("""COMPUTED_VALUE"""),1)</f>
        <v>1</v>
      </c>
      <c r="U127" s="1" t="str">
        <f ca="1">IFERROR(__xludf.DUMMYFUNCTION("""COMPUTED_VALUE"""),"School employee witnessed man firing gun insto the air in the front of the school")</f>
        <v>School employee witnessed man firing gun insto the air in the front of the school</v>
      </c>
      <c r="V127" s="1" t="str">
        <f ca="1">IFERROR(__xludf.DUMMYFUNCTION("""COMPUTED_VALUE"""),"A school employee at Freedom High School reported seeing someone in a white passenger car firing a gun from the car into the air in front of the school shortly before 11 a.m. Two men were arrested. 3 guns were found inside the car.")</f>
        <v>A school employee at Freedom High School reported seeing someone in a white passenger car firing a gun from the car into the air in front of the school shortly before 11 a.m. Two men were arrested. 3 guns were found inside the car.</v>
      </c>
      <c r="W127" s="1" t="str">
        <f ca="1">IFERROR(__xludf.DUMMYFUNCTION("""COMPUTED_VALUE"""),"Drive-by Shooting")</f>
        <v>Drive-by Shooting</v>
      </c>
      <c r="X127" s="1" t="str">
        <f ca="1">IFERROR(__xludf.DUMMYFUNCTION("""COMPUTED_VALUE"""),"Neither")</f>
        <v>Neither</v>
      </c>
      <c r="Y127" s="1" t="str">
        <f ca="1">IFERROR(__xludf.DUMMYFUNCTION("""COMPUTED_VALUE"""),"Yes")</f>
        <v>Yes</v>
      </c>
      <c r="Z127" s="1" t="str">
        <f ca="1">IFERROR(__xludf.DUMMYFUNCTION("""COMPUTED_VALUE"""),"Two arrested")</f>
        <v>Two arrested</v>
      </c>
      <c r="AA127" s="1" t="str">
        <f ca="1">IFERROR(__xludf.DUMMYFUNCTION("""COMPUTED_VALUE"""),"No")</f>
        <v>No</v>
      </c>
      <c r="AB127" s="1" t="str">
        <f ca="1">IFERROR(__xludf.DUMMYFUNCTION("""COMPUTED_VALUE"""),"No")</f>
        <v>No</v>
      </c>
      <c r="AC127" s="1" t="str">
        <f ca="1">IFERROR(__xludf.DUMMYFUNCTION("""COMPUTED_VALUE"""),"No")</f>
        <v>No</v>
      </c>
      <c r="AD127" s="1" t="str">
        <f ca="1">IFERROR(__xludf.DUMMYFUNCTION("""COMPUTED_VALUE"""),"No")</f>
        <v>No</v>
      </c>
      <c r="AE127" s="1" t="str">
        <f ca="1">IFERROR(__xludf.DUMMYFUNCTION("""COMPUTED_VALUE"""),"No")</f>
        <v>No</v>
      </c>
      <c r="AF127" s="1" t="str">
        <f ca="1">IFERROR(__xludf.DUMMYFUNCTION("""COMPUTED_VALUE"""),"No")</f>
        <v>No</v>
      </c>
      <c r="AG127" s="1" t="str">
        <f ca="1">IFERROR(__xludf.DUMMYFUNCTION("""COMPUTED_VALUE"""),"No")</f>
        <v>No</v>
      </c>
      <c r="AH127" s="1">
        <f ca="1">IFERROR(__xludf.DUMMYFUNCTION("""COMPUTED_VALUE"""),99)</f>
        <v>99</v>
      </c>
    </row>
    <row r="128" spans="1:34" ht="12.5">
      <c r="A128" s="1" t="str">
        <f ca="1">IFERROR(__xludf.DUMMYFUNCTION("""COMPUTED_VALUE"""),"20231102OHWAL")</f>
        <v>20231102OHWAL</v>
      </c>
      <c r="B128" s="1">
        <f ca="1">IFERROR(__xludf.DUMMYFUNCTION("""COMPUTED_VALUE"""),11)</f>
        <v>11</v>
      </c>
      <c r="C128" s="1">
        <f ca="1">IFERROR(__xludf.DUMMYFUNCTION("""COMPUTED_VALUE"""),2)</f>
        <v>2</v>
      </c>
      <c r="D128" s="1">
        <f ca="1">IFERROR(__xludf.DUMMYFUNCTION("""COMPUTED_VALUE"""),2023)</f>
        <v>2023</v>
      </c>
      <c r="E128" s="4">
        <f ca="1">IFERROR(__xludf.DUMMYFUNCTION("""COMPUTED_VALUE"""),45232)</f>
        <v>45232</v>
      </c>
      <c r="F128" s="1" t="str">
        <f ca="1">IFERROR(__xludf.DUMMYFUNCTION("""COMPUTED_VALUE"""),"Washington Elementary School")</f>
        <v>Washington Elementary School</v>
      </c>
      <c r="G128" s="1">
        <f ca="1">IFERROR(__xludf.DUMMYFUNCTION("""COMPUTED_VALUE"""),0)</f>
        <v>0</v>
      </c>
      <c r="H128" s="1">
        <f ca="1">IFERROR(__xludf.DUMMYFUNCTION("""COMPUTED_VALUE"""),0)</f>
        <v>0</v>
      </c>
      <c r="I128" s="1">
        <f ca="1">IFERROR(__xludf.DUMMYFUNCTION("""COMPUTED_VALUE"""),0)</f>
        <v>0</v>
      </c>
      <c r="J128" s="1">
        <f ca="1">IFERROR(__xludf.DUMMYFUNCTION("""COMPUTED_VALUE"""),0)</f>
        <v>0</v>
      </c>
      <c r="K128" s="1" t="str">
        <f ca="1">IFERROR(__xludf.DUMMYFUNCTION("""COMPUTED_VALUE"""),"Fall")</f>
        <v>Fall</v>
      </c>
      <c r="L128" s="1" t="str">
        <f ca="1">IFERROR(__xludf.DUMMYFUNCTION("""COMPUTED_VALUE"""),"Lorain")</f>
        <v>Lorain</v>
      </c>
      <c r="M128" s="1" t="str">
        <f ca="1">IFERROR(__xludf.DUMMYFUNCTION("""COMPUTED_VALUE"""),"OH")</f>
        <v>OH</v>
      </c>
      <c r="N128" s="1" t="str">
        <f ca="1">IFERROR(__xludf.DUMMYFUNCTION("""COMPUTED_VALUE"""),"Elementary")</f>
        <v>Elementary</v>
      </c>
      <c r="O128" s="1" t="str">
        <f ca="1">IFERROR(__xludf.DUMMYFUNCTION("""COMPUTED_VALUE"""),"Parking Lot")</f>
        <v>Parking Lot</v>
      </c>
      <c r="P128" s="1" t="str">
        <f ca="1">IFERROR(__xludf.DUMMYFUNCTION("""COMPUTED_VALUE"""),"Outside on School Property")</f>
        <v>Outside on School Property</v>
      </c>
      <c r="Q128" s="1" t="str">
        <f ca="1">IFERROR(__xludf.DUMMYFUNCTION("""COMPUTED_VALUE"""),"Yes")</f>
        <v>Yes</v>
      </c>
      <c r="R128" s="1" t="str">
        <f ca="1">IFERROR(__xludf.DUMMYFUNCTION("""COMPUTED_VALUE"""),"Dismissal")</f>
        <v>Dismissal</v>
      </c>
      <c r="S128" s="5">
        <f ca="1">IFERROR(__xludf.DUMMYFUNCTION("""COMPUTED_VALUE"""),0.604166666666666)</f>
        <v>0.60416666666666596</v>
      </c>
      <c r="T128" s="1">
        <f ca="1">IFERROR(__xludf.DUMMYFUNCTION("""COMPUTED_VALUE"""),1)</f>
        <v>1</v>
      </c>
      <c r="U128" s="1" t="str">
        <f ca="1">IFERROR(__xludf.DUMMYFUNCTION("""COMPUTED_VALUE"""),"Two shots fired near the parking lot and playground at dismissal, multiple additional shots fired at a vehicle nearby")</f>
        <v>Two shots fired near the parking lot and playground at dismissal, multiple additional shots fired at a vehicle nearby</v>
      </c>
      <c r="V128" s="1" t="str">
        <f ca="1">IFERROR(__xludf.DUMMYFUNCTION("""COMPUTED_VALUE"""),"Two shots fired near the parking lot at dismissal. SRO ran toward the shooter who fired additional shots at a vehicle and then fled into a house. 20-year-old man was arrested and charged with felonious assault, inducing panic, obstructing official busines"&amp;"s, resisting arrest and discharging a firearm in a school zone. Students in the process of dismissing ran back inside and the school was locked down for 2.5 hours.")</f>
        <v>Two shots fired near the parking lot at dismissal. SRO ran toward the shooter who fired additional shots at a vehicle and then fled into a house. 20-year-old man was arrested and charged with felonious assault, inducing panic, obstructing official business, resisting arrest and discharging a firearm in a school zone. Students in the process of dismissing ran back inside and the school was locked down for 2.5 hours.</v>
      </c>
      <c r="W128" s="1"/>
      <c r="X128" s="1" t="str">
        <f ca="1">IFERROR(__xludf.DUMMYFUNCTION("""COMPUTED_VALUE"""),"Victims Targeted")</f>
        <v>Victims Targeted</v>
      </c>
      <c r="Y128" s="1" t="str">
        <f ca="1">IFERROR(__xludf.DUMMYFUNCTION("""COMPUTED_VALUE"""),"No")</f>
        <v>No</v>
      </c>
      <c r="Z128" s="1"/>
      <c r="AA128" s="1" t="str">
        <f ca="1">IFERROR(__xludf.DUMMYFUNCTION("""COMPUTED_VALUE"""),"No")</f>
        <v>No</v>
      </c>
      <c r="AB128" s="1" t="str">
        <f ca="1">IFERROR(__xludf.DUMMYFUNCTION("""COMPUTED_VALUE"""),"No")</f>
        <v>No</v>
      </c>
      <c r="AC128" s="1" t="str">
        <f ca="1">IFERROR(__xludf.DUMMYFUNCTION("""COMPUTED_VALUE"""),"No")</f>
        <v>No</v>
      </c>
      <c r="AD128" s="1" t="str">
        <f ca="1">IFERROR(__xludf.DUMMYFUNCTION("""COMPUTED_VALUE"""),"No")</f>
        <v>No</v>
      </c>
      <c r="AE128" s="1" t="str">
        <f ca="1">IFERROR(__xludf.DUMMYFUNCTION("""COMPUTED_VALUE"""),"No")</f>
        <v>No</v>
      </c>
      <c r="AF128" s="1"/>
      <c r="AG128" s="1" t="str">
        <f ca="1">IFERROR(__xludf.DUMMYFUNCTION("""COMPUTED_VALUE"""),"No")</f>
        <v>No</v>
      </c>
      <c r="AH128" s="1">
        <f ca="1">IFERROR(__xludf.DUMMYFUNCTION("""COMPUTED_VALUE"""),99)</f>
        <v>99</v>
      </c>
    </row>
    <row r="129" spans="1:34" ht="12.5">
      <c r="A129" s="1" t="str">
        <f ca="1">IFERROR(__xludf.DUMMYFUNCTION("""COMPUTED_VALUE"""),"20231102ALSMS")</f>
        <v>20231102ALSMS</v>
      </c>
      <c r="B129" s="1">
        <f ca="1">IFERROR(__xludf.DUMMYFUNCTION("""COMPUTED_VALUE"""),11)</f>
        <v>11</v>
      </c>
      <c r="C129" s="1">
        <f ca="1">IFERROR(__xludf.DUMMYFUNCTION("""COMPUTED_VALUE"""),2)</f>
        <v>2</v>
      </c>
      <c r="D129" s="1">
        <f ca="1">IFERROR(__xludf.DUMMYFUNCTION("""COMPUTED_VALUE"""),2023)</f>
        <v>2023</v>
      </c>
      <c r="E129" s="4">
        <f ca="1">IFERROR(__xludf.DUMMYFUNCTION("""COMPUTED_VALUE"""),45232)</f>
        <v>45232</v>
      </c>
      <c r="F129" s="1" t="str">
        <f ca="1">IFERROR(__xludf.DUMMYFUNCTION("""COMPUTED_VALUE"""),"Smiths Station High School")</f>
        <v>Smiths Station High School</v>
      </c>
      <c r="G129" s="1">
        <f ca="1">IFERROR(__xludf.DUMMYFUNCTION("""COMPUTED_VALUE"""),0)</f>
        <v>0</v>
      </c>
      <c r="H129" s="1">
        <f ca="1">IFERROR(__xludf.DUMMYFUNCTION("""COMPUTED_VALUE"""),0)</f>
        <v>0</v>
      </c>
      <c r="I129" s="1">
        <f ca="1">IFERROR(__xludf.DUMMYFUNCTION("""COMPUTED_VALUE"""),0)</f>
        <v>0</v>
      </c>
      <c r="J129" s="1">
        <f ca="1">IFERROR(__xludf.DUMMYFUNCTION("""COMPUTED_VALUE"""),0)</f>
        <v>0</v>
      </c>
      <c r="K129" s="1" t="str">
        <f ca="1">IFERROR(__xludf.DUMMYFUNCTION("""COMPUTED_VALUE"""),"Fall")</f>
        <v>Fall</v>
      </c>
      <c r="L129" s="1" t="str">
        <f ca="1">IFERROR(__xludf.DUMMYFUNCTION("""COMPUTED_VALUE"""),"Smiths Station")</f>
        <v>Smiths Station</v>
      </c>
      <c r="M129" s="1" t="str">
        <f ca="1">IFERROR(__xludf.DUMMYFUNCTION("""COMPUTED_VALUE"""),"AL")</f>
        <v>AL</v>
      </c>
      <c r="N129" s="1" t="str">
        <f ca="1">IFERROR(__xludf.DUMMYFUNCTION("""COMPUTED_VALUE"""),"High")</f>
        <v>High</v>
      </c>
      <c r="O129" s="1" t="str">
        <f ca="1">IFERROR(__xludf.DUMMYFUNCTION("""COMPUTED_VALUE"""),"Gym")</f>
        <v>Gym</v>
      </c>
      <c r="P129" s="1" t="str">
        <f ca="1">IFERROR(__xludf.DUMMYFUNCTION("""COMPUTED_VALUE"""),"Inside School Building")</f>
        <v>Inside School Building</v>
      </c>
      <c r="Q129" s="1" t="str">
        <f ca="1">IFERROR(__xludf.DUMMYFUNCTION("""COMPUTED_VALUE"""),"Yes")</f>
        <v>Yes</v>
      </c>
      <c r="R129" s="1" t="str">
        <f ca="1">IFERROR(__xludf.DUMMYFUNCTION("""COMPUTED_VALUE"""),"Sport Event")</f>
        <v>Sport Event</v>
      </c>
      <c r="S129" s="5">
        <f ca="1">IFERROR(__xludf.DUMMYFUNCTION("""COMPUTED_VALUE"""),0.736111111111111)</f>
        <v>0.73611111111111105</v>
      </c>
      <c r="T129" s="1">
        <f ca="1">IFERROR(__xludf.DUMMYFUNCTION("""COMPUTED_VALUE"""),1)</f>
        <v>1</v>
      </c>
      <c r="U129" s="1" t="str">
        <f ca="1">IFERROR(__xludf.DUMMYFUNCTION("""COMPUTED_VALUE"""),"Student pointed handgun at female staff member and student during fight at basketball game, said he was going to kill them")</f>
        <v>Student pointed handgun at female staff member and student during fight at basketball game, said he was going to kill them</v>
      </c>
      <c r="V129" s="1" t="str">
        <f ca="1">IFERROR(__xludf.DUMMYFUNCTION("""COMPUTED_VALUE"""),"LCSO deputies responded to Smith’s Station High School, located on Lee Road 430, about a subject at the school gym with a firearm. They say witnesses reported the armed suspect was leaving in a white KIA automobile, and responding deputies observed and st"&amp;"opped the vehicle as it was attempting to leave the school campus. Officials say evidence determined that the 16-year-old had been in a fight with another student. They say after the initial confrontation, the suspect obtained a handgun from his vehicle a"&amp;"nd while armed, entered the gym building on campus, threatening to kill the other student. An adult female trainer working with the school’s athletics program stepped in front of the suspect, shielding the student who was being threatened, and told the su"&amp;"spect to leave. Officials say the trainer stated that the suspect said that he was going to kill the other student as he was pointing a gun in her face. Investigators recovered a 9mm semi-automatic handgun from the suspect’s vehicle at the scene.")</f>
        <v>LCSO deputies responded to Smith’s Station High School, located on Lee Road 430, about a subject at the school gym with a firearm. They say witnesses reported the armed suspect was leaving in a white KIA automobile, and responding deputies observed and stopped the vehicle as it was attempting to leave the school campus. Officials say evidence determined that the 16-year-old had been in a fight with another student. They say after the initial confrontation, the suspect obtained a handgun from his vehicle and while armed, entered the gym building on campus, threatening to kill the other student. An adult female trainer working with the school’s athletics program stepped in front of the suspect, shielding the student who was being threatened, and told the suspect to leave. Officials say the trainer stated that the suspect said that he was going to kill the other student as he was pointing a gun in her face. Investigators recovered a 9mm semi-automatic handgun from the suspect’s vehicle at the scene.</v>
      </c>
      <c r="W129" s="1" t="str">
        <f ca="1">IFERROR(__xludf.DUMMYFUNCTION("""COMPUTED_VALUE"""),"Escalation of Dispute")</f>
        <v>Escalation of Dispute</v>
      </c>
      <c r="X129" s="1" t="str">
        <f ca="1">IFERROR(__xludf.DUMMYFUNCTION("""COMPUTED_VALUE"""),"Victims Targeted")</f>
        <v>Victims Targeted</v>
      </c>
      <c r="Y129" s="1" t="str">
        <f ca="1">IFERROR(__xludf.DUMMYFUNCTION("""COMPUTED_VALUE"""),"No")</f>
        <v>No</v>
      </c>
      <c r="Z129" s="1"/>
      <c r="AA129" s="1" t="str">
        <f ca="1">IFERROR(__xludf.DUMMYFUNCTION("""COMPUTED_VALUE"""),"No")</f>
        <v>No</v>
      </c>
      <c r="AB129" s="1" t="str">
        <f ca="1">IFERROR(__xludf.DUMMYFUNCTION("""COMPUTED_VALUE"""),"No")</f>
        <v>No</v>
      </c>
      <c r="AC129" s="1" t="str">
        <f ca="1">IFERROR(__xludf.DUMMYFUNCTION("""COMPUTED_VALUE"""),"No")</f>
        <v>No</v>
      </c>
      <c r="AD129" s="1" t="str">
        <f ca="1">IFERROR(__xludf.DUMMYFUNCTION("""COMPUTED_VALUE"""),"No")</f>
        <v>No</v>
      </c>
      <c r="AE129" s="1" t="str">
        <f ca="1">IFERROR(__xludf.DUMMYFUNCTION("""COMPUTED_VALUE"""),"No")</f>
        <v>No</v>
      </c>
      <c r="AF129" s="1" t="str">
        <f ca="1">IFERROR(__xludf.DUMMYFUNCTION("""COMPUTED_VALUE"""),"No")</f>
        <v>No</v>
      </c>
      <c r="AG129" s="1" t="str">
        <f ca="1">IFERROR(__xludf.DUMMYFUNCTION("""COMPUTED_VALUE"""),"No")</f>
        <v>No</v>
      </c>
      <c r="AH129" s="1">
        <f ca="1">IFERROR(__xludf.DUMMYFUNCTION("""COMPUTED_VALUE"""),0)</f>
        <v>0</v>
      </c>
    </row>
    <row r="130" spans="1:34" ht="12.5">
      <c r="A130" s="1" t="str">
        <f ca="1">IFERROR(__xludf.DUMMYFUNCTION("""COMPUTED_VALUE"""),"20231031NVCOL")</f>
        <v>20231031NVCOL</v>
      </c>
      <c r="B130" s="1">
        <f ca="1">IFERROR(__xludf.DUMMYFUNCTION("""COMPUTED_VALUE"""),10)</f>
        <v>10</v>
      </c>
      <c r="C130" s="1">
        <f ca="1">IFERROR(__xludf.DUMMYFUNCTION("""COMPUTED_VALUE"""),31)</f>
        <v>31</v>
      </c>
      <c r="D130" s="1">
        <f ca="1">IFERROR(__xludf.DUMMYFUNCTION("""COMPUTED_VALUE"""),2023)</f>
        <v>2023</v>
      </c>
      <c r="E130" s="4">
        <f ca="1">IFERROR(__xludf.DUMMYFUNCTION("""COMPUTED_VALUE"""),45230)</f>
        <v>45230</v>
      </c>
      <c r="F130" s="1" t="str">
        <f ca="1">IFERROR(__xludf.DUMMYFUNCTION("""COMPUTED_VALUE"""),"Cortney Junior High School")</f>
        <v>Cortney Junior High School</v>
      </c>
      <c r="G130" s="1">
        <f ca="1">IFERROR(__xludf.DUMMYFUNCTION("""COMPUTED_VALUE"""),0)</f>
        <v>0</v>
      </c>
      <c r="H130" s="1">
        <f ca="1">IFERROR(__xludf.DUMMYFUNCTION("""COMPUTED_VALUE"""),0)</f>
        <v>0</v>
      </c>
      <c r="I130" s="1">
        <f ca="1">IFERROR(__xludf.DUMMYFUNCTION("""COMPUTED_VALUE"""),0)</f>
        <v>0</v>
      </c>
      <c r="J130" s="1">
        <f ca="1">IFERROR(__xludf.DUMMYFUNCTION("""COMPUTED_VALUE"""),0)</f>
        <v>0</v>
      </c>
      <c r="K130" s="1" t="str">
        <f ca="1">IFERROR(__xludf.DUMMYFUNCTION("""COMPUTED_VALUE"""),"Fall")</f>
        <v>Fall</v>
      </c>
      <c r="L130" s="1" t="str">
        <f ca="1">IFERROR(__xludf.DUMMYFUNCTION("""COMPUTED_VALUE"""),"Las Vegas")</f>
        <v>Las Vegas</v>
      </c>
      <c r="M130" s="1" t="str">
        <f ca="1">IFERROR(__xludf.DUMMYFUNCTION("""COMPUTED_VALUE"""),"NV")</f>
        <v>NV</v>
      </c>
      <c r="N130" s="1" t="str">
        <f ca="1">IFERROR(__xludf.DUMMYFUNCTION("""COMPUTED_VALUE"""),"Middle")</f>
        <v>Middle</v>
      </c>
      <c r="O130" s="1" t="str">
        <f ca="1">IFERROR(__xludf.DUMMYFUNCTION("""COMPUTED_VALUE"""),"Front of School")</f>
        <v>Front of School</v>
      </c>
      <c r="P130" s="1" t="str">
        <f ca="1">IFERROR(__xludf.DUMMYFUNCTION("""COMPUTED_VALUE"""),"Outside on School Property")</f>
        <v>Outside on School Property</v>
      </c>
      <c r="Q130" s="1" t="str">
        <f ca="1">IFERROR(__xludf.DUMMYFUNCTION("""COMPUTED_VALUE"""),"Yes")</f>
        <v>Yes</v>
      </c>
      <c r="R130" s="1" t="str">
        <f ca="1">IFERROR(__xludf.DUMMYFUNCTION("""COMPUTED_VALUE"""),"Dismissal")</f>
        <v>Dismissal</v>
      </c>
      <c r="S130" s="5">
        <f ca="1">IFERROR(__xludf.DUMMYFUNCTION("""COMPUTED_VALUE"""),0.600694444444444)</f>
        <v>0.60069444444444398</v>
      </c>
      <c r="T130" s="1">
        <f ca="1">IFERROR(__xludf.DUMMYFUNCTION("""COMPUTED_VALUE"""),1)</f>
        <v>1</v>
      </c>
      <c r="U130" s="1" t="str">
        <f ca="1">IFERROR(__xludf.DUMMYFUNCTION("""COMPUTED_VALUE"""),"Parent fired 3 shots during pickup during fight between students")</f>
        <v>Parent fired 3 shots during pickup during fight between students</v>
      </c>
      <c r="V130" s="1" t="str">
        <f ca="1">IFERROR(__xludf.DUMMYFUNCTION("""COMPUTED_VALUE"""),"Parent fired 3 shots from a vehicle at a group of student fighting while picking up a student during dismissal. Parent arrested on Nov 16, 2023.")</f>
        <v>Parent fired 3 shots from a vehicle at a group of student fighting while picking up a student during dismissal. Parent arrested on Nov 16, 2023.</v>
      </c>
      <c r="W130" s="1" t="str">
        <f ca="1">IFERROR(__xludf.DUMMYFUNCTION("""COMPUTED_VALUE"""),"Escalation of Dispute")</f>
        <v>Escalation of Dispute</v>
      </c>
      <c r="X130" s="1" t="str">
        <f ca="1">IFERROR(__xludf.DUMMYFUNCTION("""COMPUTED_VALUE"""),"Victims Targeted")</f>
        <v>Victims Targeted</v>
      </c>
      <c r="Y130" s="1" t="str">
        <f ca="1">IFERROR(__xludf.DUMMYFUNCTION("""COMPUTED_VALUE"""),"No")</f>
        <v>No</v>
      </c>
      <c r="Z130" s="1"/>
      <c r="AA130" s="1" t="str">
        <f ca="1">IFERROR(__xludf.DUMMYFUNCTION("""COMPUTED_VALUE"""),"No")</f>
        <v>No</v>
      </c>
      <c r="AB130" s="1" t="str">
        <f ca="1">IFERROR(__xludf.DUMMYFUNCTION("""COMPUTED_VALUE"""),"No")</f>
        <v>No</v>
      </c>
      <c r="AC130" s="1" t="str">
        <f ca="1">IFERROR(__xludf.DUMMYFUNCTION("""COMPUTED_VALUE"""),"No")</f>
        <v>No</v>
      </c>
      <c r="AD130" s="1" t="str">
        <f ca="1">IFERROR(__xludf.DUMMYFUNCTION("""COMPUTED_VALUE"""),"No")</f>
        <v>No</v>
      </c>
      <c r="AE130" s="1" t="str">
        <f ca="1">IFERROR(__xludf.DUMMYFUNCTION("""COMPUTED_VALUE"""),"No")</f>
        <v>No</v>
      </c>
      <c r="AF130" s="1" t="str">
        <f ca="1">IFERROR(__xludf.DUMMYFUNCTION("""COMPUTED_VALUE"""),"No")</f>
        <v>No</v>
      </c>
      <c r="AG130" s="1" t="str">
        <f ca="1">IFERROR(__xludf.DUMMYFUNCTION("""COMPUTED_VALUE"""),"No")</f>
        <v>No</v>
      </c>
      <c r="AH130" s="1">
        <f ca="1">IFERROR(__xludf.DUMMYFUNCTION("""COMPUTED_VALUE"""),3)</f>
        <v>3</v>
      </c>
    </row>
    <row r="131" spans="1:34" ht="12.5">
      <c r="A131" s="1" t="str">
        <f ca="1">IFERROR(__xludf.DUMMYFUNCTION("""COMPUTED_VALUE"""),"20231030NCRAR")</f>
        <v>20231030NCRAR</v>
      </c>
      <c r="B131" s="1">
        <f ca="1">IFERROR(__xludf.DUMMYFUNCTION("""COMPUTED_VALUE"""),10)</f>
        <v>10</v>
      </c>
      <c r="C131" s="1">
        <f ca="1">IFERROR(__xludf.DUMMYFUNCTION("""COMPUTED_VALUE"""),30)</f>
        <v>30</v>
      </c>
      <c r="D131" s="1">
        <f ca="1">IFERROR(__xludf.DUMMYFUNCTION("""COMPUTED_VALUE"""),2023)</f>
        <v>2023</v>
      </c>
      <c r="E131" s="4">
        <f ca="1">IFERROR(__xludf.DUMMYFUNCTION("""COMPUTED_VALUE"""),45229)</f>
        <v>45229</v>
      </c>
      <c r="F131" s="1" t="str">
        <f ca="1">IFERROR(__xludf.DUMMYFUNCTION("""COMPUTED_VALUE"""),"Raleigh School Bus")</f>
        <v>Raleigh School Bus</v>
      </c>
      <c r="G131" s="1">
        <f ca="1">IFERROR(__xludf.DUMMYFUNCTION("""COMPUTED_VALUE"""),0)</f>
        <v>0</v>
      </c>
      <c r="H131" s="1">
        <f ca="1">IFERROR(__xludf.DUMMYFUNCTION("""COMPUTED_VALUE"""),2)</f>
        <v>2</v>
      </c>
      <c r="I131" s="1">
        <f ca="1">IFERROR(__xludf.DUMMYFUNCTION("""COMPUTED_VALUE"""),2)</f>
        <v>2</v>
      </c>
      <c r="J131" s="1">
        <f ca="1">IFERROR(__xludf.DUMMYFUNCTION("""COMPUTED_VALUE"""),0)</f>
        <v>0</v>
      </c>
      <c r="K131" s="1" t="str">
        <f ca="1">IFERROR(__xludf.DUMMYFUNCTION("""COMPUTED_VALUE"""),"Fall")</f>
        <v>Fall</v>
      </c>
      <c r="L131" s="1" t="str">
        <f ca="1">IFERROR(__xludf.DUMMYFUNCTION("""COMPUTED_VALUE"""),"Raleigh")</f>
        <v>Raleigh</v>
      </c>
      <c r="M131" s="1" t="str">
        <f ca="1">IFERROR(__xludf.DUMMYFUNCTION("""COMPUTED_VALUE"""),"NC")</f>
        <v>NC</v>
      </c>
      <c r="N131" s="1" t="str">
        <f ca="1">IFERROR(__xludf.DUMMYFUNCTION("""COMPUTED_VALUE"""),"High")</f>
        <v>High</v>
      </c>
      <c r="O131" s="1" t="str">
        <f ca="1">IFERROR(__xludf.DUMMYFUNCTION("""COMPUTED_VALUE"""),"School Bus")</f>
        <v>School Bus</v>
      </c>
      <c r="P131" s="1" t="str">
        <f ca="1">IFERROR(__xludf.DUMMYFUNCTION("""COMPUTED_VALUE"""),"School Bus")</f>
        <v>School Bus</v>
      </c>
      <c r="Q131" s="1" t="str">
        <f ca="1">IFERROR(__xludf.DUMMYFUNCTION("""COMPUTED_VALUE"""),"Yes")</f>
        <v>Yes</v>
      </c>
      <c r="R131" s="1" t="str">
        <f ca="1">IFERROR(__xludf.DUMMYFUNCTION("""COMPUTED_VALUE"""),"School Start")</f>
        <v>School Start</v>
      </c>
      <c r="S131" s="5">
        <f ca="1">IFERROR(__xludf.DUMMYFUNCTION("""COMPUTED_VALUE"""),0.272916666666666)</f>
        <v>0.27291666666666597</v>
      </c>
      <c r="T131" s="1">
        <f ca="1">IFERROR(__xludf.DUMMYFUNCTION("""COMPUTED_VALUE"""),1)</f>
        <v>1</v>
      </c>
      <c r="U131" s="1" t="str">
        <f ca="1">IFERROR(__xludf.DUMMYFUNCTION("""COMPUTED_VALUE"""),"Van picking up special needs students was shot multiple times with students inside")</f>
        <v>Van picking up special needs students was shot multiple times with students inside</v>
      </c>
      <c r="V131" s="1" t="str">
        <f ca="1">IFERROR(__xludf.DUMMYFUNCTION("""COMPUTED_VALUE"""),"At 6:33 a.m. on Monday, Raleigh police responded to Walnut View Road in regards to a shooting into an occupied vehicle. One adult and three students were inside the van at the time and were not directly hit by gunfire. However, the driver and a student we"&amp;"re taken to the hospital with minor injuries from broken glass. Three other unoccupied cars were also hit by gunfire and one building was hit.")</f>
        <v>At 6:33 a.m. on Monday, Raleigh police responded to Walnut View Road in regards to a shooting into an occupied vehicle. One adult and three students were inside the van at the time and were not directly hit by gunfire. However, the driver and a student were taken to the hospital with minor injuries from broken glass. Three other unoccupied cars were also hit by gunfire and one building was hit.</v>
      </c>
      <c r="W131" s="1"/>
      <c r="X131" s="1" t="str">
        <f ca="1">IFERROR(__xludf.DUMMYFUNCTION("""COMPUTED_VALUE"""),"Both")</f>
        <v>Both</v>
      </c>
      <c r="Y131" s="1"/>
      <c r="Z131" s="1"/>
      <c r="AA131" s="1" t="str">
        <f ca="1">IFERROR(__xludf.DUMMYFUNCTION("""COMPUTED_VALUE"""),"No")</f>
        <v>No</v>
      </c>
      <c r="AB131" s="1" t="str">
        <f ca="1">IFERROR(__xludf.DUMMYFUNCTION("""COMPUTED_VALUE"""),"No")</f>
        <v>No</v>
      </c>
      <c r="AC131" s="1" t="str">
        <f ca="1">IFERROR(__xludf.DUMMYFUNCTION("""COMPUTED_VALUE"""),"No")</f>
        <v>No</v>
      </c>
      <c r="AD131" s="1" t="str">
        <f ca="1">IFERROR(__xludf.DUMMYFUNCTION("""COMPUTED_VALUE"""),"No")</f>
        <v>No</v>
      </c>
      <c r="AE131" s="1" t="str">
        <f ca="1">IFERROR(__xludf.DUMMYFUNCTION("""COMPUTED_VALUE"""),"No")</f>
        <v>No</v>
      </c>
      <c r="AF131" s="1"/>
      <c r="AG131" s="1" t="str">
        <f ca="1">IFERROR(__xludf.DUMMYFUNCTION("""COMPUTED_VALUE"""),"No")</f>
        <v>No</v>
      </c>
      <c r="AH131" s="1">
        <f ca="1">IFERROR(__xludf.DUMMYFUNCTION("""COMPUTED_VALUE"""),99)</f>
        <v>99</v>
      </c>
    </row>
    <row r="132" spans="1:34" ht="12.5">
      <c r="A132" s="1" t="str">
        <f ca="1">IFERROR(__xludf.DUMMYFUNCTION("""COMPUTED_VALUE"""),"20231027TXDUS")</f>
        <v>20231027TXDUS</v>
      </c>
      <c r="B132" s="1">
        <f ca="1">IFERROR(__xludf.DUMMYFUNCTION("""COMPUTED_VALUE"""),10)</f>
        <v>10</v>
      </c>
      <c r="C132" s="1">
        <f ca="1">IFERROR(__xludf.DUMMYFUNCTION("""COMPUTED_VALUE"""),27)</f>
        <v>27</v>
      </c>
      <c r="D132" s="1">
        <f ca="1">IFERROR(__xludf.DUMMYFUNCTION("""COMPUTED_VALUE"""),2023)</f>
        <v>2023</v>
      </c>
      <c r="E132" s="4">
        <f ca="1">IFERROR(__xludf.DUMMYFUNCTION("""COMPUTED_VALUE"""),45226)</f>
        <v>45226</v>
      </c>
      <c r="F132" s="1" t="str">
        <f ca="1">IFERROR(__xludf.DUMMYFUNCTION("""COMPUTED_VALUE"""),"Dub Farris Athletic Complex")</f>
        <v>Dub Farris Athletic Complex</v>
      </c>
      <c r="G132" s="1">
        <f ca="1">IFERROR(__xludf.DUMMYFUNCTION("""COMPUTED_VALUE"""),0)</f>
        <v>0</v>
      </c>
      <c r="H132" s="1">
        <f ca="1">IFERROR(__xludf.DUMMYFUNCTION("""COMPUTED_VALUE"""),1)</f>
        <v>1</v>
      </c>
      <c r="I132" s="1">
        <f ca="1">IFERROR(__xludf.DUMMYFUNCTION("""COMPUTED_VALUE"""),1)</f>
        <v>1</v>
      </c>
      <c r="J132" s="1">
        <f ca="1">IFERROR(__xludf.DUMMYFUNCTION("""COMPUTED_VALUE"""),0)</f>
        <v>0</v>
      </c>
      <c r="K132" s="1" t="str">
        <f ca="1">IFERROR(__xludf.DUMMYFUNCTION("""COMPUTED_VALUE"""),"Fall")</f>
        <v>Fall</v>
      </c>
      <c r="L132" s="1" t="str">
        <f ca="1">IFERROR(__xludf.DUMMYFUNCTION("""COMPUTED_VALUE"""),"San Antonio")</f>
        <v>San Antonio</v>
      </c>
      <c r="M132" s="1" t="str">
        <f ca="1">IFERROR(__xludf.DUMMYFUNCTION("""COMPUTED_VALUE"""),"TX")</f>
        <v>TX</v>
      </c>
      <c r="N132" s="1" t="str">
        <f ca="1">IFERROR(__xludf.DUMMYFUNCTION("""COMPUTED_VALUE"""),"High")</f>
        <v>High</v>
      </c>
      <c r="O132" s="1" t="str">
        <f ca="1">IFERROR(__xludf.DUMMYFUNCTION("""COMPUTED_VALUE"""),"Parking Lot")</f>
        <v>Parking Lot</v>
      </c>
      <c r="P132" s="1" t="str">
        <f ca="1">IFERROR(__xludf.DUMMYFUNCTION("""COMPUTED_VALUE"""),"Outside on School Property")</f>
        <v>Outside on School Property</v>
      </c>
      <c r="Q132" s="1" t="str">
        <f ca="1">IFERROR(__xludf.DUMMYFUNCTION("""COMPUTED_VALUE"""),"No")</f>
        <v>No</v>
      </c>
      <c r="R132" s="1" t="str">
        <f ca="1">IFERROR(__xludf.DUMMYFUNCTION("""COMPUTED_VALUE"""),"Sport Event")</f>
        <v>Sport Event</v>
      </c>
      <c r="S132" s="5">
        <f ca="1">IFERROR(__xludf.DUMMYFUNCTION("""COMPUTED_VALUE"""),0.5625)</f>
        <v>0.5625</v>
      </c>
      <c r="T132" s="1">
        <f ca="1">IFERROR(__xludf.DUMMYFUNCTION("""COMPUTED_VALUE"""),1)</f>
        <v>1</v>
      </c>
      <c r="U132" s="1" t="str">
        <f ca="1">IFERROR(__xludf.DUMMYFUNCTION("""COMPUTED_VALUE"""),"Officer fired shot at woman inside vehicle in the parking lot during football game")</f>
        <v>Officer fired shot at woman inside vehicle in the parking lot during football game</v>
      </c>
      <c r="V132" s="1" t="str">
        <f ca="1">IFERROR(__xludf.DUMMYFUNCTION("""COMPUTED_VALUE"""),"A woman was shot by a Northside ISD police officer at a local athletic stadium Saturday afternoon. According to the Northside Independent School District, the shooting occurred near the 8400 block of North Loop 1604 West around 1:30 p.m. Authorities say t"&amp;"hat a woman was acting aggressively while in her car in the stadium parking lot. Officials say that her behavior then drew the attention of NISD police officers who were directing traffic during the event. The woman was allegedly acting belligerent and wa"&amp;"s being aggressive towards an officer.")</f>
        <v>A woman was shot by a Northside ISD police officer at a local athletic stadium Saturday afternoon. According to the Northside Independent School District, the shooting occurred near the 8400 block of North Loop 1604 West around 1:30 p.m. Authorities say that a woman was acting aggressively while in her car in the stadium parking lot. Officials say that her behavior then drew the attention of NISD police officers who were directing traffic during the event. The woman was allegedly acting belligerent and was being aggressive towards an officer.</v>
      </c>
      <c r="W132" s="1" t="str">
        <f ca="1">IFERROR(__xludf.DUMMYFUNCTION("""COMPUTED_VALUE"""),"Officer-Involved Shooting")</f>
        <v>Officer-Involved Shooting</v>
      </c>
      <c r="X132" s="1" t="str">
        <f ca="1">IFERROR(__xludf.DUMMYFUNCTION("""COMPUTED_VALUE"""),"Victims Targeted")</f>
        <v>Victims Targeted</v>
      </c>
      <c r="Y132" s="1" t="str">
        <f ca="1">IFERROR(__xludf.DUMMYFUNCTION("""COMPUTED_VALUE"""),"No")</f>
        <v>No</v>
      </c>
      <c r="Z132" s="1"/>
      <c r="AA132" s="1" t="str">
        <f ca="1">IFERROR(__xludf.DUMMYFUNCTION("""COMPUTED_VALUE"""),"No")</f>
        <v>No</v>
      </c>
      <c r="AB132" s="1" t="str">
        <f ca="1">IFERROR(__xludf.DUMMYFUNCTION("""COMPUTED_VALUE"""),"No")</f>
        <v>No</v>
      </c>
      <c r="AC132" s="1" t="str">
        <f ca="1">IFERROR(__xludf.DUMMYFUNCTION("""COMPUTED_VALUE"""),"No")</f>
        <v>No</v>
      </c>
      <c r="AD132" s="1" t="str">
        <f ca="1">IFERROR(__xludf.DUMMYFUNCTION("""COMPUTED_VALUE"""),"No")</f>
        <v>No</v>
      </c>
      <c r="AE132" s="1" t="str">
        <f ca="1">IFERROR(__xludf.DUMMYFUNCTION("""COMPUTED_VALUE"""),"No")</f>
        <v>No</v>
      </c>
      <c r="AF132" s="1" t="str">
        <f ca="1">IFERROR(__xludf.DUMMYFUNCTION("""COMPUTED_VALUE"""),"No")</f>
        <v>No</v>
      </c>
      <c r="AG132" s="1" t="str">
        <f ca="1">IFERROR(__xludf.DUMMYFUNCTION("""COMPUTED_VALUE"""),"No")</f>
        <v>No</v>
      </c>
      <c r="AH132" s="1">
        <f ca="1">IFERROR(__xludf.DUMMYFUNCTION("""COMPUTED_VALUE"""),1)</f>
        <v>1</v>
      </c>
    </row>
    <row r="133" spans="1:34" ht="12.5">
      <c r="A133" s="1" t="str">
        <f ca="1">IFERROR(__xludf.DUMMYFUNCTION("""COMPUTED_VALUE"""),"20231027LADOD")</f>
        <v>20231027LADOD</v>
      </c>
      <c r="B133" s="1">
        <f ca="1">IFERROR(__xludf.DUMMYFUNCTION("""COMPUTED_VALUE"""),10)</f>
        <v>10</v>
      </c>
      <c r="C133" s="1">
        <f ca="1">IFERROR(__xludf.DUMMYFUNCTION("""COMPUTED_VALUE"""),27)</f>
        <v>27</v>
      </c>
      <c r="D133" s="1">
        <f ca="1">IFERROR(__xludf.DUMMYFUNCTION("""COMPUTED_VALUE"""),2023)</f>
        <v>2023</v>
      </c>
      <c r="E133" s="4">
        <f ca="1">IFERROR(__xludf.DUMMYFUNCTION("""COMPUTED_VALUE"""),45226)</f>
        <v>45226</v>
      </c>
      <c r="F133" s="1" t="str">
        <f ca="1">IFERROR(__xludf.DUMMYFUNCTION("""COMPUTED_VALUE"""),"Donaldsonville High School")</f>
        <v>Donaldsonville High School</v>
      </c>
      <c r="G133" s="1">
        <f ca="1">IFERROR(__xludf.DUMMYFUNCTION("""COMPUTED_VALUE"""),1)</f>
        <v>1</v>
      </c>
      <c r="H133" s="1">
        <f ca="1">IFERROR(__xludf.DUMMYFUNCTION("""COMPUTED_VALUE"""),1)</f>
        <v>1</v>
      </c>
      <c r="I133" s="1">
        <f ca="1">IFERROR(__xludf.DUMMYFUNCTION("""COMPUTED_VALUE"""),2)</f>
        <v>2</v>
      </c>
      <c r="J133" s="1">
        <f ca="1">IFERROR(__xludf.DUMMYFUNCTION("""COMPUTED_VALUE"""),0)</f>
        <v>0</v>
      </c>
      <c r="K133" s="1" t="str">
        <f ca="1">IFERROR(__xludf.DUMMYFUNCTION("""COMPUTED_VALUE"""),"Fall")</f>
        <v>Fall</v>
      </c>
      <c r="L133" s="1" t="str">
        <f ca="1">IFERROR(__xludf.DUMMYFUNCTION("""COMPUTED_VALUE"""),"Donaldsonville")</f>
        <v>Donaldsonville</v>
      </c>
      <c r="M133" s="1" t="str">
        <f ca="1">IFERROR(__xludf.DUMMYFUNCTION("""COMPUTED_VALUE"""),"LA")</f>
        <v>LA</v>
      </c>
      <c r="N133" s="1" t="str">
        <f ca="1">IFERROR(__xludf.DUMMYFUNCTION("""COMPUTED_VALUE"""),"High")</f>
        <v>High</v>
      </c>
      <c r="O133" s="1" t="str">
        <f ca="1">IFERROR(__xludf.DUMMYFUNCTION("""COMPUTED_VALUE"""),"Parking Lot")</f>
        <v>Parking Lot</v>
      </c>
      <c r="P133" s="1" t="str">
        <f ca="1">IFERROR(__xludf.DUMMYFUNCTION("""COMPUTED_VALUE"""),"Outside on School Property")</f>
        <v>Outside on School Property</v>
      </c>
      <c r="Q133" s="1" t="str">
        <f ca="1">IFERROR(__xludf.DUMMYFUNCTION("""COMPUTED_VALUE"""),"No")</f>
        <v>No</v>
      </c>
      <c r="R133" s="1" t="str">
        <f ca="1">IFERROR(__xludf.DUMMYFUNCTION("""COMPUTED_VALUE"""),"Sport Event")</f>
        <v>Sport Event</v>
      </c>
      <c r="S133" s="5">
        <f ca="1">IFERROR(__xludf.DUMMYFUNCTION("""COMPUTED_VALUE"""),0.847222222222222)</f>
        <v>0.84722222222222199</v>
      </c>
      <c r="T133" s="1">
        <f ca="1">IFERROR(__xludf.DUMMYFUNCTION("""COMPUTED_VALUE"""),1)</f>
        <v>1</v>
      </c>
      <c r="U133" s="1" t="str">
        <f ca="1">IFERROR(__xludf.DUMMYFUNCTION("""COMPUTED_VALUE"""),"Two nonstudents shot outside football stadium during homecoming game, stadium evacuated")</f>
        <v>Two nonstudents shot outside football stadium during homecoming game, stadium evacuated</v>
      </c>
      <c r="V133" s="1" t="str">
        <f ca="1">IFERROR(__xludf.DUMMYFUNCTION("""COMPUTED_VALUE"""),"Two nonstudents shot outside Floyd Boutte Stadium during homecoming game, stadium evacuated. Shooter fled. One man was killed, other in critical condition.")</f>
        <v>Two nonstudents shot outside Floyd Boutte Stadium during homecoming game, stadium evacuated. Shooter fled. One man was killed, other in critical condition.</v>
      </c>
      <c r="W133" s="1"/>
      <c r="X133" s="1" t="str">
        <f ca="1">IFERROR(__xludf.DUMMYFUNCTION("""COMPUTED_VALUE"""),"Victims Targeted")</f>
        <v>Victims Targeted</v>
      </c>
      <c r="Y133" s="1" t="str">
        <f ca="1">IFERROR(__xludf.DUMMYFUNCTION("""COMPUTED_VALUE"""),"No")</f>
        <v>No</v>
      </c>
      <c r="Z133" s="1"/>
      <c r="AA133" s="1" t="str">
        <f ca="1">IFERROR(__xludf.DUMMYFUNCTION("""COMPUTED_VALUE"""),"No")</f>
        <v>No</v>
      </c>
      <c r="AB133" s="1" t="str">
        <f ca="1">IFERROR(__xludf.DUMMYFUNCTION("""COMPUTED_VALUE"""),"No")</f>
        <v>No</v>
      </c>
      <c r="AC133" s="1" t="str">
        <f ca="1">IFERROR(__xludf.DUMMYFUNCTION("""COMPUTED_VALUE"""),"No")</f>
        <v>No</v>
      </c>
      <c r="AD133" s="1" t="str">
        <f ca="1">IFERROR(__xludf.DUMMYFUNCTION("""COMPUTED_VALUE"""),"No")</f>
        <v>No</v>
      </c>
      <c r="AE133" s="1" t="str">
        <f ca="1">IFERROR(__xludf.DUMMYFUNCTION("""COMPUTED_VALUE"""),"No")</f>
        <v>No</v>
      </c>
      <c r="AF133" s="1"/>
      <c r="AG133" s="1" t="str">
        <f ca="1">IFERROR(__xludf.DUMMYFUNCTION("""COMPUTED_VALUE"""),"No")</f>
        <v>No</v>
      </c>
      <c r="AH133" s="1">
        <f ca="1">IFERROR(__xludf.DUMMYFUNCTION("""COMPUTED_VALUE"""),99)</f>
        <v>99</v>
      </c>
    </row>
    <row r="134" spans="1:34" ht="12.5">
      <c r="A134" s="1" t="str">
        <f ca="1">IFERROR(__xludf.DUMMYFUNCTION("""COMPUTED_VALUE"""),"20231027MDCAB")</f>
        <v>20231027MDCAB</v>
      </c>
      <c r="B134" s="1">
        <f ca="1">IFERROR(__xludf.DUMMYFUNCTION("""COMPUTED_VALUE"""),10)</f>
        <v>10</v>
      </c>
      <c r="C134" s="1">
        <f ca="1">IFERROR(__xludf.DUMMYFUNCTION("""COMPUTED_VALUE"""),27)</f>
        <v>27</v>
      </c>
      <c r="D134" s="1">
        <f ca="1">IFERROR(__xludf.DUMMYFUNCTION("""COMPUTED_VALUE"""),2023)</f>
        <v>2023</v>
      </c>
      <c r="E134" s="4">
        <f ca="1">IFERROR(__xludf.DUMMYFUNCTION("""COMPUTED_VALUE"""),45226)</f>
        <v>45226</v>
      </c>
      <c r="F134" s="1" t="str">
        <f ca="1">IFERROR(__xludf.DUMMYFUNCTION("""COMPUTED_VALUE"""),"Carver Vocational-Technical High School")</f>
        <v>Carver Vocational-Technical High School</v>
      </c>
      <c r="G134" s="1">
        <f ca="1">IFERROR(__xludf.DUMMYFUNCTION("""COMPUTED_VALUE"""),0)</f>
        <v>0</v>
      </c>
      <c r="H134" s="1">
        <f ca="1">IFERROR(__xludf.DUMMYFUNCTION("""COMPUTED_VALUE"""),3)</f>
        <v>3</v>
      </c>
      <c r="I134" s="1">
        <f ca="1">IFERROR(__xludf.DUMMYFUNCTION("""COMPUTED_VALUE"""),3)</f>
        <v>3</v>
      </c>
      <c r="J134" s="1">
        <f ca="1">IFERROR(__xludf.DUMMYFUNCTION("""COMPUTED_VALUE"""),0)</f>
        <v>0</v>
      </c>
      <c r="K134" s="1" t="str">
        <f ca="1">IFERROR(__xludf.DUMMYFUNCTION("""COMPUTED_VALUE"""),"Fall")</f>
        <v>Fall</v>
      </c>
      <c r="L134" s="1" t="str">
        <f ca="1">IFERROR(__xludf.DUMMYFUNCTION("""COMPUTED_VALUE"""),"Baltimore")</f>
        <v>Baltimore</v>
      </c>
      <c r="M134" s="1" t="str">
        <f ca="1">IFERROR(__xludf.DUMMYFUNCTION("""COMPUTED_VALUE"""),"MD")</f>
        <v>MD</v>
      </c>
      <c r="N134" s="1" t="str">
        <f ca="1">IFERROR(__xludf.DUMMYFUNCTION("""COMPUTED_VALUE"""),"High")</f>
        <v>High</v>
      </c>
      <c r="O134" s="1" t="str">
        <f ca="1">IFERROR(__xludf.DUMMYFUNCTION("""COMPUTED_VALUE"""),"Front of School")</f>
        <v>Front of School</v>
      </c>
      <c r="P134" s="1" t="str">
        <f ca="1">IFERROR(__xludf.DUMMYFUNCTION("""COMPUTED_VALUE"""),"Outside on School Property")</f>
        <v>Outside on School Property</v>
      </c>
      <c r="Q134" s="1" t="str">
        <f ca="1">IFERROR(__xludf.DUMMYFUNCTION("""COMPUTED_VALUE"""),"Yes")</f>
        <v>Yes</v>
      </c>
      <c r="R134" s="1" t="str">
        <f ca="1">IFERROR(__xludf.DUMMYFUNCTION("""COMPUTED_VALUE"""),"School Start")</f>
        <v>School Start</v>
      </c>
      <c r="S134" s="5">
        <f ca="1">IFERROR(__xludf.DUMMYFUNCTION("""COMPUTED_VALUE"""),0.319444444444444)</f>
        <v>0.31944444444444398</v>
      </c>
      <c r="T134" s="1">
        <f ca="1">IFERROR(__xludf.DUMMYFUNCTION("""COMPUTED_VALUE"""),1)</f>
        <v>1</v>
      </c>
      <c r="U134" s="1" t="str">
        <f ca="1">IFERROR(__xludf.DUMMYFUNCTION("""COMPUTED_VALUE"""),"Three students shot by front door of the school before 1st period class started")</f>
        <v>Three students shot by front door of the school before 1st period class started</v>
      </c>
      <c r="V134" s="1" t="str">
        <f ca="1">IFERROR(__xludf.DUMMYFUNCTION("""COMPUTED_VALUE"""),"Detectives learned over the course of their investigation that the parents of one of the 15-year-old boys took him to the school to assault someone, according to authorities. The parents of the teen allegedly joined him in the assault, during which time t"&amp;"he teen pistol-whipped his intended victim, police said. The teen then fled from the physical encounter and ran into another 15-year-old boy. They both allegedly engaged in a verbal altercation, pulled out handguns, and started shooting at each other. The"&amp;" two teenagers were injured by the gunfire, and a 16-year-old boy was injured by their crossfire. Following the melee, another student at Carver Vocational-Technical High School grabbed one of the guns that had been used during the shooting and ran off wi"&amp;"th it, police said. The 16-year-old boy was treated for his injuries at a local hospital and then released from that hospital, according to authorities. ")</f>
        <v xml:space="preserve">Detectives learned over the course of their investigation that the parents of one of the 15-year-old boys took him to the school to assault someone, according to authorities. The parents of the teen allegedly joined him in the assault, during which time the teen pistol-whipped his intended victim, police said. The teen then fled from the physical encounter and ran into another 15-year-old boy. They both allegedly engaged in a verbal altercation, pulled out handguns, and started shooting at each other. The two teenagers were injured by the gunfire, and a 16-year-old boy was injured by their crossfire. Following the melee, another student at Carver Vocational-Technical High School grabbed one of the guns that had been used during the shooting and ran off with it, police said. The 16-year-old boy was treated for his injuries at a local hospital and then released from that hospital, according to authorities. </v>
      </c>
      <c r="W134" s="1" t="str">
        <f ca="1">IFERROR(__xludf.DUMMYFUNCTION("""COMPUTED_VALUE"""),"Escalation of Dispute")</f>
        <v>Escalation of Dispute</v>
      </c>
      <c r="X134" s="1" t="str">
        <f ca="1">IFERROR(__xludf.DUMMYFUNCTION("""COMPUTED_VALUE"""),"Both")</f>
        <v>Both</v>
      </c>
      <c r="Y134" s="1" t="str">
        <f ca="1">IFERROR(__xludf.DUMMYFUNCTION("""COMPUTED_VALUE"""),"No")</f>
        <v>No</v>
      </c>
      <c r="Z134" s="1"/>
      <c r="AA134" s="1" t="str">
        <f ca="1">IFERROR(__xludf.DUMMYFUNCTION("""COMPUTED_VALUE"""),"No")</f>
        <v>No</v>
      </c>
      <c r="AB134" s="1" t="str">
        <f ca="1">IFERROR(__xludf.DUMMYFUNCTION("""COMPUTED_VALUE"""),"No")</f>
        <v>No</v>
      </c>
      <c r="AC134" s="1" t="str">
        <f ca="1">IFERROR(__xludf.DUMMYFUNCTION("""COMPUTED_VALUE"""),"No")</f>
        <v>No</v>
      </c>
      <c r="AD134" s="1" t="str">
        <f ca="1">IFERROR(__xludf.DUMMYFUNCTION("""COMPUTED_VALUE"""),"No")</f>
        <v>No</v>
      </c>
      <c r="AE134" s="1" t="str">
        <f ca="1">IFERROR(__xludf.DUMMYFUNCTION("""COMPUTED_VALUE"""),"No")</f>
        <v>No</v>
      </c>
      <c r="AF134" s="1" t="str">
        <f ca="1">IFERROR(__xludf.DUMMYFUNCTION("""COMPUTED_VALUE"""),"No")</f>
        <v>No</v>
      </c>
      <c r="AG134" s="1" t="str">
        <f ca="1">IFERROR(__xludf.DUMMYFUNCTION("""COMPUTED_VALUE"""),"No")</f>
        <v>No</v>
      </c>
      <c r="AH134" s="1">
        <f ca="1">IFERROR(__xludf.DUMMYFUNCTION("""COMPUTED_VALUE"""),99)</f>
        <v>99</v>
      </c>
    </row>
    <row r="135" spans="1:34" ht="12.5">
      <c r="A135" s="1" t="str">
        <f ca="1">IFERROR(__xludf.DUMMYFUNCTION("""COMPUTED_VALUE"""),"20231027MIDED")</f>
        <v>20231027MIDED</v>
      </c>
      <c r="B135" s="1">
        <f ca="1">IFERROR(__xludf.DUMMYFUNCTION("""COMPUTED_VALUE"""),10)</f>
        <v>10</v>
      </c>
      <c r="C135" s="1">
        <f ca="1">IFERROR(__xludf.DUMMYFUNCTION("""COMPUTED_VALUE"""),26)</f>
        <v>26</v>
      </c>
      <c r="D135" s="1">
        <f ca="1">IFERROR(__xludf.DUMMYFUNCTION("""COMPUTED_VALUE"""),2023)</f>
        <v>2023</v>
      </c>
      <c r="E135" s="4">
        <f ca="1">IFERROR(__xludf.DUMMYFUNCTION("""COMPUTED_VALUE"""),45225)</f>
        <v>45225</v>
      </c>
      <c r="F135" s="1" t="str">
        <f ca="1">IFERROR(__xludf.DUMMYFUNCTION("""COMPUTED_VALUE"""),"Denby High School")</f>
        <v>Denby High School</v>
      </c>
      <c r="G135" s="1">
        <f ca="1">IFERROR(__xludf.DUMMYFUNCTION("""COMPUTED_VALUE"""),0)</f>
        <v>0</v>
      </c>
      <c r="H135" s="1">
        <f ca="1">IFERROR(__xludf.DUMMYFUNCTION("""COMPUTED_VALUE"""),1)</f>
        <v>1</v>
      </c>
      <c r="I135" s="1">
        <f ca="1">IFERROR(__xludf.DUMMYFUNCTION("""COMPUTED_VALUE"""),1)</f>
        <v>1</v>
      </c>
      <c r="J135" s="1">
        <f ca="1">IFERROR(__xludf.DUMMYFUNCTION("""COMPUTED_VALUE"""),0)</f>
        <v>0</v>
      </c>
      <c r="K135" s="1" t="str">
        <f ca="1">IFERROR(__xludf.DUMMYFUNCTION("""COMPUTED_VALUE"""),"Fall")</f>
        <v>Fall</v>
      </c>
      <c r="L135" s="1" t="str">
        <f ca="1">IFERROR(__xludf.DUMMYFUNCTION("""COMPUTED_VALUE"""),"Detroit")</f>
        <v>Detroit</v>
      </c>
      <c r="M135" s="1" t="str">
        <f ca="1">IFERROR(__xludf.DUMMYFUNCTION("""COMPUTED_VALUE"""),"MI")</f>
        <v>MI</v>
      </c>
      <c r="N135" s="1" t="str">
        <f ca="1">IFERROR(__xludf.DUMMYFUNCTION("""COMPUTED_VALUE"""),"High")</f>
        <v>High</v>
      </c>
      <c r="O135" s="1" t="str">
        <f ca="1">IFERROR(__xludf.DUMMYFUNCTION("""COMPUTED_VALUE"""),"Basketball Court")</f>
        <v>Basketball Court</v>
      </c>
      <c r="P135" s="1" t="str">
        <f ca="1">IFERROR(__xludf.DUMMYFUNCTION("""COMPUTED_VALUE"""),"Outside on School Property")</f>
        <v>Outside on School Property</v>
      </c>
      <c r="Q135" s="1" t="str">
        <f ca="1">IFERROR(__xludf.DUMMYFUNCTION("""COMPUTED_VALUE"""),"No")</f>
        <v>No</v>
      </c>
      <c r="R135" s="1" t="str">
        <f ca="1">IFERROR(__xludf.DUMMYFUNCTION("""COMPUTED_VALUE"""),"School Event")</f>
        <v>School Event</v>
      </c>
      <c r="S135" s="5">
        <f ca="1">IFERROR(__xludf.DUMMYFUNCTION("""COMPUTED_VALUE"""),0.822916666666666)</f>
        <v>0.82291666666666596</v>
      </c>
      <c r="T135" s="1">
        <f ca="1">IFERROR(__xludf.DUMMYFUNCTION("""COMPUTED_VALUE"""),1)</f>
        <v>1</v>
      </c>
      <c r="U135" s="1" t="str">
        <f ca="1">IFERROR(__xludf.DUMMYFUNCTION("""COMPUTED_VALUE"""),"Student shot on the athletic fields behind the school")</f>
        <v>Student shot on the athletic fields behind the school</v>
      </c>
      <c r="V135" s="1" t="str">
        <f ca="1">IFERROR(__xludf.DUMMYFUNCTION("""COMPUTED_VALUE"""),"Student shot on the athletic fields and basketball courts behind the school. Shooter fled.")</f>
        <v>Student shot on the athletic fields and basketball courts behind the school. Shooter fled.</v>
      </c>
      <c r="W135" s="1"/>
      <c r="X135" s="1" t="str">
        <f ca="1">IFERROR(__xludf.DUMMYFUNCTION("""COMPUTED_VALUE"""),"Victims Targeted")</f>
        <v>Victims Targeted</v>
      </c>
      <c r="Y135" s="1"/>
      <c r="Z135" s="1"/>
      <c r="AA135" s="1" t="str">
        <f ca="1">IFERROR(__xludf.DUMMYFUNCTION("""COMPUTED_VALUE"""),"No")</f>
        <v>No</v>
      </c>
      <c r="AB135" s="1" t="str">
        <f ca="1">IFERROR(__xludf.DUMMYFUNCTION("""COMPUTED_VALUE"""),"No")</f>
        <v>No</v>
      </c>
      <c r="AC135" s="1" t="str">
        <f ca="1">IFERROR(__xludf.DUMMYFUNCTION("""COMPUTED_VALUE"""),"No")</f>
        <v>No</v>
      </c>
      <c r="AD135" s="1" t="str">
        <f ca="1">IFERROR(__xludf.DUMMYFUNCTION("""COMPUTED_VALUE"""),"No")</f>
        <v>No</v>
      </c>
      <c r="AE135" s="1" t="str">
        <f ca="1">IFERROR(__xludf.DUMMYFUNCTION("""COMPUTED_VALUE"""),"No")</f>
        <v>No</v>
      </c>
      <c r="AF135" s="1"/>
      <c r="AG135" s="1" t="str">
        <f ca="1">IFERROR(__xludf.DUMMYFUNCTION("""COMPUTED_VALUE"""),"No")</f>
        <v>No</v>
      </c>
      <c r="AH135" s="1"/>
    </row>
    <row r="136" spans="1:34" ht="12.5">
      <c r="A136" s="1" t="str">
        <f ca="1">IFERROR(__xludf.DUMMYFUNCTION("""COMPUTED_VALUE"""),"20231026CALEL")</f>
        <v>20231026CALEL</v>
      </c>
      <c r="B136" s="1">
        <f ca="1">IFERROR(__xludf.DUMMYFUNCTION("""COMPUTED_VALUE"""),10)</f>
        <v>10</v>
      </c>
      <c r="C136" s="1">
        <f ca="1">IFERROR(__xludf.DUMMYFUNCTION("""COMPUTED_VALUE"""),26)</f>
        <v>26</v>
      </c>
      <c r="D136" s="1">
        <f ca="1">IFERROR(__xludf.DUMMYFUNCTION("""COMPUTED_VALUE"""),2023)</f>
        <v>2023</v>
      </c>
      <c r="E136" s="4">
        <f ca="1">IFERROR(__xludf.DUMMYFUNCTION("""COMPUTED_VALUE"""),45225)</f>
        <v>45225</v>
      </c>
      <c r="F136" s="1" t="str">
        <f ca="1">IFERROR(__xludf.DUMMYFUNCTION("""COMPUTED_VALUE"""),"Legacy High School")</f>
        <v>Legacy High School</v>
      </c>
      <c r="G136" s="1">
        <f ca="1">IFERROR(__xludf.DUMMYFUNCTION("""COMPUTED_VALUE"""),0)</f>
        <v>0</v>
      </c>
      <c r="H136" s="1">
        <f ca="1">IFERROR(__xludf.DUMMYFUNCTION("""COMPUTED_VALUE"""),1)</f>
        <v>1</v>
      </c>
      <c r="I136" s="1">
        <f ca="1">IFERROR(__xludf.DUMMYFUNCTION("""COMPUTED_VALUE"""),1)</f>
        <v>1</v>
      </c>
      <c r="J136" s="1">
        <f ca="1">IFERROR(__xludf.DUMMYFUNCTION("""COMPUTED_VALUE"""),0)</f>
        <v>0</v>
      </c>
      <c r="K136" s="1" t="str">
        <f ca="1">IFERROR(__xludf.DUMMYFUNCTION("""COMPUTED_VALUE"""),"Fall")</f>
        <v>Fall</v>
      </c>
      <c r="L136" s="1" t="str">
        <f ca="1">IFERROR(__xludf.DUMMYFUNCTION("""COMPUTED_VALUE"""),"Los Angles")</f>
        <v>Los Angles</v>
      </c>
      <c r="M136" s="1" t="str">
        <f ca="1">IFERROR(__xludf.DUMMYFUNCTION("""COMPUTED_VALUE"""),"CA")</f>
        <v>CA</v>
      </c>
      <c r="N136" s="1" t="str">
        <f ca="1">IFERROR(__xludf.DUMMYFUNCTION("""COMPUTED_VALUE"""),"High")</f>
        <v>High</v>
      </c>
      <c r="O136" s="1" t="str">
        <f ca="1">IFERROR(__xludf.DUMMYFUNCTION("""COMPUTED_VALUE"""),"Parking Lot")</f>
        <v>Parking Lot</v>
      </c>
      <c r="P136" s="1" t="str">
        <f ca="1">IFERROR(__xludf.DUMMYFUNCTION("""COMPUTED_VALUE"""),"Outside on School Property")</f>
        <v>Outside on School Property</v>
      </c>
      <c r="Q136" s="1" t="str">
        <f ca="1">IFERROR(__xludf.DUMMYFUNCTION("""COMPUTED_VALUE"""),"No")</f>
        <v>No</v>
      </c>
      <c r="R136" s="1" t="str">
        <f ca="1">IFERROR(__xludf.DUMMYFUNCTION("""COMPUTED_VALUE"""),"Sport Event")</f>
        <v>Sport Event</v>
      </c>
      <c r="S136" s="5">
        <f ca="1">IFERROR(__xludf.DUMMYFUNCTION("""COMPUTED_VALUE"""),0.895833333333333)</f>
        <v>0.89583333333333304</v>
      </c>
      <c r="T136" s="1">
        <f ca="1">IFERROR(__xludf.DUMMYFUNCTION("""COMPUTED_VALUE"""),1)</f>
        <v>1</v>
      </c>
      <c r="U136" s="1" t="str">
        <f ca="1">IFERROR(__xludf.DUMMYFUNCTION("""COMPUTED_VALUE"""),"Officers fired at vehicle that attempted to strike them in the school parking lot, large crowd leaving football game")</f>
        <v>Officers fired at vehicle that attempted to strike them in the school parking lot, large crowd leaving football game</v>
      </c>
      <c r="V136" s="1" t="str">
        <f ca="1">IFERROR(__xludf.DUMMYFUNCTION("""COMPUTED_VALUE"""),"The gunfire and the proximity to the campus prompted an active shooter response to the 5200 block of Tweedy Boulevard in South Gate around 9:30 p.m. Thursday. Investigators said the LAUSD police officer at the school opened fire on an SUV that tried to ru"&amp;"n him over after a high school football game. ")</f>
        <v xml:space="preserve">The gunfire and the proximity to the campus prompted an active shooter response to the 5200 block of Tweedy Boulevard in South Gate around 9:30 p.m. Thursday. Investigators said the LAUSD police officer at the school opened fire on an SUV that tried to run him over after a high school football game. </v>
      </c>
      <c r="W136" s="1" t="str">
        <f ca="1">IFERROR(__xludf.DUMMYFUNCTION("""COMPUTED_VALUE"""),"Officer-Involved Shooting")</f>
        <v>Officer-Involved Shooting</v>
      </c>
      <c r="X136" s="1" t="str">
        <f ca="1">IFERROR(__xludf.DUMMYFUNCTION("""COMPUTED_VALUE"""),"Victims Targeted")</f>
        <v>Victims Targeted</v>
      </c>
      <c r="Y136" s="1" t="str">
        <f ca="1">IFERROR(__xludf.DUMMYFUNCTION("""COMPUTED_VALUE"""),"No")</f>
        <v>No</v>
      </c>
      <c r="Z136" s="1"/>
      <c r="AA136" s="1" t="str">
        <f ca="1">IFERROR(__xludf.DUMMYFUNCTION("""COMPUTED_VALUE"""),"No")</f>
        <v>No</v>
      </c>
      <c r="AB136" s="1" t="str">
        <f ca="1">IFERROR(__xludf.DUMMYFUNCTION("""COMPUTED_VALUE"""),"No")</f>
        <v>No</v>
      </c>
      <c r="AC136" s="1" t="str">
        <f ca="1">IFERROR(__xludf.DUMMYFUNCTION("""COMPUTED_VALUE"""),"No")</f>
        <v>No</v>
      </c>
      <c r="AD136" s="1" t="str">
        <f ca="1">IFERROR(__xludf.DUMMYFUNCTION("""COMPUTED_VALUE"""),"No")</f>
        <v>No</v>
      </c>
      <c r="AE136" s="1" t="str">
        <f ca="1">IFERROR(__xludf.DUMMYFUNCTION("""COMPUTED_VALUE"""),"No")</f>
        <v>No</v>
      </c>
      <c r="AF136" s="1" t="str">
        <f ca="1">IFERROR(__xludf.DUMMYFUNCTION("""COMPUTED_VALUE"""),"No")</f>
        <v>No</v>
      </c>
      <c r="AG136" s="1" t="str">
        <f ca="1">IFERROR(__xludf.DUMMYFUNCTION("""COMPUTED_VALUE"""),"No")</f>
        <v>No</v>
      </c>
      <c r="AH136" s="1">
        <f ca="1">IFERROR(__xludf.DUMMYFUNCTION("""COMPUTED_VALUE"""),99)</f>
        <v>99</v>
      </c>
    </row>
    <row r="137" spans="1:34" ht="12.5">
      <c r="A137" s="1" t="str">
        <f ca="1">IFERROR(__xludf.DUMMYFUNCTION("""COMPUTED_VALUE"""),"20231026VTMOM")</f>
        <v>20231026VTMOM</v>
      </c>
      <c r="B137" s="1">
        <f ca="1">IFERROR(__xludf.DUMMYFUNCTION("""COMPUTED_VALUE"""),10)</f>
        <v>10</v>
      </c>
      <c r="C137" s="1">
        <f ca="1">IFERROR(__xludf.DUMMYFUNCTION("""COMPUTED_VALUE"""),26)</f>
        <v>26</v>
      </c>
      <c r="D137" s="1">
        <f ca="1">IFERROR(__xludf.DUMMYFUNCTION("""COMPUTED_VALUE"""),2023)</f>
        <v>2023</v>
      </c>
      <c r="E137" s="4">
        <f ca="1">IFERROR(__xludf.DUMMYFUNCTION("""COMPUTED_VALUE"""),45225)</f>
        <v>45225</v>
      </c>
      <c r="F137" s="1" t="str">
        <f ca="1">IFERROR(__xludf.DUMMYFUNCTION("""COMPUTED_VALUE"""),"Montpelier School Bus")</f>
        <v>Montpelier School Bus</v>
      </c>
      <c r="G137" s="1">
        <f ca="1">IFERROR(__xludf.DUMMYFUNCTION("""COMPUTED_VALUE"""),0)</f>
        <v>0</v>
      </c>
      <c r="H137" s="1">
        <f ca="1">IFERROR(__xludf.DUMMYFUNCTION("""COMPUTED_VALUE"""),0)</f>
        <v>0</v>
      </c>
      <c r="I137" s="1">
        <f ca="1">IFERROR(__xludf.DUMMYFUNCTION("""COMPUTED_VALUE"""),0)</f>
        <v>0</v>
      </c>
      <c r="J137" s="1">
        <f ca="1">IFERROR(__xludf.DUMMYFUNCTION("""COMPUTED_VALUE"""),0)</f>
        <v>0</v>
      </c>
      <c r="K137" s="1" t="str">
        <f ca="1">IFERROR(__xludf.DUMMYFUNCTION("""COMPUTED_VALUE"""),"Fall")</f>
        <v>Fall</v>
      </c>
      <c r="L137" s="1" t="str">
        <f ca="1">IFERROR(__xludf.DUMMYFUNCTION("""COMPUTED_VALUE"""),"Montpelier")</f>
        <v>Montpelier</v>
      </c>
      <c r="M137" s="1" t="str">
        <f ca="1">IFERROR(__xludf.DUMMYFUNCTION("""COMPUTED_VALUE"""),"VT")</f>
        <v>VT</v>
      </c>
      <c r="N137" s="1"/>
      <c r="O137" s="1" t="str">
        <f ca="1">IFERROR(__xludf.DUMMYFUNCTION("""COMPUTED_VALUE"""),"School Bus")</f>
        <v>School Bus</v>
      </c>
      <c r="P137" s="1" t="str">
        <f ca="1">IFERROR(__xludf.DUMMYFUNCTION("""COMPUTED_VALUE"""),"School Bus")</f>
        <v>School Bus</v>
      </c>
      <c r="Q137" s="1" t="str">
        <f ca="1">IFERROR(__xludf.DUMMYFUNCTION("""COMPUTED_VALUE"""),"Yes")</f>
        <v>Yes</v>
      </c>
      <c r="R137" s="1" t="str">
        <f ca="1">IFERROR(__xludf.DUMMYFUNCTION("""COMPUTED_VALUE"""),"Dismissal")</f>
        <v>Dismissal</v>
      </c>
      <c r="S137" s="5">
        <f ca="1">IFERROR(__xludf.DUMMYFUNCTION("""COMPUTED_VALUE"""),0.641666666666666)</f>
        <v>0.64166666666666605</v>
      </c>
      <c r="T137" s="1">
        <f ca="1">IFERROR(__xludf.DUMMYFUNCTION("""COMPUTED_VALUE"""),1)</f>
        <v>1</v>
      </c>
      <c r="U137" s="1" t="str">
        <f ca="1">IFERROR(__xludf.DUMMYFUNCTION("""COMPUTED_VALUE"""),"School bus windshield shot with students aboard")</f>
        <v>School bus windshield shot with students aboard</v>
      </c>
      <c r="V137" s="1" t="str">
        <f ca="1">IFERROR(__xludf.DUMMYFUNCTION("""COMPUTED_VALUE"""),"School bus windshield shot with students aboard. 3 arrested and guns seized from a homeless camp near the shooting location.")</f>
        <v>School bus windshield shot with students aboard. 3 arrested and guns seized from a homeless camp near the shooting location.</v>
      </c>
      <c r="W137" s="1" t="str">
        <f ca="1">IFERROR(__xludf.DUMMYFUNCTION("""COMPUTED_VALUE"""),"Accidental")</f>
        <v>Accidental</v>
      </c>
      <c r="X137" s="1" t="str">
        <f ca="1">IFERROR(__xludf.DUMMYFUNCTION("""COMPUTED_VALUE"""),"Neither")</f>
        <v>Neither</v>
      </c>
      <c r="Y137" s="1"/>
      <c r="Z137" s="1"/>
      <c r="AA137" s="1" t="str">
        <f ca="1">IFERROR(__xludf.DUMMYFUNCTION("""COMPUTED_VALUE"""),"No")</f>
        <v>No</v>
      </c>
      <c r="AB137" s="1" t="str">
        <f ca="1">IFERROR(__xludf.DUMMYFUNCTION("""COMPUTED_VALUE"""),"No")</f>
        <v>No</v>
      </c>
      <c r="AC137" s="1" t="str">
        <f ca="1">IFERROR(__xludf.DUMMYFUNCTION("""COMPUTED_VALUE"""),"No")</f>
        <v>No</v>
      </c>
      <c r="AD137" s="1" t="str">
        <f ca="1">IFERROR(__xludf.DUMMYFUNCTION("""COMPUTED_VALUE"""),"No")</f>
        <v>No</v>
      </c>
      <c r="AE137" s="1" t="str">
        <f ca="1">IFERROR(__xludf.DUMMYFUNCTION("""COMPUTED_VALUE"""),"No")</f>
        <v>No</v>
      </c>
      <c r="AF137" s="1" t="str">
        <f ca="1">IFERROR(__xludf.DUMMYFUNCTION("""COMPUTED_VALUE"""),"No")</f>
        <v>No</v>
      </c>
      <c r="AG137" s="1" t="str">
        <f ca="1">IFERROR(__xludf.DUMMYFUNCTION("""COMPUTED_VALUE"""),"No")</f>
        <v>No</v>
      </c>
      <c r="AH137" s="1">
        <f ca="1">IFERROR(__xludf.DUMMYFUNCTION("""COMPUTED_VALUE"""),1)</f>
        <v>1</v>
      </c>
    </row>
    <row r="138" spans="1:34" ht="12.5">
      <c r="A138" s="1" t="str">
        <f ca="1">IFERROR(__xludf.DUMMYFUNCTION("""COMPUTED_VALUE"""),"20231026FLNFJ")</f>
        <v>20231026FLNFJ</v>
      </c>
      <c r="B138" s="1">
        <f ca="1">IFERROR(__xludf.DUMMYFUNCTION("""COMPUTED_VALUE"""),10)</f>
        <v>10</v>
      </c>
      <c r="C138" s="1">
        <f ca="1">IFERROR(__xludf.DUMMYFUNCTION("""COMPUTED_VALUE"""),26)</f>
        <v>26</v>
      </c>
      <c r="D138" s="1">
        <f ca="1">IFERROR(__xludf.DUMMYFUNCTION("""COMPUTED_VALUE"""),2023)</f>
        <v>2023</v>
      </c>
      <c r="E138" s="4">
        <f ca="1">IFERROR(__xludf.DUMMYFUNCTION("""COMPUTED_VALUE"""),45225)</f>
        <v>45225</v>
      </c>
      <c r="F138" s="1" t="str">
        <f ca="1">IFERROR(__xludf.DUMMYFUNCTION("""COMPUTED_VALUE"""),"North Florida Educational Institute")</f>
        <v>North Florida Educational Institute</v>
      </c>
      <c r="G138" s="1">
        <f ca="1">IFERROR(__xludf.DUMMYFUNCTION("""COMPUTED_VALUE"""),0)</f>
        <v>0</v>
      </c>
      <c r="H138" s="1">
        <f ca="1">IFERROR(__xludf.DUMMYFUNCTION("""COMPUTED_VALUE"""),1)</f>
        <v>1</v>
      </c>
      <c r="I138" s="1">
        <f ca="1">IFERROR(__xludf.DUMMYFUNCTION("""COMPUTED_VALUE"""),1)</f>
        <v>1</v>
      </c>
      <c r="J138" s="1">
        <f ca="1">IFERROR(__xludf.DUMMYFUNCTION("""COMPUTED_VALUE"""),0)</f>
        <v>0</v>
      </c>
      <c r="K138" s="1" t="str">
        <f ca="1">IFERROR(__xludf.DUMMYFUNCTION("""COMPUTED_VALUE"""),"Fall")</f>
        <v>Fall</v>
      </c>
      <c r="L138" s="1" t="str">
        <f ca="1">IFERROR(__xludf.DUMMYFUNCTION("""COMPUTED_VALUE"""),"Jacksonville")</f>
        <v>Jacksonville</v>
      </c>
      <c r="M138" s="1" t="str">
        <f ca="1">IFERROR(__xludf.DUMMYFUNCTION("""COMPUTED_VALUE"""),"FL")</f>
        <v>FL</v>
      </c>
      <c r="N138" s="1" t="str">
        <f ca="1">IFERROR(__xludf.DUMMYFUNCTION("""COMPUTED_VALUE"""),"Elementary")</f>
        <v>Elementary</v>
      </c>
      <c r="O138" s="1" t="str">
        <f ca="1">IFERROR(__xludf.DUMMYFUNCTION("""COMPUTED_VALUE"""),"Parking Lot")</f>
        <v>Parking Lot</v>
      </c>
      <c r="P138" s="1" t="str">
        <f ca="1">IFERROR(__xludf.DUMMYFUNCTION("""COMPUTED_VALUE"""),"Outside on School Property")</f>
        <v>Outside on School Property</v>
      </c>
      <c r="Q138" s="1" t="str">
        <f ca="1">IFERROR(__xludf.DUMMYFUNCTION("""COMPUTED_VALUE"""),"No")</f>
        <v>No</v>
      </c>
      <c r="R138" s="1" t="str">
        <f ca="1">IFERROR(__xludf.DUMMYFUNCTION("""COMPUTED_VALUE"""),"Evening")</f>
        <v>Evening</v>
      </c>
      <c r="S138" s="5">
        <f ca="1">IFERROR(__xludf.DUMMYFUNCTION("""COMPUTED_VALUE"""),0.729166666666666)</f>
        <v>0.72916666666666596</v>
      </c>
      <c r="T138" s="1">
        <f ca="1">IFERROR(__xludf.DUMMYFUNCTION("""COMPUTED_VALUE"""),1)</f>
        <v>1</v>
      </c>
      <c r="U138" s="1" t="str">
        <f ca="1">IFERROR(__xludf.DUMMYFUNCTION("""COMPUTED_VALUE"""),"Woman shot during fight between father and son")</f>
        <v>Woman shot during fight between father and son</v>
      </c>
      <c r="V138" s="1" t="str">
        <f ca="1">IFERROR(__xludf.DUMMYFUNCTION("""COMPUTED_VALUE"""),"Mother shot while father and son were in a dispute that turned into a physical struggle over a firearm the father was carrying.")</f>
        <v>Mother shot while father and son were in a dispute that turned into a physical struggle over a firearm the father was carrying.</v>
      </c>
      <c r="W138" s="1" t="str">
        <f ca="1">IFERROR(__xludf.DUMMYFUNCTION("""COMPUTED_VALUE"""),"Escalation of Dispute")</f>
        <v>Escalation of Dispute</v>
      </c>
      <c r="X138" s="1" t="str">
        <f ca="1">IFERROR(__xludf.DUMMYFUNCTION("""COMPUTED_VALUE"""),"Victims Targeted")</f>
        <v>Victims Targeted</v>
      </c>
      <c r="Y138" s="1" t="str">
        <f ca="1">IFERROR(__xludf.DUMMYFUNCTION("""COMPUTED_VALUE"""),"No")</f>
        <v>No</v>
      </c>
      <c r="Z138" s="1"/>
      <c r="AA138" s="1" t="str">
        <f ca="1">IFERROR(__xludf.DUMMYFUNCTION("""COMPUTED_VALUE"""),"No")</f>
        <v>No</v>
      </c>
      <c r="AB138" s="1" t="str">
        <f ca="1">IFERROR(__xludf.DUMMYFUNCTION("""COMPUTED_VALUE"""),"No")</f>
        <v>No</v>
      </c>
      <c r="AC138" s="1" t="str">
        <f ca="1">IFERROR(__xludf.DUMMYFUNCTION("""COMPUTED_VALUE"""),"No")</f>
        <v>No</v>
      </c>
      <c r="AD138" s="1" t="str">
        <f ca="1">IFERROR(__xludf.DUMMYFUNCTION("""COMPUTED_VALUE"""),"No")</f>
        <v>No</v>
      </c>
      <c r="AE138" s="1" t="str">
        <f ca="1">IFERROR(__xludf.DUMMYFUNCTION("""COMPUTED_VALUE"""),"No")</f>
        <v>No</v>
      </c>
      <c r="AF138" s="1" t="str">
        <f ca="1">IFERROR(__xludf.DUMMYFUNCTION("""COMPUTED_VALUE"""),"No")</f>
        <v>No</v>
      </c>
      <c r="AG138" s="1" t="str">
        <f ca="1">IFERROR(__xludf.DUMMYFUNCTION("""COMPUTED_VALUE"""),"No")</f>
        <v>No</v>
      </c>
      <c r="AH138" s="1">
        <f ca="1">IFERROR(__xludf.DUMMYFUNCTION("""COMPUTED_VALUE"""),1)</f>
        <v>1</v>
      </c>
    </row>
    <row r="139" spans="1:34" ht="12.5">
      <c r="A139" s="1" t="str">
        <f ca="1">IFERROR(__xludf.DUMMYFUNCTION("""COMPUTED_VALUE"""),"20231024MDEDW")</f>
        <v>20231024MDEDW</v>
      </c>
      <c r="B139" s="1">
        <f ca="1">IFERROR(__xludf.DUMMYFUNCTION("""COMPUTED_VALUE"""),10)</f>
        <v>10</v>
      </c>
      <c r="C139" s="1">
        <f ca="1">IFERROR(__xludf.DUMMYFUNCTION("""COMPUTED_VALUE"""),24)</f>
        <v>24</v>
      </c>
      <c r="D139" s="1">
        <f ca="1">IFERROR(__xludf.DUMMYFUNCTION("""COMPUTED_VALUE"""),2023)</f>
        <v>2023</v>
      </c>
      <c r="E139" s="4">
        <f ca="1">IFERROR(__xludf.DUMMYFUNCTION("""COMPUTED_VALUE"""),45223)</f>
        <v>45223</v>
      </c>
      <c r="F139" s="1" t="str">
        <f ca="1">IFERROR(__xludf.DUMMYFUNCTION("""COMPUTED_VALUE"""),"Edmondson Heights Elementary School")</f>
        <v>Edmondson Heights Elementary School</v>
      </c>
      <c r="G139" s="1">
        <f ca="1">IFERROR(__xludf.DUMMYFUNCTION("""COMPUTED_VALUE"""),0)</f>
        <v>0</v>
      </c>
      <c r="H139" s="1">
        <f ca="1">IFERROR(__xludf.DUMMYFUNCTION("""COMPUTED_VALUE"""),1)</f>
        <v>1</v>
      </c>
      <c r="I139" s="1">
        <f ca="1">IFERROR(__xludf.DUMMYFUNCTION("""COMPUTED_VALUE"""),1)</f>
        <v>1</v>
      </c>
      <c r="J139" s="1">
        <f ca="1">IFERROR(__xludf.DUMMYFUNCTION("""COMPUTED_VALUE"""),0)</f>
        <v>0</v>
      </c>
      <c r="K139" s="1" t="str">
        <f ca="1">IFERROR(__xludf.DUMMYFUNCTION("""COMPUTED_VALUE"""),"Fall")</f>
        <v>Fall</v>
      </c>
      <c r="L139" s="1" t="str">
        <f ca="1">IFERROR(__xludf.DUMMYFUNCTION("""COMPUTED_VALUE"""),"Woodlawn")</f>
        <v>Woodlawn</v>
      </c>
      <c r="M139" s="1" t="str">
        <f ca="1">IFERROR(__xludf.DUMMYFUNCTION("""COMPUTED_VALUE"""),"MD")</f>
        <v>MD</v>
      </c>
      <c r="N139" s="1" t="str">
        <f ca="1">IFERROR(__xludf.DUMMYFUNCTION("""COMPUTED_VALUE"""),"Elementary")</f>
        <v>Elementary</v>
      </c>
      <c r="O139" s="1" t="str">
        <f ca="1">IFERROR(__xludf.DUMMYFUNCTION("""COMPUTED_VALUE"""),"Playground")</f>
        <v>Playground</v>
      </c>
      <c r="P139" s="1" t="str">
        <f ca="1">IFERROR(__xludf.DUMMYFUNCTION("""COMPUTED_VALUE"""),"Outside on School Property")</f>
        <v>Outside on School Property</v>
      </c>
      <c r="Q139" s="1" t="str">
        <f ca="1">IFERROR(__xludf.DUMMYFUNCTION("""COMPUTED_VALUE"""),"Yes")</f>
        <v>Yes</v>
      </c>
      <c r="R139" s="1" t="str">
        <f ca="1">IFERROR(__xludf.DUMMYFUNCTION("""COMPUTED_VALUE"""),"Dismissal")</f>
        <v>Dismissal</v>
      </c>
      <c r="S139" s="5">
        <f ca="1">IFERROR(__xludf.DUMMYFUNCTION("""COMPUTED_VALUE"""),0.642361111111111)</f>
        <v>0.64236111111111105</v>
      </c>
      <c r="T139" s="1">
        <f ca="1">IFERROR(__xludf.DUMMYFUNCTION("""COMPUTED_VALUE"""),1)</f>
        <v>1</v>
      </c>
      <c r="U139" s="1" t="str">
        <f ca="1">IFERROR(__xludf.DUMMYFUNCTION("""COMPUTED_VALUE"""),"Teen shot on school playground during dismissal")</f>
        <v>Teen shot on school playground during dismissal</v>
      </c>
      <c r="V139" s="1" t="str">
        <f ca="1">IFERROR(__xludf.DUMMYFUNCTION("""COMPUTED_VALUE"""),"Police said it happened at 3:40 p.m. at the school playground in Woodlawn. Dismissal started at 3:25 p.m. A male teen was found near the school with a gunshot wound. He was taken to a hospital and is in stable condition. ""The children who to go school he"&amp;"re, they were in the process of being dismissed when this happened, so the school was on lockdown, but at that point, most of the kids were already out of the school,"" police spokeswoman Joy Stewart said. Police said that they believe the shooter may hav"&amp;"e been targeting several people from an earlier altercation and the shooting had nothing to do with the school.")</f>
        <v>Police said it happened at 3:40 p.m. at the school playground in Woodlawn. Dismissal started at 3:25 p.m. A male teen was found near the school with a gunshot wound. He was taken to a hospital and is in stable condition. "The children who to go school here, they were in the process of being dismissed when this happened, so the school was on lockdown, but at that point, most of the kids were already out of the school," police spokeswoman Joy Stewart said. Police said that they believe the shooter may have been targeting several people from an earlier altercation and the shooting had nothing to do with the school.</v>
      </c>
      <c r="W139" s="1" t="str">
        <f ca="1">IFERROR(__xludf.DUMMYFUNCTION("""COMPUTED_VALUE"""),"Escalation of Dispute")</f>
        <v>Escalation of Dispute</v>
      </c>
      <c r="X139" s="1" t="str">
        <f ca="1">IFERROR(__xludf.DUMMYFUNCTION("""COMPUTED_VALUE"""),"Victims Targeted")</f>
        <v>Victims Targeted</v>
      </c>
      <c r="Y139" s="1" t="str">
        <f ca="1">IFERROR(__xludf.DUMMYFUNCTION("""COMPUTED_VALUE"""),"No")</f>
        <v>No</v>
      </c>
      <c r="Z139" s="1"/>
      <c r="AA139" s="1" t="str">
        <f ca="1">IFERROR(__xludf.DUMMYFUNCTION("""COMPUTED_VALUE"""),"No")</f>
        <v>No</v>
      </c>
      <c r="AB139" s="1" t="str">
        <f ca="1">IFERROR(__xludf.DUMMYFUNCTION("""COMPUTED_VALUE"""),"No")</f>
        <v>No</v>
      </c>
      <c r="AC139" s="1" t="str">
        <f ca="1">IFERROR(__xludf.DUMMYFUNCTION("""COMPUTED_VALUE"""),"No")</f>
        <v>No</v>
      </c>
      <c r="AD139" s="1" t="str">
        <f ca="1">IFERROR(__xludf.DUMMYFUNCTION("""COMPUTED_VALUE"""),"No")</f>
        <v>No</v>
      </c>
      <c r="AE139" s="1" t="str">
        <f ca="1">IFERROR(__xludf.DUMMYFUNCTION("""COMPUTED_VALUE"""),"No")</f>
        <v>No</v>
      </c>
      <c r="AF139" s="1"/>
      <c r="AG139" s="1" t="str">
        <f ca="1">IFERROR(__xludf.DUMMYFUNCTION("""COMPUTED_VALUE"""),"No")</f>
        <v>No</v>
      </c>
      <c r="AH139" s="1">
        <f ca="1">IFERROR(__xludf.DUMMYFUNCTION("""COMPUTED_VALUE"""),99)</f>
        <v>99</v>
      </c>
    </row>
    <row r="140" spans="1:34" ht="12.5">
      <c r="A140" s="1" t="str">
        <f ca="1">IFERROR(__xludf.DUMMYFUNCTION("""COMPUTED_VALUE"""),"20231023WIKEG")</f>
        <v>20231023WIKEG</v>
      </c>
      <c r="B140" s="1">
        <f ca="1">IFERROR(__xludf.DUMMYFUNCTION("""COMPUTED_VALUE"""),10)</f>
        <v>10</v>
      </c>
      <c r="C140" s="1">
        <f ca="1">IFERROR(__xludf.DUMMYFUNCTION("""COMPUTED_VALUE"""),23)</f>
        <v>23</v>
      </c>
      <c r="D140" s="1">
        <f ca="1">IFERROR(__xludf.DUMMYFUNCTION("""COMPUTED_VALUE"""),2023)</f>
        <v>2023</v>
      </c>
      <c r="E140" s="4">
        <f ca="1">IFERROR(__xludf.DUMMYFUNCTION("""COMPUTED_VALUE"""),45222)</f>
        <v>45222</v>
      </c>
      <c r="F140" s="1" t="str">
        <f ca="1">IFERROR(__xludf.DUMMYFUNCTION("""COMPUTED_VALUE"""),"Kennedy Middle School")</f>
        <v>Kennedy Middle School</v>
      </c>
      <c r="G140" s="1">
        <f ca="1">IFERROR(__xludf.DUMMYFUNCTION("""COMPUTED_VALUE"""),0)</f>
        <v>0</v>
      </c>
      <c r="H140" s="1">
        <f ca="1">IFERROR(__xludf.DUMMYFUNCTION("""COMPUTED_VALUE"""),0)</f>
        <v>0</v>
      </c>
      <c r="I140" s="1">
        <f ca="1">IFERROR(__xludf.DUMMYFUNCTION("""COMPUTED_VALUE"""),0)</f>
        <v>0</v>
      </c>
      <c r="J140" s="1">
        <f ca="1">IFERROR(__xludf.DUMMYFUNCTION("""COMPUTED_VALUE"""),1)</f>
        <v>1</v>
      </c>
      <c r="K140" s="1" t="str">
        <f ca="1">IFERROR(__xludf.DUMMYFUNCTION("""COMPUTED_VALUE"""),"Fall")</f>
        <v>Fall</v>
      </c>
      <c r="L140" s="1" t="str">
        <f ca="1">IFERROR(__xludf.DUMMYFUNCTION("""COMPUTED_VALUE"""),"Germantown")</f>
        <v>Germantown</v>
      </c>
      <c r="M140" s="1" t="str">
        <f ca="1">IFERROR(__xludf.DUMMYFUNCTION("""COMPUTED_VALUE"""),"WI")</f>
        <v>WI</v>
      </c>
      <c r="N140" s="1" t="str">
        <f ca="1">IFERROR(__xludf.DUMMYFUNCTION("""COMPUTED_VALUE"""),"Middle")</f>
        <v>Middle</v>
      </c>
      <c r="O140" s="1" t="str">
        <f ca="1">IFERROR(__xludf.DUMMYFUNCTION("""COMPUTED_VALUE"""),"Outside on School Property")</f>
        <v>Outside on School Property</v>
      </c>
      <c r="P140" s="1" t="str">
        <f ca="1">IFERROR(__xludf.DUMMYFUNCTION("""COMPUTED_VALUE"""),"Outside on School Property")</f>
        <v>Outside on School Property</v>
      </c>
      <c r="Q140" s="1" t="str">
        <f ca="1">IFERROR(__xludf.DUMMYFUNCTION("""COMPUTED_VALUE"""),"No")</f>
        <v>No</v>
      </c>
      <c r="R140" s="1" t="str">
        <f ca="1">IFERROR(__xludf.DUMMYFUNCTION("""COMPUTED_VALUE"""),"Sport Event")</f>
        <v>Sport Event</v>
      </c>
      <c r="S140" s="5">
        <f ca="1">IFERROR(__xludf.DUMMYFUNCTION("""COMPUTED_VALUE"""),0.770833333333333)</f>
        <v>0.77083333333333304</v>
      </c>
      <c r="T140" s="1">
        <f ca="1">IFERROR(__xludf.DUMMYFUNCTION("""COMPUTED_VALUE"""),1)</f>
        <v>1</v>
      </c>
      <c r="U140" s="1" t="str">
        <f ca="1">IFERROR(__xludf.DUMMYFUNCTION("""COMPUTED_VALUE"""),"Man climbed onto roof and fired shots are police officers, killed by officers")</f>
        <v>Man climbed onto roof and fired shots are police officers, killed by officers</v>
      </c>
      <c r="V140" s="1" t="str">
        <f ca="1">IFERROR(__xludf.DUMMYFUNCTION("""COMPUTED_VALUE"""),"The DOJ says Germantown police officers responded to reports of a ""subject acting erratically"" in the parking lot of Kennedy Middle School around 6:30 p.m. on Monday. When police arrived, they say the suspect climbed onto the roof of the school. Officia"&amp;"ls say the suspect then fired at officers as the followed, and the officers returned fire. The DOJ says the suspect was hit by the gunfire and died at the scene. 70 students were inside the school for basketball, cheerleading, and dance team practices. Sc"&amp;"hool went on multi-hour lockdown and students were bused to a elementary school to meet their parents. Classes cancelled the following day. Man identified as 32-year-old combat vet who suffered from severe PTSD.")</f>
        <v>The DOJ says Germantown police officers responded to reports of a "subject acting erratically" in the parking lot of Kennedy Middle School around 6:30 p.m. on Monday. When police arrived, they say the suspect climbed onto the roof of the school. Officials say the suspect then fired at officers as the followed, and the officers returned fire. The DOJ says the suspect was hit by the gunfire and died at the scene. 70 students were inside the school for basketball, cheerleading, and dance team practices. School went on multi-hour lockdown and students were bused to a elementary school to meet their parents. Classes cancelled the following day. Man identified as 32-year-old combat vet who suffered from severe PTSD.</v>
      </c>
      <c r="W140" s="1" t="str">
        <f ca="1">IFERROR(__xludf.DUMMYFUNCTION("""COMPUTED_VALUE"""),"Psychosis")</f>
        <v>Psychosis</v>
      </c>
      <c r="X140" s="1" t="str">
        <f ca="1">IFERROR(__xludf.DUMMYFUNCTION("""COMPUTED_VALUE"""),"Random Shooting")</f>
        <v>Random Shooting</v>
      </c>
      <c r="Y140" s="1" t="str">
        <f ca="1">IFERROR(__xludf.DUMMYFUNCTION("""COMPUTED_VALUE"""),"No")</f>
        <v>No</v>
      </c>
      <c r="Z140" s="1"/>
      <c r="AA140" s="1" t="str">
        <f ca="1">IFERROR(__xludf.DUMMYFUNCTION("""COMPUTED_VALUE"""),"No")</f>
        <v>No</v>
      </c>
      <c r="AB140" s="1" t="str">
        <f ca="1">IFERROR(__xludf.DUMMYFUNCTION("""COMPUTED_VALUE"""),"No")</f>
        <v>No</v>
      </c>
      <c r="AC140" s="1" t="str">
        <f ca="1">IFERROR(__xludf.DUMMYFUNCTION("""COMPUTED_VALUE"""),"No")</f>
        <v>No</v>
      </c>
      <c r="AD140" s="1" t="str">
        <f ca="1">IFERROR(__xludf.DUMMYFUNCTION("""COMPUTED_VALUE"""),"No")</f>
        <v>No</v>
      </c>
      <c r="AE140" s="1" t="str">
        <f ca="1">IFERROR(__xludf.DUMMYFUNCTION("""COMPUTED_VALUE"""),"No")</f>
        <v>No</v>
      </c>
      <c r="AF140" s="1" t="str">
        <f ca="1">IFERROR(__xludf.DUMMYFUNCTION("""COMPUTED_VALUE"""),"No")</f>
        <v>No</v>
      </c>
      <c r="AG140" s="1" t="str">
        <f ca="1">IFERROR(__xludf.DUMMYFUNCTION("""COMPUTED_VALUE"""),"Yes")</f>
        <v>Yes</v>
      </c>
      <c r="AH140" s="1">
        <f ca="1">IFERROR(__xludf.DUMMYFUNCTION("""COMPUTED_VALUE"""),99)</f>
        <v>99</v>
      </c>
    </row>
    <row r="141" spans="1:34" ht="12.5">
      <c r="A141" s="1" t="str">
        <f ca="1">IFERROR(__xludf.DUMMYFUNCTION("""COMPUTED_VALUE"""),"20231021OHFAD")</f>
        <v>20231021OHFAD</v>
      </c>
      <c r="B141" s="1">
        <f ca="1">IFERROR(__xludf.DUMMYFUNCTION("""COMPUTED_VALUE"""),10)</f>
        <v>10</v>
      </c>
      <c r="C141" s="1">
        <f ca="1">IFERROR(__xludf.DUMMYFUNCTION("""COMPUTED_VALUE"""),21)</f>
        <v>21</v>
      </c>
      <c r="D141" s="1">
        <f ca="1">IFERROR(__xludf.DUMMYFUNCTION("""COMPUTED_VALUE"""),2023)</f>
        <v>2023</v>
      </c>
      <c r="E141" s="4">
        <f ca="1">IFERROR(__xludf.DUMMYFUNCTION("""COMPUTED_VALUE"""),45220)</f>
        <v>45220</v>
      </c>
      <c r="F141" s="1" t="str">
        <f ca="1">IFERROR(__xludf.DUMMYFUNCTION("""COMPUTED_VALUE"""),"Fairview PreK-6 School")</f>
        <v>Fairview PreK-6 School</v>
      </c>
      <c r="G141" s="1">
        <f ca="1">IFERROR(__xludf.DUMMYFUNCTION("""COMPUTED_VALUE"""),0)</f>
        <v>0</v>
      </c>
      <c r="H141" s="1">
        <f ca="1">IFERROR(__xludf.DUMMYFUNCTION("""COMPUTED_VALUE"""),1)</f>
        <v>1</v>
      </c>
      <c r="I141" s="1">
        <f ca="1">IFERROR(__xludf.DUMMYFUNCTION("""COMPUTED_VALUE"""),1)</f>
        <v>1</v>
      </c>
      <c r="J141" s="1">
        <f ca="1">IFERROR(__xludf.DUMMYFUNCTION("""COMPUTED_VALUE"""),0)</f>
        <v>0</v>
      </c>
      <c r="K141" s="1" t="str">
        <f ca="1">IFERROR(__xludf.DUMMYFUNCTION("""COMPUTED_VALUE"""),"Fall")</f>
        <v>Fall</v>
      </c>
      <c r="L141" s="1" t="str">
        <f ca="1">IFERROR(__xludf.DUMMYFUNCTION("""COMPUTED_VALUE"""),"Dayton")</f>
        <v>Dayton</v>
      </c>
      <c r="M141" s="1" t="str">
        <f ca="1">IFERROR(__xludf.DUMMYFUNCTION("""COMPUTED_VALUE"""),"OH")</f>
        <v>OH</v>
      </c>
      <c r="N141" s="1" t="str">
        <f ca="1">IFERROR(__xludf.DUMMYFUNCTION("""COMPUTED_VALUE"""),"Elementary")</f>
        <v>Elementary</v>
      </c>
      <c r="O141" s="1" t="str">
        <f ca="1">IFERROR(__xludf.DUMMYFUNCTION("""COMPUTED_VALUE"""),"Parking Lot")</f>
        <v>Parking Lot</v>
      </c>
      <c r="P141" s="1" t="str">
        <f ca="1">IFERROR(__xludf.DUMMYFUNCTION("""COMPUTED_VALUE"""),"Outside on School Property")</f>
        <v>Outside on School Property</v>
      </c>
      <c r="Q141" s="1" t="str">
        <f ca="1">IFERROR(__xludf.DUMMYFUNCTION("""COMPUTED_VALUE"""),"No")</f>
        <v>No</v>
      </c>
      <c r="R141" s="1" t="str">
        <f ca="1">IFERROR(__xludf.DUMMYFUNCTION("""COMPUTED_VALUE"""),"Evening")</f>
        <v>Evening</v>
      </c>
      <c r="S141" s="5">
        <f ca="1">IFERROR(__xludf.DUMMYFUNCTION("""COMPUTED_VALUE"""),0.797222222222222)</f>
        <v>0.79722222222222205</v>
      </c>
      <c r="T141" s="1">
        <f ca="1">IFERROR(__xludf.DUMMYFUNCTION("""COMPUTED_VALUE"""),1)</f>
        <v>1</v>
      </c>
      <c r="U141" s="1" t="str">
        <f ca="1">IFERROR(__xludf.DUMMYFUNCTION("""COMPUTED_VALUE"""),"Person shot in school parking lot")</f>
        <v>Person shot in school parking lot</v>
      </c>
      <c r="V141" s="1" t="str">
        <f ca="1">IFERROR(__xludf.DUMMYFUNCTION("""COMPUTED_VALUE"""),"Person shot in school parking lot")</f>
        <v>Person shot in school parking lot</v>
      </c>
      <c r="W141" s="1"/>
      <c r="X141" s="1"/>
      <c r="Y141" s="1" t="str">
        <f ca="1">IFERROR(__xludf.DUMMYFUNCTION("""COMPUTED_VALUE"""),"No")</f>
        <v>No</v>
      </c>
      <c r="Z141" s="1"/>
      <c r="AA141" s="1" t="str">
        <f ca="1">IFERROR(__xludf.DUMMYFUNCTION("""COMPUTED_VALUE"""),"No")</f>
        <v>No</v>
      </c>
      <c r="AB141" s="1" t="str">
        <f ca="1">IFERROR(__xludf.DUMMYFUNCTION("""COMPUTED_VALUE"""),"No")</f>
        <v>No</v>
      </c>
      <c r="AC141" s="1" t="str">
        <f ca="1">IFERROR(__xludf.DUMMYFUNCTION("""COMPUTED_VALUE"""),"No")</f>
        <v>No</v>
      </c>
      <c r="AD141" s="1" t="str">
        <f ca="1">IFERROR(__xludf.DUMMYFUNCTION("""COMPUTED_VALUE"""),"No")</f>
        <v>No</v>
      </c>
      <c r="AE141" s="1" t="str">
        <f ca="1">IFERROR(__xludf.DUMMYFUNCTION("""COMPUTED_VALUE"""),"No")</f>
        <v>No</v>
      </c>
      <c r="AF141" s="1" t="str">
        <f ca="1">IFERROR(__xludf.DUMMYFUNCTION("""COMPUTED_VALUE"""),"No")</f>
        <v>No</v>
      </c>
      <c r="AG141" s="1" t="str">
        <f ca="1">IFERROR(__xludf.DUMMYFUNCTION("""COMPUTED_VALUE"""),"No")</f>
        <v>No</v>
      </c>
      <c r="AH141" s="1"/>
    </row>
    <row r="142" spans="1:34" ht="12.5">
      <c r="A142" s="1" t="str">
        <f ca="1">IFERROR(__xludf.DUMMYFUNCTION("""COMPUTED_VALUE"""),"20231020FLLIT")</f>
        <v>20231020FLLIT</v>
      </c>
      <c r="B142" s="1">
        <f ca="1">IFERROR(__xludf.DUMMYFUNCTION("""COMPUTED_VALUE"""),10)</f>
        <v>10</v>
      </c>
      <c r="C142" s="1">
        <f ca="1">IFERROR(__xludf.DUMMYFUNCTION("""COMPUTED_VALUE"""),20)</f>
        <v>20</v>
      </c>
      <c r="D142" s="1">
        <f ca="1">IFERROR(__xludf.DUMMYFUNCTION("""COMPUTED_VALUE"""),2023)</f>
        <v>2023</v>
      </c>
      <c r="E142" s="4">
        <f ca="1">IFERROR(__xludf.DUMMYFUNCTION("""COMPUTED_VALUE"""),45219)</f>
        <v>45219</v>
      </c>
      <c r="F142" s="1" t="str">
        <f ca="1">IFERROR(__xludf.DUMMYFUNCTION("""COMPUTED_VALUE"""),"Lincoln High School")</f>
        <v>Lincoln High School</v>
      </c>
      <c r="G142" s="1">
        <f ca="1">IFERROR(__xludf.DUMMYFUNCTION("""COMPUTED_VALUE"""),0)</f>
        <v>0</v>
      </c>
      <c r="H142" s="1">
        <f ca="1">IFERROR(__xludf.DUMMYFUNCTION("""COMPUTED_VALUE"""),1)</f>
        <v>1</v>
      </c>
      <c r="I142" s="1">
        <f ca="1">IFERROR(__xludf.DUMMYFUNCTION("""COMPUTED_VALUE"""),1)</f>
        <v>1</v>
      </c>
      <c r="J142" s="1">
        <f ca="1">IFERROR(__xludf.DUMMYFUNCTION("""COMPUTED_VALUE"""),0)</f>
        <v>0</v>
      </c>
      <c r="K142" s="1" t="str">
        <f ca="1">IFERROR(__xludf.DUMMYFUNCTION("""COMPUTED_VALUE"""),"Fall")</f>
        <v>Fall</v>
      </c>
      <c r="L142" s="1" t="str">
        <f ca="1">IFERROR(__xludf.DUMMYFUNCTION("""COMPUTED_VALUE"""),"Tallahassee")</f>
        <v>Tallahassee</v>
      </c>
      <c r="M142" s="1" t="str">
        <f ca="1">IFERROR(__xludf.DUMMYFUNCTION("""COMPUTED_VALUE"""),"FL")</f>
        <v>FL</v>
      </c>
      <c r="N142" s="1" t="str">
        <f ca="1">IFERROR(__xludf.DUMMYFUNCTION("""COMPUTED_VALUE"""),"High")</f>
        <v>High</v>
      </c>
      <c r="O142" s="1" t="str">
        <f ca="1">IFERROR(__xludf.DUMMYFUNCTION("""COMPUTED_VALUE"""),"Parking Lot")</f>
        <v>Parking Lot</v>
      </c>
      <c r="P142" s="1" t="str">
        <f ca="1">IFERROR(__xludf.DUMMYFUNCTION("""COMPUTED_VALUE"""),"Outside on School Property")</f>
        <v>Outside on School Property</v>
      </c>
      <c r="Q142" s="1" t="str">
        <f ca="1">IFERROR(__xludf.DUMMYFUNCTION("""COMPUTED_VALUE"""),"Yes")</f>
        <v>Yes</v>
      </c>
      <c r="R142" s="1" t="str">
        <f ca="1">IFERROR(__xludf.DUMMYFUNCTION("""COMPUTED_VALUE"""),"Morning Classes")</f>
        <v>Morning Classes</v>
      </c>
      <c r="S142" s="5">
        <f ca="1">IFERROR(__xludf.DUMMYFUNCTION("""COMPUTED_VALUE"""),0.34375)</f>
        <v>0.34375</v>
      </c>
      <c r="T142" s="1">
        <f ca="1">IFERROR(__xludf.DUMMYFUNCTION("""COMPUTED_VALUE"""),1)</f>
        <v>1</v>
      </c>
      <c r="U142" s="1" t="str">
        <f ca="1">IFERROR(__xludf.DUMMYFUNCTION("""COMPUTED_VALUE"""),"Student shot classmate with replica AR-15 rifle in parking lot")</f>
        <v>Student shot classmate with replica AR-15 rifle in parking lot</v>
      </c>
      <c r="V142" s="1" t="str">
        <f ca="1">IFERROR(__xludf.DUMMYFUNCTION("""COMPUTED_VALUE"""),"A Lincoln High School student was arrested Friday morning after they allegedly brought an airsoft gun on campus and fired it at another student, according to the Leon County Sheriff’s Office. LCSO says around 8 a.m. Friday, Lincoln High staff members obse"&amp;"rved a distressed student who informed them they had been shot with an airsoft gun. LCSO’s School Resource deputy on campus arrested the student, who is an 11th grader and transported him to the Juvenile Assessment Center, according to LCSO. He was charge"&amp;"d with felony possession of a dangerous weapon on campus.")</f>
        <v>A Lincoln High School student was arrested Friday morning after they allegedly brought an airsoft gun on campus and fired it at another student, according to the Leon County Sheriff’s Office. LCSO says around 8 a.m. Friday, Lincoln High staff members observed a distressed student who informed them they had been shot with an airsoft gun. LCSO’s School Resource deputy on campus arrested the student, who is an 11th grader and transported him to the Juvenile Assessment Center, according to LCSO. He was charged with felony possession of a dangerous weapon on campus.</v>
      </c>
      <c r="W142" s="1"/>
      <c r="X142" s="1" t="str">
        <f ca="1">IFERROR(__xludf.DUMMYFUNCTION("""COMPUTED_VALUE"""),"Victims Targeted")</f>
        <v>Victims Targeted</v>
      </c>
      <c r="Y142" s="1" t="str">
        <f ca="1">IFERROR(__xludf.DUMMYFUNCTION("""COMPUTED_VALUE"""),"No")</f>
        <v>No</v>
      </c>
      <c r="Z142" s="1"/>
      <c r="AA142" s="1" t="str">
        <f ca="1">IFERROR(__xludf.DUMMYFUNCTION("""COMPUTED_VALUE"""),"No")</f>
        <v>No</v>
      </c>
      <c r="AB142" s="1" t="str">
        <f ca="1">IFERROR(__xludf.DUMMYFUNCTION("""COMPUTED_VALUE"""),"No")</f>
        <v>No</v>
      </c>
      <c r="AC142" s="1" t="str">
        <f ca="1">IFERROR(__xludf.DUMMYFUNCTION("""COMPUTED_VALUE"""),"No")</f>
        <v>No</v>
      </c>
      <c r="AD142" s="1" t="str">
        <f ca="1">IFERROR(__xludf.DUMMYFUNCTION("""COMPUTED_VALUE"""),"No")</f>
        <v>No</v>
      </c>
      <c r="AE142" s="1" t="str">
        <f ca="1">IFERROR(__xludf.DUMMYFUNCTION("""COMPUTED_VALUE"""),"No")</f>
        <v>No</v>
      </c>
      <c r="AF142" s="1" t="str">
        <f ca="1">IFERROR(__xludf.DUMMYFUNCTION("""COMPUTED_VALUE"""),"No")</f>
        <v>No</v>
      </c>
      <c r="AG142" s="1" t="str">
        <f ca="1">IFERROR(__xludf.DUMMYFUNCTION("""COMPUTED_VALUE"""),"No")</f>
        <v>No</v>
      </c>
      <c r="AH142" s="1">
        <f ca="1">IFERROR(__xludf.DUMMYFUNCTION("""COMPUTED_VALUE"""),1)</f>
        <v>1</v>
      </c>
    </row>
    <row r="143" spans="1:34" ht="12.5">
      <c r="A143" s="1" t="str">
        <f ca="1">IFERROR(__xludf.DUMMYFUNCTION("""COMPUTED_VALUE"""),"20231020FLFAT")</f>
        <v>20231020FLFAT</v>
      </c>
      <c r="B143" s="1">
        <f ca="1">IFERROR(__xludf.DUMMYFUNCTION("""COMPUTED_VALUE"""),10)</f>
        <v>10</v>
      </c>
      <c r="C143" s="1">
        <f ca="1">IFERROR(__xludf.DUMMYFUNCTION("""COMPUTED_VALUE"""),20)</f>
        <v>20</v>
      </c>
      <c r="D143" s="1">
        <f ca="1">IFERROR(__xludf.DUMMYFUNCTION("""COMPUTED_VALUE"""),2023)</f>
        <v>2023</v>
      </c>
      <c r="E143" s="4">
        <f ca="1">IFERROR(__xludf.DUMMYFUNCTION("""COMPUTED_VALUE"""),45219)</f>
        <v>45219</v>
      </c>
      <c r="F143" s="1" t="str">
        <f ca="1">IFERROR(__xludf.DUMMYFUNCTION("""COMPUTED_VALUE"""),"Farnell Middle School")</f>
        <v>Farnell Middle School</v>
      </c>
      <c r="G143" s="1">
        <f ca="1">IFERROR(__xludf.DUMMYFUNCTION("""COMPUTED_VALUE"""),0)</f>
        <v>0</v>
      </c>
      <c r="H143" s="1">
        <f ca="1">IFERROR(__xludf.DUMMYFUNCTION("""COMPUTED_VALUE"""),0)</f>
        <v>0</v>
      </c>
      <c r="I143" s="1">
        <f ca="1">IFERROR(__xludf.DUMMYFUNCTION("""COMPUTED_VALUE"""),0)</f>
        <v>0</v>
      </c>
      <c r="J143" s="1">
        <f ca="1">IFERROR(__xludf.DUMMYFUNCTION("""COMPUTED_VALUE"""),1)</f>
        <v>1</v>
      </c>
      <c r="K143" s="1" t="str">
        <f ca="1">IFERROR(__xludf.DUMMYFUNCTION("""COMPUTED_VALUE"""),"Fall")</f>
        <v>Fall</v>
      </c>
      <c r="L143" s="1" t="str">
        <f ca="1">IFERROR(__xludf.DUMMYFUNCTION("""COMPUTED_VALUE"""),"Tampa")</f>
        <v>Tampa</v>
      </c>
      <c r="M143" s="1" t="str">
        <f ca="1">IFERROR(__xludf.DUMMYFUNCTION("""COMPUTED_VALUE"""),"FL")</f>
        <v>FL</v>
      </c>
      <c r="N143" s="1" t="str">
        <f ca="1">IFERROR(__xludf.DUMMYFUNCTION("""COMPUTED_VALUE"""),"Middle")</f>
        <v>Middle</v>
      </c>
      <c r="O143" s="1" t="str">
        <f ca="1">IFERROR(__xludf.DUMMYFUNCTION("""COMPUTED_VALUE"""),"Parking Lot")</f>
        <v>Parking Lot</v>
      </c>
      <c r="P143" s="1" t="str">
        <f ca="1">IFERROR(__xludf.DUMMYFUNCTION("""COMPUTED_VALUE"""),"Outside on School Property")</f>
        <v>Outside on School Property</v>
      </c>
      <c r="Q143" s="1" t="str">
        <f ca="1">IFERROR(__xludf.DUMMYFUNCTION("""COMPUTED_VALUE"""),"Yes")</f>
        <v>Yes</v>
      </c>
      <c r="R143" s="1" t="str">
        <f ca="1">IFERROR(__xludf.DUMMYFUNCTION("""COMPUTED_VALUE"""),"School Start")</f>
        <v>School Start</v>
      </c>
      <c r="S143" s="5">
        <f ca="1">IFERROR(__xludf.DUMMYFUNCTION("""COMPUTED_VALUE"""),0.291666666666666)</f>
        <v>0.29166666666666602</v>
      </c>
      <c r="T143" s="1">
        <f ca="1">IFERROR(__xludf.DUMMYFUNCTION("""COMPUTED_VALUE"""),1)</f>
        <v>1</v>
      </c>
      <c r="U143" s="1" t="str">
        <f ca="1">IFERROR(__xludf.DUMMYFUNCTION("""COMPUTED_VALUE"""),"Ex-husband of teacher killed himself in front of students in the drop off area")</f>
        <v>Ex-husband of teacher killed himself in front of students in the drop off area</v>
      </c>
      <c r="V143" s="1" t="str">
        <f ca="1">IFERROR(__xludf.DUMMYFUNCTION("""COMPUTED_VALUE"""),"On Friday, October 20, 2023, deputies responded to calls about a shooting that had occurred at Farnell Middle School. When deputies arrived, they located a deceased adult male in the back part of the school. The preliminary investigation shows that a man "&amp;"drove to where students are dropped off by bus and by their parents. As he approached the school building, he took his life with a self-inflicted gunshot wound. Unfortunately, two students were in the vicinity at the time of the shooting and witnessed the"&amp;" incident. Those students ran to the office, where they informed school staff and, using the CENTEGIX System, placed the school on immediate lockdown.")</f>
        <v>On Friday, October 20, 2023, deputies responded to calls about a shooting that had occurred at Farnell Middle School. When deputies arrived, they located a deceased adult male in the back part of the school. The preliminary investigation shows that a man drove to where students are dropped off by bus and by their parents. As he approached the school building, he took his life with a self-inflicted gunshot wound. Unfortunately, two students were in the vicinity at the time of the shooting and witnessed the incident. Those students ran to the office, where they informed school staff and, using the CENTEGIX System, placed the school on immediate lockdown.</v>
      </c>
      <c r="W143" s="1" t="str">
        <f ca="1">IFERROR(__xludf.DUMMYFUNCTION("""COMPUTED_VALUE"""),"Suicide/Attempted")</f>
        <v>Suicide/Attempted</v>
      </c>
      <c r="X143" s="1" t="str">
        <f ca="1">IFERROR(__xludf.DUMMYFUNCTION("""COMPUTED_VALUE"""),"Victims Targeted")</f>
        <v>Victims Targeted</v>
      </c>
      <c r="Y143" s="1" t="str">
        <f ca="1">IFERROR(__xludf.DUMMYFUNCTION("""COMPUTED_VALUE"""),"No")</f>
        <v>No</v>
      </c>
      <c r="Z143" s="1"/>
      <c r="AA143" s="1" t="str">
        <f ca="1">IFERROR(__xludf.DUMMYFUNCTION("""COMPUTED_VALUE"""),"No")</f>
        <v>No</v>
      </c>
      <c r="AB143" s="1" t="str">
        <f ca="1">IFERROR(__xludf.DUMMYFUNCTION("""COMPUTED_VALUE"""),"No")</f>
        <v>No</v>
      </c>
      <c r="AC143" s="1" t="str">
        <f ca="1">IFERROR(__xludf.DUMMYFUNCTION("""COMPUTED_VALUE"""),"No")</f>
        <v>No</v>
      </c>
      <c r="AD143" s="1" t="str">
        <f ca="1">IFERROR(__xludf.DUMMYFUNCTION("""COMPUTED_VALUE"""),"No")</f>
        <v>No</v>
      </c>
      <c r="AE143" s="1" t="str">
        <f ca="1">IFERROR(__xludf.DUMMYFUNCTION("""COMPUTED_VALUE"""),"No")</f>
        <v>No</v>
      </c>
      <c r="AF143" s="1" t="str">
        <f ca="1">IFERROR(__xludf.DUMMYFUNCTION("""COMPUTED_VALUE"""),"No")</f>
        <v>No</v>
      </c>
      <c r="AG143" s="1" t="str">
        <f ca="1">IFERROR(__xludf.DUMMYFUNCTION("""COMPUTED_VALUE"""),"No")</f>
        <v>No</v>
      </c>
      <c r="AH143" s="1">
        <f ca="1">IFERROR(__xludf.DUMMYFUNCTION("""COMPUTED_VALUE"""),1)</f>
        <v>1</v>
      </c>
    </row>
    <row r="144" spans="1:34" ht="12.5">
      <c r="A144" s="1" t="str">
        <f ca="1">IFERROR(__xludf.DUMMYFUNCTION("""COMPUTED_VALUE"""),"20231019WAEVV")</f>
        <v>20231019WAEVV</v>
      </c>
      <c r="B144" s="1">
        <f ca="1">IFERROR(__xludf.DUMMYFUNCTION("""COMPUTED_VALUE"""),10)</f>
        <v>10</v>
      </c>
      <c r="C144" s="1">
        <f ca="1">IFERROR(__xludf.DUMMYFUNCTION("""COMPUTED_VALUE"""),19)</f>
        <v>19</v>
      </c>
      <c r="D144" s="1">
        <f ca="1">IFERROR(__xludf.DUMMYFUNCTION("""COMPUTED_VALUE"""),2023)</f>
        <v>2023</v>
      </c>
      <c r="E144" s="4">
        <f ca="1">IFERROR(__xludf.DUMMYFUNCTION("""COMPUTED_VALUE"""),45218)</f>
        <v>45218</v>
      </c>
      <c r="F144" s="1" t="str">
        <f ca="1">IFERROR(__xludf.DUMMYFUNCTION("""COMPUTED_VALUE"""),"Evergreen High School")</f>
        <v>Evergreen High School</v>
      </c>
      <c r="G144" s="1">
        <f ca="1">IFERROR(__xludf.DUMMYFUNCTION("""COMPUTED_VALUE"""),0)</f>
        <v>0</v>
      </c>
      <c r="H144" s="1">
        <f ca="1">IFERROR(__xludf.DUMMYFUNCTION("""COMPUTED_VALUE"""),0)</f>
        <v>0</v>
      </c>
      <c r="I144" s="1">
        <f ca="1">IFERROR(__xludf.DUMMYFUNCTION("""COMPUTED_VALUE"""),0)</f>
        <v>0</v>
      </c>
      <c r="J144" s="1">
        <f ca="1">IFERROR(__xludf.DUMMYFUNCTION("""COMPUTED_VALUE"""),0)</f>
        <v>0</v>
      </c>
      <c r="K144" s="1" t="str">
        <f ca="1">IFERROR(__xludf.DUMMYFUNCTION("""COMPUTED_VALUE"""),"Fall")</f>
        <v>Fall</v>
      </c>
      <c r="L144" s="1" t="str">
        <f ca="1">IFERROR(__xludf.DUMMYFUNCTION("""COMPUTED_VALUE"""),"Vancouver")</f>
        <v>Vancouver</v>
      </c>
      <c r="M144" s="1" t="str">
        <f ca="1">IFERROR(__xludf.DUMMYFUNCTION("""COMPUTED_VALUE"""),"WA")</f>
        <v>WA</v>
      </c>
      <c r="N144" s="1" t="str">
        <f ca="1">IFERROR(__xludf.DUMMYFUNCTION("""COMPUTED_VALUE"""),"High")</f>
        <v>High</v>
      </c>
      <c r="O144" s="1" t="str">
        <f ca="1">IFERROR(__xludf.DUMMYFUNCTION("""COMPUTED_VALUE"""),"Football Field/Track")</f>
        <v>Football Field/Track</v>
      </c>
      <c r="P144" s="1" t="str">
        <f ca="1">IFERROR(__xludf.DUMMYFUNCTION("""COMPUTED_VALUE"""),"Outside on School Property")</f>
        <v>Outside on School Property</v>
      </c>
      <c r="Q144" s="1" t="str">
        <f ca="1">IFERROR(__xludf.DUMMYFUNCTION("""COMPUTED_VALUE"""),"Yes")</f>
        <v>Yes</v>
      </c>
      <c r="R144" s="1" t="str">
        <f ca="1">IFERROR(__xludf.DUMMYFUNCTION("""COMPUTED_VALUE"""),"Afternoon Classes")</f>
        <v>Afternoon Classes</v>
      </c>
      <c r="S144" s="5">
        <f ca="1">IFERROR(__xludf.DUMMYFUNCTION("""COMPUTED_VALUE"""),0.5625)</f>
        <v>0.5625</v>
      </c>
      <c r="T144" s="1">
        <f ca="1">IFERROR(__xludf.DUMMYFUNCTION("""COMPUTED_VALUE"""),1)</f>
        <v>1</v>
      </c>
      <c r="U144" s="1" t="str">
        <f ca="1">IFERROR(__xludf.DUMMYFUNCTION("""COMPUTED_VALUE"""),"Student fired shots on football field following fight during lunch in school courtyard")</f>
        <v>Student fired shots on football field following fight during lunch in school courtyard</v>
      </c>
      <c r="V144" s="1" t="str">
        <f ca="1">IFERROR(__xludf.DUMMYFUNCTION("""COMPUTED_VALUE"""),"“There were bullets going through our campus,” said Charles “Chuck” Keplar, a paraeducator, football coach, and parent at Evergreen High School, who is also running for a position on the school board. “I know there were kids out there playing soccer, eati"&amp;"ng lunch, that is the line of fire.” According to the probable cause affidavit, Vancouver police said they responded to Evergreen High School last Thursday around 1:30 p.m. Upon arriving, officers were flagged down between the school and football field, a"&amp;"nd authorities said they found multiple shell casings and unfired rounds on the ground. VPD said they arrested 16-year-old Kikarson Asan at the “edge of the school property,” who was identified by school staff as the person allegedly responsible. Asan is "&amp;"facing charges including assault, unlawful possession of a firearm, and possession of a dangerous weapon on school grounds. “This was 100% a student that through Thursday night was enrolled and actively coming to Evergreen HS. I have had interactions with"&amp;" this student at least a dozen times this year,” Keplar said. As the investigation continues, community members said they’re disappointed by what they’re calling a lack of transparency and urgency from the district. Nobody was injured in the shooting, but"&amp;" people said the incident escalated after a fight broke out at the high school.")</f>
        <v>“There were bullets going through our campus,” said Charles “Chuck” Keplar, a paraeducator, football coach, and parent at Evergreen High School, who is also running for a position on the school board. “I know there were kids out there playing soccer, eating lunch, that is the line of fire.” According to the probable cause affidavit, Vancouver police said they responded to Evergreen High School last Thursday around 1:30 p.m. Upon arriving, officers were flagged down between the school and football field, and authorities said they found multiple shell casings and unfired rounds on the ground. VPD said they arrested 16-year-old Kikarson Asan at the “edge of the school property,” who was identified by school staff as the person allegedly responsible. Asan is facing charges including assault, unlawful possession of a firearm, and possession of a dangerous weapon on school grounds. “This was 100% a student that through Thursday night was enrolled and actively coming to Evergreen HS. I have had interactions with this student at least a dozen times this year,” Keplar said. As the investigation continues, community members said they’re disappointed by what they’re calling a lack of transparency and urgency from the district. Nobody was injured in the shooting, but people said the incident escalated after a fight broke out at the high school.</v>
      </c>
      <c r="W144" s="1" t="str">
        <f ca="1">IFERROR(__xludf.DUMMYFUNCTION("""COMPUTED_VALUE"""),"Escalation of Dispute")</f>
        <v>Escalation of Dispute</v>
      </c>
      <c r="X144" s="1" t="str">
        <f ca="1">IFERROR(__xludf.DUMMYFUNCTION("""COMPUTED_VALUE"""),"Victims Targeted")</f>
        <v>Victims Targeted</v>
      </c>
      <c r="Y144" s="1" t="str">
        <f ca="1">IFERROR(__xludf.DUMMYFUNCTION("""COMPUTED_VALUE"""),"No")</f>
        <v>No</v>
      </c>
      <c r="Z144" s="1"/>
      <c r="AA144" s="1" t="str">
        <f ca="1">IFERROR(__xludf.DUMMYFUNCTION("""COMPUTED_VALUE"""),"No")</f>
        <v>No</v>
      </c>
      <c r="AB144" s="1" t="str">
        <f ca="1">IFERROR(__xludf.DUMMYFUNCTION("""COMPUTED_VALUE"""),"No")</f>
        <v>No</v>
      </c>
      <c r="AC144" s="1" t="str">
        <f ca="1">IFERROR(__xludf.DUMMYFUNCTION("""COMPUTED_VALUE"""),"No")</f>
        <v>No</v>
      </c>
      <c r="AD144" s="1" t="str">
        <f ca="1">IFERROR(__xludf.DUMMYFUNCTION("""COMPUTED_VALUE"""),"No")</f>
        <v>No</v>
      </c>
      <c r="AE144" s="1" t="str">
        <f ca="1">IFERROR(__xludf.DUMMYFUNCTION("""COMPUTED_VALUE"""),"No")</f>
        <v>No</v>
      </c>
      <c r="AF144" s="1" t="str">
        <f ca="1">IFERROR(__xludf.DUMMYFUNCTION("""COMPUTED_VALUE"""),"Yes")</f>
        <v>Yes</v>
      </c>
      <c r="AG144" s="1" t="str">
        <f ca="1">IFERROR(__xludf.DUMMYFUNCTION("""COMPUTED_VALUE"""),"No")</f>
        <v>No</v>
      </c>
      <c r="AH144" s="1">
        <f ca="1">IFERROR(__xludf.DUMMYFUNCTION("""COMPUTED_VALUE"""),99)</f>
        <v>99</v>
      </c>
    </row>
    <row r="145" spans="1:34" ht="12.5">
      <c r="A145" s="1" t="str">
        <f ca="1">IFERROR(__xludf.DUMMYFUNCTION("""COMPUTED_VALUE"""),"20231019ILMAC")</f>
        <v>20231019ILMAC</v>
      </c>
      <c r="B145" s="1">
        <f ca="1">IFERROR(__xludf.DUMMYFUNCTION("""COMPUTED_VALUE"""),10)</f>
        <v>10</v>
      </c>
      <c r="C145" s="1">
        <f ca="1">IFERROR(__xludf.DUMMYFUNCTION("""COMPUTED_VALUE"""),19)</f>
        <v>19</v>
      </c>
      <c r="D145" s="1">
        <f ca="1">IFERROR(__xludf.DUMMYFUNCTION("""COMPUTED_VALUE"""),2023)</f>
        <v>2023</v>
      </c>
      <c r="E145" s="4">
        <f ca="1">IFERROR(__xludf.DUMMYFUNCTION("""COMPUTED_VALUE"""),45218)</f>
        <v>45218</v>
      </c>
      <c r="F145" s="1" t="str">
        <f ca="1">IFERROR(__xludf.DUMMYFUNCTION("""COMPUTED_VALUE"""),"Mather High School")</f>
        <v>Mather High School</v>
      </c>
      <c r="G145" s="1">
        <f ca="1">IFERROR(__xludf.DUMMYFUNCTION("""COMPUTED_VALUE"""),0)</f>
        <v>0</v>
      </c>
      <c r="H145" s="1">
        <f ca="1">IFERROR(__xludf.DUMMYFUNCTION("""COMPUTED_VALUE"""),0)</f>
        <v>0</v>
      </c>
      <c r="I145" s="1">
        <f ca="1">IFERROR(__xludf.DUMMYFUNCTION("""COMPUTED_VALUE"""),0)</f>
        <v>0</v>
      </c>
      <c r="J145" s="1">
        <f ca="1">IFERROR(__xludf.DUMMYFUNCTION("""COMPUTED_VALUE"""),0)</f>
        <v>0</v>
      </c>
      <c r="K145" s="1" t="str">
        <f ca="1">IFERROR(__xludf.DUMMYFUNCTION("""COMPUTED_VALUE"""),"Fall")</f>
        <v>Fall</v>
      </c>
      <c r="L145" s="1" t="str">
        <f ca="1">IFERROR(__xludf.DUMMYFUNCTION("""COMPUTED_VALUE"""),"Chicago")</f>
        <v>Chicago</v>
      </c>
      <c r="M145" s="1" t="str">
        <f ca="1">IFERROR(__xludf.DUMMYFUNCTION("""COMPUTED_VALUE"""),"IL")</f>
        <v>IL</v>
      </c>
      <c r="N145" s="1" t="str">
        <f ca="1">IFERROR(__xludf.DUMMYFUNCTION("""COMPUTED_VALUE"""),"High")</f>
        <v>High</v>
      </c>
      <c r="O145" s="1" t="str">
        <f ca="1">IFERROR(__xludf.DUMMYFUNCTION("""COMPUTED_VALUE"""),"Parking Lot")</f>
        <v>Parking Lot</v>
      </c>
      <c r="P145" s="1" t="str">
        <f ca="1">IFERROR(__xludf.DUMMYFUNCTION("""COMPUTED_VALUE"""),"Outside on School Property")</f>
        <v>Outside on School Property</v>
      </c>
      <c r="Q145" s="1" t="str">
        <f ca="1">IFERROR(__xludf.DUMMYFUNCTION("""COMPUTED_VALUE"""),"No")</f>
        <v>No</v>
      </c>
      <c r="R145" s="1" t="str">
        <f ca="1">IFERROR(__xludf.DUMMYFUNCTION("""COMPUTED_VALUE"""),"After School")</f>
        <v>After School</v>
      </c>
      <c r="S145" s="1"/>
      <c r="T145" s="1">
        <f ca="1">IFERROR(__xludf.DUMMYFUNCTION("""COMPUTED_VALUE"""),1)</f>
        <v>1</v>
      </c>
      <c r="U145" s="1" t="str">
        <f ca="1">IFERROR(__xludf.DUMMYFUNCTION("""COMPUTED_VALUE"""),"Shots fired in school parking lot during after school activities, several cars damaged")</f>
        <v>Shots fired in school parking lot during after school activities, several cars damaged</v>
      </c>
      <c r="V145" s="1" t="str">
        <f ca="1">IFERROR(__xludf.DUMMYFUNCTION("""COMPUTED_VALUE"""),"Shots fired in school parking lot during after school activities, several cars damaged")</f>
        <v>Shots fired in school parking lot during after school activities, several cars damaged</v>
      </c>
      <c r="W145" s="1"/>
      <c r="X145" s="1"/>
      <c r="Y145" s="1"/>
      <c r="Z145" s="1"/>
      <c r="AA145" s="1" t="str">
        <f ca="1">IFERROR(__xludf.DUMMYFUNCTION("""COMPUTED_VALUE"""),"No")</f>
        <v>No</v>
      </c>
      <c r="AB145" s="1" t="str">
        <f ca="1">IFERROR(__xludf.DUMMYFUNCTION("""COMPUTED_VALUE"""),"No")</f>
        <v>No</v>
      </c>
      <c r="AC145" s="1" t="str">
        <f ca="1">IFERROR(__xludf.DUMMYFUNCTION("""COMPUTED_VALUE"""),"No")</f>
        <v>No</v>
      </c>
      <c r="AD145" s="1" t="str">
        <f ca="1">IFERROR(__xludf.DUMMYFUNCTION("""COMPUTED_VALUE"""),"No")</f>
        <v>No</v>
      </c>
      <c r="AE145" s="1" t="str">
        <f ca="1">IFERROR(__xludf.DUMMYFUNCTION("""COMPUTED_VALUE"""),"No")</f>
        <v>No</v>
      </c>
      <c r="AF145" s="1"/>
      <c r="AG145" s="1" t="str">
        <f ca="1">IFERROR(__xludf.DUMMYFUNCTION("""COMPUTED_VALUE"""),"No")</f>
        <v>No</v>
      </c>
      <c r="AH145" s="1">
        <f ca="1">IFERROR(__xludf.DUMMYFUNCTION("""COMPUTED_VALUE"""),99)</f>
        <v>99</v>
      </c>
    </row>
    <row r="146" spans="1:34" ht="12.5">
      <c r="A146" s="1" t="str">
        <f ca="1">IFERROR(__xludf.DUMMYFUNCTION("""COMPUTED_VALUE"""),"20231019TXNAA")</f>
        <v>20231019TXNAA</v>
      </c>
      <c r="B146" s="1">
        <f ca="1">IFERROR(__xludf.DUMMYFUNCTION("""COMPUTED_VALUE"""),10)</f>
        <v>10</v>
      </c>
      <c r="C146" s="1">
        <f ca="1">IFERROR(__xludf.DUMMYFUNCTION("""COMPUTED_VALUE"""),19)</f>
        <v>19</v>
      </c>
      <c r="D146" s="1">
        <f ca="1">IFERROR(__xludf.DUMMYFUNCTION("""COMPUTED_VALUE"""),2023)</f>
        <v>2023</v>
      </c>
      <c r="E146" s="4">
        <f ca="1">IFERROR(__xludf.DUMMYFUNCTION("""COMPUTED_VALUE"""),45218)</f>
        <v>45218</v>
      </c>
      <c r="F146" s="1" t="str">
        <f ca="1">IFERROR(__xludf.DUMMYFUNCTION("""COMPUTED_VALUE"""),"Navarro High School")</f>
        <v>Navarro High School</v>
      </c>
      <c r="G146" s="1">
        <f ca="1">IFERROR(__xludf.DUMMYFUNCTION("""COMPUTED_VALUE"""),0)</f>
        <v>0</v>
      </c>
      <c r="H146" s="1">
        <f ca="1">IFERROR(__xludf.DUMMYFUNCTION("""COMPUTED_VALUE"""),1)</f>
        <v>1</v>
      </c>
      <c r="I146" s="1">
        <f ca="1">IFERROR(__xludf.DUMMYFUNCTION("""COMPUTED_VALUE"""),1)</f>
        <v>1</v>
      </c>
      <c r="J146" s="1">
        <f ca="1">IFERROR(__xludf.DUMMYFUNCTION("""COMPUTED_VALUE"""),0)</f>
        <v>0</v>
      </c>
      <c r="K146" s="1" t="str">
        <f ca="1">IFERROR(__xludf.DUMMYFUNCTION("""COMPUTED_VALUE"""),"Fall")</f>
        <v>Fall</v>
      </c>
      <c r="L146" s="1" t="str">
        <f ca="1">IFERROR(__xludf.DUMMYFUNCTION("""COMPUTED_VALUE"""),"Austin")</f>
        <v>Austin</v>
      </c>
      <c r="M146" s="1" t="str">
        <f ca="1">IFERROR(__xludf.DUMMYFUNCTION("""COMPUTED_VALUE"""),"TX")</f>
        <v>TX</v>
      </c>
      <c r="N146" s="1" t="str">
        <f ca="1">IFERROR(__xludf.DUMMYFUNCTION("""COMPUTED_VALUE"""),"High")</f>
        <v>High</v>
      </c>
      <c r="O146" s="1" t="str">
        <f ca="1">IFERROR(__xludf.DUMMYFUNCTION("""COMPUTED_VALUE"""),"Parking Lot")</f>
        <v>Parking Lot</v>
      </c>
      <c r="P146" s="1" t="str">
        <f ca="1">IFERROR(__xludf.DUMMYFUNCTION("""COMPUTED_VALUE"""),"Outside on School Property")</f>
        <v>Outside on School Property</v>
      </c>
      <c r="Q146" s="1" t="str">
        <f ca="1">IFERROR(__xludf.DUMMYFUNCTION("""COMPUTED_VALUE"""),"Yes")</f>
        <v>Yes</v>
      </c>
      <c r="R146" s="1" t="str">
        <f ca="1">IFERROR(__xludf.DUMMYFUNCTION("""COMPUTED_VALUE"""),"Afternoon Classes")</f>
        <v>Afternoon Classes</v>
      </c>
      <c r="S146" s="5">
        <f ca="1">IFERROR(__xludf.DUMMYFUNCTION("""COMPUTED_VALUE"""),0.541666666666666)</f>
        <v>0.54166666666666596</v>
      </c>
      <c r="T146" s="1">
        <f ca="1">IFERROR(__xludf.DUMMYFUNCTION("""COMPUTED_VALUE"""),1)</f>
        <v>1</v>
      </c>
      <c r="U146" s="1" t="str">
        <f ca="1">IFERROR(__xludf.DUMMYFUNCTION("""COMPUTED_VALUE"""),"Student shot in the student parking lot")</f>
        <v>Student shot in the student parking lot</v>
      </c>
      <c r="V146" s="1" t="str">
        <f ca="1">IFERROR(__xludf.DUMMYFUNCTION("""COMPUTED_VALUE"""),"Police responded for reported shooting and found a stuent with a gunshot wound in the student parking lot. School went on lockdown.")</f>
        <v>Police responded for reported shooting and found a stuent with a gunshot wound in the student parking lot. School went on lockdown.</v>
      </c>
      <c r="W146" s="1"/>
      <c r="X146" s="1" t="str">
        <f ca="1">IFERROR(__xludf.DUMMYFUNCTION("""COMPUTED_VALUE"""),"Victims Targeted")</f>
        <v>Victims Targeted</v>
      </c>
      <c r="Y146" s="1" t="str">
        <f ca="1">IFERROR(__xludf.DUMMYFUNCTION("""COMPUTED_VALUE"""),"No")</f>
        <v>No</v>
      </c>
      <c r="Z146" s="1"/>
      <c r="AA146" s="1" t="str">
        <f ca="1">IFERROR(__xludf.DUMMYFUNCTION("""COMPUTED_VALUE"""),"No")</f>
        <v>No</v>
      </c>
      <c r="AB146" s="1" t="str">
        <f ca="1">IFERROR(__xludf.DUMMYFUNCTION("""COMPUTED_VALUE"""),"No")</f>
        <v>No</v>
      </c>
      <c r="AC146" s="1" t="str">
        <f ca="1">IFERROR(__xludf.DUMMYFUNCTION("""COMPUTED_VALUE"""),"No")</f>
        <v>No</v>
      </c>
      <c r="AD146" s="1" t="str">
        <f ca="1">IFERROR(__xludf.DUMMYFUNCTION("""COMPUTED_VALUE"""),"No")</f>
        <v>No</v>
      </c>
      <c r="AE146" s="1" t="str">
        <f ca="1">IFERROR(__xludf.DUMMYFUNCTION("""COMPUTED_VALUE"""),"No")</f>
        <v>No</v>
      </c>
      <c r="AF146" s="1"/>
      <c r="AG146" s="1" t="str">
        <f ca="1">IFERROR(__xludf.DUMMYFUNCTION("""COMPUTED_VALUE"""),"No")</f>
        <v>No</v>
      </c>
      <c r="AH146" s="1">
        <f ca="1">IFERROR(__xludf.DUMMYFUNCTION("""COMPUTED_VALUE"""),99)</f>
        <v>99</v>
      </c>
    </row>
    <row r="147" spans="1:34" ht="12.5">
      <c r="A147" s="1" t="str">
        <f ca="1">IFERROR(__xludf.DUMMYFUNCTION("""COMPUTED_VALUE"""),"20231019CAGRF")</f>
        <v>20231019CAGRF</v>
      </c>
      <c r="B147" s="1">
        <f ca="1">IFERROR(__xludf.DUMMYFUNCTION("""COMPUTED_VALUE"""),10)</f>
        <v>10</v>
      </c>
      <c r="C147" s="1">
        <f ca="1">IFERROR(__xludf.DUMMYFUNCTION("""COMPUTED_VALUE"""),19)</f>
        <v>19</v>
      </c>
      <c r="D147" s="1">
        <f ca="1">IFERROR(__xludf.DUMMYFUNCTION("""COMPUTED_VALUE"""),2023)</f>
        <v>2023</v>
      </c>
      <c r="E147" s="4">
        <f ca="1">IFERROR(__xludf.DUMMYFUNCTION("""COMPUTED_VALUE"""),45218)</f>
        <v>45218</v>
      </c>
      <c r="F147" s="1" t="str">
        <f ca="1">IFERROR(__xludf.DUMMYFUNCTION("""COMPUTED_VALUE"""),"Greenberg Elementary School")</f>
        <v>Greenberg Elementary School</v>
      </c>
      <c r="G147" s="1">
        <f ca="1">IFERROR(__xludf.DUMMYFUNCTION("""COMPUTED_VALUE"""),0)</f>
        <v>0</v>
      </c>
      <c r="H147" s="1">
        <f ca="1">IFERROR(__xludf.DUMMYFUNCTION("""COMPUTED_VALUE"""),1)</f>
        <v>1</v>
      </c>
      <c r="I147" s="1">
        <f ca="1">IFERROR(__xludf.DUMMYFUNCTION("""COMPUTED_VALUE"""),1)</f>
        <v>1</v>
      </c>
      <c r="J147" s="1">
        <f ca="1">IFERROR(__xludf.DUMMYFUNCTION("""COMPUTED_VALUE"""),0)</f>
        <v>0</v>
      </c>
      <c r="K147" s="1" t="str">
        <f ca="1">IFERROR(__xludf.DUMMYFUNCTION("""COMPUTED_VALUE"""),"Fall")</f>
        <v>Fall</v>
      </c>
      <c r="L147" s="1" t="str">
        <f ca="1">IFERROR(__xludf.DUMMYFUNCTION("""COMPUTED_VALUE"""),"Fresno")</f>
        <v>Fresno</v>
      </c>
      <c r="M147" s="1" t="str">
        <f ca="1">IFERROR(__xludf.DUMMYFUNCTION("""COMPUTED_VALUE"""),"CA")</f>
        <v>CA</v>
      </c>
      <c r="N147" s="1" t="str">
        <f ca="1">IFERROR(__xludf.DUMMYFUNCTION("""COMPUTED_VALUE"""),"Elementary")</f>
        <v>Elementary</v>
      </c>
      <c r="O147" s="1" t="str">
        <f ca="1">IFERROR(__xludf.DUMMYFUNCTION("""COMPUTED_VALUE"""),"Outside on School Property")</f>
        <v>Outside on School Property</v>
      </c>
      <c r="P147" s="1" t="str">
        <f ca="1">IFERROR(__xludf.DUMMYFUNCTION("""COMPUTED_VALUE"""),"Outside on School Property")</f>
        <v>Outside on School Property</v>
      </c>
      <c r="Q147" s="1" t="str">
        <f ca="1">IFERROR(__xludf.DUMMYFUNCTION("""COMPUTED_VALUE"""),"Yes")</f>
        <v>Yes</v>
      </c>
      <c r="R147" s="1" t="str">
        <f ca="1">IFERROR(__xludf.DUMMYFUNCTION("""COMPUTED_VALUE"""),"School Start")</f>
        <v>School Start</v>
      </c>
      <c r="S147" s="5">
        <f ca="1">IFERROR(__xludf.DUMMYFUNCTION("""COMPUTED_VALUE"""),0.322916666666666)</f>
        <v>0.32291666666666602</v>
      </c>
      <c r="T147" s="1">
        <f ca="1">IFERROR(__xludf.DUMMYFUNCTION("""COMPUTED_VALUE"""),1)</f>
        <v>1</v>
      </c>
      <c r="U147" s="1" t="str">
        <f ca="1">IFERROR(__xludf.DUMMYFUNCTION("""COMPUTED_VALUE"""),"Principal detained student with gun who was running across campus")</f>
        <v>Principal detained student with gun who was running across campus</v>
      </c>
      <c r="V147" s="1" t="str">
        <f ca="1">IFERROR(__xludf.DUMMYFUNCTION("""COMPUTED_VALUE"""),"The Fresno Police Department says it all started around 7:45 a.m. Thursday, when they received a ShotSpotter activation reporting 11 shots were fired in the 5100 block of East Lane Avenue. It happened to fall right next door to Greenberg Elementary, which"&amp;" was placed on lockdown. They say immediately after the shooting, the suspect, whose mother said is a sixth grader at Greenberg, fled heading right towards the school. That’s when police say a teacher spotted him jumping over a fence, bringing a gun onto "&amp;"school grounds. “Immediately told the principal what she had seen. And then the principal immediately detained the juvenile before he made it any further onto the school campus,” said Sgt. Diana Trueba Vega with the Fresno Police Department. When officers"&amp;" arrived, they took the alleged shooter into custody and found a 15-year-old boy shot multiple times in his left leg and on the left side of his body at the apartment complex.")</f>
        <v>The Fresno Police Department says it all started around 7:45 a.m. Thursday, when they received a ShotSpotter activation reporting 11 shots were fired in the 5100 block of East Lane Avenue. It happened to fall right next door to Greenberg Elementary, which was placed on lockdown. They say immediately after the shooting, the suspect, whose mother said is a sixth grader at Greenberg, fled heading right towards the school. That’s when police say a teacher spotted him jumping over a fence, bringing a gun onto school grounds. “Immediately told the principal what she had seen. And then the principal immediately detained the juvenile before he made it any further onto the school campus,” said Sgt. Diana Trueba Vega with the Fresno Police Department. When officers arrived, they took the alleged shooter into custody and found a 15-year-old boy shot multiple times in his left leg and on the left side of his body at the apartment complex.</v>
      </c>
      <c r="W147" s="1"/>
      <c r="X147" s="1" t="str">
        <f ca="1">IFERROR(__xludf.DUMMYFUNCTION("""COMPUTED_VALUE"""),"Victims Targeted")</f>
        <v>Victims Targeted</v>
      </c>
      <c r="Y147" s="1" t="str">
        <f ca="1">IFERROR(__xludf.DUMMYFUNCTION("""COMPUTED_VALUE"""),"No")</f>
        <v>No</v>
      </c>
      <c r="Z147" s="1"/>
      <c r="AA147" s="1" t="str">
        <f ca="1">IFERROR(__xludf.DUMMYFUNCTION("""COMPUTED_VALUE"""),"No")</f>
        <v>No</v>
      </c>
      <c r="AB147" s="1" t="str">
        <f ca="1">IFERROR(__xludf.DUMMYFUNCTION("""COMPUTED_VALUE"""),"No")</f>
        <v>No</v>
      </c>
      <c r="AC147" s="1" t="str">
        <f ca="1">IFERROR(__xludf.DUMMYFUNCTION("""COMPUTED_VALUE"""),"No")</f>
        <v>No</v>
      </c>
      <c r="AD147" s="1" t="str">
        <f ca="1">IFERROR(__xludf.DUMMYFUNCTION("""COMPUTED_VALUE"""),"No")</f>
        <v>No</v>
      </c>
      <c r="AE147" s="1" t="str">
        <f ca="1">IFERROR(__xludf.DUMMYFUNCTION("""COMPUTED_VALUE"""),"No")</f>
        <v>No</v>
      </c>
      <c r="AF147" s="1"/>
      <c r="AG147" s="1" t="str">
        <f ca="1">IFERROR(__xludf.DUMMYFUNCTION("""COMPUTED_VALUE"""),"No")</f>
        <v>No</v>
      </c>
      <c r="AH147" s="1">
        <f ca="1">IFERROR(__xludf.DUMMYFUNCTION("""COMPUTED_VALUE"""),11)</f>
        <v>11</v>
      </c>
    </row>
    <row r="148" spans="1:34" ht="12.5">
      <c r="A148" s="1" t="str">
        <f ca="1">IFERROR(__xludf.DUMMYFUNCTION("""COMPUTED_VALUE"""),"20231018WILUW")</f>
        <v>20231018WILUW</v>
      </c>
      <c r="B148" s="1">
        <f ca="1">IFERROR(__xludf.DUMMYFUNCTION("""COMPUTED_VALUE"""),10)</f>
        <v>10</v>
      </c>
      <c r="C148" s="1">
        <f ca="1">IFERROR(__xludf.DUMMYFUNCTION("""COMPUTED_VALUE"""),18)</f>
        <v>18</v>
      </c>
      <c r="D148" s="1">
        <f ca="1">IFERROR(__xludf.DUMMYFUNCTION("""COMPUTED_VALUE"""),2023)</f>
        <v>2023</v>
      </c>
      <c r="E148" s="4">
        <f ca="1">IFERROR(__xludf.DUMMYFUNCTION("""COMPUTED_VALUE"""),45217)</f>
        <v>45217</v>
      </c>
      <c r="F148" s="1" t="str">
        <f ca="1">IFERROR(__xludf.DUMMYFUNCTION("""COMPUTED_VALUE"""),"Luther Preparatory School")</f>
        <v>Luther Preparatory School</v>
      </c>
      <c r="G148" s="1">
        <f ca="1">IFERROR(__xludf.DUMMYFUNCTION("""COMPUTED_VALUE"""),0)</f>
        <v>0</v>
      </c>
      <c r="H148" s="1">
        <f ca="1">IFERROR(__xludf.DUMMYFUNCTION("""COMPUTED_VALUE"""),0)</f>
        <v>0</v>
      </c>
      <c r="I148" s="1">
        <f ca="1">IFERROR(__xludf.DUMMYFUNCTION("""COMPUTED_VALUE"""),0)</f>
        <v>0</v>
      </c>
      <c r="J148" s="1">
        <f ca="1">IFERROR(__xludf.DUMMYFUNCTION("""COMPUTED_VALUE"""),1)</f>
        <v>1</v>
      </c>
      <c r="K148" s="1" t="str">
        <f ca="1">IFERROR(__xludf.DUMMYFUNCTION("""COMPUTED_VALUE"""),"Fall")</f>
        <v>Fall</v>
      </c>
      <c r="L148" s="1" t="str">
        <f ca="1">IFERROR(__xludf.DUMMYFUNCTION("""COMPUTED_VALUE"""),"Watertown")</f>
        <v>Watertown</v>
      </c>
      <c r="M148" s="1" t="str">
        <f ca="1">IFERROR(__xludf.DUMMYFUNCTION("""COMPUTED_VALUE"""),"WI")</f>
        <v>WI</v>
      </c>
      <c r="N148" s="1" t="str">
        <f ca="1">IFERROR(__xludf.DUMMYFUNCTION("""COMPUTED_VALUE"""),"K-12")</f>
        <v>K-12</v>
      </c>
      <c r="O148" s="1" t="str">
        <f ca="1">IFERROR(__xludf.DUMMYFUNCTION("""COMPUTED_VALUE"""),"Beside Building")</f>
        <v>Beside Building</v>
      </c>
      <c r="P148" s="1" t="str">
        <f ca="1">IFERROR(__xludf.DUMMYFUNCTION("""COMPUTED_VALUE"""),"Outside on School Property")</f>
        <v>Outside on School Property</v>
      </c>
      <c r="Q148" s="1" t="str">
        <f ca="1">IFERROR(__xludf.DUMMYFUNCTION("""COMPUTED_VALUE"""),"Yes")</f>
        <v>Yes</v>
      </c>
      <c r="R148" s="1" t="str">
        <f ca="1">IFERROR(__xludf.DUMMYFUNCTION("""COMPUTED_VALUE"""),"Morning Classes")</f>
        <v>Morning Classes</v>
      </c>
      <c r="S148" s="5">
        <f ca="1">IFERROR(__xludf.DUMMYFUNCTION("""COMPUTED_VALUE"""),0.96875)</f>
        <v>0.96875</v>
      </c>
      <c r="T148" s="1">
        <f ca="1">IFERROR(__xludf.DUMMYFUNCTION("""COMPUTED_VALUE"""),1)</f>
        <v>1</v>
      </c>
      <c r="U148" s="1" t="str">
        <f ca="1">IFERROR(__xludf.DUMMYFUNCTION("""COMPUTED_VALUE"""),"Man fleeing from police was shot on campus when he pulled handgun")</f>
        <v>Man fleeing from police was shot on campus when he pulled handgun</v>
      </c>
      <c r="V148" s="1" t="str">
        <f ca="1">IFERROR(__xludf.DUMMYFUNCTION("""COMPUTED_VALUE"""),"Police were investigating property damage to an apartment building when the suspect fled. Police chased the suspect onto the school campus where he pulled a handgun near a campus building. Police fatally shot the man. School went on lockdown and cancelled"&amp;" classes the following day.")</f>
        <v>Police were investigating property damage to an apartment building when the suspect fled. Police chased the suspect onto the school campus where he pulled a handgun near a campus building. Police fatally shot the man. School went on lockdown and cancelled classes the following day.</v>
      </c>
      <c r="W148" s="1" t="str">
        <f ca="1">IFERROR(__xludf.DUMMYFUNCTION("""COMPUTED_VALUE"""),"Illegal Activity")</f>
        <v>Illegal Activity</v>
      </c>
      <c r="X148" s="1" t="str">
        <f ca="1">IFERROR(__xludf.DUMMYFUNCTION("""COMPUTED_VALUE"""),"Victims Targeted")</f>
        <v>Victims Targeted</v>
      </c>
      <c r="Y148" s="1" t="str">
        <f ca="1">IFERROR(__xludf.DUMMYFUNCTION("""COMPUTED_VALUE"""),"No")</f>
        <v>No</v>
      </c>
      <c r="Z148" s="1"/>
      <c r="AA148" s="1" t="str">
        <f ca="1">IFERROR(__xludf.DUMMYFUNCTION("""COMPUTED_VALUE"""),"No")</f>
        <v>No</v>
      </c>
      <c r="AB148" s="1" t="str">
        <f ca="1">IFERROR(__xludf.DUMMYFUNCTION("""COMPUTED_VALUE"""),"No")</f>
        <v>No</v>
      </c>
      <c r="AC148" s="1" t="str">
        <f ca="1">IFERROR(__xludf.DUMMYFUNCTION("""COMPUTED_VALUE"""),"No")</f>
        <v>No</v>
      </c>
      <c r="AD148" s="1" t="str">
        <f ca="1">IFERROR(__xludf.DUMMYFUNCTION("""COMPUTED_VALUE"""),"No")</f>
        <v>No</v>
      </c>
      <c r="AE148" s="1" t="str">
        <f ca="1">IFERROR(__xludf.DUMMYFUNCTION("""COMPUTED_VALUE"""),"No")</f>
        <v>No</v>
      </c>
      <c r="AF148" s="1" t="str">
        <f ca="1">IFERROR(__xludf.DUMMYFUNCTION("""COMPUTED_VALUE"""),"No")</f>
        <v>No</v>
      </c>
      <c r="AG148" s="1" t="str">
        <f ca="1">IFERROR(__xludf.DUMMYFUNCTION("""COMPUTED_VALUE"""),"No")</f>
        <v>No</v>
      </c>
      <c r="AH148" s="1">
        <f ca="1">IFERROR(__xludf.DUMMYFUNCTION("""COMPUTED_VALUE"""),99)</f>
        <v>99</v>
      </c>
    </row>
    <row r="149" spans="1:34" ht="12.5">
      <c r="A149" s="1" t="str">
        <f ca="1">IFERROR(__xludf.DUMMYFUNCTION("""COMPUTED_VALUE"""),"20231015OHEAT")</f>
        <v>20231015OHEAT</v>
      </c>
      <c r="B149" s="1">
        <f ca="1">IFERROR(__xludf.DUMMYFUNCTION("""COMPUTED_VALUE"""),10)</f>
        <v>10</v>
      </c>
      <c r="C149" s="1">
        <f ca="1">IFERROR(__xludf.DUMMYFUNCTION("""COMPUTED_VALUE"""),15)</f>
        <v>15</v>
      </c>
      <c r="D149" s="1">
        <f ca="1">IFERROR(__xludf.DUMMYFUNCTION("""COMPUTED_VALUE"""),2023)</f>
        <v>2023</v>
      </c>
      <c r="E149" s="4">
        <f ca="1">IFERROR(__xludf.DUMMYFUNCTION("""COMPUTED_VALUE"""),45214)</f>
        <v>45214</v>
      </c>
      <c r="F149" s="1" t="str">
        <f ca="1">IFERROR(__xludf.DUMMYFUNCTION("""COMPUTED_VALUE"""),"East Broadway Elementary")</f>
        <v>East Broadway Elementary</v>
      </c>
      <c r="G149" s="1">
        <f ca="1">IFERROR(__xludf.DUMMYFUNCTION("""COMPUTED_VALUE"""),0)</f>
        <v>0</v>
      </c>
      <c r="H149" s="1">
        <f ca="1">IFERROR(__xludf.DUMMYFUNCTION("""COMPUTED_VALUE"""),1)</f>
        <v>1</v>
      </c>
      <c r="I149" s="1">
        <f ca="1">IFERROR(__xludf.DUMMYFUNCTION("""COMPUTED_VALUE"""),1)</f>
        <v>1</v>
      </c>
      <c r="J149" s="1">
        <f ca="1">IFERROR(__xludf.DUMMYFUNCTION("""COMPUTED_VALUE"""),0)</f>
        <v>0</v>
      </c>
      <c r="K149" s="1" t="str">
        <f ca="1">IFERROR(__xludf.DUMMYFUNCTION("""COMPUTED_VALUE"""),"Fall")</f>
        <v>Fall</v>
      </c>
      <c r="L149" s="1" t="str">
        <f ca="1">IFERROR(__xludf.DUMMYFUNCTION("""COMPUTED_VALUE"""),"Toledo")</f>
        <v>Toledo</v>
      </c>
      <c r="M149" s="1" t="str">
        <f ca="1">IFERROR(__xludf.DUMMYFUNCTION("""COMPUTED_VALUE"""),"OH")</f>
        <v>OH</v>
      </c>
      <c r="N149" s="1" t="str">
        <f ca="1">IFERROR(__xludf.DUMMYFUNCTION("""COMPUTED_VALUE"""),"High")</f>
        <v>High</v>
      </c>
      <c r="O149" s="1" t="str">
        <f ca="1">IFERROR(__xludf.DUMMYFUNCTION("""COMPUTED_VALUE"""),"Football Field/Track")</f>
        <v>Football Field/Track</v>
      </c>
      <c r="P149" s="1" t="str">
        <f ca="1">IFERROR(__xludf.DUMMYFUNCTION("""COMPUTED_VALUE"""),"Outside on School Property")</f>
        <v>Outside on School Property</v>
      </c>
      <c r="Q149" s="1" t="str">
        <f ca="1">IFERROR(__xludf.DUMMYFUNCTION("""COMPUTED_VALUE"""),"No")</f>
        <v>No</v>
      </c>
      <c r="R149" s="1" t="str">
        <f ca="1">IFERROR(__xludf.DUMMYFUNCTION("""COMPUTED_VALUE"""),"Sport Event")</f>
        <v>Sport Event</v>
      </c>
      <c r="S149" s="5">
        <f ca="1">IFERROR(__xludf.DUMMYFUNCTION("""COMPUTED_VALUE"""),0.416666666666666)</f>
        <v>0.41666666666666602</v>
      </c>
      <c r="T149" s="1">
        <f ca="1">IFERROR(__xludf.DUMMYFUNCTION("""COMPUTED_VALUE"""),1)</f>
        <v>1</v>
      </c>
      <c r="U149" s="1" t="str">
        <f ca="1">IFERROR(__xludf.DUMMYFUNCTION("""COMPUTED_VALUE"""),"Man shot another man in the neck during dispute a youth football game")</f>
        <v>Man shot another man in the neck during dispute a youth football game</v>
      </c>
      <c r="V149" s="1" t="str">
        <f ca="1">IFERROR(__xludf.DUMMYFUNCTION("""COMPUTED_VALUE"""),"Toledo police officers responded to the football field of East Broadway Elementary Sunday morning on reports of shots fired. Witnesses told police the suspect had pointed a gun in the victim’s face, and when the victim swiped at it, the 26-year-old victim"&amp;" was shot in the neck. TPD says he suffered non-life-threatening injuries. Officers stopped a truck matching the description and found Dominique McClain, 23, hiding in the backseat.")</f>
        <v>Toledo police officers responded to the football field of East Broadway Elementary Sunday morning on reports of shots fired. Witnesses told police the suspect had pointed a gun in the victim’s face, and when the victim swiped at it, the 26-year-old victim was shot in the neck. TPD says he suffered non-life-threatening injuries. Officers stopped a truck matching the description and found Dominique McClain, 23, hiding in the backseat.</v>
      </c>
      <c r="W149" s="1" t="str">
        <f ca="1">IFERROR(__xludf.DUMMYFUNCTION("""COMPUTED_VALUE"""),"Escalation of Dispute")</f>
        <v>Escalation of Dispute</v>
      </c>
      <c r="X149" s="1" t="str">
        <f ca="1">IFERROR(__xludf.DUMMYFUNCTION("""COMPUTED_VALUE"""),"Victims Targeted")</f>
        <v>Victims Targeted</v>
      </c>
      <c r="Y149" s="1" t="str">
        <f ca="1">IFERROR(__xludf.DUMMYFUNCTION("""COMPUTED_VALUE"""),"No")</f>
        <v>No</v>
      </c>
      <c r="Z149" s="1"/>
      <c r="AA149" s="1" t="str">
        <f ca="1">IFERROR(__xludf.DUMMYFUNCTION("""COMPUTED_VALUE"""),"No")</f>
        <v>No</v>
      </c>
      <c r="AB149" s="1" t="str">
        <f ca="1">IFERROR(__xludf.DUMMYFUNCTION("""COMPUTED_VALUE"""),"No")</f>
        <v>No</v>
      </c>
      <c r="AC149" s="1" t="str">
        <f ca="1">IFERROR(__xludf.DUMMYFUNCTION("""COMPUTED_VALUE"""),"No")</f>
        <v>No</v>
      </c>
      <c r="AD149" s="1" t="str">
        <f ca="1">IFERROR(__xludf.DUMMYFUNCTION("""COMPUTED_VALUE"""),"No")</f>
        <v>No</v>
      </c>
      <c r="AE149" s="1" t="str">
        <f ca="1">IFERROR(__xludf.DUMMYFUNCTION("""COMPUTED_VALUE"""),"No")</f>
        <v>No</v>
      </c>
      <c r="AF149" s="1" t="str">
        <f ca="1">IFERROR(__xludf.DUMMYFUNCTION("""COMPUTED_VALUE"""),"No")</f>
        <v>No</v>
      </c>
      <c r="AG149" s="1" t="str">
        <f ca="1">IFERROR(__xludf.DUMMYFUNCTION("""COMPUTED_VALUE"""),"No")</f>
        <v>No</v>
      </c>
      <c r="AH149" s="1">
        <f ca="1">IFERROR(__xludf.DUMMYFUNCTION("""COMPUTED_VALUE"""),1)</f>
        <v>1</v>
      </c>
    </row>
    <row r="150" spans="1:34" ht="12.5">
      <c r="A150" s="1" t="str">
        <f ca="1">IFERROR(__xludf.DUMMYFUNCTION("""COMPUTED_VALUE"""),"20231015TXFRD")</f>
        <v>20231015TXFRD</v>
      </c>
      <c r="B150" s="1">
        <f ca="1">IFERROR(__xludf.DUMMYFUNCTION("""COMPUTED_VALUE"""),10)</f>
        <v>10</v>
      </c>
      <c r="C150" s="1">
        <f ca="1">IFERROR(__xludf.DUMMYFUNCTION("""COMPUTED_VALUE"""),15)</f>
        <v>15</v>
      </c>
      <c r="D150" s="1">
        <f ca="1">IFERROR(__xludf.DUMMYFUNCTION("""COMPUTED_VALUE"""),2023)</f>
        <v>2023</v>
      </c>
      <c r="E150" s="4">
        <f ca="1">IFERROR(__xludf.DUMMYFUNCTION("""COMPUTED_VALUE"""),45214)</f>
        <v>45214</v>
      </c>
      <c r="F150" s="1" t="str">
        <f ca="1">IFERROR(__xludf.DUMMYFUNCTION("""COMPUTED_VALUE"""),"Fred Moore High School")</f>
        <v>Fred Moore High School</v>
      </c>
      <c r="G150" s="1">
        <f ca="1">IFERROR(__xludf.DUMMYFUNCTION("""COMPUTED_VALUE"""),1)</f>
        <v>1</v>
      </c>
      <c r="H150" s="1">
        <f ca="1">IFERROR(__xludf.DUMMYFUNCTION("""COMPUTED_VALUE"""),1)</f>
        <v>1</v>
      </c>
      <c r="I150" s="1">
        <f ca="1">IFERROR(__xludf.DUMMYFUNCTION("""COMPUTED_VALUE"""),2)</f>
        <v>2</v>
      </c>
      <c r="J150" s="1">
        <f ca="1">IFERROR(__xludf.DUMMYFUNCTION("""COMPUTED_VALUE"""),0)</f>
        <v>0</v>
      </c>
      <c r="K150" s="1" t="str">
        <f ca="1">IFERROR(__xludf.DUMMYFUNCTION("""COMPUTED_VALUE"""),"Fall")</f>
        <v>Fall</v>
      </c>
      <c r="L150" s="1" t="str">
        <f ca="1">IFERROR(__xludf.DUMMYFUNCTION("""COMPUTED_VALUE"""),"Denton")</f>
        <v>Denton</v>
      </c>
      <c r="M150" s="1" t="str">
        <f ca="1">IFERROR(__xludf.DUMMYFUNCTION("""COMPUTED_VALUE"""),"TX")</f>
        <v>TX</v>
      </c>
      <c r="N150" s="1" t="str">
        <f ca="1">IFERROR(__xludf.DUMMYFUNCTION("""COMPUTED_VALUE"""),"High")</f>
        <v>High</v>
      </c>
      <c r="O150" s="1" t="str">
        <f ca="1">IFERROR(__xludf.DUMMYFUNCTION("""COMPUTED_VALUE"""),"Parking Lot")</f>
        <v>Parking Lot</v>
      </c>
      <c r="P150" s="1" t="str">
        <f ca="1">IFERROR(__xludf.DUMMYFUNCTION("""COMPUTED_VALUE"""),"Outside on School Property")</f>
        <v>Outside on School Property</v>
      </c>
      <c r="Q150" s="1" t="str">
        <f ca="1">IFERROR(__xludf.DUMMYFUNCTION("""COMPUTED_VALUE"""),"No")</f>
        <v>No</v>
      </c>
      <c r="R150" s="1" t="str">
        <f ca="1">IFERROR(__xludf.DUMMYFUNCTION("""COMPUTED_VALUE"""),"Night")</f>
        <v>Night</v>
      </c>
      <c r="S150" s="5">
        <f ca="1">IFERROR(__xludf.DUMMYFUNCTION("""COMPUTED_VALUE"""),0.104166666666666)</f>
        <v>0.10416666666666601</v>
      </c>
      <c r="T150" s="1">
        <f ca="1">IFERROR(__xludf.DUMMYFUNCTION("""COMPUTED_VALUE"""),1)</f>
        <v>1</v>
      </c>
      <c r="U150" s="1" t="str">
        <f ca="1">IFERROR(__xludf.DUMMYFUNCTION("""COMPUTED_VALUE"""),"Two men shot in school parking lot")</f>
        <v>Two men shot in school parking lot</v>
      </c>
      <c r="V150" s="1" t="str">
        <f ca="1">IFERROR(__xludf.DUMMYFUNCTION("""COMPUTED_VALUE"""),"Police said they got multiple calls around 2:30 a.m. about shots fired in the school’s parking lot. When officers got there, they found two adult gunshot victims who were taken to local hospitals.")</f>
        <v>Police said they got multiple calls around 2:30 a.m. about shots fired in the school’s parking lot. When officers got there, they found two adult gunshot victims who were taken to local hospitals.</v>
      </c>
      <c r="W150" s="1"/>
      <c r="X150" s="1"/>
      <c r="Y150" s="1"/>
      <c r="Z150" s="1"/>
      <c r="AA150" s="1" t="str">
        <f ca="1">IFERROR(__xludf.DUMMYFUNCTION("""COMPUTED_VALUE"""),"No")</f>
        <v>No</v>
      </c>
      <c r="AB150" s="1" t="str">
        <f ca="1">IFERROR(__xludf.DUMMYFUNCTION("""COMPUTED_VALUE"""),"No")</f>
        <v>No</v>
      </c>
      <c r="AC150" s="1" t="str">
        <f ca="1">IFERROR(__xludf.DUMMYFUNCTION("""COMPUTED_VALUE"""),"No")</f>
        <v>No</v>
      </c>
      <c r="AD150" s="1" t="str">
        <f ca="1">IFERROR(__xludf.DUMMYFUNCTION("""COMPUTED_VALUE"""),"No")</f>
        <v>No</v>
      </c>
      <c r="AE150" s="1"/>
      <c r="AF150" s="1"/>
      <c r="AG150" s="1" t="str">
        <f ca="1">IFERROR(__xludf.DUMMYFUNCTION("""COMPUTED_VALUE"""),"No")</f>
        <v>No</v>
      </c>
      <c r="AH150" s="1">
        <f ca="1">IFERROR(__xludf.DUMMYFUNCTION("""COMPUTED_VALUE"""),99)</f>
        <v>99</v>
      </c>
    </row>
    <row r="151" spans="1:34" ht="12.5">
      <c r="A151" s="1" t="str">
        <f ca="1">IFERROR(__xludf.DUMMYFUNCTION("""COMPUTED_VALUE"""),"20231015MOKIK")</f>
        <v>20231015MOKIK</v>
      </c>
      <c r="B151" s="1">
        <f ca="1">IFERROR(__xludf.DUMMYFUNCTION("""COMPUTED_VALUE"""),10)</f>
        <v>10</v>
      </c>
      <c r="C151" s="1">
        <f ca="1">IFERROR(__xludf.DUMMYFUNCTION("""COMPUTED_VALUE"""),15)</f>
        <v>15</v>
      </c>
      <c r="D151" s="1">
        <f ca="1">IFERROR(__xludf.DUMMYFUNCTION("""COMPUTED_VALUE"""),2023)</f>
        <v>2023</v>
      </c>
      <c r="E151" s="4">
        <f ca="1">IFERROR(__xludf.DUMMYFUNCTION("""COMPUTED_VALUE"""),45214)</f>
        <v>45214</v>
      </c>
      <c r="F151" s="1" t="str">
        <f ca="1">IFERROR(__xludf.DUMMYFUNCTION("""COMPUTED_VALUE"""),"North Kirkwood Middle School")</f>
        <v>North Kirkwood Middle School</v>
      </c>
      <c r="G151" s="1">
        <f ca="1">IFERROR(__xludf.DUMMYFUNCTION("""COMPUTED_VALUE"""),0)</f>
        <v>0</v>
      </c>
      <c r="H151" s="1">
        <f ca="1">IFERROR(__xludf.DUMMYFUNCTION("""COMPUTED_VALUE"""),0)</f>
        <v>0</v>
      </c>
      <c r="I151" s="1">
        <f ca="1">IFERROR(__xludf.DUMMYFUNCTION("""COMPUTED_VALUE"""),0)</f>
        <v>0</v>
      </c>
      <c r="J151" s="1">
        <f ca="1">IFERROR(__xludf.DUMMYFUNCTION("""COMPUTED_VALUE"""),0)</f>
        <v>0</v>
      </c>
      <c r="K151" s="1" t="str">
        <f ca="1">IFERROR(__xludf.DUMMYFUNCTION("""COMPUTED_VALUE"""),"Fall")</f>
        <v>Fall</v>
      </c>
      <c r="L151" s="1" t="str">
        <f ca="1">IFERROR(__xludf.DUMMYFUNCTION("""COMPUTED_VALUE"""),"Kirkwood")</f>
        <v>Kirkwood</v>
      </c>
      <c r="M151" s="1" t="str">
        <f ca="1">IFERROR(__xludf.DUMMYFUNCTION("""COMPUTED_VALUE"""),"MO")</f>
        <v>MO</v>
      </c>
      <c r="N151" s="1" t="str">
        <f ca="1">IFERROR(__xludf.DUMMYFUNCTION("""COMPUTED_VALUE"""),"Middle")</f>
        <v>Middle</v>
      </c>
      <c r="O151" s="1" t="str">
        <f ca="1">IFERROR(__xludf.DUMMYFUNCTION("""COMPUTED_VALUE"""),"Parking Lot")</f>
        <v>Parking Lot</v>
      </c>
      <c r="P151" s="1" t="str">
        <f ca="1">IFERROR(__xludf.DUMMYFUNCTION("""COMPUTED_VALUE"""),"Outside on School Property")</f>
        <v>Outside on School Property</v>
      </c>
      <c r="Q151" s="1" t="str">
        <f ca="1">IFERROR(__xludf.DUMMYFUNCTION("""COMPUTED_VALUE"""),"No")</f>
        <v>No</v>
      </c>
      <c r="R151" s="1" t="str">
        <f ca="1">IFERROR(__xludf.DUMMYFUNCTION("""COMPUTED_VALUE"""),"School Event")</f>
        <v>School Event</v>
      </c>
      <c r="S151" s="5">
        <f ca="1">IFERROR(__xludf.DUMMYFUNCTION("""COMPUTED_VALUE"""),0.708333333333333)</f>
        <v>0.70833333333333304</v>
      </c>
      <c r="T151" s="1">
        <f ca="1">IFERROR(__xludf.DUMMYFUNCTION("""COMPUTED_VALUE"""),1)</f>
        <v>1</v>
      </c>
      <c r="U151" s="1" t="str">
        <f ca="1">IFERROR(__xludf.DUMMYFUNCTION("""COMPUTED_VALUE"""),"Man fired shot into the air during Halloween event in school parking lot")</f>
        <v>Man fired shot into the air during Halloween event in school parking lot</v>
      </c>
      <c r="V151" s="1" t="str">
        <f ca="1">IFERROR(__xludf.DUMMYFUNCTION("""COMPUTED_VALUE"""),"A probable cause statement against Matthew McCulloch (St. Louis Police Officer) alleges he told multiple people they “are all going to die” at the trunk-or-treat event. It also says he began harassing people in the parking lot while hundreds of children a"&amp;"nd adults were there. The statement goes on to say that Matthew McCulloch was shoved to the ground after threatening a witness and the witness’ wife. Matthew McCulloch pulled up his shirt to show a handgun and a badge, the statement alleges. Officials sai"&amp;"d he then fired shots into the air “approximately a dozen times while shouting that the attendees would die.” Several people at the event tackled Matthew McCulloch and took his gun, according to court documents. He was attending the event with his family.")</f>
        <v>A probable cause statement against Matthew McCulloch (St. Louis Police Officer) alleges he told multiple people they “are all going to die” at the trunk-or-treat event. It also says he began harassing people in the parking lot while hundreds of children and adults were there. The statement goes on to say that Matthew McCulloch was shoved to the ground after threatening a witness and the witness’ wife. Matthew McCulloch pulled up his shirt to show a handgun and a badge, the statement alleges. Officials said he then fired shots into the air “approximately a dozen times while shouting that the attendees would die.” Several people at the event tackled Matthew McCulloch and took his gun, according to court documents. He was attending the event with his family.</v>
      </c>
      <c r="W151" s="1" t="str">
        <f ca="1">IFERROR(__xludf.DUMMYFUNCTION("""COMPUTED_VALUE"""),"Indiscriminate Shooting")</f>
        <v>Indiscriminate Shooting</v>
      </c>
      <c r="X151" s="1" t="str">
        <f ca="1">IFERROR(__xludf.DUMMYFUNCTION("""COMPUTED_VALUE"""),"Random Shooting")</f>
        <v>Random Shooting</v>
      </c>
      <c r="Y151" s="1" t="str">
        <f ca="1">IFERROR(__xludf.DUMMYFUNCTION("""COMPUTED_VALUE"""),"No")</f>
        <v>No</v>
      </c>
      <c r="Z151" s="1"/>
      <c r="AA151" s="1" t="str">
        <f ca="1">IFERROR(__xludf.DUMMYFUNCTION("""COMPUTED_VALUE"""),"No")</f>
        <v>No</v>
      </c>
      <c r="AB151" s="1" t="str">
        <f ca="1">IFERROR(__xludf.DUMMYFUNCTION("""COMPUTED_VALUE"""),"No")</f>
        <v>No</v>
      </c>
      <c r="AC151" s="1" t="str">
        <f ca="1">IFERROR(__xludf.DUMMYFUNCTION("""COMPUTED_VALUE"""),"No")</f>
        <v>No</v>
      </c>
      <c r="AD151" s="1" t="str">
        <f ca="1">IFERROR(__xludf.DUMMYFUNCTION("""COMPUTED_VALUE"""),"No")</f>
        <v>No</v>
      </c>
      <c r="AE151" s="1" t="str">
        <f ca="1">IFERROR(__xludf.DUMMYFUNCTION("""COMPUTED_VALUE"""),"No")</f>
        <v>No</v>
      </c>
      <c r="AF151" s="1" t="str">
        <f ca="1">IFERROR(__xludf.DUMMYFUNCTION("""COMPUTED_VALUE"""),"No")</f>
        <v>No</v>
      </c>
      <c r="AG151" s="1" t="str">
        <f ca="1">IFERROR(__xludf.DUMMYFUNCTION("""COMPUTED_VALUE"""),"Yes")</f>
        <v>Yes</v>
      </c>
      <c r="AH151" s="1">
        <f ca="1">IFERROR(__xludf.DUMMYFUNCTION("""COMPUTED_VALUE"""),12)</f>
        <v>12</v>
      </c>
    </row>
    <row r="152" spans="1:34" ht="12.5">
      <c r="A152" s="1" t="str">
        <f ca="1">IFERROR(__xludf.DUMMYFUNCTION("""COMPUTED_VALUE"""),"20231013FLBOS")</f>
        <v>20231013FLBOS</v>
      </c>
      <c r="B152" s="1">
        <f ca="1">IFERROR(__xludf.DUMMYFUNCTION("""COMPUTED_VALUE"""),10)</f>
        <v>10</v>
      </c>
      <c r="C152" s="1">
        <f ca="1">IFERROR(__xludf.DUMMYFUNCTION("""COMPUTED_VALUE"""),13)</f>
        <v>13</v>
      </c>
      <c r="D152" s="1">
        <f ca="1">IFERROR(__xludf.DUMMYFUNCTION("""COMPUTED_VALUE"""),2023)</f>
        <v>2023</v>
      </c>
      <c r="E152" s="4">
        <f ca="1">IFERROR(__xludf.DUMMYFUNCTION("""COMPUTED_VALUE"""),45212)</f>
        <v>45212</v>
      </c>
      <c r="F152" s="1" t="str">
        <f ca="1">IFERROR(__xludf.DUMMYFUNCTION("""COMPUTED_VALUE"""),"Booker High School")</f>
        <v>Booker High School</v>
      </c>
      <c r="G152" s="1">
        <f ca="1">IFERROR(__xludf.DUMMYFUNCTION("""COMPUTED_VALUE"""),0)</f>
        <v>0</v>
      </c>
      <c r="H152" s="1">
        <f ca="1">IFERROR(__xludf.DUMMYFUNCTION("""COMPUTED_VALUE"""),0)</f>
        <v>0</v>
      </c>
      <c r="I152" s="1">
        <f ca="1">IFERROR(__xludf.DUMMYFUNCTION("""COMPUTED_VALUE"""),0)</f>
        <v>0</v>
      </c>
      <c r="J152" s="1">
        <f ca="1">IFERROR(__xludf.DUMMYFUNCTION("""COMPUTED_VALUE"""),0)</f>
        <v>0</v>
      </c>
      <c r="K152" s="1" t="str">
        <f ca="1">IFERROR(__xludf.DUMMYFUNCTION("""COMPUTED_VALUE"""),"Fall")</f>
        <v>Fall</v>
      </c>
      <c r="L152" s="1" t="str">
        <f ca="1">IFERROR(__xludf.DUMMYFUNCTION("""COMPUTED_VALUE"""),"Sarasota")</f>
        <v>Sarasota</v>
      </c>
      <c r="M152" s="1" t="str">
        <f ca="1">IFERROR(__xludf.DUMMYFUNCTION("""COMPUTED_VALUE"""),"FL")</f>
        <v>FL</v>
      </c>
      <c r="N152" s="1" t="str">
        <f ca="1">IFERROR(__xludf.DUMMYFUNCTION("""COMPUTED_VALUE"""),"High")</f>
        <v>High</v>
      </c>
      <c r="O152" s="1" t="str">
        <f ca="1">IFERROR(__xludf.DUMMYFUNCTION("""COMPUTED_VALUE"""),"Off School Property")</f>
        <v>Off School Property</v>
      </c>
      <c r="P152" s="1" t="str">
        <f ca="1">IFERROR(__xludf.DUMMYFUNCTION("""COMPUTED_VALUE"""),"Off School Property")</f>
        <v>Off School Property</v>
      </c>
      <c r="Q152" s="1" t="str">
        <f ca="1">IFERROR(__xludf.DUMMYFUNCTION("""COMPUTED_VALUE"""),"No")</f>
        <v>No</v>
      </c>
      <c r="R152" s="1" t="str">
        <f ca="1">IFERROR(__xludf.DUMMYFUNCTION("""COMPUTED_VALUE"""),"Sport Event")</f>
        <v>Sport Event</v>
      </c>
      <c r="S152" s="5">
        <f ca="1">IFERROR(__xludf.DUMMYFUNCTION("""COMPUTED_VALUE"""),0.854166666666666)</f>
        <v>0.85416666666666596</v>
      </c>
      <c r="T152" s="1">
        <f ca="1">IFERROR(__xludf.DUMMYFUNCTION("""COMPUTED_VALUE"""),1)</f>
        <v>1</v>
      </c>
      <c r="U152" s="1" t="str">
        <f ca="1">IFERROR(__xludf.DUMMYFUNCTION("""COMPUTED_VALUE"""),"Shots fired on the street next to the football stadium, crowd evacuated")</f>
        <v>Shots fired on the street next to the football stadium, crowd evacuated</v>
      </c>
      <c r="V152" s="1" t="str">
        <f ca="1">IFERROR(__xludf.DUMMYFUNCTION("""COMPUTED_VALUE"""),"The crowd and players ran from the football stadium when shots were fired on the street outside. No injuries.")</f>
        <v>The crowd and players ran from the football stadium when shots were fired on the street outside. No injuries.</v>
      </c>
      <c r="W152" s="1"/>
      <c r="X152" s="1"/>
      <c r="Y152" s="1"/>
      <c r="Z152" s="1"/>
      <c r="AA152" s="1" t="str">
        <f ca="1">IFERROR(__xludf.DUMMYFUNCTION("""COMPUTED_VALUE"""),"No")</f>
        <v>No</v>
      </c>
      <c r="AB152" s="1" t="str">
        <f ca="1">IFERROR(__xludf.DUMMYFUNCTION("""COMPUTED_VALUE"""),"No")</f>
        <v>No</v>
      </c>
      <c r="AC152" s="1" t="str">
        <f ca="1">IFERROR(__xludf.DUMMYFUNCTION("""COMPUTED_VALUE"""),"No")</f>
        <v>No</v>
      </c>
      <c r="AD152" s="1" t="str">
        <f ca="1">IFERROR(__xludf.DUMMYFUNCTION("""COMPUTED_VALUE"""),"No")</f>
        <v>No</v>
      </c>
      <c r="AE152" s="1"/>
      <c r="AF152" s="1"/>
      <c r="AG152" s="1" t="str">
        <f ca="1">IFERROR(__xludf.DUMMYFUNCTION("""COMPUTED_VALUE"""),"No")</f>
        <v>No</v>
      </c>
      <c r="AH152" s="1">
        <f ca="1">IFERROR(__xludf.DUMMYFUNCTION("""COMPUTED_VALUE"""),99)</f>
        <v>99</v>
      </c>
    </row>
    <row r="153" spans="1:34" ht="12.5">
      <c r="A153" s="1" t="str">
        <f ca="1">IFERROR(__xludf.DUMMYFUNCTION("""COMPUTED_VALUE"""),"20231013OHCLC")</f>
        <v>20231013OHCLC</v>
      </c>
      <c r="B153" s="1">
        <f ca="1">IFERROR(__xludf.DUMMYFUNCTION("""COMPUTED_VALUE"""),10)</f>
        <v>10</v>
      </c>
      <c r="C153" s="1">
        <f ca="1">IFERROR(__xludf.DUMMYFUNCTION("""COMPUTED_VALUE"""),13)</f>
        <v>13</v>
      </c>
      <c r="D153" s="1">
        <f ca="1">IFERROR(__xludf.DUMMYFUNCTION("""COMPUTED_VALUE"""),2023)</f>
        <v>2023</v>
      </c>
      <c r="E153" s="4">
        <f ca="1">IFERROR(__xludf.DUMMYFUNCTION("""COMPUTED_VALUE"""),45212)</f>
        <v>45212</v>
      </c>
      <c r="F153" s="1" t="str">
        <f ca="1">IFERROR(__xludf.DUMMYFUNCTION("""COMPUTED_VALUE"""),"Cleveland Central Catholic High School")</f>
        <v>Cleveland Central Catholic High School</v>
      </c>
      <c r="G153" s="1">
        <f ca="1">IFERROR(__xludf.DUMMYFUNCTION("""COMPUTED_VALUE"""),0)</f>
        <v>0</v>
      </c>
      <c r="H153" s="1">
        <f ca="1">IFERROR(__xludf.DUMMYFUNCTION("""COMPUTED_VALUE"""),1)</f>
        <v>1</v>
      </c>
      <c r="I153" s="1">
        <f ca="1">IFERROR(__xludf.DUMMYFUNCTION("""COMPUTED_VALUE"""),1)</f>
        <v>1</v>
      </c>
      <c r="J153" s="1">
        <f ca="1">IFERROR(__xludf.DUMMYFUNCTION("""COMPUTED_VALUE"""),0)</f>
        <v>0</v>
      </c>
      <c r="K153" s="1" t="str">
        <f ca="1">IFERROR(__xludf.DUMMYFUNCTION("""COMPUTED_VALUE"""),"Fall")</f>
        <v>Fall</v>
      </c>
      <c r="L153" s="1" t="str">
        <f ca="1">IFERROR(__xludf.DUMMYFUNCTION("""COMPUTED_VALUE"""),"Cleveland")</f>
        <v>Cleveland</v>
      </c>
      <c r="M153" s="1" t="str">
        <f ca="1">IFERROR(__xludf.DUMMYFUNCTION("""COMPUTED_VALUE"""),"OH")</f>
        <v>OH</v>
      </c>
      <c r="N153" s="1" t="str">
        <f ca="1">IFERROR(__xludf.DUMMYFUNCTION("""COMPUTED_VALUE"""),"High")</f>
        <v>High</v>
      </c>
      <c r="O153" s="1" t="str">
        <f ca="1">IFERROR(__xludf.DUMMYFUNCTION("""COMPUTED_VALUE"""),"Front of School")</f>
        <v>Front of School</v>
      </c>
      <c r="P153" s="1" t="str">
        <f ca="1">IFERROR(__xludf.DUMMYFUNCTION("""COMPUTED_VALUE"""),"Outside on School Property")</f>
        <v>Outside on School Property</v>
      </c>
      <c r="Q153" s="1" t="str">
        <f ca="1">IFERROR(__xludf.DUMMYFUNCTION("""COMPUTED_VALUE"""),"Yes")</f>
        <v>Yes</v>
      </c>
      <c r="R153" s="1" t="str">
        <f ca="1">IFERROR(__xludf.DUMMYFUNCTION("""COMPUTED_VALUE"""),"Dismissal")</f>
        <v>Dismissal</v>
      </c>
      <c r="S153" s="5">
        <f ca="1">IFERROR(__xludf.DUMMYFUNCTION("""COMPUTED_VALUE"""),0.625)</f>
        <v>0.625</v>
      </c>
      <c r="T153" s="1">
        <f ca="1">IFERROR(__xludf.DUMMYFUNCTION("""COMPUTED_VALUE"""),1)</f>
        <v>1</v>
      </c>
      <c r="U153" s="1" t="str">
        <f ca="1">IFERROR(__xludf.DUMMYFUNCTION("""COMPUTED_VALUE"""),"15-year-old shot during fight in front of the school")</f>
        <v>15-year-old shot during fight in front of the school</v>
      </c>
      <c r="V153" s="1" t="str">
        <f ca="1">IFERROR(__xludf.DUMMYFUNCTION("""COMPUTED_VALUE"""),"15-year-old was seriously injured when he was shot during a fight in front of the school at dismissal. A backpack was found by police in the grass in front of the building. The gun used may have been a pellet gun.")</f>
        <v>15-year-old was seriously injured when he was shot during a fight in front of the school at dismissal. A backpack was found by police in the grass in front of the building. The gun used may have been a pellet gun.</v>
      </c>
      <c r="W153" s="1" t="str">
        <f ca="1">IFERROR(__xludf.DUMMYFUNCTION("""COMPUTED_VALUE"""),"Escalation of Dispute")</f>
        <v>Escalation of Dispute</v>
      </c>
      <c r="X153" s="1"/>
      <c r="Y153" s="1"/>
      <c r="Z153" s="1"/>
      <c r="AA153" s="1" t="str">
        <f ca="1">IFERROR(__xludf.DUMMYFUNCTION("""COMPUTED_VALUE"""),"No")</f>
        <v>No</v>
      </c>
      <c r="AB153" s="1" t="str">
        <f ca="1">IFERROR(__xludf.DUMMYFUNCTION("""COMPUTED_VALUE"""),"No")</f>
        <v>No</v>
      </c>
      <c r="AC153" s="1" t="str">
        <f ca="1">IFERROR(__xludf.DUMMYFUNCTION("""COMPUTED_VALUE"""),"No")</f>
        <v>No</v>
      </c>
      <c r="AD153" s="1" t="str">
        <f ca="1">IFERROR(__xludf.DUMMYFUNCTION("""COMPUTED_VALUE"""),"No")</f>
        <v>No</v>
      </c>
      <c r="AE153" s="1" t="str">
        <f ca="1">IFERROR(__xludf.DUMMYFUNCTION("""COMPUTED_VALUE"""),"No")</f>
        <v>No</v>
      </c>
      <c r="AF153" s="1"/>
      <c r="AG153" s="1" t="str">
        <f ca="1">IFERROR(__xludf.DUMMYFUNCTION("""COMPUTED_VALUE"""),"No")</f>
        <v>No</v>
      </c>
      <c r="AH153" s="1"/>
    </row>
    <row r="154" spans="1:34" ht="12.5">
      <c r="A154" s="1" t="str">
        <f ca="1">IFERROR(__xludf.DUMMYFUNCTION("""COMPUTED_VALUE"""),"20231011CAMAL")</f>
        <v>20231011CAMAL</v>
      </c>
      <c r="B154" s="1">
        <f ca="1">IFERROR(__xludf.DUMMYFUNCTION("""COMPUTED_VALUE"""),10)</f>
        <v>10</v>
      </c>
      <c r="C154" s="1">
        <f ca="1">IFERROR(__xludf.DUMMYFUNCTION("""COMPUTED_VALUE"""),11)</f>
        <v>11</v>
      </c>
      <c r="D154" s="1">
        <f ca="1">IFERROR(__xludf.DUMMYFUNCTION("""COMPUTED_VALUE"""),2023)</f>
        <v>2023</v>
      </c>
      <c r="E154" s="4">
        <f ca="1">IFERROR(__xludf.DUMMYFUNCTION("""COMPUTED_VALUE"""),45210)</f>
        <v>45210</v>
      </c>
      <c r="F154" s="1" t="str">
        <f ca="1">IFERROR(__xludf.DUMMYFUNCTION("""COMPUTED_VALUE"""),"Manual Arts Sr. High School")</f>
        <v>Manual Arts Sr. High School</v>
      </c>
      <c r="G154" s="1">
        <f ca="1">IFERROR(__xludf.DUMMYFUNCTION("""COMPUTED_VALUE"""),0)</f>
        <v>0</v>
      </c>
      <c r="H154" s="1">
        <f ca="1">IFERROR(__xludf.DUMMYFUNCTION("""COMPUTED_VALUE"""),1)</f>
        <v>1</v>
      </c>
      <c r="I154" s="1">
        <f ca="1">IFERROR(__xludf.DUMMYFUNCTION("""COMPUTED_VALUE"""),1)</f>
        <v>1</v>
      </c>
      <c r="J154" s="1">
        <f ca="1">IFERROR(__xludf.DUMMYFUNCTION("""COMPUTED_VALUE"""),0)</f>
        <v>0</v>
      </c>
      <c r="K154" s="1" t="str">
        <f ca="1">IFERROR(__xludf.DUMMYFUNCTION("""COMPUTED_VALUE"""),"Fall")</f>
        <v>Fall</v>
      </c>
      <c r="L154" s="1" t="str">
        <f ca="1">IFERROR(__xludf.DUMMYFUNCTION("""COMPUTED_VALUE"""),"Los Angles")</f>
        <v>Los Angles</v>
      </c>
      <c r="M154" s="1" t="str">
        <f ca="1">IFERROR(__xludf.DUMMYFUNCTION("""COMPUTED_VALUE"""),"CA")</f>
        <v>CA</v>
      </c>
      <c r="N154" s="1" t="str">
        <f ca="1">IFERROR(__xludf.DUMMYFUNCTION("""COMPUTED_VALUE"""),"High")</f>
        <v>High</v>
      </c>
      <c r="O154" s="1" t="str">
        <f ca="1">IFERROR(__xludf.DUMMYFUNCTION("""COMPUTED_VALUE"""),"Front of School")</f>
        <v>Front of School</v>
      </c>
      <c r="P154" s="1" t="str">
        <f ca="1">IFERROR(__xludf.DUMMYFUNCTION("""COMPUTED_VALUE"""),"Outside on School Property")</f>
        <v>Outside on School Property</v>
      </c>
      <c r="Q154" s="1" t="str">
        <f ca="1">IFERROR(__xludf.DUMMYFUNCTION("""COMPUTED_VALUE"""),"Yes")</f>
        <v>Yes</v>
      </c>
      <c r="R154" s="1" t="str">
        <f ca="1">IFERROR(__xludf.DUMMYFUNCTION("""COMPUTED_VALUE"""),"Morning Classes")</f>
        <v>Morning Classes</v>
      </c>
      <c r="S154" s="5">
        <f ca="1">IFERROR(__xludf.DUMMYFUNCTION("""COMPUTED_VALUE"""),0.354166666666666)</f>
        <v>0.35416666666666602</v>
      </c>
      <c r="T154" s="1">
        <f ca="1">IFERROR(__xludf.DUMMYFUNCTION("""COMPUTED_VALUE"""),1)</f>
        <v>1</v>
      </c>
      <c r="U154" s="1" t="str">
        <f ca="1">IFERROR(__xludf.DUMMYFUNCTION("""COMPUTED_VALUE"""),"Man shot in front of school")</f>
        <v>Man shot in front of school</v>
      </c>
      <c r="V154" s="1" t="str">
        <f ca="1">IFERROR(__xludf.DUMMYFUNCTION("""COMPUTED_VALUE"""),"Man shot in front of the school. School went on lockdown and LA School Police responded")</f>
        <v>Man shot in front of the school. School went on lockdown and LA School Police responded</v>
      </c>
      <c r="W154" s="1"/>
      <c r="X154" s="1"/>
      <c r="Y154" s="1"/>
      <c r="Z154" s="1"/>
      <c r="AA154" s="1" t="str">
        <f ca="1">IFERROR(__xludf.DUMMYFUNCTION("""COMPUTED_VALUE"""),"No")</f>
        <v>No</v>
      </c>
      <c r="AB154" s="1" t="str">
        <f ca="1">IFERROR(__xludf.DUMMYFUNCTION("""COMPUTED_VALUE"""),"No")</f>
        <v>No</v>
      </c>
      <c r="AC154" s="1" t="str">
        <f ca="1">IFERROR(__xludf.DUMMYFUNCTION("""COMPUTED_VALUE"""),"No")</f>
        <v>No</v>
      </c>
      <c r="AD154" s="1" t="str">
        <f ca="1">IFERROR(__xludf.DUMMYFUNCTION("""COMPUTED_VALUE"""),"No")</f>
        <v>No</v>
      </c>
      <c r="AE154" s="1" t="str">
        <f ca="1">IFERROR(__xludf.DUMMYFUNCTION("""COMPUTED_VALUE"""),"No")</f>
        <v>No</v>
      </c>
      <c r="AF154" s="1"/>
      <c r="AG154" s="1" t="str">
        <f ca="1">IFERROR(__xludf.DUMMYFUNCTION("""COMPUTED_VALUE"""),"No")</f>
        <v>No</v>
      </c>
      <c r="AH154" s="1">
        <f ca="1">IFERROR(__xludf.DUMMYFUNCTION("""COMPUTED_VALUE"""),99)</f>
        <v>99</v>
      </c>
    </row>
    <row r="155" spans="1:34" ht="12.5">
      <c r="A155" s="1" t="str">
        <f ca="1">IFERROR(__xludf.DUMMYFUNCTION("""COMPUTED_VALUE"""),"20231011FLMIM")</f>
        <v>20231011FLMIM</v>
      </c>
      <c r="B155" s="1">
        <f ca="1">IFERROR(__xludf.DUMMYFUNCTION("""COMPUTED_VALUE"""),10)</f>
        <v>10</v>
      </c>
      <c r="C155" s="1">
        <f ca="1">IFERROR(__xludf.DUMMYFUNCTION("""COMPUTED_VALUE"""),11)</f>
        <v>11</v>
      </c>
      <c r="D155" s="1">
        <f ca="1">IFERROR(__xludf.DUMMYFUNCTION("""COMPUTED_VALUE"""),2023)</f>
        <v>2023</v>
      </c>
      <c r="E155" s="4">
        <f ca="1">IFERROR(__xludf.DUMMYFUNCTION("""COMPUTED_VALUE"""),45210)</f>
        <v>45210</v>
      </c>
      <c r="F155" s="1" t="str">
        <f ca="1">IFERROR(__xludf.DUMMYFUNCTION("""COMPUTED_VALUE"""),"Miami Edison High School")</f>
        <v>Miami Edison High School</v>
      </c>
      <c r="G155" s="1">
        <f ca="1">IFERROR(__xludf.DUMMYFUNCTION("""COMPUTED_VALUE"""),1)</f>
        <v>1</v>
      </c>
      <c r="H155" s="1">
        <f ca="1">IFERROR(__xludf.DUMMYFUNCTION("""COMPUTED_VALUE"""),0)</f>
        <v>0</v>
      </c>
      <c r="I155" s="1">
        <f ca="1">IFERROR(__xludf.DUMMYFUNCTION("""COMPUTED_VALUE"""),1)</f>
        <v>1</v>
      </c>
      <c r="J155" s="1">
        <f ca="1">IFERROR(__xludf.DUMMYFUNCTION("""COMPUTED_VALUE"""),0)</f>
        <v>0</v>
      </c>
      <c r="K155" s="1" t="str">
        <f ca="1">IFERROR(__xludf.DUMMYFUNCTION("""COMPUTED_VALUE"""),"Fall")</f>
        <v>Fall</v>
      </c>
      <c r="L155" s="1" t="str">
        <f ca="1">IFERROR(__xludf.DUMMYFUNCTION("""COMPUTED_VALUE"""),"Miami")</f>
        <v>Miami</v>
      </c>
      <c r="M155" s="1" t="str">
        <f ca="1">IFERROR(__xludf.DUMMYFUNCTION("""COMPUTED_VALUE"""),"FL")</f>
        <v>FL</v>
      </c>
      <c r="N155" s="1" t="str">
        <f ca="1">IFERROR(__xludf.DUMMYFUNCTION("""COMPUTED_VALUE"""),"High")</f>
        <v>High</v>
      </c>
      <c r="O155" s="1" t="str">
        <f ca="1">IFERROR(__xludf.DUMMYFUNCTION("""COMPUTED_VALUE"""),"Football Field/Track")</f>
        <v>Football Field/Track</v>
      </c>
      <c r="P155" s="1" t="str">
        <f ca="1">IFERROR(__xludf.DUMMYFUNCTION("""COMPUTED_VALUE"""),"Outside on School Property")</f>
        <v>Outside on School Property</v>
      </c>
      <c r="Q155" s="1" t="str">
        <f ca="1">IFERROR(__xludf.DUMMYFUNCTION("""COMPUTED_VALUE"""),"No")</f>
        <v>No</v>
      </c>
      <c r="R155" s="1" t="str">
        <f ca="1">IFERROR(__xludf.DUMMYFUNCTION("""COMPUTED_VALUE"""),"Evening")</f>
        <v>Evening</v>
      </c>
      <c r="S155" s="5">
        <f ca="1">IFERROR(__xludf.DUMMYFUNCTION("""COMPUTED_VALUE"""),0.71875)</f>
        <v>0.71875</v>
      </c>
      <c r="T155" s="1">
        <f ca="1">IFERROR(__xludf.DUMMYFUNCTION("""COMPUTED_VALUE"""),1)</f>
        <v>1</v>
      </c>
      <c r="U155" s="1" t="str">
        <f ca="1">IFERROR(__xludf.DUMMYFUNCTION("""COMPUTED_VALUE"""),"Man was fatally shot on the school football field")</f>
        <v>Man was fatally shot on the school football field</v>
      </c>
      <c r="V155" s="1" t="str">
        <f ca="1">IFERROR(__xludf.DUMMYFUNCTION("""COMPUTED_VALUE"""),"Man was found fatally shot on the school football field. Second arm man was shot at by officers and detained.")</f>
        <v>Man was found fatally shot on the school football field. Second arm man was shot at by officers and detained.</v>
      </c>
      <c r="W155" s="1"/>
      <c r="X155" s="1" t="str">
        <f ca="1">IFERROR(__xludf.DUMMYFUNCTION("""COMPUTED_VALUE"""),"Victims Targeted")</f>
        <v>Victims Targeted</v>
      </c>
      <c r="Y155" s="1" t="str">
        <f ca="1">IFERROR(__xludf.DUMMYFUNCTION("""COMPUTED_VALUE"""),"No")</f>
        <v>No</v>
      </c>
      <c r="Z155" s="1"/>
      <c r="AA155" s="1" t="str">
        <f ca="1">IFERROR(__xludf.DUMMYFUNCTION("""COMPUTED_VALUE"""),"No")</f>
        <v>No</v>
      </c>
      <c r="AB155" s="1" t="str">
        <f ca="1">IFERROR(__xludf.DUMMYFUNCTION("""COMPUTED_VALUE"""),"No")</f>
        <v>No</v>
      </c>
      <c r="AC155" s="1" t="str">
        <f ca="1">IFERROR(__xludf.DUMMYFUNCTION("""COMPUTED_VALUE"""),"No")</f>
        <v>No</v>
      </c>
      <c r="AD155" s="1" t="str">
        <f ca="1">IFERROR(__xludf.DUMMYFUNCTION("""COMPUTED_VALUE"""),"No")</f>
        <v>No</v>
      </c>
      <c r="AE155" s="1" t="str">
        <f ca="1">IFERROR(__xludf.DUMMYFUNCTION("""COMPUTED_VALUE"""),"No")</f>
        <v>No</v>
      </c>
      <c r="AF155" s="1" t="str">
        <f ca="1">IFERROR(__xludf.DUMMYFUNCTION("""COMPUTED_VALUE"""),"Yes")</f>
        <v>Yes</v>
      </c>
      <c r="AG155" s="1" t="str">
        <f ca="1">IFERROR(__xludf.DUMMYFUNCTION("""COMPUTED_VALUE"""),"No")</f>
        <v>No</v>
      </c>
      <c r="AH155" s="1">
        <f ca="1">IFERROR(__xludf.DUMMYFUNCTION("""COMPUTED_VALUE"""),99)</f>
        <v>99</v>
      </c>
    </row>
    <row r="156" spans="1:34" ht="12.5">
      <c r="A156" s="1" t="str">
        <f ca="1">IFERROR(__xludf.DUMMYFUNCTION("""COMPUTED_VALUE"""),"20231011TXSEF")</f>
        <v>20231011TXSEF</v>
      </c>
      <c r="B156" s="1">
        <f ca="1">IFERROR(__xludf.DUMMYFUNCTION("""COMPUTED_VALUE"""),10)</f>
        <v>10</v>
      </c>
      <c r="C156" s="1">
        <f ca="1">IFERROR(__xludf.DUMMYFUNCTION("""COMPUTED_VALUE"""),11)</f>
        <v>11</v>
      </c>
      <c r="D156" s="1">
        <f ca="1">IFERROR(__xludf.DUMMYFUNCTION("""COMPUTED_VALUE"""),2023)</f>
        <v>2023</v>
      </c>
      <c r="E156" s="4">
        <f ca="1">IFERROR(__xludf.DUMMYFUNCTION("""COMPUTED_VALUE"""),45210)</f>
        <v>45210</v>
      </c>
      <c r="F156" s="1" t="str">
        <f ca="1">IFERROR(__xludf.DUMMYFUNCTION("""COMPUTED_VALUE"""),"Sellars Elementary School")</f>
        <v>Sellars Elementary School</v>
      </c>
      <c r="G156" s="1">
        <f ca="1">IFERROR(__xludf.DUMMYFUNCTION("""COMPUTED_VALUE"""),1)</f>
        <v>1</v>
      </c>
      <c r="H156" s="1">
        <f ca="1">IFERROR(__xludf.DUMMYFUNCTION("""COMPUTED_VALUE"""),0)</f>
        <v>0</v>
      </c>
      <c r="I156" s="1">
        <f ca="1">IFERROR(__xludf.DUMMYFUNCTION("""COMPUTED_VALUE"""),1)</f>
        <v>1</v>
      </c>
      <c r="J156" s="1">
        <f ca="1">IFERROR(__xludf.DUMMYFUNCTION("""COMPUTED_VALUE"""),0)</f>
        <v>0</v>
      </c>
      <c r="K156" s="1" t="str">
        <f ca="1">IFERROR(__xludf.DUMMYFUNCTION("""COMPUTED_VALUE"""),"Fall")</f>
        <v>Fall</v>
      </c>
      <c r="L156" s="1" t="str">
        <f ca="1">IFERROR(__xludf.DUMMYFUNCTION("""COMPUTED_VALUE"""),"Forest Hill")</f>
        <v>Forest Hill</v>
      </c>
      <c r="M156" s="1" t="str">
        <f ca="1">IFERROR(__xludf.DUMMYFUNCTION("""COMPUTED_VALUE"""),"TX")</f>
        <v>TX</v>
      </c>
      <c r="N156" s="1" t="str">
        <f ca="1">IFERROR(__xludf.DUMMYFUNCTION("""COMPUTED_VALUE"""),"Elementary")</f>
        <v>Elementary</v>
      </c>
      <c r="O156" s="1" t="str">
        <f ca="1">IFERROR(__xludf.DUMMYFUNCTION("""COMPUTED_VALUE"""),"Parking Lot")</f>
        <v>Parking Lot</v>
      </c>
      <c r="P156" s="1" t="str">
        <f ca="1">IFERROR(__xludf.DUMMYFUNCTION("""COMPUTED_VALUE"""),"Outside on School Property")</f>
        <v>Outside on School Property</v>
      </c>
      <c r="Q156" s="1" t="str">
        <f ca="1">IFERROR(__xludf.DUMMYFUNCTION("""COMPUTED_VALUE"""),"Yes")</f>
        <v>Yes</v>
      </c>
      <c r="R156" s="1" t="str">
        <f ca="1">IFERROR(__xludf.DUMMYFUNCTION("""COMPUTED_VALUE"""),"School Start")</f>
        <v>School Start</v>
      </c>
      <c r="S156" s="5">
        <f ca="1">IFERROR(__xludf.DUMMYFUNCTION("""COMPUTED_VALUE"""),0.284722222222222)</f>
        <v>0.28472222222222199</v>
      </c>
      <c r="T156" s="1">
        <f ca="1">IFERROR(__xludf.DUMMYFUNCTION("""COMPUTED_VALUE"""),1)</f>
        <v>1</v>
      </c>
      <c r="U156" s="1" t="str">
        <f ca="1">IFERROR(__xludf.DUMMYFUNCTION("""COMPUTED_VALUE"""),"Cafeteria work was fatally shot while talking to someone in the school parking lot")</f>
        <v>Cafeteria work was fatally shot while talking to someone in the school parking lot</v>
      </c>
      <c r="V156" s="1" t="str">
        <f ca="1">IFERROR(__xludf.DUMMYFUNCTION("""COMPUTED_VALUE"""),"In a statement late Wednesday afternoon, Forest Hill Police said a woman who worked at David K. Sellars Elementary School was talking with a person in a vehicle in the back parking lot when she was shot several times. Officers arrived at the 4200 block of"&amp;" Dorsey Street at about 6:50 a.m. and provided the injured woman first aid before she was taken to John Peter Smith Hospital in Fort Worth, where she died. Person of interest was found dead on Saturday.")</f>
        <v>In a statement late Wednesday afternoon, Forest Hill Police said a woman who worked at David K. Sellars Elementary School was talking with a person in a vehicle in the back parking lot when she was shot several times. Officers arrived at the 4200 block of Dorsey Street at about 6:50 a.m. and provided the injured woman first aid before she was taken to John Peter Smith Hospital in Fort Worth, where she died. Person of interest was found dead on Saturday.</v>
      </c>
      <c r="W156" s="1" t="str">
        <f ca="1">IFERROR(__xludf.DUMMYFUNCTION("""COMPUTED_VALUE"""),"Domestic w/ Targeted Victim")</f>
        <v>Domestic w/ Targeted Victim</v>
      </c>
      <c r="X156" s="1" t="str">
        <f ca="1">IFERROR(__xludf.DUMMYFUNCTION("""COMPUTED_VALUE"""),"Victims Targeted")</f>
        <v>Victims Targeted</v>
      </c>
      <c r="Y156" s="1" t="str">
        <f ca="1">IFERROR(__xludf.DUMMYFUNCTION("""COMPUTED_VALUE"""),"No")</f>
        <v>No</v>
      </c>
      <c r="Z156" s="1"/>
      <c r="AA156" s="1" t="str">
        <f ca="1">IFERROR(__xludf.DUMMYFUNCTION("""COMPUTED_VALUE"""),"No")</f>
        <v>No</v>
      </c>
      <c r="AB156" s="1" t="str">
        <f ca="1">IFERROR(__xludf.DUMMYFUNCTION("""COMPUTED_VALUE"""),"No")</f>
        <v>No</v>
      </c>
      <c r="AC156" s="1" t="str">
        <f ca="1">IFERROR(__xludf.DUMMYFUNCTION("""COMPUTED_VALUE"""),"No")</f>
        <v>No</v>
      </c>
      <c r="AD156" s="1" t="str">
        <f ca="1">IFERROR(__xludf.DUMMYFUNCTION("""COMPUTED_VALUE"""),"No")</f>
        <v>No</v>
      </c>
      <c r="AE156" s="1"/>
      <c r="AF156" s="1" t="str">
        <f ca="1">IFERROR(__xludf.DUMMYFUNCTION("""COMPUTED_VALUE"""),"No")</f>
        <v>No</v>
      </c>
      <c r="AG156" s="1" t="str">
        <f ca="1">IFERROR(__xludf.DUMMYFUNCTION("""COMPUTED_VALUE"""),"No")</f>
        <v>No</v>
      </c>
      <c r="AH156" s="1">
        <f ca="1">IFERROR(__xludf.DUMMYFUNCTION("""COMPUTED_VALUE"""),99)</f>
        <v>99</v>
      </c>
    </row>
    <row r="157" spans="1:34" ht="12.5">
      <c r="A157" s="1" t="str">
        <f ca="1">IFERROR(__xludf.DUMMYFUNCTION("""COMPUTED_VALUE"""),"20231010MOBAS")</f>
        <v>20231010MOBAS</v>
      </c>
      <c r="B157" s="1">
        <f ca="1">IFERROR(__xludf.DUMMYFUNCTION("""COMPUTED_VALUE"""),10)</f>
        <v>10</v>
      </c>
      <c r="C157" s="1">
        <f ca="1">IFERROR(__xludf.DUMMYFUNCTION("""COMPUTED_VALUE"""),10)</f>
        <v>10</v>
      </c>
      <c r="D157" s="1">
        <f ca="1">IFERROR(__xludf.DUMMYFUNCTION("""COMPUTED_VALUE"""),2023)</f>
        <v>2023</v>
      </c>
      <c r="E157" s="4">
        <f ca="1">IFERROR(__xludf.DUMMYFUNCTION("""COMPUTED_VALUE"""),45209)</f>
        <v>45209</v>
      </c>
      <c r="F157" s="1" t="str">
        <f ca="1">IFERROR(__xludf.DUMMYFUNCTION("""COMPUTED_VALUE"""),"Bayless Elementary School")</f>
        <v>Bayless Elementary School</v>
      </c>
      <c r="G157" s="1">
        <f ca="1">IFERROR(__xludf.DUMMYFUNCTION("""COMPUTED_VALUE"""),0)</f>
        <v>0</v>
      </c>
      <c r="H157" s="1">
        <f ca="1">IFERROR(__xludf.DUMMYFUNCTION("""COMPUTED_VALUE"""),0)</f>
        <v>0</v>
      </c>
      <c r="I157" s="1">
        <f ca="1">IFERROR(__xludf.DUMMYFUNCTION("""COMPUTED_VALUE"""),0)</f>
        <v>0</v>
      </c>
      <c r="J157" s="1">
        <f ca="1">IFERROR(__xludf.DUMMYFUNCTION("""COMPUTED_VALUE"""),0)</f>
        <v>0</v>
      </c>
      <c r="K157" s="1" t="str">
        <f ca="1">IFERROR(__xludf.DUMMYFUNCTION("""COMPUTED_VALUE"""),"Fall")</f>
        <v>Fall</v>
      </c>
      <c r="L157" s="1" t="str">
        <f ca="1">IFERROR(__xludf.DUMMYFUNCTION("""COMPUTED_VALUE"""),"St. Louis")</f>
        <v>St. Louis</v>
      </c>
      <c r="M157" s="1" t="str">
        <f ca="1">IFERROR(__xludf.DUMMYFUNCTION("""COMPUTED_VALUE"""),"MO")</f>
        <v>MO</v>
      </c>
      <c r="N157" s="1" t="str">
        <f ca="1">IFERROR(__xludf.DUMMYFUNCTION("""COMPUTED_VALUE"""),"Elementary")</f>
        <v>Elementary</v>
      </c>
      <c r="O157" s="1" t="str">
        <f ca="1">IFERROR(__xludf.DUMMYFUNCTION("""COMPUTED_VALUE"""),"Front of School")</f>
        <v>Front of School</v>
      </c>
      <c r="P157" s="1" t="str">
        <f ca="1">IFERROR(__xludf.DUMMYFUNCTION("""COMPUTED_VALUE"""),"Outside on School Property")</f>
        <v>Outside on School Property</v>
      </c>
      <c r="Q157" s="1" t="str">
        <f ca="1">IFERROR(__xludf.DUMMYFUNCTION("""COMPUTED_VALUE"""),"Yes")</f>
        <v>Yes</v>
      </c>
      <c r="R157" s="1" t="str">
        <f ca="1">IFERROR(__xludf.DUMMYFUNCTION("""COMPUTED_VALUE"""),"Not a School Day")</f>
        <v>Not a School Day</v>
      </c>
      <c r="S157" s="5">
        <f ca="1">IFERROR(__xludf.DUMMYFUNCTION("""COMPUTED_VALUE"""),0.541666666666666)</f>
        <v>0.54166666666666596</v>
      </c>
      <c r="T157" s="1">
        <f ca="1">IFERROR(__xludf.DUMMYFUNCTION("""COMPUTED_VALUE"""),1)</f>
        <v>1</v>
      </c>
      <c r="U157" s="1" t="str">
        <f ca="1">IFERROR(__xludf.DUMMYFUNCTION("""COMPUTED_VALUE"""),"Shots fired from vehicle struck the school")</f>
        <v>Shots fired from vehicle struck the school</v>
      </c>
      <c r="V157" s="1" t="str">
        <f ca="1">IFERROR(__xludf.DUMMYFUNCTION("""COMPUTED_VALUE"""),"Shots fired from vehicle struck the school. Shooter fled. No suspect or motive identified.")</f>
        <v>Shots fired from vehicle struck the school. Shooter fled. No suspect or motive identified.</v>
      </c>
      <c r="W157" s="1" t="str">
        <f ca="1">IFERROR(__xludf.DUMMYFUNCTION("""COMPUTED_VALUE"""),"Drive-by Shooting")</f>
        <v>Drive-by Shooting</v>
      </c>
      <c r="X157" s="1" t="str">
        <f ca="1">IFERROR(__xludf.DUMMYFUNCTION("""COMPUTED_VALUE"""),"Random Shooting")</f>
        <v>Random Shooting</v>
      </c>
      <c r="Y157" s="1" t="str">
        <f ca="1">IFERROR(__xludf.DUMMYFUNCTION("""COMPUTED_VALUE"""),"No")</f>
        <v>No</v>
      </c>
      <c r="Z157" s="1"/>
      <c r="AA157" s="1" t="str">
        <f ca="1">IFERROR(__xludf.DUMMYFUNCTION("""COMPUTED_VALUE"""),"No")</f>
        <v>No</v>
      </c>
      <c r="AB157" s="1" t="str">
        <f ca="1">IFERROR(__xludf.DUMMYFUNCTION("""COMPUTED_VALUE"""),"No")</f>
        <v>No</v>
      </c>
      <c r="AC157" s="1" t="str">
        <f ca="1">IFERROR(__xludf.DUMMYFUNCTION("""COMPUTED_VALUE"""),"No")</f>
        <v>No</v>
      </c>
      <c r="AD157" s="1" t="str">
        <f ca="1">IFERROR(__xludf.DUMMYFUNCTION("""COMPUTED_VALUE"""),"No")</f>
        <v>No</v>
      </c>
      <c r="AE157" s="1" t="str">
        <f ca="1">IFERROR(__xludf.DUMMYFUNCTION("""COMPUTED_VALUE"""),"No")</f>
        <v>No</v>
      </c>
      <c r="AF157" s="1" t="str">
        <f ca="1">IFERROR(__xludf.DUMMYFUNCTION("""COMPUTED_VALUE"""),"No")</f>
        <v>No</v>
      </c>
      <c r="AG157" s="1" t="str">
        <f ca="1">IFERROR(__xludf.DUMMYFUNCTION("""COMPUTED_VALUE"""),"No")</f>
        <v>No</v>
      </c>
      <c r="AH157" s="1">
        <f ca="1">IFERROR(__xludf.DUMMYFUNCTION("""COMPUTED_VALUE"""),99)</f>
        <v>99</v>
      </c>
    </row>
    <row r="158" spans="1:34" ht="12.5">
      <c r="A158" s="1" t="str">
        <f ca="1">IFERROR(__xludf.DUMMYFUNCTION("""COMPUTED_VALUE"""),"20231010NCTEF")</f>
        <v>20231010NCTEF</v>
      </c>
      <c r="B158" s="1">
        <f ca="1">IFERROR(__xludf.DUMMYFUNCTION("""COMPUTED_VALUE"""),10)</f>
        <v>10</v>
      </c>
      <c r="C158" s="1">
        <f ca="1">IFERROR(__xludf.DUMMYFUNCTION("""COMPUTED_VALUE"""),10)</f>
        <v>10</v>
      </c>
      <c r="D158" s="1">
        <f ca="1">IFERROR(__xludf.DUMMYFUNCTION("""COMPUTED_VALUE"""),2023)</f>
        <v>2023</v>
      </c>
      <c r="E158" s="4">
        <f ca="1">IFERROR(__xludf.DUMMYFUNCTION("""COMPUTED_VALUE"""),45209)</f>
        <v>45209</v>
      </c>
      <c r="F158" s="1" t="str">
        <f ca="1">IFERROR(__xludf.DUMMYFUNCTION("""COMPUTED_VALUE"""),"Terry Sanford High School")</f>
        <v>Terry Sanford High School</v>
      </c>
      <c r="G158" s="1">
        <f ca="1">IFERROR(__xludf.DUMMYFUNCTION("""COMPUTED_VALUE"""),0)</f>
        <v>0</v>
      </c>
      <c r="H158" s="1">
        <f ca="1">IFERROR(__xludf.DUMMYFUNCTION("""COMPUTED_VALUE"""),0)</f>
        <v>0</v>
      </c>
      <c r="I158" s="1">
        <f ca="1">IFERROR(__xludf.DUMMYFUNCTION("""COMPUTED_VALUE"""),0)</f>
        <v>0</v>
      </c>
      <c r="J158" s="1">
        <f ca="1">IFERROR(__xludf.DUMMYFUNCTION("""COMPUTED_VALUE"""),0)</f>
        <v>0</v>
      </c>
      <c r="K158" s="1" t="str">
        <f ca="1">IFERROR(__xludf.DUMMYFUNCTION("""COMPUTED_VALUE"""),"Fall")</f>
        <v>Fall</v>
      </c>
      <c r="L158" s="1" t="str">
        <f ca="1">IFERROR(__xludf.DUMMYFUNCTION("""COMPUTED_VALUE"""),"Fayetteville")</f>
        <v>Fayetteville</v>
      </c>
      <c r="M158" s="1" t="str">
        <f ca="1">IFERROR(__xludf.DUMMYFUNCTION("""COMPUTED_VALUE"""),"NC")</f>
        <v>NC</v>
      </c>
      <c r="N158" s="1" t="str">
        <f ca="1">IFERROR(__xludf.DUMMYFUNCTION("""COMPUTED_VALUE"""),"High")</f>
        <v>High</v>
      </c>
      <c r="O158" s="1" t="str">
        <f ca="1">IFERROR(__xludf.DUMMYFUNCTION("""COMPUTED_VALUE"""),"Field (General)")</f>
        <v>Field (General)</v>
      </c>
      <c r="P158" s="1" t="str">
        <f ca="1">IFERROR(__xludf.DUMMYFUNCTION("""COMPUTED_VALUE"""),"Outside on School Property")</f>
        <v>Outside on School Property</v>
      </c>
      <c r="Q158" s="1" t="str">
        <f ca="1">IFERROR(__xludf.DUMMYFUNCTION("""COMPUTED_VALUE"""),"No")</f>
        <v>No</v>
      </c>
      <c r="R158" s="1" t="str">
        <f ca="1">IFERROR(__xludf.DUMMYFUNCTION("""COMPUTED_VALUE"""),"Night")</f>
        <v>Night</v>
      </c>
      <c r="S158" s="5">
        <f ca="1">IFERROR(__xludf.DUMMYFUNCTION("""COMPUTED_VALUE"""),0.0833333333333333)</f>
        <v>8.3333333333333301E-2</v>
      </c>
      <c r="T158" s="1">
        <f ca="1">IFERROR(__xludf.DUMMYFUNCTION("""COMPUTED_VALUE"""),1)</f>
        <v>1</v>
      </c>
      <c r="U158" s="1" t="str">
        <f ca="1">IFERROR(__xludf.DUMMYFUNCTION("""COMPUTED_VALUE"""),"Man fired shots are officers and barricaded inside his car near school baseball field")</f>
        <v>Man fired shots are officers and barricaded inside his car near school baseball field</v>
      </c>
      <c r="V158" s="1" t="str">
        <f ca="1">IFERROR(__xludf.DUMMYFUNCTION("""COMPUTED_VALUE"""),"Man fired shots at officers striking a police car twice and then barricaded inside of his vehicle for 30 minutes near the school baseball field. He surrendered. No injuries.")</f>
        <v>Man fired shots at officers striking a police car twice and then barricaded inside of his vehicle for 30 minutes near the school baseball field. He surrendered. No injuries.</v>
      </c>
      <c r="W158" s="1" t="str">
        <f ca="1">IFERROR(__xludf.DUMMYFUNCTION("""COMPUTED_VALUE"""),"Hostage/Standoff")</f>
        <v>Hostage/Standoff</v>
      </c>
      <c r="X158" s="1" t="str">
        <f ca="1">IFERROR(__xludf.DUMMYFUNCTION("""COMPUTED_VALUE"""),"Random Shooting")</f>
        <v>Random Shooting</v>
      </c>
      <c r="Y158" s="1" t="str">
        <f ca="1">IFERROR(__xludf.DUMMYFUNCTION("""COMPUTED_VALUE"""),"No")</f>
        <v>No</v>
      </c>
      <c r="Z158" s="1"/>
      <c r="AA158" s="1" t="str">
        <f ca="1">IFERROR(__xludf.DUMMYFUNCTION("""COMPUTED_VALUE"""),"No")</f>
        <v>No</v>
      </c>
      <c r="AB158" s="1" t="str">
        <f ca="1">IFERROR(__xludf.DUMMYFUNCTION("""COMPUTED_VALUE"""),"Yes")</f>
        <v>Yes</v>
      </c>
      <c r="AC158" s="1" t="str">
        <f ca="1">IFERROR(__xludf.DUMMYFUNCTION("""COMPUTED_VALUE"""),"No")</f>
        <v>No</v>
      </c>
      <c r="AD158" s="1" t="str">
        <f ca="1">IFERROR(__xludf.DUMMYFUNCTION("""COMPUTED_VALUE"""),"No")</f>
        <v>No</v>
      </c>
      <c r="AE158" s="1" t="str">
        <f ca="1">IFERROR(__xludf.DUMMYFUNCTION("""COMPUTED_VALUE"""),"No")</f>
        <v>No</v>
      </c>
      <c r="AF158" s="1" t="str">
        <f ca="1">IFERROR(__xludf.DUMMYFUNCTION("""COMPUTED_VALUE"""),"No")</f>
        <v>No</v>
      </c>
      <c r="AG158" s="1" t="str">
        <f ca="1">IFERROR(__xludf.DUMMYFUNCTION("""COMPUTED_VALUE"""),"No")</f>
        <v>No</v>
      </c>
      <c r="AH158" s="1">
        <f ca="1">IFERROR(__xludf.DUMMYFUNCTION("""COMPUTED_VALUE"""),99)</f>
        <v>99</v>
      </c>
    </row>
    <row r="159" spans="1:34" ht="12.5">
      <c r="A159" s="1" t="str">
        <f ca="1">IFERROR(__xludf.DUMMYFUNCTION("""COMPUTED_VALUE"""),"20231010SCDAD")</f>
        <v>20231010SCDAD</v>
      </c>
      <c r="B159" s="1">
        <f ca="1">IFERROR(__xludf.DUMMYFUNCTION("""COMPUTED_VALUE"""),10)</f>
        <v>10</v>
      </c>
      <c r="C159" s="1">
        <f ca="1">IFERROR(__xludf.DUMMYFUNCTION("""COMPUTED_VALUE"""),10)</f>
        <v>10</v>
      </c>
      <c r="D159" s="1">
        <f ca="1">IFERROR(__xludf.DUMMYFUNCTION("""COMPUTED_VALUE"""),2023)</f>
        <v>2023</v>
      </c>
      <c r="E159" s="4">
        <f ca="1">IFERROR(__xludf.DUMMYFUNCTION("""COMPUTED_VALUE"""),45209)</f>
        <v>45209</v>
      </c>
      <c r="F159" s="1" t="str">
        <f ca="1">IFERROR(__xludf.DUMMYFUNCTION("""COMPUTED_VALUE"""),"Darlington-Lee Adult Education Campus")</f>
        <v>Darlington-Lee Adult Education Campus</v>
      </c>
      <c r="G159" s="1">
        <f ca="1">IFERROR(__xludf.DUMMYFUNCTION("""COMPUTED_VALUE"""),1)</f>
        <v>1</v>
      </c>
      <c r="H159" s="1">
        <f ca="1">IFERROR(__xludf.DUMMYFUNCTION("""COMPUTED_VALUE"""),0)</f>
        <v>0</v>
      </c>
      <c r="I159" s="1">
        <f ca="1">IFERROR(__xludf.DUMMYFUNCTION("""COMPUTED_VALUE"""),1)</f>
        <v>1</v>
      </c>
      <c r="J159" s="1">
        <f ca="1">IFERROR(__xludf.DUMMYFUNCTION("""COMPUTED_VALUE"""),0)</f>
        <v>0</v>
      </c>
      <c r="K159" s="1" t="str">
        <f ca="1">IFERROR(__xludf.DUMMYFUNCTION("""COMPUTED_VALUE"""),"Fall")</f>
        <v>Fall</v>
      </c>
      <c r="L159" s="1" t="str">
        <f ca="1">IFERROR(__xludf.DUMMYFUNCTION("""COMPUTED_VALUE"""),"Darlington")</f>
        <v>Darlington</v>
      </c>
      <c r="M159" s="1" t="str">
        <f ca="1">IFERROR(__xludf.DUMMYFUNCTION("""COMPUTED_VALUE"""),"SC")</f>
        <v>SC</v>
      </c>
      <c r="N159" s="1" t="str">
        <f ca="1">IFERROR(__xludf.DUMMYFUNCTION("""COMPUTED_VALUE"""),"High")</f>
        <v>High</v>
      </c>
      <c r="O159" s="1" t="str">
        <f ca="1">IFERROR(__xludf.DUMMYFUNCTION("""COMPUTED_VALUE"""),"Parking Lot")</f>
        <v>Parking Lot</v>
      </c>
      <c r="P159" s="1" t="str">
        <f ca="1">IFERROR(__xludf.DUMMYFUNCTION("""COMPUTED_VALUE"""),"Outside on School Property")</f>
        <v>Outside on School Property</v>
      </c>
      <c r="Q159" s="1" t="str">
        <f ca="1">IFERROR(__xludf.DUMMYFUNCTION("""COMPUTED_VALUE"""),"Yes")</f>
        <v>Yes</v>
      </c>
      <c r="R159" s="1" t="str">
        <f ca="1">IFERROR(__xludf.DUMMYFUNCTION("""COMPUTED_VALUE"""),"Afternoon Classes")</f>
        <v>Afternoon Classes</v>
      </c>
      <c r="S159" s="1"/>
      <c r="T159" s="1">
        <f ca="1">IFERROR(__xludf.DUMMYFUNCTION("""COMPUTED_VALUE"""),1)</f>
        <v>1</v>
      </c>
      <c r="U159" s="1" t="str">
        <f ca="1">IFERROR(__xludf.DUMMYFUNCTION("""COMPUTED_VALUE"""),"Student fatally shot in parking lot during afternoon classes")</f>
        <v>Student fatally shot in parking lot during afternoon classes</v>
      </c>
      <c r="V159" s="1" t="str">
        <f ca="1">IFERROR(__xludf.DUMMYFUNCTION("""COMPUTED_VALUE"""),"16-year-old was fatally shot in the school parking lot during afternoon classes. School went on lockdown. Shooter fled in vehicle.")</f>
        <v>16-year-old was fatally shot in the school parking lot during afternoon classes. School went on lockdown. Shooter fled in vehicle.</v>
      </c>
      <c r="W159" s="1"/>
      <c r="X159" s="1" t="str">
        <f ca="1">IFERROR(__xludf.DUMMYFUNCTION("""COMPUTED_VALUE"""),"Victims Targeted")</f>
        <v>Victims Targeted</v>
      </c>
      <c r="Y159" s="1"/>
      <c r="Z159" s="1"/>
      <c r="AA159" s="1" t="str">
        <f ca="1">IFERROR(__xludf.DUMMYFUNCTION("""COMPUTED_VALUE"""),"No")</f>
        <v>No</v>
      </c>
      <c r="AB159" s="1" t="str">
        <f ca="1">IFERROR(__xludf.DUMMYFUNCTION("""COMPUTED_VALUE"""),"No")</f>
        <v>No</v>
      </c>
      <c r="AC159" s="1" t="str">
        <f ca="1">IFERROR(__xludf.DUMMYFUNCTION("""COMPUTED_VALUE"""),"No")</f>
        <v>No</v>
      </c>
      <c r="AD159" s="1" t="str">
        <f ca="1">IFERROR(__xludf.DUMMYFUNCTION("""COMPUTED_VALUE"""),"No")</f>
        <v>No</v>
      </c>
      <c r="AE159" s="1" t="str">
        <f ca="1">IFERROR(__xludf.DUMMYFUNCTION("""COMPUTED_VALUE"""),"No")</f>
        <v>No</v>
      </c>
      <c r="AF159" s="1"/>
      <c r="AG159" s="1" t="str">
        <f ca="1">IFERROR(__xludf.DUMMYFUNCTION("""COMPUTED_VALUE"""),"No")</f>
        <v>No</v>
      </c>
      <c r="AH159" s="1"/>
    </row>
    <row r="160" spans="1:34" ht="12.5">
      <c r="A160" s="1" t="str">
        <f ca="1">IFERROR(__xludf.DUMMYFUNCTION("""COMPUTED_VALUE"""),"20231008ILTHD")</f>
        <v>20231008ILTHD</v>
      </c>
      <c r="B160" s="1">
        <f ca="1">IFERROR(__xludf.DUMMYFUNCTION("""COMPUTED_VALUE"""),10)</f>
        <v>10</v>
      </c>
      <c r="C160" s="1">
        <f ca="1">IFERROR(__xludf.DUMMYFUNCTION("""COMPUTED_VALUE"""),8)</f>
        <v>8</v>
      </c>
      <c r="D160" s="1">
        <f ca="1">IFERROR(__xludf.DUMMYFUNCTION("""COMPUTED_VALUE"""),2023)</f>
        <v>2023</v>
      </c>
      <c r="E160" s="4">
        <f ca="1">IFERROR(__xludf.DUMMYFUNCTION("""COMPUTED_VALUE"""),45207)</f>
        <v>45207</v>
      </c>
      <c r="F160" s="1" t="str">
        <f ca="1">IFERROR(__xludf.DUMMYFUNCTION("""COMPUTED_VALUE"""),"Thornridge High School")</f>
        <v>Thornridge High School</v>
      </c>
      <c r="G160" s="1">
        <f ca="1">IFERROR(__xludf.DUMMYFUNCTION("""COMPUTED_VALUE"""),0)</f>
        <v>0</v>
      </c>
      <c r="H160" s="1">
        <f ca="1">IFERROR(__xludf.DUMMYFUNCTION("""COMPUTED_VALUE"""),0)</f>
        <v>0</v>
      </c>
      <c r="I160" s="1">
        <f ca="1">IFERROR(__xludf.DUMMYFUNCTION("""COMPUTED_VALUE"""),0)</f>
        <v>0</v>
      </c>
      <c r="J160" s="1">
        <f ca="1">IFERROR(__xludf.DUMMYFUNCTION("""COMPUTED_VALUE"""),0)</f>
        <v>0</v>
      </c>
      <c r="K160" s="1" t="str">
        <f ca="1">IFERROR(__xludf.DUMMYFUNCTION("""COMPUTED_VALUE"""),"Fall")</f>
        <v>Fall</v>
      </c>
      <c r="L160" s="1" t="str">
        <f ca="1">IFERROR(__xludf.DUMMYFUNCTION("""COMPUTED_VALUE"""),"Dolton")</f>
        <v>Dolton</v>
      </c>
      <c r="M160" s="1" t="str">
        <f ca="1">IFERROR(__xludf.DUMMYFUNCTION("""COMPUTED_VALUE"""),"IL")</f>
        <v>IL</v>
      </c>
      <c r="N160" s="1" t="str">
        <f ca="1">IFERROR(__xludf.DUMMYFUNCTION("""COMPUTED_VALUE"""),"High")</f>
        <v>High</v>
      </c>
      <c r="O160" s="1" t="str">
        <f ca="1">IFERROR(__xludf.DUMMYFUNCTION("""COMPUTED_VALUE"""),"Football Field/Track")</f>
        <v>Football Field/Track</v>
      </c>
      <c r="P160" s="1" t="str">
        <f ca="1">IFERROR(__xludf.DUMMYFUNCTION("""COMPUTED_VALUE"""),"Outside on School Property")</f>
        <v>Outside on School Property</v>
      </c>
      <c r="Q160" s="1" t="str">
        <f ca="1">IFERROR(__xludf.DUMMYFUNCTION("""COMPUTED_VALUE"""),"No")</f>
        <v>No</v>
      </c>
      <c r="R160" s="1" t="str">
        <f ca="1">IFERROR(__xludf.DUMMYFUNCTION("""COMPUTED_VALUE"""),"Sport Event")</f>
        <v>Sport Event</v>
      </c>
      <c r="S160" s="5">
        <f ca="1">IFERROR(__xludf.DUMMYFUNCTION("""COMPUTED_VALUE"""),0.614583333333333)</f>
        <v>0.61458333333333304</v>
      </c>
      <c r="T160" s="1">
        <f ca="1">IFERROR(__xludf.DUMMYFUNCTION("""COMPUTED_VALUE"""),1)</f>
        <v>1</v>
      </c>
      <c r="U160" s="1" t="str">
        <f ca="1">IFERROR(__xludf.DUMMYFUNCTION("""COMPUTED_VALUE"""),"10 shots fired in stands during dispute between parents")</f>
        <v>10 shots fired in stands during dispute between parents</v>
      </c>
      <c r="V160" s="1" t="str">
        <f ca="1">IFERROR(__xludf.DUMMYFUNCTION("""COMPUTED_VALUE"""),"The third quarter was just getting under way as the Dolton Bears faced off with the South Holland Jets when a man opened fire. The ruckus cleared out the bleachers and had many scrambling. ""The first thing that came to our mind was to tell the children t"&amp;"o get down, you know, get covered,"" said parent Dedric Scales. A packed crowd of mostly children ran for cover at the field at Thornridge High School where the peewee football game was underway. ")</f>
        <v xml:space="preserve">The third quarter was just getting under way as the Dolton Bears faced off with the South Holland Jets when a man opened fire. The ruckus cleared out the bleachers and had many scrambling. "The first thing that came to our mind was to tell the children to get down, you know, get covered," said parent Dedric Scales. A packed crowd of mostly children ran for cover at the field at Thornridge High School where the peewee football game was underway. </v>
      </c>
      <c r="W160" s="1" t="str">
        <f ca="1">IFERROR(__xludf.DUMMYFUNCTION("""COMPUTED_VALUE"""),"Escalation of Dispute")</f>
        <v>Escalation of Dispute</v>
      </c>
      <c r="X160" s="1" t="str">
        <f ca="1">IFERROR(__xludf.DUMMYFUNCTION("""COMPUTED_VALUE"""),"Both")</f>
        <v>Both</v>
      </c>
      <c r="Y160" s="1" t="str">
        <f ca="1">IFERROR(__xludf.DUMMYFUNCTION("""COMPUTED_VALUE"""),"No")</f>
        <v>No</v>
      </c>
      <c r="Z160" s="1"/>
      <c r="AA160" s="1" t="str">
        <f ca="1">IFERROR(__xludf.DUMMYFUNCTION("""COMPUTED_VALUE"""),"No")</f>
        <v>No</v>
      </c>
      <c r="AB160" s="1" t="str">
        <f ca="1">IFERROR(__xludf.DUMMYFUNCTION("""COMPUTED_VALUE"""),"No")</f>
        <v>No</v>
      </c>
      <c r="AC160" s="1" t="str">
        <f ca="1">IFERROR(__xludf.DUMMYFUNCTION("""COMPUTED_VALUE"""),"No")</f>
        <v>No</v>
      </c>
      <c r="AD160" s="1" t="str">
        <f ca="1">IFERROR(__xludf.DUMMYFUNCTION("""COMPUTED_VALUE"""),"No")</f>
        <v>No</v>
      </c>
      <c r="AE160" s="1" t="str">
        <f ca="1">IFERROR(__xludf.DUMMYFUNCTION("""COMPUTED_VALUE"""),"No")</f>
        <v>No</v>
      </c>
      <c r="AF160" s="1" t="str">
        <f ca="1">IFERROR(__xludf.DUMMYFUNCTION("""COMPUTED_VALUE"""),"No")</f>
        <v>No</v>
      </c>
      <c r="AG160" s="1" t="str">
        <f ca="1">IFERROR(__xludf.DUMMYFUNCTION("""COMPUTED_VALUE"""),"No")</f>
        <v>No</v>
      </c>
      <c r="AH160" s="1">
        <f ca="1">IFERROR(__xludf.DUMMYFUNCTION("""COMPUTED_VALUE"""),10)</f>
        <v>10</v>
      </c>
    </row>
    <row r="161" spans="1:34" ht="12.5">
      <c r="A161" s="1" t="str">
        <f ca="1">IFERROR(__xludf.DUMMYFUNCTION("""COMPUTED_VALUE"""),"20231006LATHT")</f>
        <v>20231006LATHT</v>
      </c>
      <c r="B161" s="1">
        <f ca="1">IFERROR(__xludf.DUMMYFUNCTION("""COMPUTED_VALUE"""),10)</f>
        <v>10</v>
      </c>
      <c r="C161" s="1">
        <f ca="1">IFERROR(__xludf.DUMMYFUNCTION("""COMPUTED_VALUE"""),6)</f>
        <v>6</v>
      </c>
      <c r="D161" s="1">
        <f ca="1">IFERROR(__xludf.DUMMYFUNCTION("""COMPUTED_VALUE"""),2023)</f>
        <v>2023</v>
      </c>
      <c r="E161" s="4">
        <f ca="1">IFERROR(__xludf.DUMMYFUNCTION("""COMPUTED_VALUE"""),45205)</f>
        <v>45205</v>
      </c>
      <c r="F161" s="1" t="str">
        <f ca="1">IFERROR(__xludf.DUMMYFUNCTION("""COMPUTED_VALUE"""),"Thibodaux High Stadium")</f>
        <v>Thibodaux High Stadium</v>
      </c>
      <c r="G161" s="1">
        <f ca="1">IFERROR(__xludf.DUMMYFUNCTION("""COMPUTED_VALUE"""),0)</f>
        <v>0</v>
      </c>
      <c r="H161" s="1">
        <f ca="1">IFERROR(__xludf.DUMMYFUNCTION("""COMPUTED_VALUE"""),0)</f>
        <v>0</v>
      </c>
      <c r="I161" s="1">
        <f ca="1">IFERROR(__xludf.DUMMYFUNCTION("""COMPUTED_VALUE"""),0)</f>
        <v>0</v>
      </c>
      <c r="J161" s="1">
        <f ca="1">IFERROR(__xludf.DUMMYFUNCTION("""COMPUTED_VALUE"""),0)</f>
        <v>0</v>
      </c>
      <c r="K161" s="1" t="str">
        <f ca="1">IFERROR(__xludf.DUMMYFUNCTION("""COMPUTED_VALUE"""),"Fall")</f>
        <v>Fall</v>
      </c>
      <c r="L161" s="1" t="str">
        <f ca="1">IFERROR(__xludf.DUMMYFUNCTION("""COMPUTED_VALUE"""),"Thibodaux")</f>
        <v>Thibodaux</v>
      </c>
      <c r="M161" s="1" t="str">
        <f ca="1">IFERROR(__xludf.DUMMYFUNCTION("""COMPUTED_VALUE"""),"LA")</f>
        <v>LA</v>
      </c>
      <c r="N161" s="1" t="str">
        <f ca="1">IFERROR(__xludf.DUMMYFUNCTION("""COMPUTED_VALUE"""),"High")</f>
        <v>High</v>
      </c>
      <c r="O161" s="1" t="str">
        <f ca="1">IFERROR(__xludf.DUMMYFUNCTION("""COMPUTED_VALUE"""),"Parking Lot")</f>
        <v>Parking Lot</v>
      </c>
      <c r="P161" s="1" t="str">
        <f ca="1">IFERROR(__xludf.DUMMYFUNCTION("""COMPUTED_VALUE"""),"Outside on School Property")</f>
        <v>Outside on School Property</v>
      </c>
      <c r="Q161" s="1" t="str">
        <f ca="1">IFERROR(__xludf.DUMMYFUNCTION("""COMPUTED_VALUE"""),"No")</f>
        <v>No</v>
      </c>
      <c r="R161" s="1" t="str">
        <f ca="1">IFERROR(__xludf.DUMMYFUNCTION("""COMPUTED_VALUE"""),"Sport Event")</f>
        <v>Sport Event</v>
      </c>
      <c r="S161" s="5">
        <f ca="1">IFERROR(__xludf.DUMMYFUNCTION("""COMPUTED_VALUE"""),0.868055555555555)</f>
        <v>0.86805555555555503</v>
      </c>
      <c r="T161" s="1">
        <f ca="1">IFERROR(__xludf.DUMMYFUNCTION("""COMPUTED_VALUE"""),1)</f>
        <v>1</v>
      </c>
      <c r="U161" s="1" t="str">
        <f ca="1">IFERROR(__xludf.DUMMYFUNCTION("""COMPUTED_VALUE"""),"Shots fired near football field cancelled game")</f>
        <v>Shots fired near football field cancelled game</v>
      </c>
      <c r="V161" s="1" t="str">
        <f ca="1">IFERROR(__xludf.DUMMYFUNCTION("""COMPUTED_VALUE"""),"A 13-year-old boy was arrested on multiple felony charges, including aggravated assault with a firearm, following a shooting incident near a Thibodaux High School football game, Police Chief Bryan Zeringue confirmed. The incident occurred on the evening o"&amp;"f Oct. 6 during a game between Thibodaux High School and Hahnville High School. Law enforcement officials providing security at the game reported hearing 5-6 gunshots from outside the stadium’s west side shortly before 8:30 p.m. The sound triggered a stad"&amp;"ium evacuation, prompting authorities and school officials to suspend the game and clear the premises. Despite an immediate search by officers from both the Thibodaux Police Department and Lafourche Parish Sheriff’s Office, no crime scene, victims, or pro"&amp;"perty damage were identified on the night of the incident. However, a medical event involving a student-athlete was reported, though it was clarified to be unrelated to the shooting, and no injuries linked to the gunshots were recorded. The investigation "&amp;"revealed that the gunfire followed a fight between two groups of juveniles in the stadium parking lot. The suspect, who was not part of the initial altercation, allegedly opened fire on one group as they were leaving the scene.")</f>
        <v>A 13-year-old boy was arrested on multiple felony charges, including aggravated assault with a firearm, following a shooting incident near a Thibodaux High School football game, Police Chief Bryan Zeringue confirmed. The incident occurred on the evening of Oct. 6 during a game between Thibodaux High School and Hahnville High School. Law enforcement officials providing security at the game reported hearing 5-6 gunshots from outside the stadium’s west side shortly before 8:30 p.m. The sound triggered a stadium evacuation, prompting authorities and school officials to suspend the game and clear the premises. Despite an immediate search by officers from both the Thibodaux Police Department and Lafourche Parish Sheriff’s Office, no crime scene, victims, or property damage were identified on the night of the incident. However, a medical event involving a student-athlete was reported, though it was clarified to be unrelated to the shooting, and no injuries linked to the gunshots were recorded. The investigation revealed that the gunfire followed a fight between two groups of juveniles in the stadium parking lot. The suspect, who was not part of the initial altercation, allegedly opened fire on one group as they were leaving the scene.</v>
      </c>
      <c r="W161" s="1" t="str">
        <f ca="1">IFERROR(__xludf.DUMMYFUNCTION("""COMPUTED_VALUE"""),"Escalation of Dispute")</f>
        <v>Escalation of Dispute</v>
      </c>
      <c r="X161" s="1" t="str">
        <f ca="1">IFERROR(__xludf.DUMMYFUNCTION("""COMPUTED_VALUE"""),"Victims Targeted")</f>
        <v>Victims Targeted</v>
      </c>
      <c r="Y161" s="1" t="str">
        <f ca="1">IFERROR(__xludf.DUMMYFUNCTION("""COMPUTED_VALUE"""),"No")</f>
        <v>No</v>
      </c>
      <c r="Z161" s="1"/>
      <c r="AA161" s="1" t="str">
        <f ca="1">IFERROR(__xludf.DUMMYFUNCTION("""COMPUTED_VALUE"""),"No")</f>
        <v>No</v>
      </c>
      <c r="AB161" s="1" t="str">
        <f ca="1">IFERROR(__xludf.DUMMYFUNCTION("""COMPUTED_VALUE"""),"No")</f>
        <v>No</v>
      </c>
      <c r="AC161" s="1" t="str">
        <f ca="1">IFERROR(__xludf.DUMMYFUNCTION("""COMPUTED_VALUE"""),"No")</f>
        <v>No</v>
      </c>
      <c r="AD161" s="1" t="str">
        <f ca="1">IFERROR(__xludf.DUMMYFUNCTION("""COMPUTED_VALUE"""),"No")</f>
        <v>No</v>
      </c>
      <c r="AE161" s="1" t="str">
        <f ca="1">IFERROR(__xludf.DUMMYFUNCTION("""COMPUTED_VALUE"""),"No")</f>
        <v>No</v>
      </c>
      <c r="AF161" s="1"/>
      <c r="AG161" s="1" t="str">
        <f ca="1">IFERROR(__xludf.DUMMYFUNCTION("""COMPUTED_VALUE"""),"No")</f>
        <v>No</v>
      </c>
      <c r="AH161" s="1">
        <f ca="1">IFERROR(__xludf.DUMMYFUNCTION("""COMPUTED_VALUE"""),5)</f>
        <v>5</v>
      </c>
    </row>
    <row r="162" spans="1:34" ht="12.5">
      <c r="A162" s="1" t="str">
        <f ca="1">IFERROR(__xludf.DUMMYFUNCTION("""COMPUTED_VALUE"""),"20231006MIOAO")</f>
        <v>20231006MIOAO</v>
      </c>
      <c r="B162" s="1">
        <f ca="1">IFERROR(__xludf.DUMMYFUNCTION("""COMPUTED_VALUE"""),10)</f>
        <v>10</v>
      </c>
      <c r="C162" s="1">
        <f ca="1">IFERROR(__xludf.DUMMYFUNCTION("""COMPUTED_VALUE"""),6)</f>
        <v>6</v>
      </c>
      <c r="D162" s="1">
        <f ca="1">IFERROR(__xludf.DUMMYFUNCTION("""COMPUTED_VALUE"""),2023)</f>
        <v>2023</v>
      </c>
      <c r="E162" s="4">
        <f ca="1">IFERROR(__xludf.DUMMYFUNCTION("""COMPUTED_VALUE"""),45205)</f>
        <v>45205</v>
      </c>
      <c r="F162" s="1" t="str">
        <f ca="1">IFERROR(__xludf.DUMMYFUNCTION("""COMPUTED_VALUE"""),"Oak Park High School")</f>
        <v>Oak Park High School</v>
      </c>
      <c r="G162" s="1">
        <f ca="1">IFERROR(__xludf.DUMMYFUNCTION("""COMPUTED_VALUE"""),0)</f>
        <v>0</v>
      </c>
      <c r="H162" s="1">
        <f ca="1">IFERROR(__xludf.DUMMYFUNCTION("""COMPUTED_VALUE"""),2)</f>
        <v>2</v>
      </c>
      <c r="I162" s="1">
        <f ca="1">IFERROR(__xludf.DUMMYFUNCTION("""COMPUTED_VALUE"""),2)</f>
        <v>2</v>
      </c>
      <c r="J162" s="1">
        <f ca="1">IFERROR(__xludf.DUMMYFUNCTION("""COMPUTED_VALUE"""),0)</f>
        <v>0</v>
      </c>
      <c r="K162" s="1" t="str">
        <f ca="1">IFERROR(__xludf.DUMMYFUNCTION("""COMPUTED_VALUE"""),"Fall")</f>
        <v>Fall</v>
      </c>
      <c r="L162" s="1" t="str">
        <f ca="1">IFERROR(__xludf.DUMMYFUNCTION("""COMPUTED_VALUE"""),"Oak Park")</f>
        <v>Oak Park</v>
      </c>
      <c r="M162" s="1" t="str">
        <f ca="1">IFERROR(__xludf.DUMMYFUNCTION("""COMPUTED_VALUE"""),"MI")</f>
        <v>MI</v>
      </c>
      <c r="N162" s="1" t="str">
        <f ca="1">IFERROR(__xludf.DUMMYFUNCTION("""COMPUTED_VALUE"""),"High")</f>
        <v>High</v>
      </c>
      <c r="O162" s="1" t="str">
        <f ca="1">IFERROR(__xludf.DUMMYFUNCTION("""COMPUTED_VALUE"""),"Parking Lot")</f>
        <v>Parking Lot</v>
      </c>
      <c r="P162" s="1" t="str">
        <f ca="1">IFERROR(__xludf.DUMMYFUNCTION("""COMPUTED_VALUE"""),"Outside on School Property")</f>
        <v>Outside on School Property</v>
      </c>
      <c r="Q162" s="1" t="str">
        <f ca="1">IFERROR(__xludf.DUMMYFUNCTION("""COMPUTED_VALUE"""),"No")</f>
        <v>No</v>
      </c>
      <c r="R162" s="1" t="str">
        <f ca="1">IFERROR(__xludf.DUMMYFUNCTION("""COMPUTED_VALUE"""),"Sport Event")</f>
        <v>Sport Event</v>
      </c>
      <c r="S162" s="5">
        <f ca="1">IFERROR(__xludf.DUMMYFUNCTION("""COMPUTED_VALUE"""),0.875)</f>
        <v>0.875</v>
      </c>
      <c r="T162" s="1">
        <f ca="1">IFERROR(__xludf.DUMMYFUNCTION("""COMPUTED_VALUE"""),1)</f>
        <v>1</v>
      </c>
      <c r="U162" s="1" t="str">
        <f ca="1">IFERROR(__xludf.DUMMYFUNCTION("""COMPUTED_VALUE"""),"Two students shot in the parking lot during football game")</f>
        <v>Two students shot in the parking lot during football game</v>
      </c>
      <c r="V162" s="1" t="str">
        <f ca="1">IFERROR(__xludf.DUMMYFUNCTION("""COMPUTED_VALUE"""),"Two students were shot Friday night during a football game at Oak Park High School, the school district said. It happened in the parking lot toward the end of Oak Park High School’s homecoming football game against Ferndale High School with about six minu"&amp;"tes remaining. Oak Park Schools confirmed that both victims are students in the district. The district told 7 Action News that both students were transported to the hospital and one of the students was taken into surgery. Both are in stable condition. Som"&amp;"e students reportedly were moved into the high school to shelter in place. Spectators took cover before being evacuated out of the opposite side of the stadium.")</f>
        <v>Two students were shot Friday night during a football game at Oak Park High School, the school district said. It happened in the parking lot toward the end of Oak Park High School’s homecoming football game against Ferndale High School with about six minutes remaining. Oak Park Schools confirmed that both victims are students in the district. The district told 7 Action News that both students were transported to the hospital and one of the students was taken into surgery. Both are in stable condition. Some students reportedly were moved into the high school to shelter in place. Spectators took cover before being evacuated out of the opposite side of the stadium.</v>
      </c>
      <c r="W162" s="1"/>
      <c r="X162" s="1"/>
      <c r="Y162" s="1"/>
      <c r="Z162" s="1"/>
      <c r="AA162" s="1" t="str">
        <f ca="1">IFERROR(__xludf.DUMMYFUNCTION("""COMPUTED_VALUE"""),"No")</f>
        <v>No</v>
      </c>
      <c r="AB162" s="1" t="str">
        <f ca="1">IFERROR(__xludf.DUMMYFUNCTION("""COMPUTED_VALUE"""),"No")</f>
        <v>No</v>
      </c>
      <c r="AC162" s="1" t="str">
        <f ca="1">IFERROR(__xludf.DUMMYFUNCTION("""COMPUTED_VALUE"""),"No")</f>
        <v>No</v>
      </c>
      <c r="AD162" s="1" t="str">
        <f ca="1">IFERROR(__xludf.DUMMYFUNCTION("""COMPUTED_VALUE"""),"No")</f>
        <v>No</v>
      </c>
      <c r="AE162" s="1" t="str">
        <f ca="1">IFERROR(__xludf.DUMMYFUNCTION("""COMPUTED_VALUE"""),"No")</f>
        <v>No</v>
      </c>
      <c r="AF162" s="1"/>
      <c r="AG162" s="1" t="str">
        <f ca="1">IFERROR(__xludf.DUMMYFUNCTION("""COMPUTED_VALUE"""),"No")</f>
        <v>No</v>
      </c>
      <c r="AH162" s="1">
        <f ca="1">IFERROR(__xludf.DUMMYFUNCTION("""COMPUTED_VALUE"""),99)</f>
        <v>99</v>
      </c>
    </row>
    <row r="163" spans="1:34" ht="12.5">
      <c r="A163" s="1" t="str">
        <f ca="1">IFERROR(__xludf.DUMMYFUNCTION("""COMPUTED_VALUE"""),"20231004PAMIE")</f>
        <v>20231004PAMIE</v>
      </c>
      <c r="B163" s="1">
        <f ca="1">IFERROR(__xludf.DUMMYFUNCTION("""COMPUTED_VALUE"""),10)</f>
        <v>10</v>
      </c>
      <c r="C163" s="1">
        <f ca="1">IFERROR(__xludf.DUMMYFUNCTION("""COMPUTED_VALUE"""),4)</f>
        <v>4</v>
      </c>
      <c r="D163" s="1">
        <f ca="1">IFERROR(__xludf.DUMMYFUNCTION("""COMPUTED_VALUE"""),2023)</f>
        <v>2023</v>
      </c>
      <c r="E163" s="4">
        <f ca="1">IFERROR(__xludf.DUMMYFUNCTION("""COMPUTED_VALUE"""),45203)</f>
        <v>45203</v>
      </c>
      <c r="F163" s="1" t="str">
        <f ca="1">IFERROR(__xludf.DUMMYFUNCTION("""COMPUTED_VALUE"""),"Middle Smithfield Elementary School")</f>
        <v>Middle Smithfield Elementary School</v>
      </c>
      <c r="G163" s="1">
        <f ca="1">IFERROR(__xludf.DUMMYFUNCTION("""COMPUTED_VALUE"""),0)</f>
        <v>0</v>
      </c>
      <c r="H163" s="1">
        <f ca="1">IFERROR(__xludf.DUMMYFUNCTION("""COMPUTED_VALUE"""),0)</f>
        <v>0</v>
      </c>
      <c r="I163" s="1">
        <f ca="1">IFERROR(__xludf.DUMMYFUNCTION("""COMPUTED_VALUE"""),0)</f>
        <v>0</v>
      </c>
      <c r="J163" s="1">
        <f ca="1">IFERROR(__xludf.DUMMYFUNCTION("""COMPUTED_VALUE"""),0)</f>
        <v>0</v>
      </c>
      <c r="K163" s="1" t="str">
        <f ca="1">IFERROR(__xludf.DUMMYFUNCTION("""COMPUTED_VALUE"""),"Fall")</f>
        <v>Fall</v>
      </c>
      <c r="L163" s="1" t="str">
        <f ca="1">IFERROR(__xludf.DUMMYFUNCTION("""COMPUTED_VALUE"""),"East Stroudsburg")</f>
        <v>East Stroudsburg</v>
      </c>
      <c r="M163" s="1" t="str">
        <f ca="1">IFERROR(__xludf.DUMMYFUNCTION("""COMPUTED_VALUE"""),"PA")</f>
        <v>PA</v>
      </c>
      <c r="N163" s="1" t="str">
        <f ca="1">IFERROR(__xludf.DUMMYFUNCTION("""COMPUTED_VALUE"""),"Elementary")</f>
        <v>Elementary</v>
      </c>
      <c r="O163" s="1" t="str">
        <f ca="1">IFERROR(__xludf.DUMMYFUNCTION("""COMPUTED_VALUE"""),"Parking Lot")</f>
        <v>Parking Lot</v>
      </c>
      <c r="P163" s="1" t="str">
        <f ca="1">IFERROR(__xludf.DUMMYFUNCTION("""COMPUTED_VALUE"""),"Outside on School Property")</f>
        <v>Outside on School Property</v>
      </c>
      <c r="Q163" s="1" t="str">
        <f ca="1">IFERROR(__xludf.DUMMYFUNCTION("""COMPUTED_VALUE"""),"Yes")</f>
        <v>Yes</v>
      </c>
      <c r="R163" s="1" t="str">
        <f ca="1">IFERROR(__xludf.DUMMYFUNCTION("""COMPUTED_VALUE"""),"Afternoon Classes")</f>
        <v>Afternoon Classes</v>
      </c>
      <c r="S163" s="5">
        <f ca="1">IFERROR(__xludf.DUMMYFUNCTION("""COMPUTED_VALUE"""),0.583333333333333)</f>
        <v>0.58333333333333304</v>
      </c>
      <c r="T163" s="1">
        <f ca="1">IFERROR(__xludf.DUMMYFUNCTION("""COMPUTED_VALUE"""),1)</f>
        <v>1</v>
      </c>
      <c r="U163" s="1" t="str">
        <f ca="1">IFERROR(__xludf.DUMMYFUNCTION("""COMPUTED_VALUE"""),"3-year-old fired gun found inside car in the school parking lot")</f>
        <v>3-year-old fired gun found inside car in the school parking lot</v>
      </c>
      <c r="V163" s="1" t="str">
        <f ca="1">IFERROR(__xludf.DUMMYFUNCTION("""COMPUTED_VALUE"""),"Officials said that, at that time, De Los Santos was at the school to pick up one of her children, and left her other children -- an 11-year-old and a three-year-old -- in her car in the school's parking lot while she was gone. While De Los Santos was in "&amp;"the school, under the front passenger seat, the three-year-old found a loaded 9mm Glock handgun in an unlocked case, which police said, was left there by Jimenez Zabala. After finding the weapon, officials said the child pulled the trigger, discharging a "&amp;"single round inside the vehicle. The shot traveled under the rear passenger seat and back towards the rear of the vehicle, and police said, no one was struck by the bullet. Police said the school's video surveillance captured the incident.")</f>
        <v>Officials said that, at that time, De Los Santos was at the school to pick up one of her children, and left her other children -- an 11-year-old and a three-year-old -- in her car in the school's parking lot while she was gone. While De Los Santos was in the school, under the front passenger seat, the three-year-old found a loaded 9mm Glock handgun in an unlocked case, which police said, was left there by Jimenez Zabala. After finding the weapon, officials said the child pulled the trigger, discharging a single round inside the vehicle. The shot traveled under the rear passenger seat and back towards the rear of the vehicle, and police said, no one was struck by the bullet. Police said the school's video surveillance captured the incident.</v>
      </c>
      <c r="W163" s="1" t="str">
        <f ca="1">IFERROR(__xludf.DUMMYFUNCTION("""COMPUTED_VALUE"""),"Accidental")</f>
        <v>Accidental</v>
      </c>
      <c r="X163" s="1" t="str">
        <f ca="1">IFERROR(__xludf.DUMMYFUNCTION("""COMPUTED_VALUE"""),"Neither")</f>
        <v>Neither</v>
      </c>
      <c r="Y163" s="1" t="str">
        <f ca="1">IFERROR(__xludf.DUMMYFUNCTION("""COMPUTED_VALUE"""),"No")</f>
        <v>No</v>
      </c>
      <c r="Z163" s="1"/>
      <c r="AA163" s="1" t="str">
        <f ca="1">IFERROR(__xludf.DUMMYFUNCTION("""COMPUTED_VALUE"""),"No")</f>
        <v>No</v>
      </c>
      <c r="AB163" s="1" t="str">
        <f ca="1">IFERROR(__xludf.DUMMYFUNCTION("""COMPUTED_VALUE"""),"No")</f>
        <v>No</v>
      </c>
      <c r="AC163" s="1" t="str">
        <f ca="1">IFERROR(__xludf.DUMMYFUNCTION("""COMPUTED_VALUE"""),"No")</f>
        <v>No</v>
      </c>
      <c r="AD163" s="1" t="str">
        <f ca="1">IFERROR(__xludf.DUMMYFUNCTION("""COMPUTED_VALUE"""),"No")</f>
        <v>No</v>
      </c>
      <c r="AE163" s="1" t="str">
        <f ca="1">IFERROR(__xludf.DUMMYFUNCTION("""COMPUTED_VALUE"""),"No")</f>
        <v>No</v>
      </c>
      <c r="AF163" s="1" t="str">
        <f ca="1">IFERROR(__xludf.DUMMYFUNCTION("""COMPUTED_VALUE"""),"No")</f>
        <v>No</v>
      </c>
      <c r="AG163" s="1" t="str">
        <f ca="1">IFERROR(__xludf.DUMMYFUNCTION("""COMPUTED_VALUE"""),"No")</f>
        <v>No</v>
      </c>
      <c r="AH163" s="1">
        <f ca="1">IFERROR(__xludf.DUMMYFUNCTION("""COMPUTED_VALUE"""),1)</f>
        <v>1</v>
      </c>
    </row>
    <row r="164" spans="1:34" ht="12.5">
      <c r="A164" s="1" t="str">
        <f ca="1">IFERROR(__xludf.DUMMYFUNCTION("""COMPUTED_VALUE"""),"20231004COROD")</f>
        <v>20231004COROD</v>
      </c>
      <c r="B164" s="1">
        <f ca="1">IFERROR(__xludf.DUMMYFUNCTION("""COMPUTED_VALUE"""),10)</f>
        <v>10</v>
      </c>
      <c r="C164" s="1">
        <f ca="1">IFERROR(__xludf.DUMMYFUNCTION("""COMPUTED_VALUE"""),4)</f>
        <v>4</v>
      </c>
      <c r="D164" s="1">
        <f ca="1">IFERROR(__xludf.DUMMYFUNCTION("""COMPUTED_VALUE"""),2023)</f>
        <v>2023</v>
      </c>
      <c r="E164" s="4">
        <f ca="1">IFERROR(__xludf.DUMMYFUNCTION("""COMPUTED_VALUE"""),45203)</f>
        <v>45203</v>
      </c>
      <c r="F164" s="1" t="str">
        <f ca="1">IFERROR(__xludf.DUMMYFUNCTION("""COMPUTED_VALUE"""),"Rocky Mountain Prep Southwest")</f>
        <v>Rocky Mountain Prep Southwest</v>
      </c>
      <c r="G164" s="1">
        <f ca="1">IFERROR(__xludf.DUMMYFUNCTION("""COMPUTED_VALUE"""),0)</f>
        <v>0</v>
      </c>
      <c r="H164" s="1">
        <f ca="1">IFERROR(__xludf.DUMMYFUNCTION("""COMPUTED_VALUE"""),1)</f>
        <v>1</v>
      </c>
      <c r="I164" s="1">
        <f ca="1">IFERROR(__xludf.DUMMYFUNCTION("""COMPUTED_VALUE"""),1)</f>
        <v>1</v>
      </c>
      <c r="J164" s="1">
        <f ca="1">IFERROR(__xludf.DUMMYFUNCTION("""COMPUTED_VALUE"""),0)</f>
        <v>0</v>
      </c>
      <c r="K164" s="1" t="str">
        <f ca="1">IFERROR(__xludf.DUMMYFUNCTION("""COMPUTED_VALUE"""),"Fall")</f>
        <v>Fall</v>
      </c>
      <c r="L164" s="1" t="str">
        <f ca="1">IFERROR(__xludf.DUMMYFUNCTION("""COMPUTED_VALUE"""),"Denver")</f>
        <v>Denver</v>
      </c>
      <c r="M164" s="1" t="str">
        <f ca="1">IFERROR(__xludf.DUMMYFUNCTION("""COMPUTED_VALUE"""),"CO")</f>
        <v>CO</v>
      </c>
      <c r="N164" s="1" t="str">
        <f ca="1">IFERROR(__xludf.DUMMYFUNCTION("""COMPUTED_VALUE"""),"Elementary")</f>
        <v>Elementary</v>
      </c>
      <c r="O164" s="1" t="str">
        <f ca="1">IFERROR(__xludf.DUMMYFUNCTION("""COMPUTED_VALUE"""),"Front of School")</f>
        <v>Front of School</v>
      </c>
      <c r="P164" s="1" t="str">
        <f ca="1">IFERROR(__xludf.DUMMYFUNCTION("""COMPUTED_VALUE"""),"Off School Property")</f>
        <v>Off School Property</v>
      </c>
      <c r="Q164" s="1" t="str">
        <f ca="1">IFERROR(__xludf.DUMMYFUNCTION("""COMPUTED_VALUE"""),"Yes")</f>
        <v>Yes</v>
      </c>
      <c r="R164" s="1" t="str">
        <f ca="1">IFERROR(__xludf.DUMMYFUNCTION("""COMPUTED_VALUE"""),"Dismissal")</f>
        <v>Dismissal</v>
      </c>
      <c r="S164" s="5">
        <f ca="1">IFERROR(__xludf.DUMMYFUNCTION("""COMPUTED_VALUE"""),0.625)</f>
        <v>0.625</v>
      </c>
      <c r="T164" s="1">
        <f ca="1">IFERROR(__xludf.DUMMYFUNCTION("""COMPUTED_VALUE"""),1)</f>
        <v>1</v>
      </c>
      <c r="U164" s="1" t="str">
        <f ca="1">IFERROR(__xludf.DUMMYFUNCTION("""COMPUTED_VALUE"""),"Father picking up child shot while chasing teen with gun off of school property")</f>
        <v>Father picking up child shot while chasing teen with gun off of school property</v>
      </c>
      <c r="V164" s="1" t="str">
        <f ca="1">IFERROR(__xludf.DUMMYFUNCTION("""COMPUTED_VALUE"""),"On Oct. 4, Duran said, he was picking up his 9-year-old son from elementary school near Kentucky Avenue and Federal Boulevard. His son hopped in the car, and then, Duran said, he saw a kid with a gun. ""He was walking on school grounds with that gun. I wa"&amp;"s literally one car away from the main office of my son's school,"" Duran said. According to Duran, the teenager threatened another kid with a gun, and then ran away. That's when Duran decided to chase him. ""I just couldn't let him get away. I had this f"&amp;"eeling I had to intervene,"" Duran said. The kid fired a gun down the street from families. Duran's fourth-grade son heard the shots from the car. School went on lockdown. Multiple schools in the area were closed the following day.")</f>
        <v>On Oct. 4, Duran said, he was picking up his 9-year-old son from elementary school near Kentucky Avenue and Federal Boulevard. His son hopped in the car, and then, Duran said, he saw a kid with a gun. "He was walking on school grounds with that gun. I was literally one car away from the main office of my son's school," Duran said. According to Duran, the teenager threatened another kid with a gun, and then ran away. That's when Duran decided to chase him. "I just couldn't let him get away. I had this feeling I had to intervene," Duran said. The kid fired a gun down the street from families. Duran's fourth-grade son heard the shots from the car. School went on lockdown. Multiple schools in the area were closed the following day.</v>
      </c>
      <c r="W164" s="1" t="str">
        <f ca="1">IFERROR(__xludf.DUMMYFUNCTION("""COMPUTED_VALUE"""),"Escalation of Dispute")</f>
        <v>Escalation of Dispute</v>
      </c>
      <c r="X164" s="1" t="str">
        <f ca="1">IFERROR(__xludf.DUMMYFUNCTION("""COMPUTED_VALUE"""),"Both")</f>
        <v>Both</v>
      </c>
      <c r="Y164" s="1" t="str">
        <f ca="1">IFERROR(__xludf.DUMMYFUNCTION("""COMPUTED_VALUE"""),"No")</f>
        <v>No</v>
      </c>
      <c r="Z164" s="1"/>
      <c r="AA164" s="1" t="str">
        <f ca="1">IFERROR(__xludf.DUMMYFUNCTION("""COMPUTED_VALUE"""),"No")</f>
        <v>No</v>
      </c>
      <c r="AB164" s="1" t="str">
        <f ca="1">IFERROR(__xludf.DUMMYFUNCTION("""COMPUTED_VALUE"""),"No")</f>
        <v>No</v>
      </c>
      <c r="AC164" s="1" t="str">
        <f ca="1">IFERROR(__xludf.DUMMYFUNCTION("""COMPUTED_VALUE"""),"No")</f>
        <v>No</v>
      </c>
      <c r="AD164" s="1" t="str">
        <f ca="1">IFERROR(__xludf.DUMMYFUNCTION("""COMPUTED_VALUE"""),"No")</f>
        <v>No</v>
      </c>
      <c r="AE164" s="1" t="str">
        <f ca="1">IFERROR(__xludf.DUMMYFUNCTION("""COMPUTED_VALUE"""),"No")</f>
        <v>No</v>
      </c>
      <c r="AF164" s="1"/>
      <c r="AG164" s="1" t="str">
        <f ca="1">IFERROR(__xludf.DUMMYFUNCTION("""COMPUTED_VALUE"""),"No")</f>
        <v>No</v>
      </c>
      <c r="AH164" s="1">
        <f ca="1">IFERROR(__xludf.DUMMYFUNCTION("""COMPUTED_VALUE"""),99)</f>
        <v>99</v>
      </c>
    </row>
    <row r="165" spans="1:34" ht="12.5">
      <c r="A165" s="1" t="str">
        <f ca="1">IFERROR(__xludf.DUMMYFUNCTION("""COMPUTED_VALUE"""),"20231004WAGAS")</f>
        <v>20231004WAGAS</v>
      </c>
      <c r="B165" s="1">
        <f ca="1">IFERROR(__xludf.DUMMYFUNCTION("""COMPUTED_VALUE"""),10)</f>
        <v>10</v>
      </c>
      <c r="C165" s="1">
        <f ca="1">IFERROR(__xludf.DUMMYFUNCTION("""COMPUTED_VALUE"""),4)</f>
        <v>4</v>
      </c>
      <c r="D165" s="1">
        <f ca="1">IFERROR(__xludf.DUMMYFUNCTION("""COMPUTED_VALUE"""),2023)</f>
        <v>2023</v>
      </c>
      <c r="E165" s="4">
        <f ca="1">IFERROR(__xludf.DUMMYFUNCTION("""COMPUTED_VALUE"""),45203)</f>
        <v>45203</v>
      </c>
      <c r="F165" s="1" t="str">
        <f ca="1">IFERROR(__xludf.DUMMYFUNCTION("""COMPUTED_VALUE"""),"Garfield High School")</f>
        <v>Garfield High School</v>
      </c>
      <c r="G165" s="1">
        <f ca="1">IFERROR(__xludf.DUMMYFUNCTION("""COMPUTED_VALUE"""),0)</f>
        <v>0</v>
      </c>
      <c r="H165" s="1">
        <f ca="1">IFERROR(__xludf.DUMMYFUNCTION("""COMPUTED_VALUE"""),0)</f>
        <v>0</v>
      </c>
      <c r="I165" s="1">
        <f ca="1">IFERROR(__xludf.DUMMYFUNCTION("""COMPUTED_VALUE"""),0)</f>
        <v>0</v>
      </c>
      <c r="J165" s="1">
        <f ca="1">IFERROR(__xludf.DUMMYFUNCTION("""COMPUTED_VALUE"""),0)</f>
        <v>0</v>
      </c>
      <c r="K165" s="1" t="str">
        <f ca="1">IFERROR(__xludf.DUMMYFUNCTION("""COMPUTED_VALUE"""),"Fall")</f>
        <v>Fall</v>
      </c>
      <c r="L165" s="1" t="str">
        <f ca="1">IFERROR(__xludf.DUMMYFUNCTION("""COMPUTED_VALUE"""),"Seattle")</f>
        <v>Seattle</v>
      </c>
      <c r="M165" s="1" t="str">
        <f ca="1">IFERROR(__xludf.DUMMYFUNCTION("""COMPUTED_VALUE"""),"WA")</f>
        <v>WA</v>
      </c>
      <c r="N165" s="1" t="str">
        <f ca="1">IFERROR(__xludf.DUMMYFUNCTION("""COMPUTED_VALUE"""),"High")</f>
        <v>High</v>
      </c>
      <c r="O165" s="1" t="str">
        <f ca="1">IFERROR(__xludf.DUMMYFUNCTION("""COMPUTED_VALUE"""),"Football Field/Track")</f>
        <v>Football Field/Track</v>
      </c>
      <c r="P165" s="1" t="str">
        <f ca="1">IFERROR(__xludf.DUMMYFUNCTION("""COMPUTED_VALUE"""),"Outside on School Property")</f>
        <v>Outside on School Property</v>
      </c>
      <c r="Q165" s="1" t="str">
        <f ca="1">IFERROR(__xludf.DUMMYFUNCTION("""COMPUTED_VALUE"""),"Yes")</f>
        <v>Yes</v>
      </c>
      <c r="R165" s="1" t="str">
        <f ca="1">IFERROR(__xludf.DUMMYFUNCTION("""COMPUTED_VALUE"""),"Lunch")</f>
        <v>Lunch</v>
      </c>
      <c r="S165" s="5">
        <f ca="1">IFERROR(__xludf.DUMMYFUNCTION("""COMPUTED_VALUE"""),0.529166666666666)</f>
        <v>0.52916666666666601</v>
      </c>
      <c r="T165" s="1">
        <f ca="1">IFERROR(__xludf.DUMMYFUNCTION("""COMPUTED_VALUE"""),1)</f>
        <v>1</v>
      </c>
      <c r="U165" s="1" t="str">
        <f ca="1">IFERROR(__xludf.DUMMYFUNCTION("""COMPUTED_VALUE"""),"Shots fired near football field while students were outside for lunch")</f>
        <v>Shots fired near football field while students were outside for lunch</v>
      </c>
      <c r="V165" s="1" t="str">
        <f ca="1">IFERROR(__xludf.DUMMYFUNCTION("""COMPUTED_VALUE"""),"Shots fired near football field while students were outside for lunch. Students ran back to the building and went on lockdown. No injuries. Police found property damage and shell casings.")</f>
        <v>Shots fired near football field while students were outside for lunch. Students ran back to the building and went on lockdown. No injuries. Police found property damage and shell casings.</v>
      </c>
      <c r="W165" s="1"/>
      <c r="X165" s="1"/>
      <c r="Y165" s="1" t="str">
        <f ca="1">IFERROR(__xludf.DUMMYFUNCTION("""COMPUTED_VALUE"""),"No")</f>
        <v>No</v>
      </c>
      <c r="Z165" s="1"/>
      <c r="AA165" s="1" t="str">
        <f ca="1">IFERROR(__xludf.DUMMYFUNCTION("""COMPUTED_VALUE"""),"No")</f>
        <v>No</v>
      </c>
      <c r="AB165" s="1" t="str">
        <f ca="1">IFERROR(__xludf.DUMMYFUNCTION("""COMPUTED_VALUE"""),"No")</f>
        <v>No</v>
      </c>
      <c r="AC165" s="1" t="str">
        <f ca="1">IFERROR(__xludf.DUMMYFUNCTION("""COMPUTED_VALUE"""),"No")</f>
        <v>No</v>
      </c>
      <c r="AD165" s="1" t="str">
        <f ca="1">IFERROR(__xludf.DUMMYFUNCTION("""COMPUTED_VALUE"""),"No")</f>
        <v>No</v>
      </c>
      <c r="AE165" s="1" t="str">
        <f ca="1">IFERROR(__xludf.DUMMYFUNCTION("""COMPUTED_VALUE"""),"No")</f>
        <v>No</v>
      </c>
      <c r="AF165" s="1"/>
      <c r="AG165" s="1" t="str">
        <f ca="1">IFERROR(__xludf.DUMMYFUNCTION("""COMPUTED_VALUE"""),"No")</f>
        <v>No</v>
      </c>
      <c r="AH165" s="1">
        <f ca="1">IFERROR(__xludf.DUMMYFUNCTION("""COMPUTED_VALUE"""),99)</f>
        <v>99</v>
      </c>
    </row>
    <row r="166" spans="1:34" ht="12.5">
      <c r="A166" s="1" t="str">
        <f ca="1">IFERROR(__xludf.DUMMYFUNCTION("""COMPUTED_VALUE"""),"20231004GASAS")</f>
        <v>20231004GASAS</v>
      </c>
      <c r="B166" s="1">
        <f ca="1">IFERROR(__xludf.DUMMYFUNCTION("""COMPUTED_VALUE"""),10)</f>
        <v>10</v>
      </c>
      <c r="C166" s="1">
        <f ca="1">IFERROR(__xludf.DUMMYFUNCTION("""COMPUTED_VALUE"""),4)</f>
        <v>4</v>
      </c>
      <c r="D166" s="1">
        <f ca="1">IFERROR(__xludf.DUMMYFUNCTION("""COMPUTED_VALUE"""),2023)</f>
        <v>2023</v>
      </c>
      <c r="E166" s="4">
        <f ca="1">IFERROR(__xludf.DUMMYFUNCTION("""COMPUTED_VALUE"""),45203)</f>
        <v>45203</v>
      </c>
      <c r="F166" s="1" t="str">
        <f ca="1">IFERROR(__xludf.DUMMYFUNCTION("""COMPUTED_VALUE"""),"Savannah High School")</f>
        <v>Savannah High School</v>
      </c>
      <c r="G166" s="1">
        <f ca="1">IFERROR(__xludf.DUMMYFUNCTION("""COMPUTED_VALUE"""),0)</f>
        <v>0</v>
      </c>
      <c r="H166" s="1">
        <f ca="1">IFERROR(__xludf.DUMMYFUNCTION("""COMPUTED_VALUE"""),1)</f>
        <v>1</v>
      </c>
      <c r="I166" s="1">
        <f ca="1">IFERROR(__xludf.DUMMYFUNCTION("""COMPUTED_VALUE"""),1)</f>
        <v>1</v>
      </c>
      <c r="J166" s="1">
        <f ca="1">IFERROR(__xludf.DUMMYFUNCTION("""COMPUTED_VALUE"""),0)</f>
        <v>0</v>
      </c>
      <c r="K166" s="1" t="str">
        <f ca="1">IFERROR(__xludf.DUMMYFUNCTION("""COMPUTED_VALUE"""),"Fall")</f>
        <v>Fall</v>
      </c>
      <c r="L166" s="1" t="str">
        <f ca="1">IFERROR(__xludf.DUMMYFUNCTION("""COMPUTED_VALUE"""),"Savannah")</f>
        <v>Savannah</v>
      </c>
      <c r="M166" s="1" t="str">
        <f ca="1">IFERROR(__xludf.DUMMYFUNCTION("""COMPUTED_VALUE"""),"GA")</f>
        <v>GA</v>
      </c>
      <c r="N166" s="1" t="str">
        <f ca="1">IFERROR(__xludf.DUMMYFUNCTION("""COMPUTED_VALUE"""),"High")</f>
        <v>High</v>
      </c>
      <c r="O166" s="1" t="str">
        <f ca="1">IFERROR(__xludf.DUMMYFUNCTION("""COMPUTED_VALUE"""),"Field (General)")</f>
        <v>Field (General)</v>
      </c>
      <c r="P166" s="1" t="str">
        <f ca="1">IFERROR(__xludf.DUMMYFUNCTION("""COMPUTED_VALUE"""),"Off School Property")</f>
        <v>Off School Property</v>
      </c>
      <c r="Q166" s="1" t="str">
        <f ca="1">IFERROR(__xludf.DUMMYFUNCTION("""COMPUTED_VALUE"""),"Yes")</f>
        <v>Yes</v>
      </c>
      <c r="R166" s="1" t="str">
        <f ca="1">IFERROR(__xludf.DUMMYFUNCTION("""COMPUTED_VALUE"""),"School Start")</f>
        <v>School Start</v>
      </c>
      <c r="S166" s="5">
        <f ca="1">IFERROR(__xludf.DUMMYFUNCTION("""COMPUTED_VALUE"""),0.3125)</f>
        <v>0.3125</v>
      </c>
      <c r="T166" s="1">
        <f ca="1">IFERROR(__xludf.DUMMYFUNCTION("""COMPUTED_VALUE"""),1)</f>
        <v>1</v>
      </c>
      <c r="U166" s="1" t="str">
        <f ca="1">IFERROR(__xludf.DUMMYFUNCTION("""COMPUTED_VALUE"""),"Group of 4 students shot at as they walked on the sidewalk around the campus to the front gate")</f>
        <v>Group of 4 students shot at as they walked on the sidewalk around the campus to the front gate</v>
      </c>
      <c r="V166" s="1" t="str">
        <f ca="1">IFERROR(__xludf.DUMMYFUNCTION("""COMPUTED_VALUE"""),"Group of 4 students shot at, one wounded, as they walked on the sidewalk around the campus to the front gate before school started. Students ran and took shelter inside a firehouse that is next to the football field. School was placed on lockdown for the "&amp;"remainder of the day.")</f>
        <v>Group of 4 students shot at, one wounded, as they walked on the sidewalk around the campus to the front gate before school started. Students ran and took shelter inside a firehouse that is next to the football field. School was placed on lockdown for the remainder of the day.</v>
      </c>
      <c r="W166" s="1" t="str">
        <f ca="1">IFERROR(__xludf.DUMMYFUNCTION("""COMPUTED_VALUE"""),"Drive-by Shooting")</f>
        <v>Drive-by Shooting</v>
      </c>
      <c r="X166" s="1" t="str">
        <f ca="1">IFERROR(__xludf.DUMMYFUNCTION("""COMPUTED_VALUE"""),"Victims Targeted")</f>
        <v>Victims Targeted</v>
      </c>
      <c r="Y166" s="1" t="str">
        <f ca="1">IFERROR(__xludf.DUMMYFUNCTION("""COMPUTED_VALUE"""),"No")</f>
        <v>No</v>
      </c>
      <c r="Z166" s="1"/>
      <c r="AA166" s="1" t="str">
        <f ca="1">IFERROR(__xludf.DUMMYFUNCTION("""COMPUTED_VALUE"""),"No")</f>
        <v>No</v>
      </c>
      <c r="AB166" s="1" t="str">
        <f ca="1">IFERROR(__xludf.DUMMYFUNCTION("""COMPUTED_VALUE"""),"No")</f>
        <v>No</v>
      </c>
      <c r="AC166" s="1" t="str">
        <f ca="1">IFERROR(__xludf.DUMMYFUNCTION("""COMPUTED_VALUE"""),"No")</f>
        <v>No</v>
      </c>
      <c r="AD166" s="1" t="str">
        <f ca="1">IFERROR(__xludf.DUMMYFUNCTION("""COMPUTED_VALUE"""),"No")</f>
        <v>No</v>
      </c>
      <c r="AE166" s="1" t="str">
        <f ca="1">IFERROR(__xludf.DUMMYFUNCTION("""COMPUTED_VALUE"""),"No")</f>
        <v>No</v>
      </c>
      <c r="AF166" s="1"/>
      <c r="AG166" s="1" t="str">
        <f ca="1">IFERROR(__xludf.DUMMYFUNCTION("""COMPUTED_VALUE"""),"No")</f>
        <v>No</v>
      </c>
      <c r="AH166" s="1">
        <f ca="1">IFERROR(__xludf.DUMMYFUNCTION("""COMPUTED_VALUE"""),99)</f>
        <v>99</v>
      </c>
    </row>
    <row r="167" spans="1:34" ht="12.5">
      <c r="A167" s="1" t="str">
        <f ca="1">IFERROR(__xludf.DUMMYFUNCTION("""COMPUTED_VALUE"""),"20231002CAALL")</f>
        <v>20231002CAALL</v>
      </c>
      <c r="B167" s="1">
        <f ca="1">IFERROR(__xludf.DUMMYFUNCTION("""COMPUTED_VALUE"""),10)</f>
        <v>10</v>
      </c>
      <c r="C167" s="1">
        <f ca="1">IFERROR(__xludf.DUMMYFUNCTION("""COMPUTED_VALUE"""),2)</f>
        <v>2</v>
      </c>
      <c r="D167" s="1">
        <f ca="1">IFERROR(__xludf.DUMMYFUNCTION("""COMPUTED_VALUE"""),2023)</f>
        <v>2023</v>
      </c>
      <c r="E167" s="4">
        <f ca="1">IFERROR(__xludf.DUMMYFUNCTION("""COMPUTED_VALUE"""),45201)</f>
        <v>45201</v>
      </c>
      <c r="F167" s="1" t="str">
        <f ca="1">IFERROR(__xludf.DUMMYFUNCTION("""COMPUTED_VALUE"""),"Albert Einstein High School")</f>
        <v>Albert Einstein High School</v>
      </c>
      <c r="G167" s="1">
        <f ca="1">IFERROR(__xludf.DUMMYFUNCTION("""COMPUTED_VALUE"""),0)</f>
        <v>0</v>
      </c>
      <c r="H167" s="1">
        <f ca="1">IFERROR(__xludf.DUMMYFUNCTION("""COMPUTED_VALUE"""),1)</f>
        <v>1</v>
      </c>
      <c r="I167" s="1">
        <f ca="1">IFERROR(__xludf.DUMMYFUNCTION("""COMPUTED_VALUE"""),1)</f>
        <v>1</v>
      </c>
      <c r="J167" s="1">
        <f ca="1">IFERROR(__xludf.DUMMYFUNCTION("""COMPUTED_VALUE"""),0)</f>
        <v>0</v>
      </c>
      <c r="K167" s="1" t="str">
        <f ca="1">IFERROR(__xludf.DUMMYFUNCTION("""COMPUTED_VALUE"""),"Fall")</f>
        <v>Fall</v>
      </c>
      <c r="L167" s="1" t="str">
        <f ca="1">IFERROR(__xludf.DUMMYFUNCTION("""COMPUTED_VALUE"""),"Los Angles")</f>
        <v>Los Angles</v>
      </c>
      <c r="M167" s="1" t="str">
        <f ca="1">IFERROR(__xludf.DUMMYFUNCTION("""COMPUTED_VALUE"""),"CA")</f>
        <v>CA</v>
      </c>
      <c r="N167" s="1" t="str">
        <f ca="1">IFERROR(__xludf.DUMMYFUNCTION("""COMPUTED_VALUE"""),"High")</f>
        <v>High</v>
      </c>
      <c r="O167" s="1" t="str">
        <f ca="1">IFERROR(__xludf.DUMMYFUNCTION("""COMPUTED_VALUE"""),"Front of School")</f>
        <v>Front of School</v>
      </c>
      <c r="P167" s="1" t="str">
        <f ca="1">IFERROR(__xludf.DUMMYFUNCTION("""COMPUTED_VALUE"""),"Outside on School Property")</f>
        <v>Outside on School Property</v>
      </c>
      <c r="Q167" s="1" t="str">
        <f ca="1">IFERROR(__xludf.DUMMYFUNCTION("""COMPUTED_VALUE"""),"Yes")</f>
        <v>Yes</v>
      </c>
      <c r="R167" s="1" t="str">
        <f ca="1">IFERROR(__xludf.DUMMYFUNCTION("""COMPUTED_VALUE"""),"Dismissal")</f>
        <v>Dismissal</v>
      </c>
      <c r="S167" s="5">
        <f ca="1">IFERROR(__xludf.DUMMYFUNCTION("""COMPUTED_VALUE"""),0.625)</f>
        <v>0.625</v>
      </c>
      <c r="T167" s="1">
        <f ca="1">IFERROR(__xludf.DUMMYFUNCTION("""COMPUTED_VALUE"""),1)</f>
        <v>1</v>
      </c>
      <c r="U167" s="1" t="str">
        <f ca="1">IFERROR(__xludf.DUMMYFUNCTION("""COMPUTED_VALUE"""),"Two students shot at, one wounded, as they get into a car at the front gate of the school")</f>
        <v>Two students shot at, one wounded, as they get into a car at the front gate of the school</v>
      </c>
      <c r="V167" s="1" t="str">
        <f ca="1">IFERROR(__xludf.DUMMYFUNCTION("""COMPUTED_VALUE"""),"The 16-year-old victim and another 17-year-old had just left Einstein and were getting into the 16-year-old's car near the front gate when a man approached, used racial slurs and began shooting, police said. “After those words were exchanged, the suspect "&amp;"produced a handgun and fired rounds at the victims. One of the victims, the driver of the vehicle, was struck and transported himself to the hospital,"" LAPD Dep. Chief Alan Hamilton said. ""In the course of transporting himself, he [the vicitm] struck th"&amp;"e suspect with his vehicle, and that suspect eventually ran from the location,"" Hamilton said. The 17-year-old ran from the shooting scene and wasn't injured. The 16-year-old was said to be in stable condition recovering from gunshot wounds to the arm an"&amp;"d face. Two schools on combined campus went on lockdown.")</f>
        <v>The 16-year-old victim and another 17-year-old had just left Einstein and were getting into the 16-year-old's car near the front gate when a man approached, used racial slurs and began shooting, police said. “After those words were exchanged, the suspect produced a handgun and fired rounds at the victims. One of the victims, the driver of the vehicle, was struck and transported himself to the hospital," LAPD Dep. Chief Alan Hamilton said. "In the course of transporting himself, he [the vicitm] struck the suspect with his vehicle, and that suspect eventually ran from the location," Hamilton said. The 17-year-old ran from the shooting scene and wasn't injured. The 16-year-old was said to be in stable condition recovering from gunshot wounds to the arm and face. Two schools on combined campus went on lockdown.</v>
      </c>
      <c r="W167" s="1" t="str">
        <f ca="1">IFERROR(__xludf.DUMMYFUNCTION("""COMPUTED_VALUE"""),"Racial")</f>
        <v>Racial</v>
      </c>
      <c r="X167" s="1" t="str">
        <f ca="1">IFERROR(__xludf.DUMMYFUNCTION("""COMPUTED_VALUE"""),"Victims Targeted")</f>
        <v>Victims Targeted</v>
      </c>
      <c r="Y167" s="1" t="str">
        <f ca="1">IFERROR(__xludf.DUMMYFUNCTION("""COMPUTED_VALUE"""),"No")</f>
        <v>No</v>
      </c>
      <c r="Z167" s="1"/>
      <c r="AA167" s="1" t="str">
        <f ca="1">IFERROR(__xludf.DUMMYFUNCTION("""COMPUTED_VALUE"""),"No")</f>
        <v>No</v>
      </c>
      <c r="AB167" s="1" t="str">
        <f ca="1">IFERROR(__xludf.DUMMYFUNCTION("""COMPUTED_VALUE"""),"No")</f>
        <v>No</v>
      </c>
      <c r="AC167" s="1" t="str">
        <f ca="1">IFERROR(__xludf.DUMMYFUNCTION("""COMPUTED_VALUE"""),"No")</f>
        <v>No</v>
      </c>
      <c r="AD167" s="1" t="str">
        <f ca="1">IFERROR(__xludf.DUMMYFUNCTION("""COMPUTED_VALUE"""),"No")</f>
        <v>No</v>
      </c>
      <c r="AE167" s="1" t="str">
        <f ca="1">IFERROR(__xludf.DUMMYFUNCTION("""COMPUTED_VALUE"""),"No")</f>
        <v>No</v>
      </c>
      <c r="AF167" s="1" t="str">
        <f ca="1">IFERROR(__xludf.DUMMYFUNCTION("""COMPUTED_VALUE"""),"No")</f>
        <v>No</v>
      </c>
      <c r="AG167" s="1" t="str">
        <f ca="1">IFERROR(__xludf.DUMMYFUNCTION("""COMPUTED_VALUE"""),"No")</f>
        <v>No</v>
      </c>
      <c r="AH167" s="1">
        <f ca="1">IFERROR(__xludf.DUMMYFUNCTION("""COMPUTED_VALUE"""),99)</f>
        <v>99</v>
      </c>
    </row>
    <row r="168" spans="1:34" ht="12.5">
      <c r="A168" s="1" t="str">
        <f ca="1">IFERROR(__xludf.DUMMYFUNCTION("""COMPUTED_VALUE"""),"20231002AZALP")</f>
        <v>20231002AZALP</v>
      </c>
      <c r="B168" s="1">
        <f ca="1">IFERROR(__xludf.DUMMYFUNCTION("""COMPUTED_VALUE"""),10)</f>
        <v>10</v>
      </c>
      <c r="C168" s="1">
        <f ca="1">IFERROR(__xludf.DUMMYFUNCTION("""COMPUTED_VALUE"""),2)</f>
        <v>2</v>
      </c>
      <c r="D168" s="1">
        <f ca="1">IFERROR(__xludf.DUMMYFUNCTION("""COMPUTED_VALUE"""),2023)</f>
        <v>2023</v>
      </c>
      <c r="E168" s="4">
        <f ca="1">IFERROR(__xludf.DUMMYFUNCTION("""COMPUTED_VALUE"""),45201)</f>
        <v>45201</v>
      </c>
      <c r="F168" s="1" t="str">
        <f ca="1">IFERROR(__xludf.DUMMYFUNCTION("""COMPUTED_VALUE"""),"Alhambra High School")</f>
        <v>Alhambra High School</v>
      </c>
      <c r="G168" s="1">
        <f ca="1">IFERROR(__xludf.DUMMYFUNCTION("""COMPUTED_VALUE"""),0)</f>
        <v>0</v>
      </c>
      <c r="H168" s="1">
        <f ca="1">IFERROR(__xludf.DUMMYFUNCTION("""COMPUTED_VALUE"""),0)</f>
        <v>0</v>
      </c>
      <c r="I168" s="1">
        <f ca="1">IFERROR(__xludf.DUMMYFUNCTION("""COMPUTED_VALUE"""),0)</f>
        <v>0</v>
      </c>
      <c r="J168" s="1">
        <f ca="1">IFERROR(__xludf.DUMMYFUNCTION("""COMPUTED_VALUE"""),0)</f>
        <v>0</v>
      </c>
      <c r="K168" s="1" t="str">
        <f ca="1">IFERROR(__xludf.DUMMYFUNCTION("""COMPUTED_VALUE"""),"Fall")</f>
        <v>Fall</v>
      </c>
      <c r="L168" s="1" t="str">
        <f ca="1">IFERROR(__xludf.DUMMYFUNCTION("""COMPUTED_VALUE"""),"Phoenix")</f>
        <v>Phoenix</v>
      </c>
      <c r="M168" s="1" t="str">
        <f ca="1">IFERROR(__xludf.DUMMYFUNCTION("""COMPUTED_VALUE"""),"AZ")</f>
        <v>AZ</v>
      </c>
      <c r="N168" s="1" t="str">
        <f ca="1">IFERROR(__xludf.DUMMYFUNCTION("""COMPUTED_VALUE"""),"High")</f>
        <v>High</v>
      </c>
      <c r="O168" s="1" t="str">
        <f ca="1">IFERROR(__xludf.DUMMYFUNCTION("""COMPUTED_VALUE"""),"Football Field/Track")</f>
        <v>Football Field/Track</v>
      </c>
      <c r="P168" s="1" t="str">
        <f ca="1">IFERROR(__xludf.DUMMYFUNCTION("""COMPUTED_VALUE"""),"Outside on School Property")</f>
        <v>Outside on School Property</v>
      </c>
      <c r="Q168" s="1" t="str">
        <f ca="1">IFERROR(__xludf.DUMMYFUNCTION("""COMPUTED_VALUE"""),"No")</f>
        <v>No</v>
      </c>
      <c r="R168" s="1" t="str">
        <f ca="1">IFERROR(__xludf.DUMMYFUNCTION("""COMPUTED_VALUE"""),"Sport Event")</f>
        <v>Sport Event</v>
      </c>
      <c r="S168" s="5">
        <f ca="1">IFERROR(__xludf.DUMMYFUNCTION("""COMPUTED_VALUE"""),0.78125)</f>
        <v>0.78125</v>
      </c>
      <c r="T168" s="1">
        <f ca="1">IFERROR(__xludf.DUMMYFUNCTION("""COMPUTED_VALUE"""),1)</f>
        <v>1</v>
      </c>
      <c r="U168" s="1" t="str">
        <f ca="1">IFERROR(__xludf.DUMMYFUNCTION("""COMPUTED_VALUE"""),"Multiple shots were fired from a vehicle parked at the football field during practice")</f>
        <v>Multiple shots were fired from a vehicle parked at the football field during practice</v>
      </c>
      <c r="V168" s="1" t="str">
        <f ca="1">IFERROR(__xludf.DUMMYFUNCTION("""COMPUTED_VALUE"""),"The principal of the school sent a letter to parents saying, in part, ""...as football practice was concluding, a minivan parked near the football stadium and discharged a firearm several times,"" and went on to say, ""Thankfully, no one was hurt.""")</f>
        <v>The principal of the school sent a letter to parents saying, in part, "...as football practice was concluding, a minivan parked near the football stadium and discharged a firearm several times," and went on to say, "Thankfully, no one was hurt."</v>
      </c>
      <c r="W168" s="1" t="str">
        <f ca="1">IFERROR(__xludf.DUMMYFUNCTION("""COMPUTED_VALUE"""),"Drive-by Shooting")</f>
        <v>Drive-by Shooting</v>
      </c>
      <c r="X168" s="1"/>
      <c r="Y168" s="1"/>
      <c r="Z168" s="1"/>
      <c r="AA168" s="1" t="str">
        <f ca="1">IFERROR(__xludf.DUMMYFUNCTION("""COMPUTED_VALUE"""),"No")</f>
        <v>No</v>
      </c>
      <c r="AB168" s="1" t="str">
        <f ca="1">IFERROR(__xludf.DUMMYFUNCTION("""COMPUTED_VALUE"""),"No")</f>
        <v>No</v>
      </c>
      <c r="AC168" s="1" t="str">
        <f ca="1">IFERROR(__xludf.DUMMYFUNCTION("""COMPUTED_VALUE"""),"No")</f>
        <v>No</v>
      </c>
      <c r="AD168" s="1" t="str">
        <f ca="1">IFERROR(__xludf.DUMMYFUNCTION("""COMPUTED_VALUE"""),"No")</f>
        <v>No</v>
      </c>
      <c r="AE168" s="1" t="str">
        <f ca="1">IFERROR(__xludf.DUMMYFUNCTION("""COMPUTED_VALUE"""),"No")</f>
        <v>No</v>
      </c>
      <c r="AF168" s="1"/>
      <c r="AG168" s="1" t="str">
        <f ca="1">IFERROR(__xludf.DUMMYFUNCTION("""COMPUTED_VALUE"""),"No")</f>
        <v>No</v>
      </c>
      <c r="AH168" s="1">
        <f ca="1">IFERROR(__xludf.DUMMYFUNCTION("""COMPUTED_VALUE"""),99)</f>
        <v>99</v>
      </c>
    </row>
    <row r="169" spans="1:34" ht="12.5">
      <c r="A169" s="1" t="str">
        <f ca="1">IFERROR(__xludf.DUMMYFUNCTION("""COMPUTED_VALUE"""),"20230930GAGRG")</f>
        <v>20230930GAGRG</v>
      </c>
      <c r="B169" s="1">
        <f ca="1">IFERROR(__xludf.DUMMYFUNCTION("""COMPUTED_VALUE"""),9)</f>
        <v>9</v>
      </c>
      <c r="C169" s="1">
        <f ca="1">IFERROR(__xludf.DUMMYFUNCTION("""COMPUTED_VALUE"""),30)</f>
        <v>30</v>
      </c>
      <c r="D169" s="1">
        <f ca="1">IFERROR(__xludf.DUMMYFUNCTION("""COMPUTED_VALUE"""),2023)</f>
        <v>2023</v>
      </c>
      <c r="E169" s="4">
        <f ca="1">IFERROR(__xludf.DUMMYFUNCTION("""COMPUTED_VALUE"""),45199)</f>
        <v>45199</v>
      </c>
      <c r="F169" s="1" t="str">
        <f ca="1">IFERROR(__xludf.DUMMYFUNCTION("""COMPUTED_VALUE"""),"Griffin High School")</f>
        <v>Griffin High School</v>
      </c>
      <c r="G169" s="1">
        <f ca="1">IFERROR(__xludf.DUMMYFUNCTION("""COMPUTED_VALUE"""),1)</f>
        <v>1</v>
      </c>
      <c r="H169" s="1">
        <f ca="1">IFERROR(__xludf.DUMMYFUNCTION("""COMPUTED_VALUE"""),0)</f>
        <v>0</v>
      </c>
      <c r="I169" s="1">
        <f ca="1">IFERROR(__xludf.DUMMYFUNCTION("""COMPUTED_VALUE"""),1)</f>
        <v>1</v>
      </c>
      <c r="J169" s="1">
        <f ca="1">IFERROR(__xludf.DUMMYFUNCTION("""COMPUTED_VALUE"""),0)</f>
        <v>0</v>
      </c>
      <c r="K169" s="1" t="str">
        <f ca="1">IFERROR(__xludf.DUMMYFUNCTION("""COMPUTED_VALUE"""),"Fall")</f>
        <v>Fall</v>
      </c>
      <c r="L169" s="1" t="str">
        <f ca="1">IFERROR(__xludf.DUMMYFUNCTION("""COMPUTED_VALUE"""),"Griffin")</f>
        <v>Griffin</v>
      </c>
      <c r="M169" s="1" t="str">
        <f ca="1">IFERROR(__xludf.DUMMYFUNCTION("""COMPUTED_VALUE"""),"GA")</f>
        <v>GA</v>
      </c>
      <c r="N169" s="1" t="str">
        <f ca="1">IFERROR(__xludf.DUMMYFUNCTION("""COMPUTED_VALUE"""),"High")</f>
        <v>High</v>
      </c>
      <c r="O169" s="1" t="str">
        <f ca="1">IFERROR(__xludf.DUMMYFUNCTION("""COMPUTED_VALUE"""),"Parking Lot")</f>
        <v>Parking Lot</v>
      </c>
      <c r="P169" s="1" t="str">
        <f ca="1">IFERROR(__xludf.DUMMYFUNCTION("""COMPUTED_VALUE"""),"Off School Property")</f>
        <v>Off School Property</v>
      </c>
      <c r="Q169" s="1" t="str">
        <f ca="1">IFERROR(__xludf.DUMMYFUNCTION("""COMPUTED_VALUE"""),"No")</f>
        <v>No</v>
      </c>
      <c r="R169" s="1" t="str">
        <f ca="1">IFERROR(__xludf.DUMMYFUNCTION("""COMPUTED_VALUE"""),"Sport Event")</f>
        <v>Sport Event</v>
      </c>
      <c r="S169" s="5">
        <f ca="1">IFERROR(__xludf.DUMMYFUNCTION("""COMPUTED_VALUE"""),0.695833333333333)</f>
        <v>0.69583333333333297</v>
      </c>
      <c r="T169" s="1">
        <f ca="1">IFERROR(__xludf.DUMMYFUNCTION("""COMPUTED_VALUE"""),1)</f>
        <v>1</v>
      </c>
      <c r="U169" s="1" t="str">
        <f ca="1">IFERROR(__xludf.DUMMYFUNCTION("""COMPUTED_VALUE"""),"15-year-old was fatally shot while crowd was leaving the afternoon high school football game")</f>
        <v>15-year-old was fatally shot while crowd was leaving the afternoon high school football game</v>
      </c>
      <c r="V169" s="1" t="str">
        <f ca="1">IFERROR(__xludf.DUMMYFUNCTION("""COMPUTED_VALUE"""),"Griffin police said a 15-year-old boy was shot 150 feet from Griffin Memorial Stadium. According to police, units working the game between Griffin High and Spalding High reported hearing gunshots just before 4:45 p.m. They found the boy near the intersect"&amp;"ion of South 5th Street and Poplar Street, the intersection between the football stadium and field house. Police said the boy was taken to Spalding Regional Hospital, where he later died. The Griffin-Spalding County School System said the shooting happene"&amp;"d near the end of the game. Police have issued a lookout for 18-year-old Kaomarion Kendricks, who has arrest warrants for murder, aggravated assault, possession of a pistol by persons under 18, reckless conduct and possession of a firearm during a felony."&amp;" His whereabouts are unknown and he should be considered “armed and dangerous,” police said. Per police, the shooting was targeted and the shooter knew the victim.")</f>
        <v>Griffin police said a 15-year-old boy was shot 150 feet from Griffin Memorial Stadium. According to police, units working the game between Griffin High and Spalding High reported hearing gunshots just before 4:45 p.m. They found the boy near the intersection of South 5th Street and Poplar Street, the intersection between the football stadium and field house. Police said the boy was taken to Spalding Regional Hospital, where he later died. The Griffin-Spalding County School System said the shooting happened near the end of the game. Police have issued a lookout for 18-year-old Kaomarion Kendricks, who has arrest warrants for murder, aggravated assault, possession of a pistol by persons under 18, reckless conduct and possession of a firearm during a felony. His whereabouts are unknown and he should be considered “armed and dangerous,” police said. Per police, the shooting was targeted and the shooter knew the victim.</v>
      </c>
      <c r="W169" s="1"/>
      <c r="X169" s="1" t="str">
        <f ca="1">IFERROR(__xludf.DUMMYFUNCTION("""COMPUTED_VALUE"""),"Victims Targeted")</f>
        <v>Victims Targeted</v>
      </c>
      <c r="Y169" s="1" t="str">
        <f ca="1">IFERROR(__xludf.DUMMYFUNCTION("""COMPUTED_VALUE"""),"No")</f>
        <v>No</v>
      </c>
      <c r="Z169" s="1"/>
      <c r="AA169" s="1" t="str">
        <f ca="1">IFERROR(__xludf.DUMMYFUNCTION("""COMPUTED_VALUE"""),"No")</f>
        <v>No</v>
      </c>
      <c r="AB169" s="1" t="str">
        <f ca="1">IFERROR(__xludf.DUMMYFUNCTION("""COMPUTED_VALUE"""),"No")</f>
        <v>No</v>
      </c>
      <c r="AC169" s="1" t="str">
        <f ca="1">IFERROR(__xludf.DUMMYFUNCTION("""COMPUTED_VALUE"""),"No")</f>
        <v>No</v>
      </c>
      <c r="AD169" s="1" t="str">
        <f ca="1">IFERROR(__xludf.DUMMYFUNCTION("""COMPUTED_VALUE"""),"No")</f>
        <v>No</v>
      </c>
      <c r="AE169" s="1" t="str">
        <f ca="1">IFERROR(__xludf.DUMMYFUNCTION("""COMPUTED_VALUE"""),"No")</f>
        <v>No</v>
      </c>
      <c r="AF169" s="1"/>
      <c r="AG169" s="1" t="str">
        <f ca="1">IFERROR(__xludf.DUMMYFUNCTION("""COMPUTED_VALUE"""),"No")</f>
        <v>No</v>
      </c>
      <c r="AH169" s="1">
        <f ca="1">IFERROR(__xludf.DUMMYFUNCTION("""COMPUTED_VALUE"""),99)</f>
        <v>99</v>
      </c>
    </row>
    <row r="170" spans="1:34" ht="12.5">
      <c r="A170" s="1" t="str">
        <f ca="1">IFERROR(__xludf.DUMMYFUNCTION("""COMPUTED_VALUE"""),"20230929AKWAW")</f>
        <v>20230929AKWAW</v>
      </c>
      <c r="B170" s="1">
        <f ca="1">IFERROR(__xludf.DUMMYFUNCTION("""COMPUTED_VALUE"""),9)</f>
        <v>9</v>
      </c>
      <c r="C170" s="1">
        <f ca="1">IFERROR(__xludf.DUMMYFUNCTION("""COMPUTED_VALUE"""),29)</f>
        <v>29</v>
      </c>
      <c r="D170" s="1">
        <f ca="1">IFERROR(__xludf.DUMMYFUNCTION("""COMPUTED_VALUE"""),2023)</f>
        <v>2023</v>
      </c>
      <c r="E170" s="4">
        <f ca="1">IFERROR(__xludf.DUMMYFUNCTION("""COMPUTED_VALUE"""),45198)</f>
        <v>45198</v>
      </c>
      <c r="F170" s="1" t="str">
        <f ca="1">IFERROR(__xludf.DUMMYFUNCTION("""COMPUTED_VALUE"""),"Wasilla School Bus")</f>
        <v>Wasilla School Bus</v>
      </c>
      <c r="G170" s="1">
        <f ca="1">IFERROR(__xludf.DUMMYFUNCTION("""COMPUTED_VALUE"""),0)</f>
        <v>0</v>
      </c>
      <c r="H170" s="1">
        <f ca="1">IFERROR(__xludf.DUMMYFUNCTION("""COMPUTED_VALUE"""),0)</f>
        <v>0</v>
      </c>
      <c r="I170" s="1">
        <f ca="1">IFERROR(__xludf.DUMMYFUNCTION("""COMPUTED_VALUE"""),0)</f>
        <v>0</v>
      </c>
      <c r="J170" s="1">
        <f ca="1">IFERROR(__xludf.DUMMYFUNCTION("""COMPUTED_VALUE"""),0)</f>
        <v>0</v>
      </c>
      <c r="K170" s="1" t="str">
        <f ca="1">IFERROR(__xludf.DUMMYFUNCTION("""COMPUTED_VALUE"""),"Fall")</f>
        <v>Fall</v>
      </c>
      <c r="L170" s="1" t="str">
        <f ca="1">IFERROR(__xludf.DUMMYFUNCTION("""COMPUTED_VALUE"""),"Wasilla")</f>
        <v>Wasilla</v>
      </c>
      <c r="M170" s="1" t="str">
        <f ca="1">IFERROR(__xludf.DUMMYFUNCTION("""COMPUTED_VALUE"""),"AK")</f>
        <v>AK</v>
      </c>
      <c r="N170" s="1"/>
      <c r="O170" s="1" t="str">
        <f ca="1">IFERROR(__xludf.DUMMYFUNCTION("""COMPUTED_VALUE"""),"School Bus")</f>
        <v>School Bus</v>
      </c>
      <c r="P170" s="1" t="str">
        <f ca="1">IFERROR(__xludf.DUMMYFUNCTION("""COMPUTED_VALUE"""),"School Bus")</f>
        <v>School Bus</v>
      </c>
      <c r="Q170" s="1" t="str">
        <f ca="1">IFERROR(__xludf.DUMMYFUNCTION("""COMPUTED_VALUE"""),"Yes")</f>
        <v>Yes</v>
      </c>
      <c r="R170" s="1" t="str">
        <f ca="1">IFERROR(__xludf.DUMMYFUNCTION("""COMPUTED_VALUE"""),"Dismissal")</f>
        <v>Dismissal</v>
      </c>
      <c r="S170" s="5">
        <f ca="1">IFERROR(__xludf.DUMMYFUNCTION("""COMPUTED_VALUE"""),0.6875)</f>
        <v>0.6875</v>
      </c>
      <c r="T170" s="1">
        <f ca="1">IFERROR(__xludf.DUMMYFUNCTION("""COMPUTED_VALUE"""),1)</f>
        <v>1</v>
      </c>
      <c r="U170" s="1" t="str">
        <f ca="1">IFERROR(__xludf.DUMMYFUNCTION("""COMPUTED_VALUE"""),"Man dropped rifle, bullet went through occupied school bus windshield and into seat")</f>
        <v>Man dropped rifle, bullet went through occupied school bus windshield and into seat</v>
      </c>
      <c r="V170" s="1" t="str">
        <f ca="1">IFERROR(__xludf.DUMMYFUNCTION("""COMPUTED_VALUE"""),"Troopers and EMS immediately responded to the scene. A preliminary investigation revealed that someone was transporting a 30.06 rifle from a camper into a residence when the firearm fell and accidentally discharged. The bullet struck the windshield and th"&amp;"en hit a seat before leaving the bus out of a side window. None of the juveniles on the bus or the driver were struck by the bullet or injured in anyway. Troopers have determined that this was a non-criminal event, and have closed their investigation.")</f>
        <v>Troopers and EMS immediately responded to the scene. A preliminary investigation revealed that someone was transporting a 30.06 rifle from a camper into a residence when the firearm fell and accidentally discharged. The bullet struck the windshield and then hit a seat before leaving the bus out of a side window. None of the juveniles on the bus or the driver were struck by the bullet or injured in anyway. Troopers have determined that this was a non-criminal event, and have closed their investigation.</v>
      </c>
      <c r="W170" s="1" t="str">
        <f ca="1">IFERROR(__xludf.DUMMYFUNCTION("""COMPUTED_VALUE"""),"Accidental")</f>
        <v>Accidental</v>
      </c>
      <c r="X170" s="1" t="str">
        <f ca="1">IFERROR(__xludf.DUMMYFUNCTION("""COMPUTED_VALUE"""),"Neither")</f>
        <v>Neither</v>
      </c>
      <c r="Y170" s="1" t="str">
        <f ca="1">IFERROR(__xludf.DUMMYFUNCTION("""COMPUTED_VALUE"""),"No")</f>
        <v>No</v>
      </c>
      <c r="Z170" s="1"/>
      <c r="AA170" s="1" t="str">
        <f ca="1">IFERROR(__xludf.DUMMYFUNCTION("""COMPUTED_VALUE"""),"No")</f>
        <v>No</v>
      </c>
      <c r="AB170" s="1" t="str">
        <f ca="1">IFERROR(__xludf.DUMMYFUNCTION("""COMPUTED_VALUE"""),"No")</f>
        <v>No</v>
      </c>
      <c r="AC170" s="1" t="str">
        <f ca="1">IFERROR(__xludf.DUMMYFUNCTION("""COMPUTED_VALUE"""),"No")</f>
        <v>No</v>
      </c>
      <c r="AD170" s="1" t="str">
        <f ca="1">IFERROR(__xludf.DUMMYFUNCTION("""COMPUTED_VALUE"""),"No")</f>
        <v>No</v>
      </c>
      <c r="AE170" s="1" t="str">
        <f ca="1">IFERROR(__xludf.DUMMYFUNCTION("""COMPUTED_VALUE"""),"No")</f>
        <v>No</v>
      </c>
      <c r="AF170" s="1" t="str">
        <f ca="1">IFERROR(__xludf.DUMMYFUNCTION("""COMPUTED_VALUE"""),"No")</f>
        <v>No</v>
      </c>
      <c r="AG170" s="1" t="str">
        <f ca="1">IFERROR(__xludf.DUMMYFUNCTION("""COMPUTED_VALUE"""),"No")</f>
        <v>No</v>
      </c>
      <c r="AH170" s="1">
        <f ca="1">IFERROR(__xludf.DUMMYFUNCTION("""COMPUTED_VALUE"""),1)</f>
        <v>1</v>
      </c>
    </row>
    <row r="171" spans="1:34" ht="12.5">
      <c r="A171" s="1" t="str">
        <f ca="1">IFERROR(__xludf.DUMMYFUNCTION("""COMPUTED_VALUE"""),"20230929NCDUG")</f>
        <v>20230929NCDUG</v>
      </c>
      <c r="B171" s="1">
        <f ca="1">IFERROR(__xludf.DUMMYFUNCTION("""COMPUTED_VALUE"""),9)</f>
        <v>9</v>
      </c>
      <c r="C171" s="1">
        <f ca="1">IFERROR(__xludf.DUMMYFUNCTION("""COMPUTED_VALUE"""),29)</f>
        <v>29</v>
      </c>
      <c r="D171" s="1">
        <f ca="1">IFERROR(__xludf.DUMMYFUNCTION("""COMPUTED_VALUE"""),2023)</f>
        <v>2023</v>
      </c>
      <c r="E171" s="4">
        <f ca="1">IFERROR(__xludf.DUMMYFUNCTION("""COMPUTED_VALUE"""),45198)</f>
        <v>45198</v>
      </c>
      <c r="F171" s="1" t="str">
        <f ca="1">IFERROR(__xludf.DUMMYFUNCTION("""COMPUTED_VALUE"""),"Dudley High School")</f>
        <v>Dudley High School</v>
      </c>
      <c r="G171" s="1">
        <f ca="1">IFERROR(__xludf.DUMMYFUNCTION("""COMPUTED_VALUE"""),1)</f>
        <v>1</v>
      </c>
      <c r="H171" s="1">
        <f ca="1">IFERROR(__xludf.DUMMYFUNCTION("""COMPUTED_VALUE"""),1)</f>
        <v>1</v>
      </c>
      <c r="I171" s="1">
        <f ca="1">IFERROR(__xludf.DUMMYFUNCTION("""COMPUTED_VALUE"""),2)</f>
        <v>2</v>
      </c>
      <c r="J171" s="1">
        <f ca="1">IFERROR(__xludf.DUMMYFUNCTION("""COMPUTED_VALUE"""),0)</f>
        <v>0</v>
      </c>
      <c r="K171" s="1" t="str">
        <f ca="1">IFERROR(__xludf.DUMMYFUNCTION("""COMPUTED_VALUE"""),"Fall")</f>
        <v>Fall</v>
      </c>
      <c r="L171" s="1" t="str">
        <f ca="1">IFERROR(__xludf.DUMMYFUNCTION("""COMPUTED_VALUE"""),"Greensboro")</f>
        <v>Greensboro</v>
      </c>
      <c r="M171" s="1" t="str">
        <f ca="1">IFERROR(__xludf.DUMMYFUNCTION("""COMPUTED_VALUE"""),"NC")</f>
        <v>NC</v>
      </c>
      <c r="N171" s="1" t="str">
        <f ca="1">IFERROR(__xludf.DUMMYFUNCTION("""COMPUTED_VALUE"""),"High")</f>
        <v>High</v>
      </c>
      <c r="O171" s="1" t="str">
        <f ca="1">IFERROR(__xludf.DUMMYFUNCTION("""COMPUTED_VALUE"""),"Parking Lot")</f>
        <v>Parking Lot</v>
      </c>
      <c r="P171" s="1" t="str">
        <f ca="1">IFERROR(__xludf.DUMMYFUNCTION("""COMPUTED_VALUE"""),"Outside on School Property")</f>
        <v>Outside on School Property</v>
      </c>
      <c r="Q171" s="1" t="str">
        <f ca="1">IFERROR(__xludf.DUMMYFUNCTION("""COMPUTED_VALUE"""),"No")</f>
        <v>No</v>
      </c>
      <c r="R171" s="1" t="str">
        <f ca="1">IFERROR(__xludf.DUMMYFUNCTION("""COMPUTED_VALUE"""),"Sport Event")</f>
        <v>Sport Event</v>
      </c>
      <c r="S171" s="5">
        <f ca="1">IFERROR(__xludf.DUMMYFUNCTION("""COMPUTED_VALUE"""),0.909027777777777)</f>
        <v>0.90902777777777699</v>
      </c>
      <c r="T171" s="1">
        <f ca="1">IFERROR(__xludf.DUMMYFUNCTION("""COMPUTED_VALUE"""),1)</f>
        <v>1</v>
      </c>
      <c r="U171" s="1" t="str">
        <f ca="1">IFERROR(__xludf.DUMMYFUNCTION("""COMPUTED_VALUE"""),"Two people were shot in the parking lot of Dudley High School after a football game at the school on Friday, 8 others treated by EMS after vehicle drove through crowd")</f>
        <v>Two people were shot in the parking lot of Dudley High School after a football game at the school on Friday, 8 others treated by EMS after vehicle drove through crowd</v>
      </c>
      <c r="V171" s="1" t="str">
        <f ca="1">IFERROR(__xludf.DUMMYFUNCTION("""COMPUTED_VALUE"""),"The football game between Dudley and Smith high schools had just ended. A News &amp; Record reporter was conducting an interview when they heard a commotion and saw the car drive onto the sidewalk just above the stadium on the east side and in front of the fi"&amp;"eldhouse. A man was seen lying on the ground and someone was tending to him. Another person ran toward the scene and was crying and embraced another person, according to the reporter.")</f>
        <v>The football game between Dudley and Smith high schools had just ended. A News &amp; Record reporter was conducting an interview when they heard a commotion and saw the car drive onto the sidewalk just above the stadium on the east side and in front of the fieldhouse. A man was seen lying on the ground and someone was tending to him. Another person ran toward the scene and was crying and embraced another person, according to the reporter.</v>
      </c>
      <c r="W171" s="1" t="str">
        <f ca="1">IFERROR(__xludf.DUMMYFUNCTION("""COMPUTED_VALUE"""),"Drive-by Shooting")</f>
        <v>Drive-by Shooting</v>
      </c>
      <c r="X171" s="1" t="str">
        <f ca="1">IFERROR(__xludf.DUMMYFUNCTION("""COMPUTED_VALUE"""),"Both")</f>
        <v>Both</v>
      </c>
      <c r="Y171" s="1"/>
      <c r="Z171" s="1"/>
      <c r="AA171" s="1" t="str">
        <f ca="1">IFERROR(__xludf.DUMMYFUNCTION("""COMPUTED_VALUE"""),"No")</f>
        <v>No</v>
      </c>
      <c r="AB171" s="1" t="str">
        <f ca="1">IFERROR(__xludf.DUMMYFUNCTION("""COMPUTED_VALUE"""),"No")</f>
        <v>No</v>
      </c>
      <c r="AC171" s="1" t="str">
        <f ca="1">IFERROR(__xludf.DUMMYFUNCTION("""COMPUTED_VALUE"""),"No")</f>
        <v>No</v>
      </c>
      <c r="AD171" s="1" t="str">
        <f ca="1">IFERROR(__xludf.DUMMYFUNCTION("""COMPUTED_VALUE"""),"No")</f>
        <v>No</v>
      </c>
      <c r="AE171" s="1" t="str">
        <f ca="1">IFERROR(__xludf.DUMMYFUNCTION("""COMPUTED_VALUE"""),"No")</f>
        <v>No</v>
      </c>
      <c r="AF171" s="1"/>
      <c r="AG171" s="1" t="str">
        <f ca="1">IFERROR(__xludf.DUMMYFUNCTION("""COMPUTED_VALUE"""),"No")</f>
        <v>No</v>
      </c>
      <c r="AH171" s="1"/>
    </row>
    <row r="172" spans="1:34" ht="12.5">
      <c r="A172" s="1" t="str">
        <f ca="1">IFERROR(__xludf.DUMMYFUNCTION("""COMPUTED_VALUE"""),"20230928MDEDE")</f>
        <v>20230928MDEDE</v>
      </c>
      <c r="B172" s="1">
        <f ca="1">IFERROR(__xludf.DUMMYFUNCTION("""COMPUTED_VALUE"""),9)</f>
        <v>9</v>
      </c>
      <c r="C172" s="1">
        <f ca="1">IFERROR(__xludf.DUMMYFUNCTION("""COMPUTED_VALUE"""),29)</f>
        <v>29</v>
      </c>
      <c r="D172" s="1">
        <f ca="1">IFERROR(__xludf.DUMMYFUNCTION("""COMPUTED_VALUE"""),2023)</f>
        <v>2023</v>
      </c>
      <c r="E172" s="4">
        <f ca="1">IFERROR(__xludf.DUMMYFUNCTION("""COMPUTED_VALUE"""),45198)</f>
        <v>45198</v>
      </c>
      <c r="F172" s="1" t="str">
        <f ca="1">IFERROR(__xludf.DUMMYFUNCTION("""COMPUTED_VALUE"""),"Edgewood High School")</f>
        <v>Edgewood High School</v>
      </c>
      <c r="G172" s="1">
        <f ca="1">IFERROR(__xludf.DUMMYFUNCTION("""COMPUTED_VALUE"""),0)</f>
        <v>0</v>
      </c>
      <c r="H172" s="1">
        <f ca="1">IFERROR(__xludf.DUMMYFUNCTION("""COMPUTED_VALUE"""),0)</f>
        <v>0</v>
      </c>
      <c r="I172" s="1">
        <f ca="1">IFERROR(__xludf.DUMMYFUNCTION("""COMPUTED_VALUE"""),0)</f>
        <v>0</v>
      </c>
      <c r="J172" s="1">
        <f ca="1">IFERROR(__xludf.DUMMYFUNCTION("""COMPUTED_VALUE"""),0)</f>
        <v>0</v>
      </c>
      <c r="K172" s="1" t="str">
        <f ca="1">IFERROR(__xludf.DUMMYFUNCTION("""COMPUTED_VALUE"""),"Fall")</f>
        <v>Fall</v>
      </c>
      <c r="L172" s="1" t="str">
        <f ca="1">IFERROR(__xludf.DUMMYFUNCTION("""COMPUTED_VALUE"""),"Edgewood")</f>
        <v>Edgewood</v>
      </c>
      <c r="M172" s="1" t="str">
        <f ca="1">IFERROR(__xludf.DUMMYFUNCTION("""COMPUTED_VALUE"""),"MD")</f>
        <v>MD</v>
      </c>
      <c r="N172" s="1" t="str">
        <f ca="1">IFERROR(__xludf.DUMMYFUNCTION("""COMPUTED_VALUE"""),"High")</f>
        <v>High</v>
      </c>
      <c r="O172" s="1" t="str">
        <f ca="1">IFERROR(__xludf.DUMMYFUNCTION("""COMPUTED_VALUE"""),"Front of School")</f>
        <v>Front of School</v>
      </c>
      <c r="P172" s="1" t="str">
        <f ca="1">IFERROR(__xludf.DUMMYFUNCTION("""COMPUTED_VALUE"""),"Outside on School Property")</f>
        <v>Outside on School Property</v>
      </c>
      <c r="Q172" s="1" t="str">
        <f ca="1">IFERROR(__xludf.DUMMYFUNCTION("""COMPUTED_VALUE"""),"No")</f>
        <v>No</v>
      </c>
      <c r="R172" s="1" t="str">
        <f ca="1">IFERROR(__xludf.DUMMYFUNCTION("""COMPUTED_VALUE"""),"Sport Event")</f>
        <v>Sport Event</v>
      </c>
      <c r="S172" s="5">
        <f ca="1">IFERROR(__xludf.DUMMYFUNCTION("""COMPUTED_VALUE"""),0.875)</f>
        <v>0.875</v>
      </c>
      <c r="T172" s="1">
        <f ca="1">IFERROR(__xludf.DUMMYFUNCTION("""COMPUTED_VALUE"""),1)</f>
        <v>1</v>
      </c>
      <c r="U172" s="1" t="str">
        <f ca="1">IFERROR(__xludf.DUMMYFUNCTION("""COMPUTED_VALUE"""),"Shots fired in front of school when crowd was leaving football game")</f>
        <v>Shots fired in front of school when crowd was leaving football game</v>
      </c>
      <c r="V172" s="1" t="str">
        <f ca="1">IFERROR(__xludf.DUMMYFUNCTION("""COMPUTED_VALUE"""),"Police at the stadium heard shots and apprehended two suspects near the front of the school. Shell casings were recovered at the school. Additional suspects fled.")</f>
        <v>Police at the stadium heard shots and apprehended two suspects near the front of the school. Shell casings were recovered at the school. Additional suspects fled.</v>
      </c>
      <c r="W172" s="1"/>
      <c r="X172" s="1"/>
      <c r="Y172" s="1" t="str">
        <f ca="1">IFERROR(__xludf.DUMMYFUNCTION("""COMPUTED_VALUE"""),"Yes")</f>
        <v>Yes</v>
      </c>
      <c r="Z172" s="1"/>
      <c r="AA172" s="1" t="str">
        <f ca="1">IFERROR(__xludf.DUMMYFUNCTION("""COMPUTED_VALUE"""),"No")</f>
        <v>No</v>
      </c>
      <c r="AB172" s="1" t="str">
        <f ca="1">IFERROR(__xludf.DUMMYFUNCTION("""COMPUTED_VALUE"""),"No")</f>
        <v>No</v>
      </c>
      <c r="AC172" s="1" t="str">
        <f ca="1">IFERROR(__xludf.DUMMYFUNCTION("""COMPUTED_VALUE"""),"No")</f>
        <v>No</v>
      </c>
      <c r="AD172" s="1" t="str">
        <f ca="1">IFERROR(__xludf.DUMMYFUNCTION("""COMPUTED_VALUE"""),"No")</f>
        <v>No</v>
      </c>
      <c r="AE172" s="1" t="str">
        <f ca="1">IFERROR(__xludf.DUMMYFUNCTION("""COMPUTED_VALUE"""),"No")</f>
        <v>No</v>
      </c>
      <c r="AF172" s="1"/>
      <c r="AG172" s="1" t="str">
        <f ca="1">IFERROR(__xludf.DUMMYFUNCTION("""COMPUTED_VALUE"""),"No")</f>
        <v>No</v>
      </c>
      <c r="AH172" s="1">
        <f ca="1">IFERROR(__xludf.DUMMYFUNCTION("""COMPUTED_VALUE"""),99)</f>
        <v>99</v>
      </c>
    </row>
    <row r="173" spans="1:34" ht="12.5">
      <c r="A173" s="1" t="str">
        <f ca="1">IFERROR(__xludf.DUMMYFUNCTION("""COMPUTED_VALUE"""),"20230928GAROC")</f>
        <v>20230928GAROC</v>
      </c>
      <c r="B173" s="1">
        <f ca="1">IFERROR(__xludf.DUMMYFUNCTION("""COMPUTED_VALUE"""),9)</f>
        <v>9</v>
      </c>
      <c r="C173" s="1">
        <f ca="1">IFERROR(__xludf.DUMMYFUNCTION("""COMPUTED_VALUE"""),28)</f>
        <v>28</v>
      </c>
      <c r="D173" s="1">
        <f ca="1">IFERROR(__xludf.DUMMYFUNCTION("""COMPUTED_VALUE"""),2023)</f>
        <v>2023</v>
      </c>
      <c r="E173" s="4">
        <f ca="1">IFERROR(__xludf.DUMMYFUNCTION("""COMPUTED_VALUE"""),45197)</f>
        <v>45197</v>
      </c>
      <c r="F173" s="1" t="str">
        <f ca="1">IFERROR(__xludf.DUMMYFUNCTION("""COMPUTED_VALUE"""),"Rothschild Leadership Academy")</f>
        <v>Rothschild Leadership Academy</v>
      </c>
      <c r="G173" s="1">
        <f ca="1">IFERROR(__xludf.DUMMYFUNCTION("""COMPUTED_VALUE"""),0)</f>
        <v>0</v>
      </c>
      <c r="H173" s="1">
        <f ca="1">IFERROR(__xludf.DUMMYFUNCTION("""COMPUTED_VALUE"""),1)</f>
        <v>1</v>
      </c>
      <c r="I173" s="1">
        <f ca="1">IFERROR(__xludf.DUMMYFUNCTION("""COMPUTED_VALUE"""),1)</f>
        <v>1</v>
      </c>
      <c r="J173" s="1">
        <f ca="1">IFERROR(__xludf.DUMMYFUNCTION("""COMPUTED_VALUE"""),0)</f>
        <v>0</v>
      </c>
      <c r="K173" s="1" t="str">
        <f ca="1">IFERROR(__xludf.DUMMYFUNCTION("""COMPUTED_VALUE"""),"Fall")</f>
        <v>Fall</v>
      </c>
      <c r="L173" s="1" t="str">
        <f ca="1">IFERROR(__xludf.DUMMYFUNCTION("""COMPUTED_VALUE"""),"Columbus")</f>
        <v>Columbus</v>
      </c>
      <c r="M173" s="1" t="str">
        <f ca="1">IFERROR(__xludf.DUMMYFUNCTION("""COMPUTED_VALUE"""),"GA")</f>
        <v>GA</v>
      </c>
      <c r="N173" s="1" t="str">
        <f ca="1">IFERROR(__xludf.DUMMYFUNCTION("""COMPUTED_VALUE"""),"6-12")</f>
        <v>6-12</v>
      </c>
      <c r="O173" s="1" t="str">
        <f ca="1">IFERROR(__xludf.DUMMYFUNCTION("""COMPUTED_VALUE"""),"Inside School Building")</f>
        <v>Inside School Building</v>
      </c>
      <c r="P173" s="1" t="str">
        <f ca="1">IFERROR(__xludf.DUMMYFUNCTION("""COMPUTED_VALUE"""),"Inside School Building")</f>
        <v>Inside School Building</v>
      </c>
      <c r="Q173" s="1" t="str">
        <f ca="1">IFERROR(__xludf.DUMMYFUNCTION("""COMPUTED_VALUE"""),"Yes")</f>
        <v>Yes</v>
      </c>
      <c r="R173" s="1" t="str">
        <f ca="1">IFERROR(__xludf.DUMMYFUNCTION("""COMPUTED_VALUE"""),"Afternoon Classes")</f>
        <v>Afternoon Classes</v>
      </c>
      <c r="S173" s="5">
        <f ca="1">IFERROR(__xludf.DUMMYFUNCTION("""COMPUTED_VALUE"""),0.541666666666666)</f>
        <v>0.54166666666666596</v>
      </c>
      <c r="T173" s="1">
        <f ca="1">IFERROR(__xludf.DUMMYFUNCTION("""COMPUTED_VALUE"""),1)</f>
        <v>1</v>
      </c>
      <c r="U173" s="1" t="str">
        <f ca="1">IFERROR(__xludf.DUMMYFUNCTION("""COMPUTED_VALUE"""),"Student shot himself while taking gun out of Chromebook case")</f>
        <v>Student shot himself while taking gun out of Chromebook case</v>
      </c>
      <c r="V173" s="1" t="str">
        <f ca="1">IFERROR(__xludf.DUMMYFUNCTION("""COMPUTED_VALUE"""),"A student was unintentionally shot after a gun was smuggled into Rothschild Leadership Academy, according to the Muscogee County School District. The student injured in the incident received immediate medical attention. No other injuries were reported and"&amp;" the weapon has been confiscated. MCSD says firearm was brought into the school through a Chromebook computer case.")</f>
        <v>A student was unintentionally shot after a gun was smuggled into Rothschild Leadership Academy, according to the Muscogee County School District. The student injured in the incident received immediate medical attention. No other injuries were reported and the weapon has been confiscated. MCSD says firearm was brought into the school through a Chromebook computer case.</v>
      </c>
      <c r="W173" s="1" t="str">
        <f ca="1">IFERROR(__xludf.DUMMYFUNCTION("""COMPUTED_VALUE"""),"Accidental")</f>
        <v>Accidental</v>
      </c>
      <c r="X173" s="1" t="str">
        <f ca="1">IFERROR(__xludf.DUMMYFUNCTION("""COMPUTED_VALUE"""),"Neither")</f>
        <v>Neither</v>
      </c>
      <c r="Y173" s="1" t="str">
        <f ca="1">IFERROR(__xludf.DUMMYFUNCTION("""COMPUTED_VALUE"""),"No")</f>
        <v>No</v>
      </c>
      <c r="Z173" s="1"/>
      <c r="AA173" s="1" t="str">
        <f ca="1">IFERROR(__xludf.DUMMYFUNCTION("""COMPUTED_VALUE"""),"No")</f>
        <v>No</v>
      </c>
      <c r="AB173" s="1" t="str">
        <f ca="1">IFERROR(__xludf.DUMMYFUNCTION("""COMPUTED_VALUE"""),"No")</f>
        <v>No</v>
      </c>
      <c r="AC173" s="1" t="str">
        <f ca="1">IFERROR(__xludf.DUMMYFUNCTION("""COMPUTED_VALUE"""),"No")</f>
        <v>No</v>
      </c>
      <c r="AD173" s="1" t="str">
        <f ca="1">IFERROR(__xludf.DUMMYFUNCTION("""COMPUTED_VALUE"""),"No")</f>
        <v>No</v>
      </c>
      <c r="AE173" s="1" t="str">
        <f ca="1">IFERROR(__xludf.DUMMYFUNCTION("""COMPUTED_VALUE"""),"No")</f>
        <v>No</v>
      </c>
      <c r="AF173" s="1" t="str">
        <f ca="1">IFERROR(__xludf.DUMMYFUNCTION("""COMPUTED_VALUE"""),"No")</f>
        <v>No</v>
      </c>
      <c r="AG173" s="1" t="str">
        <f ca="1">IFERROR(__xludf.DUMMYFUNCTION("""COMPUTED_VALUE"""),"No")</f>
        <v>No</v>
      </c>
      <c r="AH173" s="1">
        <f ca="1">IFERROR(__xludf.DUMMYFUNCTION("""COMPUTED_VALUE"""),1)</f>
        <v>1</v>
      </c>
    </row>
    <row r="174" spans="1:34" ht="12.5">
      <c r="A174" s="1" t="str">
        <f ca="1">IFERROR(__xludf.DUMMYFUNCTION("""COMPUTED_VALUE"""),"20230925DCSTW")</f>
        <v>20230925DCSTW</v>
      </c>
      <c r="B174" s="1">
        <f ca="1">IFERROR(__xludf.DUMMYFUNCTION("""COMPUTED_VALUE"""),9)</f>
        <v>9</v>
      </c>
      <c r="C174" s="1">
        <f ca="1">IFERROR(__xludf.DUMMYFUNCTION("""COMPUTED_VALUE"""),25)</f>
        <v>25</v>
      </c>
      <c r="D174" s="1">
        <f ca="1">IFERROR(__xludf.DUMMYFUNCTION("""COMPUTED_VALUE"""),2023)</f>
        <v>2023</v>
      </c>
      <c r="E174" s="4">
        <f ca="1">IFERROR(__xludf.DUMMYFUNCTION("""COMPUTED_VALUE"""),45194)</f>
        <v>45194</v>
      </c>
      <c r="F174" s="1" t="str">
        <f ca="1">IFERROR(__xludf.DUMMYFUNCTION("""COMPUTED_VALUE"""),"Stanton Elementary School")</f>
        <v>Stanton Elementary School</v>
      </c>
      <c r="G174" s="1">
        <f ca="1">IFERROR(__xludf.DUMMYFUNCTION("""COMPUTED_VALUE"""),0)</f>
        <v>0</v>
      </c>
      <c r="H174" s="1">
        <f ca="1">IFERROR(__xludf.DUMMYFUNCTION("""COMPUTED_VALUE"""),0)</f>
        <v>0</v>
      </c>
      <c r="I174" s="1">
        <f ca="1">IFERROR(__xludf.DUMMYFUNCTION("""COMPUTED_VALUE"""),0)</f>
        <v>0</v>
      </c>
      <c r="J174" s="1">
        <f ca="1">IFERROR(__xludf.DUMMYFUNCTION("""COMPUTED_VALUE"""),0)</f>
        <v>0</v>
      </c>
      <c r="K174" s="1" t="str">
        <f ca="1">IFERROR(__xludf.DUMMYFUNCTION("""COMPUTED_VALUE"""),"Fall")</f>
        <v>Fall</v>
      </c>
      <c r="L174" s="1" t="str">
        <f ca="1">IFERROR(__xludf.DUMMYFUNCTION("""COMPUTED_VALUE"""),"Washington")</f>
        <v>Washington</v>
      </c>
      <c r="M174" s="1" t="str">
        <f ca="1">IFERROR(__xludf.DUMMYFUNCTION("""COMPUTED_VALUE"""),"DC")</f>
        <v>DC</v>
      </c>
      <c r="N174" s="1" t="str">
        <f ca="1">IFERROR(__xludf.DUMMYFUNCTION("""COMPUTED_VALUE"""),"Elementary")</f>
        <v>Elementary</v>
      </c>
      <c r="O174" s="1" t="str">
        <f ca="1">IFERROR(__xludf.DUMMYFUNCTION("""COMPUTED_VALUE"""),"Classroom")</f>
        <v>Classroom</v>
      </c>
      <c r="P174" s="1" t="str">
        <f ca="1">IFERROR(__xludf.DUMMYFUNCTION("""COMPUTED_VALUE"""),"Outside on School Property")</f>
        <v>Outside on School Property</v>
      </c>
      <c r="Q174" s="1" t="str">
        <f ca="1">IFERROR(__xludf.DUMMYFUNCTION("""COMPUTED_VALUE"""),"Yes")</f>
        <v>Yes</v>
      </c>
      <c r="R174" s="1" t="str">
        <f ca="1">IFERROR(__xludf.DUMMYFUNCTION("""COMPUTED_VALUE"""),"Afternoon Classes")</f>
        <v>Afternoon Classes</v>
      </c>
      <c r="S174" s="5">
        <f ca="1">IFERROR(__xludf.DUMMYFUNCTION("""COMPUTED_VALUE"""),0.5625)</f>
        <v>0.5625</v>
      </c>
      <c r="T174" s="1">
        <f ca="1">IFERROR(__xludf.DUMMYFUNCTION("""COMPUTED_VALUE"""),1)</f>
        <v>1</v>
      </c>
      <c r="U174" s="1" t="str">
        <f ca="1">IFERROR(__xludf.DUMMYFUNCTION("""COMPUTED_VALUE"""),"Multiple bullets hit the school building while students were outside for recess.")</f>
        <v>Multiple bullets hit the school building while students were outside for recess.</v>
      </c>
      <c r="V174" s="1" t="str">
        <f ca="1">IFERROR(__xludf.DUMMYFUNCTION("""COMPUTED_VALUE"""),"This afternoon at approximately 1:35 p.m., school administration was alerted to gunshots near our campus. We immediately called the Metropolitan Police Department (MPD) as students who were outside were quickly brought back into the building by staff duri"&amp;"ng a reverse evacuation. Once all students and staff were safely inside, we went into a lockdown. During a lockdown status at Stanton, students are ushered away from all windows and exterior classrooms, and moving between classes or entering and exiting t"&amp;"he building is not permitted. Bullets from the gunfire did strike and lodge into the windows of two of our classrooms. The window of an empty 5th grade classroom was struck once, and two windows within a kindergarten classroom were each struck once. No on"&amp;"e was injured, and with both classrooms, the damage to the windows was discovered during a sweep following the lockdown. By 2:10 p.m., MPD cleared us to resume normal operations, and the remainder of the day continued as planned. ")</f>
        <v xml:space="preserve">This afternoon at approximately 1:35 p.m., school administration was alerted to gunshots near our campus. We immediately called the Metropolitan Police Department (MPD) as students who were outside were quickly brought back into the building by staff during a reverse evacuation. Once all students and staff were safely inside, we went into a lockdown. During a lockdown status at Stanton, students are ushered away from all windows and exterior classrooms, and moving between classes or entering and exiting the building is not permitted. Bullets from the gunfire did strike and lodge into the windows of two of our classrooms. The window of an empty 5th grade classroom was struck once, and two windows within a kindergarten classroom were each struck once. No one was injured, and with both classrooms, the damage to the windows was discovered during a sweep following the lockdown. By 2:10 p.m., MPD cleared us to resume normal operations, and the remainder of the day continued as planned. </v>
      </c>
      <c r="W174" s="1" t="str">
        <f ca="1">IFERROR(__xludf.DUMMYFUNCTION("""COMPUTED_VALUE"""),"Drive-by Shooting")</f>
        <v>Drive-by Shooting</v>
      </c>
      <c r="X174" s="1" t="str">
        <f ca="1">IFERROR(__xludf.DUMMYFUNCTION("""COMPUTED_VALUE"""),"Both")</f>
        <v>Both</v>
      </c>
      <c r="Y174" s="1"/>
      <c r="Z174" s="1"/>
      <c r="AA174" s="1" t="str">
        <f ca="1">IFERROR(__xludf.DUMMYFUNCTION("""COMPUTED_VALUE"""),"No")</f>
        <v>No</v>
      </c>
      <c r="AB174" s="1" t="str">
        <f ca="1">IFERROR(__xludf.DUMMYFUNCTION("""COMPUTED_VALUE"""),"No")</f>
        <v>No</v>
      </c>
      <c r="AC174" s="1" t="str">
        <f ca="1">IFERROR(__xludf.DUMMYFUNCTION("""COMPUTED_VALUE"""),"No")</f>
        <v>No</v>
      </c>
      <c r="AD174" s="1" t="str">
        <f ca="1">IFERROR(__xludf.DUMMYFUNCTION("""COMPUTED_VALUE"""),"No")</f>
        <v>No</v>
      </c>
      <c r="AE174" s="1" t="str">
        <f ca="1">IFERROR(__xludf.DUMMYFUNCTION("""COMPUTED_VALUE"""),"No")</f>
        <v>No</v>
      </c>
      <c r="AF174" s="1"/>
      <c r="AG174" s="1" t="str">
        <f ca="1">IFERROR(__xludf.DUMMYFUNCTION("""COMPUTED_VALUE"""),"No")</f>
        <v>No</v>
      </c>
      <c r="AH174" s="1">
        <f ca="1">IFERROR(__xludf.DUMMYFUNCTION("""COMPUTED_VALUE"""),99)</f>
        <v>99</v>
      </c>
    </row>
    <row r="175" spans="1:34" ht="12.5">
      <c r="A175" s="1" t="str">
        <f ca="1">IFERROR(__xludf.DUMMYFUNCTION("""COMPUTED_VALUE"""),"20230925MDDUB")</f>
        <v>20230925MDDUB</v>
      </c>
      <c r="B175" s="1">
        <f ca="1">IFERROR(__xludf.DUMMYFUNCTION("""COMPUTED_VALUE"""),9)</f>
        <v>9</v>
      </c>
      <c r="C175" s="1">
        <f ca="1">IFERROR(__xludf.DUMMYFUNCTION("""COMPUTED_VALUE"""),25)</f>
        <v>25</v>
      </c>
      <c r="D175" s="1">
        <f ca="1">IFERROR(__xludf.DUMMYFUNCTION("""COMPUTED_VALUE"""),2023)</f>
        <v>2023</v>
      </c>
      <c r="E175" s="4">
        <f ca="1">IFERROR(__xludf.DUMMYFUNCTION("""COMPUTED_VALUE"""),45194)</f>
        <v>45194</v>
      </c>
      <c r="F175" s="1" t="str">
        <f ca="1">IFERROR(__xludf.DUMMYFUNCTION("""COMPUTED_VALUE"""),"Dunbar High School")</f>
        <v>Dunbar High School</v>
      </c>
      <c r="G175" s="1">
        <f ca="1">IFERROR(__xludf.DUMMYFUNCTION("""COMPUTED_VALUE"""),0)</f>
        <v>0</v>
      </c>
      <c r="H175" s="1">
        <f ca="1">IFERROR(__xludf.DUMMYFUNCTION("""COMPUTED_VALUE"""),1)</f>
        <v>1</v>
      </c>
      <c r="I175" s="1">
        <f ca="1">IFERROR(__xludf.DUMMYFUNCTION("""COMPUTED_VALUE"""),1)</f>
        <v>1</v>
      </c>
      <c r="J175" s="1">
        <f ca="1">IFERROR(__xludf.DUMMYFUNCTION("""COMPUTED_VALUE"""),0)</f>
        <v>0</v>
      </c>
      <c r="K175" s="1" t="str">
        <f ca="1">IFERROR(__xludf.DUMMYFUNCTION("""COMPUTED_VALUE"""),"Fall")</f>
        <v>Fall</v>
      </c>
      <c r="L175" s="1" t="str">
        <f ca="1">IFERROR(__xludf.DUMMYFUNCTION("""COMPUTED_VALUE"""),"Baltimore")</f>
        <v>Baltimore</v>
      </c>
      <c r="M175" s="1" t="str">
        <f ca="1">IFERROR(__xludf.DUMMYFUNCTION("""COMPUTED_VALUE"""),"MD")</f>
        <v>MD</v>
      </c>
      <c r="N175" s="1" t="str">
        <f ca="1">IFERROR(__xludf.DUMMYFUNCTION("""COMPUTED_VALUE"""),"High")</f>
        <v>High</v>
      </c>
      <c r="O175" s="1" t="str">
        <f ca="1">IFERROR(__xludf.DUMMYFUNCTION("""COMPUTED_VALUE"""),"Beside Building")</f>
        <v>Beside Building</v>
      </c>
      <c r="P175" s="1" t="str">
        <f ca="1">IFERROR(__xludf.DUMMYFUNCTION("""COMPUTED_VALUE"""),"Outside on School Property")</f>
        <v>Outside on School Property</v>
      </c>
      <c r="Q175" s="1" t="str">
        <f ca="1">IFERROR(__xludf.DUMMYFUNCTION("""COMPUTED_VALUE"""),"Yes")</f>
        <v>Yes</v>
      </c>
      <c r="R175" s="1" t="str">
        <f ca="1">IFERROR(__xludf.DUMMYFUNCTION("""COMPUTED_VALUE"""),"Dismissal")</f>
        <v>Dismissal</v>
      </c>
      <c r="S175" s="5">
        <f ca="1">IFERROR(__xludf.DUMMYFUNCTION("""COMPUTED_VALUE"""),0.666666666666666)</f>
        <v>0.66666666666666596</v>
      </c>
      <c r="T175" s="1">
        <f ca="1">IFERROR(__xludf.DUMMYFUNCTION("""COMPUTED_VALUE"""),1)</f>
        <v>1</v>
      </c>
      <c r="U175" s="1" t="str">
        <f ca="1">IFERROR(__xludf.DUMMYFUNCTION("""COMPUTED_VALUE"""),"Student shot self in the leg behind school")</f>
        <v>Student shot self in the leg behind school</v>
      </c>
      <c r="V175" s="1" t="str">
        <f ca="1">IFERROR(__xludf.DUMMYFUNCTION("""COMPUTED_VALUE"""),"Student shot self in the leg behind school. Transported to hospital.")</f>
        <v>Student shot self in the leg behind school. Transported to hospital.</v>
      </c>
      <c r="W175" s="1" t="str">
        <f ca="1">IFERROR(__xludf.DUMMYFUNCTION("""COMPUTED_VALUE"""),"Accidental")</f>
        <v>Accidental</v>
      </c>
      <c r="X175" s="1" t="str">
        <f ca="1">IFERROR(__xludf.DUMMYFUNCTION("""COMPUTED_VALUE"""),"Neither")</f>
        <v>Neither</v>
      </c>
      <c r="Y175" s="1" t="str">
        <f ca="1">IFERROR(__xludf.DUMMYFUNCTION("""COMPUTED_VALUE"""),"No")</f>
        <v>No</v>
      </c>
      <c r="Z175" s="1"/>
      <c r="AA175" s="1" t="str">
        <f ca="1">IFERROR(__xludf.DUMMYFUNCTION("""COMPUTED_VALUE"""),"No")</f>
        <v>No</v>
      </c>
      <c r="AB175" s="1" t="str">
        <f ca="1">IFERROR(__xludf.DUMMYFUNCTION("""COMPUTED_VALUE"""),"No")</f>
        <v>No</v>
      </c>
      <c r="AC175" s="1" t="str">
        <f ca="1">IFERROR(__xludf.DUMMYFUNCTION("""COMPUTED_VALUE"""),"No")</f>
        <v>No</v>
      </c>
      <c r="AD175" s="1" t="str">
        <f ca="1">IFERROR(__xludf.DUMMYFUNCTION("""COMPUTED_VALUE"""),"No")</f>
        <v>No</v>
      </c>
      <c r="AE175" s="1" t="str">
        <f ca="1">IFERROR(__xludf.DUMMYFUNCTION("""COMPUTED_VALUE"""),"No")</f>
        <v>No</v>
      </c>
      <c r="AF175" s="1" t="str">
        <f ca="1">IFERROR(__xludf.DUMMYFUNCTION("""COMPUTED_VALUE"""),"No")</f>
        <v>No</v>
      </c>
      <c r="AG175" s="1" t="str">
        <f ca="1">IFERROR(__xludf.DUMMYFUNCTION("""COMPUTED_VALUE"""),"No")</f>
        <v>No</v>
      </c>
      <c r="AH175" s="1">
        <f ca="1">IFERROR(__xludf.DUMMYFUNCTION("""COMPUTED_VALUE"""),1)</f>
        <v>1</v>
      </c>
    </row>
    <row r="176" spans="1:34" ht="12.5">
      <c r="A176" s="1" t="str">
        <f ca="1">IFERROR(__xludf.DUMMYFUNCTION("""COMPUTED_VALUE"""),"20230925MDGIB")</f>
        <v>20230925MDGIB</v>
      </c>
      <c r="B176" s="1">
        <f ca="1">IFERROR(__xludf.DUMMYFUNCTION("""COMPUTED_VALUE"""),9)</f>
        <v>9</v>
      </c>
      <c r="C176" s="1">
        <f ca="1">IFERROR(__xludf.DUMMYFUNCTION("""COMPUTED_VALUE"""),25)</f>
        <v>25</v>
      </c>
      <c r="D176" s="1">
        <f ca="1">IFERROR(__xludf.DUMMYFUNCTION("""COMPUTED_VALUE"""),2023)</f>
        <v>2023</v>
      </c>
      <c r="E176" s="4">
        <f ca="1">IFERROR(__xludf.DUMMYFUNCTION("""COMPUTED_VALUE"""),45194)</f>
        <v>45194</v>
      </c>
      <c r="F176" s="1" t="str">
        <f ca="1">IFERROR(__xludf.DUMMYFUNCTION("""COMPUTED_VALUE"""),"Gilmor Elementary School")</f>
        <v>Gilmor Elementary School</v>
      </c>
      <c r="G176" s="1">
        <f ca="1">IFERROR(__xludf.DUMMYFUNCTION("""COMPUTED_VALUE"""),1)</f>
        <v>1</v>
      </c>
      <c r="H176" s="1">
        <f ca="1">IFERROR(__xludf.DUMMYFUNCTION("""COMPUTED_VALUE"""),0)</f>
        <v>0</v>
      </c>
      <c r="I176" s="1">
        <f ca="1">IFERROR(__xludf.DUMMYFUNCTION("""COMPUTED_VALUE"""),1)</f>
        <v>1</v>
      </c>
      <c r="J176" s="1">
        <f ca="1">IFERROR(__xludf.DUMMYFUNCTION("""COMPUTED_VALUE"""),0)</f>
        <v>0</v>
      </c>
      <c r="K176" s="1" t="str">
        <f ca="1">IFERROR(__xludf.DUMMYFUNCTION("""COMPUTED_VALUE"""),"Fall")</f>
        <v>Fall</v>
      </c>
      <c r="L176" s="1" t="str">
        <f ca="1">IFERROR(__xludf.DUMMYFUNCTION("""COMPUTED_VALUE"""),"Baltimore")</f>
        <v>Baltimore</v>
      </c>
      <c r="M176" s="1" t="str">
        <f ca="1">IFERROR(__xludf.DUMMYFUNCTION("""COMPUTED_VALUE"""),"MD")</f>
        <v>MD</v>
      </c>
      <c r="N176" s="1" t="str">
        <f ca="1">IFERROR(__xludf.DUMMYFUNCTION("""COMPUTED_VALUE"""),"Elementary")</f>
        <v>Elementary</v>
      </c>
      <c r="O176" s="1" t="str">
        <f ca="1">IFERROR(__xludf.DUMMYFUNCTION("""COMPUTED_VALUE"""),"Front of School")</f>
        <v>Front of School</v>
      </c>
      <c r="P176" s="1" t="str">
        <f ca="1">IFERROR(__xludf.DUMMYFUNCTION("""COMPUTED_VALUE"""),"Outside on School Property")</f>
        <v>Outside on School Property</v>
      </c>
      <c r="Q176" s="1" t="str">
        <f ca="1">IFERROR(__xludf.DUMMYFUNCTION("""COMPUTED_VALUE"""),"No")</f>
        <v>No</v>
      </c>
      <c r="R176" s="1" t="str">
        <f ca="1">IFERROR(__xludf.DUMMYFUNCTION("""COMPUTED_VALUE"""),"Not a School Day")</f>
        <v>Not a School Day</v>
      </c>
      <c r="S176" s="5">
        <f ca="1">IFERROR(__xludf.DUMMYFUNCTION("""COMPUTED_VALUE"""),0.6875)</f>
        <v>0.6875</v>
      </c>
      <c r="T176" s="1">
        <f ca="1">IFERROR(__xludf.DUMMYFUNCTION("""COMPUTED_VALUE"""),1)</f>
        <v>1</v>
      </c>
      <c r="U176" s="1" t="str">
        <f ca="1">IFERROR(__xludf.DUMMYFUNCTION("""COMPUTED_VALUE"""),"Teen fatally shot in front of the school")</f>
        <v>Teen fatally shot in front of the school</v>
      </c>
      <c r="V176" s="1" t="str">
        <f ca="1">IFERROR(__xludf.DUMMYFUNCTION("""COMPUTED_VALUE"""),"A 15-year-old boy was killed in a shooting outside of Gilmor Elementary School. Police found the teen suffering from numerous life-threatening gunshot wounds. He was taken to a hospital where he died, according to police.")</f>
        <v>A 15-year-old boy was killed in a shooting outside of Gilmor Elementary School. Police found the teen suffering from numerous life-threatening gunshot wounds. He was taken to a hospital where he died, according to police.</v>
      </c>
      <c r="W176" s="1"/>
      <c r="X176" s="1" t="str">
        <f ca="1">IFERROR(__xludf.DUMMYFUNCTION("""COMPUTED_VALUE"""),"Victims Targeted")</f>
        <v>Victims Targeted</v>
      </c>
      <c r="Y176" s="1" t="str">
        <f ca="1">IFERROR(__xludf.DUMMYFUNCTION("""COMPUTED_VALUE"""),"No")</f>
        <v>No</v>
      </c>
      <c r="Z176" s="1"/>
      <c r="AA176" s="1" t="str">
        <f ca="1">IFERROR(__xludf.DUMMYFUNCTION("""COMPUTED_VALUE"""),"No")</f>
        <v>No</v>
      </c>
      <c r="AB176" s="1" t="str">
        <f ca="1">IFERROR(__xludf.DUMMYFUNCTION("""COMPUTED_VALUE"""),"No")</f>
        <v>No</v>
      </c>
      <c r="AC176" s="1" t="str">
        <f ca="1">IFERROR(__xludf.DUMMYFUNCTION("""COMPUTED_VALUE"""),"No")</f>
        <v>No</v>
      </c>
      <c r="AD176" s="1" t="str">
        <f ca="1">IFERROR(__xludf.DUMMYFUNCTION("""COMPUTED_VALUE"""),"No")</f>
        <v>No</v>
      </c>
      <c r="AE176" s="1" t="str">
        <f ca="1">IFERROR(__xludf.DUMMYFUNCTION("""COMPUTED_VALUE"""),"No")</f>
        <v>No</v>
      </c>
      <c r="AF176" s="1"/>
      <c r="AG176" s="1" t="str">
        <f ca="1">IFERROR(__xludf.DUMMYFUNCTION("""COMPUTED_VALUE"""),"No")</f>
        <v>No</v>
      </c>
      <c r="AH176" s="1">
        <f ca="1">IFERROR(__xludf.DUMMYFUNCTION("""COMPUTED_VALUE"""),99)</f>
        <v>99</v>
      </c>
    </row>
    <row r="177" spans="1:34" ht="12.5">
      <c r="A177" s="1" t="str">
        <f ca="1">IFERROR(__xludf.DUMMYFUNCTION("""COMPUTED_VALUE"""),"20230923OHMAC")</f>
        <v>20230923OHMAC</v>
      </c>
      <c r="B177" s="1">
        <f ca="1">IFERROR(__xludf.DUMMYFUNCTION("""COMPUTED_VALUE"""),9)</f>
        <v>9</v>
      </c>
      <c r="C177" s="1">
        <f ca="1">IFERROR(__xludf.DUMMYFUNCTION("""COMPUTED_VALUE"""),23)</f>
        <v>23</v>
      </c>
      <c r="D177" s="1">
        <f ca="1">IFERROR(__xludf.DUMMYFUNCTION("""COMPUTED_VALUE"""),2023)</f>
        <v>2023</v>
      </c>
      <c r="E177" s="4">
        <f ca="1">IFERROR(__xludf.DUMMYFUNCTION("""COMPUTED_VALUE"""),45192)</f>
        <v>45192</v>
      </c>
      <c r="F177" s="1" t="str">
        <f ca="1">IFERROR(__xludf.DUMMYFUNCTION("""COMPUTED_VALUE"""),"Mary Church Terrell School")</f>
        <v>Mary Church Terrell School</v>
      </c>
      <c r="G177" s="1">
        <f ca="1">IFERROR(__xludf.DUMMYFUNCTION("""COMPUTED_VALUE"""),0)</f>
        <v>0</v>
      </c>
      <c r="H177" s="1">
        <f ca="1">IFERROR(__xludf.DUMMYFUNCTION("""COMPUTED_VALUE"""),0)</f>
        <v>0</v>
      </c>
      <c r="I177" s="1">
        <f ca="1">IFERROR(__xludf.DUMMYFUNCTION("""COMPUTED_VALUE"""),0)</f>
        <v>0</v>
      </c>
      <c r="J177" s="1">
        <f ca="1">IFERROR(__xludf.DUMMYFUNCTION("""COMPUTED_VALUE"""),0)</f>
        <v>0</v>
      </c>
      <c r="K177" s="1" t="str">
        <f ca="1">IFERROR(__xludf.DUMMYFUNCTION("""COMPUTED_VALUE"""),"Fall")</f>
        <v>Fall</v>
      </c>
      <c r="L177" s="1" t="str">
        <f ca="1">IFERROR(__xludf.DUMMYFUNCTION("""COMPUTED_VALUE"""),"Cleveland")</f>
        <v>Cleveland</v>
      </c>
      <c r="M177" s="1" t="str">
        <f ca="1">IFERROR(__xludf.DUMMYFUNCTION("""COMPUTED_VALUE"""),"OH")</f>
        <v>OH</v>
      </c>
      <c r="N177" s="1" t="str">
        <f ca="1">IFERROR(__xludf.DUMMYFUNCTION("""COMPUTED_VALUE"""),"K-8")</f>
        <v>K-8</v>
      </c>
      <c r="O177" s="1" t="str">
        <f ca="1">IFERROR(__xludf.DUMMYFUNCTION("""COMPUTED_VALUE"""),"Parking Lot")</f>
        <v>Parking Lot</v>
      </c>
      <c r="P177" s="1" t="str">
        <f ca="1">IFERROR(__xludf.DUMMYFUNCTION("""COMPUTED_VALUE"""),"Outside on School Property")</f>
        <v>Outside on School Property</v>
      </c>
      <c r="Q177" s="1" t="str">
        <f ca="1">IFERROR(__xludf.DUMMYFUNCTION("""COMPUTED_VALUE"""),"Yes")</f>
        <v>Yes</v>
      </c>
      <c r="R177" s="1" t="str">
        <f ca="1">IFERROR(__xludf.DUMMYFUNCTION("""COMPUTED_VALUE"""),"Not a School Day")</f>
        <v>Not a School Day</v>
      </c>
      <c r="S177" s="5">
        <f ca="1">IFERROR(__xludf.DUMMYFUNCTION("""COMPUTED_VALUE"""),0.423611111111111)</f>
        <v>0.42361111111111099</v>
      </c>
      <c r="T177" s="1">
        <f ca="1">IFERROR(__xludf.DUMMYFUNCTION("""COMPUTED_VALUE"""),1)</f>
        <v>1</v>
      </c>
      <c r="U177" s="1" t="str">
        <f ca="1">IFERROR(__xludf.DUMMYFUNCTION("""COMPUTED_VALUE"""),"Woman robbed at gunpoint in school parking lot")</f>
        <v>Woman robbed at gunpoint in school parking lot</v>
      </c>
      <c r="V177" s="1" t="str">
        <f ca="1">IFERROR(__xludf.DUMMYFUNCTION("""COMPUTED_VALUE"""),"Woman robbed at gunpoint in school parking lot.")</f>
        <v>Woman robbed at gunpoint in school parking lot.</v>
      </c>
      <c r="W177" s="1" t="str">
        <f ca="1">IFERROR(__xludf.DUMMYFUNCTION("""COMPUTED_VALUE"""),"Illegal Activity")</f>
        <v>Illegal Activity</v>
      </c>
      <c r="X177" s="1" t="str">
        <f ca="1">IFERROR(__xludf.DUMMYFUNCTION("""COMPUTED_VALUE"""),"Victims Targeted")</f>
        <v>Victims Targeted</v>
      </c>
      <c r="Y177" s="1" t="str">
        <f ca="1">IFERROR(__xludf.DUMMYFUNCTION("""COMPUTED_VALUE"""),"No")</f>
        <v>No</v>
      </c>
      <c r="Z177" s="1"/>
      <c r="AA177" s="1" t="str">
        <f ca="1">IFERROR(__xludf.DUMMYFUNCTION("""COMPUTED_VALUE"""),"No")</f>
        <v>No</v>
      </c>
      <c r="AB177" s="1" t="str">
        <f ca="1">IFERROR(__xludf.DUMMYFUNCTION("""COMPUTED_VALUE"""),"No")</f>
        <v>No</v>
      </c>
      <c r="AC177" s="1" t="str">
        <f ca="1">IFERROR(__xludf.DUMMYFUNCTION("""COMPUTED_VALUE"""),"No")</f>
        <v>No</v>
      </c>
      <c r="AD177" s="1" t="str">
        <f ca="1">IFERROR(__xludf.DUMMYFUNCTION("""COMPUTED_VALUE"""),"No")</f>
        <v>No</v>
      </c>
      <c r="AE177" s="1" t="str">
        <f ca="1">IFERROR(__xludf.DUMMYFUNCTION("""COMPUTED_VALUE"""),"No")</f>
        <v>No</v>
      </c>
      <c r="AF177" s="1" t="str">
        <f ca="1">IFERROR(__xludf.DUMMYFUNCTION("""COMPUTED_VALUE"""),"No")</f>
        <v>No</v>
      </c>
      <c r="AG177" s="1" t="str">
        <f ca="1">IFERROR(__xludf.DUMMYFUNCTION("""COMPUTED_VALUE"""),"No")</f>
        <v>No</v>
      </c>
      <c r="AH177" s="1">
        <f ca="1">IFERROR(__xludf.DUMMYFUNCTION("""COMPUTED_VALUE"""),0)</f>
        <v>0</v>
      </c>
    </row>
    <row r="178" spans="1:34" ht="12.5">
      <c r="A178" s="1" t="str">
        <f ca="1">IFERROR(__xludf.DUMMYFUNCTION("""COMPUTED_VALUE"""),"20230922IAOTO")</f>
        <v>20230922IAOTO</v>
      </c>
      <c r="B178" s="1">
        <f ca="1">IFERROR(__xludf.DUMMYFUNCTION("""COMPUTED_VALUE"""),9)</f>
        <v>9</v>
      </c>
      <c r="C178" s="1">
        <f ca="1">IFERROR(__xludf.DUMMYFUNCTION("""COMPUTED_VALUE"""),22)</f>
        <v>22</v>
      </c>
      <c r="D178" s="1">
        <f ca="1">IFERROR(__xludf.DUMMYFUNCTION("""COMPUTED_VALUE"""),2023)</f>
        <v>2023</v>
      </c>
      <c r="E178" s="4">
        <f ca="1">IFERROR(__xludf.DUMMYFUNCTION("""COMPUTED_VALUE"""),45191)</f>
        <v>45191</v>
      </c>
      <c r="F178" s="1" t="str">
        <f ca="1">IFERROR(__xludf.DUMMYFUNCTION("""COMPUTED_VALUE"""),"Ottumwa High School")</f>
        <v>Ottumwa High School</v>
      </c>
      <c r="G178" s="1">
        <f ca="1">IFERROR(__xludf.DUMMYFUNCTION("""COMPUTED_VALUE"""),0)</f>
        <v>0</v>
      </c>
      <c r="H178" s="1">
        <f ca="1">IFERROR(__xludf.DUMMYFUNCTION("""COMPUTED_VALUE"""),0)</f>
        <v>0</v>
      </c>
      <c r="I178" s="1">
        <f ca="1">IFERROR(__xludf.DUMMYFUNCTION("""COMPUTED_VALUE"""),0)</f>
        <v>0</v>
      </c>
      <c r="J178" s="1">
        <f ca="1">IFERROR(__xludf.DUMMYFUNCTION("""COMPUTED_VALUE"""),0)</f>
        <v>0</v>
      </c>
      <c r="K178" s="1" t="str">
        <f ca="1">IFERROR(__xludf.DUMMYFUNCTION("""COMPUTED_VALUE"""),"Fall")</f>
        <v>Fall</v>
      </c>
      <c r="L178" s="1" t="str">
        <f ca="1">IFERROR(__xludf.DUMMYFUNCTION("""COMPUTED_VALUE"""),"Ottumwa")</f>
        <v>Ottumwa</v>
      </c>
      <c r="M178" s="1" t="str">
        <f ca="1">IFERROR(__xludf.DUMMYFUNCTION("""COMPUTED_VALUE"""),"IA")</f>
        <v>IA</v>
      </c>
      <c r="N178" s="1" t="str">
        <f ca="1">IFERROR(__xludf.DUMMYFUNCTION("""COMPUTED_VALUE"""),"High")</f>
        <v>High</v>
      </c>
      <c r="O178" s="1" t="str">
        <f ca="1">IFERROR(__xludf.DUMMYFUNCTION("""COMPUTED_VALUE"""),"Parking Lot")</f>
        <v>Parking Lot</v>
      </c>
      <c r="P178" s="1" t="str">
        <f ca="1">IFERROR(__xludf.DUMMYFUNCTION("""COMPUTED_VALUE"""),"Outside on School Property")</f>
        <v>Outside on School Property</v>
      </c>
      <c r="Q178" s="1" t="str">
        <f ca="1">IFERROR(__xludf.DUMMYFUNCTION("""COMPUTED_VALUE"""),"No")</f>
        <v>No</v>
      </c>
      <c r="R178" s="1" t="str">
        <f ca="1">IFERROR(__xludf.DUMMYFUNCTION("""COMPUTED_VALUE"""),"Sport Event")</f>
        <v>Sport Event</v>
      </c>
      <c r="S178" s="5">
        <f ca="1">IFERROR(__xludf.DUMMYFUNCTION("""COMPUTED_VALUE"""),0.833333333333333)</f>
        <v>0.83333333333333304</v>
      </c>
      <c r="T178" s="1">
        <f ca="1">IFERROR(__xludf.DUMMYFUNCTION("""COMPUTED_VALUE"""),1)</f>
        <v>1</v>
      </c>
      <c r="U178" s="1" t="str">
        <f ca="1">IFERROR(__xludf.DUMMYFUNCTION("""COMPUTED_VALUE"""),"Shots fired in parking lot during half time, game cancelled")</f>
        <v>Shots fired in parking lot during half time, game cancelled</v>
      </c>
      <c r="V178" s="1" t="str">
        <f ca="1">IFERROR(__xludf.DUMMYFUNCTION("""COMPUTED_VALUE"""),"Shots were reportedly fired during halftime of Ottumwa’s game versus Marshalltown and out of an abundance of caution, the police department and the Ottumwa Community School District made the decision to halt the game which ended in a 44-7 victory for Mars"&amp;"halltown.")</f>
        <v>Shots were reportedly fired during halftime of Ottumwa’s game versus Marshalltown and out of an abundance of caution, the police department and the Ottumwa Community School District made the decision to halt the game which ended in a 44-7 victory for Marshalltown.</v>
      </c>
      <c r="W178" s="1"/>
      <c r="X178" s="1"/>
      <c r="Y178" s="1" t="str">
        <f ca="1">IFERROR(__xludf.DUMMYFUNCTION("""COMPUTED_VALUE"""),"No")</f>
        <v>No</v>
      </c>
      <c r="Z178" s="1"/>
      <c r="AA178" s="1" t="str">
        <f ca="1">IFERROR(__xludf.DUMMYFUNCTION("""COMPUTED_VALUE"""),"No")</f>
        <v>No</v>
      </c>
      <c r="AB178" s="1" t="str">
        <f ca="1">IFERROR(__xludf.DUMMYFUNCTION("""COMPUTED_VALUE"""),"No")</f>
        <v>No</v>
      </c>
      <c r="AC178" s="1" t="str">
        <f ca="1">IFERROR(__xludf.DUMMYFUNCTION("""COMPUTED_VALUE"""),"No")</f>
        <v>No</v>
      </c>
      <c r="AD178" s="1" t="str">
        <f ca="1">IFERROR(__xludf.DUMMYFUNCTION("""COMPUTED_VALUE"""),"No")</f>
        <v>No</v>
      </c>
      <c r="AE178" s="1" t="str">
        <f ca="1">IFERROR(__xludf.DUMMYFUNCTION("""COMPUTED_VALUE"""),"No")</f>
        <v>No</v>
      </c>
      <c r="AF178" s="1"/>
      <c r="AG178" s="1" t="str">
        <f ca="1">IFERROR(__xludf.DUMMYFUNCTION("""COMPUTED_VALUE"""),"No")</f>
        <v>No</v>
      </c>
      <c r="AH178" s="1">
        <f ca="1">IFERROR(__xludf.DUMMYFUNCTION("""COMPUTED_VALUE"""),99)</f>
        <v>99</v>
      </c>
    </row>
    <row r="179" spans="1:34" ht="12.5">
      <c r="A179" s="1" t="str">
        <f ca="1">IFERROR(__xludf.DUMMYFUNCTION("""COMPUTED_VALUE"""),"20230922KYMAL")</f>
        <v>20230922KYMAL</v>
      </c>
      <c r="B179" s="1">
        <f ca="1">IFERROR(__xludf.DUMMYFUNCTION("""COMPUTED_VALUE"""),9)</f>
        <v>9</v>
      </c>
      <c r="C179" s="1">
        <f ca="1">IFERROR(__xludf.DUMMYFUNCTION("""COMPUTED_VALUE"""),22)</f>
        <v>22</v>
      </c>
      <c r="D179" s="1">
        <f ca="1">IFERROR(__xludf.DUMMYFUNCTION("""COMPUTED_VALUE"""),2023)</f>
        <v>2023</v>
      </c>
      <c r="E179" s="4">
        <f ca="1">IFERROR(__xludf.DUMMYFUNCTION("""COMPUTED_VALUE"""),45191)</f>
        <v>45191</v>
      </c>
      <c r="F179" s="1" t="str">
        <f ca="1">IFERROR(__xludf.DUMMYFUNCTION("""COMPUTED_VALUE"""),"Male High School")</f>
        <v>Male High School</v>
      </c>
      <c r="G179" s="1">
        <f ca="1">IFERROR(__xludf.DUMMYFUNCTION("""COMPUTED_VALUE"""),0)</f>
        <v>0</v>
      </c>
      <c r="H179" s="1">
        <f ca="1">IFERROR(__xludf.DUMMYFUNCTION("""COMPUTED_VALUE"""),0)</f>
        <v>0</v>
      </c>
      <c r="I179" s="1">
        <f ca="1">IFERROR(__xludf.DUMMYFUNCTION("""COMPUTED_VALUE"""),0)</f>
        <v>0</v>
      </c>
      <c r="J179" s="1">
        <f ca="1">IFERROR(__xludf.DUMMYFUNCTION("""COMPUTED_VALUE"""),0)</f>
        <v>0</v>
      </c>
      <c r="K179" s="1" t="str">
        <f ca="1">IFERROR(__xludf.DUMMYFUNCTION("""COMPUTED_VALUE"""),"Fall")</f>
        <v>Fall</v>
      </c>
      <c r="L179" s="1" t="str">
        <f ca="1">IFERROR(__xludf.DUMMYFUNCTION("""COMPUTED_VALUE"""),"Louisville")</f>
        <v>Louisville</v>
      </c>
      <c r="M179" s="1" t="str">
        <f ca="1">IFERROR(__xludf.DUMMYFUNCTION("""COMPUTED_VALUE"""),"KY")</f>
        <v>KY</v>
      </c>
      <c r="N179" s="1" t="str">
        <f ca="1">IFERROR(__xludf.DUMMYFUNCTION("""COMPUTED_VALUE"""),"High")</f>
        <v>High</v>
      </c>
      <c r="O179" s="1" t="str">
        <f ca="1">IFERROR(__xludf.DUMMYFUNCTION("""COMPUTED_VALUE"""),"Parking Lot")</f>
        <v>Parking Lot</v>
      </c>
      <c r="P179" s="1" t="str">
        <f ca="1">IFERROR(__xludf.DUMMYFUNCTION("""COMPUTED_VALUE"""),"Outside on School Property")</f>
        <v>Outside on School Property</v>
      </c>
      <c r="Q179" s="1" t="str">
        <f ca="1">IFERROR(__xludf.DUMMYFUNCTION("""COMPUTED_VALUE"""),"No")</f>
        <v>No</v>
      </c>
      <c r="R179" s="1" t="str">
        <f ca="1">IFERROR(__xludf.DUMMYFUNCTION("""COMPUTED_VALUE"""),"Sport Event")</f>
        <v>Sport Event</v>
      </c>
      <c r="S179" s="5">
        <f ca="1">IFERROR(__xludf.DUMMYFUNCTION("""COMPUTED_VALUE"""),0.895833333333333)</f>
        <v>0.89583333333333304</v>
      </c>
      <c r="T179" s="1">
        <f ca="1">IFERROR(__xludf.DUMMYFUNCTION("""COMPUTED_VALUE"""),1)</f>
        <v>1</v>
      </c>
      <c r="U179" s="1" t="str">
        <f ca="1">IFERROR(__xludf.DUMMYFUNCTION("""COMPUTED_VALUE"""),"Shots fired in the school parking lot when football game ended.")</f>
        <v>Shots fired in the school parking lot when football game ended.</v>
      </c>
      <c r="V179" s="1" t="str">
        <f ca="1">IFERROR(__xludf.DUMMYFUNCTION("""COMPUTED_VALUE"""),"Gunshots were fired into the air after the Male High School vs Pleasure Ridge Park football game on Friday night. According to a letter sent home to parents by principal Keith Cathey, the gunshots were heard in the Gheens parking lot as people were leavin"&amp;"g the game. No one was injured and it's yet to be determined if any Jefferson County Public Schools (JCPS) students were involved.")</f>
        <v>Gunshots were fired into the air after the Male High School vs Pleasure Ridge Park football game on Friday night. According to a letter sent home to parents by principal Keith Cathey, the gunshots were heard in the Gheens parking lot as people were leaving the game. No one was injured and it's yet to be determined if any Jefferson County Public Schools (JCPS) students were involved.</v>
      </c>
      <c r="W179" s="1"/>
      <c r="X179" s="1" t="str">
        <f ca="1">IFERROR(__xludf.DUMMYFUNCTION("""COMPUTED_VALUE"""),"Neither")</f>
        <v>Neither</v>
      </c>
      <c r="Y179" s="1" t="str">
        <f ca="1">IFERROR(__xludf.DUMMYFUNCTION("""COMPUTED_VALUE"""),"No")</f>
        <v>No</v>
      </c>
      <c r="Z179" s="1"/>
      <c r="AA179" s="1" t="str">
        <f ca="1">IFERROR(__xludf.DUMMYFUNCTION("""COMPUTED_VALUE"""),"No")</f>
        <v>No</v>
      </c>
      <c r="AB179" s="1" t="str">
        <f ca="1">IFERROR(__xludf.DUMMYFUNCTION("""COMPUTED_VALUE"""),"No")</f>
        <v>No</v>
      </c>
      <c r="AC179" s="1" t="str">
        <f ca="1">IFERROR(__xludf.DUMMYFUNCTION("""COMPUTED_VALUE"""),"No")</f>
        <v>No</v>
      </c>
      <c r="AD179" s="1" t="str">
        <f ca="1">IFERROR(__xludf.DUMMYFUNCTION("""COMPUTED_VALUE"""),"No")</f>
        <v>No</v>
      </c>
      <c r="AE179" s="1" t="str">
        <f ca="1">IFERROR(__xludf.DUMMYFUNCTION("""COMPUTED_VALUE"""),"No")</f>
        <v>No</v>
      </c>
      <c r="AF179" s="1" t="str">
        <f ca="1">IFERROR(__xludf.DUMMYFUNCTION("""COMPUTED_VALUE"""),"No")</f>
        <v>No</v>
      </c>
      <c r="AG179" s="1" t="str">
        <f ca="1">IFERROR(__xludf.DUMMYFUNCTION("""COMPUTED_VALUE"""),"No")</f>
        <v>No</v>
      </c>
      <c r="AH179" s="1">
        <f ca="1">IFERROR(__xludf.DUMMYFUNCTION("""COMPUTED_VALUE"""),99)</f>
        <v>99</v>
      </c>
    </row>
    <row r="180" spans="1:34" ht="12.5">
      <c r="A180" s="1" t="str">
        <f ca="1">IFERROR(__xludf.DUMMYFUNCTION("""COMPUTED_VALUE"""),"20230922TNWEM")</f>
        <v>20230922TNWEM</v>
      </c>
      <c r="B180" s="1">
        <f ca="1">IFERROR(__xludf.DUMMYFUNCTION("""COMPUTED_VALUE"""),9)</f>
        <v>9</v>
      </c>
      <c r="C180" s="1">
        <f ca="1">IFERROR(__xludf.DUMMYFUNCTION("""COMPUTED_VALUE"""),22)</f>
        <v>22</v>
      </c>
      <c r="D180" s="1">
        <f ca="1">IFERROR(__xludf.DUMMYFUNCTION("""COMPUTED_VALUE"""),2023)</f>
        <v>2023</v>
      </c>
      <c r="E180" s="4">
        <f ca="1">IFERROR(__xludf.DUMMYFUNCTION("""COMPUTED_VALUE"""),45191)</f>
        <v>45191</v>
      </c>
      <c r="F180" s="1" t="str">
        <f ca="1">IFERROR(__xludf.DUMMYFUNCTION("""COMPUTED_VALUE"""),"Westwood Elementary School")</f>
        <v>Westwood Elementary School</v>
      </c>
      <c r="G180" s="1">
        <f ca="1">IFERROR(__xludf.DUMMYFUNCTION("""COMPUTED_VALUE"""),0)</f>
        <v>0</v>
      </c>
      <c r="H180" s="1">
        <f ca="1">IFERROR(__xludf.DUMMYFUNCTION("""COMPUTED_VALUE"""),1)</f>
        <v>1</v>
      </c>
      <c r="I180" s="1">
        <f ca="1">IFERROR(__xludf.DUMMYFUNCTION("""COMPUTED_VALUE"""),1)</f>
        <v>1</v>
      </c>
      <c r="J180" s="1">
        <f ca="1">IFERROR(__xludf.DUMMYFUNCTION("""COMPUTED_VALUE"""),0)</f>
        <v>0</v>
      </c>
      <c r="K180" s="1" t="str">
        <f ca="1">IFERROR(__xludf.DUMMYFUNCTION("""COMPUTED_VALUE"""),"Fall")</f>
        <v>Fall</v>
      </c>
      <c r="L180" s="1" t="str">
        <f ca="1">IFERROR(__xludf.DUMMYFUNCTION("""COMPUTED_VALUE"""),"Manchester")</f>
        <v>Manchester</v>
      </c>
      <c r="M180" s="1" t="str">
        <f ca="1">IFERROR(__xludf.DUMMYFUNCTION("""COMPUTED_VALUE"""),"TN")</f>
        <v>TN</v>
      </c>
      <c r="N180" s="1" t="str">
        <f ca="1">IFERROR(__xludf.DUMMYFUNCTION("""COMPUTED_VALUE"""),"Elementary")</f>
        <v>Elementary</v>
      </c>
      <c r="O180" s="1" t="str">
        <f ca="1">IFERROR(__xludf.DUMMYFUNCTION("""COMPUTED_VALUE"""),"Playground")</f>
        <v>Playground</v>
      </c>
      <c r="P180" s="1" t="str">
        <f ca="1">IFERROR(__xludf.DUMMYFUNCTION("""COMPUTED_VALUE"""),"Outside on School Property")</f>
        <v>Outside on School Property</v>
      </c>
      <c r="Q180" s="1" t="str">
        <f ca="1">IFERROR(__xludf.DUMMYFUNCTION("""COMPUTED_VALUE"""),"No")</f>
        <v>No</v>
      </c>
      <c r="R180" s="1" t="str">
        <f ca="1">IFERROR(__xludf.DUMMYFUNCTION("""COMPUTED_VALUE"""),"Night")</f>
        <v>Night</v>
      </c>
      <c r="S180" s="1"/>
      <c r="T180" s="1">
        <f ca="1">IFERROR(__xludf.DUMMYFUNCTION("""COMPUTED_VALUE"""),1)</f>
        <v>1</v>
      </c>
      <c r="U180" s="1" t="str">
        <f ca="1">IFERROR(__xludf.DUMMYFUNCTION("""COMPUTED_VALUE"""),"13-year-old shot by 14-year-old in front of the school")</f>
        <v>13-year-old shot by 14-year-old in front of the school</v>
      </c>
      <c r="V180" s="1" t="str">
        <f ca="1">IFERROR(__xludf.DUMMYFUNCTION("""COMPUTED_VALUE"""),"A 13-year-old was shot and another teen was detained after a shooting in front of an elementary school in Manchester on Friday night, according to District Attorney General Craig Northcott. Northcott said on Friday night the Manchester Police Department w"&amp;"as called to Westwood Elementary School. A 13-year-old was shot and flown to Vanderbilt. Northcott said the teen was in critical but stable condition. A 14-year-old was detained for the shooting")</f>
        <v>A 13-year-old was shot and another teen was detained after a shooting in front of an elementary school in Manchester on Friday night, according to District Attorney General Craig Northcott. Northcott said on Friday night the Manchester Police Department was called to Westwood Elementary School. A 13-year-old was shot and flown to Vanderbilt. Northcott said the teen was in critical but stable condition. A 14-year-old was detained for the shooting</v>
      </c>
      <c r="W180" s="1"/>
      <c r="X180" s="1" t="str">
        <f ca="1">IFERROR(__xludf.DUMMYFUNCTION("""COMPUTED_VALUE"""),"Victims Targeted")</f>
        <v>Victims Targeted</v>
      </c>
      <c r="Y180" s="1" t="str">
        <f ca="1">IFERROR(__xludf.DUMMYFUNCTION("""COMPUTED_VALUE"""),"No")</f>
        <v>No</v>
      </c>
      <c r="Z180" s="1"/>
      <c r="AA180" s="1" t="str">
        <f ca="1">IFERROR(__xludf.DUMMYFUNCTION("""COMPUTED_VALUE"""),"No")</f>
        <v>No</v>
      </c>
      <c r="AB180" s="1" t="str">
        <f ca="1">IFERROR(__xludf.DUMMYFUNCTION("""COMPUTED_VALUE"""),"No")</f>
        <v>No</v>
      </c>
      <c r="AC180" s="1" t="str">
        <f ca="1">IFERROR(__xludf.DUMMYFUNCTION("""COMPUTED_VALUE"""),"No")</f>
        <v>No</v>
      </c>
      <c r="AD180" s="1"/>
      <c r="AE180" s="1" t="str">
        <f ca="1">IFERROR(__xludf.DUMMYFUNCTION("""COMPUTED_VALUE"""),"No")</f>
        <v>No</v>
      </c>
      <c r="AF180" s="1"/>
      <c r="AG180" s="1" t="str">
        <f ca="1">IFERROR(__xludf.DUMMYFUNCTION("""COMPUTED_VALUE"""),"No")</f>
        <v>No</v>
      </c>
      <c r="AH180" s="1">
        <f ca="1">IFERROR(__xludf.DUMMYFUNCTION("""COMPUTED_VALUE"""),99)</f>
        <v>99</v>
      </c>
    </row>
    <row r="181" spans="1:34" ht="12.5">
      <c r="A181" s="1" t="str">
        <f ca="1">IFERROR(__xludf.DUMMYFUNCTION("""COMPUTED_VALUE"""),"20230922TNSWS")</f>
        <v>20230922TNSWS</v>
      </c>
      <c r="B181" s="1">
        <f ca="1">IFERROR(__xludf.DUMMYFUNCTION("""COMPUTED_VALUE"""),9)</f>
        <v>9</v>
      </c>
      <c r="C181" s="1">
        <f ca="1">IFERROR(__xludf.DUMMYFUNCTION("""COMPUTED_VALUE"""),22)</f>
        <v>22</v>
      </c>
      <c r="D181" s="1">
        <f ca="1">IFERROR(__xludf.DUMMYFUNCTION("""COMPUTED_VALUE"""),2023)</f>
        <v>2023</v>
      </c>
      <c r="E181" s="4">
        <f ca="1">IFERROR(__xludf.DUMMYFUNCTION("""COMPUTED_VALUE"""),45191)</f>
        <v>45191</v>
      </c>
      <c r="F181" s="1" t="str">
        <f ca="1">IFERROR(__xludf.DUMMYFUNCTION("""COMPUTED_VALUE"""),"Sweetwater High School")</f>
        <v>Sweetwater High School</v>
      </c>
      <c r="G181" s="1">
        <f ca="1">IFERROR(__xludf.DUMMYFUNCTION("""COMPUTED_VALUE"""),0)</f>
        <v>0</v>
      </c>
      <c r="H181" s="1">
        <f ca="1">IFERROR(__xludf.DUMMYFUNCTION("""COMPUTED_VALUE"""),0)</f>
        <v>0</v>
      </c>
      <c r="I181" s="1">
        <f ca="1">IFERROR(__xludf.DUMMYFUNCTION("""COMPUTED_VALUE"""),0)</f>
        <v>0</v>
      </c>
      <c r="J181" s="1">
        <f ca="1">IFERROR(__xludf.DUMMYFUNCTION("""COMPUTED_VALUE"""),0)</f>
        <v>0</v>
      </c>
      <c r="K181" s="1" t="str">
        <f ca="1">IFERROR(__xludf.DUMMYFUNCTION("""COMPUTED_VALUE"""),"Fall")</f>
        <v>Fall</v>
      </c>
      <c r="L181" s="1" t="str">
        <f ca="1">IFERROR(__xludf.DUMMYFUNCTION("""COMPUTED_VALUE"""),"Sweetwater")</f>
        <v>Sweetwater</v>
      </c>
      <c r="M181" s="1" t="str">
        <f ca="1">IFERROR(__xludf.DUMMYFUNCTION("""COMPUTED_VALUE"""),"TN")</f>
        <v>TN</v>
      </c>
      <c r="N181" s="1" t="str">
        <f ca="1">IFERROR(__xludf.DUMMYFUNCTION("""COMPUTED_VALUE"""),"High")</f>
        <v>High</v>
      </c>
      <c r="O181" s="1" t="str">
        <f ca="1">IFERROR(__xludf.DUMMYFUNCTION("""COMPUTED_VALUE"""),"Football Field/Track")</f>
        <v>Football Field/Track</v>
      </c>
      <c r="P181" s="1" t="str">
        <f ca="1">IFERROR(__xludf.DUMMYFUNCTION("""COMPUTED_VALUE"""),"Outside on School Property")</f>
        <v>Outside on School Property</v>
      </c>
      <c r="Q181" s="1" t="str">
        <f ca="1">IFERROR(__xludf.DUMMYFUNCTION("""COMPUTED_VALUE"""),"No")</f>
        <v>No</v>
      </c>
      <c r="R181" s="1" t="str">
        <f ca="1">IFERROR(__xludf.DUMMYFUNCTION("""COMPUTED_VALUE"""),"Sport Event")</f>
        <v>Sport Event</v>
      </c>
      <c r="S181" s="5">
        <f ca="1">IFERROR(__xludf.DUMMYFUNCTION("""COMPUTED_VALUE"""),0.875)</f>
        <v>0.875</v>
      </c>
      <c r="T181" s="1">
        <f ca="1">IFERROR(__xludf.DUMMYFUNCTION("""COMPUTED_VALUE"""),1)</f>
        <v>1</v>
      </c>
      <c r="U181" s="1" t="str">
        <f ca="1">IFERROR(__xludf.DUMMYFUNCTION("""COMPUTED_VALUE"""),"2 shots fired during high school football game")</f>
        <v>2 shots fired during high school football game</v>
      </c>
      <c r="V181" s="1" t="str">
        <f ca="1">IFERROR(__xludf.DUMMYFUNCTION("""COMPUTED_VALUE"""),"Two shots fired during high school football game. Witnesses saw three teens run from the area. Players went back to the locker rooms for 15 minutes while police investigated and then the game resumed.")</f>
        <v>Two shots fired during high school football game. Witnesses saw three teens run from the area. Players went back to the locker rooms for 15 minutes while police investigated and then the game resumed.</v>
      </c>
      <c r="W181" s="1"/>
      <c r="X181" s="1"/>
      <c r="Y181" s="1" t="str">
        <f ca="1">IFERROR(__xludf.DUMMYFUNCTION("""COMPUTED_VALUE"""),"Yes")</f>
        <v>Yes</v>
      </c>
      <c r="Z181" s="1" t="str">
        <f ca="1">IFERROR(__xludf.DUMMYFUNCTION("""COMPUTED_VALUE"""),"3 teens ran")</f>
        <v>3 teens ran</v>
      </c>
      <c r="AA181" s="1" t="str">
        <f ca="1">IFERROR(__xludf.DUMMYFUNCTION("""COMPUTED_VALUE"""),"No")</f>
        <v>No</v>
      </c>
      <c r="AB181" s="1" t="str">
        <f ca="1">IFERROR(__xludf.DUMMYFUNCTION("""COMPUTED_VALUE"""),"No")</f>
        <v>No</v>
      </c>
      <c r="AC181" s="1" t="str">
        <f ca="1">IFERROR(__xludf.DUMMYFUNCTION("""COMPUTED_VALUE"""),"No")</f>
        <v>No</v>
      </c>
      <c r="AD181" s="1"/>
      <c r="AE181" s="1" t="str">
        <f ca="1">IFERROR(__xludf.DUMMYFUNCTION("""COMPUTED_VALUE"""),"No")</f>
        <v>No</v>
      </c>
      <c r="AF181" s="1"/>
      <c r="AG181" s="1" t="str">
        <f ca="1">IFERROR(__xludf.DUMMYFUNCTION("""COMPUTED_VALUE"""),"No")</f>
        <v>No</v>
      </c>
      <c r="AH181" s="1">
        <f ca="1">IFERROR(__xludf.DUMMYFUNCTION("""COMPUTED_VALUE"""),2)</f>
        <v>2</v>
      </c>
    </row>
    <row r="182" spans="1:34" ht="12.5">
      <c r="A182" s="1" t="str">
        <f ca="1">IFERROR(__xludf.DUMMYFUNCTION("""COMPUTED_VALUE"""),"20230922WIMIM")</f>
        <v>20230922WIMIM</v>
      </c>
      <c r="B182" s="1">
        <f ca="1">IFERROR(__xludf.DUMMYFUNCTION("""COMPUTED_VALUE"""),9)</f>
        <v>9</v>
      </c>
      <c r="C182" s="1">
        <f ca="1">IFERROR(__xludf.DUMMYFUNCTION("""COMPUTED_VALUE"""),22)</f>
        <v>22</v>
      </c>
      <c r="D182" s="1">
        <f ca="1">IFERROR(__xludf.DUMMYFUNCTION("""COMPUTED_VALUE"""),2023)</f>
        <v>2023</v>
      </c>
      <c r="E182" s="4">
        <f ca="1">IFERROR(__xludf.DUMMYFUNCTION("""COMPUTED_VALUE"""),45191)</f>
        <v>45191</v>
      </c>
      <c r="F182" s="1" t="str">
        <f ca="1">IFERROR(__xludf.DUMMYFUNCTION("""COMPUTED_VALUE"""),"Milwaukee Lutheran High School")</f>
        <v>Milwaukee Lutheran High School</v>
      </c>
      <c r="G182" s="1">
        <f ca="1">IFERROR(__xludf.DUMMYFUNCTION("""COMPUTED_VALUE"""),0)</f>
        <v>0</v>
      </c>
      <c r="H182" s="1">
        <f ca="1">IFERROR(__xludf.DUMMYFUNCTION("""COMPUTED_VALUE"""),0)</f>
        <v>0</v>
      </c>
      <c r="I182" s="1">
        <f ca="1">IFERROR(__xludf.DUMMYFUNCTION("""COMPUTED_VALUE"""),0)</f>
        <v>0</v>
      </c>
      <c r="J182" s="1">
        <f ca="1">IFERROR(__xludf.DUMMYFUNCTION("""COMPUTED_VALUE"""),0)</f>
        <v>0</v>
      </c>
      <c r="K182" s="1" t="str">
        <f ca="1">IFERROR(__xludf.DUMMYFUNCTION("""COMPUTED_VALUE"""),"Fall")</f>
        <v>Fall</v>
      </c>
      <c r="L182" s="1" t="str">
        <f ca="1">IFERROR(__xludf.DUMMYFUNCTION("""COMPUTED_VALUE"""),"Milwaukee")</f>
        <v>Milwaukee</v>
      </c>
      <c r="M182" s="1" t="str">
        <f ca="1">IFERROR(__xludf.DUMMYFUNCTION("""COMPUTED_VALUE"""),"WI")</f>
        <v>WI</v>
      </c>
      <c r="N182" s="1" t="str">
        <f ca="1">IFERROR(__xludf.DUMMYFUNCTION("""COMPUTED_VALUE"""),"High")</f>
        <v>High</v>
      </c>
      <c r="O182" s="1" t="str">
        <f ca="1">IFERROR(__xludf.DUMMYFUNCTION("""COMPUTED_VALUE"""),"Football Field/Track")</f>
        <v>Football Field/Track</v>
      </c>
      <c r="P182" s="1" t="str">
        <f ca="1">IFERROR(__xludf.DUMMYFUNCTION("""COMPUTED_VALUE"""),"Outside on School Property")</f>
        <v>Outside on School Property</v>
      </c>
      <c r="Q182" s="1" t="str">
        <f ca="1">IFERROR(__xludf.DUMMYFUNCTION("""COMPUTED_VALUE"""),"No")</f>
        <v>No</v>
      </c>
      <c r="R182" s="1" t="str">
        <f ca="1">IFERROR(__xludf.DUMMYFUNCTION("""COMPUTED_VALUE"""),"Sport Event")</f>
        <v>Sport Event</v>
      </c>
      <c r="S182" s="5">
        <f ca="1">IFERROR(__xludf.DUMMYFUNCTION("""COMPUTED_VALUE"""),0.888888888888888)</f>
        <v>0.88888888888888795</v>
      </c>
      <c r="T182" s="1">
        <f ca="1">IFERROR(__xludf.DUMMYFUNCTION("""COMPUTED_VALUE"""),1)</f>
        <v>1</v>
      </c>
      <c r="U182" s="1" t="str">
        <f ca="1">IFERROR(__xludf.DUMMYFUNCTION("""COMPUTED_VALUE"""),"13 shots fired during high school football game")</f>
        <v>13 shots fired during high school football game</v>
      </c>
      <c r="V182" s="1" t="str">
        <f ca="1">IFERROR(__xludf.DUMMYFUNCTION("""COMPUTED_VALUE"""),"Police report there were no injuries. No one is in custody connected to the shooting and an investigation is ongoing. Pius XI Communications Director Kristin Bendlin released the following statement: Late yesterday evening, September 22, at the Pius XI fo"&amp;"otball game at Milwaukee Lutheran High School an active shooter incident occurred that required the involvement of local law enforcement. Pius XI leaders have spoken with leaders at Milwaukee Lutheran High School and are working closely with the City of M"&amp;"ilwaukee Police Department. All Pius XI football players and coaches are safe and with their families. We are still learning additional details of the situation, but are hopeful that all fans are safe and well. We are deeply thankful for the rapid respons"&amp;"e of our law enforcement officers. The safety, security, and well-being of all Pius XI students and staff is of the utmost importance to us and we are working to provide mental health support for our students.")</f>
        <v>Police report there were no injuries. No one is in custody connected to the shooting and an investigation is ongoing. Pius XI Communications Director Kristin Bendlin released the following statement: Late yesterday evening, September 22, at the Pius XI football game at Milwaukee Lutheran High School an active shooter incident occurred that required the involvement of local law enforcement. Pius XI leaders have spoken with leaders at Milwaukee Lutheran High School and are working closely with the City of Milwaukee Police Department. All Pius XI football players and coaches are safe and with their families. We are still learning additional details of the situation, but are hopeful that all fans are safe and well. We are deeply thankful for the rapid response of our law enforcement officers. The safety, security, and well-being of all Pius XI students and staff is of the utmost importance to us and we are working to provide mental health support for our students.</v>
      </c>
      <c r="W182" s="1"/>
      <c r="X182" s="1" t="str">
        <f ca="1">IFERROR(__xludf.DUMMYFUNCTION("""COMPUTED_VALUE"""),"Both")</f>
        <v>Both</v>
      </c>
      <c r="Y182" s="1" t="str">
        <f ca="1">IFERROR(__xludf.DUMMYFUNCTION("""COMPUTED_VALUE"""),"No")</f>
        <v>No</v>
      </c>
      <c r="Z182" s="1"/>
      <c r="AA182" s="1" t="str">
        <f ca="1">IFERROR(__xludf.DUMMYFUNCTION("""COMPUTED_VALUE"""),"No")</f>
        <v>No</v>
      </c>
      <c r="AB182" s="1" t="str">
        <f ca="1">IFERROR(__xludf.DUMMYFUNCTION("""COMPUTED_VALUE"""),"No")</f>
        <v>No</v>
      </c>
      <c r="AC182" s="1" t="str">
        <f ca="1">IFERROR(__xludf.DUMMYFUNCTION("""COMPUTED_VALUE"""),"No")</f>
        <v>No</v>
      </c>
      <c r="AD182" s="1"/>
      <c r="AE182" s="1"/>
      <c r="AF182" s="1"/>
      <c r="AG182" s="1" t="str">
        <f ca="1">IFERROR(__xludf.DUMMYFUNCTION("""COMPUTED_VALUE"""),"No")</f>
        <v>No</v>
      </c>
      <c r="AH182" s="1">
        <f ca="1">IFERROR(__xludf.DUMMYFUNCTION("""COMPUTED_VALUE"""),13)</f>
        <v>13</v>
      </c>
    </row>
    <row r="183" spans="1:34" ht="12.5">
      <c r="A183" s="1" t="str">
        <f ca="1">IFERROR(__xludf.DUMMYFUNCTION("""COMPUTED_VALUE"""),"20230920ILVOC")</f>
        <v>20230920ILVOC</v>
      </c>
      <c r="B183" s="1">
        <f ca="1">IFERROR(__xludf.DUMMYFUNCTION("""COMPUTED_VALUE"""),9)</f>
        <v>9</v>
      </c>
      <c r="C183" s="1">
        <f ca="1">IFERROR(__xludf.DUMMYFUNCTION("""COMPUTED_VALUE"""),20)</f>
        <v>20</v>
      </c>
      <c r="D183" s="1">
        <f ca="1">IFERROR(__xludf.DUMMYFUNCTION("""COMPUTED_VALUE"""),2023)</f>
        <v>2023</v>
      </c>
      <c r="E183" s="4">
        <f ca="1">IFERROR(__xludf.DUMMYFUNCTION("""COMPUTED_VALUE"""),45189)</f>
        <v>45189</v>
      </c>
      <c r="F183" s="1" t="str">
        <f ca="1">IFERROR(__xludf.DUMMYFUNCTION("""COMPUTED_VALUE"""),"Volta Elementary School")</f>
        <v>Volta Elementary School</v>
      </c>
      <c r="G183" s="1">
        <f ca="1">IFERROR(__xludf.DUMMYFUNCTION("""COMPUTED_VALUE"""),0)</f>
        <v>0</v>
      </c>
      <c r="H183" s="1">
        <f ca="1">IFERROR(__xludf.DUMMYFUNCTION("""COMPUTED_VALUE"""),1)</f>
        <v>1</v>
      </c>
      <c r="I183" s="1">
        <f ca="1">IFERROR(__xludf.DUMMYFUNCTION("""COMPUTED_VALUE"""),1)</f>
        <v>1</v>
      </c>
      <c r="J183" s="1">
        <f ca="1">IFERROR(__xludf.DUMMYFUNCTION("""COMPUTED_VALUE"""),0)</f>
        <v>0</v>
      </c>
      <c r="K183" s="1" t="str">
        <f ca="1">IFERROR(__xludf.DUMMYFUNCTION("""COMPUTED_VALUE"""),"Fall")</f>
        <v>Fall</v>
      </c>
      <c r="L183" s="1" t="str">
        <f ca="1">IFERROR(__xludf.DUMMYFUNCTION("""COMPUTED_VALUE"""),"Chicago")</f>
        <v>Chicago</v>
      </c>
      <c r="M183" s="1" t="str">
        <f ca="1">IFERROR(__xludf.DUMMYFUNCTION("""COMPUTED_VALUE"""),"IL")</f>
        <v>IL</v>
      </c>
      <c r="N183" s="1" t="str">
        <f ca="1">IFERROR(__xludf.DUMMYFUNCTION("""COMPUTED_VALUE"""),"Elementary")</f>
        <v>Elementary</v>
      </c>
      <c r="O183" s="1" t="str">
        <f ca="1">IFERROR(__xludf.DUMMYFUNCTION("""COMPUTED_VALUE"""),"Beside Building")</f>
        <v>Beside Building</v>
      </c>
      <c r="P183" s="1" t="str">
        <f ca="1">IFERROR(__xludf.DUMMYFUNCTION("""COMPUTED_VALUE"""),"Outside on School Property")</f>
        <v>Outside on School Property</v>
      </c>
      <c r="Q183" s="1" t="str">
        <f ca="1">IFERROR(__xludf.DUMMYFUNCTION("""COMPUTED_VALUE"""),"No")</f>
        <v>No</v>
      </c>
      <c r="R183" s="1" t="str">
        <f ca="1">IFERROR(__xludf.DUMMYFUNCTION("""COMPUTED_VALUE"""),"Night")</f>
        <v>Night</v>
      </c>
      <c r="S183" s="5">
        <f ca="1">IFERROR(__xludf.DUMMYFUNCTION("""COMPUTED_VALUE"""),0.890972222222222)</f>
        <v>0.89097222222222205</v>
      </c>
      <c r="T183" s="1">
        <f ca="1">IFERROR(__xludf.DUMMYFUNCTION("""COMPUTED_VALUE"""),1)</f>
        <v>1</v>
      </c>
      <c r="U183" s="1" t="str">
        <f ca="1">IFERROR(__xludf.DUMMYFUNCTION("""COMPUTED_VALUE"""),"Teen shot beside school building")</f>
        <v>Teen shot beside school building</v>
      </c>
      <c r="V183" s="1" t="str">
        <f ca="1">IFERROR(__xludf.DUMMYFUNCTION("""COMPUTED_VALUE"""),"A 15-year-old was shot outside Volta Elementary School (IL) at 9pm last night. He heard a gunshot and felt a sharp pain. He did not see the shooter. Police do not have any suspects.")</f>
        <v>A 15-year-old was shot outside Volta Elementary School (IL) at 9pm last night. He heard a gunshot and felt a sharp pain. He did not see the shooter. Police do not have any suspects.</v>
      </c>
      <c r="W183" s="1"/>
      <c r="X183" s="1"/>
      <c r="Y183" s="1" t="str">
        <f ca="1">IFERROR(__xludf.DUMMYFUNCTION("""COMPUTED_VALUE"""),"No")</f>
        <v>No</v>
      </c>
      <c r="Z183" s="1"/>
      <c r="AA183" s="1" t="str">
        <f ca="1">IFERROR(__xludf.DUMMYFUNCTION("""COMPUTED_VALUE"""),"No")</f>
        <v>No</v>
      </c>
      <c r="AB183" s="1" t="str">
        <f ca="1">IFERROR(__xludf.DUMMYFUNCTION("""COMPUTED_VALUE"""),"No")</f>
        <v>No</v>
      </c>
      <c r="AC183" s="1" t="str">
        <f ca="1">IFERROR(__xludf.DUMMYFUNCTION("""COMPUTED_VALUE"""),"No")</f>
        <v>No</v>
      </c>
      <c r="AD183" s="1" t="str">
        <f ca="1">IFERROR(__xludf.DUMMYFUNCTION("""COMPUTED_VALUE"""),"No")</f>
        <v>No</v>
      </c>
      <c r="AE183" s="1" t="str">
        <f ca="1">IFERROR(__xludf.DUMMYFUNCTION("""COMPUTED_VALUE"""),"No")</f>
        <v>No</v>
      </c>
      <c r="AF183" s="1"/>
      <c r="AG183" s="1" t="str">
        <f ca="1">IFERROR(__xludf.DUMMYFUNCTION("""COMPUTED_VALUE"""),"No")</f>
        <v>No</v>
      </c>
      <c r="AH183" s="1">
        <f ca="1">IFERROR(__xludf.DUMMYFUNCTION("""COMPUTED_VALUE"""),1)</f>
        <v>1</v>
      </c>
    </row>
    <row r="184" spans="1:34" ht="12.5">
      <c r="A184" s="1" t="str">
        <f ca="1">IFERROR(__xludf.DUMMYFUNCTION("""COMPUTED_VALUE"""),"20230919TXKEB")</f>
        <v>20230919TXKEB</v>
      </c>
      <c r="B184" s="1">
        <f ca="1">IFERROR(__xludf.DUMMYFUNCTION("""COMPUTED_VALUE"""),9)</f>
        <v>9</v>
      </c>
      <c r="C184" s="1">
        <f ca="1">IFERROR(__xludf.DUMMYFUNCTION("""COMPUTED_VALUE"""),19)</f>
        <v>19</v>
      </c>
      <c r="D184" s="1">
        <f ca="1">IFERROR(__xludf.DUMMYFUNCTION("""COMPUTED_VALUE"""),2023)</f>
        <v>2023</v>
      </c>
      <c r="E184" s="4">
        <f ca="1">IFERROR(__xludf.DUMMYFUNCTION("""COMPUTED_VALUE"""),45188)</f>
        <v>45188</v>
      </c>
      <c r="F184" s="1" t="str">
        <f ca="1">IFERROR(__xludf.DUMMYFUNCTION("""COMPUTED_VALUE"""),"Kendall Elementary School")</f>
        <v>Kendall Elementary School</v>
      </c>
      <c r="G184" s="1">
        <f ca="1">IFERROR(__xludf.DUMMYFUNCTION("""COMPUTED_VALUE"""),0)</f>
        <v>0</v>
      </c>
      <c r="H184" s="1">
        <f ca="1">IFERROR(__xludf.DUMMYFUNCTION("""COMPUTED_VALUE"""),1)</f>
        <v>1</v>
      </c>
      <c r="I184" s="1">
        <f ca="1">IFERROR(__xludf.DUMMYFUNCTION("""COMPUTED_VALUE"""),1)</f>
        <v>1</v>
      </c>
      <c r="J184" s="1">
        <f ca="1">IFERROR(__xludf.DUMMYFUNCTION("""COMPUTED_VALUE"""),0)</f>
        <v>0</v>
      </c>
      <c r="K184" s="1" t="str">
        <f ca="1">IFERROR(__xludf.DUMMYFUNCTION("""COMPUTED_VALUE"""),"Fall")</f>
        <v>Fall</v>
      </c>
      <c r="L184" s="1" t="str">
        <f ca="1">IFERROR(__xludf.DUMMYFUNCTION("""COMPUTED_VALUE"""),"Boerne")</f>
        <v>Boerne</v>
      </c>
      <c r="M184" s="1" t="str">
        <f ca="1">IFERROR(__xludf.DUMMYFUNCTION("""COMPUTED_VALUE"""),"TX")</f>
        <v>TX</v>
      </c>
      <c r="N184" s="1" t="str">
        <f ca="1">IFERROR(__xludf.DUMMYFUNCTION("""COMPUTED_VALUE"""),"Elementary")</f>
        <v>Elementary</v>
      </c>
      <c r="O184" s="1" t="str">
        <f ca="1">IFERROR(__xludf.DUMMYFUNCTION("""COMPUTED_VALUE"""),"Playground")</f>
        <v>Playground</v>
      </c>
      <c r="P184" s="1" t="str">
        <f ca="1">IFERROR(__xludf.DUMMYFUNCTION("""COMPUTED_VALUE"""),"Outside on School Property")</f>
        <v>Outside on School Property</v>
      </c>
      <c r="Q184" s="1" t="str">
        <f ca="1">IFERROR(__xludf.DUMMYFUNCTION("""COMPUTED_VALUE"""),"Yes")</f>
        <v>Yes</v>
      </c>
      <c r="R184" s="1" t="str">
        <f ca="1">IFERROR(__xludf.DUMMYFUNCTION("""COMPUTED_VALUE"""),"Afternoon Classes")</f>
        <v>Afternoon Classes</v>
      </c>
      <c r="S184" s="1"/>
      <c r="T184" s="1">
        <f ca="1">IFERROR(__xludf.DUMMYFUNCTION("""COMPUTED_VALUE"""),1)</f>
        <v>1</v>
      </c>
      <c r="U184" s="1" t="str">
        <f ca="1">IFERROR(__xludf.DUMMYFUNCTION("""COMPUTED_VALUE"""),"Student shot with BB gun on playground, student shooter arrested")</f>
        <v>Student shot with BB gun on playground, student shooter arrested</v>
      </c>
      <c r="V184" s="1" t="str">
        <f ca="1">IFERROR(__xludf.DUMMYFUNCTION("""COMPUTED_VALUE"""),"Authorities are investigating an incident where a fifth-grade student was shot with a BB gun while on the playground. District officials said that the student who was hit was not injured, and that all the students, who were out at recess, were brought bac"&amp;"k inside the school as a precaution. The suspect, an 11-year-old, was taken into custody along with the gun. Officials say the suspect is not a student of any school within Boerne ISD.")</f>
        <v>Authorities are investigating an incident where a fifth-grade student was shot with a BB gun while on the playground. District officials said that the student who was hit was not injured, and that all the students, who were out at recess, were brought back inside the school as a precaution. The suspect, an 11-year-old, was taken into custody along with the gun. Officials say the suspect is not a student of any school within Boerne ISD.</v>
      </c>
      <c r="W184" s="1"/>
      <c r="X184" s="1" t="str">
        <f ca="1">IFERROR(__xludf.DUMMYFUNCTION("""COMPUTED_VALUE"""),"Victims Targeted")</f>
        <v>Victims Targeted</v>
      </c>
      <c r="Y184" s="1" t="str">
        <f ca="1">IFERROR(__xludf.DUMMYFUNCTION("""COMPUTED_VALUE"""),"No")</f>
        <v>No</v>
      </c>
      <c r="Z184" s="1"/>
      <c r="AA184" s="1" t="str">
        <f ca="1">IFERROR(__xludf.DUMMYFUNCTION("""COMPUTED_VALUE"""),"No")</f>
        <v>No</v>
      </c>
      <c r="AB184" s="1" t="str">
        <f ca="1">IFERROR(__xludf.DUMMYFUNCTION("""COMPUTED_VALUE"""),"No")</f>
        <v>No</v>
      </c>
      <c r="AC184" s="1" t="str">
        <f ca="1">IFERROR(__xludf.DUMMYFUNCTION("""COMPUTED_VALUE"""),"No")</f>
        <v>No</v>
      </c>
      <c r="AD184" s="1" t="str">
        <f ca="1">IFERROR(__xludf.DUMMYFUNCTION("""COMPUTED_VALUE"""),"No")</f>
        <v>No</v>
      </c>
      <c r="AE184" s="1" t="str">
        <f ca="1">IFERROR(__xludf.DUMMYFUNCTION("""COMPUTED_VALUE"""),"No")</f>
        <v>No</v>
      </c>
      <c r="AF184" s="1" t="str">
        <f ca="1">IFERROR(__xludf.DUMMYFUNCTION("""COMPUTED_VALUE"""),"No")</f>
        <v>No</v>
      </c>
      <c r="AG184" s="1" t="str">
        <f ca="1">IFERROR(__xludf.DUMMYFUNCTION("""COMPUTED_VALUE"""),"No")</f>
        <v>No</v>
      </c>
      <c r="AH184" s="1">
        <f ca="1">IFERROR(__xludf.DUMMYFUNCTION("""COMPUTED_VALUE"""),1)</f>
        <v>1</v>
      </c>
    </row>
    <row r="185" spans="1:34" ht="12.5">
      <c r="A185" s="1" t="str">
        <f ca="1">IFERROR(__xludf.DUMMYFUNCTION("""COMPUTED_VALUE"""),"20230919FLWOP")</f>
        <v>20230919FLWOP</v>
      </c>
      <c r="B185" s="1">
        <f ca="1">IFERROR(__xludf.DUMMYFUNCTION("""COMPUTED_VALUE"""),9)</f>
        <v>9</v>
      </c>
      <c r="C185" s="1">
        <f ca="1">IFERROR(__xludf.DUMMYFUNCTION("""COMPUTED_VALUE"""),19)</f>
        <v>19</v>
      </c>
      <c r="D185" s="1">
        <f ca="1">IFERROR(__xludf.DUMMYFUNCTION("""COMPUTED_VALUE"""),2023)</f>
        <v>2023</v>
      </c>
      <c r="E185" s="4">
        <f ca="1">IFERROR(__xludf.DUMMYFUNCTION("""COMPUTED_VALUE"""),45188)</f>
        <v>45188</v>
      </c>
      <c r="F185" s="1" t="str">
        <f ca="1">IFERROR(__xludf.DUMMYFUNCTION("""COMPUTED_VALUE"""),"Workman Middle School")</f>
        <v>Workman Middle School</v>
      </c>
      <c r="G185" s="1">
        <f ca="1">IFERROR(__xludf.DUMMYFUNCTION("""COMPUTED_VALUE"""),0)</f>
        <v>0</v>
      </c>
      <c r="H185" s="1">
        <f ca="1">IFERROR(__xludf.DUMMYFUNCTION("""COMPUTED_VALUE"""),1)</f>
        <v>1</v>
      </c>
      <c r="I185" s="1">
        <f ca="1">IFERROR(__xludf.DUMMYFUNCTION("""COMPUTED_VALUE"""),1)</f>
        <v>1</v>
      </c>
      <c r="J185" s="1">
        <f ca="1">IFERROR(__xludf.DUMMYFUNCTION("""COMPUTED_VALUE"""),0)</f>
        <v>0</v>
      </c>
      <c r="K185" s="1" t="str">
        <f ca="1">IFERROR(__xludf.DUMMYFUNCTION("""COMPUTED_VALUE"""),"Fall")</f>
        <v>Fall</v>
      </c>
      <c r="L185" s="1" t="str">
        <f ca="1">IFERROR(__xludf.DUMMYFUNCTION("""COMPUTED_VALUE"""),"Pensacola")</f>
        <v>Pensacola</v>
      </c>
      <c r="M185" s="1" t="str">
        <f ca="1">IFERROR(__xludf.DUMMYFUNCTION("""COMPUTED_VALUE"""),"FL")</f>
        <v>FL</v>
      </c>
      <c r="N185" s="1" t="str">
        <f ca="1">IFERROR(__xludf.DUMMYFUNCTION("""COMPUTED_VALUE"""),"Middle")</f>
        <v>Middle</v>
      </c>
      <c r="O185" s="1" t="str">
        <f ca="1">IFERROR(__xludf.DUMMYFUNCTION("""COMPUTED_VALUE"""),"Front of School")</f>
        <v>Front of School</v>
      </c>
      <c r="P185" s="1" t="str">
        <f ca="1">IFERROR(__xludf.DUMMYFUNCTION("""COMPUTED_VALUE"""),"Outside on School Property")</f>
        <v>Outside on School Property</v>
      </c>
      <c r="Q185" s="1" t="str">
        <f ca="1">IFERROR(__xludf.DUMMYFUNCTION("""COMPUTED_VALUE"""),"No")</f>
        <v>No</v>
      </c>
      <c r="R185" s="1" t="str">
        <f ca="1">IFERROR(__xludf.DUMMYFUNCTION("""COMPUTED_VALUE"""),"Sport Event")</f>
        <v>Sport Event</v>
      </c>
      <c r="S185" s="5">
        <f ca="1">IFERROR(__xludf.DUMMYFUNCTION("""COMPUTED_VALUE"""),0.854166666666666)</f>
        <v>0.85416666666666596</v>
      </c>
      <c r="T185" s="1">
        <f ca="1">IFERROR(__xludf.DUMMYFUNCTION("""COMPUTED_VALUE"""),1)</f>
        <v>1</v>
      </c>
      <c r="U185" s="1" t="str">
        <f ca="1">IFERROR(__xludf.DUMMYFUNCTION("""COMPUTED_VALUE"""),"Man shot outside school during basketball game, school went on lockdown")</f>
        <v>Man shot outside school during basketball game, school went on lockdown</v>
      </c>
      <c r="V185" s="1" t="str">
        <f ca="1">IFERROR(__xludf.DUMMYFUNCTION("""COMPUTED_VALUE"""),"Man shot outside school during basketball game, school went on lockdown and officers working the game responded to assist the victim. Shooter fled in vehicle. 24-year-old man was arrested 4 days later and charged with charged with attempted murder and pos"&amp;"session of a firearm on school property.")</f>
        <v>Man shot outside school during basketball game, school went on lockdown and officers working the game responded to assist the victim. Shooter fled in vehicle. 24-year-old man was arrested 4 days later and charged with charged with attempted murder and possession of a firearm on school property.</v>
      </c>
      <c r="W185" s="1" t="str">
        <f ca="1">IFERROR(__xludf.DUMMYFUNCTION("""COMPUTED_VALUE"""),"Drive-by Shooting")</f>
        <v>Drive-by Shooting</v>
      </c>
      <c r="X185" s="1"/>
      <c r="Y185" s="1" t="str">
        <f ca="1">IFERROR(__xludf.DUMMYFUNCTION("""COMPUTED_VALUE"""),"No")</f>
        <v>No</v>
      </c>
      <c r="Z185" s="1"/>
      <c r="AA185" s="1" t="str">
        <f ca="1">IFERROR(__xludf.DUMMYFUNCTION("""COMPUTED_VALUE"""),"No")</f>
        <v>No</v>
      </c>
      <c r="AB185" s="1" t="str">
        <f ca="1">IFERROR(__xludf.DUMMYFUNCTION("""COMPUTED_VALUE"""),"No")</f>
        <v>No</v>
      </c>
      <c r="AC185" s="1" t="str">
        <f ca="1">IFERROR(__xludf.DUMMYFUNCTION("""COMPUTED_VALUE"""),"No")</f>
        <v>No</v>
      </c>
      <c r="AD185" s="1" t="str">
        <f ca="1">IFERROR(__xludf.DUMMYFUNCTION("""COMPUTED_VALUE"""),"No")</f>
        <v>No</v>
      </c>
      <c r="AE185" s="1" t="str">
        <f ca="1">IFERROR(__xludf.DUMMYFUNCTION("""COMPUTED_VALUE"""),"No")</f>
        <v>No</v>
      </c>
      <c r="AF185" s="1"/>
      <c r="AG185" s="1" t="str">
        <f ca="1">IFERROR(__xludf.DUMMYFUNCTION("""COMPUTED_VALUE"""),"No")</f>
        <v>No</v>
      </c>
      <c r="AH185" s="1">
        <f ca="1">IFERROR(__xludf.DUMMYFUNCTION("""COMPUTED_VALUE"""),99)</f>
        <v>99</v>
      </c>
    </row>
    <row r="186" spans="1:34" ht="12.5">
      <c r="A186" s="1" t="str">
        <f ca="1">IFERROR(__xludf.DUMMYFUNCTION("""COMPUTED_VALUE"""),"20230919DCROW")</f>
        <v>20230919DCROW</v>
      </c>
      <c r="B186" s="1">
        <f ca="1">IFERROR(__xludf.DUMMYFUNCTION("""COMPUTED_VALUE"""),9)</f>
        <v>9</v>
      </c>
      <c r="C186" s="1">
        <f ca="1">IFERROR(__xludf.DUMMYFUNCTION("""COMPUTED_VALUE"""),19)</f>
        <v>19</v>
      </c>
      <c r="D186" s="1">
        <f ca="1">IFERROR(__xludf.DUMMYFUNCTION("""COMPUTED_VALUE"""),2023)</f>
        <v>2023</v>
      </c>
      <c r="E186" s="4">
        <f ca="1">IFERROR(__xludf.DUMMYFUNCTION("""COMPUTED_VALUE"""),45188)</f>
        <v>45188</v>
      </c>
      <c r="F186" s="1" t="str">
        <f ca="1">IFERROR(__xludf.DUMMYFUNCTION("""COMPUTED_VALUE"""),"Rocketship Rise Academy")</f>
        <v>Rocketship Rise Academy</v>
      </c>
      <c r="G186" s="1">
        <f ca="1">IFERROR(__xludf.DUMMYFUNCTION("""COMPUTED_VALUE"""),0)</f>
        <v>0</v>
      </c>
      <c r="H186" s="1">
        <f ca="1">IFERROR(__xludf.DUMMYFUNCTION("""COMPUTED_VALUE"""),0)</f>
        <v>0</v>
      </c>
      <c r="I186" s="1">
        <f ca="1">IFERROR(__xludf.DUMMYFUNCTION("""COMPUTED_VALUE"""),0)</f>
        <v>0</v>
      </c>
      <c r="J186" s="1">
        <f ca="1">IFERROR(__xludf.DUMMYFUNCTION("""COMPUTED_VALUE"""),0)</f>
        <v>0</v>
      </c>
      <c r="K186" s="1" t="str">
        <f ca="1">IFERROR(__xludf.DUMMYFUNCTION("""COMPUTED_VALUE"""),"Fall")</f>
        <v>Fall</v>
      </c>
      <c r="L186" s="1" t="str">
        <f ca="1">IFERROR(__xludf.DUMMYFUNCTION("""COMPUTED_VALUE"""),"Washington")</f>
        <v>Washington</v>
      </c>
      <c r="M186" s="1" t="str">
        <f ca="1">IFERROR(__xludf.DUMMYFUNCTION("""COMPUTED_VALUE"""),"DC")</f>
        <v>DC</v>
      </c>
      <c r="N186" s="1" t="str">
        <f ca="1">IFERROR(__xludf.DUMMYFUNCTION("""COMPUTED_VALUE"""),"Elementary")</f>
        <v>Elementary</v>
      </c>
      <c r="O186" s="1" t="str">
        <f ca="1">IFERROR(__xludf.DUMMYFUNCTION("""COMPUTED_VALUE"""),"Outside on School Property")</f>
        <v>Outside on School Property</v>
      </c>
      <c r="P186" s="1" t="str">
        <f ca="1">IFERROR(__xludf.DUMMYFUNCTION("""COMPUTED_VALUE"""),"Outside on School Property")</f>
        <v>Outside on School Property</v>
      </c>
      <c r="Q186" s="1" t="str">
        <f ca="1">IFERROR(__xludf.DUMMYFUNCTION("""COMPUTED_VALUE"""),"No")</f>
        <v>No</v>
      </c>
      <c r="R186" s="1" t="str">
        <f ca="1">IFERROR(__xludf.DUMMYFUNCTION("""COMPUTED_VALUE"""),"Night")</f>
        <v>Night</v>
      </c>
      <c r="S186" s="5">
        <f ca="1">IFERROR(__xludf.DUMMYFUNCTION("""COMPUTED_VALUE"""),0.0416666666666666)</f>
        <v>4.1666666666666602E-2</v>
      </c>
      <c r="T186" s="1">
        <f ca="1">IFERROR(__xludf.DUMMYFUNCTION("""COMPUTED_VALUE"""),1)</f>
        <v>1</v>
      </c>
      <c r="U186" s="1" t="str">
        <f ca="1">IFERROR(__xludf.DUMMYFUNCTION("""COMPUTED_VALUE"""),"Multiple bullets struck school building damaging walls and windows")</f>
        <v>Multiple bullets struck school building damaging walls and windows</v>
      </c>
      <c r="V186" s="1" t="str">
        <f ca="1">IFERROR(__xludf.DUMMYFUNCTION("""COMPUTED_VALUE"""),"Multiple bullets fired at a nearby apartment building struck the school damaging windows and walls.")</f>
        <v>Multiple bullets fired at a nearby apartment building struck the school damaging windows and walls.</v>
      </c>
      <c r="W186" s="1"/>
      <c r="X186" s="1"/>
      <c r="Y186" s="1" t="str">
        <f ca="1">IFERROR(__xludf.DUMMYFUNCTION("""COMPUTED_VALUE"""),"No")</f>
        <v>No</v>
      </c>
      <c r="Z186" s="1"/>
      <c r="AA186" s="1" t="str">
        <f ca="1">IFERROR(__xludf.DUMMYFUNCTION("""COMPUTED_VALUE"""),"No")</f>
        <v>No</v>
      </c>
      <c r="AB186" s="1" t="str">
        <f ca="1">IFERROR(__xludf.DUMMYFUNCTION("""COMPUTED_VALUE"""),"No")</f>
        <v>No</v>
      </c>
      <c r="AC186" s="1" t="str">
        <f ca="1">IFERROR(__xludf.DUMMYFUNCTION("""COMPUTED_VALUE"""),"No")</f>
        <v>No</v>
      </c>
      <c r="AD186" s="1" t="str">
        <f ca="1">IFERROR(__xludf.DUMMYFUNCTION("""COMPUTED_VALUE"""),"No")</f>
        <v>No</v>
      </c>
      <c r="AE186" s="1" t="str">
        <f ca="1">IFERROR(__xludf.DUMMYFUNCTION("""COMPUTED_VALUE"""),"No")</f>
        <v>No</v>
      </c>
      <c r="AF186" s="1"/>
      <c r="AG186" s="1" t="str">
        <f ca="1">IFERROR(__xludf.DUMMYFUNCTION("""COMPUTED_VALUE"""),"No")</f>
        <v>No</v>
      </c>
      <c r="AH186" s="1">
        <f ca="1">IFERROR(__xludf.DUMMYFUNCTION("""COMPUTED_VALUE"""),99)</f>
        <v>99</v>
      </c>
    </row>
    <row r="187" spans="1:34" ht="12.5">
      <c r="A187" s="1" t="str">
        <f ca="1">IFERROR(__xludf.DUMMYFUNCTION("""COMPUTED_VALUE"""),"20230918MDDUB")</f>
        <v>20230918MDDUB</v>
      </c>
      <c r="B187" s="1">
        <f ca="1">IFERROR(__xludf.DUMMYFUNCTION("""COMPUTED_VALUE"""),9)</f>
        <v>9</v>
      </c>
      <c r="C187" s="1">
        <f ca="1">IFERROR(__xludf.DUMMYFUNCTION("""COMPUTED_VALUE"""),18)</f>
        <v>18</v>
      </c>
      <c r="D187" s="1">
        <f ca="1">IFERROR(__xludf.DUMMYFUNCTION("""COMPUTED_VALUE"""),2023)</f>
        <v>2023</v>
      </c>
      <c r="E187" s="4">
        <f ca="1">IFERROR(__xludf.DUMMYFUNCTION("""COMPUTED_VALUE"""),45187)</f>
        <v>45187</v>
      </c>
      <c r="F187" s="1" t="str">
        <f ca="1">IFERROR(__xludf.DUMMYFUNCTION("""COMPUTED_VALUE"""),"Dunbar High School")</f>
        <v>Dunbar High School</v>
      </c>
      <c r="G187" s="1">
        <f ca="1">IFERROR(__xludf.DUMMYFUNCTION("""COMPUTED_VALUE"""),0)</f>
        <v>0</v>
      </c>
      <c r="H187" s="1">
        <f ca="1">IFERROR(__xludf.DUMMYFUNCTION("""COMPUTED_VALUE"""),0)</f>
        <v>0</v>
      </c>
      <c r="I187" s="1">
        <f ca="1">IFERROR(__xludf.DUMMYFUNCTION("""COMPUTED_VALUE"""),0)</f>
        <v>0</v>
      </c>
      <c r="J187" s="1">
        <f ca="1">IFERROR(__xludf.DUMMYFUNCTION("""COMPUTED_VALUE"""),0)</f>
        <v>0</v>
      </c>
      <c r="K187" s="1" t="str">
        <f ca="1">IFERROR(__xludf.DUMMYFUNCTION("""COMPUTED_VALUE"""),"Fall")</f>
        <v>Fall</v>
      </c>
      <c r="L187" s="1" t="str">
        <f ca="1">IFERROR(__xludf.DUMMYFUNCTION("""COMPUTED_VALUE"""),"Baltimore")</f>
        <v>Baltimore</v>
      </c>
      <c r="M187" s="1" t="str">
        <f ca="1">IFERROR(__xludf.DUMMYFUNCTION("""COMPUTED_VALUE"""),"MD")</f>
        <v>MD</v>
      </c>
      <c r="N187" s="1" t="str">
        <f ca="1">IFERROR(__xludf.DUMMYFUNCTION("""COMPUTED_VALUE"""),"High")</f>
        <v>High</v>
      </c>
      <c r="O187" s="1" t="str">
        <f ca="1">IFERROR(__xludf.DUMMYFUNCTION("""COMPUTED_VALUE"""),"Beside Building")</f>
        <v>Beside Building</v>
      </c>
      <c r="P187" s="1" t="str">
        <f ca="1">IFERROR(__xludf.DUMMYFUNCTION("""COMPUTED_VALUE"""),"Outside on School Property")</f>
        <v>Outside on School Property</v>
      </c>
      <c r="Q187" s="1" t="str">
        <f ca="1">IFERROR(__xludf.DUMMYFUNCTION("""COMPUTED_VALUE"""),"Yes")</f>
        <v>Yes</v>
      </c>
      <c r="R187" s="1" t="str">
        <f ca="1">IFERROR(__xludf.DUMMYFUNCTION("""COMPUTED_VALUE"""),"Dismissal")</f>
        <v>Dismissal</v>
      </c>
      <c r="S187" s="5">
        <f ca="1">IFERROR(__xludf.DUMMYFUNCTION("""COMPUTED_VALUE"""),0.666666666666666)</f>
        <v>0.66666666666666596</v>
      </c>
      <c r="T187" s="1">
        <f ca="1">IFERROR(__xludf.DUMMYFUNCTION("""COMPUTED_VALUE"""),1)</f>
        <v>1</v>
      </c>
      <c r="U187" s="1" t="str">
        <f ca="1">IFERROR(__xludf.DUMMYFUNCTION("""COMPUTED_VALUE"""),"Shot fired during fight between teens struck cafeteria window")</f>
        <v>Shot fired during fight between teens struck cafeteria window</v>
      </c>
      <c r="V187" s="1" t="str">
        <f ca="1">IFERROR(__xludf.DUMMYFUNCTION("""COMPUTED_VALUE"""),"Shot fired during fight between teens at dismissal struck the cafeteria window. Two teens were arrested.")</f>
        <v>Shot fired during fight between teens at dismissal struck the cafeteria window. Two teens were arrested.</v>
      </c>
      <c r="W187" s="1" t="str">
        <f ca="1">IFERROR(__xludf.DUMMYFUNCTION("""COMPUTED_VALUE"""),"Escalation of Dispute")</f>
        <v>Escalation of Dispute</v>
      </c>
      <c r="X187" s="1" t="str">
        <f ca="1">IFERROR(__xludf.DUMMYFUNCTION("""COMPUTED_VALUE"""),"Victims Targeted")</f>
        <v>Victims Targeted</v>
      </c>
      <c r="Y187" s="1" t="str">
        <f ca="1">IFERROR(__xludf.DUMMYFUNCTION("""COMPUTED_VALUE"""),"No")</f>
        <v>No</v>
      </c>
      <c r="Z187" s="1"/>
      <c r="AA187" s="1" t="str">
        <f ca="1">IFERROR(__xludf.DUMMYFUNCTION("""COMPUTED_VALUE"""),"No")</f>
        <v>No</v>
      </c>
      <c r="AB187" s="1" t="str">
        <f ca="1">IFERROR(__xludf.DUMMYFUNCTION("""COMPUTED_VALUE"""),"No")</f>
        <v>No</v>
      </c>
      <c r="AC187" s="1" t="str">
        <f ca="1">IFERROR(__xludf.DUMMYFUNCTION("""COMPUTED_VALUE"""),"No")</f>
        <v>No</v>
      </c>
      <c r="AD187" s="1" t="str">
        <f ca="1">IFERROR(__xludf.DUMMYFUNCTION("""COMPUTED_VALUE"""),"No")</f>
        <v>No</v>
      </c>
      <c r="AE187" s="1" t="str">
        <f ca="1">IFERROR(__xludf.DUMMYFUNCTION("""COMPUTED_VALUE"""),"No")</f>
        <v>No</v>
      </c>
      <c r="AF187" s="1"/>
      <c r="AG187" s="1" t="str">
        <f ca="1">IFERROR(__xludf.DUMMYFUNCTION("""COMPUTED_VALUE"""),"No")</f>
        <v>No</v>
      </c>
      <c r="AH187" s="1">
        <f ca="1">IFERROR(__xludf.DUMMYFUNCTION("""COMPUTED_VALUE"""),99)</f>
        <v>99</v>
      </c>
    </row>
    <row r="188" spans="1:34" ht="12.5">
      <c r="A188" s="1" t="str">
        <f ca="1">IFERROR(__xludf.DUMMYFUNCTION("""COMPUTED_VALUE"""),"20230916OHEAC")</f>
        <v>20230916OHEAC</v>
      </c>
      <c r="B188" s="1">
        <f ca="1">IFERROR(__xludf.DUMMYFUNCTION("""COMPUTED_VALUE"""),9)</f>
        <v>9</v>
      </c>
      <c r="C188" s="1">
        <f ca="1">IFERROR(__xludf.DUMMYFUNCTION("""COMPUTED_VALUE"""),16)</f>
        <v>16</v>
      </c>
      <c r="D188" s="1">
        <f ca="1">IFERROR(__xludf.DUMMYFUNCTION("""COMPUTED_VALUE"""),2023)</f>
        <v>2023</v>
      </c>
      <c r="E188" s="4">
        <f ca="1">IFERROR(__xludf.DUMMYFUNCTION("""COMPUTED_VALUE"""),45185)</f>
        <v>45185</v>
      </c>
      <c r="F188" s="1" t="str">
        <f ca="1">IFERROR(__xludf.DUMMYFUNCTION("""COMPUTED_VALUE"""),"East Tech High School")</f>
        <v>East Tech High School</v>
      </c>
      <c r="G188" s="1">
        <f ca="1">IFERROR(__xludf.DUMMYFUNCTION("""COMPUTED_VALUE"""),0)</f>
        <v>0</v>
      </c>
      <c r="H188" s="1">
        <f ca="1">IFERROR(__xludf.DUMMYFUNCTION("""COMPUTED_VALUE"""),1)</f>
        <v>1</v>
      </c>
      <c r="I188" s="1">
        <f ca="1">IFERROR(__xludf.DUMMYFUNCTION("""COMPUTED_VALUE"""),1)</f>
        <v>1</v>
      </c>
      <c r="J188" s="1">
        <f ca="1">IFERROR(__xludf.DUMMYFUNCTION("""COMPUTED_VALUE"""),0)</f>
        <v>0</v>
      </c>
      <c r="K188" s="1" t="str">
        <f ca="1">IFERROR(__xludf.DUMMYFUNCTION("""COMPUTED_VALUE"""),"Fall")</f>
        <v>Fall</v>
      </c>
      <c r="L188" s="1" t="str">
        <f ca="1">IFERROR(__xludf.DUMMYFUNCTION("""COMPUTED_VALUE"""),"Cleveland")</f>
        <v>Cleveland</v>
      </c>
      <c r="M188" s="1" t="str">
        <f ca="1">IFERROR(__xludf.DUMMYFUNCTION("""COMPUTED_VALUE"""),"OH")</f>
        <v>OH</v>
      </c>
      <c r="N188" s="1" t="str">
        <f ca="1">IFERROR(__xludf.DUMMYFUNCTION("""COMPUTED_VALUE"""),"High")</f>
        <v>High</v>
      </c>
      <c r="O188" s="1" t="str">
        <f ca="1">IFERROR(__xludf.DUMMYFUNCTION("""COMPUTED_VALUE"""),"Parking Lot")</f>
        <v>Parking Lot</v>
      </c>
      <c r="P188" s="1" t="str">
        <f ca="1">IFERROR(__xludf.DUMMYFUNCTION("""COMPUTED_VALUE"""),"Outside on School Property")</f>
        <v>Outside on School Property</v>
      </c>
      <c r="Q188" s="1" t="str">
        <f ca="1">IFERROR(__xludf.DUMMYFUNCTION("""COMPUTED_VALUE"""),"No")</f>
        <v>No</v>
      </c>
      <c r="R188" s="1" t="str">
        <f ca="1">IFERROR(__xludf.DUMMYFUNCTION("""COMPUTED_VALUE"""),"Night")</f>
        <v>Night</v>
      </c>
      <c r="S188" s="5">
        <f ca="1">IFERROR(__xludf.DUMMYFUNCTION("""COMPUTED_VALUE"""),0.999305555555555)</f>
        <v>0.999305555555555</v>
      </c>
      <c r="T188" s="1">
        <f ca="1">IFERROR(__xludf.DUMMYFUNCTION("""COMPUTED_VALUE"""),1)</f>
        <v>1</v>
      </c>
      <c r="U188" s="1" t="str">
        <f ca="1">IFERROR(__xludf.DUMMYFUNCTION("""COMPUTED_VALUE"""),"Man shot in school parking lot")</f>
        <v>Man shot in school parking lot</v>
      </c>
      <c r="V188" s="1" t="str">
        <f ca="1">IFERROR(__xludf.DUMMYFUNCTION("""COMPUTED_VALUE"""),"Man shot in school parking lot. Shooter fled.")</f>
        <v>Man shot in school parking lot. Shooter fled.</v>
      </c>
      <c r="W188" s="1"/>
      <c r="X188" s="1"/>
      <c r="Y188" s="1"/>
      <c r="Z188" s="1"/>
      <c r="AA188" s="1" t="str">
        <f ca="1">IFERROR(__xludf.DUMMYFUNCTION("""COMPUTED_VALUE"""),"No")</f>
        <v>No</v>
      </c>
      <c r="AB188" s="1" t="str">
        <f ca="1">IFERROR(__xludf.DUMMYFUNCTION("""COMPUTED_VALUE"""),"No")</f>
        <v>No</v>
      </c>
      <c r="AC188" s="1" t="str">
        <f ca="1">IFERROR(__xludf.DUMMYFUNCTION("""COMPUTED_VALUE"""),"No")</f>
        <v>No</v>
      </c>
      <c r="AD188" s="1" t="str">
        <f ca="1">IFERROR(__xludf.DUMMYFUNCTION("""COMPUTED_VALUE"""),"No")</f>
        <v>No</v>
      </c>
      <c r="AE188" s="1"/>
      <c r="AF188" s="1"/>
      <c r="AG188" s="1" t="str">
        <f ca="1">IFERROR(__xludf.DUMMYFUNCTION("""COMPUTED_VALUE"""),"No")</f>
        <v>No</v>
      </c>
      <c r="AH188" s="1"/>
    </row>
    <row r="189" spans="1:34" ht="12.5">
      <c r="A189" s="1" t="str">
        <f ca="1">IFERROR(__xludf.DUMMYFUNCTION("""COMPUTED_VALUE"""),"20230915MDJAB")</f>
        <v>20230915MDJAB</v>
      </c>
      <c r="B189" s="1">
        <f ca="1">IFERROR(__xludf.DUMMYFUNCTION("""COMPUTED_VALUE"""),9)</f>
        <v>9</v>
      </c>
      <c r="C189" s="1">
        <f ca="1">IFERROR(__xludf.DUMMYFUNCTION("""COMPUTED_VALUE"""),15)</f>
        <v>15</v>
      </c>
      <c r="D189" s="1">
        <f ca="1">IFERROR(__xludf.DUMMYFUNCTION("""COMPUTED_VALUE"""),2023)</f>
        <v>2023</v>
      </c>
      <c r="E189" s="4">
        <f ca="1">IFERROR(__xludf.DUMMYFUNCTION("""COMPUTED_VALUE"""),45184)</f>
        <v>45184</v>
      </c>
      <c r="F189" s="1" t="str">
        <f ca="1">IFERROR(__xludf.DUMMYFUNCTION("""COMPUTED_VALUE"""),"James McHenry Elementary School")</f>
        <v>James McHenry Elementary School</v>
      </c>
      <c r="G189" s="1">
        <f ca="1">IFERROR(__xludf.DUMMYFUNCTION("""COMPUTED_VALUE"""),0)</f>
        <v>0</v>
      </c>
      <c r="H189" s="1">
        <f ca="1">IFERROR(__xludf.DUMMYFUNCTION("""COMPUTED_VALUE"""),2)</f>
        <v>2</v>
      </c>
      <c r="I189" s="1">
        <f ca="1">IFERROR(__xludf.DUMMYFUNCTION("""COMPUTED_VALUE"""),2)</f>
        <v>2</v>
      </c>
      <c r="J189" s="1">
        <f ca="1">IFERROR(__xludf.DUMMYFUNCTION("""COMPUTED_VALUE"""),0)</f>
        <v>0</v>
      </c>
      <c r="K189" s="1" t="str">
        <f ca="1">IFERROR(__xludf.DUMMYFUNCTION("""COMPUTED_VALUE"""),"Fall")</f>
        <v>Fall</v>
      </c>
      <c r="L189" s="1" t="str">
        <f ca="1">IFERROR(__xludf.DUMMYFUNCTION("""COMPUTED_VALUE"""),"Baltimore")</f>
        <v>Baltimore</v>
      </c>
      <c r="M189" s="1" t="str">
        <f ca="1">IFERROR(__xludf.DUMMYFUNCTION("""COMPUTED_VALUE"""),"MD")</f>
        <v>MD</v>
      </c>
      <c r="N189" s="1" t="str">
        <f ca="1">IFERROR(__xludf.DUMMYFUNCTION("""COMPUTED_VALUE"""),"Elementary")</f>
        <v>Elementary</v>
      </c>
      <c r="O189" s="1" t="str">
        <f ca="1">IFERROR(__xludf.DUMMYFUNCTION("""COMPUTED_VALUE"""),"Playground")</f>
        <v>Playground</v>
      </c>
      <c r="P189" s="1" t="str">
        <f ca="1">IFERROR(__xludf.DUMMYFUNCTION("""COMPUTED_VALUE"""),"Outside on School Property")</f>
        <v>Outside on School Property</v>
      </c>
      <c r="Q189" s="1" t="str">
        <f ca="1">IFERROR(__xludf.DUMMYFUNCTION("""COMPUTED_VALUE"""),"No")</f>
        <v>No</v>
      </c>
      <c r="R189" s="1" t="str">
        <f ca="1">IFERROR(__xludf.DUMMYFUNCTION("""COMPUTED_VALUE"""),"Evening")</f>
        <v>Evening</v>
      </c>
      <c r="S189" s="5">
        <f ca="1">IFERROR(__xludf.DUMMYFUNCTION("""COMPUTED_VALUE"""),0.833333333333333)</f>
        <v>0.83333333333333304</v>
      </c>
      <c r="T189" s="1">
        <f ca="1">IFERROR(__xludf.DUMMYFUNCTION("""COMPUTED_VALUE"""),1)</f>
        <v>1</v>
      </c>
      <c r="U189" s="1" t="str">
        <f ca="1">IFERROR(__xludf.DUMMYFUNCTION("""COMPUTED_VALUE"""),"Two teens shot on school playground")</f>
        <v>Two teens shot on school playground</v>
      </c>
      <c r="V189" s="1" t="str">
        <f ca="1">IFERROR(__xludf.DUMMYFUNCTION("""COMPUTED_VALUE"""),"Two teens (14-year-old girl and 17-year-old boy) shot on or near the school playground. Shooter fled.")</f>
        <v>Two teens (14-year-old girl and 17-year-old boy) shot on or near the school playground. Shooter fled.</v>
      </c>
      <c r="W189" s="1"/>
      <c r="X189" s="1"/>
      <c r="Y189" s="1"/>
      <c r="Z189" s="1"/>
      <c r="AA189" s="1" t="str">
        <f ca="1">IFERROR(__xludf.DUMMYFUNCTION("""COMPUTED_VALUE"""),"No")</f>
        <v>No</v>
      </c>
      <c r="AB189" s="1" t="str">
        <f ca="1">IFERROR(__xludf.DUMMYFUNCTION("""COMPUTED_VALUE"""),"No")</f>
        <v>No</v>
      </c>
      <c r="AC189" s="1" t="str">
        <f ca="1">IFERROR(__xludf.DUMMYFUNCTION("""COMPUTED_VALUE"""),"No")</f>
        <v>No</v>
      </c>
      <c r="AD189" s="1" t="str">
        <f ca="1">IFERROR(__xludf.DUMMYFUNCTION("""COMPUTED_VALUE"""),"No")</f>
        <v>No</v>
      </c>
      <c r="AE189" s="1" t="str">
        <f ca="1">IFERROR(__xludf.DUMMYFUNCTION("""COMPUTED_VALUE"""),"No")</f>
        <v>No</v>
      </c>
      <c r="AF189" s="1"/>
      <c r="AG189" s="1" t="str">
        <f ca="1">IFERROR(__xludf.DUMMYFUNCTION("""COMPUTED_VALUE"""),"No")</f>
        <v>No</v>
      </c>
      <c r="AH189" s="1">
        <f ca="1">IFERROR(__xludf.DUMMYFUNCTION("""COMPUTED_VALUE"""),99)</f>
        <v>99</v>
      </c>
    </row>
    <row r="190" spans="1:34" ht="12.5">
      <c r="A190" s="1" t="str">
        <f ca="1">IFERROR(__xludf.DUMMYFUNCTION("""COMPUTED_VALUE"""),"20230915ILHIC")</f>
        <v>20230915ILHIC</v>
      </c>
      <c r="B190" s="1">
        <f ca="1">IFERROR(__xludf.DUMMYFUNCTION("""COMPUTED_VALUE"""),9)</f>
        <v>9</v>
      </c>
      <c r="C190" s="1">
        <f ca="1">IFERROR(__xludf.DUMMYFUNCTION("""COMPUTED_VALUE"""),15)</f>
        <v>15</v>
      </c>
      <c r="D190" s="1">
        <f ca="1">IFERROR(__xludf.DUMMYFUNCTION("""COMPUTED_VALUE"""),2023)</f>
        <v>2023</v>
      </c>
      <c r="E190" s="4">
        <f ca="1">IFERROR(__xludf.DUMMYFUNCTION("""COMPUTED_VALUE"""),45184)</f>
        <v>45184</v>
      </c>
      <c r="F190" s="1" t="str">
        <f ca="1">IFERROR(__xludf.DUMMYFUNCTION("""COMPUTED_VALUE"""),"Hillcrest High School")</f>
        <v>Hillcrest High School</v>
      </c>
      <c r="G190" s="1">
        <f ca="1">IFERROR(__xludf.DUMMYFUNCTION("""COMPUTED_VALUE"""),1)</f>
        <v>1</v>
      </c>
      <c r="H190" s="1">
        <f ca="1">IFERROR(__xludf.DUMMYFUNCTION("""COMPUTED_VALUE"""),0)</f>
        <v>0</v>
      </c>
      <c r="I190" s="1">
        <f ca="1">IFERROR(__xludf.DUMMYFUNCTION("""COMPUTED_VALUE"""),1)</f>
        <v>1</v>
      </c>
      <c r="J190" s="1">
        <f ca="1">IFERROR(__xludf.DUMMYFUNCTION("""COMPUTED_VALUE"""),0)</f>
        <v>0</v>
      </c>
      <c r="K190" s="1" t="str">
        <f ca="1">IFERROR(__xludf.DUMMYFUNCTION("""COMPUTED_VALUE"""),"Fall")</f>
        <v>Fall</v>
      </c>
      <c r="L190" s="1" t="str">
        <f ca="1">IFERROR(__xludf.DUMMYFUNCTION("""COMPUTED_VALUE"""),"Country Club Hills")</f>
        <v>Country Club Hills</v>
      </c>
      <c r="M190" s="1" t="str">
        <f ca="1">IFERROR(__xludf.DUMMYFUNCTION("""COMPUTED_VALUE"""),"IL")</f>
        <v>IL</v>
      </c>
      <c r="N190" s="1" t="str">
        <f ca="1">IFERROR(__xludf.DUMMYFUNCTION("""COMPUTED_VALUE"""),"High")</f>
        <v>High</v>
      </c>
      <c r="O190" s="1" t="str">
        <f ca="1">IFERROR(__xludf.DUMMYFUNCTION("""COMPUTED_VALUE"""),"Football Field/Track")</f>
        <v>Football Field/Track</v>
      </c>
      <c r="P190" s="1" t="str">
        <f ca="1">IFERROR(__xludf.DUMMYFUNCTION("""COMPUTED_VALUE"""),"Outside on School Property")</f>
        <v>Outside on School Property</v>
      </c>
      <c r="Q190" s="1" t="str">
        <f ca="1">IFERROR(__xludf.DUMMYFUNCTION("""COMPUTED_VALUE"""),"No")</f>
        <v>No</v>
      </c>
      <c r="R190" s="1" t="str">
        <f ca="1">IFERROR(__xludf.DUMMYFUNCTION("""COMPUTED_VALUE"""),"Sport Event")</f>
        <v>Sport Event</v>
      </c>
      <c r="S190" s="5">
        <f ca="1">IFERROR(__xludf.DUMMYFUNCTION("""COMPUTED_VALUE"""),0.875)</f>
        <v>0.875</v>
      </c>
      <c r="T190" s="1">
        <f ca="1">IFERROR(__xludf.DUMMYFUNCTION("""COMPUTED_VALUE"""),1)</f>
        <v>1</v>
      </c>
      <c r="U190" s="1" t="str">
        <f ca="1">IFERROR(__xludf.DUMMYFUNCTION("""COMPUTED_VALUE"""),"Student killed while leaving football game")</f>
        <v>Student killed while leaving football game</v>
      </c>
      <c r="V190" s="1" t="str">
        <f ca="1">IFERROR(__xludf.DUMMYFUNCTION("""COMPUTED_VALUE"""),"According to police, the shooting occurred at around 9 p.m. as officers were dispersing a crowd following Hillcrest High School's homecoming football game against Oak Forest High School. As people were exiting the game, gunshots were fired from an unknown"&amp;" direction, striking a 14-year-old boy and inflicting life-threatening injuries, according to officials. The teen was taken to an area hospital where he was later pronounced dead, according to the Cook County Medical Examiner's office.")</f>
        <v>According to police, the shooting occurred at around 9 p.m. as officers were dispersing a crowd following Hillcrest High School's homecoming football game against Oak Forest High School. As people were exiting the game, gunshots were fired from an unknown direction, striking a 14-year-old boy and inflicting life-threatening injuries, according to officials. The teen was taken to an area hospital where he was later pronounced dead, according to the Cook County Medical Examiner's office.</v>
      </c>
      <c r="W190" s="1"/>
      <c r="X190" s="1"/>
      <c r="Y190" s="1"/>
      <c r="Z190" s="1"/>
      <c r="AA190" s="1" t="str">
        <f ca="1">IFERROR(__xludf.DUMMYFUNCTION("""COMPUTED_VALUE"""),"No")</f>
        <v>No</v>
      </c>
      <c r="AB190" s="1" t="str">
        <f ca="1">IFERROR(__xludf.DUMMYFUNCTION("""COMPUTED_VALUE"""),"No")</f>
        <v>No</v>
      </c>
      <c r="AC190" s="1" t="str">
        <f ca="1">IFERROR(__xludf.DUMMYFUNCTION("""COMPUTED_VALUE"""),"No")</f>
        <v>No</v>
      </c>
      <c r="AD190" s="1" t="str">
        <f ca="1">IFERROR(__xludf.DUMMYFUNCTION("""COMPUTED_VALUE"""),"No")</f>
        <v>No</v>
      </c>
      <c r="AE190" s="1" t="str">
        <f ca="1">IFERROR(__xludf.DUMMYFUNCTION("""COMPUTED_VALUE"""),"No")</f>
        <v>No</v>
      </c>
      <c r="AF190" s="1"/>
      <c r="AG190" s="1" t="str">
        <f ca="1">IFERROR(__xludf.DUMMYFUNCTION("""COMPUTED_VALUE"""),"No")</f>
        <v>No</v>
      </c>
      <c r="AH190" s="1">
        <f ca="1">IFERROR(__xludf.DUMMYFUNCTION("""COMPUTED_VALUE"""),99)</f>
        <v>99</v>
      </c>
    </row>
    <row r="191" spans="1:34" ht="12.5">
      <c r="A191" s="1" t="str">
        <f ca="1">IFERROR(__xludf.DUMMYFUNCTION("""COMPUTED_VALUE"""),"20230915KSWYK")</f>
        <v>20230915KSWYK</v>
      </c>
      <c r="B191" s="1">
        <f ca="1">IFERROR(__xludf.DUMMYFUNCTION("""COMPUTED_VALUE"""),9)</f>
        <v>9</v>
      </c>
      <c r="C191" s="1">
        <f ca="1">IFERROR(__xludf.DUMMYFUNCTION("""COMPUTED_VALUE"""),15)</f>
        <v>15</v>
      </c>
      <c r="D191" s="1">
        <f ca="1">IFERROR(__xludf.DUMMYFUNCTION("""COMPUTED_VALUE"""),2023)</f>
        <v>2023</v>
      </c>
      <c r="E191" s="4">
        <f ca="1">IFERROR(__xludf.DUMMYFUNCTION("""COMPUTED_VALUE"""),45184)</f>
        <v>45184</v>
      </c>
      <c r="F191" s="1" t="str">
        <f ca="1">IFERROR(__xludf.DUMMYFUNCTION("""COMPUTED_VALUE"""),"Wyandotte High School")</f>
        <v>Wyandotte High School</v>
      </c>
      <c r="G191" s="1">
        <f ca="1">IFERROR(__xludf.DUMMYFUNCTION("""COMPUTED_VALUE"""),0)</f>
        <v>0</v>
      </c>
      <c r="H191" s="1">
        <f ca="1">IFERROR(__xludf.DUMMYFUNCTION("""COMPUTED_VALUE"""),0)</f>
        <v>0</v>
      </c>
      <c r="I191" s="1">
        <f ca="1">IFERROR(__xludf.DUMMYFUNCTION("""COMPUTED_VALUE"""),0)</f>
        <v>0</v>
      </c>
      <c r="J191" s="1">
        <f ca="1">IFERROR(__xludf.DUMMYFUNCTION("""COMPUTED_VALUE"""),0)</f>
        <v>0</v>
      </c>
      <c r="K191" s="1" t="str">
        <f ca="1">IFERROR(__xludf.DUMMYFUNCTION("""COMPUTED_VALUE"""),"Fall")</f>
        <v>Fall</v>
      </c>
      <c r="L191" s="1" t="str">
        <f ca="1">IFERROR(__xludf.DUMMYFUNCTION("""COMPUTED_VALUE"""),"Kansas City")</f>
        <v>Kansas City</v>
      </c>
      <c r="M191" s="1" t="str">
        <f ca="1">IFERROR(__xludf.DUMMYFUNCTION("""COMPUTED_VALUE"""),"KS")</f>
        <v>KS</v>
      </c>
      <c r="N191" s="1" t="str">
        <f ca="1">IFERROR(__xludf.DUMMYFUNCTION("""COMPUTED_VALUE"""),"High")</f>
        <v>High</v>
      </c>
      <c r="O191" s="1" t="str">
        <f ca="1">IFERROR(__xludf.DUMMYFUNCTION("""COMPUTED_VALUE"""),"Football Field/Track")</f>
        <v>Football Field/Track</v>
      </c>
      <c r="P191" s="1" t="str">
        <f ca="1">IFERROR(__xludf.DUMMYFUNCTION("""COMPUTED_VALUE"""),"Outside on School Property")</f>
        <v>Outside on School Property</v>
      </c>
      <c r="Q191" s="1" t="str">
        <f ca="1">IFERROR(__xludf.DUMMYFUNCTION("""COMPUTED_VALUE"""),"No")</f>
        <v>No</v>
      </c>
      <c r="R191" s="1" t="str">
        <f ca="1">IFERROR(__xludf.DUMMYFUNCTION("""COMPUTED_VALUE"""),"Sport Event")</f>
        <v>Sport Event</v>
      </c>
      <c r="S191" s="5">
        <f ca="1">IFERROR(__xludf.DUMMYFUNCTION("""COMPUTED_VALUE"""),0.916666666666666)</f>
        <v>0.91666666666666596</v>
      </c>
      <c r="T191" s="1">
        <f ca="1">IFERROR(__xludf.DUMMYFUNCTION("""COMPUTED_VALUE"""),1)</f>
        <v>1</v>
      </c>
      <c r="U191" s="1" t="str">
        <f ca="1">IFERROR(__xludf.DUMMYFUNCTION("""COMPUTED_VALUE"""),"Two suspects fired at officer working gate during football game")</f>
        <v>Two suspects fired at officer working gate during football game</v>
      </c>
      <c r="V191" s="1" t="str">
        <f ca="1">IFERROR(__xludf.DUMMYFUNCTION("""COMPUTED_VALUE"""),"According to KCKPD, at one minute left in the game, two unknown suspects approached the entrance to the field, from outside of the stadium, and shot towards a police officer that was standing at the gate. The officer returned fire until the suspects fled "&amp;"north to a vehicle and left the scene. At this time there are no reports of any individuals being struck by the gunfire.")</f>
        <v>According to KCKPD, at one minute left in the game, two unknown suspects approached the entrance to the field, from outside of the stadium, and shot towards a police officer that was standing at the gate. The officer returned fire until the suspects fled north to a vehicle and left the scene. At this time there are no reports of any individuals being struck by the gunfire.</v>
      </c>
      <c r="W191" s="1"/>
      <c r="X191" s="1"/>
      <c r="Y191" s="1" t="str">
        <f ca="1">IFERROR(__xludf.DUMMYFUNCTION("""COMPUTED_VALUE"""),"Yes")</f>
        <v>Yes</v>
      </c>
      <c r="Z191" s="1" t="str">
        <f ca="1">IFERROR(__xludf.DUMMYFUNCTION("""COMPUTED_VALUE"""),"Two shooters")</f>
        <v>Two shooters</v>
      </c>
      <c r="AA191" s="1" t="str">
        <f ca="1">IFERROR(__xludf.DUMMYFUNCTION("""COMPUTED_VALUE"""),"No")</f>
        <v>No</v>
      </c>
      <c r="AB191" s="1" t="str">
        <f ca="1">IFERROR(__xludf.DUMMYFUNCTION("""COMPUTED_VALUE"""),"No")</f>
        <v>No</v>
      </c>
      <c r="AC191" s="1" t="str">
        <f ca="1">IFERROR(__xludf.DUMMYFUNCTION("""COMPUTED_VALUE"""),"No")</f>
        <v>No</v>
      </c>
      <c r="AD191" s="1" t="str">
        <f ca="1">IFERROR(__xludf.DUMMYFUNCTION("""COMPUTED_VALUE"""),"No")</f>
        <v>No</v>
      </c>
      <c r="AE191" s="1" t="str">
        <f ca="1">IFERROR(__xludf.DUMMYFUNCTION("""COMPUTED_VALUE"""),"No")</f>
        <v>No</v>
      </c>
      <c r="AF191" s="1"/>
      <c r="AG191" s="1"/>
      <c r="AH191" s="1">
        <f ca="1">IFERROR(__xludf.DUMMYFUNCTION("""COMPUTED_VALUE"""),99)</f>
        <v>99</v>
      </c>
    </row>
    <row r="192" spans="1:34" ht="12.5">
      <c r="A192" s="1" t="str">
        <f ca="1">IFERROR(__xludf.DUMMYFUNCTION("""COMPUTED_VALUE"""),"20230914ILBOU")</f>
        <v>20230914ILBOU</v>
      </c>
      <c r="B192" s="1">
        <f ca="1">IFERROR(__xludf.DUMMYFUNCTION("""COMPUTED_VALUE"""),9)</f>
        <v>9</v>
      </c>
      <c r="C192" s="1">
        <f ca="1">IFERROR(__xludf.DUMMYFUNCTION("""COMPUTED_VALUE"""),14)</f>
        <v>14</v>
      </c>
      <c r="D192" s="1">
        <f ca="1">IFERROR(__xludf.DUMMYFUNCTION("""COMPUTED_VALUE"""),2023)</f>
        <v>2023</v>
      </c>
      <c r="E192" s="4">
        <f ca="1">IFERROR(__xludf.DUMMYFUNCTION("""COMPUTED_VALUE"""),45183)</f>
        <v>45183</v>
      </c>
      <c r="F192" s="1" t="str">
        <f ca="1">IFERROR(__xludf.DUMMYFUNCTION("""COMPUTED_VALUE"""),"Booker T. Washington School")</f>
        <v>Booker T. Washington School</v>
      </c>
      <c r="G192" s="1">
        <f ca="1">IFERROR(__xludf.DUMMYFUNCTION("""COMPUTED_VALUE"""),0)</f>
        <v>0</v>
      </c>
      <c r="H192" s="1">
        <f ca="1">IFERROR(__xludf.DUMMYFUNCTION("""COMPUTED_VALUE"""),0)</f>
        <v>0</v>
      </c>
      <c r="I192" s="1">
        <f ca="1">IFERROR(__xludf.DUMMYFUNCTION("""COMPUTED_VALUE"""),0)</f>
        <v>0</v>
      </c>
      <c r="J192" s="1">
        <f ca="1">IFERROR(__xludf.DUMMYFUNCTION("""COMPUTED_VALUE"""),0)</f>
        <v>0</v>
      </c>
      <c r="K192" s="1" t="str">
        <f ca="1">IFERROR(__xludf.DUMMYFUNCTION("""COMPUTED_VALUE"""),"Fall")</f>
        <v>Fall</v>
      </c>
      <c r="L192" s="1" t="str">
        <f ca="1">IFERROR(__xludf.DUMMYFUNCTION("""COMPUTED_VALUE"""),"Urbana")</f>
        <v>Urbana</v>
      </c>
      <c r="M192" s="1" t="str">
        <f ca="1">IFERROR(__xludf.DUMMYFUNCTION("""COMPUTED_VALUE"""),"IL")</f>
        <v>IL</v>
      </c>
      <c r="N192" s="1" t="str">
        <f ca="1">IFERROR(__xludf.DUMMYFUNCTION("""COMPUTED_VALUE"""),"K-12")</f>
        <v>K-12</v>
      </c>
      <c r="O192" s="1" t="str">
        <f ca="1">IFERROR(__xludf.DUMMYFUNCTION("""COMPUTED_VALUE"""),"Front of School")</f>
        <v>Front of School</v>
      </c>
      <c r="P192" s="1" t="str">
        <f ca="1">IFERROR(__xludf.DUMMYFUNCTION("""COMPUTED_VALUE"""),"Outside on School Property")</f>
        <v>Outside on School Property</v>
      </c>
      <c r="Q192" s="1" t="str">
        <f ca="1">IFERROR(__xludf.DUMMYFUNCTION("""COMPUTED_VALUE"""),"Yes")</f>
        <v>Yes</v>
      </c>
      <c r="R192" s="1" t="str">
        <f ca="1">IFERROR(__xludf.DUMMYFUNCTION("""COMPUTED_VALUE"""),"Dismissal")</f>
        <v>Dismissal</v>
      </c>
      <c r="S192" s="5">
        <f ca="1">IFERROR(__xludf.DUMMYFUNCTION("""COMPUTED_VALUE"""),0.666666666666666)</f>
        <v>0.66666666666666596</v>
      </c>
      <c r="T192" s="1">
        <f ca="1">IFERROR(__xludf.DUMMYFUNCTION("""COMPUTED_VALUE"""),1)</f>
        <v>1</v>
      </c>
      <c r="U192" s="1" t="str">
        <f ca="1">IFERROR(__xludf.DUMMYFUNCTION("""COMPUTED_VALUE"""),"Four teens fired shots outside the school at dismissal")</f>
        <v>Four teens fired shots outside the school at dismissal</v>
      </c>
      <c r="V192" s="1" t="str">
        <f ca="1">IFERROR(__xludf.DUMMYFUNCTION("""COMPUTED_VALUE"""),"Four teens fired shots outside the school at dismissal. No injuries or property damage. Suspects fled and were arrested 2 weeks later.")</f>
        <v>Four teens fired shots outside the school at dismissal. No injuries or property damage. Suspects fled and were arrested 2 weeks later.</v>
      </c>
      <c r="W192" s="1" t="str">
        <f ca="1">IFERROR(__xludf.DUMMYFUNCTION("""COMPUTED_VALUE"""),"Escalation of Dispute")</f>
        <v>Escalation of Dispute</v>
      </c>
      <c r="X192" s="1" t="str">
        <f ca="1">IFERROR(__xludf.DUMMYFUNCTION("""COMPUTED_VALUE"""),"Victims Targeted")</f>
        <v>Victims Targeted</v>
      </c>
      <c r="Y192" s="1" t="str">
        <f ca="1">IFERROR(__xludf.DUMMYFUNCTION("""COMPUTED_VALUE"""),"Yes")</f>
        <v>Yes</v>
      </c>
      <c r="Z192" s="1" t="str">
        <f ca="1">IFERROR(__xludf.DUMMYFUNCTION("""COMPUTED_VALUE"""),"4 teens")</f>
        <v>4 teens</v>
      </c>
      <c r="AA192" s="1" t="str">
        <f ca="1">IFERROR(__xludf.DUMMYFUNCTION("""COMPUTED_VALUE"""),"No")</f>
        <v>No</v>
      </c>
      <c r="AB192" s="1" t="str">
        <f ca="1">IFERROR(__xludf.DUMMYFUNCTION("""COMPUTED_VALUE"""),"No")</f>
        <v>No</v>
      </c>
      <c r="AC192" s="1" t="str">
        <f ca="1">IFERROR(__xludf.DUMMYFUNCTION("""COMPUTED_VALUE"""),"No")</f>
        <v>No</v>
      </c>
      <c r="AD192" s="1" t="str">
        <f ca="1">IFERROR(__xludf.DUMMYFUNCTION("""COMPUTED_VALUE"""),"No")</f>
        <v>No</v>
      </c>
      <c r="AE192" s="1" t="str">
        <f ca="1">IFERROR(__xludf.DUMMYFUNCTION("""COMPUTED_VALUE"""),"No")</f>
        <v>No</v>
      </c>
      <c r="AF192" s="1"/>
      <c r="AG192" s="1" t="str">
        <f ca="1">IFERROR(__xludf.DUMMYFUNCTION("""COMPUTED_VALUE"""),"No")</f>
        <v>No</v>
      </c>
      <c r="AH192" s="1">
        <f ca="1">IFERROR(__xludf.DUMMYFUNCTION("""COMPUTED_VALUE"""),99)</f>
        <v>99</v>
      </c>
    </row>
    <row r="193" spans="1:34" ht="12.5">
      <c r="A193" s="1" t="str">
        <f ca="1">IFERROR(__xludf.DUMMYFUNCTION("""COMPUTED_VALUE"""),"20230913GALAA")</f>
        <v>20230913GALAA</v>
      </c>
      <c r="B193" s="1">
        <f ca="1">IFERROR(__xludf.DUMMYFUNCTION("""COMPUTED_VALUE"""),9)</f>
        <v>9</v>
      </c>
      <c r="C193" s="1">
        <f ca="1">IFERROR(__xludf.DUMMYFUNCTION("""COMPUTED_VALUE"""),13)</f>
        <v>13</v>
      </c>
      <c r="D193" s="1">
        <f ca="1">IFERROR(__xludf.DUMMYFUNCTION("""COMPUTED_VALUE"""),2023)</f>
        <v>2023</v>
      </c>
      <c r="E193" s="4">
        <f ca="1">IFERROR(__xludf.DUMMYFUNCTION("""COMPUTED_VALUE"""),45182)</f>
        <v>45182</v>
      </c>
      <c r="F193" s="1" t="str">
        <f ca="1">IFERROR(__xludf.DUMMYFUNCTION("""COMPUTED_VALUE"""),"Lake Park Elementary School")</f>
        <v>Lake Park Elementary School</v>
      </c>
      <c r="G193" s="1">
        <f ca="1">IFERROR(__xludf.DUMMYFUNCTION("""COMPUTED_VALUE"""),0)</f>
        <v>0</v>
      </c>
      <c r="H193" s="1">
        <f ca="1">IFERROR(__xludf.DUMMYFUNCTION("""COMPUTED_VALUE"""),1)</f>
        <v>1</v>
      </c>
      <c r="I193" s="1">
        <f ca="1">IFERROR(__xludf.DUMMYFUNCTION("""COMPUTED_VALUE"""),1)</f>
        <v>1</v>
      </c>
      <c r="J193" s="1">
        <f ca="1">IFERROR(__xludf.DUMMYFUNCTION("""COMPUTED_VALUE"""),0)</f>
        <v>0</v>
      </c>
      <c r="K193" s="1" t="str">
        <f ca="1">IFERROR(__xludf.DUMMYFUNCTION("""COMPUTED_VALUE"""),"Fall")</f>
        <v>Fall</v>
      </c>
      <c r="L193" s="1" t="str">
        <f ca="1">IFERROR(__xludf.DUMMYFUNCTION("""COMPUTED_VALUE"""),"Albany")</f>
        <v>Albany</v>
      </c>
      <c r="M193" s="1" t="str">
        <f ca="1">IFERROR(__xludf.DUMMYFUNCTION("""COMPUTED_VALUE"""),"GA")</f>
        <v>GA</v>
      </c>
      <c r="N193" s="1" t="str">
        <f ca="1">IFERROR(__xludf.DUMMYFUNCTION("""COMPUTED_VALUE"""),"Elementary")</f>
        <v>Elementary</v>
      </c>
      <c r="O193" s="1" t="str">
        <f ca="1">IFERROR(__xludf.DUMMYFUNCTION("""COMPUTED_VALUE"""),"Parking Lot")</f>
        <v>Parking Lot</v>
      </c>
      <c r="P193" s="1" t="str">
        <f ca="1">IFERROR(__xludf.DUMMYFUNCTION("""COMPUTED_VALUE"""),"Outside on School Property")</f>
        <v>Outside on School Property</v>
      </c>
      <c r="Q193" s="1" t="str">
        <f ca="1">IFERROR(__xludf.DUMMYFUNCTION("""COMPUTED_VALUE"""),"Yes")</f>
        <v>Yes</v>
      </c>
      <c r="R193" s="1" t="str">
        <f ca="1">IFERROR(__xludf.DUMMYFUNCTION("""COMPUTED_VALUE"""),"Dismissal")</f>
        <v>Dismissal</v>
      </c>
      <c r="S193" s="5">
        <f ca="1">IFERROR(__xludf.DUMMYFUNCTION("""COMPUTED_VALUE"""),0.75)</f>
        <v>0.75</v>
      </c>
      <c r="T193" s="1">
        <f ca="1">IFERROR(__xludf.DUMMYFUNCTION("""COMPUTED_VALUE"""),1)</f>
        <v>1</v>
      </c>
      <c r="U193" s="1" t="str">
        <f ca="1">IFERROR(__xludf.DUMMYFUNCTION("""COMPUTED_VALUE"""),"Parent assaulted and shot during domestic dispute at pickup by ex-spouse")</f>
        <v>Parent assaulted and shot during domestic dispute at pickup by ex-spouse</v>
      </c>
      <c r="V193" s="1" t="str">
        <f ca="1">IFERROR(__xludf.DUMMYFUNCTION("""COMPUTED_VALUE"""),"Parent assaulted and shot during domestic dispute at pickup by ex-spouse. 3 children were inside the car when the ex-spouse fired at the victim.")</f>
        <v>Parent assaulted and shot during domestic dispute at pickup by ex-spouse. 3 children were inside the car when the ex-spouse fired at the victim.</v>
      </c>
      <c r="W193" s="1" t="str">
        <f ca="1">IFERROR(__xludf.DUMMYFUNCTION("""COMPUTED_VALUE"""),"Domestic w/ Targeted Victim")</f>
        <v>Domestic w/ Targeted Victim</v>
      </c>
      <c r="X193" s="1" t="str">
        <f ca="1">IFERROR(__xludf.DUMMYFUNCTION("""COMPUTED_VALUE"""),"Victims Targeted")</f>
        <v>Victims Targeted</v>
      </c>
      <c r="Y193" s="1" t="str">
        <f ca="1">IFERROR(__xludf.DUMMYFUNCTION("""COMPUTED_VALUE"""),"No")</f>
        <v>No</v>
      </c>
      <c r="Z193" s="1"/>
      <c r="AA193" s="1" t="str">
        <f ca="1">IFERROR(__xludf.DUMMYFUNCTION("""COMPUTED_VALUE"""),"No")</f>
        <v>No</v>
      </c>
      <c r="AB193" s="1" t="str">
        <f ca="1">IFERROR(__xludf.DUMMYFUNCTION("""COMPUTED_VALUE"""),"No")</f>
        <v>No</v>
      </c>
      <c r="AC193" s="1" t="str">
        <f ca="1">IFERROR(__xludf.DUMMYFUNCTION("""COMPUTED_VALUE"""),"No")</f>
        <v>No</v>
      </c>
      <c r="AD193" s="1" t="str">
        <f ca="1">IFERROR(__xludf.DUMMYFUNCTION("""COMPUTED_VALUE"""),"No")</f>
        <v>No</v>
      </c>
      <c r="AE193" s="1" t="str">
        <f ca="1">IFERROR(__xludf.DUMMYFUNCTION("""COMPUTED_VALUE"""),"Yes")</f>
        <v>Yes</v>
      </c>
      <c r="AF193" s="1" t="str">
        <f ca="1">IFERROR(__xludf.DUMMYFUNCTION("""COMPUTED_VALUE"""),"No")</f>
        <v>No</v>
      </c>
      <c r="AG193" s="1" t="str">
        <f ca="1">IFERROR(__xludf.DUMMYFUNCTION("""COMPUTED_VALUE"""),"No")</f>
        <v>No</v>
      </c>
      <c r="AH193" s="1">
        <f ca="1">IFERROR(__xludf.DUMMYFUNCTION("""COMPUTED_VALUE"""),99)</f>
        <v>99</v>
      </c>
    </row>
    <row r="194" spans="1:34" ht="12.5">
      <c r="A194" s="1" t="str">
        <f ca="1">IFERROR(__xludf.DUMMYFUNCTION("""COMPUTED_VALUE"""),"20230913DCLIW")</f>
        <v>20230913DCLIW</v>
      </c>
      <c r="B194" s="1">
        <f ca="1">IFERROR(__xludf.DUMMYFUNCTION("""COMPUTED_VALUE"""),9)</f>
        <v>9</v>
      </c>
      <c r="C194" s="1">
        <f ca="1">IFERROR(__xludf.DUMMYFUNCTION("""COMPUTED_VALUE"""),13)</f>
        <v>13</v>
      </c>
      <c r="D194" s="1">
        <f ca="1">IFERROR(__xludf.DUMMYFUNCTION("""COMPUTED_VALUE"""),2023)</f>
        <v>2023</v>
      </c>
      <c r="E194" s="4">
        <f ca="1">IFERROR(__xludf.DUMMYFUNCTION("""COMPUTED_VALUE"""),45182)</f>
        <v>45182</v>
      </c>
      <c r="F194" s="1" t="str">
        <f ca="1">IFERROR(__xludf.DUMMYFUNCTION("""COMPUTED_VALUE"""),"Lincoln Middle School")</f>
        <v>Lincoln Middle School</v>
      </c>
      <c r="G194" s="1">
        <f ca="1">IFERROR(__xludf.DUMMYFUNCTION("""COMPUTED_VALUE"""),0)</f>
        <v>0</v>
      </c>
      <c r="H194" s="1">
        <f ca="1">IFERROR(__xludf.DUMMYFUNCTION("""COMPUTED_VALUE"""),1)</f>
        <v>1</v>
      </c>
      <c r="I194" s="1">
        <f ca="1">IFERROR(__xludf.DUMMYFUNCTION("""COMPUTED_VALUE"""),1)</f>
        <v>1</v>
      </c>
      <c r="J194" s="1">
        <f ca="1">IFERROR(__xludf.DUMMYFUNCTION("""COMPUTED_VALUE"""),0)</f>
        <v>0</v>
      </c>
      <c r="K194" s="1" t="str">
        <f ca="1">IFERROR(__xludf.DUMMYFUNCTION("""COMPUTED_VALUE"""),"Fall")</f>
        <v>Fall</v>
      </c>
      <c r="L194" s="1" t="str">
        <f ca="1">IFERROR(__xludf.DUMMYFUNCTION("""COMPUTED_VALUE"""),"Washington")</f>
        <v>Washington</v>
      </c>
      <c r="M194" s="1" t="str">
        <f ca="1">IFERROR(__xludf.DUMMYFUNCTION("""COMPUTED_VALUE"""),"DC")</f>
        <v>DC</v>
      </c>
      <c r="N194" s="1" t="str">
        <f ca="1">IFERROR(__xludf.DUMMYFUNCTION("""COMPUTED_VALUE"""),"Middle")</f>
        <v>Middle</v>
      </c>
      <c r="O194" s="1" t="str">
        <f ca="1">IFERROR(__xludf.DUMMYFUNCTION("""COMPUTED_VALUE"""),"Parking Lot")</f>
        <v>Parking Lot</v>
      </c>
      <c r="P194" s="1" t="str">
        <f ca="1">IFERROR(__xludf.DUMMYFUNCTION("""COMPUTED_VALUE"""),"Outside on School Property")</f>
        <v>Outside on School Property</v>
      </c>
      <c r="Q194" s="1" t="str">
        <f ca="1">IFERROR(__xludf.DUMMYFUNCTION("""COMPUTED_VALUE"""),"No")</f>
        <v>No</v>
      </c>
      <c r="R194" s="1" t="str">
        <f ca="1">IFERROR(__xludf.DUMMYFUNCTION("""COMPUTED_VALUE"""),"After School")</f>
        <v>After School</v>
      </c>
      <c r="S194" s="5">
        <f ca="1">IFERROR(__xludf.DUMMYFUNCTION("""COMPUTED_VALUE"""),0.666666666666666)</f>
        <v>0.66666666666666596</v>
      </c>
      <c r="T194" s="1">
        <f ca="1">IFERROR(__xludf.DUMMYFUNCTION("""COMPUTED_VALUE"""),1)</f>
        <v>1</v>
      </c>
      <c r="U194" s="1" t="str">
        <f ca="1">IFERROR(__xludf.DUMMYFUNCTION("""COMPUTED_VALUE"""),"Man shot by dumpster behind the school in the parking lots near the athletic fields")</f>
        <v>Man shot by dumpster behind the school in the parking lots near the athletic fields</v>
      </c>
      <c r="V194" s="1" t="str">
        <f ca="1">IFERROR(__xludf.DUMMYFUNCTION("""COMPUTED_VALUE"""),"Man shot by dumpster behind the school in the parking lots near the athletic fields. Shooter fled.")</f>
        <v>Man shot by dumpster behind the school in the parking lots near the athletic fields. Shooter fled.</v>
      </c>
      <c r="W194" s="1"/>
      <c r="X194" s="1" t="str">
        <f ca="1">IFERROR(__xludf.DUMMYFUNCTION("""COMPUTED_VALUE"""),"Victims Targeted")</f>
        <v>Victims Targeted</v>
      </c>
      <c r="Y194" s="1"/>
      <c r="Z194" s="1"/>
      <c r="AA194" s="1" t="str">
        <f ca="1">IFERROR(__xludf.DUMMYFUNCTION("""COMPUTED_VALUE"""),"No")</f>
        <v>No</v>
      </c>
      <c r="AB194" s="1" t="str">
        <f ca="1">IFERROR(__xludf.DUMMYFUNCTION("""COMPUTED_VALUE"""),"No")</f>
        <v>No</v>
      </c>
      <c r="AC194" s="1" t="str">
        <f ca="1">IFERROR(__xludf.DUMMYFUNCTION("""COMPUTED_VALUE"""),"No")</f>
        <v>No</v>
      </c>
      <c r="AD194" s="1" t="str">
        <f ca="1">IFERROR(__xludf.DUMMYFUNCTION("""COMPUTED_VALUE"""),"No")</f>
        <v>No</v>
      </c>
      <c r="AE194" s="1" t="str">
        <f ca="1">IFERROR(__xludf.DUMMYFUNCTION("""COMPUTED_VALUE"""),"No")</f>
        <v>No</v>
      </c>
      <c r="AF194" s="1"/>
      <c r="AG194" s="1" t="str">
        <f ca="1">IFERROR(__xludf.DUMMYFUNCTION("""COMPUTED_VALUE"""),"No")</f>
        <v>No</v>
      </c>
      <c r="AH194" s="1"/>
    </row>
    <row r="195" spans="1:34" ht="12.5">
      <c r="A195" s="1" t="str">
        <f ca="1">IFERROR(__xludf.DUMMYFUNCTION("""COMPUTED_VALUE"""),"20230912WAEIY")</f>
        <v>20230912WAEIY</v>
      </c>
      <c r="B195" s="1">
        <f ca="1">IFERROR(__xludf.DUMMYFUNCTION("""COMPUTED_VALUE"""),9)</f>
        <v>9</v>
      </c>
      <c r="C195" s="1">
        <f ca="1">IFERROR(__xludf.DUMMYFUNCTION("""COMPUTED_VALUE"""),12)</f>
        <v>12</v>
      </c>
      <c r="D195" s="1">
        <f ca="1">IFERROR(__xludf.DUMMYFUNCTION("""COMPUTED_VALUE"""),2023)</f>
        <v>2023</v>
      </c>
      <c r="E195" s="4">
        <f ca="1">IFERROR(__xludf.DUMMYFUNCTION("""COMPUTED_VALUE"""),45181)</f>
        <v>45181</v>
      </c>
      <c r="F195" s="1" t="str">
        <f ca="1">IFERROR(__xludf.DUMMYFUNCTION("""COMPUTED_VALUE"""),"Eisenhower High School")</f>
        <v>Eisenhower High School</v>
      </c>
      <c r="G195" s="1">
        <f ca="1">IFERROR(__xludf.DUMMYFUNCTION("""COMPUTED_VALUE"""),0)</f>
        <v>0</v>
      </c>
      <c r="H195" s="1">
        <f ca="1">IFERROR(__xludf.DUMMYFUNCTION("""COMPUTED_VALUE"""),1)</f>
        <v>1</v>
      </c>
      <c r="I195" s="1">
        <f ca="1">IFERROR(__xludf.DUMMYFUNCTION("""COMPUTED_VALUE"""),1)</f>
        <v>1</v>
      </c>
      <c r="J195" s="1">
        <f ca="1">IFERROR(__xludf.DUMMYFUNCTION("""COMPUTED_VALUE"""),0)</f>
        <v>0</v>
      </c>
      <c r="K195" s="1" t="str">
        <f ca="1">IFERROR(__xludf.DUMMYFUNCTION("""COMPUTED_VALUE"""),"Fall")</f>
        <v>Fall</v>
      </c>
      <c r="L195" s="1" t="str">
        <f ca="1">IFERROR(__xludf.DUMMYFUNCTION("""COMPUTED_VALUE"""),"Yakima")</f>
        <v>Yakima</v>
      </c>
      <c r="M195" s="1" t="str">
        <f ca="1">IFERROR(__xludf.DUMMYFUNCTION("""COMPUTED_VALUE"""),"WA")</f>
        <v>WA</v>
      </c>
      <c r="N195" s="1" t="str">
        <f ca="1">IFERROR(__xludf.DUMMYFUNCTION("""COMPUTED_VALUE"""),"High")</f>
        <v>High</v>
      </c>
      <c r="O195" s="1" t="str">
        <f ca="1">IFERROR(__xludf.DUMMYFUNCTION("""COMPUTED_VALUE"""),"Parking Lot")</f>
        <v>Parking Lot</v>
      </c>
      <c r="P195" s="1" t="str">
        <f ca="1">IFERROR(__xludf.DUMMYFUNCTION("""COMPUTED_VALUE"""),"Outside on School Property")</f>
        <v>Outside on School Property</v>
      </c>
      <c r="Q195" s="1" t="str">
        <f ca="1">IFERROR(__xludf.DUMMYFUNCTION("""COMPUTED_VALUE"""),"Yes")</f>
        <v>Yes</v>
      </c>
      <c r="R195" s="1" t="str">
        <f ca="1">IFERROR(__xludf.DUMMYFUNCTION("""COMPUTED_VALUE"""),"School Start")</f>
        <v>School Start</v>
      </c>
      <c r="S195" s="5">
        <f ca="1">IFERROR(__xludf.DUMMYFUNCTION("""COMPUTED_VALUE"""),0.333333333333333)</f>
        <v>0.33333333333333298</v>
      </c>
      <c r="T195" s="1">
        <f ca="1">IFERROR(__xludf.DUMMYFUNCTION("""COMPUTED_VALUE"""),1)</f>
        <v>1</v>
      </c>
      <c r="U195" s="1" t="str">
        <f ca="1">IFERROR(__xludf.DUMMYFUNCTION("""COMPUTED_VALUE"""),"Student was shot during drive-by as school opened.")</f>
        <v>Student was shot during drive-by as school opened.</v>
      </c>
      <c r="V195" s="1" t="str">
        <f ca="1">IFERROR(__xludf.DUMMYFUNCTION("""COMPUTED_VALUE"""),"14-year-old student was shot during drive-by as the school opened. School went on lockdown for 2 hours. Shooter fled.")</f>
        <v>14-year-old student was shot during drive-by as the school opened. School went on lockdown for 2 hours. Shooter fled.</v>
      </c>
      <c r="W195" s="1" t="str">
        <f ca="1">IFERROR(__xludf.DUMMYFUNCTION("""COMPUTED_VALUE"""),"Drive-by Shooting")</f>
        <v>Drive-by Shooting</v>
      </c>
      <c r="X195" s="1" t="str">
        <f ca="1">IFERROR(__xludf.DUMMYFUNCTION("""COMPUTED_VALUE"""),"Victims Targeted")</f>
        <v>Victims Targeted</v>
      </c>
      <c r="Y195" s="1"/>
      <c r="Z195" s="1"/>
      <c r="AA195" s="1" t="str">
        <f ca="1">IFERROR(__xludf.DUMMYFUNCTION("""COMPUTED_VALUE"""),"No")</f>
        <v>No</v>
      </c>
      <c r="AB195" s="1" t="str">
        <f ca="1">IFERROR(__xludf.DUMMYFUNCTION("""COMPUTED_VALUE"""),"No")</f>
        <v>No</v>
      </c>
      <c r="AC195" s="1" t="str">
        <f ca="1">IFERROR(__xludf.DUMMYFUNCTION("""COMPUTED_VALUE"""),"No")</f>
        <v>No</v>
      </c>
      <c r="AD195" s="1" t="str">
        <f ca="1">IFERROR(__xludf.DUMMYFUNCTION("""COMPUTED_VALUE"""),"No")</f>
        <v>No</v>
      </c>
      <c r="AE195" s="1" t="str">
        <f ca="1">IFERROR(__xludf.DUMMYFUNCTION("""COMPUTED_VALUE"""),"No")</f>
        <v>No</v>
      </c>
      <c r="AF195" s="1" t="str">
        <f ca="1">IFERROR(__xludf.DUMMYFUNCTION("""COMPUTED_VALUE"""),"Yes")</f>
        <v>Yes</v>
      </c>
      <c r="AG195" s="1" t="str">
        <f ca="1">IFERROR(__xludf.DUMMYFUNCTION("""COMPUTED_VALUE"""),"No")</f>
        <v>No</v>
      </c>
      <c r="AH195" s="1">
        <f ca="1">IFERROR(__xludf.DUMMYFUNCTION("""COMPUTED_VALUE"""),99)</f>
        <v>99</v>
      </c>
    </row>
    <row r="196" spans="1:34" ht="12.5">
      <c r="A196" s="1" t="str">
        <f ca="1">IFERROR(__xludf.DUMMYFUNCTION("""COMPUTED_VALUE"""),"20230912LASTG")</f>
        <v>20230912LASTG</v>
      </c>
      <c r="B196" s="1">
        <f ca="1">IFERROR(__xludf.DUMMYFUNCTION("""COMPUTED_VALUE"""),9)</f>
        <v>9</v>
      </c>
      <c r="C196" s="1">
        <f ca="1">IFERROR(__xludf.DUMMYFUNCTION("""COMPUTED_VALUE"""),12)</f>
        <v>12</v>
      </c>
      <c r="D196" s="1">
        <f ca="1">IFERROR(__xludf.DUMMYFUNCTION("""COMPUTED_VALUE"""),2023)</f>
        <v>2023</v>
      </c>
      <c r="E196" s="4">
        <f ca="1">IFERROR(__xludf.DUMMYFUNCTION("""COMPUTED_VALUE"""),45181)</f>
        <v>45181</v>
      </c>
      <c r="F196" s="1" t="str">
        <f ca="1">IFERROR(__xludf.DUMMYFUNCTION("""COMPUTED_VALUE"""),"St. Helena College &amp; Career Academy")</f>
        <v>St. Helena College &amp; Career Academy</v>
      </c>
      <c r="G196" s="1">
        <f ca="1">IFERROR(__xludf.DUMMYFUNCTION("""COMPUTED_VALUE"""),1)</f>
        <v>1</v>
      </c>
      <c r="H196" s="1">
        <f ca="1">IFERROR(__xludf.DUMMYFUNCTION("""COMPUTED_VALUE"""),2)</f>
        <v>2</v>
      </c>
      <c r="I196" s="1">
        <f ca="1">IFERROR(__xludf.DUMMYFUNCTION("""COMPUTED_VALUE"""),3)</f>
        <v>3</v>
      </c>
      <c r="J196" s="1">
        <f ca="1">IFERROR(__xludf.DUMMYFUNCTION("""COMPUTED_VALUE"""),0)</f>
        <v>0</v>
      </c>
      <c r="K196" s="1" t="str">
        <f ca="1">IFERROR(__xludf.DUMMYFUNCTION("""COMPUTED_VALUE"""),"Fall")</f>
        <v>Fall</v>
      </c>
      <c r="L196" s="1" t="str">
        <f ca="1">IFERROR(__xludf.DUMMYFUNCTION("""COMPUTED_VALUE"""),"Helena")</f>
        <v>Helena</v>
      </c>
      <c r="M196" s="1" t="str">
        <f ca="1">IFERROR(__xludf.DUMMYFUNCTION("""COMPUTED_VALUE"""),"LA")</f>
        <v>LA</v>
      </c>
      <c r="N196" s="1" t="str">
        <f ca="1">IFERROR(__xludf.DUMMYFUNCTION("""COMPUTED_VALUE"""),"High")</f>
        <v>High</v>
      </c>
      <c r="O196" s="1" t="str">
        <f ca="1">IFERROR(__xludf.DUMMYFUNCTION("""COMPUTED_VALUE"""),"Parking Lot")</f>
        <v>Parking Lot</v>
      </c>
      <c r="P196" s="1" t="str">
        <f ca="1">IFERROR(__xludf.DUMMYFUNCTION("""COMPUTED_VALUE"""),"Outside on School Property")</f>
        <v>Outside on School Property</v>
      </c>
      <c r="Q196" s="1" t="str">
        <f ca="1">IFERROR(__xludf.DUMMYFUNCTION("""COMPUTED_VALUE"""),"Yes")</f>
        <v>Yes</v>
      </c>
      <c r="R196" s="1" t="str">
        <f ca="1">IFERROR(__xludf.DUMMYFUNCTION("""COMPUTED_VALUE"""),"Dismissal")</f>
        <v>Dismissal</v>
      </c>
      <c r="S196" s="5">
        <f ca="1">IFERROR(__xludf.DUMMYFUNCTION("""COMPUTED_VALUE"""),0.645833333333333)</f>
        <v>0.64583333333333304</v>
      </c>
      <c r="T196" s="1">
        <f ca="1">IFERROR(__xludf.DUMMYFUNCTION("""COMPUTED_VALUE"""),1)</f>
        <v>1</v>
      </c>
      <c r="U196" s="1" t="str">
        <f ca="1">IFERROR(__xludf.DUMMYFUNCTION("""COMPUTED_VALUE"""),"Student shot three classmates in the parking lot at dismissal")</f>
        <v>Student shot three classmates in the parking lot at dismissal</v>
      </c>
      <c r="V196" s="1" t="str">
        <f ca="1">IFERROR(__xludf.DUMMYFUNCTION("""COMPUTED_VALUE"""),"A 14-year-old student fatally shot a 16-year-old student and wounded two others in the parking lot at dismissal. Per police, the shooter was motivated by bullying.")</f>
        <v>A 14-year-old student fatally shot a 16-year-old student and wounded two others in the parking lot at dismissal. Per police, the shooter was motivated by bullying.</v>
      </c>
      <c r="W196" s="1" t="str">
        <f ca="1">IFERROR(__xludf.DUMMYFUNCTION("""COMPUTED_VALUE"""),"Bullying")</f>
        <v>Bullying</v>
      </c>
      <c r="X196" s="1" t="str">
        <f ca="1">IFERROR(__xludf.DUMMYFUNCTION("""COMPUTED_VALUE"""),"Victims Targeted")</f>
        <v>Victims Targeted</v>
      </c>
      <c r="Y196" s="1" t="str">
        <f ca="1">IFERROR(__xludf.DUMMYFUNCTION("""COMPUTED_VALUE"""),"No")</f>
        <v>No</v>
      </c>
      <c r="Z196" s="1"/>
      <c r="AA196" s="1" t="str">
        <f ca="1">IFERROR(__xludf.DUMMYFUNCTION("""COMPUTED_VALUE"""),"No")</f>
        <v>No</v>
      </c>
      <c r="AB196" s="1" t="str">
        <f ca="1">IFERROR(__xludf.DUMMYFUNCTION("""COMPUTED_VALUE"""),"No")</f>
        <v>No</v>
      </c>
      <c r="AC196" s="1" t="str">
        <f ca="1">IFERROR(__xludf.DUMMYFUNCTION("""COMPUTED_VALUE"""),"No")</f>
        <v>No</v>
      </c>
      <c r="AD196" s="1" t="str">
        <f ca="1">IFERROR(__xludf.DUMMYFUNCTION("""COMPUTED_VALUE"""),"Yes")</f>
        <v>Yes</v>
      </c>
      <c r="AE196" s="1" t="str">
        <f ca="1">IFERROR(__xludf.DUMMYFUNCTION("""COMPUTED_VALUE"""),"No")</f>
        <v>No</v>
      </c>
      <c r="AF196" s="1" t="str">
        <f ca="1">IFERROR(__xludf.DUMMYFUNCTION("""COMPUTED_VALUE"""),"No")</f>
        <v>No</v>
      </c>
      <c r="AG196" s="1" t="str">
        <f ca="1">IFERROR(__xludf.DUMMYFUNCTION("""COMPUTED_VALUE"""),"No")</f>
        <v>No</v>
      </c>
      <c r="AH196" s="1">
        <f ca="1">IFERROR(__xludf.DUMMYFUNCTION("""COMPUTED_VALUE"""),99)</f>
        <v>99</v>
      </c>
    </row>
    <row r="197" spans="1:34" ht="12.5">
      <c r="A197" s="1" t="str">
        <f ca="1">IFERROR(__xludf.DUMMYFUNCTION("""COMPUTED_VALUE"""),"20230911MDDUL")</f>
        <v>20230911MDDUL</v>
      </c>
      <c r="B197" s="1">
        <f ca="1">IFERROR(__xludf.DUMMYFUNCTION("""COMPUTED_VALUE"""),9)</f>
        <v>9</v>
      </c>
      <c r="C197" s="1">
        <f ca="1">IFERROR(__xludf.DUMMYFUNCTION("""COMPUTED_VALUE"""),11)</f>
        <v>11</v>
      </c>
      <c r="D197" s="1">
        <f ca="1">IFERROR(__xludf.DUMMYFUNCTION("""COMPUTED_VALUE"""),2023)</f>
        <v>2023</v>
      </c>
      <c r="E197" s="4">
        <f ca="1">IFERROR(__xludf.DUMMYFUNCTION("""COMPUTED_VALUE"""),45180)</f>
        <v>45180</v>
      </c>
      <c r="F197" s="1" t="str">
        <f ca="1">IFERROR(__xludf.DUMMYFUNCTION("""COMPUTED_VALUE"""),"DuVal High School")</f>
        <v>DuVal High School</v>
      </c>
      <c r="G197" s="1">
        <f ca="1">IFERROR(__xludf.DUMMYFUNCTION("""COMPUTED_VALUE"""),1)</f>
        <v>1</v>
      </c>
      <c r="H197" s="1">
        <f ca="1">IFERROR(__xludf.DUMMYFUNCTION("""COMPUTED_VALUE"""),0)</f>
        <v>0</v>
      </c>
      <c r="I197" s="1">
        <f ca="1">IFERROR(__xludf.DUMMYFUNCTION("""COMPUTED_VALUE"""),1)</f>
        <v>1</v>
      </c>
      <c r="J197" s="1">
        <f ca="1">IFERROR(__xludf.DUMMYFUNCTION("""COMPUTED_VALUE"""),0)</f>
        <v>0</v>
      </c>
      <c r="K197" s="1" t="str">
        <f ca="1">IFERROR(__xludf.DUMMYFUNCTION("""COMPUTED_VALUE"""),"Fall")</f>
        <v>Fall</v>
      </c>
      <c r="L197" s="1" t="str">
        <f ca="1">IFERROR(__xludf.DUMMYFUNCTION("""COMPUTED_VALUE"""),"Lanham")</f>
        <v>Lanham</v>
      </c>
      <c r="M197" s="1" t="str">
        <f ca="1">IFERROR(__xludf.DUMMYFUNCTION("""COMPUTED_VALUE"""),"MD")</f>
        <v>MD</v>
      </c>
      <c r="N197" s="1" t="str">
        <f ca="1">IFERROR(__xludf.DUMMYFUNCTION("""COMPUTED_VALUE"""),"High")</f>
        <v>High</v>
      </c>
      <c r="O197" s="1" t="str">
        <f ca="1">IFERROR(__xludf.DUMMYFUNCTION("""COMPUTED_VALUE"""),"Football Field/Track")</f>
        <v>Football Field/Track</v>
      </c>
      <c r="P197" s="1" t="str">
        <f ca="1">IFERROR(__xludf.DUMMYFUNCTION("""COMPUTED_VALUE"""),"Off School Property")</f>
        <v>Off School Property</v>
      </c>
      <c r="Q197" s="1" t="str">
        <f ca="1">IFERROR(__xludf.DUMMYFUNCTION("""COMPUTED_VALUE"""),"Yes")</f>
        <v>Yes</v>
      </c>
      <c r="R197" s="1" t="str">
        <f ca="1">IFERROR(__xludf.DUMMYFUNCTION("""COMPUTED_VALUE"""),"Dismissal")</f>
        <v>Dismissal</v>
      </c>
      <c r="S197" s="5">
        <f ca="1">IFERROR(__xludf.DUMMYFUNCTION("""COMPUTED_VALUE"""),0.65625)</f>
        <v>0.65625</v>
      </c>
      <c r="T197" s="1">
        <f ca="1">IFERROR(__xludf.DUMMYFUNCTION("""COMPUTED_VALUE"""),1)</f>
        <v>1</v>
      </c>
      <c r="U197" s="1" t="str">
        <f ca="1">IFERROR(__xludf.DUMMYFUNCTION("""COMPUTED_VALUE"""),"Female bystander student was shot while walking on the sidewalk near the athletic field at dismissal")</f>
        <v>Female bystander student was shot while walking on the sidewalk near the athletic field at dismissal</v>
      </c>
      <c r="V197" s="1" t="str">
        <f ca="1">IFERROR(__xludf.DUMMYFUNCTION("""COMPUTED_VALUE"""),"A 16-year-old female bystander student was shot while walking on the sidewalk near the athletic field at dismissal. There was a nearby fight between students and she was not the intended target. Shooter fled.")</f>
        <v>A 16-year-old female bystander student was shot while walking on the sidewalk near the athletic field at dismissal. There was a nearby fight between students and she was not the intended target. Shooter fled.</v>
      </c>
      <c r="W197" s="1" t="str">
        <f ca="1">IFERROR(__xludf.DUMMYFUNCTION("""COMPUTED_VALUE"""),"Escalation of Dispute")</f>
        <v>Escalation of Dispute</v>
      </c>
      <c r="X197" s="1" t="str">
        <f ca="1">IFERROR(__xludf.DUMMYFUNCTION("""COMPUTED_VALUE"""),"Both")</f>
        <v>Both</v>
      </c>
      <c r="Y197" s="1"/>
      <c r="Z197" s="1"/>
      <c r="AA197" s="1" t="str">
        <f ca="1">IFERROR(__xludf.DUMMYFUNCTION("""COMPUTED_VALUE"""),"No")</f>
        <v>No</v>
      </c>
      <c r="AB197" s="1" t="str">
        <f ca="1">IFERROR(__xludf.DUMMYFUNCTION("""COMPUTED_VALUE"""),"No")</f>
        <v>No</v>
      </c>
      <c r="AC197" s="1" t="str">
        <f ca="1">IFERROR(__xludf.DUMMYFUNCTION("""COMPUTED_VALUE"""),"No")</f>
        <v>No</v>
      </c>
      <c r="AD197" s="1" t="str">
        <f ca="1">IFERROR(__xludf.DUMMYFUNCTION("""COMPUTED_VALUE"""),"No")</f>
        <v>No</v>
      </c>
      <c r="AE197" s="1" t="str">
        <f ca="1">IFERROR(__xludf.DUMMYFUNCTION("""COMPUTED_VALUE"""),"No")</f>
        <v>No</v>
      </c>
      <c r="AF197" s="1"/>
      <c r="AG197" s="1" t="str">
        <f ca="1">IFERROR(__xludf.DUMMYFUNCTION("""COMPUTED_VALUE"""),"No")</f>
        <v>No</v>
      </c>
      <c r="AH197" s="1">
        <f ca="1">IFERROR(__xludf.DUMMYFUNCTION("""COMPUTED_VALUE"""),99)</f>
        <v>99</v>
      </c>
    </row>
    <row r="198" spans="1:34" ht="12.5">
      <c r="A198" s="1" t="str">
        <f ca="1">IFERROR(__xludf.DUMMYFUNCTION("""COMPUTED_VALUE"""),"20230911ARPRN")</f>
        <v>20230911ARPRN</v>
      </c>
      <c r="B198" s="1">
        <f ca="1">IFERROR(__xludf.DUMMYFUNCTION("""COMPUTED_VALUE"""),9)</f>
        <v>9</v>
      </c>
      <c r="C198" s="1">
        <f ca="1">IFERROR(__xludf.DUMMYFUNCTION("""COMPUTED_VALUE"""),11)</f>
        <v>11</v>
      </c>
      <c r="D198" s="1">
        <f ca="1">IFERROR(__xludf.DUMMYFUNCTION("""COMPUTED_VALUE"""),2023)</f>
        <v>2023</v>
      </c>
      <c r="E198" s="4">
        <f ca="1">IFERROR(__xludf.DUMMYFUNCTION("""COMPUTED_VALUE"""),45180)</f>
        <v>45180</v>
      </c>
      <c r="F198" s="1" t="str">
        <f ca="1">IFERROR(__xludf.DUMMYFUNCTION("""COMPUTED_VALUE"""),"Premier High School")</f>
        <v>Premier High School</v>
      </c>
      <c r="G198" s="1">
        <f ca="1">IFERROR(__xludf.DUMMYFUNCTION("""COMPUTED_VALUE"""),0)</f>
        <v>0</v>
      </c>
      <c r="H198" s="1">
        <f ca="1">IFERROR(__xludf.DUMMYFUNCTION("""COMPUTED_VALUE"""),0)</f>
        <v>0</v>
      </c>
      <c r="I198" s="1">
        <f ca="1">IFERROR(__xludf.DUMMYFUNCTION("""COMPUTED_VALUE"""),0)</f>
        <v>0</v>
      </c>
      <c r="J198" s="1">
        <f ca="1">IFERROR(__xludf.DUMMYFUNCTION("""COMPUTED_VALUE"""),0)</f>
        <v>0</v>
      </c>
      <c r="K198" s="1" t="str">
        <f ca="1">IFERROR(__xludf.DUMMYFUNCTION("""COMPUTED_VALUE"""),"Fall")</f>
        <v>Fall</v>
      </c>
      <c r="L198" s="1" t="str">
        <f ca="1">IFERROR(__xludf.DUMMYFUNCTION("""COMPUTED_VALUE"""),"North Little Rock")</f>
        <v>North Little Rock</v>
      </c>
      <c r="M198" s="1" t="str">
        <f ca="1">IFERROR(__xludf.DUMMYFUNCTION("""COMPUTED_VALUE"""),"AR")</f>
        <v>AR</v>
      </c>
      <c r="N198" s="1" t="str">
        <f ca="1">IFERROR(__xludf.DUMMYFUNCTION("""COMPUTED_VALUE"""),"High")</f>
        <v>High</v>
      </c>
      <c r="O198" s="1" t="str">
        <f ca="1">IFERROR(__xludf.DUMMYFUNCTION("""COMPUTED_VALUE"""),"Bathroom")</f>
        <v>Bathroom</v>
      </c>
      <c r="P198" s="1" t="str">
        <f ca="1">IFERROR(__xludf.DUMMYFUNCTION("""COMPUTED_VALUE"""),"Inside School Building")</f>
        <v>Inside School Building</v>
      </c>
      <c r="Q198" s="1" t="str">
        <f ca="1">IFERROR(__xludf.DUMMYFUNCTION("""COMPUTED_VALUE"""),"Yes")</f>
        <v>Yes</v>
      </c>
      <c r="R198" s="1" t="str">
        <f ca="1">IFERROR(__xludf.DUMMYFUNCTION("""COMPUTED_VALUE"""),"Lunch")</f>
        <v>Lunch</v>
      </c>
      <c r="S198" s="5">
        <f ca="1">IFERROR(__xludf.DUMMYFUNCTION("""COMPUTED_VALUE"""),0.522916666666666)</f>
        <v>0.52291666666666603</v>
      </c>
      <c r="T198" s="1">
        <f ca="1">IFERROR(__xludf.DUMMYFUNCTION("""COMPUTED_VALUE"""),1)</f>
        <v>1</v>
      </c>
      <c r="U198" s="1" t="str">
        <f ca="1">IFERROR(__xludf.DUMMYFUNCTION("""COMPUTED_VALUE"""),"At least one shot fired inside bathroom during lunch")</f>
        <v>At least one shot fired inside bathroom during lunch</v>
      </c>
      <c r="V198" s="1" t="str">
        <f ca="1">IFERROR(__xludf.DUMMYFUNCTION("""COMPUTED_VALUE"""),"At least one shot was fired inside the school bathroom during lunch. Shooter fled. School went on lockdown and was searched by police. No shooter or weapon found.")</f>
        <v>At least one shot was fired inside the school bathroom during lunch. Shooter fled. School went on lockdown and was searched by police. No shooter or weapon found.</v>
      </c>
      <c r="W198" s="1"/>
      <c r="X198" s="1"/>
      <c r="Y198" s="1"/>
      <c r="Z198" s="1"/>
      <c r="AA198" s="1" t="str">
        <f ca="1">IFERROR(__xludf.DUMMYFUNCTION("""COMPUTED_VALUE"""),"No")</f>
        <v>No</v>
      </c>
      <c r="AB198" s="1" t="str">
        <f ca="1">IFERROR(__xludf.DUMMYFUNCTION("""COMPUTED_VALUE"""),"No")</f>
        <v>No</v>
      </c>
      <c r="AC198" s="1" t="str">
        <f ca="1">IFERROR(__xludf.DUMMYFUNCTION("""COMPUTED_VALUE"""),"No")</f>
        <v>No</v>
      </c>
      <c r="AD198" s="1"/>
      <c r="AE198" s="1" t="str">
        <f ca="1">IFERROR(__xludf.DUMMYFUNCTION("""COMPUTED_VALUE"""),"No")</f>
        <v>No</v>
      </c>
      <c r="AF198" s="1"/>
      <c r="AG198" s="1" t="str">
        <f ca="1">IFERROR(__xludf.DUMMYFUNCTION("""COMPUTED_VALUE"""),"No")</f>
        <v>No</v>
      </c>
      <c r="AH198" s="1">
        <f ca="1">IFERROR(__xludf.DUMMYFUNCTION("""COMPUTED_VALUE"""),1)</f>
        <v>1</v>
      </c>
    </row>
    <row r="199" spans="1:34" ht="12.5">
      <c r="A199" s="1" t="str">
        <f ca="1">IFERROR(__xludf.DUMMYFUNCTION("""COMPUTED_VALUE"""),"20230909NYPRU")</f>
        <v>20230909NYPRU</v>
      </c>
      <c r="B199" s="1">
        <f ca="1">IFERROR(__xludf.DUMMYFUNCTION("""COMPUTED_VALUE"""),9)</f>
        <v>9</v>
      </c>
      <c r="C199" s="1">
        <f ca="1">IFERROR(__xludf.DUMMYFUNCTION("""COMPUTED_VALUE"""),9)</f>
        <v>9</v>
      </c>
      <c r="D199" s="1">
        <f ca="1">IFERROR(__xludf.DUMMYFUNCTION("""COMPUTED_VALUE"""),2023)</f>
        <v>2023</v>
      </c>
      <c r="E199" s="4">
        <f ca="1">IFERROR(__xludf.DUMMYFUNCTION("""COMPUTED_VALUE"""),45178)</f>
        <v>45178</v>
      </c>
      <c r="F199" s="1" t="str">
        <f ca="1">IFERROR(__xludf.DUMMYFUNCTION("""COMPUTED_VALUE"""),"Proctor High School")</f>
        <v>Proctor High School</v>
      </c>
      <c r="G199" s="1">
        <f ca="1">IFERROR(__xludf.DUMMYFUNCTION("""COMPUTED_VALUE"""),0)</f>
        <v>0</v>
      </c>
      <c r="H199" s="1">
        <f ca="1">IFERROR(__xludf.DUMMYFUNCTION("""COMPUTED_VALUE"""),1)</f>
        <v>1</v>
      </c>
      <c r="I199" s="1">
        <f ca="1">IFERROR(__xludf.DUMMYFUNCTION("""COMPUTED_VALUE"""),1)</f>
        <v>1</v>
      </c>
      <c r="J199" s="1">
        <f ca="1">IFERROR(__xludf.DUMMYFUNCTION("""COMPUTED_VALUE"""),0)</f>
        <v>0</v>
      </c>
      <c r="K199" s="1" t="str">
        <f ca="1">IFERROR(__xludf.DUMMYFUNCTION("""COMPUTED_VALUE"""),"Fall")</f>
        <v>Fall</v>
      </c>
      <c r="L199" s="1" t="str">
        <f ca="1">IFERROR(__xludf.DUMMYFUNCTION("""COMPUTED_VALUE"""),"Utica")</f>
        <v>Utica</v>
      </c>
      <c r="M199" s="1" t="str">
        <f ca="1">IFERROR(__xludf.DUMMYFUNCTION("""COMPUTED_VALUE"""),"NY")</f>
        <v>NY</v>
      </c>
      <c r="N199" s="1" t="str">
        <f ca="1">IFERROR(__xludf.DUMMYFUNCTION("""COMPUTED_VALUE"""),"High")</f>
        <v>High</v>
      </c>
      <c r="O199" s="1" t="str">
        <f ca="1">IFERROR(__xludf.DUMMYFUNCTION("""COMPUTED_VALUE"""),"Parking Lot")</f>
        <v>Parking Lot</v>
      </c>
      <c r="P199" s="1" t="str">
        <f ca="1">IFERROR(__xludf.DUMMYFUNCTION("""COMPUTED_VALUE"""),"Outside on School Property")</f>
        <v>Outside on School Property</v>
      </c>
      <c r="Q199" s="1" t="str">
        <f ca="1">IFERROR(__xludf.DUMMYFUNCTION("""COMPUTED_VALUE"""),"No")</f>
        <v>No</v>
      </c>
      <c r="R199" s="1" t="str">
        <f ca="1">IFERROR(__xludf.DUMMYFUNCTION("""COMPUTED_VALUE"""),"Sport Event")</f>
        <v>Sport Event</v>
      </c>
      <c r="S199" s="5">
        <f ca="1">IFERROR(__xludf.DUMMYFUNCTION("""COMPUTED_VALUE"""),0.666666666666666)</f>
        <v>0.66666666666666596</v>
      </c>
      <c r="T199" s="1">
        <f ca="1">IFERROR(__xludf.DUMMYFUNCTION("""COMPUTED_VALUE"""),1)</f>
        <v>1</v>
      </c>
      <c r="U199" s="1" t="str">
        <f ca="1">IFERROR(__xludf.DUMMYFUNCTION("""COMPUTED_VALUE"""),"Security guard shot in head while breaking up fight between teens when game ended")</f>
        <v>Security guard shot in head while breaking up fight between teens when game ended</v>
      </c>
      <c r="V199" s="1" t="str">
        <f ca="1">IFERROR(__xludf.DUMMYFUNCTION("""COMPUTED_VALUE"""),"The Proctor High School football team had just finished their game against Binghamton High School when a large crowd gathered across the street from the school on Armory Drive. A fight broke out prompting a response from Proctor Security and Utica Police."&amp;" The physical fight then became a gun fight, and a member of the school security staff was shot in the head.")</f>
        <v>The Proctor High School football team had just finished their game against Binghamton High School when a large crowd gathered across the street from the school on Armory Drive. A fight broke out prompting a response from Proctor Security and Utica Police. The physical fight then became a gun fight, and a member of the school security staff was shot in the head.</v>
      </c>
      <c r="W199" s="1" t="str">
        <f ca="1">IFERROR(__xludf.DUMMYFUNCTION("""COMPUTED_VALUE"""),"Escalation of Dispute")</f>
        <v>Escalation of Dispute</v>
      </c>
      <c r="X199" s="1" t="str">
        <f ca="1">IFERROR(__xludf.DUMMYFUNCTION("""COMPUTED_VALUE"""),"Both")</f>
        <v>Both</v>
      </c>
      <c r="Y199" s="1" t="str">
        <f ca="1">IFERROR(__xludf.DUMMYFUNCTION("""COMPUTED_VALUE"""),"No")</f>
        <v>No</v>
      </c>
      <c r="Z199" s="1"/>
      <c r="AA199" s="1" t="str">
        <f ca="1">IFERROR(__xludf.DUMMYFUNCTION("""COMPUTED_VALUE"""),"No")</f>
        <v>No</v>
      </c>
      <c r="AB199" s="1" t="str">
        <f ca="1">IFERROR(__xludf.DUMMYFUNCTION("""COMPUTED_VALUE"""),"No")</f>
        <v>No</v>
      </c>
      <c r="AC199" s="1" t="str">
        <f ca="1">IFERROR(__xludf.DUMMYFUNCTION("""COMPUTED_VALUE"""),"No")</f>
        <v>No</v>
      </c>
      <c r="AD199" s="1" t="str">
        <f ca="1">IFERROR(__xludf.DUMMYFUNCTION("""COMPUTED_VALUE"""),"No")</f>
        <v>No</v>
      </c>
      <c r="AE199" s="1" t="str">
        <f ca="1">IFERROR(__xludf.DUMMYFUNCTION("""COMPUTED_VALUE"""),"No")</f>
        <v>No</v>
      </c>
      <c r="AF199" s="1"/>
      <c r="AG199" s="1" t="str">
        <f ca="1">IFERROR(__xludf.DUMMYFUNCTION("""COMPUTED_VALUE"""),"No")</f>
        <v>No</v>
      </c>
      <c r="AH199" s="1">
        <f ca="1">IFERROR(__xludf.DUMMYFUNCTION("""COMPUTED_VALUE"""),99)</f>
        <v>99</v>
      </c>
    </row>
    <row r="200" spans="1:34" ht="12.5">
      <c r="A200" s="1" t="str">
        <f ca="1">IFERROR(__xludf.DUMMYFUNCTION("""COMPUTED_VALUE"""),"20230908NCLUL")</f>
        <v>20230908NCLUL</v>
      </c>
      <c r="B200" s="1">
        <f ca="1">IFERROR(__xludf.DUMMYFUNCTION("""COMPUTED_VALUE"""),9)</f>
        <v>9</v>
      </c>
      <c r="C200" s="1">
        <f ca="1">IFERROR(__xludf.DUMMYFUNCTION("""COMPUTED_VALUE"""),8)</f>
        <v>8</v>
      </c>
      <c r="D200" s="1">
        <f ca="1">IFERROR(__xludf.DUMMYFUNCTION("""COMPUTED_VALUE"""),2023)</f>
        <v>2023</v>
      </c>
      <c r="E200" s="4">
        <f ca="1">IFERROR(__xludf.DUMMYFUNCTION("""COMPUTED_VALUE"""),45177)</f>
        <v>45177</v>
      </c>
      <c r="F200" s="1" t="str">
        <f ca="1">IFERROR(__xludf.DUMMYFUNCTION("""COMPUTED_VALUE"""),"Lumberton High School")</f>
        <v>Lumberton High School</v>
      </c>
      <c r="G200" s="1">
        <f ca="1">IFERROR(__xludf.DUMMYFUNCTION("""COMPUTED_VALUE"""),0)</f>
        <v>0</v>
      </c>
      <c r="H200" s="1">
        <f ca="1">IFERROR(__xludf.DUMMYFUNCTION("""COMPUTED_VALUE"""),0)</f>
        <v>0</v>
      </c>
      <c r="I200" s="1">
        <f ca="1">IFERROR(__xludf.DUMMYFUNCTION("""COMPUTED_VALUE"""),0)</f>
        <v>0</v>
      </c>
      <c r="J200" s="1">
        <f ca="1">IFERROR(__xludf.DUMMYFUNCTION("""COMPUTED_VALUE"""),0)</f>
        <v>0</v>
      </c>
      <c r="K200" s="1" t="str">
        <f ca="1">IFERROR(__xludf.DUMMYFUNCTION("""COMPUTED_VALUE"""),"Fall")</f>
        <v>Fall</v>
      </c>
      <c r="L200" s="1" t="str">
        <f ca="1">IFERROR(__xludf.DUMMYFUNCTION("""COMPUTED_VALUE"""),"Lumberton")</f>
        <v>Lumberton</v>
      </c>
      <c r="M200" s="1" t="str">
        <f ca="1">IFERROR(__xludf.DUMMYFUNCTION("""COMPUTED_VALUE"""),"NC")</f>
        <v>NC</v>
      </c>
      <c r="N200" s="1" t="str">
        <f ca="1">IFERROR(__xludf.DUMMYFUNCTION("""COMPUTED_VALUE"""),"High")</f>
        <v>High</v>
      </c>
      <c r="O200" s="1" t="str">
        <f ca="1">IFERROR(__xludf.DUMMYFUNCTION("""COMPUTED_VALUE"""),"Parking Lot")</f>
        <v>Parking Lot</v>
      </c>
      <c r="P200" s="1" t="str">
        <f ca="1">IFERROR(__xludf.DUMMYFUNCTION("""COMPUTED_VALUE"""),"Outside on School Property")</f>
        <v>Outside on School Property</v>
      </c>
      <c r="Q200" s="1" t="str">
        <f ca="1">IFERROR(__xludf.DUMMYFUNCTION("""COMPUTED_VALUE"""),"No")</f>
        <v>No</v>
      </c>
      <c r="R200" s="1" t="str">
        <f ca="1">IFERROR(__xludf.DUMMYFUNCTION("""COMPUTED_VALUE"""),"Sport Event")</f>
        <v>Sport Event</v>
      </c>
      <c r="S200" s="5">
        <f ca="1">IFERROR(__xludf.DUMMYFUNCTION("""COMPUTED_VALUE"""),0.871527777777777)</f>
        <v>0.87152777777777701</v>
      </c>
      <c r="T200" s="1">
        <f ca="1">IFERROR(__xludf.DUMMYFUNCTION("""COMPUTED_VALUE"""),1)</f>
        <v>1</v>
      </c>
      <c r="U200" s="1" t="str">
        <f ca="1">IFERROR(__xludf.DUMMYFUNCTION("""COMPUTED_VALUE"""),"Shots fired in parking lot during football game, game cancelled")</f>
        <v>Shots fired in parking lot during football game, game cancelled</v>
      </c>
      <c r="V200" s="1" t="str">
        <f ca="1">IFERROR(__xludf.DUMMYFUNCTION("""COMPUTED_VALUE"""),"Shots were fired into the air and law enforcement chased a vehicle from the scene. Multiple vehicles were reportedly struck by gunshots. Public Schools of Robeson County released a statement to its social media channels which read in part: “Police are inv"&amp;"estigating a shooting which occurred in the parking lot area. No injuries have been reported at this time.”")</f>
        <v>Shots were fired into the air and law enforcement chased a vehicle from the scene. Multiple vehicles were reportedly struck by gunshots. Public Schools of Robeson County released a statement to its social media channels which read in part: “Police are investigating a shooting which occurred in the parking lot area. No injuries have been reported at this time.”</v>
      </c>
      <c r="W200" s="1" t="str">
        <f ca="1">IFERROR(__xludf.DUMMYFUNCTION("""COMPUTED_VALUE"""),"Drive-by Shooting")</f>
        <v>Drive-by Shooting</v>
      </c>
      <c r="X200" s="1" t="str">
        <f ca="1">IFERROR(__xludf.DUMMYFUNCTION("""COMPUTED_VALUE"""),"Both")</f>
        <v>Both</v>
      </c>
      <c r="Y200" s="1" t="str">
        <f ca="1">IFERROR(__xludf.DUMMYFUNCTION("""COMPUTED_VALUE"""),"Yes")</f>
        <v>Yes</v>
      </c>
      <c r="Z200" s="1" t="str">
        <f ca="1">IFERROR(__xludf.DUMMYFUNCTION("""COMPUTED_VALUE"""),"5 teens arrested")</f>
        <v>5 teens arrested</v>
      </c>
      <c r="AA200" s="1" t="str">
        <f ca="1">IFERROR(__xludf.DUMMYFUNCTION("""COMPUTED_VALUE"""),"No")</f>
        <v>No</v>
      </c>
      <c r="AB200" s="1" t="str">
        <f ca="1">IFERROR(__xludf.DUMMYFUNCTION("""COMPUTED_VALUE"""),"No")</f>
        <v>No</v>
      </c>
      <c r="AC200" s="1" t="str">
        <f ca="1">IFERROR(__xludf.DUMMYFUNCTION("""COMPUTED_VALUE"""),"No")</f>
        <v>No</v>
      </c>
      <c r="AD200" s="1" t="str">
        <f ca="1">IFERROR(__xludf.DUMMYFUNCTION("""COMPUTED_VALUE"""),"No")</f>
        <v>No</v>
      </c>
      <c r="AE200" s="1" t="str">
        <f ca="1">IFERROR(__xludf.DUMMYFUNCTION("""COMPUTED_VALUE"""),"No")</f>
        <v>No</v>
      </c>
      <c r="AF200" s="1" t="str">
        <f ca="1">IFERROR(__xludf.DUMMYFUNCTION("""COMPUTED_VALUE"""),"No")</f>
        <v>No</v>
      </c>
      <c r="AG200" s="1" t="str">
        <f ca="1">IFERROR(__xludf.DUMMYFUNCTION("""COMPUTED_VALUE"""),"No")</f>
        <v>No</v>
      </c>
      <c r="AH200" s="1">
        <f ca="1">IFERROR(__xludf.DUMMYFUNCTION("""COMPUTED_VALUE"""),99)</f>
        <v>99</v>
      </c>
    </row>
    <row r="201" spans="1:34" ht="12.5">
      <c r="A201" s="1" t="str">
        <f ca="1">IFERROR(__xludf.DUMMYFUNCTION("""COMPUTED_VALUE"""),"20230906FLANT")</f>
        <v>20230906FLANT</v>
      </c>
      <c r="B201" s="1">
        <f ca="1">IFERROR(__xludf.DUMMYFUNCTION("""COMPUTED_VALUE"""),9)</f>
        <v>9</v>
      </c>
      <c r="C201" s="1">
        <f ca="1">IFERROR(__xludf.DUMMYFUNCTION("""COMPUTED_VALUE"""),6)</f>
        <v>6</v>
      </c>
      <c r="D201" s="1">
        <f ca="1">IFERROR(__xludf.DUMMYFUNCTION("""COMPUTED_VALUE"""),2023)</f>
        <v>2023</v>
      </c>
      <c r="E201" s="4">
        <f ca="1">IFERROR(__xludf.DUMMYFUNCTION("""COMPUTED_VALUE"""),45175)</f>
        <v>45175</v>
      </c>
      <c r="F201" s="1" t="str">
        <f ca="1">IFERROR(__xludf.DUMMYFUNCTION("""COMPUTED_VALUE"""),"Andrew Jackson Middle School")</f>
        <v>Andrew Jackson Middle School</v>
      </c>
      <c r="G201" s="1">
        <f ca="1">IFERROR(__xludf.DUMMYFUNCTION("""COMPUTED_VALUE"""),0)</f>
        <v>0</v>
      </c>
      <c r="H201" s="1">
        <f ca="1">IFERROR(__xludf.DUMMYFUNCTION("""COMPUTED_VALUE"""),0)</f>
        <v>0</v>
      </c>
      <c r="I201" s="1">
        <f ca="1">IFERROR(__xludf.DUMMYFUNCTION("""COMPUTED_VALUE"""),0)</f>
        <v>0</v>
      </c>
      <c r="J201" s="1">
        <f ca="1">IFERROR(__xludf.DUMMYFUNCTION("""COMPUTED_VALUE"""),0)</f>
        <v>0</v>
      </c>
      <c r="K201" s="1" t="str">
        <f ca="1">IFERROR(__xludf.DUMMYFUNCTION("""COMPUTED_VALUE"""),"Fall")</f>
        <v>Fall</v>
      </c>
      <c r="L201" s="1" t="str">
        <f ca="1">IFERROR(__xludf.DUMMYFUNCTION("""COMPUTED_VALUE"""),"Titusville")</f>
        <v>Titusville</v>
      </c>
      <c r="M201" s="1" t="str">
        <f ca="1">IFERROR(__xludf.DUMMYFUNCTION("""COMPUTED_VALUE"""),"FL")</f>
        <v>FL</v>
      </c>
      <c r="N201" s="1" t="str">
        <f ca="1">IFERROR(__xludf.DUMMYFUNCTION("""COMPUTED_VALUE"""),"Middle")</f>
        <v>Middle</v>
      </c>
      <c r="O201" s="1" t="str">
        <f ca="1">IFERROR(__xludf.DUMMYFUNCTION("""COMPUTED_VALUE"""),"School Bus")</f>
        <v>School Bus</v>
      </c>
      <c r="P201" s="1" t="str">
        <f ca="1">IFERROR(__xludf.DUMMYFUNCTION("""COMPUTED_VALUE"""),"School Bus")</f>
        <v>School Bus</v>
      </c>
      <c r="Q201" s="1" t="str">
        <f ca="1">IFERROR(__xludf.DUMMYFUNCTION("""COMPUTED_VALUE"""),"Yes")</f>
        <v>Yes</v>
      </c>
      <c r="R201" s="1" t="str">
        <f ca="1">IFERROR(__xludf.DUMMYFUNCTION("""COMPUTED_VALUE"""),"Dismissal")</f>
        <v>Dismissal</v>
      </c>
      <c r="S201" s="5">
        <f ca="1">IFERROR(__xludf.DUMMYFUNCTION("""COMPUTED_VALUE"""),0.697916666666666)</f>
        <v>0.69791666666666596</v>
      </c>
      <c r="T201" s="1">
        <f ca="1">IFERROR(__xludf.DUMMYFUNCTION("""COMPUTED_VALUE"""),1)</f>
        <v>1</v>
      </c>
      <c r="U201" s="1" t="str">
        <f ca="1">IFERROR(__xludf.DUMMYFUNCTION("""COMPUTED_VALUE"""),"Woman fired shots at bus during dispute between students")</f>
        <v>Woman fired shots at bus during dispute between students</v>
      </c>
      <c r="V201" s="1" t="str">
        <f ca="1">IFERROR(__xludf.DUMMYFUNCTION("""COMPUTED_VALUE"""),"Titusville police said a boy and a girl who attend Andrew Jackson Middle School got into an argument at school and it continued on the bus. One of the students called Wyns, who drove to Sisson Road and Little League Lane to pick up the girl. According to "&amp;"police, Wyns told the bus driver that she was there to “handle” the situation, but the driver did not allow her onto the vehicle. The bus driver told Wyns that school officials would be informed about the students’ altercation. The driver then spotted a m"&amp;"agazine and bullets in Wyns’ hand, said police, who added that Wyns walked to her car, which was near the bus. Moments later, a gunshot was fired and Wyns sped away, police said.")</f>
        <v>Titusville police said a boy and a girl who attend Andrew Jackson Middle School got into an argument at school and it continued on the bus. One of the students called Wyns, who drove to Sisson Road and Little League Lane to pick up the girl. According to police, Wyns told the bus driver that she was there to “handle” the situation, but the driver did not allow her onto the vehicle. The bus driver told Wyns that school officials would be informed about the students’ altercation. The driver then spotted a magazine and bullets in Wyns’ hand, said police, who added that Wyns walked to her car, which was near the bus. Moments later, a gunshot was fired and Wyns sped away, police said.</v>
      </c>
      <c r="W201" s="1" t="str">
        <f ca="1">IFERROR(__xludf.DUMMYFUNCTION("""COMPUTED_VALUE"""),"Escalation of Dispute")</f>
        <v>Escalation of Dispute</v>
      </c>
      <c r="X201" s="1" t="str">
        <f ca="1">IFERROR(__xludf.DUMMYFUNCTION("""COMPUTED_VALUE"""),"Both")</f>
        <v>Both</v>
      </c>
      <c r="Y201" s="1" t="str">
        <f ca="1">IFERROR(__xludf.DUMMYFUNCTION("""COMPUTED_VALUE"""),"No")</f>
        <v>No</v>
      </c>
      <c r="Z201" s="1"/>
      <c r="AA201" s="1" t="str">
        <f ca="1">IFERROR(__xludf.DUMMYFUNCTION("""COMPUTED_VALUE"""),"No")</f>
        <v>No</v>
      </c>
      <c r="AB201" s="1" t="str">
        <f ca="1">IFERROR(__xludf.DUMMYFUNCTION("""COMPUTED_VALUE"""),"No")</f>
        <v>No</v>
      </c>
      <c r="AC201" s="1" t="str">
        <f ca="1">IFERROR(__xludf.DUMMYFUNCTION("""COMPUTED_VALUE"""),"No")</f>
        <v>No</v>
      </c>
      <c r="AD201" s="1" t="str">
        <f ca="1">IFERROR(__xludf.DUMMYFUNCTION("""COMPUTED_VALUE"""),"No")</f>
        <v>No</v>
      </c>
      <c r="AE201" s="1" t="str">
        <f ca="1">IFERROR(__xludf.DUMMYFUNCTION("""COMPUTED_VALUE"""),"No")</f>
        <v>No</v>
      </c>
      <c r="AF201" s="1" t="str">
        <f ca="1">IFERROR(__xludf.DUMMYFUNCTION("""COMPUTED_VALUE"""),"No")</f>
        <v>No</v>
      </c>
      <c r="AG201" s="1" t="str">
        <f ca="1">IFERROR(__xludf.DUMMYFUNCTION("""COMPUTED_VALUE"""),"No")</f>
        <v>No</v>
      </c>
      <c r="AH201" s="1">
        <f ca="1">IFERROR(__xludf.DUMMYFUNCTION("""COMPUTED_VALUE"""),99)</f>
        <v>99</v>
      </c>
    </row>
    <row r="202" spans="1:34" ht="12.5">
      <c r="A202" s="1" t="str">
        <f ca="1">IFERROR(__xludf.DUMMYFUNCTION("""COMPUTED_VALUE"""),"20230905CASKO")</f>
        <v>20230905CASKO</v>
      </c>
      <c r="B202" s="1">
        <f ca="1">IFERROR(__xludf.DUMMYFUNCTION("""COMPUTED_VALUE"""),9)</f>
        <v>9</v>
      </c>
      <c r="C202" s="1">
        <f ca="1">IFERROR(__xludf.DUMMYFUNCTION("""COMPUTED_VALUE"""),5)</f>
        <v>5</v>
      </c>
      <c r="D202" s="1">
        <f ca="1">IFERROR(__xludf.DUMMYFUNCTION("""COMPUTED_VALUE"""),2023)</f>
        <v>2023</v>
      </c>
      <c r="E202" s="4">
        <f ca="1">IFERROR(__xludf.DUMMYFUNCTION("""COMPUTED_VALUE"""),45174)</f>
        <v>45174</v>
      </c>
      <c r="F202" s="1" t="str">
        <f ca="1">IFERROR(__xludf.DUMMYFUNCTION("""COMPUTED_VALUE"""),"Skyline High School")</f>
        <v>Skyline High School</v>
      </c>
      <c r="G202" s="1">
        <f ca="1">IFERROR(__xludf.DUMMYFUNCTION("""COMPUTED_VALUE"""),0)</f>
        <v>0</v>
      </c>
      <c r="H202" s="1">
        <f ca="1">IFERROR(__xludf.DUMMYFUNCTION("""COMPUTED_VALUE"""),0)</f>
        <v>0</v>
      </c>
      <c r="I202" s="1">
        <f ca="1">IFERROR(__xludf.DUMMYFUNCTION("""COMPUTED_VALUE"""),0)</f>
        <v>0</v>
      </c>
      <c r="J202" s="1">
        <f ca="1">IFERROR(__xludf.DUMMYFUNCTION("""COMPUTED_VALUE"""),0)</f>
        <v>0</v>
      </c>
      <c r="K202" s="1" t="str">
        <f ca="1">IFERROR(__xludf.DUMMYFUNCTION("""COMPUTED_VALUE"""),"Fall")</f>
        <v>Fall</v>
      </c>
      <c r="L202" s="1" t="str">
        <f ca="1">IFERROR(__xludf.DUMMYFUNCTION("""COMPUTED_VALUE"""),"Oakland")</f>
        <v>Oakland</v>
      </c>
      <c r="M202" s="1" t="str">
        <f ca="1">IFERROR(__xludf.DUMMYFUNCTION("""COMPUTED_VALUE"""),"CA")</f>
        <v>CA</v>
      </c>
      <c r="N202" s="1" t="str">
        <f ca="1">IFERROR(__xludf.DUMMYFUNCTION("""COMPUTED_VALUE"""),"High")</f>
        <v>High</v>
      </c>
      <c r="O202" s="1" t="str">
        <f ca="1">IFERROR(__xludf.DUMMYFUNCTION("""COMPUTED_VALUE"""),"Outside on School Property")</f>
        <v>Outside on School Property</v>
      </c>
      <c r="P202" s="1" t="str">
        <f ca="1">IFERROR(__xludf.DUMMYFUNCTION("""COMPUTED_VALUE"""),"Outside on School Property")</f>
        <v>Outside on School Property</v>
      </c>
      <c r="Q202" s="1" t="str">
        <f ca="1">IFERROR(__xludf.DUMMYFUNCTION("""COMPUTED_VALUE"""),"Yes")</f>
        <v>Yes</v>
      </c>
      <c r="R202" s="1" t="str">
        <f ca="1">IFERROR(__xludf.DUMMYFUNCTION("""COMPUTED_VALUE"""),"Morning Classes")</f>
        <v>Morning Classes</v>
      </c>
      <c r="S202" s="5">
        <f ca="1">IFERROR(__xludf.DUMMYFUNCTION("""COMPUTED_VALUE"""),0.479166666666666)</f>
        <v>0.47916666666666602</v>
      </c>
      <c r="T202" s="1">
        <f ca="1">IFERROR(__xludf.DUMMYFUNCTION("""COMPUTED_VALUE"""),1)</f>
        <v>1</v>
      </c>
      <c r="U202" s="1" t="str">
        <f ca="1">IFERROR(__xludf.DUMMYFUNCTION("""COMPUTED_VALUE"""),"Shots fired on campus")</f>
        <v>Shots fired on campus</v>
      </c>
      <c r="V202" s="1" t="str">
        <f ca="1">IFERROR(__xludf.DUMMYFUNCTION("""COMPUTED_VALUE"""),"Shots fired on campus caused 3.5 hour lockdown and school closed the following day. 3 teens arrested")</f>
        <v>Shots fired on campus caused 3.5 hour lockdown and school closed the following day. 3 teens arrested</v>
      </c>
      <c r="W202" s="1"/>
      <c r="X202" s="1"/>
      <c r="Y202" s="1" t="str">
        <f ca="1">IFERROR(__xludf.DUMMYFUNCTION("""COMPUTED_VALUE"""),"Yes")</f>
        <v>Yes</v>
      </c>
      <c r="Z202" s="1" t="str">
        <f ca="1">IFERROR(__xludf.DUMMYFUNCTION("""COMPUTED_VALUE"""),"3 teens ")</f>
        <v xml:space="preserve">3 teens </v>
      </c>
      <c r="AA202" s="1" t="str">
        <f ca="1">IFERROR(__xludf.DUMMYFUNCTION("""COMPUTED_VALUE"""),"No")</f>
        <v>No</v>
      </c>
      <c r="AB202" s="1" t="str">
        <f ca="1">IFERROR(__xludf.DUMMYFUNCTION("""COMPUTED_VALUE"""),"No")</f>
        <v>No</v>
      </c>
      <c r="AC202" s="1" t="str">
        <f ca="1">IFERROR(__xludf.DUMMYFUNCTION("""COMPUTED_VALUE"""),"No")</f>
        <v>No</v>
      </c>
      <c r="AD202" s="1"/>
      <c r="AE202" s="1" t="str">
        <f ca="1">IFERROR(__xludf.DUMMYFUNCTION("""COMPUTED_VALUE"""),"No")</f>
        <v>No</v>
      </c>
      <c r="AF202" s="1"/>
      <c r="AG202" s="1" t="str">
        <f ca="1">IFERROR(__xludf.DUMMYFUNCTION("""COMPUTED_VALUE"""),"No")</f>
        <v>No</v>
      </c>
      <c r="AH202" s="1">
        <f ca="1">IFERROR(__xludf.DUMMYFUNCTION("""COMPUTED_VALUE"""),99)</f>
        <v>99</v>
      </c>
    </row>
    <row r="203" spans="1:34" ht="12.5">
      <c r="A203" s="1" t="str">
        <f ca="1">IFERROR(__xludf.DUMMYFUNCTION("""COMPUTED_VALUE"""),"20230901TNMEM")</f>
        <v>20230901TNMEM</v>
      </c>
      <c r="B203" s="1">
        <f ca="1">IFERROR(__xludf.DUMMYFUNCTION("""COMPUTED_VALUE"""),9)</f>
        <v>9</v>
      </c>
      <c r="C203" s="1">
        <f ca="1">IFERROR(__xludf.DUMMYFUNCTION("""COMPUTED_VALUE"""),2)</f>
        <v>2</v>
      </c>
      <c r="D203" s="1">
        <f ca="1">IFERROR(__xludf.DUMMYFUNCTION("""COMPUTED_VALUE"""),2023)</f>
        <v>2023</v>
      </c>
      <c r="E203" s="4">
        <f ca="1">IFERROR(__xludf.DUMMYFUNCTION("""COMPUTED_VALUE"""),45170)</f>
        <v>45170</v>
      </c>
      <c r="F203" s="1" t="str">
        <f ca="1">IFERROR(__xludf.DUMMYFUNCTION("""COMPUTED_VALUE"""),"Melrose High School")</f>
        <v>Melrose High School</v>
      </c>
      <c r="G203" s="1">
        <f ca="1">IFERROR(__xludf.DUMMYFUNCTION("""COMPUTED_VALUE"""),0)</f>
        <v>0</v>
      </c>
      <c r="H203" s="1">
        <f ca="1">IFERROR(__xludf.DUMMYFUNCTION("""COMPUTED_VALUE"""),0)</f>
        <v>0</v>
      </c>
      <c r="I203" s="1">
        <f ca="1">IFERROR(__xludf.DUMMYFUNCTION("""COMPUTED_VALUE"""),0)</f>
        <v>0</v>
      </c>
      <c r="J203" s="1">
        <f ca="1">IFERROR(__xludf.DUMMYFUNCTION("""COMPUTED_VALUE"""),0)</f>
        <v>0</v>
      </c>
      <c r="K203" s="1" t="str">
        <f ca="1">IFERROR(__xludf.DUMMYFUNCTION("""COMPUTED_VALUE"""),"Fall")</f>
        <v>Fall</v>
      </c>
      <c r="L203" s="1" t="str">
        <f ca="1">IFERROR(__xludf.DUMMYFUNCTION("""COMPUTED_VALUE"""),"Memphis")</f>
        <v>Memphis</v>
      </c>
      <c r="M203" s="1" t="str">
        <f ca="1">IFERROR(__xludf.DUMMYFUNCTION("""COMPUTED_VALUE"""),"TN")</f>
        <v>TN</v>
      </c>
      <c r="N203" s="1" t="str">
        <f ca="1">IFERROR(__xludf.DUMMYFUNCTION("""COMPUTED_VALUE"""),"High")</f>
        <v>High</v>
      </c>
      <c r="O203" s="1" t="str">
        <f ca="1">IFERROR(__xludf.DUMMYFUNCTION("""COMPUTED_VALUE"""),"Beside Building")</f>
        <v>Beside Building</v>
      </c>
      <c r="P203" s="1" t="str">
        <f ca="1">IFERROR(__xludf.DUMMYFUNCTION("""COMPUTED_VALUE"""),"Outside on School Property")</f>
        <v>Outside on School Property</v>
      </c>
      <c r="Q203" s="1" t="str">
        <f ca="1">IFERROR(__xludf.DUMMYFUNCTION("""COMPUTED_VALUE"""),"Yes")</f>
        <v>Yes</v>
      </c>
      <c r="R203" s="1" t="str">
        <f ca="1">IFERROR(__xludf.DUMMYFUNCTION("""COMPUTED_VALUE"""),"Dismissal")</f>
        <v>Dismissal</v>
      </c>
      <c r="S203" s="5">
        <f ca="1">IFERROR(__xludf.DUMMYFUNCTION("""COMPUTED_VALUE"""),0.625)</f>
        <v>0.625</v>
      </c>
      <c r="T203" s="1">
        <f ca="1">IFERROR(__xludf.DUMMYFUNCTION("""COMPUTED_VALUE"""),1)</f>
        <v>1</v>
      </c>
      <c r="U203" s="1" t="str">
        <f ca="1">IFERROR(__xludf.DUMMYFUNCTION("""COMPUTED_VALUE"""),"Shots fired from vehicle during burnout show at dismissal")</f>
        <v>Shots fired from vehicle during burnout show at dismissal</v>
      </c>
      <c r="V203" s="1" t="str">
        <f ca="1">IFERROR(__xludf.DUMMYFUNCTION("""COMPUTED_VALUE"""),"Two cars started a burnout show next to the school at dismissal. Parents said the reckless driving happened just feet from the school as students were being dismissed. As they were picking up their kids from school, parents said they spotted two cars doin"&amp;"g donuts in the middle of the street right next to the school. They claim some of the people in the cars were leaning out the windows and waving guns around. No injuries reported.")</f>
        <v>Two cars started a burnout show next to the school at dismissal. Parents said the reckless driving happened just feet from the school as students were being dismissed. As they were picking up their kids from school, parents said they spotted two cars doing donuts in the middle of the street right next to the school. They claim some of the people in the cars were leaning out the windows and waving guns around. No injuries reported.</v>
      </c>
      <c r="W203" s="1" t="str">
        <f ca="1">IFERROR(__xludf.DUMMYFUNCTION("""COMPUTED_VALUE"""),"Drive-by Shooting")</f>
        <v>Drive-by Shooting</v>
      </c>
      <c r="X203" s="1" t="str">
        <f ca="1">IFERROR(__xludf.DUMMYFUNCTION("""COMPUTED_VALUE"""),"Neither")</f>
        <v>Neither</v>
      </c>
      <c r="Y203" s="1" t="str">
        <f ca="1">IFERROR(__xludf.DUMMYFUNCTION("""COMPUTED_VALUE"""),"No")</f>
        <v>No</v>
      </c>
      <c r="Z203" s="1"/>
      <c r="AA203" s="1" t="str">
        <f ca="1">IFERROR(__xludf.DUMMYFUNCTION("""COMPUTED_VALUE"""),"No")</f>
        <v>No</v>
      </c>
      <c r="AB203" s="1" t="str">
        <f ca="1">IFERROR(__xludf.DUMMYFUNCTION("""COMPUTED_VALUE"""),"No")</f>
        <v>No</v>
      </c>
      <c r="AC203" s="1" t="str">
        <f ca="1">IFERROR(__xludf.DUMMYFUNCTION("""COMPUTED_VALUE"""),"No")</f>
        <v>No</v>
      </c>
      <c r="AD203" s="1" t="str">
        <f ca="1">IFERROR(__xludf.DUMMYFUNCTION("""COMPUTED_VALUE"""),"No")</f>
        <v>No</v>
      </c>
      <c r="AE203" s="1" t="str">
        <f ca="1">IFERROR(__xludf.DUMMYFUNCTION("""COMPUTED_VALUE"""),"No")</f>
        <v>No</v>
      </c>
      <c r="AF203" s="1" t="str">
        <f ca="1">IFERROR(__xludf.DUMMYFUNCTION("""COMPUTED_VALUE"""),"No")</f>
        <v>No</v>
      </c>
      <c r="AG203" s="1" t="str">
        <f ca="1">IFERROR(__xludf.DUMMYFUNCTION("""COMPUTED_VALUE"""),"No")</f>
        <v>No</v>
      </c>
      <c r="AH203" s="1">
        <f ca="1">IFERROR(__xludf.DUMMYFUNCTION("""COMPUTED_VALUE"""),99)</f>
        <v>99</v>
      </c>
    </row>
    <row r="204" spans="1:34" ht="12.5">
      <c r="A204" s="1" t="str">
        <f ca="1">IFERROR(__xludf.DUMMYFUNCTION("""COMPUTED_VALUE"""),"20230901MDDUB")</f>
        <v>20230901MDDUB</v>
      </c>
      <c r="B204" s="1">
        <f ca="1">IFERROR(__xludf.DUMMYFUNCTION("""COMPUTED_VALUE"""),9)</f>
        <v>9</v>
      </c>
      <c r="C204" s="1">
        <f ca="1">IFERROR(__xludf.DUMMYFUNCTION("""COMPUTED_VALUE"""),1)</f>
        <v>1</v>
      </c>
      <c r="D204" s="1">
        <f ca="1">IFERROR(__xludf.DUMMYFUNCTION("""COMPUTED_VALUE"""),2023)</f>
        <v>2023</v>
      </c>
      <c r="E204" s="4">
        <f ca="1">IFERROR(__xludf.DUMMYFUNCTION("""COMPUTED_VALUE"""),45170)</f>
        <v>45170</v>
      </c>
      <c r="F204" s="1" t="str">
        <f ca="1">IFERROR(__xludf.DUMMYFUNCTION("""COMPUTED_VALUE"""),"Dunbar High School")</f>
        <v>Dunbar High School</v>
      </c>
      <c r="G204" s="1">
        <f ca="1">IFERROR(__xludf.DUMMYFUNCTION("""COMPUTED_VALUE"""),0)</f>
        <v>0</v>
      </c>
      <c r="H204" s="1">
        <f ca="1">IFERROR(__xludf.DUMMYFUNCTION("""COMPUTED_VALUE"""),1)</f>
        <v>1</v>
      </c>
      <c r="I204" s="1">
        <f ca="1">IFERROR(__xludf.DUMMYFUNCTION("""COMPUTED_VALUE"""),1)</f>
        <v>1</v>
      </c>
      <c r="J204" s="1">
        <f ca="1">IFERROR(__xludf.DUMMYFUNCTION("""COMPUTED_VALUE"""),0)</f>
        <v>0</v>
      </c>
      <c r="K204" s="1" t="str">
        <f ca="1">IFERROR(__xludf.DUMMYFUNCTION("""COMPUTED_VALUE"""),"Fall")</f>
        <v>Fall</v>
      </c>
      <c r="L204" s="1" t="str">
        <f ca="1">IFERROR(__xludf.DUMMYFUNCTION("""COMPUTED_VALUE"""),"Baltimore")</f>
        <v>Baltimore</v>
      </c>
      <c r="M204" s="1" t="str">
        <f ca="1">IFERROR(__xludf.DUMMYFUNCTION("""COMPUTED_VALUE"""),"MD")</f>
        <v>MD</v>
      </c>
      <c r="N204" s="1" t="str">
        <f ca="1">IFERROR(__xludf.DUMMYFUNCTION("""COMPUTED_VALUE"""),"High")</f>
        <v>High</v>
      </c>
      <c r="O204" s="1" t="str">
        <f ca="1">IFERROR(__xludf.DUMMYFUNCTION("""COMPUTED_VALUE"""),"Parking Lot")</f>
        <v>Parking Lot</v>
      </c>
      <c r="P204" s="1" t="str">
        <f ca="1">IFERROR(__xludf.DUMMYFUNCTION("""COMPUTED_VALUE"""),"Outside on School Property")</f>
        <v>Outside on School Property</v>
      </c>
      <c r="Q204" s="1" t="str">
        <f ca="1">IFERROR(__xludf.DUMMYFUNCTION("""COMPUTED_VALUE"""),"No")</f>
        <v>No</v>
      </c>
      <c r="R204" s="1" t="str">
        <f ca="1">IFERROR(__xludf.DUMMYFUNCTION("""COMPUTED_VALUE"""),"Sport Event")</f>
        <v>Sport Event</v>
      </c>
      <c r="S204" s="5">
        <f ca="1">IFERROR(__xludf.DUMMYFUNCTION("""COMPUTED_VALUE"""),0.795138888888888)</f>
        <v>0.79513888888888795</v>
      </c>
      <c r="T204" s="1">
        <f ca="1">IFERROR(__xludf.DUMMYFUNCTION("""COMPUTED_VALUE"""),1)</f>
        <v>1</v>
      </c>
      <c r="U204" s="1" t="str">
        <f ca="1">IFERROR(__xludf.DUMMYFUNCTION("""COMPUTED_VALUE"""),"Child wounded when shots were fired into the crowd waiting to get into the stadium")</f>
        <v>Child wounded when shots were fired into the crowd waiting to get into the stadium</v>
      </c>
      <c r="V204" s="1" t="str">
        <f ca="1">IFERROR(__xludf.DUMMYFUNCTION("""COMPUTED_VALUE"""),"12-year-old was wounded while standing in the crowd waiting to get into the stadium. Teen holding a gun fled from the area. Fans inside heard gunshots and crowd evacuated the stadium. The game was cancelled.")</f>
        <v>12-year-old was wounded while standing in the crowd waiting to get into the stadium. Teen holding a gun fled from the area. Fans inside heard gunshots and crowd evacuated the stadium. The game was cancelled.</v>
      </c>
      <c r="W204" s="1"/>
      <c r="X204" s="1"/>
      <c r="Y204" s="1" t="str">
        <f ca="1">IFERROR(__xludf.DUMMYFUNCTION("""COMPUTED_VALUE"""),"No")</f>
        <v>No</v>
      </c>
      <c r="Z204" s="1"/>
      <c r="AA204" s="1" t="str">
        <f ca="1">IFERROR(__xludf.DUMMYFUNCTION("""COMPUTED_VALUE"""),"No")</f>
        <v>No</v>
      </c>
      <c r="AB204" s="1" t="str">
        <f ca="1">IFERROR(__xludf.DUMMYFUNCTION("""COMPUTED_VALUE"""),"No")</f>
        <v>No</v>
      </c>
      <c r="AC204" s="1" t="str">
        <f ca="1">IFERROR(__xludf.DUMMYFUNCTION("""COMPUTED_VALUE"""),"No")</f>
        <v>No</v>
      </c>
      <c r="AD204" s="1" t="str">
        <f ca="1">IFERROR(__xludf.DUMMYFUNCTION("""COMPUTED_VALUE"""),"No")</f>
        <v>No</v>
      </c>
      <c r="AE204" s="1" t="str">
        <f ca="1">IFERROR(__xludf.DUMMYFUNCTION("""COMPUTED_VALUE"""),"No")</f>
        <v>No</v>
      </c>
      <c r="AF204" s="1"/>
      <c r="AG204" s="1" t="str">
        <f ca="1">IFERROR(__xludf.DUMMYFUNCTION("""COMPUTED_VALUE"""),"No")</f>
        <v>No</v>
      </c>
      <c r="AH204" s="1">
        <f ca="1">IFERROR(__xludf.DUMMYFUNCTION("""COMPUTED_VALUE"""),99)</f>
        <v>99</v>
      </c>
    </row>
    <row r="205" spans="1:34" ht="12.5">
      <c r="A205" s="1" t="str">
        <f ca="1">IFERROR(__xludf.DUMMYFUNCTION("""COMPUTED_VALUE"""),"20230901ILMOC")</f>
        <v>20230901ILMOC</v>
      </c>
      <c r="B205" s="1">
        <f ca="1">IFERROR(__xludf.DUMMYFUNCTION("""COMPUTED_VALUE"""),9)</f>
        <v>9</v>
      </c>
      <c r="C205" s="1">
        <f ca="1">IFERROR(__xludf.DUMMYFUNCTION("""COMPUTED_VALUE"""),1)</f>
        <v>1</v>
      </c>
      <c r="D205" s="1">
        <f ca="1">IFERROR(__xludf.DUMMYFUNCTION("""COMPUTED_VALUE"""),2023)</f>
        <v>2023</v>
      </c>
      <c r="E205" s="4">
        <f ca="1">IFERROR(__xludf.DUMMYFUNCTION("""COMPUTED_VALUE"""),45170)</f>
        <v>45170</v>
      </c>
      <c r="F205" s="1" t="str">
        <f ca="1">IFERROR(__xludf.DUMMYFUNCTION("""COMPUTED_VALUE"""),"Mount Carmel High School")</f>
        <v>Mount Carmel High School</v>
      </c>
      <c r="G205" s="1">
        <f ca="1">IFERROR(__xludf.DUMMYFUNCTION("""COMPUTED_VALUE"""),0)</f>
        <v>0</v>
      </c>
      <c r="H205" s="1">
        <f ca="1">IFERROR(__xludf.DUMMYFUNCTION("""COMPUTED_VALUE"""),2)</f>
        <v>2</v>
      </c>
      <c r="I205" s="1">
        <f ca="1">IFERROR(__xludf.DUMMYFUNCTION("""COMPUTED_VALUE"""),2)</f>
        <v>2</v>
      </c>
      <c r="J205" s="1">
        <f ca="1">IFERROR(__xludf.DUMMYFUNCTION("""COMPUTED_VALUE"""),0)</f>
        <v>0</v>
      </c>
      <c r="K205" s="1" t="str">
        <f ca="1">IFERROR(__xludf.DUMMYFUNCTION("""COMPUTED_VALUE"""),"Fall")</f>
        <v>Fall</v>
      </c>
      <c r="L205" s="1" t="str">
        <f ca="1">IFERROR(__xludf.DUMMYFUNCTION("""COMPUTED_VALUE"""),"Chicago")</f>
        <v>Chicago</v>
      </c>
      <c r="M205" s="1" t="str">
        <f ca="1">IFERROR(__xludf.DUMMYFUNCTION("""COMPUTED_VALUE"""),"IL")</f>
        <v>IL</v>
      </c>
      <c r="N205" s="1" t="str">
        <f ca="1">IFERROR(__xludf.DUMMYFUNCTION("""COMPUTED_VALUE"""),"High")</f>
        <v>High</v>
      </c>
      <c r="O205" s="1" t="str">
        <f ca="1">IFERROR(__xludf.DUMMYFUNCTION("""COMPUTED_VALUE"""),"Football Field/Track")</f>
        <v>Football Field/Track</v>
      </c>
      <c r="P205" s="1" t="str">
        <f ca="1">IFERROR(__xludf.DUMMYFUNCTION("""COMPUTED_VALUE"""),"Outside on School Property")</f>
        <v>Outside on School Property</v>
      </c>
      <c r="Q205" s="1" t="str">
        <f ca="1">IFERROR(__xludf.DUMMYFUNCTION("""COMPUTED_VALUE"""),"No")</f>
        <v>No</v>
      </c>
      <c r="R205" s="1" t="str">
        <f ca="1">IFERROR(__xludf.DUMMYFUNCTION("""COMPUTED_VALUE"""),"School Event")</f>
        <v>School Event</v>
      </c>
      <c r="S205" s="5">
        <f ca="1">IFERROR(__xludf.DUMMYFUNCTION("""COMPUTED_VALUE"""),0.927777777777777)</f>
        <v>0.92777777777777704</v>
      </c>
      <c r="T205" s="1">
        <f ca="1">IFERROR(__xludf.DUMMYFUNCTION("""COMPUTED_VALUE"""),1)</f>
        <v>1</v>
      </c>
      <c r="U205" s="1" t="str">
        <f ca="1">IFERROR(__xludf.DUMMYFUNCTION("""COMPUTED_VALUE"""),"Two teens shot while crowd was leaving stadium")</f>
        <v>Two teens shot while crowd was leaving stadium</v>
      </c>
      <c r="V205" s="1" t="str">
        <f ca="1">IFERROR(__xludf.DUMMYFUNCTION("""COMPUTED_VALUE"""),"Two teens shot while crowd was exiting the stadium at the end of the game. Security sent fans back inside to lockdown. Shooter fled.")</f>
        <v>Two teens shot while crowd was exiting the stadium at the end of the game. Security sent fans back inside to lockdown. Shooter fled.</v>
      </c>
      <c r="W205" s="1"/>
      <c r="X205" s="1" t="str">
        <f ca="1">IFERROR(__xludf.DUMMYFUNCTION("""COMPUTED_VALUE"""),"Both")</f>
        <v>Both</v>
      </c>
      <c r="Y205" s="1" t="str">
        <f ca="1">IFERROR(__xludf.DUMMYFUNCTION("""COMPUTED_VALUE"""),"No")</f>
        <v>No</v>
      </c>
      <c r="Z205" s="1"/>
      <c r="AA205" s="1" t="str">
        <f ca="1">IFERROR(__xludf.DUMMYFUNCTION("""COMPUTED_VALUE"""),"No")</f>
        <v>No</v>
      </c>
      <c r="AB205" s="1" t="str">
        <f ca="1">IFERROR(__xludf.DUMMYFUNCTION("""COMPUTED_VALUE"""),"No")</f>
        <v>No</v>
      </c>
      <c r="AC205" s="1" t="str">
        <f ca="1">IFERROR(__xludf.DUMMYFUNCTION("""COMPUTED_VALUE"""),"No")</f>
        <v>No</v>
      </c>
      <c r="AD205" s="1" t="str">
        <f ca="1">IFERROR(__xludf.DUMMYFUNCTION("""COMPUTED_VALUE"""),"No")</f>
        <v>No</v>
      </c>
      <c r="AE205" s="1" t="str">
        <f ca="1">IFERROR(__xludf.DUMMYFUNCTION("""COMPUTED_VALUE"""),"No")</f>
        <v>No</v>
      </c>
      <c r="AF205" s="1"/>
      <c r="AG205" s="1" t="str">
        <f ca="1">IFERROR(__xludf.DUMMYFUNCTION("""COMPUTED_VALUE"""),"No")</f>
        <v>No</v>
      </c>
      <c r="AH205" s="1">
        <f ca="1">IFERROR(__xludf.DUMMYFUNCTION("""COMPUTED_VALUE"""),99)</f>
        <v>99</v>
      </c>
    </row>
    <row r="206" spans="1:34" ht="12.5">
      <c r="A206" s="1" t="str">
        <f ca="1">IFERROR(__xludf.DUMMYFUNCTION("""COMPUTED_VALUE"""),"20230901LAPOP")</f>
        <v>20230901LAPOP</v>
      </c>
      <c r="B206" s="1">
        <f ca="1">IFERROR(__xludf.DUMMYFUNCTION("""COMPUTED_VALUE"""),9)</f>
        <v>9</v>
      </c>
      <c r="C206" s="1">
        <f ca="1">IFERROR(__xludf.DUMMYFUNCTION("""COMPUTED_VALUE"""),1)</f>
        <v>1</v>
      </c>
      <c r="D206" s="1">
        <f ca="1">IFERROR(__xludf.DUMMYFUNCTION("""COMPUTED_VALUE"""),2023)</f>
        <v>2023</v>
      </c>
      <c r="E206" s="4">
        <f ca="1">IFERROR(__xludf.DUMMYFUNCTION("""COMPUTED_VALUE"""),45170)</f>
        <v>45170</v>
      </c>
      <c r="F206" s="1" t="str">
        <f ca="1">IFERROR(__xludf.DUMMYFUNCTION("""COMPUTED_VALUE"""),"Port Allen High School")</f>
        <v>Port Allen High School</v>
      </c>
      <c r="G206" s="1">
        <f ca="1">IFERROR(__xludf.DUMMYFUNCTION("""COMPUTED_VALUE"""),1)</f>
        <v>1</v>
      </c>
      <c r="H206" s="1">
        <f ca="1">IFERROR(__xludf.DUMMYFUNCTION("""COMPUTED_VALUE"""),1)</f>
        <v>1</v>
      </c>
      <c r="I206" s="1">
        <f ca="1">IFERROR(__xludf.DUMMYFUNCTION("""COMPUTED_VALUE"""),2)</f>
        <v>2</v>
      </c>
      <c r="J206" s="1">
        <f ca="1">IFERROR(__xludf.DUMMYFUNCTION("""COMPUTED_VALUE"""),0)</f>
        <v>0</v>
      </c>
      <c r="K206" s="1" t="str">
        <f ca="1">IFERROR(__xludf.DUMMYFUNCTION("""COMPUTED_VALUE"""),"Fall")</f>
        <v>Fall</v>
      </c>
      <c r="L206" s="1" t="str">
        <f ca="1">IFERROR(__xludf.DUMMYFUNCTION("""COMPUTED_VALUE"""),"Port Allen")</f>
        <v>Port Allen</v>
      </c>
      <c r="M206" s="1" t="str">
        <f ca="1">IFERROR(__xludf.DUMMYFUNCTION("""COMPUTED_VALUE"""),"LA")</f>
        <v>LA</v>
      </c>
      <c r="N206" s="1" t="str">
        <f ca="1">IFERROR(__xludf.DUMMYFUNCTION("""COMPUTED_VALUE"""),"High")</f>
        <v>High</v>
      </c>
      <c r="O206" s="1" t="str">
        <f ca="1">IFERROR(__xludf.DUMMYFUNCTION("""COMPUTED_VALUE"""),"Football Field/Track")</f>
        <v>Football Field/Track</v>
      </c>
      <c r="P206" s="1" t="str">
        <f ca="1">IFERROR(__xludf.DUMMYFUNCTION("""COMPUTED_VALUE"""),"Outside on School Property")</f>
        <v>Outside on School Property</v>
      </c>
      <c r="Q206" s="1" t="str">
        <f ca="1">IFERROR(__xludf.DUMMYFUNCTION("""COMPUTED_VALUE"""),"No")</f>
        <v>No</v>
      </c>
      <c r="R206" s="1" t="str">
        <f ca="1">IFERROR(__xludf.DUMMYFUNCTION("""COMPUTED_VALUE"""),"Sport Event")</f>
        <v>Sport Event</v>
      </c>
      <c r="S206" s="5">
        <f ca="1">IFERROR(__xludf.DUMMYFUNCTION("""COMPUTED_VALUE"""),0.854166666666666)</f>
        <v>0.85416666666666596</v>
      </c>
      <c r="T206" s="1">
        <f ca="1">IFERROR(__xludf.DUMMYFUNCTION("""COMPUTED_VALUE"""),1)</f>
        <v>1</v>
      </c>
      <c r="U206" s="1" t="str">
        <f ca="1">IFERROR(__xludf.DUMMYFUNCTION("""COMPUTED_VALUE"""),"Teen killed and adult wounded during fight in stands at halftime")</f>
        <v>Teen killed and adult wounded during fight in stands at halftime</v>
      </c>
      <c r="V206" s="1" t="str">
        <f ca="1">IFERROR(__xludf.DUMMYFUNCTION("""COMPUTED_VALUE"""),"Deputies responded to a shooting at Port Allen High School during a sporting event Friday night. Two males were shot, according to West Baton Rouge Sheriff’s spokesman Sgt. Landon Groger. He said the 15-year-old was killed and a 28-year-old was transferre"&amp;"d to the hospital with unknown injuries. As of 9:10 p.m., Groger said the shooter was not in custody.")</f>
        <v>Deputies responded to a shooting at Port Allen High School during a sporting event Friday night. Two males were shot, according to West Baton Rouge Sheriff’s spokesman Sgt. Landon Groger. He said the 15-year-old was killed and a 28-year-old was transferred to the hospital with unknown injuries. As of 9:10 p.m., Groger said the shooter was not in custody.</v>
      </c>
      <c r="W206" s="1" t="str">
        <f ca="1">IFERROR(__xludf.DUMMYFUNCTION("""COMPUTED_VALUE"""),"Escalation of Dispute")</f>
        <v>Escalation of Dispute</v>
      </c>
      <c r="X206" s="1" t="str">
        <f ca="1">IFERROR(__xludf.DUMMYFUNCTION("""COMPUTED_VALUE"""),"Both")</f>
        <v>Both</v>
      </c>
      <c r="Y206" s="1" t="str">
        <f ca="1">IFERROR(__xludf.DUMMYFUNCTION("""COMPUTED_VALUE"""),"No")</f>
        <v>No</v>
      </c>
      <c r="Z206" s="1"/>
      <c r="AA206" s="1" t="str">
        <f ca="1">IFERROR(__xludf.DUMMYFUNCTION("""COMPUTED_VALUE"""),"No")</f>
        <v>No</v>
      </c>
      <c r="AB206" s="1" t="str">
        <f ca="1">IFERROR(__xludf.DUMMYFUNCTION("""COMPUTED_VALUE"""),"No")</f>
        <v>No</v>
      </c>
      <c r="AC206" s="1" t="str">
        <f ca="1">IFERROR(__xludf.DUMMYFUNCTION("""COMPUTED_VALUE"""),"No")</f>
        <v>No</v>
      </c>
      <c r="AD206" s="1" t="str">
        <f ca="1">IFERROR(__xludf.DUMMYFUNCTION("""COMPUTED_VALUE"""),"No")</f>
        <v>No</v>
      </c>
      <c r="AE206" s="1" t="str">
        <f ca="1">IFERROR(__xludf.DUMMYFUNCTION("""COMPUTED_VALUE"""),"No")</f>
        <v>No</v>
      </c>
      <c r="AF206" s="1"/>
      <c r="AG206" s="1" t="str">
        <f ca="1">IFERROR(__xludf.DUMMYFUNCTION("""COMPUTED_VALUE"""),"No")</f>
        <v>No</v>
      </c>
      <c r="AH206" s="1">
        <f ca="1">IFERROR(__xludf.DUMMYFUNCTION("""COMPUTED_VALUE"""),99)</f>
        <v>99</v>
      </c>
    </row>
    <row r="207" spans="1:34" ht="12.5">
      <c r="A207" s="1" t="str">
        <f ca="1">IFERROR(__xludf.DUMMYFUNCTION("""COMPUTED_VALUE"""),"20230831KSWEW")</f>
        <v>20230831KSWEW</v>
      </c>
      <c r="B207" s="1">
        <f ca="1">IFERROR(__xludf.DUMMYFUNCTION("""COMPUTED_VALUE"""),8)</f>
        <v>8</v>
      </c>
      <c r="C207" s="1">
        <f ca="1">IFERROR(__xludf.DUMMYFUNCTION("""COMPUTED_VALUE"""),31)</f>
        <v>31</v>
      </c>
      <c r="D207" s="1">
        <f ca="1">IFERROR(__xludf.DUMMYFUNCTION("""COMPUTED_VALUE"""),2023)</f>
        <v>2023</v>
      </c>
      <c r="E207" s="4">
        <f ca="1">IFERROR(__xludf.DUMMYFUNCTION("""COMPUTED_VALUE"""),45169)</f>
        <v>45169</v>
      </c>
      <c r="F207" s="1" t="str">
        <f ca="1">IFERROR(__xludf.DUMMYFUNCTION("""COMPUTED_VALUE"""),"Wellington High School")</f>
        <v>Wellington High School</v>
      </c>
      <c r="G207" s="1">
        <f ca="1">IFERROR(__xludf.DUMMYFUNCTION("""COMPUTED_VALUE"""),0)</f>
        <v>0</v>
      </c>
      <c r="H207" s="1">
        <f ca="1">IFERROR(__xludf.DUMMYFUNCTION("""COMPUTED_VALUE"""),0)</f>
        <v>0</v>
      </c>
      <c r="I207" s="1">
        <f ca="1">IFERROR(__xludf.DUMMYFUNCTION("""COMPUTED_VALUE"""),0)</f>
        <v>0</v>
      </c>
      <c r="J207" s="1">
        <f ca="1">IFERROR(__xludf.DUMMYFUNCTION("""COMPUTED_VALUE"""),0)</f>
        <v>0</v>
      </c>
      <c r="K207" s="1" t="str">
        <f ca="1">IFERROR(__xludf.DUMMYFUNCTION("""COMPUTED_VALUE"""),"Summer")</f>
        <v>Summer</v>
      </c>
      <c r="L207" s="1" t="str">
        <f ca="1">IFERROR(__xludf.DUMMYFUNCTION("""COMPUTED_VALUE"""),"Wellington")</f>
        <v>Wellington</v>
      </c>
      <c r="M207" s="1" t="str">
        <f ca="1">IFERROR(__xludf.DUMMYFUNCTION("""COMPUTED_VALUE"""),"KS")</f>
        <v>KS</v>
      </c>
      <c r="N207" s="1" t="str">
        <f ca="1">IFERROR(__xludf.DUMMYFUNCTION("""COMPUTED_VALUE"""),"High")</f>
        <v>High</v>
      </c>
      <c r="O207" s="1" t="str">
        <f ca="1">IFERROR(__xludf.DUMMYFUNCTION("""COMPUTED_VALUE"""),"Field (General)")</f>
        <v>Field (General)</v>
      </c>
      <c r="P207" s="1" t="str">
        <f ca="1">IFERROR(__xludf.DUMMYFUNCTION("""COMPUTED_VALUE"""),"Outside on School Property")</f>
        <v>Outside on School Property</v>
      </c>
      <c r="Q207" s="1" t="str">
        <f ca="1">IFERROR(__xludf.DUMMYFUNCTION("""COMPUTED_VALUE"""),"No")</f>
        <v>No</v>
      </c>
      <c r="R207" s="1" t="str">
        <f ca="1">IFERROR(__xludf.DUMMYFUNCTION("""COMPUTED_VALUE"""),"After School")</f>
        <v>After School</v>
      </c>
      <c r="S207" s="5">
        <f ca="1">IFERROR(__xludf.DUMMYFUNCTION("""COMPUTED_VALUE"""),0.666666666666666)</f>
        <v>0.66666666666666596</v>
      </c>
      <c r="T207" s="1">
        <f ca="1">IFERROR(__xludf.DUMMYFUNCTION("""COMPUTED_VALUE"""),1)</f>
        <v>1</v>
      </c>
      <c r="U207" s="1" t="str">
        <f ca="1">IFERROR(__xludf.DUMMYFUNCTION("""COMPUTED_VALUE"""),"Students and coaches shot with pellet gun during practice")</f>
        <v>Students and coaches shot with pellet gun during practice</v>
      </c>
      <c r="V207" s="1" t="str">
        <f ca="1">IFERROR(__xludf.DUMMYFUNCTION("""COMPUTED_VALUE"""),"Wellington Public Schools says a couple of students had minor injuries after someone in a vehicle fired a pellet gun at students and coaches during after-school sports practices. ")</f>
        <v xml:space="preserve">Wellington Public Schools says a couple of students had minor injuries after someone in a vehicle fired a pellet gun at students and coaches during after-school sports practices. </v>
      </c>
      <c r="W207" s="1" t="str">
        <f ca="1">IFERROR(__xludf.DUMMYFUNCTION("""COMPUTED_VALUE"""),"Drive-by Shooting")</f>
        <v>Drive-by Shooting</v>
      </c>
      <c r="X207" s="1" t="str">
        <f ca="1">IFERROR(__xludf.DUMMYFUNCTION("""COMPUTED_VALUE"""),"Random Shooting")</f>
        <v>Random Shooting</v>
      </c>
      <c r="Y207" s="1"/>
      <c r="Z207" s="1"/>
      <c r="AA207" s="1" t="str">
        <f ca="1">IFERROR(__xludf.DUMMYFUNCTION("""COMPUTED_VALUE"""),"No")</f>
        <v>No</v>
      </c>
      <c r="AB207" s="1" t="str">
        <f ca="1">IFERROR(__xludf.DUMMYFUNCTION("""COMPUTED_VALUE"""),"No")</f>
        <v>No</v>
      </c>
      <c r="AC207" s="1" t="str">
        <f ca="1">IFERROR(__xludf.DUMMYFUNCTION("""COMPUTED_VALUE"""),"No")</f>
        <v>No</v>
      </c>
      <c r="AD207" s="1" t="str">
        <f ca="1">IFERROR(__xludf.DUMMYFUNCTION("""COMPUTED_VALUE"""),"No")</f>
        <v>No</v>
      </c>
      <c r="AE207" s="1" t="str">
        <f ca="1">IFERROR(__xludf.DUMMYFUNCTION("""COMPUTED_VALUE"""),"No")</f>
        <v>No</v>
      </c>
      <c r="AF207" s="1" t="str">
        <f ca="1">IFERROR(__xludf.DUMMYFUNCTION("""COMPUTED_VALUE"""),"No")</f>
        <v>No</v>
      </c>
      <c r="AG207" s="1" t="str">
        <f ca="1">IFERROR(__xludf.DUMMYFUNCTION("""COMPUTED_VALUE"""),"No")</f>
        <v>No</v>
      </c>
      <c r="AH207" s="1">
        <f ca="1">IFERROR(__xludf.DUMMYFUNCTION("""COMPUTED_VALUE"""),99)</f>
        <v>99</v>
      </c>
    </row>
    <row r="208" spans="1:34" ht="12.5">
      <c r="A208" s="1" t="str">
        <f ca="1">IFERROR(__xludf.DUMMYFUNCTION("""COMPUTED_VALUE"""),"20230831MSBRB")</f>
        <v>20230831MSBRB</v>
      </c>
      <c r="B208" s="1">
        <f ca="1">IFERROR(__xludf.DUMMYFUNCTION("""COMPUTED_VALUE"""),8)</f>
        <v>8</v>
      </c>
      <c r="C208" s="1">
        <f ca="1">IFERROR(__xludf.DUMMYFUNCTION("""COMPUTED_VALUE"""),31)</f>
        <v>31</v>
      </c>
      <c r="D208" s="1">
        <f ca="1">IFERROR(__xludf.DUMMYFUNCTION("""COMPUTED_VALUE"""),2023)</f>
        <v>2023</v>
      </c>
      <c r="E208" s="4">
        <f ca="1">IFERROR(__xludf.DUMMYFUNCTION("""COMPUTED_VALUE"""),45169)</f>
        <v>45169</v>
      </c>
      <c r="F208" s="1" t="str">
        <f ca="1">IFERROR(__xludf.DUMMYFUNCTION("""COMPUTED_VALUE"""),"Brookhaven School Bus")</f>
        <v>Brookhaven School Bus</v>
      </c>
      <c r="G208" s="1">
        <f ca="1">IFERROR(__xludf.DUMMYFUNCTION("""COMPUTED_VALUE"""),0)</f>
        <v>0</v>
      </c>
      <c r="H208" s="1">
        <f ca="1">IFERROR(__xludf.DUMMYFUNCTION("""COMPUTED_VALUE"""),0)</f>
        <v>0</v>
      </c>
      <c r="I208" s="1">
        <f ca="1">IFERROR(__xludf.DUMMYFUNCTION("""COMPUTED_VALUE"""),0)</f>
        <v>0</v>
      </c>
      <c r="J208" s="1">
        <f ca="1">IFERROR(__xludf.DUMMYFUNCTION("""COMPUTED_VALUE"""),0)</f>
        <v>0</v>
      </c>
      <c r="K208" s="1" t="str">
        <f ca="1">IFERROR(__xludf.DUMMYFUNCTION("""COMPUTED_VALUE"""),"Summer")</f>
        <v>Summer</v>
      </c>
      <c r="L208" s="1" t="str">
        <f ca="1">IFERROR(__xludf.DUMMYFUNCTION("""COMPUTED_VALUE"""),"Brookhaven")</f>
        <v>Brookhaven</v>
      </c>
      <c r="M208" s="1" t="str">
        <f ca="1">IFERROR(__xludf.DUMMYFUNCTION("""COMPUTED_VALUE"""),"MS")</f>
        <v>MS</v>
      </c>
      <c r="N208" s="1" t="str">
        <f ca="1">IFERROR(__xludf.DUMMYFUNCTION("""COMPUTED_VALUE"""),"Middle")</f>
        <v>Middle</v>
      </c>
      <c r="O208" s="1" t="str">
        <f ca="1">IFERROR(__xludf.DUMMYFUNCTION("""COMPUTED_VALUE"""),"School Bus")</f>
        <v>School Bus</v>
      </c>
      <c r="P208" s="1" t="str">
        <f ca="1">IFERROR(__xludf.DUMMYFUNCTION("""COMPUTED_VALUE"""),"School Bus")</f>
        <v>School Bus</v>
      </c>
      <c r="Q208" s="1" t="str">
        <f ca="1">IFERROR(__xludf.DUMMYFUNCTION("""COMPUTED_VALUE"""),"Yes")</f>
        <v>Yes</v>
      </c>
      <c r="R208" s="1" t="str">
        <f ca="1">IFERROR(__xludf.DUMMYFUNCTION("""COMPUTED_VALUE"""),"Dismissal")</f>
        <v>Dismissal</v>
      </c>
      <c r="S208" s="5">
        <f ca="1">IFERROR(__xludf.DUMMYFUNCTION("""COMPUTED_VALUE"""),0.6875)</f>
        <v>0.6875</v>
      </c>
      <c r="T208" s="1">
        <f ca="1">IFERROR(__xludf.DUMMYFUNCTION("""COMPUTED_VALUE"""),1)</f>
        <v>1</v>
      </c>
      <c r="U208" s="1" t="str">
        <f ca="1">IFERROR(__xludf.DUMMYFUNCTION("""COMPUTED_VALUE"""),"Student fired long range rifle at student getting off school bus")</f>
        <v>Student fired long range rifle at student getting off school bus</v>
      </c>
      <c r="V208" s="1" t="str">
        <f ca="1">IFERROR(__xludf.DUMMYFUNCTION("""COMPUTED_VALUE"""),"An 11-year-old student fired a long range rifle at a student who was getting off the school bus. The shot missed. The driver aborted the dropoff and continued away from the area. The shooter and the targeted student had been involved in a dispute.")</f>
        <v>An 11-year-old student fired a long range rifle at a student who was getting off the school bus. The shot missed. The driver aborted the dropoff and continued away from the area. The shooter and the targeted student had been involved in a dispute.</v>
      </c>
      <c r="W208" s="1" t="str">
        <f ca="1">IFERROR(__xludf.DUMMYFUNCTION("""COMPUTED_VALUE"""),"Escalation of Dispute")</f>
        <v>Escalation of Dispute</v>
      </c>
      <c r="X208" s="1" t="str">
        <f ca="1">IFERROR(__xludf.DUMMYFUNCTION("""COMPUTED_VALUE"""),"Victims Targeted")</f>
        <v>Victims Targeted</v>
      </c>
      <c r="Y208" s="1"/>
      <c r="Z208" s="1"/>
      <c r="AA208" s="1" t="str">
        <f ca="1">IFERROR(__xludf.DUMMYFUNCTION("""COMPUTED_VALUE"""),"No")</f>
        <v>No</v>
      </c>
      <c r="AB208" s="1" t="str">
        <f ca="1">IFERROR(__xludf.DUMMYFUNCTION("""COMPUTED_VALUE"""),"No")</f>
        <v>No</v>
      </c>
      <c r="AC208" s="1" t="str">
        <f ca="1">IFERROR(__xludf.DUMMYFUNCTION("""COMPUTED_VALUE"""),"No")</f>
        <v>No</v>
      </c>
      <c r="AD208" s="1" t="str">
        <f ca="1">IFERROR(__xludf.DUMMYFUNCTION("""COMPUTED_VALUE"""),"No")</f>
        <v>No</v>
      </c>
      <c r="AE208" s="1" t="str">
        <f ca="1">IFERROR(__xludf.DUMMYFUNCTION("""COMPUTED_VALUE"""),"No")</f>
        <v>No</v>
      </c>
      <c r="AF208" s="1" t="str">
        <f ca="1">IFERROR(__xludf.DUMMYFUNCTION("""COMPUTED_VALUE"""),"No")</f>
        <v>No</v>
      </c>
      <c r="AG208" s="1" t="str">
        <f ca="1">IFERROR(__xludf.DUMMYFUNCTION("""COMPUTED_VALUE"""),"No")</f>
        <v>No</v>
      </c>
      <c r="AH208" s="1">
        <f ca="1">IFERROR(__xludf.DUMMYFUNCTION("""COMPUTED_VALUE"""),1)</f>
        <v>1</v>
      </c>
    </row>
    <row r="209" spans="1:34" ht="12.5">
      <c r="A209" s="1" t="str">
        <f ca="1">IFERROR(__xludf.DUMMYFUNCTION("""COMPUTED_VALUE"""),"20230831WANOD")</f>
        <v>20230831WANOD</v>
      </c>
      <c r="B209" s="1">
        <f ca="1">IFERROR(__xludf.DUMMYFUNCTION("""COMPUTED_VALUE"""),8)</f>
        <v>8</v>
      </c>
      <c r="C209" s="1">
        <f ca="1">IFERROR(__xludf.DUMMYFUNCTION("""COMPUTED_VALUE"""),31)</f>
        <v>31</v>
      </c>
      <c r="D209" s="1">
        <f ca="1">IFERROR(__xludf.DUMMYFUNCTION("""COMPUTED_VALUE"""),2023)</f>
        <v>2023</v>
      </c>
      <c r="E209" s="4">
        <f ca="1">IFERROR(__xludf.DUMMYFUNCTION("""COMPUTED_VALUE"""),45169)</f>
        <v>45169</v>
      </c>
      <c r="F209" s="1" t="str">
        <f ca="1">IFERROR(__xludf.DUMMYFUNCTION("""COMPUTED_VALUE"""),"North Hill Elementary School")</f>
        <v>North Hill Elementary School</v>
      </c>
      <c r="G209" s="1">
        <f ca="1">IFERROR(__xludf.DUMMYFUNCTION("""COMPUTED_VALUE"""),0)</f>
        <v>0</v>
      </c>
      <c r="H209" s="1">
        <f ca="1">IFERROR(__xludf.DUMMYFUNCTION("""COMPUTED_VALUE"""),0)</f>
        <v>0</v>
      </c>
      <c r="I209" s="1">
        <f ca="1">IFERROR(__xludf.DUMMYFUNCTION("""COMPUTED_VALUE"""),0)</f>
        <v>0</v>
      </c>
      <c r="J209" s="1">
        <f ca="1">IFERROR(__xludf.DUMMYFUNCTION("""COMPUTED_VALUE"""),0)</f>
        <v>0</v>
      </c>
      <c r="K209" s="1" t="str">
        <f ca="1">IFERROR(__xludf.DUMMYFUNCTION("""COMPUTED_VALUE"""),"Summer")</f>
        <v>Summer</v>
      </c>
      <c r="L209" s="1" t="str">
        <f ca="1">IFERROR(__xludf.DUMMYFUNCTION("""COMPUTED_VALUE"""),"Des Moines")</f>
        <v>Des Moines</v>
      </c>
      <c r="M209" s="1" t="str">
        <f ca="1">IFERROR(__xludf.DUMMYFUNCTION("""COMPUTED_VALUE"""),"WA")</f>
        <v>WA</v>
      </c>
      <c r="N209" s="1" t="str">
        <f ca="1">IFERROR(__xludf.DUMMYFUNCTION("""COMPUTED_VALUE"""),"Elementary")</f>
        <v>Elementary</v>
      </c>
      <c r="O209" s="1" t="str">
        <f ca="1">IFERROR(__xludf.DUMMYFUNCTION("""COMPUTED_VALUE"""),"Field (General)")</f>
        <v>Field (General)</v>
      </c>
      <c r="P209" s="1" t="str">
        <f ca="1">IFERROR(__xludf.DUMMYFUNCTION("""COMPUTED_VALUE"""),"Outside on School Property")</f>
        <v>Outside on School Property</v>
      </c>
      <c r="Q209" s="1" t="str">
        <f ca="1">IFERROR(__xludf.DUMMYFUNCTION("""COMPUTED_VALUE"""),"No")</f>
        <v>No</v>
      </c>
      <c r="R209" s="1" t="str">
        <f ca="1">IFERROR(__xludf.DUMMYFUNCTION("""COMPUTED_VALUE"""),"Not a School Day")</f>
        <v>Not a School Day</v>
      </c>
      <c r="S209" s="5">
        <f ca="1">IFERROR(__xludf.DUMMYFUNCTION("""COMPUTED_VALUE"""),0.647222222222222)</f>
        <v>0.64722222222222203</v>
      </c>
      <c r="T209" s="1">
        <f ca="1">IFERROR(__xludf.DUMMYFUNCTION("""COMPUTED_VALUE"""),1)</f>
        <v>1</v>
      </c>
      <c r="U209" s="1" t="str">
        <f ca="1">IFERROR(__xludf.DUMMYFUNCTION("""COMPUTED_VALUE"""),"Two groups of teens shot at each other on the school athletic field")</f>
        <v>Two groups of teens shot at each other on the school athletic field</v>
      </c>
      <c r="V209" s="1" t="str">
        <f ca="1">IFERROR(__xludf.DUMMYFUNCTION("""COMPUTED_VALUE"""),"At about 2:45 p.m., two sets of two teenage boys were in the field of North Hill Elementary School when they took out guns and began shooting at each other, according to the Des Moines Police Department. Police have not located the suspects after searchin"&amp;"g with a helicopter, drone and several canines. Detectives are continuing to investigate. ")</f>
        <v xml:space="preserve">At about 2:45 p.m., two sets of two teenage boys were in the field of North Hill Elementary School when they took out guns and began shooting at each other, according to the Des Moines Police Department. Police have not located the suspects after searching with a helicopter, drone and several canines. Detectives are continuing to investigate. </v>
      </c>
      <c r="W209" s="1" t="str">
        <f ca="1">IFERROR(__xludf.DUMMYFUNCTION("""COMPUTED_VALUE"""),"Escalation of Dispute")</f>
        <v>Escalation of Dispute</v>
      </c>
      <c r="X209" s="1" t="str">
        <f ca="1">IFERROR(__xludf.DUMMYFUNCTION("""COMPUTED_VALUE"""),"Victims Targeted")</f>
        <v>Victims Targeted</v>
      </c>
      <c r="Y209" s="1" t="str">
        <f ca="1">IFERROR(__xludf.DUMMYFUNCTION("""COMPUTED_VALUE"""),"Yes")</f>
        <v>Yes</v>
      </c>
      <c r="Z209" s="1" t="str">
        <f ca="1">IFERROR(__xludf.DUMMYFUNCTION("""COMPUTED_VALUE"""),"two groups")</f>
        <v>two groups</v>
      </c>
      <c r="AA209" s="1" t="str">
        <f ca="1">IFERROR(__xludf.DUMMYFUNCTION("""COMPUTED_VALUE"""),"No")</f>
        <v>No</v>
      </c>
      <c r="AB209" s="1" t="str">
        <f ca="1">IFERROR(__xludf.DUMMYFUNCTION("""COMPUTED_VALUE"""),"No")</f>
        <v>No</v>
      </c>
      <c r="AC209" s="1" t="str">
        <f ca="1">IFERROR(__xludf.DUMMYFUNCTION("""COMPUTED_VALUE"""),"No")</f>
        <v>No</v>
      </c>
      <c r="AD209" s="1" t="str">
        <f ca="1">IFERROR(__xludf.DUMMYFUNCTION("""COMPUTED_VALUE"""),"No")</f>
        <v>No</v>
      </c>
      <c r="AE209" s="1" t="str">
        <f ca="1">IFERROR(__xludf.DUMMYFUNCTION("""COMPUTED_VALUE"""),"No")</f>
        <v>No</v>
      </c>
      <c r="AF209" s="1"/>
      <c r="AG209" s="1" t="str">
        <f ca="1">IFERROR(__xludf.DUMMYFUNCTION("""COMPUTED_VALUE"""),"No")</f>
        <v>No</v>
      </c>
      <c r="AH209" s="1">
        <f ca="1">IFERROR(__xludf.DUMMYFUNCTION("""COMPUTED_VALUE"""),99)</f>
        <v>99</v>
      </c>
    </row>
    <row r="210" spans="1:34" ht="12.5">
      <c r="A210" s="1" t="str">
        <f ca="1">IFERROR(__xludf.DUMMYFUNCTION("""COMPUTED_VALUE"""),"20230829NVCLL")</f>
        <v>20230829NVCLL</v>
      </c>
      <c r="B210" s="1">
        <f ca="1">IFERROR(__xludf.DUMMYFUNCTION("""COMPUTED_VALUE"""),8)</f>
        <v>8</v>
      </c>
      <c r="C210" s="1">
        <f ca="1">IFERROR(__xludf.DUMMYFUNCTION("""COMPUTED_VALUE"""),29)</f>
        <v>29</v>
      </c>
      <c r="D210" s="1">
        <f ca="1">IFERROR(__xludf.DUMMYFUNCTION("""COMPUTED_VALUE"""),2023)</f>
        <v>2023</v>
      </c>
      <c r="E210" s="4">
        <f ca="1">IFERROR(__xludf.DUMMYFUNCTION("""COMPUTED_VALUE"""),45167)</f>
        <v>45167</v>
      </c>
      <c r="F210" s="1" t="str">
        <f ca="1">IFERROR(__xludf.DUMMYFUNCTION("""COMPUTED_VALUE"""),"Clark High School")</f>
        <v>Clark High School</v>
      </c>
      <c r="G210" s="1">
        <f ca="1">IFERROR(__xludf.DUMMYFUNCTION("""COMPUTED_VALUE"""),0)</f>
        <v>0</v>
      </c>
      <c r="H210" s="1">
        <f ca="1">IFERROR(__xludf.DUMMYFUNCTION("""COMPUTED_VALUE"""),0)</f>
        <v>0</v>
      </c>
      <c r="I210" s="1">
        <f ca="1">IFERROR(__xludf.DUMMYFUNCTION("""COMPUTED_VALUE"""),0)</f>
        <v>0</v>
      </c>
      <c r="J210" s="1">
        <f ca="1">IFERROR(__xludf.DUMMYFUNCTION("""COMPUTED_VALUE"""),0)</f>
        <v>0</v>
      </c>
      <c r="K210" s="1" t="str">
        <f ca="1">IFERROR(__xludf.DUMMYFUNCTION("""COMPUTED_VALUE"""),"Summer")</f>
        <v>Summer</v>
      </c>
      <c r="L210" s="1" t="str">
        <f ca="1">IFERROR(__xludf.DUMMYFUNCTION("""COMPUTED_VALUE"""),"Las Vegas")</f>
        <v>Las Vegas</v>
      </c>
      <c r="M210" s="1" t="str">
        <f ca="1">IFERROR(__xludf.DUMMYFUNCTION("""COMPUTED_VALUE"""),"NV")</f>
        <v>NV</v>
      </c>
      <c r="N210" s="1" t="str">
        <f ca="1">IFERROR(__xludf.DUMMYFUNCTION("""COMPUTED_VALUE"""),"High")</f>
        <v>High</v>
      </c>
      <c r="O210" s="1" t="str">
        <f ca="1">IFERROR(__xludf.DUMMYFUNCTION("""COMPUTED_VALUE"""),"Front of School")</f>
        <v>Front of School</v>
      </c>
      <c r="P210" s="1" t="str">
        <f ca="1">IFERROR(__xludf.DUMMYFUNCTION("""COMPUTED_VALUE"""),"Outside on School Property")</f>
        <v>Outside on School Property</v>
      </c>
      <c r="Q210" s="1" t="str">
        <f ca="1">IFERROR(__xludf.DUMMYFUNCTION("""COMPUTED_VALUE"""),"Yes")</f>
        <v>Yes</v>
      </c>
      <c r="R210" s="1" t="str">
        <f ca="1">IFERROR(__xludf.DUMMYFUNCTION("""COMPUTED_VALUE"""),"Lunch")</f>
        <v>Lunch</v>
      </c>
      <c r="S210" s="5">
        <f ca="1">IFERROR(__xludf.DUMMYFUNCTION("""COMPUTED_VALUE"""),0.510416666666666)</f>
        <v>0.51041666666666596</v>
      </c>
      <c r="T210" s="1">
        <f ca="1">IFERROR(__xludf.DUMMYFUNCTION("""COMPUTED_VALUE"""),1)</f>
        <v>1</v>
      </c>
      <c r="U210" s="1" t="str">
        <f ca="1">IFERROR(__xludf.DUMMYFUNCTION("""COMPUTED_VALUE"""),"Multiple shots fired in front of school and at intersection bordering campus")</f>
        <v>Multiple shots fired in front of school and at intersection bordering campus</v>
      </c>
      <c r="V210" s="1" t="str">
        <f ca="1">IFERROR(__xludf.DUMMYFUNCTION("""COMPUTED_VALUE"""),"Multiple shots fired in front of school and at intersection bordering campus. School went on lockdown. No injuries.")</f>
        <v>Multiple shots fired in front of school and at intersection bordering campus. School went on lockdown. No injuries.</v>
      </c>
      <c r="W210" s="1" t="str">
        <f ca="1">IFERROR(__xludf.DUMMYFUNCTION("""COMPUTED_VALUE"""),"Drive-by Shooting")</f>
        <v>Drive-by Shooting</v>
      </c>
      <c r="X210" s="1"/>
      <c r="Y210" s="1"/>
      <c r="Z210" s="1"/>
      <c r="AA210" s="1" t="str">
        <f ca="1">IFERROR(__xludf.DUMMYFUNCTION("""COMPUTED_VALUE"""),"No")</f>
        <v>No</v>
      </c>
      <c r="AB210" s="1" t="str">
        <f ca="1">IFERROR(__xludf.DUMMYFUNCTION("""COMPUTED_VALUE"""),"No")</f>
        <v>No</v>
      </c>
      <c r="AC210" s="1" t="str">
        <f ca="1">IFERROR(__xludf.DUMMYFUNCTION("""COMPUTED_VALUE"""),"No")</f>
        <v>No</v>
      </c>
      <c r="AD210" s="1" t="str">
        <f ca="1">IFERROR(__xludf.DUMMYFUNCTION("""COMPUTED_VALUE"""),"No")</f>
        <v>No</v>
      </c>
      <c r="AE210" s="1" t="str">
        <f ca="1">IFERROR(__xludf.DUMMYFUNCTION("""COMPUTED_VALUE"""),"No")</f>
        <v>No</v>
      </c>
      <c r="AF210" s="1"/>
      <c r="AG210" s="1" t="str">
        <f ca="1">IFERROR(__xludf.DUMMYFUNCTION("""COMPUTED_VALUE"""),"No")</f>
        <v>No</v>
      </c>
      <c r="AH210" s="1">
        <f ca="1">IFERROR(__xludf.DUMMYFUNCTION("""COMPUTED_VALUE"""),99)</f>
        <v>99</v>
      </c>
    </row>
    <row r="211" spans="1:34" ht="12.5">
      <c r="A211" s="1" t="str">
        <f ca="1">IFERROR(__xludf.DUMMYFUNCTION("""COMPUTED_VALUE"""),"20230826CAFAF")</f>
        <v>20230826CAFAF</v>
      </c>
      <c r="B211" s="1">
        <f ca="1">IFERROR(__xludf.DUMMYFUNCTION("""COMPUTED_VALUE"""),8)</f>
        <v>8</v>
      </c>
      <c r="C211" s="1">
        <f ca="1">IFERROR(__xludf.DUMMYFUNCTION("""COMPUTED_VALUE"""),26)</f>
        <v>26</v>
      </c>
      <c r="D211" s="1">
        <f ca="1">IFERROR(__xludf.DUMMYFUNCTION("""COMPUTED_VALUE"""),2023)</f>
        <v>2023</v>
      </c>
      <c r="E211" s="4">
        <f ca="1">IFERROR(__xludf.DUMMYFUNCTION("""COMPUTED_VALUE"""),45164)</f>
        <v>45164</v>
      </c>
      <c r="F211" s="1" t="str">
        <f ca="1">IFERROR(__xludf.DUMMYFUNCTION("""COMPUTED_VALUE"""),"Fairfield High School")</f>
        <v>Fairfield High School</v>
      </c>
      <c r="G211" s="1">
        <f ca="1">IFERROR(__xludf.DUMMYFUNCTION("""COMPUTED_VALUE"""),0)</f>
        <v>0</v>
      </c>
      <c r="H211" s="1">
        <f ca="1">IFERROR(__xludf.DUMMYFUNCTION("""COMPUTED_VALUE"""),0)</f>
        <v>0</v>
      </c>
      <c r="I211" s="1">
        <f ca="1">IFERROR(__xludf.DUMMYFUNCTION("""COMPUTED_VALUE"""),0)</f>
        <v>0</v>
      </c>
      <c r="J211" s="1">
        <f ca="1">IFERROR(__xludf.DUMMYFUNCTION("""COMPUTED_VALUE"""),0)</f>
        <v>0</v>
      </c>
      <c r="K211" s="1" t="str">
        <f ca="1">IFERROR(__xludf.DUMMYFUNCTION("""COMPUTED_VALUE"""),"Summer")</f>
        <v>Summer</v>
      </c>
      <c r="L211" s="1" t="str">
        <f ca="1">IFERROR(__xludf.DUMMYFUNCTION("""COMPUTED_VALUE"""),"Fairfield")</f>
        <v>Fairfield</v>
      </c>
      <c r="M211" s="1" t="str">
        <f ca="1">IFERROR(__xludf.DUMMYFUNCTION("""COMPUTED_VALUE"""),"CA")</f>
        <v>CA</v>
      </c>
      <c r="N211" s="1" t="str">
        <f ca="1">IFERROR(__xludf.DUMMYFUNCTION("""COMPUTED_VALUE"""),"High")</f>
        <v>High</v>
      </c>
      <c r="O211" s="1" t="str">
        <f ca="1">IFERROR(__xludf.DUMMYFUNCTION("""COMPUTED_VALUE"""),"Parking Lot")</f>
        <v>Parking Lot</v>
      </c>
      <c r="P211" s="1" t="str">
        <f ca="1">IFERROR(__xludf.DUMMYFUNCTION("""COMPUTED_VALUE"""),"Outside on School Property")</f>
        <v>Outside on School Property</v>
      </c>
      <c r="Q211" s="1" t="str">
        <f ca="1">IFERROR(__xludf.DUMMYFUNCTION("""COMPUTED_VALUE"""),"No")</f>
        <v>No</v>
      </c>
      <c r="R211" s="1" t="str">
        <f ca="1">IFERROR(__xludf.DUMMYFUNCTION("""COMPUTED_VALUE"""),"Sport Event")</f>
        <v>Sport Event</v>
      </c>
      <c r="S211" s="1"/>
      <c r="T211" s="1">
        <f ca="1">IFERROR(__xludf.DUMMYFUNCTION("""COMPUTED_VALUE"""),1)</f>
        <v>1</v>
      </c>
      <c r="U211" s="1" t="str">
        <f ca="1">IFERROR(__xludf.DUMMYFUNCTION("""COMPUTED_VALUE"""),"10 shots fired during roadrage dispute outside of football field during game")</f>
        <v>10 shots fired during roadrage dispute outside of football field during game</v>
      </c>
      <c r="V211" s="1" t="str">
        <f ca="1">IFERROR(__xludf.DUMMYFUNCTION("""COMPUTED_VALUE"""),"On Saturday, August 26, two vehicles were involved in a road rage incident near East Atlantic Avenue, when the occupants of one vehicle fired a gun into the air. The incident occurred on a roadway near Fairfield Highschool’s football stadium, where a Pop "&amp;"Warner game was going on. Fairfield police responded and confirmed that no one was injured. The decision was made to end the game early out of an abundance of caution. Although those involved in the road rage incident fled before officer’s arrived, member"&amp;"s of Patrol were able to obtain vehicle information. ")</f>
        <v xml:space="preserve">On Saturday, August 26, two vehicles were involved in a road rage incident near East Atlantic Avenue, when the occupants of one vehicle fired a gun into the air. The incident occurred on a roadway near Fairfield Highschool’s football stadium, where a Pop Warner game was going on. Fairfield police responded and confirmed that no one was injured. The decision was made to end the game early out of an abundance of caution. Although those involved in the road rage incident fled before officer’s arrived, members of Patrol were able to obtain vehicle information. </v>
      </c>
      <c r="W211" s="1" t="str">
        <f ca="1">IFERROR(__xludf.DUMMYFUNCTION("""COMPUTED_VALUE"""),"Escalation of Dispute")</f>
        <v>Escalation of Dispute</v>
      </c>
      <c r="X211" s="1" t="str">
        <f ca="1">IFERROR(__xludf.DUMMYFUNCTION("""COMPUTED_VALUE"""),"Neither")</f>
        <v>Neither</v>
      </c>
      <c r="Y211" s="1" t="str">
        <f ca="1">IFERROR(__xludf.DUMMYFUNCTION("""COMPUTED_VALUE"""),"No")</f>
        <v>No</v>
      </c>
      <c r="Z211" s="1"/>
      <c r="AA211" s="1" t="str">
        <f ca="1">IFERROR(__xludf.DUMMYFUNCTION("""COMPUTED_VALUE"""),"No")</f>
        <v>No</v>
      </c>
      <c r="AB211" s="1" t="str">
        <f ca="1">IFERROR(__xludf.DUMMYFUNCTION("""COMPUTED_VALUE"""),"No")</f>
        <v>No</v>
      </c>
      <c r="AC211" s="1" t="str">
        <f ca="1">IFERROR(__xludf.DUMMYFUNCTION("""COMPUTED_VALUE"""),"No")</f>
        <v>No</v>
      </c>
      <c r="AD211" s="1" t="str">
        <f ca="1">IFERROR(__xludf.DUMMYFUNCTION("""COMPUTED_VALUE"""),"No")</f>
        <v>No</v>
      </c>
      <c r="AE211" s="1" t="str">
        <f ca="1">IFERROR(__xludf.DUMMYFUNCTION("""COMPUTED_VALUE"""),"No")</f>
        <v>No</v>
      </c>
      <c r="AF211" s="1" t="str">
        <f ca="1">IFERROR(__xludf.DUMMYFUNCTION("""COMPUTED_VALUE"""),"No")</f>
        <v>No</v>
      </c>
      <c r="AG211" s="1" t="str">
        <f ca="1">IFERROR(__xludf.DUMMYFUNCTION("""COMPUTED_VALUE"""),"No")</f>
        <v>No</v>
      </c>
      <c r="AH211" s="1">
        <f ca="1">IFERROR(__xludf.DUMMYFUNCTION("""COMPUTED_VALUE"""),10)</f>
        <v>10</v>
      </c>
    </row>
    <row r="212" spans="1:34" ht="12.5">
      <c r="A212" s="1" t="str">
        <f ca="1">IFERROR(__xludf.DUMMYFUNCTION("""COMPUTED_VALUE"""),"20230825MSOBG")</f>
        <v>20230825MSOBG</v>
      </c>
      <c r="B212" s="1">
        <f ca="1">IFERROR(__xludf.DUMMYFUNCTION("""COMPUTED_VALUE"""),8)</f>
        <v>8</v>
      </c>
      <c r="C212" s="1">
        <f ca="1">IFERROR(__xludf.DUMMYFUNCTION("""COMPUTED_VALUE"""),25)</f>
        <v>25</v>
      </c>
      <c r="D212" s="1">
        <f ca="1">IFERROR(__xludf.DUMMYFUNCTION("""COMPUTED_VALUE"""),2023)</f>
        <v>2023</v>
      </c>
      <c r="E212" s="4">
        <f ca="1">IFERROR(__xludf.DUMMYFUNCTION("""COMPUTED_VALUE"""),45163)</f>
        <v>45163</v>
      </c>
      <c r="F212" s="1" t="str">
        <f ca="1">IFERROR(__xludf.DUMMYFUNCTION("""COMPUTED_VALUE"""),"O’Bannon High School")</f>
        <v>O’Bannon High School</v>
      </c>
      <c r="G212" s="1">
        <f ca="1">IFERROR(__xludf.DUMMYFUNCTION("""COMPUTED_VALUE"""),0)</f>
        <v>0</v>
      </c>
      <c r="H212" s="1">
        <f ca="1">IFERROR(__xludf.DUMMYFUNCTION("""COMPUTED_VALUE"""),0)</f>
        <v>0</v>
      </c>
      <c r="I212" s="1">
        <f ca="1">IFERROR(__xludf.DUMMYFUNCTION("""COMPUTED_VALUE"""),0)</f>
        <v>0</v>
      </c>
      <c r="J212" s="1">
        <f ca="1">IFERROR(__xludf.DUMMYFUNCTION("""COMPUTED_VALUE"""),0)</f>
        <v>0</v>
      </c>
      <c r="K212" s="1" t="str">
        <f ca="1">IFERROR(__xludf.DUMMYFUNCTION("""COMPUTED_VALUE"""),"Summer")</f>
        <v>Summer</v>
      </c>
      <c r="L212" s="1" t="str">
        <f ca="1">IFERROR(__xludf.DUMMYFUNCTION("""COMPUTED_VALUE"""),"Greenville")</f>
        <v>Greenville</v>
      </c>
      <c r="M212" s="1" t="str">
        <f ca="1">IFERROR(__xludf.DUMMYFUNCTION("""COMPUTED_VALUE"""),"MS")</f>
        <v>MS</v>
      </c>
      <c r="N212" s="1" t="str">
        <f ca="1">IFERROR(__xludf.DUMMYFUNCTION("""COMPUTED_VALUE"""),"High")</f>
        <v>High</v>
      </c>
      <c r="O212" s="1" t="str">
        <f ca="1">IFERROR(__xludf.DUMMYFUNCTION("""COMPUTED_VALUE"""),"Parking Lot")</f>
        <v>Parking Lot</v>
      </c>
      <c r="P212" s="1" t="str">
        <f ca="1">IFERROR(__xludf.DUMMYFUNCTION("""COMPUTED_VALUE"""),"Outside on School Property")</f>
        <v>Outside on School Property</v>
      </c>
      <c r="Q212" s="1" t="str">
        <f ca="1">IFERROR(__xludf.DUMMYFUNCTION("""COMPUTED_VALUE"""),"No")</f>
        <v>No</v>
      </c>
      <c r="R212" s="1" t="str">
        <f ca="1">IFERROR(__xludf.DUMMYFUNCTION("""COMPUTED_VALUE"""),"Sport Event")</f>
        <v>Sport Event</v>
      </c>
      <c r="S212" s="1"/>
      <c r="T212" s="1">
        <f ca="1">IFERROR(__xludf.DUMMYFUNCTION("""COMPUTED_VALUE"""),1)</f>
        <v>1</v>
      </c>
      <c r="U212" s="1" t="str">
        <f ca="1">IFERROR(__xludf.DUMMYFUNCTION("""COMPUTED_VALUE"""),"20-30 shots fired in parking lot next to stadium, crowd evacuated, and game cancelled")</f>
        <v>20-30 shots fired in parking lot next to stadium, crowd evacuated, and game cancelled</v>
      </c>
      <c r="V212" s="1" t="str">
        <f ca="1">IFERROR(__xludf.DUMMYFUNCTION("""COMPUTED_VALUE"""),"The high school football game between O’Bannon High School and Leland High School ended prematurely in the third quarter Friday night at O’Bannon High School after shots were heard coming from outside of the stadium. Leland head coach Johnny Bley describe"&amp;"d the incident as pure chaos. While fans in the stadium scattered to find cover, Bley and his players and coaches lied down on the field and waited for the shooting to end. Bley said another scary incident happened for his team on the bus back to Leland w"&amp;"hen he heard from law enforcement officers that a group of four young men were waiting for his team with guns outside of Leland High School. “When they saw the officers, these guys shot their guns in the air and got back in the car and drove away.”")</f>
        <v>The high school football game between O’Bannon High School and Leland High School ended prematurely in the third quarter Friday night at O’Bannon High School after shots were heard coming from outside of the stadium. Leland head coach Johnny Bley described the incident as pure chaos. While fans in the stadium scattered to find cover, Bley and his players and coaches lied down on the field and waited for the shooting to end. Bley said another scary incident happened for his team on the bus back to Leland when he heard from law enforcement officers that a group of four young men were waiting for his team with guns outside of Leland High School. “When they saw the officers, these guys shot their guns in the air and got back in the car and drove away.”</v>
      </c>
      <c r="W212" s="1"/>
      <c r="X212" s="1" t="str">
        <f ca="1">IFERROR(__xludf.DUMMYFUNCTION("""COMPUTED_VALUE"""),"Random Shooting")</f>
        <v>Random Shooting</v>
      </c>
      <c r="Y212" s="1" t="str">
        <f ca="1">IFERROR(__xludf.DUMMYFUNCTION("""COMPUTED_VALUE"""),"Yes")</f>
        <v>Yes</v>
      </c>
      <c r="Z212" s="1" t="str">
        <f ca="1">IFERROR(__xludf.DUMMYFUNCTION("""COMPUTED_VALUE"""),"4 men")</f>
        <v>4 men</v>
      </c>
      <c r="AA212" s="1" t="str">
        <f ca="1">IFERROR(__xludf.DUMMYFUNCTION("""COMPUTED_VALUE"""),"No")</f>
        <v>No</v>
      </c>
      <c r="AB212" s="1" t="str">
        <f ca="1">IFERROR(__xludf.DUMMYFUNCTION("""COMPUTED_VALUE"""),"No")</f>
        <v>No</v>
      </c>
      <c r="AC212" s="1" t="str">
        <f ca="1">IFERROR(__xludf.DUMMYFUNCTION("""COMPUTED_VALUE"""),"No")</f>
        <v>No</v>
      </c>
      <c r="AD212" s="1" t="str">
        <f ca="1">IFERROR(__xludf.DUMMYFUNCTION("""COMPUTED_VALUE"""),"No")</f>
        <v>No</v>
      </c>
      <c r="AE212" s="1" t="str">
        <f ca="1">IFERROR(__xludf.DUMMYFUNCTION("""COMPUTED_VALUE"""),"No")</f>
        <v>No</v>
      </c>
      <c r="AF212" s="1"/>
      <c r="AG212" s="1" t="str">
        <f ca="1">IFERROR(__xludf.DUMMYFUNCTION("""COMPUTED_VALUE"""),"No")</f>
        <v>No</v>
      </c>
      <c r="AH212" s="1">
        <f ca="1">IFERROR(__xludf.DUMMYFUNCTION("""COMPUTED_VALUE"""),30)</f>
        <v>30</v>
      </c>
    </row>
    <row r="213" spans="1:34" ht="12.5">
      <c r="A213" s="1" t="str">
        <f ca="1">IFERROR(__xludf.DUMMYFUNCTION("""COMPUTED_VALUE"""),"20230825CADRL")</f>
        <v>20230825CADRL</v>
      </c>
      <c r="B213" s="1">
        <f ca="1">IFERROR(__xludf.DUMMYFUNCTION("""COMPUTED_VALUE"""),8)</f>
        <v>8</v>
      </c>
      <c r="C213" s="1">
        <f ca="1">IFERROR(__xludf.DUMMYFUNCTION("""COMPUTED_VALUE"""),25)</f>
        <v>25</v>
      </c>
      <c r="D213" s="1">
        <f ca="1">IFERROR(__xludf.DUMMYFUNCTION("""COMPUTED_VALUE"""),2023)</f>
        <v>2023</v>
      </c>
      <c r="E213" s="4">
        <f ca="1">IFERROR(__xludf.DUMMYFUNCTION("""COMPUTED_VALUE"""),45163)</f>
        <v>45163</v>
      </c>
      <c r="F213" s="1" t="str">
        <f ca="1">IFERROR(__xludf.DUMMYFUNCTION("""COMPUTED_VALUE"""),"Dr. Maya Angelous Community High School")</f>
        <v>Dr. Maya Angelous Community High School</v>
      </c>
      <c r="G213" s="1">
        <f ca="1">IFERROR(__xludf.DUMMYFUNCTION("""COMPUTED_VALUE"""),0)</f>
        <v>0</v>
      </c>
      <c r="H213" s="1">
        <f ca="1">IFERROR(__xludf.DUMMYFUNCTION("""COMPUTED_VALUE"""),1)</f>
        <v>1</v>
      </c>
      <c r="I213" s="1">
        <f ca="1">IFERROR(__xludf.DUMMYFUNCTION("""COMPUTED_VALUE"""),1)</f>
        <v>1</v>
      </c>
      <c r="J213" s="1">
        <f ca="1">IFERROR(__xludf.DUMMYFUNCTION("""COMPUTED_VALUE"""),0)</f>
        <v>0</v>
      </c>
      <c r="K213" s="1" t="str">
        <f ca="1">IFERROR(__xludf.DUMMYFUNCTION("""COMPUTED_VALUE"""),"Summer")</f>
        <v>Summer</v>
      </c>
      <c r="L213" s="1" t="str">
        <f ca="1">IFERROR(__xludf.DUMMYFUNCTION("""COMPUTED_VALUE"""),"Los Angles")</f>
        <v>Los Angles</v>
      </c>
      <c r="M213" s="1" t="str">
        <f ca="1">IFERROR(__xludf.DUMMYFUNCTION("""COMPUTED_VALUE"""),"CA")</f>
        <v>CA</v>
      </c>
      <c r="N213" s="1" t="str">
        <f ca="1">IFERROR(__xludf.DUMMYFUNCTION("""COMPUTED_VALUE"""),"High")</f>
        <v>High</v>
      </c>
      <c r="O213" s="1" t="str">
        <f ca="1">IFERROR(__xludf.DUMMYFUNCTION("""COMPUTED_VALUE"""),"Football Field/Track")</f>
        <v>Football Field/Track</v>
      </c>
      <c r="P213" s="1" t="str">
        <f ca="1">IFERROR(__xludf.DUMMYFUNCTION("""COMPUTED_VALUE"""),"Outside on School Property")</f>
        <v>Outside on School Property</v>
      </c>
      <c r="Q213" s="1" t="str">
        <f ca="1">IFERROR(__xludf.DUMMYFUNCTION("""COMPUTED_VALUE"""),"No")</f>
        <v>No</v>
      </c>
      <c r="R213" s="1" t="str">
        <f ca="1">IFERROR(__xludf.DUMMYFUNCTION("""COMPUTED_VALUE"""),"Sport Event")</f>
        <v>Sport Event</v>
      </c>
      <c r="S213" s="5">
        <f ca="1">IFERROR(__xludf.DUMMYFUNCTION("""COMPUTED_VALUE"""),0.888888888888888)</f>
        <v>0.88888888888888795</v>
      </c>
      <c r="T213" s="1">
        <f ca="1">IFERROR(__xludf.DUMMYFUNCTION("""COMPUTED_VALUE"""),1)</f>
        <v>1</v>
      </c>
      <c r="U213" s="1" t="str">
        <f ca="1">IFERROR(__xludf.DUMMYFUNCTION("""COMPUTED_VALUE"""),"School employee shot while standing on the field during game")</f>
        <v>School employee shot while standing on the field during game</v>
      </c>
      <c r="V213" s="1" t="str">
        <f ca="1">IFERROR(__xludf.DUMMYFUNCTION("""COMPUTED_VALUE"""),"The shooting happened while Maya Angelou Community High School was hosting a game on its campus against Watts Jesuit school Verbum Dei. Around 9:20 p.m., gunshots were fired in the area of 52nd Street and Avalon Boulevard, northeast of the football field."&amp;" Police officers who were at the game discovered a woman with a gunshot wound on the field, according to school district officials. The officers and medical personnel who were on site provided the victim with medical care until she was taken to a hospital"&amp;", where she was reported to be in stable condition. In a letter to parents and staff, the high school’s Principal Jose Meza Sanchez said the victim was struck by an errant bullet and investigators do not believe she was targeted.")</f>
        <v>The shooting happened while Maya Angelou Community High School was hosting a game on its campus against Watts Jesuit school Verbum Dei. Around 9:20 p.m., gunshots were fired in the area of 52nd Street and Avalon Boulevard, northeast of the football field. Police officers who were at the game discovered a woman with a gunshot wound on the field, according to school district officials. The officers and medical personnel who were on site provided the victim with medical care until she was taken to a hospital, where she was reported to be in stable condition. In a letter to parents and staff, the high school’s Principal Jose Meza Sanchez said the victim was struck by an errant bullet and investigators do not believe she was targeted.</v>
      </c>
      <c r="W213" s="1"/>
      <c r="X213" s="1" t="str">
        <f ca="1">IFERROR(__xludf.DUMMYFUNCTION("""COMPUTED_VALUE"""),"Random Shooting")</f>
        <v>Random Shooting</v>
      </c>
      <c r="Y213" s="1" t="str">
        <f ca="1">IFERROR(__xludf.DUMMYFUNCTION("""COMPUTED_VALUE"""),"No")</f>
        <v>No</v>
      </c>
      <c r="Z213" s="1"/>
      <c r="AA213" s="1" t="str">
        <f ca="1">IFERROR(__xludf.DUMMYFUNCTION("""COMPUTED_VALUE"""),"No")</f>
        <v>No</v>
      </c>
      <c r="AB213" s="1" t="str">
        <f ca="1">IFERROR(__xludf.DUMMYFUNCTION("""COMPUTED_VALUE"""),"No")</f>
        <v>No</v>
      </c>
      <c r="AC213" s="1" t="str">
        <f ca="1">IFERROR(__xludf.DUMMYFUNCTION("""COMPUTED_VALUE"""),"No")</f>
        <v>No</v>
      </c>
      <c r="AD213" s="1" t="str">
        <f ca="1">IFERROR(__xludf.DUMMYFUNCTION("""COMPUTED_VALUE"""),"No")</f>
        <v>No</v>
      </c>
      <c r="AE213" s="1" t="str">
        <f ca="1">IFERROR(__xludf.DUMMYFUNCTION("""COMPUTED_VALUE"""),"No")</f>
        <v>No</v>
      </c>
      <c r="AF213" s="1"/>
      <c r="AG213" s="1" t="str">
        <f ca="1">IFERROR(__xludf.DUMMYFUNCTION("""COMPUTED_VALUE"""),"No")</f>
        <v>No</v>
      </c>
      <c r="AH213" s="1">
        <f ca="1">IFERROR(__xludf.DUMMYFUNCTION("""COMPUTED_VALUE"""),99)</f>
        <v>99</v>
      </c>
    </row>
    <row r="214" spans="1:34" ht="12.5">
      <c r="A214" s="1" t="str">
        <f ca="1">IFERROR(__xludf.DUMMYFUNCTION("""COMPUTED_VALUE"""),"20230825OKBOT")</f>
        <v>20230825OKBOT</v>
      </c>
      <c r="B214" s="1">
        <f ca="1">IFERROR(__xludf.DUMMYFUNCTION("""COMPUTED_VALUE"""),8)</f>
        <v>8</v>
      </c>
      <c r="C214" s="1">
        <f ca="1">IFERROR(__xludf.DUMMYFUNCTION("""COMPUTED_VALUE"""),25)</f>
        <v>25</v>
      </c>
      <c r="D214" s="1">
        <f ca="1">IFERROR(__xludf.DUMMYFUNCTION("""COMPUTED_VALUE"""),2023)</f>
        <v>2023</v>
      </c>
      <c r="E214" s="4">
        <f ca="1">IFERROR(__xludf.DUMMYFUNCTION("""COMPUTED_VALUE"""),45163)</f>
        <v>45163</v>
      </c>
      <c r="F214" s="1" t="str">
        <f ca="1">IFERROR(__xludf.DUMMYFUNCTION("""COMPUTED_VALUE"""),"Booker T. Washington High")</f>
        <v>Booker T. Washington High</v>
      </c>
      <c r="G214" s="1">
        <f ca="1">IFERROR(__xludf.DUMMYFUNCTION("""COMPUTED_VALUE"""),0)</f>
        <v>0</v>
      </c>
      <c r="H214" s="1">
        <f ca="1">IFERROR(__xludf.DUMMYFUNCTION("""COMPUTED_VALUE"""),0)</f>
        <v>0</v>
      </c>
      <c r="I214" s="1">
        <f ca="1">IFERROR(__xludf.DUMMYFUNCTION("""COMPUTED_VALUE"""),0)</f>
        <v>0</v>
      </c>
      <c r="J214" s="1">
        <f ca="1">IFERROR(__xludf.DUMMYFUNCTION("""COMPUTED_VALUE"""),0)</f>
        <v>0</v>
      </c>
      <c r="K214" s="1" t="str">
        <f ca="1">IFERROR(__xludf.DUMMYFUNCTION("""COMPUTED_VALUE"""),"Summer")</f>
        <v>Summer</v>
      </c>
      <c r="L214" s="1" t="str">
        <f ca="1">IFERROR(__xludf.DUMMYFUNCTION("""COMPUTED_VALUE"""),"Tulsa")</f>
        <v>Tulsa</v>
      </c>
      <c r="M214" s="1" t="str">
        <f ca="1">IFERROR(__xludf.DUMMYFUNCTION("""COMPUTED_VALUE"""),"OK")</f>
        <v>OK</v>
      </c>
      <c r="N214" s="1" t="str">
        <f ca="1">IFERROR(__xludf.DUMMYFUNCTION("""COMPUTED_VALUE"""),"High")</f>
        <v>High</v>
      </c>
      <c r="O214" s="1" t="str">
        <f ca="1">IFERROR(__xludf.DUMMYFUNCTION("""COMPUTED_VALUE"""),"Football Field/Track")</f>
        <v>Football Field/Track</v>
      </c>
      <c r="P214" s="1" t="str">
        <f ca="1">IFERROR(__xludf.DUMMYFUNCTION("""COMPUTED_VALUE"""),"Outside on School Property")</f>
        <v>Outside on School Property</v>
      </c>
      <c r="Q214" s="1" t="str">
        <f ca="1">IFERROR(__xludf.DUMMYFUNCTION("""COMPUTED_VALUE"""),"No")</f>
        <v>No</v>
      </c>
      <c r="R214" s="1" t="str">
        <f ca="1">IFERROR(__xludf.DUMMYFUNCTION("""COMPUTED_VALUE"""),"Sport Event")</f>
        <v>Sport Event</v>
      </c>
      <c r="S214" s="5">
        <f ca="1">IFERROR(__xludf.DUMMYFUNCTION("""COMPUTED_VALUE"""),0.916666666666666)</f>
        <v>0.91666666666666596</v>
      </c>
      <c r="T214" s="1">
        <f ca="1">IFERROR(__xludf.DUMMYFUNCTION("""COMPUTED_VALUE"""),1)</f>
        <v>1</v>
      </c>
      <c r="U214" s="1" t="str">
        <f ca="1">IFERROR(__xludf.DUMMYFUNCTION("""COMPUTED_VALUE"""),"Teen flashed gun during fight in the stands setting off crowd stampede")</f>
        <v>Teen flashed gun during fight in the stands setting off crowd stampede</v>
      </c>
      <c r="V214" s="1" t="str">
        <f ca="1">IFERROR(__xludf.DUMMYFUNCTION("""COMPUTED_VALUE"""),"The Tulsa Police Department (TPD) stated that a juvenile female was talking to a friend when a 16-year-old Hispanic male approached them and pushed the girl. Then, he lifted his shirt and revealed a gun tucked into his pants. The girl reportedly screamed "&amp;"and panicked which created a ripple effect. Fans and football players scattered, creating a stampede. Tulsa Public School (TPS) Campus Police ran after the teen suspect but were unable to catch him. The suspect jumped the fence. TPS Campus Police recovere"&amp;"d the suspect's pistol that he had dropped as he ran from the high school. The suspect is currently not in custody. ")</f>
        <v xml:space="preserve">The Tulsa Police Department (TPD) stated that a juvenile female was talking to a friend when a 16-year-old Hispanic male approached them and pushed the girl. Then, he lifted his shirt and revealed a gun tucked into his pants. The girl reportedly screamed and panicked which created a ripple effect. Fans and football players scattered, creating a stampede. Tulsa Public School (TPS) Campus Police ran after the teen suspect but were unable to catch him. The suspect jumped the fence. TPS Campus Police recovered the suspect's pistol that he had dropped as he ran from the high school. The suspect is currently not in custody. </v>
      </c>
      <c r="W214" s="1" t="str">
        <f ca="1">IFERROR(__xludf.DUMMYFUNCTION("""COMPUTED_VALUE"""),"Escalation of Dispute")</f>
        <v>Escalation of Dispute</v>
      </c>
      <c r="X214" s="1" t="str">
        <f ca="1">IFERROR(__xludf.DUMMYFUNCTION("""COMPUTED_VALUE"""),"Neither")</f>
        <v>Neither</v>
      </c>
      <c r="Y214" s="1" t="str">
        <f ca="1">IFERROR(__xludf.DUMMYFUNCTION("""COMPUTED_VALUE"""),"No")</f>
        <v>No</v>
      </c>
      <c r="Z214" s="1"/>
      <c r="AA214" s="1" t="str">
        <f ca="1">IFERROR(__xludf.DUMMYFUNCTION("""COMPUTED_VALUE"""),"No")</f>
        <v>No</v>
      </c>
      <c r="AB214" s="1" t="str">
        <f ca="1">IFERROR(__xludf.DUMMYFUNCTION("""COMPUTED_VALUE"""),"No")</f>
        <v>No</v>
      </c>
      <c r="AC214" s="1" t="str">
        <f ca="1">IFERROR(__xludf.DUMMYFUNCTION("""COMPUTED_VALUE"""),"No")</f>
        <v>No</v>
      </c>
      <c r="AD214" s="1" t="str">
        <f ca="1">IFERROR(__xludf.DUMMYFUNCTION("""COMPUTED_VALUE"""),"No")</f>
        <v>No</v>
      </c>
      <c r="AE214" s="1" t="str">
        <f ca="1">IFERROR(__xludf.DUMMYFUNCTION("""COMPUTED_VALUE"""),"No")</f>
        <v>No</v>
      </c>
      <c r="AF214" s="1" t="str">
        <f ca="1">IFERROR(__xludf.DUMMYFUNCTION("""COMPUTED_VALUE"""),"No")</f>
        <v>No</v>
      </c>
      <c r="AG214" s="1" t="str">
        <f ca="1">IFERROR(__xludf.DUMMYFUNCTION("""COMPUTED_VALUE"""),"No")</f>
        <v>No</v>
      </c>
      <c r="AH214" s="1">
        <f ca="1">IFERROR(__xludf.DUMMYFUNCTION("""COMPUTED_VALUE"""),0)</f>
        <v>0</v>
      </c>
    </row>
    <row r="215" spans="1:34" ht="12.5">
      <c r="A215" s="1" t="str">
        <f ca="1">IFERROR(__xludf.DUMMYFUNCTION("""COMPUTED_VALUE"""),"20230825SCGEG")</f>
        <v>20230825SCGEG</v>
      </c>
      <c r="B215" s="1">
        <f ca="1">IFERROR(__xludf.DUMMYFUNCTION("""COMPUTED_VALUE"""),8)</f>
        <v>8</v>
      </c>
      <c r="C215" s="1">
        <f ca="1">IFERROR(__xludf.DUMMYFUNCTION("""COMPUTED_VALUE"""),25)</f>
        <v>25</v>
      </c>
      <c r="D215" s="1">
        <f ca="1">IFERROR(__xludf.DUMMYFUNCTION("""COMPUTED_VALUE"""),2023)</f>
        <v>2023</v>
      </c>
      <c r="E215" s="4">
        <f ca="1">IFERROR(__xludf.DUMMYFUNCTION("""COMPUTED_VALUE"""),45163)</f>
        <v>45163</v>
      </c>
      <c r="F215" s="1" t="str">
        <f ca="1">IFERROR(__xludf.DUMMYFUNCTION("""COMPUTED_VALUE"""),"Georgetown High School")</f>
        <v>Georgetown High School</v>
      </c>
      <c r="G215" s="1">
        <f ca="1">IFERROR(__xludf.DUMMYFUNCTION("""COMPUTED_VALUE"""),0)</f>
        <v>0</v>
      </c>
      <c r="H215" s="1">
        <f ca="1">IFERROR(__xludf.DUMMYFUNCTION("""COMPUTED_VALUE"""),0)</f>
        <v>0</v>
      </c>
      <c r="I215" s="1">
        <f ca="1">IFERROR(__xludf.DUMMYFUNCTION("""COMPUTED_VALUE"""),0)</f>
        <v>0</v>
      </c>
      <c r="J215" s="1">
        <f ca="1">IFERROR(__xludf.DUMMYFUNCTION("""COMPUTED_VALUE"""),0)</f>
        <v>0</v>
      </c>
      <c r="K215" s="1" t="str">
        <f ca="1">IFERROR(__xludf.DUMMYFUNCTION("""COMPUTED_VALUE"""),"Summer")</f>
        <v>Summer</v>
      </c>
      <c r="L215" s="1" t="str">
        <f ca="1">IFERROR(__xludf.DUMMYFUNCTION("""COMPUTED_VALUE"""),"Georgetown")</f>
        <v>Georgetown</v>
      </c>
      <c r="M215" s="1" t="str">
        <f ca="1">IFERROR(__xludf.DUMMYFUNCTION("""COMPUTED_VALUE"""),"SC")</f>
        <v>SC</v>
      </c>
      <c r="N215" s="1" t="str">
        <f ca="1">IFERROR(__xludf.DUMMYFUNCTION("""COMPUTED_VALUE"""),"High")</f>
        <v>High</v>
      </c>
      <c r="O215" s="1" t="str">
        <f ca="1">IFERROR(__xludf.DUMMYFUNCTION("""COMPUTED_VALUE"""),"Football Field/Track")</f>
        <v>Football Field/Track</v>
      </c>
      <c r="P215" s="1" t="str">
        <f ca="1">IFERROR(__xludf.DUMMYFUNCTION("""COMPUTED_VALUE"""),"Outside on School Property")</f>
        <v>Outside on School Property</v>
      </c>
      <c r="Q215" s="1" t="str">
        <f ca="1">IFERROR(__xludf.DUMMYFUNCTION("""COMPUTED_VALUE"""),"No")</f>
        <v>No</v>
      </c>
      <c r="R215" s="1" t="str">
        <f ca="1">IFERROR(__xludf.DUMMYFUNCTION("""COMPUTED_VALUE"""),"Sport Event")</f>
        <v>Sport Event</v>
      </c>
      <c r="S215" s="5">
        <f ca="1">IFERROR(__xludf.DUMMYFUNCTION("""COMPUTED_VALUE"""),0.875)</f>
        <v>0.875</v>
      </c>
      <c r="T215" s="1">
        <f ca="1">IFERROR(__xludf.DUMMYFUNCTION("""COMPUTED_VALUE"""),1)</f>
        <v>1</v>
      </c>
      <c r="U215" s="1" t="str">
        <f ca="1">IFERROR(__xludf.DUMMYFUNCTION("""COMPUTED_VALUE"""),"Shots fired during fight at football game")</f>
        <v>Shots fired during fight at football game</v>
      </c>
      <c r="V215" s="1" t="str">
        <f ca="1">IFERROR(__xludf.DUMMYFUNCTION("""COMPUTED_VALUE"""),"Officers responded to a large fight with shots fired at the Georgetown High School varsity football game Friday night, according to police. The game was canceled and everyone was asked to clear the area while first responders secured the scene.")</f>
        <v>Officers responded to a large fight with shots fired at the Georgetown High School varsity football game Friday night, according to police. The game was canceled and everyone was asked to clear the area while first responders secured the scene.</v>
      </c>
      <c r="W215" s="1" t="str">
        <f ca="1">IFERROR(__xludf.DUMMYFUNCTION("""COMPUTED_VALUE"""),"Escalation of Dispute")</f>
        <v>Escalation of Dispute</v>
      </c>
      <c r="X215" s="1" t="str">
        <f ca="1">IFERROR(__xludf.DUMMYFUNCTION("""COMPUTED_VALUE"""),"Both")</f>
        <v>Both</v>
      </c>
      <c r="Y215" s="1" t="str">
        <f ca="1">IFERROR(__xludf.DUMMYFUNCTION("""COMPUTED_VALUE"""),"No")</f>
        <v>No</v>
      </c>
      <c r="Z215" s="1"/>
      <c r="AA215" s="1" t="str">
        <f ca="1">IFERROR(__xludf.DUMMYFUNCTION("""COMPUTED_VALUE"""),"No")</f>
        <v>No</v>
      </c>
      <c r="AB215" s="1" t="str">
        <f ca="1">IFERROR(__xludf.DUMMYFUNCTION("""COMPUTED_VALUE"""),"No")</f>
        <v>No</v>
      </c>
      <c r="AC215" s="1" t="str">
        <f ca="1">IFERROR(__xludf.DUMMYFUNCTION("""COMPUTED_VALUE"""),"No")</f>
        <v>No</v>
      </c>
      <c r="AD215" s="1" t="str">
        <f ca="1">IFERROR(__xludf.DUMMYFUNCTION("""COMPUTED_VALUE"""),"No")</f>
        <v>No</v>
      </c>
      <c r="AE215" s="1" t="str">
        <f ca="1">IFERROR(__xludf.DUMMYFUNCTION("""COMPUTED_VALUE"""),"No")</f>
        <v>No</v>
      </c>
      <c r="AF215" s="1"/>
      <c r="AG215" s="1" t="str">
        <f ca="1">IFERROR(__xludf.DUMMYFUNCTION("""COMPUTED_VALUE"""),"No")</f>
        <v>No</v>
      </c>
      <c r="AH215" s="1">
        <f ca="1">IFERROR(__xludf.DUMMYFUNCTION("""COMPUTED_VALUE"""),99)</f>
        <v>99</v>
      </c>
    </row>
    <row r="216" spans="1:34" ht="12.5">
      <c r="A216" s="1" t="str">
        <f ca="1">IFERROR(__xludf.DUMMYFUNCTION("""COMPUTED_VALUE"""),"20230825OKCHC")</f>
        <v>20230825OKCHC</v>
      </c>
      <c r="B216" s="1">
        <f ca="1">IFERROR(__xludf.DUMMYFUNCTION("""COMPUTED_VALUE"""),8)</f>
        <v>8</v>
      </c>
      <c r="C216" s="1">
        <f ca="1">IFERROR(__xludf.DUMMYFUNCTION("""COMPUTED_VALUE"""),25)</f>
        <v>25</v>
      </c>
      <c r="D216" s="1">
        <f ca="1">IFERROR(__xludf.DUMMYFUNCTION("""COMPUTED_VALUE"""),2023)</f>
        <v>2023</v>
      </c>
      <c r="E216" s="4">
        <f ca="1">IFERROR(__xludf.DUMMYFUNCTION("""COMPUTED_VALUE"""),45163)</f>
        <v>45163</v>
      </c>
      <c r="F216" s="1" t="str">
        <f ca="1">IFERROR(__xludf.DUMMYFUNCTION("""COMPUTED_VALUE"""),"Choctaw High School")</f>
        <v>Choctaw High School</v>
      </c>
      <c r="G216" s="1">
        <f ca="1">IFERROR(__xludf.DUMMYFUNCTION("""COMPUTED_VALUE"""),1)</f>
        <v>1</v>
      </c>
      <c r="H216" s="1">
        <f ca="1">IFERROR(__xludf.DUMMYFUNCTION("""COMPUTED_VALUE"""),3)</f>
        <v>3</v>
      </c>
      <c r="I216" s="1">
        <f ca="1">IFERROR(__xludf.DUMMYFUNCTION("""COMPUTED_VALUE"""),4)</f>
        <v>4</v>
      </c>
      <c r="J216" s="1">
        <f ca="1">IFERROR(__xludf.DUMMYFUNCTION("""COMPUTED_VALUE"""),0)</f>
        <v>0</v>
      </c>
      <c r="K216" s="1" t="str">
        <f ca="1">IFERROR(__xludf.DUMMYFUNCTION("""COMPUTED_VALUE"""),"Summer")</f>
        <v>Summer</v>
      </c>
      <c r="L216" s="1" t="str">
        <f ca="1">IFERROR(__xludf.DUMMYFUNCTION("""COMPUTED_VALUE"""),"Choctaw")</f>
        <v>Choctaw</v>
      </c>
      <c r="M216" s="1" t="str">
        <f ca="1">IFERROR(__xludf.DUMMYFUNCTION("""COMPUTED_VALUE"""),"OK")</f>
        <v>OK</v>
      </c>
      <c r="N216" s="1" t="str">
        <f ca="1">IFERROR(__xludf.DUMMYFUNCTION("""COMPUTED_VALUE"""),"High")</f>
        <v>High</v>
      </c>
      <c r="O216" s="1" t="str">
        <f ca="1">IFERROR(__xludf.DUMMYFUNCTION("""COMPUTED_VALUE"""),"Football Field/Track")</f>
        <v>Football Field/Track</v>
      </c>
      <c r="P216" s="1" t="str">
        <f ca="1">IFERROR(__xludf.DUMMYFUNCTION("""COMPUTED_VALUE"""),"Outside on School Property")</f>
        <v>Outside on School Property</v>
      </c>
      <c r="Q216" s="1" t="str">
        <f ca="1">IFERROR(__xludf.DUMMYFUNCTION("""COMPUTED_VALUE"""),"No")</f>
        <v>No</v>
      </c>
      <c r="R216" s="1" t="str">
        <f ca="1">IFERROR(__xludf.DUMMYFUNCTION("""COMPUTED_VALUE"""),"Sport Event")</f>
        <v>Sport Event</v>
      </c>
      <c r="S216" s="5">
        <f ca="1">IFERROR(__xludf.DUMMYFUNCTION("""COMPUTED_VALUE"""),0.927083333333333)</f>
        <v>0.92708333333333304</v>
      </c>
      <c r="T216" s="1">
        <f ca="1">IFERROR(__xludf.DUMMYFUNCTION("""COMPUTED_VALUE"""),1)</f>
        <v>1</v>
      </c>
      <c r="U216" s="1" t="str">
        <f ca="1">IFERROR(__xludf.DUMMYFUNCTION("""COMPUTED_VALUE"""),"4 people shot in stands during high school football game")</f>
        <v>4 people shot in stands during high school football game</v>
      </c>
      <c r="V216" s="1" t="str">
        <f ca="1">IFERROR(__xludf.DUMMYFUNCTION("""COMPUTED_VALUE"""),"4 people shot in stands during high school football game. 7 police officers were working the game and one fired his weapon. A fight occured in the same area before the shooting. Shooter was treated by EMS for a head injury after the shooting and then rele"&amp;"ase. The 43-year-old man was shot by a police officer while attempting to provide first aid to the fatally wounded student.")</f>
        <v>4 people shot in stands during high school football game. 7 police officers were working the game and one fired his weapon. A fight occured in the same area before the shooting. Shooter was treated by EMS for a head injury after the shooting and then release. The 43-year-old man was shot by a police officer while attempting to provide first aid to the fatally wounded student.</v>
      </c>
      <c r="W216" s="1" t="str">
        <f ca="1">IFERROR(__xludf.DUMMYFUNCTION("""COMPUTED_VALUE"""),"Escalation of Dispute")</f>
        <v>Escalation of Dispute</v>
      </c>
      <c r="X216" s="1" t="str">
        <f ca="1">IFERROR(__xludf.DUMMYFUNCTION("""COMPUTED_VALUE"""),"Both")</f>
        <v>Both</v>
      </c>
      <c r="Y216" s="1" t="str">
        <f ca="1">IFERROR(__xludf.DUMMYFUNCTION("""COMPUTED_VALUE"""),"No")</f>
        <v>No</v>
      </c>
      <c r="Z216" s="1"/>
      <c r="AA216" s="1" t="str">
        <f ca="1">IFERROR(__xludf.DUMMYFUNCTION("""COMPUTED_VALUE"""),"No")</f>
        <v>No</v>
      </c>
      <c r="AB216" s="1" t="str">
        <f ca="1">IFERROR(__xludf.DUMMYFUNCTION("""COMPUTED_VALUE"""),"No")</f>
        <v>No</v>
      </c>
      <c r="AC216" s="1" t="str">
        <f ca="1">IFERROR(__xludf.DUMMYFUNCTION("""COMPUTED_VALUE"""),"No")</f>
        <v>No</v>
      </c>
      <c r="AD216" s="1" t="str">
        <f ca="1">IFERROR(__xludf.DUMMYFUNCTION("""COMPUTED_VALUE"""),"No")</f>
        <v>No</v>
      </c>
      <c r="AE216" s="1" t="str">
        <f ca="1">IFERROR(__xludf.DUMMYFUNCTION("""COMPUTED_VALUE"""),"No")</f>
        <v>No</v>
      </c>
      <c r="AF216" s="1" t="str">
        <f ca="1">IFERROR(__xludf.DUMMYFUNCTION("""COMPUTED_VALUE"""),"No")</f>
        <v>No</v>
      </c>
      <c r="AG216" s="1" t="str">
        <f ca="1">IFERROR(__xludf.DUMMYFUNCTION("""COMPUTED_VALUE"""),"No")</f>
        <v>No</v>
      </c>
      <c r="AH216" s="1">
        <f ca="1">IFERROR(__xludf.DUMMYFUNCTION("""COMPUTED_VALUE"""),99)</f>
        <v>99</v>
      </c>
    </row>
    <row r="217" spans="1:34" ht="12.5">
      <c r="A217" s="1" t="str">
        <f ca="1">IFERROR(__xludf.DUMMYFUNCTION("""COMPUTED_VALUE"""),"20230824NMRAT")</f>
        <v>20230824NMRAT</v>
      </c>
      <c r="B217" s="1">
        <f ca="1">IFERROR(__xludf.DUMMYFUNCTION("""COMPUTED_VALUE"""),8)</f>
        <v>8</v>
      </c>
      <c r="C217" s="1">
        <f ca="1">IFERROR(__xludf.DUMMYFUNCTION("""COMPUTED_VALUE"""),24)</f>
        <v>24</v>
      </c>
      <c r="D217" s="1">
        <f ca="1">IFERROR(__xludf.DUMMYFUNCTION("""COMPUTED_VALUE"""),2023)</f>
        <v>2023</v>
      </c>
      <c r="E217" s="4">
        <f ca="1">IFERROR(__xludf.DUMMYFUNCTION("""COMPUTED_VALUE"""),45162)</f>
        <v>45162</v>
      </c>
      <c r="F217" s="1" t="str">
        <f ca="1">IFERROR(__xludf.DUMMYFUNCTION("""COMPUTED_VALUE"""),"Ranchos Elementary School")</f>
        <v>Ranchos Elementary School</v>
      </c>
      <c r="G217" s="1">
        <f ca="1">IFERROR(__xludf.DUMMYFUNCTION("""COMPUTED_VALUE"""),1)</f>
        <v>1</v>
      </c>
      <c r="H217" s="1">
        <f ca="1">IFERROR(__xludf.DUMMYFUNCTION("""COMPUTED_VALUE"""),0)</f>
        <v>0</v>
      </c>
      <c r="I217" s="1">
        <f ca="1">IFERROR(__xludf.DUMMYFUNCTION("""COMPUTED_VALUE"""),1)</f>
        <v>1</v>
      </c>
      <c r="J217" s="1">
        <f ca="1">IFERROR(__xludf.DUMMYFUNCTION("""COMPUTED_VALUE"""),0)</f>
        <v>0</v>
      </c>
      <c r="K217" s="1" t="str">
        <f ca="1">IFERROR(__xludf.DUMMYFUNCTION("""COMPUTED_VALUE"""),"Summer")</f>
        <v>Summer</v>
      </c>
      <c r="L217" s="1" t="str">
        <f ca="1">IFERROR(__xludf.DUMMYFUNCTION("""COMPUTED_VALUE"""),"Ranchos De Taos")</f>
        <v>Ranchos De Taos</v>
      </c>
      <c r="M217" s="1" t="str">
        <f ca="1">IFERROR(__xludf.DUMMYFUNCTION("""COMPUTED_VALUE"""),"NM")</f>
        <v>NM</v>
      </c>
      <c r="N217" s="1" t="str">
        <f ca="1">IFERROR(__xludf.DUMMYFUNCTION("""COMPUTED_VALUE"""),"Elementary")</f>
        <v>Elementary</v>
      </c>
      <c r="O217" s="1" t="str">
        <f ca="1">IFERROR(__xludf.DUMMYFUNCTION("""COMPUTED_VALUE"""),"Beside Building")</f>
        <v>Beside Building</v>
      </c>
      <c r="P217" s="1" t="str">
        <f ca="1">IFERROR(__xludf.DUMMYFUNCTION("""COMPUTED_VALUE"""),"Outside on School Property")</f>
        <v>Outside on School Property</v>
      </c>
      <c r="Q217" s="1" t="str">
        <f ca="1">IFERROR(__xludf.DUMMYFUNCTION("""COMPUTED_VALUE"""),"No")</f>
        <v>No</v>
      </c>
      <c r="R217" s="1" t="str">
        <f ca="1">IFERROR(__xludf.DUMMYFUNCTION("""COMPUTED_VALUE"""),"School Event")</f>
        <v>School Event</v>
      </c>
      <c r="S217" s="5">
        <f ca="1">IFERROR(__xludf.DUMMYFUNCTION("""COMPUTED_VALUE"""),0.708333333333333)</f>
        <v>0.70833333333333304</v>
      </c>
      <c r="T217" s="1">
        <f ca="1">IFERROR(__xludf.DUMMYFUNCTION("""COMPUTED_VALUE"""),1)</f>
        <v>1</v>
      </c>
      <c r="U217" s="1" t="str">
        <f ca="1">IFERROR(__xludf.DUMMYFUNCTION("""COMPUTED_VALUE"""),"Man killed behind school during back to school night")</f>
        <v>Man killed behind school during back to school night</v>
      </c>
      <c r="V217" s="1" t="str">
        <f ca="1">IFERROR(__xludf.DUMMYFUNCTION("""COMPUTED_VALUE"""),"One male was transported to Holy Cross Medical Center Thursday evening (Aug. 24) after suffering a gunshot wound in a shooting on Espinoza Road behind Ranchos Elementary School, according to Taos County Sheriff Steve Miera. Miera said the elementary schoo"&amp;"l was hosting a parent-teacher night when the shooting occurred around 5 p.m. Taos Municipal Schools Superintendent Valerie Trujillo notified the public in an email that the school immediately cancelled the event and went on a temporary lockdown Thursday "&amp;"evening in response to the shooting. ")</f>
        <v xml:space="preserve">One male was transported to Holy Cross Medical Center Thursday evening (Aug. 24) after suffering a gunshot wound in a shooting on Espinoza Road behind Ranchos Elementary School, according to Taos County Sheriff Steve Miera. Miera said the elementary school was hosting a parent-teacher night when the shooting occurred around 5 p.m. Taos Municipal Schools Superintendent Valerie Trujillo notified the public in an email that the school immediately cancelled the event and went on a temporary lockdown Thursday evening in response to the shooting. </v>
      </c>
      <c r="W217" s="1"/>
      <c r="X217" s="1" t="str">
        <f ca="1">IFERROR(__xludf.DUMMYFUNCTION("""COMPUTED_VALUE"""),"Victims Targeted")</f>
        <v>Victims Targeted</v>
      </c>
      <c r="Y217" s="1"/>
      <c r="Z217" s="1"/>
      <c r="AA217" s="1" t="str">
        <f ca="1">IFERROR(__xludf.DUMMYFUNCTION("""COMPUTED_VALUE"""),"No")</f>
        <v>No</v>
      </c>
      <c r="AB217" s="1" t="str">
        <f ca="1">IFERROR(__xludf.DUMMYFUNCTION("""COMPUTED_VALUE"""),"No")</f>
        <v>No</v>
      </c>
      <c r="AC217" s="1" t="str">
        <f ca="1">IFERROR(__xludf.DUMMYFUNCTION("""COMPUTED_VALUE"""),"No")</f>
        <v>No</v>
      </c>
      <c r="AD217" s="1" t="str">
        <f ca="1">IFERROR(__xludf.DUMMYFUNCTION("""COMPUTED_VALUE"""),"No")</f>
        <v>No</v>
      </c>
      <c r="AE217" s="1"/>
      <c r="AF217" s="1"/>
      <c r="AG217" s="1" t="str">
        <f ca="1">IFERROR(__xludf.DUMMYFUNCTION("""COMPUTED_VALUE"""),"No")</f>
        <v>No</v>
      </c>
      <c r="AH217" s="1">
        <f ca="1">IFERROR(__xludf.DUMMYFUNCTION("""COMPUTED_VALUE"""),99)</f>
        <v>99</v>
      </c>
    </row>
    <row r="218" spans="1:34" ht="12.5">
      <c r="A218" s="1" t="str">
        <f ca="1">IFERROR(__xludf.DUMMYFUNCTION("""COMPUTED_VALUE"""),"20230824VAWAP")</f>
        <v>20230824VAWAP</v>
      </c>
      <c r="B218" s="1">
        <f ca="1">IFERROR(__xludf.DUMMYFUNCTION("""COMPUTED_VALUE"""),8)</f>
        <v>8</v>
      </c>
      <c r="C218" s="1">
        <f ca="1">IFERROR(__xludf.DUMMYFUNCTION("""COMPUTED_VALUE"""),24)</f>
        <v>24</v>
      </c>
      <c r="D218" s="1">
        <f ca="1">IFERROR(__xludf.DUMMYFUNCTION("""COMPUTED_VALUE"""),2023)</f>
        <v>2023</v>
      </c>
      <c r="E218" s="4">
        <f ca="1">IFERROR(__xludf.DUMMYFUNCTION("""COMPUTED_VALUE"""),45162)</f>
        <v>45162</v>
      </c>
      <c r="F218" s="1" t="str">
        <f ca="1">IFERROR(__xludf.DUMMYFUNCTION("""COMPUTED_VALUE"""),"Walnut Hill Elementary School")</f>
        <v>Walnut Hill Elementary School</v>
      </c>
      <c r="G218" s="1">
        <f ca="1">IFERROR(__xludf.DUMMYFUNCTION("""COMPUTED_VALUE"""),1)</f>
        <v>1</v>
      </c>
      <c r="H218" s="1">
        <f ca="1">IFERROR(__xludf.DUMMYFUNCTION("""COMPUTED_VALUE"""),0)</f>
        <v>0</v>
      </c>
      <c r="I218" s="1">
        <f ca="1">IFERROR(__xludf.DUMMYFUNCTION("""COMPUTED_VALUE"""),1)</f>
        <v>1</v>
      </c>
      <c r="J218" s="1">
        <f ca="1">IFERROR(__xludf.DUMMYFUNCTION("""COMPUTED_VALUE"""),0)</f>
        <v>0</v>
      </c>
      <c r="K218" s="1" t="str">
        <f ca="1">IFERROR(__xludf.DUMMYFUNCTION("""COMPUTED_VALUE"""),"Summer")</f>
        <v>Summer</v>
      </c>
      <c r="L218" s="1" t="str">
        <f ca="1">IFERROR(__xludf.DUMMYFUNCTION("""COMPUTED_VALUE"""),"Petersburg")</f>
        <v>Petersburg</v>
      </c>
      <c r="M218" s="1" t="str">
        <f ca="1">IFERROR(__xludf.DUMMYFUNCTION("""COMPUTED_VALUE"""),"VA")</f>
        <v>VA</v>
      </c>
      <c r="N218" s="1" t="str">
        <f ca="1">IFERROR(__xludf.DUMMYFUNCTION("""COMPUTED_VALUE"""),"Elementary")</f>
        <v>Elementary</v>
      </c>
      <c r="O218" s="1" t="str">
        <f ca="1">IFERROR(__xludf.DUMMYFUNCTION("""COMPUTED_VALUE"""),"Front of School")</f>
        <v>Front of School</v>
      </c>
      <c r="P218" s="1" t="str">
        <f ca="1">IFERROR(__xludf.DUMMYFUNCTION("""COMPUTED_VALUE"""),"Outside on School Property")</f>
        <v>Outside on School Property</v>
      </c>
      <c r="Q218" s="1" t="str">
        <f ca="1">IFERROR(__xludf.DUMMYFUNCTION("""COMPUTED_VALUE"""),"No")</f>
        <v>No</v>
      </c>
      <c r="R218" s="1" t="str">
        <f ca="1">IFERROR(__xludf.DUMMYFUNCTION("""COMPUTED_VALUE"""),"Not a School Day")</f>
        <v>Not a School Day</v>
      </c>
      <c r="S218" s="5">
        <f ca="1">IFERROR(__xludf.DUMMYFUNCTION("""COMPUTED_VALUE"""),0.677083333333333)</f>
        <v>0.67708333333333304</v>
      </c>
      <c r="T218" s="1">
        <f ca="1">IFERROR(__xludf.DUMMYFUNCTION("""COMPUTED_VALUE"""),1)</f>
        <v>1</v>
      </c>
      <c r="U218" s="1" t="str">
        <f ca="1">IFERROR(__xludf.DUMMYFUNCTION("""COMPUTED_VALUE"""),"Teen found fatally shot near the school building")</f>
        <v>Teen found fatally shot near the school building</v>
      </c>
      <c r="V218" s="1" t="str">
        <f ca="1">IFERROR(__xludf.DUMMYFUNCTION("""COMPUTED_VALUE"""),"A man was found fatally shot in front of Walnut Hill Elementary School (VA) at 4:15pm yesterday. Staff inside the school went on lockdown for 45 minutes. Classes do not start until September.")</f>
        <v>A man was found fatally shot in front of Walnut Hill Elementary School (VA) at 4:15pm yesterday. Staff inside the school went on lockdown for 45 minutes. Classes do not start until September.</v>
      </c>
      <c r="W218" s="1"/>
      <c r="X218" s="1" t="str">
        <f ca="1">IFERROR(__xludf.DUMMYFUNCTION("""COMPUTED_VALUE"""),"Victims Targeted")</f>
        <v>Victims Targeted</v>
      </c>
      <c r="Y218" s="1" t="str">
        <f ca="1">IFERROR(__xludf.DUMMYFUNCTION("""COMPUTED_VALUE"""),"No")</f>
        <v>No</v>
      </c>
      <c r="Z218" s="1"/>
      <c r="AA218" s="1" t="str">
        <f ca="1">IFERROR(__xludf.DUMMYFUNCTION("""COMPUTED_VALUE"""),"No")</f>
        <v>No</v>
      </c>
      <c r="AB218" s="1" t="str">
        <f ca="1">IFERROR(__xludf.DUMMYFUNCTION("""COMPUTED_VALUE"""),"No")</f>
        <v>No</v>
      </c>
      <c r="AC218" s="1" t="str">
        <f ca="1">IFERROR(__xludf.DUMMYFUNCTION("""COMPUTED_VALUE"""),"No")</f>
        <v>No</v>
      </c>
      <c r="AD218" s="1" t="str">
        <f ca="1">IFERROR(__xludf.DUMMYFUNCTION("""COMPUTED_VALUE"""),"No")</f>
        <v>No</v>
      </c>
      <c r="AE218" s="1" t="str">
        <f ca="1">IFERROR(__xludf.DUMMYFUNCTION("""COMPUTED_VALUE"""),"No")</f>
        <v>No</v>
      </c>
      <c r="AF218" s="1"/>
      <c r="AG218" s="1" t="str">
        <f ca="1">IFERROR(__xludf.DUMMYFUNCTION("""COMPUTED_VALUE"""),"No")</f>
        <v>No</v>
      </c>
      <c r="AH218" s="1">
        <f ca="1">IFERROR(__xludf.DUMMYFUNCTION("""COMPUTED_VALUE"""),99)</f>
        <v>99</v>
      </c>
    </row>
    <row r="219" spans="1:34" ht="12.5">
      <c r="A219" s="1" t="str">
        <f ca="1">IFERROR(__xludf.DUMMYFUNCTION("""COMPUTED_VALUE"""),"20230824VAKEV")</f>
        <v>20230824VAKEV</v>
      </c>
      <c r="B219" s="1">
        <f ca="1">IFERROR(__xludf.DUMMYFUNCTION("""COMPUTED_VALUE"""),8)</f>
        <v>8</v>
      </c>
      <c r="C219" s="1">
        <f ca="1">IFERROR(__xludf.DUMMYFUNCTION("""COMPUTED_VALUE"""),24)</f>
        <v>24</v>
      </c>
      <c r="D219" s="1">
        <f ca="1">IFERROR(__xludf.DUMMYFUNCTION("""COMPUTED_VALUE"""),2023)</f>
        <v>2023</v>
      </c>
      <c r="E219" s="4">
        <f ca="1">IFERROR(__xludf.DUMMYFUNCTION("""COMPUTED_VALUE"""),45162)</f>
        <v>45162</v>
      </c>
      <c r="F219" s="1" t="str">
        <f ca="1">IFERROR(__xludf.DUMMYFUNCTION("""COMPUTED_VALUE"""),"Kempsville High School")</f>
        <v>Kempsville High School</v>
      </c>
      <c r="G219" s="1">
        <f ca="1">IFERROR(__xludf.DUMMYFUNCTION("""COMPUTED_VALUE"""),0)</f>
        <v>0</v>
      </c>
      <c r="H219" s="1">
        <f ca="1">IFERROR(__xludf.DUMMYFUNCTION("""COMPUTED_VALUE"""),2)</f>
        <v>2</v>
      </c>
      <c r="I219" s="1">
        <f ca="1">IFERROR(__xludf.DUMMYFUNCTION("""COMPUTED_VALUE"""),2)</f>
        <v>2</v>
      </c>
      <c r="J219" s="1">
        <f ca="1">IFERROR(__xludf.DUMMYFUNCTION("""COMPUTED_VALUE"""),0)</f>
        <v>0</v>
      </c>
      <c r="K219" s="1" t="str">
        <f ca="1">IFERROR(__xludf.DUMMYFUNCTION("""COMPUTED_VALUE"""),"Summer")</f>
        <v>Summer</v>
      </c>
      <c r="L219" s="1" t="str">
        <f ca="1">IFERROR(__xludf.DUMMYFUNCTION("""COMPUTED_VALUE"""),"Virginia Beach")</f>
        <v>Virginia Beach</v>
      </c>
      <c r="M219" s="1" t="str">
        <f ca="1">IFERROR(__xludf.DUMMYFUNCTION("""COMPUTED_VALUE"""),"VA")</f>
        <v>VA</v>
      </c>
      <c r="N219" s="1" t="str">
        <f ca="1">IFERROR(__xludf.DUMMYFUNCTION("""COMPUTED_VALUE"""),"High")</f>
        <v>High</v>
      </c>
      <c r="O219" s="1" t="str">
        <f ca="1">IFERROR(__xludf.DUMMYFUNCTION("""COMPUTED_VALUE"""),"Off School Property")</f>
        <v>Off School Property</v>
      </c>
      <c r="P219" s="1" t="str">
        <f ca="1">IFERROR(__xludf.DUMMYFUNCTION("""COMPUTED_VALUE"""),"Off School Property")</f>
        <v>Off School Property</v>
      </c>
      <c r="Q219" s="1" t="str">
        <f ca="1">IFERROR(__xludf.DUMMYFUNCTION("""COMPUTED_VALUE"""),"No")</f>
        <v>No</v>
      </c>
      <c r="R219" s="1" t="str">
        <f ca="1">IFERROR(__xludf.DUMMYFUNCTION("""COMPUTED_VALUE"""),"Sport Event")</f>
        <v>Sport Event</v>
      </c>
      <c r="S219" s="5">
        <f ca="1">IFERROR(__xludf.DUMMYFUNCTION("""COMPUTED_VALUE"""),0.90625)</f>
        <v>0.90625</v>
      </c>
      <c r="T219" s="1">
        <f ca="1">IFERROR(__xludf.DUMMYFUNCTION("""COMPUTED_VALUE"""),1)</f>
        <v>1</v>
      </c>
      <c r="U219" s="1" t="str">
        <f ca="1">IFERROR(__xludf.DUMMYFUNCTION("""COMPUTED_VALUE"""),"Shots fired 50 feet from campus caused fans to evacuate and cancelled remainder of high school football game")</f>
        <v>Shots fired 50 feet from campus caused fans to evacuate and cancelled remainder of high school football game</v>
      </c>
      <c r="V219" s="1" t="str">
        <f ca="1">IFERROR(__xludf.DUMMYFUNCTION("""COMPUTED_VALUE"""),"Shots fired in front of a residence 50 feet from campus caused fans to evacuate and cancelled remainder of high school football game.")</f>
        <v>Shots fired in front of a residence 50 feet from campus caused fans to evacuate and cancelled remainder of high school football game.</v>
      </c>
      <c r="W219" s="1"/>
      <c r="X219" s="1" t="str">
        <f ca="1">IFERROR(__xludf.DUMMYFUNCTION("""COMPUTED_VALUE"""),"Neither")</f>
        <v>Neither</v>
      </c>
      <c r="Y219" s="1" t="str">
        <f ca="1">IFERROR(__xludf.DUMMYFUNCTION("""COMPUTED_VALUE"""),"No")</f>
        <v>No</v>
      </c>
      <c r="Z219" s="1"/>
      <c r="AA219" s="1" t="str">
        <f ca="1">IFERROR(__xludf.DUMMYFUNCTION("""COMPUTED_VALUE"""),"No")</f>
        <v>No</v>
      </c>
      <c r="AB219" s="1" t="str">
        <f ca="1">IFERROR(__xludf.DUMMYFUNCTION("""COMPUTED_VALUE"""),"No")</f>
        <v>No</v>
      </c>
      <c r="AC219" s="1" t="str">
        <f ca="1">IFERROR(__xludf.DUMMYFUNCTION("""COMPUTED_VALUE"""),"No")</f>
        <v>No</v>
      </c>
      <c r="AD219" s="1" t="str">
        <f ca="1">IFERROR(__xludf.DUMMYFUNCTION("""COMPUTED_VALUE"""),"No")</f>
        <v>No</v>
      </c>
      <c r="AE219" s="1" t="str">
        <f ca="1">IFERROR(__xludf.DUMMYFUNCTION("""COMPUTED_VALUE"""),"No")</f>
        <v>No</v>
      </c>
      <c r="AF219" s="1"/>
      <c r="AG219" s="1" t="str">
        <f ca="1">IFERROR(__xludf.DUMMYFUNCTION("""COMPUTED_VALUE"""),"No")</f>
        <v>No</v>
      </c>
      <c r="AH219" s="1">
        <f ca="1">IFERROR(__xludf.DUMMYFUNCTION("""COMPUTED_VALUE"""),5)</f>
        <v>5</v>
      </c>
    </row>
    <row r="220" spans="1:34" ht="12.5">
      <c r="A220" s="1" t="str">
        <f ca="1">IFERROR(__xludf.DUMMYFUNCTION("""COMPUTED_VALUE"""),"20230824AZPHP")</f>
        <v>20230824AZPHP</v>
      </c>
      <c r="B220" s="1">
        <f ca="1">IFERROR(__xludf.DUMMYFUNCTION("""COMPUTED_VALUE"""),8)</f>
        <v>8</v>
      </c>
      <c r="C220" s="1">
        <f ca="1">IFERROR(__xludf.DUMMYFUNCTION("""COMPUTED_VALUE"""),24)</f>
        <v>24</v>
      </c>
      <c r="D220" s="1">
        <f ca="1">IFERROR(__xludf.DUMMYFUNCTION("""COMPUTED_VALUE"""),2023)</f>
        <v>2023</v>
      </c>
      <c r="E220" s="4">
        <f ca="1">IFERROR(__xludf.DUMMYFUNCTION("""COMPUTED_VALUE"""),45162)</f>
        <v>45162</v>
      </c>
      <c r="F220" s="1" t="str">
        <f ca="1">IFERROR(__xludf.DUMMYFUNCTION("""COMPUTED_VALUE"""),"Phoenix School Bus")</f>
        <v>Phoenix School Bus</v>
      </c>
      <c r="G220" s="1">
        <f ca="1">IFERROR(__xludf.DUMMYFUNCTION("""COMPUTED_VALUE"""),0)</f>
        <v>0</v>
      </c>
      <c r="H220" s="1">
        <f ca="1">IFERROR(__xludf.DUMMYFUNCTION("""COMPUTED_VALUE"""),1)</f>
        <v>1</v>
      </c>
      <c r="I220" s="1">
        <f ca="1">IFERROR(__xludf.DUMMYFUNCTION("""COMPUTED_VALUE"""),1)</f>
        <v>1</v>
      </c>
      <c r="J220" s="1">
        <f ca="1">IFERROR(__xludf.DUMMYFUNCTION("""COMPUTED_VALUE"""),0)</f>
        <v>0</v>
      </c>
      <c r="K220" s="1" t="str">
        <f ca="1">IFERROR(__xludf.DUMMYFUNCTION("""COMPUTED_VALUE"""),"Summer")</f>
        <v>Summer</v>
      </c>
      <c r="L220" s="1" t="str">
        <f ca="1">IFERROR(__xludf.DUMMYFUNCTION("""COMPUTED_VALUE"""),"Phoenix")</f>
        <v>Phoenix</v>
      </c>
      <c r="M220" s="1" t="str">
        <f ca="1">IFERROR(__xludf.DUMMYFUNCTION("""COMPUTED_VALUE"""),"AZ")</f>
        <v>AZ</v>
      </c>
      <c r="N220" s="1" t="str">
        <f ca="1">IFERROR(__xludf.DUMMYFUNCTION("""COMPUTED_VALUE"""),"Elementary")</f>
        <v>Elementary</v>
      </c>
      <c r="O220" s="1" t="str">
        <f ca="1">IFERROR(__xludf.DUMMYFUNCTION("""COMPUTED_VALUE"""),"School Bus")</f>
        <v>School Bus</v>
      </c>
      <c r="P220" s="1" t="str">
        <f ca="1">IFERROR(__xludf.DUMMYFUNCTION("""COMPUTED_VALUE"""),"School Bus")</f>
        <v>School Bus</v>
      </c>
      <c r="Q220" s="1" t="str">
        <f ca="1">IFERROR(__xludf.DUMMYFUNCTION("""COMPUTED_VALUE"""),"Yes")</f>
        <v>Yes</v>
      </c>
      <c r="R220" s="1" t="str">
        <f ca="1">IFERROR(__xludf.DUMMYFUNCTION("""COMPUTED_VALUE"""),"Dismissal")</f>
        <v>Dismissal</v>
      </c>
      <c r="S220" s="5">
        <f ca="1">IFERROR(__xludf.DUMMYFUNCTION("""COMPUTED_VALUE"""),0.666666666666666)</f>
        <v>0.66666666666666596</v>
      </c>
      <c r="T220" s="1">
        <f ca="1">IFERROR(__xludf.DUMMYFUNCTION("""COMPUTED_VALUE"""),1)</f>
        <v>1</v>
      </c>
      <c r="U220" s="1" t="str">
        <f ca="1">IFERROR(__xludf.DUMMYFUNCTION("""COMPUTED_VALUE"""),"Student shot with bb gun on school bus")</f>
        <v>Student shot with bb gun on school bus</v>
      </c>
      <c r="V220" s="1" t="str">
        <f ca="1">IFERROR(__xludf.DUMMYFUNCTION("""COMPUTED_VALUE"""),"Phoenix police are investigating an incident where a student was shot with a BB gun on a school bus Thursday afternoon. According to Phoenix police, the incident happened near 28th Drive and Cactus Road around 4 p.m. A young student was reportedly shot wi"&amp;"th a BB gun but did not require transportation to a hospital.")</f>
        <v>Phoenix police are investigating an incident where a student was shot with a BB gun on a school bus Thursday afternoon. According to Phoenix police, the incident happened near 28th Drive and Cactus Road around 4 p.m. A young student was reportedly shot with a BB gun but did not require transportation to a hospital.</v>
      </c>
      <c r="W220" s="1"/>
      <c r="X220" s="1" t="str">
        <f ca="1">IFERROR(__xludf.DUMMYFUNCTION("""COMPUTED_VALUE"""),"Victims Targeted")</f>
        <v>Victims Targeted</v>
      </c>
      <c r="Y220" s="1" t="str">
        <f ca="1">IFERROR(__xludf.DUMMYFUNCTION("""COMPUTED_VALUE"""),"No")</f>
        <v>No</v>
      </c>
      <c r="Z220" s="1"/>
      <c r="AA220" s="1" t="str">
        <f ca="1">IFERROR(__xludf.DUMMYFUNCTION("""COMPUTED_VALUE"""),"No")</f>
        <v>No</v>
      </c>
      <c r="AB220" s="1" t="str">
        <f ca="1">IFERROR(__xludf.DUMMYFUNCTION("""COMPUTED_VALUE"""),"No")</f>
        <v>No</v>
      </c>
      <c r="AC220" s="1" t="str">
        <f ca="1">IFERROR(__xludf.DUMMYFUNCTION("""COMPUTED_VALUE"""),"No")</f>
        <v>No</v>
      </c>
      <c r="AD220" s="1" t="str">
        <f ca="1">IFERROR(__xludf.DUMMYFUNCTION("""COMPUTED_VALUE"""),"No")</f>
        <v>No</v>
      </c>
      <c r="AE220" s="1" t="str">
        <f ca="1">IFERROR(__xludf.DUMMYFUNCTION("""COMPUTED_VALUE"""),"No")</f>
        <v>No</v>
      </c>
      <c r="AF220" s="1" t="str">
        <f ca="1">IFERROR(__xludf.DUMMYFUNCTION("""COMPUTED_VALUE"""),"No")</f>
        <v>No</v>
      </c>
      <c r="AG220" s="1" t="str">
        <f ca="1">IFERROR(__xludf.DUMMYFUNCTION("""COMPUTED_VALUE"""),"No")</f>
        <v>No</v>
      </c>
      <c r="AH220" s="1">
        <f ca="1">IFERROR(__xludf.DUMMYFUNCTION("""COMPUTED_VALUE"""),1)</f>
        <v>1</v>
      </c>
    </row>
    <row r="221" spans="1:34" ht="12.5">
      <c r="A221" s="1" t="str">
        <f ca="1">IFERROR(__xludf.DUMMYFUNCTION("""COMPUTED_VALUE"""),"20230823MDTOT")</f>
        <v>20230823MDTOT</v>
      </c>
      <c r="B221" s="1">
        <f ca="1">IFERROR(__xludf.DUMMYFUNCTION("""COMPUTED_VALUE"""),8)</f>
        <v>8</v>
      </c>
      <c r="C221" s="1">
        <f ca="1">IFERROR(__xludf.DUMMYFUNCTION("""COMPUTED_VALUE"""),23)</f>
        <v>23</v>
      </c>
      <c r="D221" s="1">
        <f ca="1">IFERROR(__xludf.DUMMYFUNCTION("""COMPUTED_VALUE"""),2023)</f>
        <v>2023</v>
      </c>
      <c r="E221" s="4">
        <f ca="1">IFERROR(__xludf.DUMMYFUNCTION("""COMPUTED_VALUE"""),45161)</f>
        <v>45161</v>
      </c>
      <c r="F221" s="1" t="str">
        <f ca="1">IFERROR(__xludf.DUMMYFUNCTION("""COMPUTED_VALUE"""),"Towson High School")</f>
        <v>Towson High School</v>
      </c>
      <c r="G221" s="1">
        <f ca="1">IFERROR(__xludf.DUMMYFUNCTION("""COMPUTED_VALUE"""),0)</f>
        <v>0</v>
      </c>
      <c r="H221" s="1">
        <f ca="1">IFERROR(__xludf.DUMMYFUNCTION("""COMPUTED_VALUE"""),1)</f>
        <v>1</v>
      </c>
      <c r="I221" s="1">
        <f ca="1">IFERROR(__xludf.DUMMYFUNCTION("""COMPUTED_VALUE"""),1)</f>
        <v>1</v>
      </c>
      <c r="J221" s="1">
        <f ca="1">IFERROR(__xludf.DUMMYFUNCTION("""COMPUTED_VALUE"""),0)</f>
        <v>0</v>
      </c>
      <c r="K221" s="1" t="str">
        <f ca="1">IFERROR(__xludf.DUMMYFUNCTION("""COMPUTED_VALUE"""),"Summer")</f>
        <v>Summer</v>
      </c>
      <c r="L221" s="1" t="str">
        <f ca="1">IFERROR(__xludf.DUMMYFUNCTION("""COMPUTED_VALUE"""),"Towson")</f>
        <v>Towson</v>
      </c>
      <c r="M221" s="1" t="str">
        <f ca="1">IFERROR(__xludf.DUMMYFUNCTION("""COMPUTED_VALUE"""),"MD")</f>
        <v>MD</v>
      </c>
      <c r="N221" s="1" t="str">
        <f ca="1">IFERROR(__xludf.DUMMYFUNCTION("""COMPUTED_VALUE"""),"High")</f>
        <v>High</v>
      </c>
      <c r="O221" s="1" t="str">
        <f ca="1">IFERROR(__xludf.DUMMYFUNCTION("""COMPUTED_VALUE"""),"Parking Lot")</f>
        <v>Parking Lot</v>
      </c>
      <c r="P221" s="1" t="str">
        <f ca="1">IFERROR(__xludf.DUMMYFUNCTION("""COMPUTED_VALUE"""),"Outside on School Property")</f>
        <v>Outside on School Property</v>
      </c>
      <c r="Q221" s="1" t="str">
        <f ca="1">IFERROR(__xludf.DUMMYFUNCTION("""COMPUTED_VALUE"""),"No")</f>
        <v>No</v>
      </c>
      <c r="R221" s="1" t="str">
        <f ca="1">IFERROR(__xludf.DUMMYFUNCTION("""COMPUTED_VALUE"""),"Night")</f>
        <v>Night</v>
      </c>
      <c r="S221" s="5">
        <f ca="1">IFERROR(__xludf.DUMMYFUNCTION("""COMPUTED_VALUE"""),0.895833333333333)</f>
        <v>0.89583333333333304</v>
      </c>
      <c r="T221" s="1">
        <f ca="1">IFERROR(__xludf.DUMMYFUNCTION("""COMPUTED_VALUE"""),1)</f>
        <v>1</v>
      </c>
      <c r="U221" s="1" t="str">
        <f ca="1">IFERROR(__xludf.DUMMYFUNCTION("""COMPUTED_VALUE"""),"Teen shot near the school's pickleball courts")</f>
        <v>Teen shot near the school's pickleball courts</v>
      </c>
      <c r="V221" s="1" t="str">
        <f ca="1">IFERROR(__xludf.DUMMYFUNCTION("""COMPUTED_VALUE"""),"Teen was shot near pickleball courts. Shooter fled in a vehicle and teenage victim walked to a hospital. Students playing on the courts heard multiple gunshots.")</f>
        <v>Teen was shot near pickleball courts. Shooter fled in a vehicle and teenage victim walked to a hospital. Students playing on the courts heard multiple gunshots.</v>
      </c>
      <c r="W221" s="1" t="str">
        <f ca="1">IFERROR(__xludf.DUMMYFUNCTION("""COMPUTED_VALUE"""),"Accidental")</f>
        <v>Accidental</v>
      </c>
      <c r="X221" s="1" t="str">
        <f ca="1">IFERROR(__xludf.DUMMYFUNCTION("""COMPUTED_VALUE"""),"Victims Targeted")</f>
        <v>Victims Targeted</v>
      </c>
      <c r="Y221" s="1" t="str">
        <f ca="1">IFERROR(__xludf.DUMMYFUNCTION("""COMPUTED_VALUE"""),"No")</f>
        <v>No</v>
      </c>
      <c r="Z221" s="1"/>
      <c r="AA221" s="1" t="str">
        <f ca="1">IFERROR(__xludf.DUMMYFUNCTION("""COMPUTED_VALUE"""),"No")</f>
        <v>No</v>
      </c>
      <c r="AB221" s="1" t="str">
        <f ca="1">IFERROR(__xludf.DUMMYFUNCTION("""COMPUTED_VALUE"""),"No")</f>
        <v>No</v>
      </c>
      <c r="AC221" s="1" t="str">
        <f ca="1">IFERROR(__xludf.DUMMYFUNCTION("""COMPUTED_VALUE"""),"No")</f>
        <v>No</v>
      </c>
      <c r="AD221" s="1" t="str">
        <f ca="1">IFERROR(__xludf.DUMMYFUNCTION("""COMPUTED_VALUE"""),"No")</f>
        <v>No</v>
      </c>
      <c r="AE221" s="1" t="str">
        <f ca="1">IFERROR(__xludf.DUMMYFUNCTION("""COMPUTED_VALUE"""),"No")</f>
        <v>No</v>
      </c>
      <c r="AF221" s="1" t="str">
        <f ca="1">IFERROR(__xludf.DUMMYFUNCTION("""COMPUTED_VALUE"""),"No")</f>
        <v>No</v>
      </c>
      <c r="AG221" s="1" t="str">
        <f ca="1">IFERROR(__xludf.DUMMYFUNCTION("""COMPUTED_VALUE"""),"No")</f>
        <v>No</v>
      </c>
      <c r="AH221" s="1">
        <f ca="1">IFERROR(__xludf.DUMMYFUNCTION("""COMPUTED_VALUE"""),99)</f>
        <v>99</v>
      </c>
    </row>
    <row r="222" spans="1:34" ht="12.5">
      <c r="A222" s="1" t="str">
        <f ca="1">IFERROR(__xludf.DUMMYFUNCTION("""COMPUTED_VALUE"""),"20230822OKSTS")</f>
        <v>20230822OKSTS</v>
      </c>
      <c r="B222" s="1">
        <f ca="1">IFERROR(__xludf.DUMMYFUNCTION("""COMPUTED_VALUE"""),8)</f>
        <v>8</v>
      </c>
      <c r="C222" s="1">
        <f ca="1">IFERROR(__xludf.DUMMYFUNCTION("""COMPUTED_VALUE"""),22)</f>
        <v>22</v>
      </c>
      <c r="D222" s="1">
        <f ca="1">IFERROR(__xludf.DUMMYFUNCTION("""COMPUTED_VALUE"""),2023)</f>
        <v>2023</v>
      </c>
      <c r="E222" s="4">
        <f ca="1">IFERROR(__xludf.DUMMYFUNCTION("""COMPUTED_VALUE"""),45160)</f>
        <v>45160</v>
      </c>
      <c r="F222" s="1" t="str">
        <f ca="1">IFERROR(__xludf.DUMMYFUNCTION("""COMPUTED_VALUE"""),"Stillwater High School")</f>
        <v>Stillwater High School</v>
      </c>
      <c r="G222" s="1">
        <f ca="1">IFERROR(__xludf.DUMMYFUNCTION("""COMPUTED_VALUE"""),0)</f>
        <v>0</v>
      </c>
      <c r="H222" s="1">
        <f ca="1">IFERROR(__xludf.DUMMYFUNCTION("""COMPUTED_VALUE"""),0)</f>
        <v>0</v>
      </c>
      <c r="I222" s="1">
        <f ca="1">IFERROR(__xludf.DUMMYFUNCTION("""COMPUTED_VALUE"""),0)</f>
        <v>0</v>
      </c>
      <c r="J222" s="1">
        <f ca="1">IFERROR(__xludf.DUMMYFUNCTION("""COMPUTED_VALUE"""),0)</f>
        <v>0</v>
      </c>
      <c r="K222" s="1" t="str">
        <f ca="1">IFERROR(__xludf.DUMMYFUNCTION("""COMPUTED_VALUE"""),"Summer")</f>
        <v>Summer</v>
      </c>
      <c r="L222" s="1" t="str">
        <f ca="1">IFERROR(__xludf.DUMMYFUNCTION("""COMPUTED_VALUE"""),"Stillwater")</f>
        <v>Stillwater</v>
      </c>
      <c r="M222" s="1" t="str">
        <f ca="1">IFERROR(__xludf.DUMMYFUNCTION("""COMPUTED_VALUE"""),"OK")</f>
        <v>OK</v>
      </c>
      <c r="N222" s="1" t="str">
        <f ca="1">IFERROR(__xludf.DUMMYFUNCTION("""COMPUTED_VALUE"""),"High")</f>
        <v>High</v>
      </c>
      <c r="O222" s="1" t="str">
        <f ca="1">IFERROR(__xludf.DUMMYFUNCTION("""COMPUTED_VALUE"""),"Football Field/Track")</f>
        <v>Football Field/Track</v>
      </c>
      <c r="P222" s="1" t="str">
        <f ca="1">IFERROR(__xludf.DUMMYFUNCTION("""COMPUTED_VALUE"""),"Outside on School Property")</f>
        <v>Outside on School Property</v>
      </c>
      <c r="Q222" s="1" t="str">
        <f ca="1">IFERROR(__xludf.DUMMYFUNCTION("""COMPUTED_VALUE"""),"No")</f>
        <v>No</v>
      </c>
      <c r="R222" s="1" t="str">
        <f ca="1">IFERROR(__xludf.DUMMYFUNCTION("""COMPUTED_VALUE"""),"Evening")</f>
        <v>Evening</v>
      </c>
      <c r="S222" s="5">
        <f ca="1">IFERROR(__xludf.DUMMYFUNCTION("""COMPUTED_VALUE"""),0.833333333333333)</f>
        <v>0.83333333333333304</v>
      </c>
      <c r="T222" s="1">
        <f ca="1">IFERROR(__xludf.DUMMYFUNCTION("""COMPUTED_VALUE"""),1)</f>
        <v>1</v>
      </c>
      <c r="U222" s="1" t="str">
        <f ca="1">IFERROR(__xludf.DUMMYFUNCTION("""COMPUTED_VALUE"""),"Student fired shot at tree while showing off handgun")</f>
        <v>Student fired shot at tree while showing off handgun</v>
      </c>
      <c r="V222" s="1" t="str">
        <f ca="1">IFERROR(__xludf.DUMMYFUNCTION("""COMPUTED_VALUE"""),"A Stillwater High School student fired a gun at a tree near the football stadium. A witness told staff that a student was showing off a black handgun at the football stadium, police said. The student removed the magazine from the gun, showing the ammuniti"&amp;"on. A round that was lodged in the gun fell into the stands, according to police.")</f>
        <v>A Stillwater High School student fired a gun at a tree near the football stadium. A witness told staff that a student was showing off a black handgun at the football stadium, police said. The student removed the magazine from the gun, showing the ammunition. A round that was lodged in the gun fell into the stands, according to police.</v>
      </c>
      <c r="W222" s="1" t="str">
        <f ca="1">IFERROR(__xludf.DUMMYFUNCTION("""COMPUTED_VALUE"""),"Intentional Property Damage")</f>
        <v>Intentional Property Damage</v>
      </c>
      <c r="X222" s="1" t="str">
        <f ca="1">IFERROR(__xludf.DUMMYFUNCTION("""COMPUTED_VALUE"""),"Neither")</f>
        <v>Neither</v>
      </c>
      <c r="Y222" s="1" t="str">
        <f ca="1">IFERROR(__xludf.DUMMYFUNCTION("""COMPUTED_VALUE"""),"Yes")</f>
        <v>Yes</v>
      </c>
      <c r="Z222" s="1" t="str">
        <f ca="1">IFERROR(__xludf.DUMMYFUNCTION("""COMPUTED_VALUE"""),"2 teens arrested")</f>
        <v>2 teens arrested</v>
      </c>
      <c r="AA222" s="1" t="str">
        <f ca="1">IFERROR(__xludf.DUMMYFUNCTION("""COMPUTED_VALUE"""),"No")</f>
        <v>No</v>
      </c>
      <c r="AB222" s="1" t="str">
        <f ca="1">IFERROR(__xludf.DUMMYFUNCTION("""COMPUTED_VALUE"""),"No")</f>
        <v>No</v>
      </c>
      <c r="AC222" s="1" t="str">
        <f ca="1">IFERROR(__xludf.DUMMYFUNCTION("""COMPUTED_VALUE"""),"No")</f>
        <v>No</v>
      </c>
      <c r="AD222" s="1" t="str">
        <f ca="1">IFERROR(__xludf.DUMMYFUNCTION("""COMPUTED_VALUE"""),"No")</f>
        <v>No</v>
      </c>
      <c r="AE222" s="1" t="str">
        <f ca="1">IFERROR(__xludf.DUMMYFUNCTION("""COMPUTED_VALUE"""),"No")</f>
        <v>No</v>
      </c>
      <c r="AF222" s="1" t="str">
        <f ca="1">IFERROR(__xludf.DUMMYFUNCTION("""COMPUTED_VALUE"""),"No")</f>
        <v>No</v>
      </c>
      <c r="AG222" s="1" t="str">
        <f ca="1">IFERROR(__xludf.DUMMYFUNCTION("""COMPUTED_VALUE"""),"No")</f>
        <v>No</v>
      </c>
      <c r="AH222" s="1">
        <f ca="1">IFERROR(__xludf.DUMMYFUNCTION("""COMPUTED_VALUE"""),1)</f>
        <v>1</v>
      </c>
    </row>
    <row r="223" spans="1:34" ht="12.5">
      <c r="A223" s="1" t="str">
        <f ca="1">IFERROR(__xludf.DUMMYFUNCTION("""COMPUTED_VALUE"""),"20230822TNSTC")</f>
        <v>20230822TNSTC</v>
      </c>
      <c r="B223" s="1">
        <f ca="1">IFERROR(__xludf.DUMMYFUNCTION("""COMPUTED_VALUE"""),8)</f>
        <v>8</v>
      </c>
      <c r="C223" s="1">
        <f ca="1">IFERROR(__xludf.DUMMYFUNCTION("""COMPUTED_VALUE"""),22)</f>
        <v>22</v>
      </c>
      <c r="D223" s="1">
        <f ca="1">IFERROR(__xludf.DUMMYFUNCTION("""COMPUTED_VALUE"""),2023)</f>
        <v>2023</v>
      </c>
      <c r="E223" s="4">
        <f ca="1">IFERROR(__xludf.DUMMYFUNCTION("""COMPUTED_VALUE"""),45160)</f>
        <v>45160</v>
      </c>
      <c r="F223" s="1" t="str">
        <f ca="1">IFERROR(__xludf.DUMMYFUNCTION("""COMPUTED_VALUE"""),"Stone Elementary School")</f>
        <v>Stone Elementary School</v>
      </c>
      <c r="G223" s="1">
        <f ca="1">IFERROR(__xludf.DUMMYFUNCTION("""COMPUTED_VALUE"""),0)</f>
        <v>0</v>
      </c>
      <c r="H223" s="1">
        <f ca="1">IFERROR(__xludf.DUMMYFUNCTION("""COMPUTED_VALUE"""),0)</f>
        <v>0</v>
      </c>
      <c r="I223" s="1">
        <f ca="1">IFERROR(__xludf.DUMMYFUNCTION("""COMPUTED_VALUE"""),0)</f>
        <v>0</v>
      </c>
      <c r="J223" s="1">
        <f ca="1">IFERROR(__xludf.DUMMYFUNCTION("""COMPUTED_VALUE"""),0)</f>
        <v>0</v>
      </c>
      <c r="K223" s="1" t="str">
        <f ca="1">IFERROR(__xludf.DUMMYFUNCTION("""COMPUTED_VALUE"""),"Summer")</f>
        <v>Summer</v>
      </c>
      <c r="L223" s="1" t="str">
        <f ca="1">IFERROR(__xludf.DUMMYFUNCTION("""COMPUTED_VALUE"""),"Crossville")</f>
        <v>Crossville</v>
      </c>
      <c r="M223" s="1" t="str">
        <f ca="1">IFERROR(__xludf.DUMMYFUNCTION("""COMPUTED_VALUE"""),"TN")</f>
        <v>TN</v>
      </c>
      <c r="N223" s="1" t="str">
        <f ca="1">IFERROR(__xludf.DUMMYFUNCTION("""COMPUTED_VALUE"""),"Elementary")</f>
        <v>Elementary</v>
      </c>
      <c r="O223" s="1" t="str">
        <f ca="1">IFERROR(__xludf.DUMMYFUNCTION("""COMPUTED_VALUE"""),"Parking Lot")</f>
        <v>Parking Lot</v>
      </c>
      <c r="P223" s="1" t="str">
        <f ca="1">IFERROR(__xludf.DUMMYFUNCTION("""COMPUTED_VALUE"""),"Outside on School Property")</f>
        <v>Outside on School Property</v>
      </c>
      <c r="Q223" s="1" t="str">
        <f ca="1">IFERROR(__xludf.DUMMYFUNCTION("""COMPUTED_VALUE"""),"Yes")</f>
        <v>Yes</v>
      </c>
      <c r="R223" s="1" t="str">
        <f ca="1">IFERROR(__xludf.DUMMYFUNCTION("""COMPUTED_VALUE"""),"Morning Classes")</f>
        <v>Morning Classes</v>
      </c>
      <c r="S223" s="1"/>
      <c r="T223" s="1">
        <f ca="1">IFERROR(__xludf.DUMMYFUNCTION("""COMPUTED_VALUE"""),1)</f>
        <v>1</v>
      </c>
      <c r="U223" s="1" t="str">
        <f ca="1">IFERROR(__xludf.DUMMYFUNCTION("""COMPUTED_VALUE"""),"Shot fired in parking lot during road rage dispute")</f>
        <v>Shot fired in parking lot during road rage dispute</v>
      </c>
      <c r="V223" s="1" t="str">
        <f ca="1">IFERROR(__xludf.DUMMYFUNCTION("""COMPUTED_VALUE"""),"School went on lockdown for shot fired in the parking lot during a road rage dispute between adults. SRO arrested two adults. No injuries.")</f>
        <v>School went on lockdown for shot fired in the parking lot during a road rage dispute between adults. SRO arrested two adults. No injuries.</v>
      </c>
      <c r="W223" s="1" t="str">
        <f ca="1">IFERROR(__xludf.DUMMYFUNCTION("""COMPUTED_VALUE"""),"Escalation of Dispute")</f>
        <v>Escalation of Dispute</v>
      </c>
      <c r="X223" s="1" t="str">
        <f ca="1">IFERROR(__xludf.DUMMYFUNCTION("""COMPUTED_VALUE"""),"Victims Targeted")</f>
        <v>Victims Targeted</v>
      </c>
      <c r="Y223" s="1" t="str">
        <f ca="1">IFERROR(__xludf.DUMMYFUNCTION("""COMPUTED_VALUE"""),"No")</f>
        <v>No</v>
      </c>
      <c r="Z223" s="1"/>
      <c r="AA223" s="1" t="str">
        <f ca="1">IFERROR(__xludf.DUMMYFUNCTION("""COMPUTED_VALUE"""),"No")</f>
        <v>No</v>
      </c>
      <c r="AB223" s="1" t="str">
        <f ca="1">IFERROR(__xludf.DUMMYFUNCTION("""COMPUTED_VALUE"""),"No")</f>
        <v>No</v>
      </c>
      <c r="AC223" s="1" t="str">
        <f ca="1">IFERROR(__xludf.DUMMYFUNCTION("""COMPUTED_VALUE"""),"No")</f>
        <v>No</v>
      </c>
      <c r="AD223" s="1" t="str">
        <f ca="1">IFERROR(__xludf.DUMMYFUNCTION("""COMPUTED_VALUE"""),"No")</f>
        <v>No</v>
      </c>
      <c r="AE223" s="1" t="str">
        <f ca="1">IFERROR(__xludf.DUMMYFUNCTION("""COMPUTED_VALUE"""),"No")</f>
        <v>No</v>
      </c>
      <c r="AF223" s="1" t="str">
        <f ca="1">IFERROR(__xludf.DUMMYFUNCTION("""COMPUTED_VALUE"""),"No")</f>
        <v>No</v>
      </c>
      <c r="AG223" s="1" t="str">
        <f ca="1">IFERROR(__xludf.DUMMYFUNCTION("""COMPUTED_VALUE"""),"No")</f>
        <v>No</v>
      </c>
      <c r="AH223" s="1">
        <f ca="1">IFERROR(__xludf.DUMMYFUNCTION("""COMPUTED_VALUE"""),1)</f>
        <v>1</v>
      </c>
    </row>
    <row r="224" spans="1:34" ht="12.5">
      <c r="A224" s="1" t="str">
        <f ca="1">IFERROR(__xludf.DUMMYFUNCTION("""COMPUTED_VALUE"""),"20230822TXJES")</f>
        <v>20230822TXJES</v>
      </c>
      <c r="B224" s="1">
        <f ca="1">IFERROR(__xludf.DUMMYFUNCTION("""COMPUTED_VALUE"""),8)</f>
        <v>8</v>
      </c>
      <c r="C224" s="1">
        <f ca="1">IFERROR(__xludf.DUMMYFUNCTION("""COMPUTED_VALUE"""),22)</f>
        <v>22</v>
      </c>
      <c r="D224" s="1">
        <f ca="1">IFERROR(__xludf.DUMMYFUNCTION("""COMPUTED_VALUE"""),2023)</f>
        <v>2023</v>
      </c>
      <c r="E224" s="4">
        <f ca="1">IFERROR(__xludf.DUMMYFUNCTION("""COMPUTED_VALUE"""),45160)</f>
        <v>45160</v>
      </c>
      <c r="F224" s="1" t="str">
        <f ca="1">IFERROR(__xludf.DUMMYFUNCTION("""COMPUTED_VALUE"""),"Jefferson Elementary School")</f>
        <v>Jefferson Elementary School</v>
      </c>
      <c r="G224" s="1">
        <f ca="1">IFERROR(__xludf.DUMMYFUNCTION("""COMPUTED_VALUE"""),0)</f>
        <v>0</v>
      </c>
      <c r="H224" s="1">
        <f ca="1">IFERROR(__xludf.DUMMYFUNCTION("""COMPUTED_VALUE"""),0)</f>
        <v>0</v>
      </c>
      <c r="I224" s="1">
        <f ca="1">IFERROR(__xludf.DUMMYFUNCTION("""COMPUTED_VALUE"""),0)</f>
        <v>0</v>
      </c>
      <c r="J224" s="1">
        <f ca="1">IFERROR(__xludf.DUMMYFUNCTION("""COMPUTED_VALUE"""),0)</f>
        <v>0</v>
      </c>
      <c r="K224" s="1" t="str">
        <f ca="1">IFERROR(__xludf.DUMMYFUNCTION("""COMPUTED_VALUE"""),"Summer")</f>
        <v>Summer</v>
      </c>
      <c r="L224" s="1" t="str">
        <f ca="1">IFERROR(__xludf.DUMMYFUNCTION("""COMPUTED_VALUE"""),"Seguin")</f>
        <v>Seguin</v>
      </c>
      <c r="M224" s="1" t="str">
        <f ca="1">IFERROR(__xludf.DUMMYFUNCTION("""COMPUTED_VALUE"""),"TX")</f>
        <v>TX</v>
      </c>
      <c r="N224" s="1" t="str">
        <f ca="1">IFERROR(__xludf.DUMMYFUNCTION("""COMPUTED_VALUE"""),"Elementary")</f>
        <v>Elementary</v>
      </c>
      <c r="O224" s="1" t="str">
        <f ca="1">IFERROR(__xludf.DUMMYFUNCTION("""COMPUTED_VALUE"""),"School Bus")</f>
        <v>School Bus</v>
      </c>
      <c r="P224" s="1" t="str">
        <f ca="1">IFERROR(__xludf.DUMMYFUNCTION("""COMPUTED_VALUE"""),"School Bus")</f>
        <v>School Bus</v>
      </c>
      <c r="Q224" s="1" t="str">
        <f ca="1">IFERROR(__xludf.DUMMYFUNCTION("""COMPUTED_VALUE"""),"Yes")</f>
        <v>Yes</v>
      </c>
      <c r="R224" s="1" t="str">
        <f ca="1">IFERROR(__xludf.DUMMYFUNCTION("""COMPUTED_VALUE"""),"School Start")</f>
        <v>School Start</v>
      </c>
      <c r="S224" s="5">
        <f ca="1">IFERROR(__xludf.DUMMYFUNCTION("""COMPUTED_VALUE"""),0.309027777777777)</f>
        <v>0.30902777777777701</v>
      </c>
      <c r="T224" s="1">
        <f ca="1">IFERROR(__xludf.DUMMYFUNCTION("""COMPUTED_VALUE"""),1)</f>
        <v>1</v>
      </c>
      <c r="U224" s="1" t="str">
        <f ca="1">IFERROR(__xludf.DUMMYFUNCTION("""COMPUTED_VALUE"""),"A Seguin ISD elementary school student discharged a loaded gun on a school bus Tuesday morning")</f>
        <v>A Seguin ISD elementary school student discharged a loaded gun on a school bus Tuesday morning</v>
      </c>
      <c r="V224" s="1" t="str">
        <f ca="1">IFERROR(__xludf.DUMMYFUNCTION("""COMPUTED_VALUE"""),"A Seguin ISD elementary school student discharged a loaded gun on a school bus Tuesday morning, district officials said. Nobody was injured. The incident happened around 7:25 a.m. as the bus entered the Jefferson Elementary School parking lot. There were "&amp;"37 students on the bus from several schools, including Jefferson, Koennecke and Ball Elementary schools. The bus driver took the gun, a .25-caliber semiautomatic handgun, from the student, Seguin Police Chief Jason Brady said. Brady said one bullet went t"&amp;"hrough a seat where a child was seated. Luckily, a steel barrier underneath the upholstery of the seat prevented the bullet from traveling further.")</f>
        <v>A Seguin ISD elementary school student discharged a loaded gun on a school bus Tuesday morning, district officials said. Nobody was injured. The incident happened around 7:25 a.m. as the bus entered the Jefferson Elementary School parking lot. There were 37 students on the bus from several schools, including Jefferson, Koennecke and Ball Elementary schools. The bus driver took the gun, a .25-caliber semiautomatic handgun, from the student, Seguin Police Chief Jason Brady said. Brady said one bullet went through a seat where a child was seated. Luckily, a steel barrier underneath the upholstery of the seat prevented the bullet from traveling further.</v>
      </c>
      <c r="W224" s="1" t="str">
        <f ca="1">IFERROR(__xludf.DUMMYFUNCTION("""COMPUTED_VALUE"""),"Accidental")</f>
        <v>Accidental</v>
      </c>
      <c r="X224" s="1" t="str">
        <f ca="1">IFERROR(__xludf.DUMMYFUNCTION("""COMPUTED_VALUE"""),"Neither")</f>
        <v>Neither</v>
      </c>
      <c r="Y224" s="1" t="str">
        <f ca="1">IFERROR(__xludf.DUMMYFUNCTION("""COMPUTED_VALUE"""),"No")</f>
        <v>No</v>
      </c>
      <c r="Z224" s="1"/>
      <c r="AA224" s="1" t="str">
        <f ca="1">IFERROR(__xludf.DUMMYFUNCTION("""COMPUTED_VALUE"""),"No")</f>
        <v>No</v>
      </c>
      <c r="AB224" s="1" t="str">
        <f ca="1">IFERROR(__xludf.DUMMYFUNCTION("""COMPUTED_VALUE"""),"No")</f>
        <v>No</v>
      </c>
      <c r="AC224" s="1" t="str">
        <f ca="1">IFERROR(__xludf.DUMMYFUNCTION("""COMPUTED_VALUE"""),"No")</f>
        <v>No</v>
      </c>
      <c r="AD224" s="1" t="str">
        <f ca="1">IFERROR(__xludf.DUMMYFUNCTION("""COMPUTED_VALUE"""),"No")</f>
        <v>No</v>
      </c>
      <c r="AE224" s="1" t="str">
        <f ca="1">IFERROR(__xludf.DUMMYFUNCTION("""COMPUTED_VALUE"""),"No")</f>
        <v>No</v>
      </c>
      <c r="AF224" s="1" t="str">
        <f ca="1">IFERROR(__xludf.DUMMYFUNCTION("""COMPUTED_VALUE"""),"No")</f>
        <v>No</v>
      </c>
      <c r="AG224" s="1" t="str">
        <f ca="1">IFERROR(__xludf.DUMMYFUNCTION("""COMPUTED_VALUE"""),"No")</f>
        <v>No</v>
      </c>
      <c r="AH224" s="1">
        <f ca="1">IFERROR(__xludf.DUMMYFUNCTION("""COMPUTED_VALUE"""),1)</f>
        <v>1</v>
      </c>
    </row>
    <row r="225" spans="1:34" ht="12.5">
      <c r="A225" s="1" t="str">
        <f ca="1">IFERROR(__xludf.DUMMYFUNCTION("""COMPUTED_VALUE"""),"20230818GANOK")</f>
        <v>20230818GANOK</v>
      </c>
      <c r="B225" s="1">
        <f ca="1">IFERROR(__xludf.DUMMYFUNCTION("""COMPUTED_VALUE"""),8)</f>
        <v>8</v>
      </c>
      <c r="C225" s="1">
        <f ca="1">IFERROR(__xludf.DUMMYFUNCTION("""COMPUTED_VALUE"""),18)</f>
        <v>18</v>
      </c>
      <c r="D225" s="1">
        <f ca="1">IFERROR(__xludf.DUMMYFUNCTION("""COMPUTED_VALUE"""),2023)</f>
        <v>2023</v>
      </c>
      <c r="E225" s="4">
        <f ca="1">IFERROR(__xludf.DUMMYFUNCTION("""COMPUTED_VALUE"""),45156)</f>
        <v>45156</v>
      </c>
      <c r="F225" s="1" t="str">
        <f ca="1">IFERROR(__xludf.DUMMYFUNCTION("""COMPUTED_VALUE"""),"North Cobb High School")</f>
        <v>North Cobb High School</v>
      </c>
      <c r="G225" s="1">
        <f ca="1">IFERROR(__xludf.DUMMYFUNCTION("""COMPUTED_VALUE"""),0)</f>
        <v>0</v>
      </c>
      <c r="H225" s="1">
        <f ca="1">IFERROR(__xludf.DUMMYFUNCTION("""COMPUTED_VALUE"""),1)</f>
        <v>1</v>
      </c>
      <c r="I225" s="1">
        <f ca="1">IFERROR(__xludf.DUMMYFUNCTION("""COMPUTED_VALUE"""),1)</f>
        <v>1</v>
      </c>
      <c r="J225" s="1">
        <f ca="1">IFERROR(__xludf.DUMMYFUNCTION("""COMPUTED_VALUE"""),0)</f>
        <v>0</v>
      </c>
      <c r="K225" s="1" t="str">
        <f ca="1">IFERROR(__xludf.DUMMYFUNCTION("""COMPUTED_VALUE"""),"Summer")</f>
        <v>Summer</v>
      </c>
      <c r="L225" s="1" t="str">
        <f ca="1">IFERROR(__xludf.DUMMYFUNCTION("""COMPUTED_VALUE"""),"Kennesaw")</f>
        <v>Kennesaw</v>
      </c>
      <c r="M225" s="1" t="str">
        <f ca="1">IFERROR(__xludf.DUMMYFUNCTION("""COMPUTED_VALUE"""),"GA")</f>
        <v>GA</v>
      </c>
      <c r="N225" s="1" t="str">
        <f ca="1">IFERROR(__xludf.DUMMYFUNCTION("""COMPUTED_VALUE"""),"High")</f>
        <v>High</v>
      </c>
      <c r="O225" s="1" t="str">
        <f ca="1">IFERROR(__xludf.DUMMYFUNCTION("""COMPUTED_VALUE"""),"Parking Lot")</f>
        <v>Parking Lot</v>
      </c>
      <c r="P225" s="1" t="str">
        <f ca="1">IFERROR(__xludf.DUMMYFUNCTION("""COMPUTED_VALUE"""),"Outside on School Property")</f>
        <v>Outside on School Property</v>
      </c>
      <c r="Q225" s="1" t="str">
        <f ca="1">IFERROR(__xludf.DUMMYFUNCTION("""COMPUTED_VALUE"""),"No")</f>
        <v>No</v>
      </c>
      <c r="R225" s="1" t="str">
        <f ca="1">IFERROR(__xludf.DUMMYFUNCTION("""COMPUTED_VALUE"""),"Sport Event")</f>
        <v>Sport Event</v>
      </c>
      <c r="S225" s="5">
        <f ca="1">IFERROR(__xludf.DUMMYFUNCTION("""COMPUTED_VALUE"""),0.953472222222222)</f>
        <v>0.95347222222222205</v>
      </c>
      <c r="T225" s="1">
        <f ca="1">IFERROR(__xludf.DUMMYFUNCTION("""COMPUTED_VALUE"""),1)</f>
        <v>1</v>
      </c>
      <c r="U225" s="1" t="str">
        <f ca="1">IFERROR(__xludf.DUMMYFUNCTION("""COMPUTED_VALUE"""),"Student shot during fight after football game")</f>
        <v>Student shot during fight after football game</v>
      </c>
      <c r="V225" s="1" t="str">
        <f ca="1">IFERROR(__xludf.DUMMYFUNCTION("""COMPUTED_VALUE"""),"Cobb County police officials received reports of a shooting around 10:53 p.m. Friday near North Cobb High School located on Old 41 Highway NW. When authorities arrived, they located 17-year-old Bruce Manns, who was shot in the leg. Manns was taken to the "&amp;"hospital with non-life-threatening injuries. According to the investigation, Manns was shot in a business plaza parking lot across the street from NCHS after a dispute with a suspect escalated to gunfire. Officials said after being shot, Manns walked acro"&amp;"ss the road to the campus, where police met them.")</f>
        <v>Cobb County police officials received reports of a shooting around 10:53 p.m. Friday near North Cobb High School located on Old 41 Highway NW. When authorities arrived, they located 17-year-old Bruce Manns, who was shot in the leg. Manns was taken to the hospital with non-life-threatening injuries. According to the investigation, Manns was shot in a business plaza parking lot across the street from NCHS after a dispute with a suspect escalated to gunfire. Officials said after being shot, Manns walked across the road to the campus, where police met them.</v>
      </c>
      <c r="W225" s="1" t="str">
        <f ca="1">IFERROR(__xludf.DUMMYFUNCTION("""COMPUTED_VALUE"""),"Escalation of Dispute")</f>
        <v>Escalation of Dispute</v>
      </c>
      <c r="X225" s="1" t="str">
        <f ca="1">IFERROR(__xludf.DUMMYFUNCTION("""COMPUTED_VALUE"""),"Victims Targeted")</f>
        <v>Victims Targeted</v>
      </c>
      <c r="Y225" s="1" t="str">
        <f ca="1">IFERROR(__xludf.DUMMYFUNCTION("""COMPUTED_VALUE"""),"No")</f>
        <v>No</v>
      </c>
      <c r="Z225" s="1"/>
      <c r="AA225" s="1" t="str">
        <f ca="1">IFERROR(__xludf.DUMMYFUNCTION("""COMPUTED_VALUE"""),"No")</f>
        <v>No</v>
      </c>
      <c r="AB225" s="1" t="str">
        <f ca="1">IFERROR(__xludf.DUMMYFUNCTION("""COMPUTED_VALUE"""),"No")</f>
        <v>No</v>
      </c>
      <c r="AC225" s="1" t="str">
        <f ca="1">IFERROR(__xludf.DUMMYFUNCTION("""COMPUTED_VALUE"""),"No")</f>
        <v>No</v>
      </c>
      <c r="AD225" s="1" t="str">
        <f ca="1">IFERROR(__xludf.DUMMYFUNCTION("""COMPUTED_VALUE"""),"No")</f>
        <v>No</v>
      </c>
      <c r="AE225" s="1" t="str">
        <f ca="1">IFERROR(__xludf.DUMMYFUNCTION("""COMPUTED_VALUE"""),"No")</f>
        <v>No</v>
      </c>
      <c r="AF225" s="1" t="str">
        <f ca="1">IFERROR(__xludf.DUMMYFUNCTION("""COMPUTED_VALUE"""),"No")</f>
        <v>No</v>
      </c>
      <c r="AG225" s="1" t="str">
        <f ca="1">IFERROR(__xludf.DUMMYFUNCTION("""COMPUTED_VALUE"""),"No")</f>
        <v>No</v>
      </c>
      <c r="AH225" s="1">
        <f ca="1">IFERROR(__xludf.DUMMYFUNCTION("""COMPUTED_VALUE"""),99)</f>
        <v>99</v>
      </c>
    </row>
    <row r="226" spans="1:34" ht="12.5">
      <c r="A226" s="1" t="str">
        <f ca="1">IFERROR(__xludf.DUMMYFUNCTION("""COMPUTED_VALUE"""),"20230818CAETR")</f>
        <v>20230818CAETR</v>
      </c>
      <c r="B226" s="1">
        <f ca="1">IFERROR(__xludf.DUMMYFUNCTION("""COMPUTED_VALUE"""),8)</f>
        <v>8</v>
      </c>
      <c r="C226" s="1">
        <f ca="1">IFERROR(__xludf.DUMMYFUNCTION("""COMPUTED_VALUE"""),18)</f>
        <v>18</v>
      </c>
      <c r="D226" s="1">
        <f ca="1">IFERROR(__xludf.DUMMYFUNCTION("""COMPUTED_VALUE"""),2023)</f>
        <v>2023</v>
      </c>
      <c r="E226" s="4">
        <f ca="1">IFERROR(__xludf.DUMMYFUNCTION("""COMPUTED_VALUE"""),45156)</f>
        <v>45156</v>
      </c>
      <c r="F226" s="1" t="str">
        <f ca="1">IFERROR(__xludf.DUMMYFUNCTION("""COMPUTED_VALUE"""),"Etiwanda High School")</f>
        <v>Etiwanda High School</v>
      </c>
      <c r="G226" s="1">
        <f ca="1">IFERROR(__xludf.DUMMYFUNCTION("""COMPUTED_VALUE"""),0)</f>
        <v>0</v>
      </c>
      <c r="H226" s="1">
        <f ca="1">IFERROR(__xludf.DUMMYFUNCTION("""COMPUTED_VALUE"""),1)</f>
        <v>1</v>
      </c>
      <c r="I226" s="1">
        <f ca="1">IFERROR(__xludf.DUMMYFUNCTION("""COMPUTED_VALUE"""),1)</f>
        <v>1</v>
      </c>
      <c r="J226" s="1">
        <f ca="1">IFERROR(__xludf.DUMMYFUNCTION("""COMPUTED_VALUE"""),0)</f>
        <v>0</v>
      </c>
      <c r="K226" s="1" t="str">
        <f ca="1">IFERROR(__xludf.DUMMYFUNCTION("""COMPUTED_VALUE"""),"Summer")</f>
        <v>Summer</v>
      </c>
      <c r="L226" s="1" t="str">
        <f ca="1">IFERROR(__xludf.DUMMYFUNCTION("""COMPUTED_VALUE"""),"Rancho Cucamonga")</f>
        <v>Rancho Cucamonga</v>
      </c>
      <c r="M226" s="1" t="str">
        <f ca="1">IFERROR(__xludf.DUMMYFUNCTION("""COMPUTED_VALUE"""),"CA")</f>
        <v>CA</v>
      </c>
      <c r="N226" s="1" t="str">
        <f ca="1">IFERROR(__xludf.DUMMYFUNCTION("""COMPUTED_VALUE"""),"High")</f>
        <v>High</v>
      </c>
      <c r="O226" s="1" t="str">
        <f ca="1">IFERROR(__xludf.DUMMYFUNCTION("""COMPUTED_VALUE"""),"Parking Lot")</f>
        <v>Parking Lot</v>
      </c>
      <c r="P226" s="1" t="str">
        <f ca="1">IFERROR(__xludf.DUMMYFUNCTION("""COMPUTED_VALUE"""),"Outside on School Property")</f>
        <v>Outside on School Property</v>
      </c>
      <c r="Q226" s="1" t="str">
        <f ca="1">IFERROR(__xludf.DUMMYFUNCTION("""COMPUTED_VALUE"""),"No")</f>
        <v>No</v>
      </c>
      <c r="R226" s="1" t="str">
        <f ca="1">IFERROR(__xludf.DUMMYFUNCTION("""COMPUTED_VALUE"""),"Sport Event")</f>
        <v>Sport Event</v>
      </c>
      <c r="S226" s="5">
        <f ca="1">IFERROR(__xludf.DUMMYFUNCTION("""COMPUTED_VALUE"""),0.849305555555555)</f>
        <v>0.84930555555555498</v>
      </c>
      <c r="T226" s="1">
        <f ca="1">IFERROR(__xludf.DUMMYFUNCTION("""COMPUTED_VALUE"""),1)</f>
        <v>1</v>
      </c>
      <c r="U226" s="1" t="str">
        <f ca="1">IFERROR(__xludf.DUMMYFUNCTION("""COMPUTED_VALUE"""),"Teen shot outside football game")</f>
        <v>Teen shot outside football game</v>
      </c>
      <c r="V226" s="1" t="str">
        <f ca="1">IFERROR(__xludf.DUMMYFUNCTION("""COMPUTED_VALUE"""),"A teenager was hospitalized after being shot during a high school football game in Rancho Cucamonga on Friday night. The victim, identified only as a 16-year-old boy, was attending a game at Etiwanda High School, according to the San Bernardino County She"&amp;"riff’s Department. Deputies responded to reports of a large group of juveniles fighting in the street in front of the school around 8:23 p.m. During the fight, an unidentified suspect fired gunshots, prompting the group of juveniles to run from the scene."&amp;" Arriving deputies found the injured victim with a non-life-threatening gunshot wound. He was transported to a local hospital where he remains in stable condition, authorities said ")</f>
        <v xml:space="preserve">A teenager was hospitalized after being shot during a high school football game in Rancho Cucamonga on Friday night. The victim, identified only as a 16-year-old boy, was attending a game at Etiwanda High School, according to the San Bernardino County Sheriff’s Department. Deputies responded to reports of a large group of juveniles fighting in the street in front of the school around 8:23 p.m. During the fight, an unidentified suspect fired gunshots, prompting the group of juveniles to run from the scene. Arriving deputies found the injured victim with a non-life-threatening gunshot wound. He was transported to a local hospital where he remains in stable condition, authorities said </v>
      </c>
      <c r="W226" s="1" t="str">
        <f ca="1">IFERROR(__xludf.DUMMYFUNCTION("""COMPUTED_VALUE"""),"Escalation of Dispute")</f>
        <v>Escalation of Dispute</v>
      </c>
      <c r="X226" s="1" t="str">
        <f ca="1">IFERROR(__xludf.DUMMYFUNCTION("""COMPUTED_VALUE"""),"Victims Targeted")</f>
        <v>Victims Targeted</v>
      </c>
      <c r="Y226" s="1" t="str">
        <f ca="1">IFERROR(__xludf.DUMMYFUNCTION("""COMPUTED_VALUE"""),"Yes")</f>
        <v>Yes</v>
      </c>
      <c r="Z226" s="1" t="str">
        <f ca="1">IFERROR(__xludf.DUMMYFUNCTION("""COMPUTED_VALUE"""),"Group in fight")</f>
        <v>Group in fight</v>
      </c>
      <c r="AA226" s="1" t="str">
        <f ca="1">IFERROR(__xludf.DUMMYFUNCTION("""COMPUTED_VALUE"""),"No")</f>
        <v>No</v>
      </c>
      <c r="AB226" s="1" t="str">
        <f ca="1">IFERROR(__xludf.DUMMYFUNCTION("""COMPUTED_VALUE"""),"No")</f>
        <v>No</v>
      </c>
      <c r="AC226" s="1" t="str">
        <f ca="1">IFERROR(__xludf.DUMMYFUNCTION("""COMPUTED_VALUE"""),"No")</f>
        <v>No</v>
      </c>
      <c r="AD226" s="1" t="str">
        <f ca="1">IFERROR(__xludf.DUMMYFUNCTION("""COMPUTED_VALUE"""),"No")</f>
        <v>No</v>
      </c>
      <c r="AE226" s="1" t="str">
        <f ca="1">IFERROR(__xludf.DUMMYFUNCTION("""COMPUTED_VALUE"""),"No")</f>
        <v>No</v>
      </c>
      <c r="AF226" s="1"/>
      <c r="AG226" s="1" t="str">
        <f ca="1">IFERROR(__xludf.DUMMYFUNCTION("""COMPUTED_VALUE"""),"No")</f>
        <v>No</v>
      </c>
      <c r="AH226" s="1">
        <f ca="1">IFERROR(__xludf.DUMMYFUNCTION("""COMPUTED_VALUE"""),99)</f>
        <v>99</v>
      </c>
    </row>
    <row r="227" spans="1:34" ht="12.5">
      <c r="A227" s="1" t="str">
        <f ca="1">IFERROR(__xludf.DUMMYFUNCTION("""COMPUTED_VALUE"""),"20230818GAJOJ")</f>
        <v>20230818GAJOJ</v>
      </c>
      <c r="B227" s="1">
        <f ca="1">IFERROR(__xludf.DUMMYFUNCTION("""COMPUTED_VALUE"""),8)</f>
        <v>8</v>
      </c>
      <c r="C227" s="1">
        <f ca="1">IFERROR(__xludf.DUMMYFUNCTION("""COMPUTED_VALUE"""),18)</f>
        <v>18</v>
      </c>
      <c r="D227" s="1">
        <f ca="1">IFERROR(__xludf.DUMMYFUNCTION("""COMPUTED_VALUE"""),2023)</f>
        <v>2023</v>
      </c>
      <c r="E227" s="4">
        <f ca="1">IFERROR(__xludf.DUMMYFUNCTION("""COMPUTED_VALUE"""),45156)</f>
        <v>45156</v>
      </c>
      <c r="F227" s="1" t="str">
        <f ca="1">IFERROR(__xludf.DUMMYFUNCTION("""COMPUTED_VALUE"""),"Jonesboro High School")</f>
        <v>Jonesboro High School</v>
      </c>
      <c r="G227" s="1">
        <f ca="1">IFERROR(__xludf.DUMMYFUNCTION("""COMPUTED_VALUE"""),0)</f>
        <v>0</v>
      </c>
      <c r="H227" s="1">
        <f ca="1">IFERROR(__xludf.DUMMYFUNCTION("""COMPUTED_VALUE"""),1)</f>
        <v>1</v>
      </c>
      <c r="I227" s="1">
        <f ca="1">IFERROR(__xludf.DUMMYFUNCTION("""COMPUTED_VALUE"""),1)</f>
        <v>1</v>
      </c>
      <c r="J227" s="1">
        <f ca="1">IFERROR(__xludf.DUMMYFUNCTION("""COMPUTED_VALUE"""),0)</f>
        <v>0</v>
      </c>
      <c r="K227" s="1" t="str">
        <f ca="1">IFERROR(__xludf.DUMMYFUNCTION("""COMPUTED_VALUE"""),"Summer")</f>
        <v>Summer</v>
      </c>
      <c r="L227" s="1" t="str">
        <f ca="1">IFERROR(__xludf.DUMMYFUNCTION("""COMPUTED_VALUE"""),"Jonesboro")</f>
        <v>Jonesboro</v>
      </c>
      <c r="M227" s="1" t="str">
        <f ca="1">IFERROR(__xludf.DUMMYFUNCTION("""COMPUTED_VALUE"""),"GA")</f>
        <v>GA</v>
      </c>
      <c r="N227" s="1" t="str">
        <f ca="1">IFERROR(__xludf.DUMMYFUNCTION("""COMPUTED_VALUE"""),"High")</f>
        <v>High</v>
      </c>
      <c r="O227" s="1" t="str">
        <f ca="1">IFERROR(__xludf.DUMMYFUNCTION("""COMPUTED_VALUE"""),"Parking Lot")</f>
        <v>Parking Lot</v>
      </c>
      <c r="P227" s="1" t="str">
        <f ca="1">IFERROR(__xludf.DUMMYFUNCTION("""COMPUTED_VALUE"""),"Outside on School Property")</f>
        <v>Outside on School Property</v>
      </c>
      <c r="Q227" s="1" t="str">
        <f ca="1">IFERROR(__xludf.DUMMYFUNCTION("""COMPUTED_VALUE"""),"No")</f>
        <v>No</v>
      </c>
      <c r="R227" s="1" t="str">
        <f ca="1">IFERROR(__xludf.DUMMYFUNCTION("""COMPUTED_VALUE"""),"Sport Event")</f>
        <v>Sport Event</v>
      </c>
      <c r="S227" s="5">
        <f ca="1">IFERROR(__xludf.DUMMYFUNCTION("""COMPUTED_VALUE"""),0.934722222222222)</f>
        <v>0.93472222222222201</v>
      </c>
      <c r="T227" s="1">
        <f ca="1">IFERROR(__xludf.DUMMYFUNCTION("""COMPUTED_VALUE"""),1)</f>
        <v>1</v>
      </c>
      <c r="U227" s="1" t="str">
        <f ca="1">IFERROR(__xludf.DUMMYFUNCTION("""COMPUTED_VALUE"""),"Student shot during robbery in parking lot during football game")</f>
        <v>Student shot during robbery in parking lot during football game</v>
      </c>
      <c r="V227" s="1" t="str">
        <f ca="1">IFERROR(__xludf.DUMMYFUNCTION("""COMPUTED_VALUE"""),"Around 10:26 p.m., the school district said that an 18-year-old was shot in the parking lot after someone attempted to rob him. The teen was taken to the hospital, and officials expect him to be OK. ")</f>
        <v xml:space="preserve">Around 10:26 p.m., the school district said that an 18-year-old was shot in the parking lot after someone attempted to rob him. The teen was taken to the hospital, and officials expect him to be OK. </v>
      </c>
      <c r="W227" s="1" t="str">
        <f ca="1">IFERROR(__xludf.DUMMYFUNCTION("""COMPUTED_VALUE"""),"Illegal Activity")</f>
        <v>Illegal Activity</v>
      </c>
      <c r="X227" s="1" t="str">
        <f ca="1">IFERROR(__xludf.DUMMYFUNCTION("""COMPUTED_VALUE"""),"Victims Targeted")</f>
        <v>Victims Targeted</v>
      </c>
      <c r="Y227" s="1" t="str">
        <f ca="1">IFERROR(__xludf.DUMMYFUNCTION("""COMPUTED_VALUE"""),"No")</f>
        <v>No</v>
      </c>
      <c r="Z227" s="1"/>
      <c r="AA227" s="1" t="str">
        <f ca="1">IFERROR(__xludf.DUMMYFUNCTION("""COMPUTED_VALUE"""),"No")</f>
        <v>No</v>
      </c>
      <c r="AB227" s="1" t="str">
        <f ca="1">IFERROR(__xludf.DUMMYFUNCTION("""COMPUTED_VALUE"""),"No")</f>
        <v>No</v>
      </c>
      <c r="AC227" s="1" t="str">
        <f ca="1">IFERROR(__xludf.DUMMYFUNCTION("""COMPUTED_VALUE"""),"No")</f>
        <v>No</v>
      </c>
      <c r="AD227" s="1" t="str">
        <f ca="1">IFERROR(__xludf.DUMMYFUNCTION("""COMPUTED_VALUE"""),"No")</f>
        <v>No</v>
      </c>
      <c r="AE227" s="1" t="str">
        <f ca="1">IFERROR(__xludf.DUMMYFUNCTION("""COMPUTED_VALUE"""),"No")</f>
        <v>No</v>
      </c>
      <c r="AF227" s="1" t="str">
        <f ca="1">IFERROR(__xludf.DUMMYFUNCTION("""COMPUTED_VALUE"""),"No")</f>
        <v>No</v>
      </c>
      <c r="AG227" s="1" t="str">
        <f ca="1">IFERROR(__xludf.DUMMYFUNCTION("""COMPUTED_VALUE"""),"No")</f>
        <v>No</v>
      </c>
      <c r="AH227" s="1">
        <f ca="1">IFERROR(__xludf.DUMMYFUNCTION("""COMPUTED_VALUE"""),1)</f>
        <v>1</v>
      </c>
    </row>
    <row r="228" spans="1:34" ht="12.5">
      <c r="A228" s="1" t="str">
        <f ca="1">IFERROR(__xludf.DUMMYFUNCTION("""COMPUTED_VALUE"""),"20230818MSPAP")</f>
        <v>20230818MSPAP</v>
      </c>
      <c r="B228" s="1">
        <f ca="1">IFERROR(__xludf.DUMMYFUNCTION("""COMPUTED_VALUE"""),8)</f>
        <v>8</v>
      </c>
      <c r="C228" s="1">
        <f ca="1">IFERROR(__xludf.DUMMYFUNCTION("""COMPUTED_VALUE"""),18)</f>
        <v>18</v>
      </c>
      <c r="D228" s="1">
        <f ca="1">IFERROR(__xludf.DUMMYFUNCTION("""COMPUTED_VALUE"""),2023)</f>
        <v>2023</v>
      </c>
      <c r="E228" s="4">
        <f ca="1">IFERROR(__xludf.DUMMYFUNCTION("""COMPUTED_VALUE"""),45156)</f>
        <v>45156</v>
      </c>
      <c r="F228" s="1" t="str">
        <f ca="1">IFERROR(__xludf.DUMMYFUNCTION("""COMPUTED_VALUE"""),"Pascagoula High School")</f>
        <v>Pascagoula High School</v>
      </c>
      <c r="G228" s="1">
        <f ca="1">IFERROR(__xludf.DUMMYFUNCTION("""COMPUTED_VALUE"""),0)</f>
        <v>0</v>
      </c>
      <c r="H228" s="1">
        <f ca="1">IFERROR(__xludf.DUMMYFUNCTION("""COMPUTED_VALUE"""),1)</f>
        <v>1</v>
      </c>
      <c r="I228" s="1">
        <f ca="1">IFERROR(__xludf.DUMMYFUNCTION("""COMPUTED_VALUE"""),1)</f>
        <v>1</v>
      </c>
      <c r="J228" s="1">
        <f ca="1">IFERROR(__xludf.DUMMYFUNCTION("""COMPUTED_VALUE"""),0)</f>
        <v>0</v>
      </c>
      <c r="K228" s="1" t="str">
        <f ca="1">IFERROR(__xludf.DUMMYFUNCTION("""COMPUTED_VALUE"""),"Summer")</f>
        <v>Summer</v>
      </c>
      <c r="L228" s="1" t="str">
        <f ca="1">IFERROR(__xludf.DUMMYFUNCTION("""COMPUTED_VALUE"""),"Pascagoula")</f>
        <v>Pascagoula</v>
      </c>
      <c r="M228" s="1" t="str">
        <f ca="1">IFERROR(__xludf.DUMMYFUNCTION("""COMPUTED_VALUE"""),"MS")</f>
        <v>MS</v>
      </c>
      <c r="N228" s="1" t="str">
        <f ca="1">IFERROR(__xludf.DUMMYFUNCTION("""COMPUTED_VALUE"""),"High")</f>
        <v>High</v>
      </c>
      <c r="O228" s="1" t="str">
        <f ca="1">IFERROR(__xludf.DUMMYFUNCTION("""COMPUTED_VALUE"""),"Parking Lot")</f>
        <v>Parking Lot</v>
      </c>
      <c r="P228" s="1" t="str">
        <f ca="1">IFERROR(__xludf.DUMMYFUNCTION("""COMPUTED_VALUE"""),"Outside on School Property")</f>
        <v>Outside on School Property</v>
      </c>
      <c r="Q228" s="1" t="str">
        <f ca="1">IFERROR(__xludf.DUMMYFUNCTION("""COMPUTED_VALUE"""),"No")</f>
        <v>No</v>
      </c>
      <c r="R228" s="1" t="str">
        <f ca="1">IFERROR(__xludf.DUMMYFUNCTION("""COMPUTED_VALUE"""),"Sport Event")</f>
        <v>Sport Event</v>
      </c>
      <c r="S228" s="5">
        <f ca="1">IFERROR(__xludf.DUMMYFUNCTION("""COMPUTED_VALUE"""),0.888194444444444)</f>
        <v>0.88819444444444395</v>
      </c>
      <c r="T228" s="1">
        <f ca="1">IFERROR(__xludf.DUMMYFUNCTION("""COMPUTED_VALUE"""),1)</f>
        <v>1</v>
      </c>
      <c r="U228" s="1" t="str">
        <f ca="1">IFERROR(__xludf.DUMMYFUNCTION("""COMPUTED_VALUE"""),"Teen shot outside football field after game")</f>
        <v>Teen shot outside football field after game</v>
      </c>
      <c r="V228" s="1" t="str">
        <f ca="1">IFERROR(__xludf.DUMMYFUNCTION("""COMPUTED_VALUE"""),"Pascagoula Police announced a 16-year-old was shot near Pascagoula High School just moments after the Ocean Springs and Pascagoula football teams finished their Friday night scrimmage.")</f>
        <v>Pascagoula Police announced a 16-year-old was shot near Pascagoula High School just moments after the Ocean Springs and Pascagoula football teams finished their Friday night scrimmage.</v>
      </c>
      <c r="W228" s="1"/>
      <c r="X228" s="1" t="str">
        <f ca="1">IFERROR(__xludf.DUMMYFUNCTION("""COMPUTED_VALUE"""),"Victims Targeted")</f>
        <v>Victims Targeted</v>
      </c>
      <c r="Y228" s="1" t="str">
        <f ca="1">IFERROR(__xludf.DUMMYFUNCTION("""COMPUTED_VALUE"""),"No")</f>
        <v>No</v>
      </c>
      <c r="Z228" s="1"/>
      <c r="AA228" s="1" t="str">
        <f ca="1">IFERROR(__xludf.DUMMYFUNCTION("""COMPUTED_VALUE"""),"No")</f>
        <v>No</v>
      </c>
      <c r="AB228" s="1" t="str">
        <f ca="1">IFERROR(__xludf.DUMMYFUNCTION("""COMPUTED_VALUE"""),"No")</f>
        <v>No</v>
      </c>
      <c r="AC228" s="1" t="str">
        <f ca="1">IFERROR(__xludf.DUMMYFUNCTION("""COMPUTED_VALUE"""),"No")</f>
        <v>No</v>
      </c>
      <c r="AD228" s="1" t="str">
        <f ca="1">IFERROR(__xludf.DUMMYFUNCTION("""COMPUTED_VALUE"""),"No")</f>
        <v>No</v>
      </c>
      <c r="AE228" s="1" t="str">
        <f ca="1">IFERROR(__xludf.DUMMYFUNCTION("""COMPUTED_VALUE"""),"No")</f>
        <v>No</v>
      </c>
      <c r="AF228" s="1"/>
      <c r="AG228" s="1" t="str">
        <f ca="1">IFERROR(__xludf.DUMMYFUNCTION("""COMPUTED_VALUE"""),"No")</f>
        <v>No</v>
      </c>
      <c r="AH228" s="1">
        <f ca="1">IFERROR(__xludf.DUMMYFUNCTION("""COMPUTED_VALUE"""),8)</f>
        <v>8</v>
      </c>
    </row>
    <row r="229" spans="1:34" ht="12.5">
      <c r="A229" s="1" t="str">
        <f ca="1">IFERROR(__xludf.DUMMYFUNCTION("""COMPUTED_VALUE"""),"20230818FLFIJ")</f>
        <v>20230818FLFIJ</v>
      </c>
      <c r="B229" s="1">
        <f ca="1">IFERROR(__xludf.DUMMYFUNCTION("""COMPUTED_VALUE"""),8)</f>
        <v>8</v>
      </c>
      <c r="C229" s="1">
        <f ca="1">IFERROR(__xludf.DUMMYFUNCTION("""COMPUTED_VALUE"""),18)</f>
        <v>18</v>
      </c>
      <c r="D229" s="1">
        <f ca="1">IFERROR(__xludf.DUMMYFUNCTION("""COMPUTED_VALUE"""),2023)</f>
        <v>2023</v>
      </c>
      <c r="E229" s="4">
        <f ca="1">IFERROR(__xludf.DUMMYFUNCTION("""COMPUTED_VALUE"""),45156)</f>
        <v>45156</v>
      </c>
      <c r="F229" s="1" t="str">
        <f ca="1">IFERROR(__xludf.DUMMYFUNCTION("""COMPUTED_VALUE"""),"First Coast High School")</f>
        <v>First Coast High School</v>
      </c>
      <c r="G229" s="1">
        <f ca="1">IFERROR(__xludf.DUMMYFUNCTION("""COMPUTED_VALUE"""),0)</f>
        <v>0</v>
      </c>
      <c r="H229" s="1">
        <f ca="1">IFERROR(__xludf.DUMMYFUNCTION("""COMPUTED_VALUE"""),0)</f>
        <v>0</v>
      </c>
      <c r="I229" s="1">
        <f ca="1">IFERROR(__xludf.DUMMYFUNCTION("""COMPUTED_VALUE"""),0)</f>
        <v>0</v>
      </c>
      <c r="J229" s="1">
        <f ca="1">IFERROR(__xludf.DUMMYFUNCTION("""COMPUTED_VALUE"""),0)</f>
        <v>0</v>
      </c>
      <c r="K229" s="1" t="str">
        <f ca="1">IFERROR(__xludf.DUMMYFUNCTION("""COMPUTED_VALUE"""),"Summer")</f>
        <v>Summer</v>
      </c>
      <c r="L229" s="1" t="str">
        <f ca="1">IFERROR(__xludf.DUMMYFUNCTION("""COMPUTED_VALUE"""),"Jacksonville")</f>
        <v>Jacksonville</v>
      </c>
      <c r="M229" s="1" t="str">
        <f ca="1">IFERROR(__xludf.DUMMYFUNCTION("""COMPUTED_VALUE"""),"FL")</f>
        <v>FL</v>
      </c>
      <c r="N229" s="1" t="str">
        <f ca="1">IFERROR(__xludf.DUMMYFUNCTION("""COMPUTED_VALUE"""),"High")</f>
        <v>High</v>
      </c>
      <c r="O229" s="1" t="str">
        <f ca="1">IFERROR(__xludf.DUMMYFUNCTION("""COMPUTED_VALUE"""),"Football Field/Track")</f>
        <v>Football Field/Track</v>
      </c>
      <c r="P229" s="1" t="str">
        <f ca="1">IFERROR(__xludf.DUMMYFUNCTION("""COMPUTED_VALUE"""),"Outside on School Property")</f>
        <v>Outside on School Property</v>
      </c>
      <c r="Q229" s="1" t="str">
        <f ca="1">IFERROR(__xludf.DUMMYFUNCTION("""COMPUTED_VALUE"""),"No")</f>
        <v>No</v>
      </c>
      <c r="R229" s="1" t="str">
        <f ca="1">IFERROR(__xludf.DUMMYFUNCTION("""COMPUTED_VALUE"""),"Sport Event")</f>
        <v>Sport Event</v>
      </c>
      <c r="S229" s="5">
        <f ca="1">IFERROR(__xludf.DUMMYFUNCTION("""COMPUTED_VALUE"""),0.875)</f>
        <v>0.875</v>
      </c>
      <c r="T229" s="1">
        <f ca="1">IFERROR(__xludf.DUMMYFUNCTION("""COMPUTED_VALUE"""),1)</f>
        <v>1</v>
      </c>
      <c r="U229" s="1" t="str">
        <f ca="1">IFERROR(__xludf.DUMMYFUNCTION("""COMPUTED_VALUE"""),"20 shots fired into crowd during large fight that ended football game early")</f>
        <v>20 shots fired into crowd during large fight that ended football game early</v>
      </c>
      <c r="V229" s="1" t="str">
        <f ca="1">IFERROR(__xludf.DUMMYFUNCTION("""COMPUTED_VALUE"""),"20 shots fired into crowd during large fight that ended football game early. Jacksonville officers had a car pulled over arresting two occupants for illegal firearms outside of the school when large crowds began to exit the game, police said. Several figh"&amp;"ts broke out in the crowd when the suspect began firing a gun, police said. Officers chased the suspect into a nearby parking lot and wooded area returning fire striking him in the lower extremities and a bullet grazed his head. Officers were able to arre"&amp;"st the juvenile and he was taken to the hospital for treatment, police said.")</f>
        <v>20 shots fired into crowd during large fight that ended football game early. Jacksonville officers had a car pulled over arresting two occupants for illegal firearms outside of the school when large crowds began to exit the game, police said. Several fights broke out in the crowd when the suspect began firing a gun, police said. Officers chased the suspect into a nearby parking lot and wooded area returning fire striking him in the lower extremities and a bullet grazed his head. Officers were able to arrest the juvenile and he was taken to the hospital for treatment, police said.</v>
      </c>
      <c r="W229" s="1" t="str">
        <f ca="1">IFERROR(__xludf.DUMMYFUNCTION("""COMPUTED_VALUE"""),"Escalation of Dispute")</f>
        <v>Escalation of Dispute</v>
      </c>
      <c r="X229" s="1" t="str">
        <f ca="1">IFERROR(__xludf.DUMMYFUNCTION("""COMPUTED_VALUE"""),"Both")</f>
        <v>Both</v>
      </c>
      <c r="Y229" s="1" t="str">
        <f ca="1">IFERROR(__xludf.DUMMYFUNCTION("""COMPUTED_VALUE"""),"No")</f>
        <v>No</v>
      </c>
      <c r="Z229" s="1"/>
      <c r="AA229" s="1" t="str">
        <f ca="1">IFERROR(__xludf.DUMMYFUNCTION("""COMPUTED_VALUE"""),"No")</f>
        <v>No</v>
      </c>
      <c r="AB229" s="1" t="str">
        <f ca="1">IFERROR(__xludf.DUMMYFUNCTION("""COMPUTED_VALUE"""),"No")</f>
        <v>No</v>
      </c>
      <c r="AC229" s="1" t="str">
        <f ca="1">IFERROR(__xludf.DUMMYFUNCTION("""COMPUTED_VALUE"""),"No")</f>
        <v>No</v>
      </c>
      <c r="AD229" s="1" t="str">
        <f ca="1">IFERROR(__xludf.DUMMYFUNCTION("""COMPUTED_VALUE"""),"No")</f>
        <v>No</v>
      </c>
      <c r="AE229" s="1" t="str">
        <f ca="1">IFERROR(__xludf.DUMMYFUNCTION("""COMPUTED_VALUE"""),"No")</f>
        <v>No</v>
      </c>
      <c r="AF229" s="1" t="str">
        <f ca="1">IFERROR(__xludf.DUMMYFUNCTION("""COMPUTED_VALUE"""),"Yes")</f>
        <v>Yes</v>
      </c>
      <c r="AG229" s="1" t="str">
        <f ca="1">IFERROR(__xludf.DUMMYFUNCTION("""COMPUTED_VALUE"""),"No")</f>
        <v>No</v>
      </c>
      <c r="AH229" s="1">
        <f ca="1">IFERROR(__xludf.DUMMYFUNCTION("""COMPUTED_VALUE"""),20)</f>
        <v>20</v>
      </c>
    </row>
    <row r="230" spans="1:34" ht="12.5">
      <c r="A230" s="1" t="str">
        <f ca="1">IFERROR(__xludf.DUMMYFUNCTION("""COMPUTED_VALUE"""),"20230816GAJOA")</f>
        <v>20230816GAJOA</v>
      </c>
      <c r="B230" s="1">
        <f ca="1">IFERROR(__xludf.DUMMYFUNCTION("""COMPUTED_VALUE"""),8)</f>
        <v>8</v>
      </c>
      <c r="C230" s="1">
        <f ca="1">IFERROR(__xludf.DUMMYFUNCTION("""COMPUTED_VALUE"""),16)</f>
        <v>16</v>
      </c>
      <c r="D230" s="1">
        <f ca="1">IFERROR(__xludf.DUMMYFUNCTION("""COMPUTED_VALUE"""),2023)</f>
        <v>2023</v>
      </c>
      <c r="E230" s="4">
        <f ca="1">IFERROR(__xludf.DUMMYFUNCTION("""COMPUTED_VALUE"""),45154)</f>
        <v>45154</v>
      </c>
      <c r="F230" s="1" t="str">
        <f ca="1">IFERROR(__xludf.DUMMYFUNCTION("""COMPUTED_VALUE"""),"T. W. Josey High School")</f>
        <v>T. W. Josey High School</v>
      </c>
      <c r="G230" s="1">
        <f ca="1">IFERROR(__xludf.DUMMYFUNCTION("""COMPUTED_VALUE"""),0)</f>
        <v>0</v>
      </c>
      <c r="H230" s="1">
        <f ca="1">IFERROR(__xludf.DUMMYFUNCTION("""COMPUTED_VALUE"""),1)</f>
        <v>1</v>
      </c>
      <c r="I230" s="1">
        <f ca="1">IFERROR(__xludf.DUMMYFUNCTION("""COMPUTED_VALUE"""),1)</f>
        <v>1</v>
      </c>
      <c r="J230" s="1">
        <f ca="1">IFERROR(__xludf.DUMMYFUNCTION("""COMPUTED_VALUE"""),0)</f>
        <v>0</v>
      </c>
      <c r="K230" s="1" t="str">
        <f ca="1">IFERROR(__xludf.DUMMYFUNCTION("""COMPUTED_VALUE"""),"Summer")</f>
        <v>Summer</v>
      </c>
      <c r="L230" s="1" t="str">
        <f ca="1">IFERROR(__xludf.DUMMYFUNCTION("""COMPUTED_VALUE"""),"Augusta")</f>
        <v>Augusta</v>
      </c>
      <c r="M230" s="1" t="str">
        <f ca="1">IFERROR(__xludf.DUMMYFUNCTION("""COMPUTED_VALUE"""),"GA")</f>
        <v>GA</v>
      </c>
      <c r="N230" s="1" t="str">
        <f ca="1">IFERROR(__xludf.DUMMYFUNCTION("""COMPUTED_VALUE"""),"High")</f>
        <v>High</v>
      </c>
      <c r="O230" s="1" t="str">
        <f ca="1">IFERROR(__xludf.DUMMYFUNCTION("""COMPUTED_VALUE"""),"Cafeteria")</f>
        <v>Cafeteria</v>
      </c>
      <c r="P230" s="1" t="str">
        <f ca="1">IFERROR(__xludf.DUMMYFUNCTION("""COMPUTED_VALUE"""),"Inside School Building")</f>
        <v>Inside School Building</v>
      </c>
      <c r="Q230" s="1" t="str">
        <f ca="1">IFERROR(__xludf.DUMMYFUNCTION("""COMPUTED_VALUE"""),"Yes")</f>
        <v>Yes</v>
      </c>
      <c r="R230" s="1" t="str">
        <f ca="1">IFERROR(__xludf.DUMMYFUNCTION("""COMPUTED_VALUE"""),"Lunch")</f>
        <v>Lunch</v>
      </c>
      <c r="S230" s="5">
        <f ca="1">IFERROR(__xludf.DUMMYFUNCTION("""COMPUTED_VALUE"""),0.458333333333333)</f>
        <v>0.45833333333333298</v>
      </c>
      <c r="T230" s="1">
        <f ca="1">IFERROR(__xludf.DUMMYFUNCTION("""COMPUTED_VALUE"""),1)</f>
        <v>1</v>
      </c>
      <c r="U230" s="1" t="str">
        <f ca="1">IFERROR(__xludf.DUMMYFUNCTION("""COMPUTED_VALUE"""),"Student shot during fight in cafeteria")</f>
        <v>Student shot during fight in cafeteria</v>
      </c>
      <c r="V230" s="1" t="str">
        <f ca="1">IFERROR(__xludf.DUMMYFUNCTION("""COMPUTED_VALUE"""),"Richmond County Sheriff Richard Roundtree said two students got into an altercation that boiled over into a shooting inside the school. The victim’s injuries weren’t life-threatening, and the suspect remained at-large, authorities said Wednesday afternoon"&amp;" during a news conference at the Richmond County Board of Education office.")</f>
        <v>Richmond County Sheriff Richard Roundtree said two students got into an altercation that boiled over into a shooting inside the school. The victim’s injuries weren’t life-threatening, and the suspect remained at-large, authorities said Wednesday afternoon during a news conference at the Richmond County Board of Education office.</v>
      </c>
      <c r="W230" s="1" t="str">
        <f ca="1">IFERROR(__xludf.DUMMYFUNCTION("""COMPUTED_VALUE"""),"Escalation of Dispute")</f>
        <v>Escalation of Dispute</v>
      </c>
      <c r="X230" s="1" t="str">
        <f ca="1">IFERROR(__xludf.DUMMYFUNCTION("""COMPUTED_VALUE"""),"Victims Targeted")</f>
        <v>Victims Targeted</v>
      </c>
      <c r="Y230" s="1" t="str">
        <f ca="1">IFERROR(__xludf.DUMMYFUNCTION("""COMPUTED_VALUE"""),"No")</f>
        <v>No</v>
      </c>
      <c r="Z230" s="1"/>
      <c r="AA230" s="1" t="str">
        <f ca="1">IFERROR(__xludf.DUMMYFUNCTION("""COMPUTED_VALUE"""),"No")</f>
        <v>No</v>
      </c>
      <c r="AB230" s="1" t="str">
        <f ca="1">IFERROR(__xludf.DUMMYFUNCTION("""COMPUTED_VALUE"""),"No")</f>
        <v>No</v>
      </c>
      <c r="AC230" s="1" t="str">
        <f ca="1">IFERROR(__xludf.DUMMYFUNCTION("""COMPUTED_VALUE"""),"No")</f>
        <v>No</v>
      </c>
      <c r="AD230" s="1" t="str">
        <f ca="1">IFERROR(__xludf.DUMMYFUNCTION("""COMPUTED_VALUE"""),"No")</f>
        <v>No</v>
      </c>
      <c r="AE230" s="1" t="str">
        <f ca="1">IFERROR(__xludf.DUMMYFUNCTION("""COMPUTED_VALUE"""),"No")</f>
        <v>No</v>
      </c>
      <c r="AF230" s="1" t="str">
        <f ca="1">IFERROR(__xludf.DUMMYFUNCTION("""COMPUTED_VALUE"""),"No")</f>
        <v>No</v>
      </c>
      <c r="AG230" s="1" t="str">
        <f ca="1">IFERROR(__xludf.DUMMYFUNCTION("""COMPUTED_VALUE"""),"No")</f>
        <v>No</v>
      </c>
      <c r="AH230" s="1">
        <f ca="1">IFERROR(__xludf.DUMMYFUNCTION("""COMPUTED_VALUE"""),2)</f>
        <v>2</v>
      </c>
    </row>
    <row r="231" spans="1:34" ht="12.5">
      <c r="A231" s="1" t="str">
        <f ca="1">IFERROR(__xludf.DUMMYFUNCTION("""COMPUTED_VALUE"""),"20230813NEWON")</f>
        <v>20230813NEWON</v>
      </c>
      <c r="B231" s="1">
        <f ca="1">IFERROR(__xludf.DUMMYFUNCTION("""COMPUTED_VALUE"""),8)</f>
        <v>8</v>
      </c>
      <c r="C231" s="1">
        <f ca="1">IFERROR(__xludf.DUMMYFUNCTION("""COMPUTED_VALUE"""),13)</f>
        <v>13</v>
      </c>
      <c r="D231" s="1">
        <f ca="1">IFERROR(__xludf.DUMMYFUNCTION("""COMPUTED_VALUE"""),2023)</f>
        <v>2023</v>
      </c>
      <c r="E231" s="4">
        <f ca="1">IFERROR(__xludf.DUMMYFUNCTION("""COMPUTED_VALUE"""),45151)</f>
        <v>45151</v>
      </c>
      <c r="F231" s="1" t="str">
        <f ca="1">IFERROR(__xludf.DUMMYFUNCTION("""COMPUTED_VALUE"""),"Woodland Park Elementary")</f>
        <v>Woodland Park Elementary</v>
      </c>
      <c r="G231" s="1">
        <f ca="1">IFERROR(__xludf.DUMMYFUNCTION("""COMPUTED_VALUE"""),0)</f>
        <v>0</v>
      </c>
      <c r="H231" s="1">
        <f ca="1">IFERROR(__xludf.DUMMYFUNCTION("""COMPUTED_VALUE"""),0)</f>
        <v>0</v>
      </c>
      <c r="I231" s="1">
        <f ca="1">IFERROR(__xludf.DUMMYFUNCTION("""COMPUTED_VALUE"""),0)</f>
        <v>0</v>
      </c>
      <c r="J231" s="1">
        <f ca="1">IFERROR(__xludf.DUMMYFUNCTION("""COMPUTED_VALUE"""),0)</f>
        <v>0</v>
      </c>
      <c r="K231" s="1" t="str">
        <f ca="1">IFERROR(__xludf.DUMMYFUNCTION("""COMPUTED_VALUE"""),"Summer")</f>
        <v>Summer</v>
      </c>
      <c r="L231" s="1" t="str">
        <f ca="1">IFERROR(__xludf.DUMMYFUNCTION("""COMPUTED_VALUE"""),"Norfolk")</f>
        <v>Norfolk</v>
      </c>
      <c r="M231" s="1" t="str">
        <f ca="1">IFERROR(__xludf.DUMMYFUNCTION("""COMPUTED_VALUE"""),"NE")</f>
        <v>NE</v>
      </c>
      <c r="N231" s="1" t="str">
        <f ca="1">IFERROR(__xludf.DUMMYFUNCTION("""COMPUTED_VALUE"""),"Elementary")</f>
        <v>Elementary</v>
      </c>
      <c r="O231" s="1" t="str">
        <f ca="1">IFERROR(__xludf.DUMMYFUNCTION("""COMPUTED_VALUE"""),"Outside on School Property")</f>
        <v>Outside on School Property</v>
      </c>
      <c r="P231" s="1" t="str">
        <f ca="1">IFERROR(__xludf.DUMMYFUNCTION("""COMPUTED_VALUE"""),"Outside on School Property")</f>
        <v>Outside on School Property</v>
      </c>
      <c r="Q231" s="1" t="str">
        <f ca="1">IFERROR(__xludf.DUMMYFUNCTION("""COMPUTED_VALUE"""),"No")</f>
        <v>No</v>
      </c>
      <c r="R231" s="1" t="str">
        <f ca="1">IFERROR(__xludf.DUMMYFUNCTION("""COMPUTED_VALUE"""),"Night")</f>
        <v>Night</v>
      </c>
      <c r="S231" s="5">
        <f ca="1">IFERROR(__xludf.DUMMYFUNCTION("""COMPUTED_VALUE"""),0.09375)</f>
        <v>9.375E-2</v>
      </c>
      <c r="T231" s="1">
        <f ca="1">IFERROR(__xludf.DUMMYFUNCTION("""COMPUTED_VALUE"""),1)</f>
        <v>1</v>
      </c>
      <c r="U231" s="1" t="str">
        <f ca="1">IFERROR(__xludf.DUMMYFUNCTION("""COMPUTED_VALUE"""),"Three teens arrested for firing guns outside the school")</f>
        <v>Three teens arrested for firing guns outside the school</v>
      </c>
      <c r="V231" s="1" t="str">
        <f ca="1">IFERROR(__xludf.DUMMYFUNCTION("""COMPUTED_VALUE"""),"A 14-year-old boy carrying a prop handgun and a 13-year-old girl were detained near the school grounds. While being arrested, the 14-year-old boy fled on foot but was subsequently found near his home and detained. Another 14-year-old boy was arrested. Thi"&amp;"s teen was found at the home the other boy had fled to and they reportedly refused to cooperate with police. Authorities say this boy was identified as the shooter and resisted arrest as well. Ammunition was allegedly found on him and authorities believe "&amp;"he got rid of the handgun at some point after the shooting. All three teens were on probation for previous offenses. Both boys were detained while the girl was released to their mother. Authorities have not found the gun but believe it is somewhere near t"&amp;"he school.")</f>
        <v>A 14-year-old boy carrying a prop handgun and a 13-year-old girl were detained near the school grounds. While being arrested, the 14-year-old boy fled on foot but was subsequently found near his home and detained. Another 14-year-old boy was arrested. This teen was found at the home the other boy had fled to and they reportedly refused to cooperate with police. Authorities say this boy was identified as the shooter and resisted arrest as well. Ammunition was allegedly found on him and authorities believe he got rid of the handgun at some point after the shooting. All three teens were on probation for previous offenses. Both boys were detained while the girl was released to their mother. Authorities have not found the gun but believe it is somewhere near the school.</v>
      </c>
      <c r="W231" s="1" t="str">
        <f ca="1">IFERROR(__xludf.DUMMYFUNCTION("""COMPUTED_VALUE"""),"Intentional Property Damage")</f>
        <v>Intentional Property Damage</v>
      </c>
      <c r="X231" s="1" t="str">
        <f ca="1">IFERROR(__xludf.DUMMYFUNCTION("""COMPUTED_VALUE"""),"Neither")</f>
        <v>Neither</v>
      </c>
      <c r="Y231" s="1" t="str">
        <f ca="1">IFERROR(__xludf.DUMMYFUNCTION("""COMPUTED_VALUE"""),"Yes")</f>
        <v>Yes</v>
      </c>
      <c r="Z231" s="1" t="str">
        <f ca="1">IFERROR(__xludf.DUMMYFUNCTION("""COMPUTED_VALUE"""),"Three teens")</f>
        <v>Three teens</v>
      </c>
      <c r="AA231" s="1" t="str">
        <f ca="1">IFERROR(__xludf.DUMMYFUNCTION("""COMPUTED_VALUE"""),"No")</f>
        <v>No</v>
      </c>
      <c r="AB231" s="1" t="str">
        <f ca="1">IFERROR(__xludf.DUMMYFUNCTION("""COMPUTED_VALUE"""),"No")</f>
        <v>No</v>
      </c>
      <c r="AC231" s="1" t="str">
        <f ca="1">IFERROR(__xludf.DUMMYFUNCTION("""COMPUTED_VALUE"""),"No")</f>
        <v>No</v>
      </c>
      <c r="AD231" s="1" t="str">
        <f ca="1">IFERROR(__xludf.DUMMYFUNCTION("""COMPUTED_VALUE"""),"No")</f>
        <v>No</v>
      </c>
      <c r="AE231" s="1" t="str">
        <f ca="1">IFERROR(__xludf.DUMMYFUNCTION("""COMPUTED_VALUE"""),"No")</f>
        <v>No</v>
      </c>
      <c r="AF231" s="1" t="str">
        <f ca="1">IFERROR(__xludf.DUMMYFUNCTION("""COMPUTED_VALUE"""),"No")</f>
        <v>No</v>
      </c>
      <c r="AG231" s="1" t="str">
        <f ca="1">IFERROR(__xludf.DUMMYFUNCTION("""COMPUTED_VALUE"""),"No")</f>
        <v>No</v>
      </c>
      <c r="AH231" s="1">
        <f ca="1">IFERROR(__xludf.DUMMYFUNCTION("""COMPUTED_VALUE"""),99)</f>
        <v>99</v>
      </c>
    </row>
    <row r="232" spans="1:34" ht="12.5">
      <c r="A232" s="1" t="str">
        <f ca="1">IFERROR(__xludf.DUMMYFUNCTION("""COMPUTED_VALUE"""),"20230812MSSTS")</f>
        <v>20230812MSSTS</v>
      </c>
      <c r="B232" s="1">
        <f ca="1">IFERROR(__xludf.DUMMYFUNCTION("""COMPUTED_VALUE"""),8)</f>
        <v>8</v>
      </c>
      <c r="C232" s="1">
        <f ca="1">IFERROR(__xludf.DUMMYFUNCTION("""COMPUTED_VALUE"""),12)</f>
        <v>12</v>
      </c>
      <c r="D232" s="1">
        <f ca="1">IFERROR(__xludf.DUMMYFUNCTION("""COMPUTED_VALUE"""),2023)</f>
        <v>2023</v>
      </c>
      <c r="E232" s="4">
        <f ca="1">IFERROR(__xludf.DUMMYFUNCTION("""COMPUTED_VALUE"""),45150)</f>
        <v>45150</v>
      </c>
      <c r="F232" s="1" t="str">
        <f ca="1">IFERROR(__xludf.DUMMYFUNCTION("""COMPUTED_VALUE"""),"Starkville High School")</f>
        <v>Starkville High School</v>
      </c>
      <c r="G232" s="1">
        <f ca="1">IFERROR(__xludf.DUMMYFUNCTION("""COMPUTED_VALUE"""),0)</f>
        <v>0</v>
      </c>
      <c r="H232" s="1">
        <f ca="1">IFERROR(__xludf.DUMMYFUNCTION("""COMPUTED_VALUE"""),0)</f>
        <v>0</v>
      </c>
      <c r="I232" s="1">
        <f ca="1">IFERROR(__xludf.DUMMYFUNCTION("""COMPUTED_VALUE"""),0)</f>
        <v>0</v>
      </c>
      <c r="J232" s="1">
        <f ca="1">IFERROR(__xludf.DUMMYFUNCTION("""COMPUTED_VALUE"""),0)</f>
        <v>0</v>
      </c>
      <c r="K232" s="1" t="str">
        <f ca="1">IFERROR(__xludf.DUMMYFUNCTION("""COMPUTED_VALUE"""),"Summer")</f>
        <v>Summer</v>
      </c>
      <c r="L232" s="1" t="str">
        <f ca="1">IFERROR(__xludf.DUMMYFUNCTION("""COMPUTED_VALUE"""),"Starkville")</f>
        <v>Starkville</v>
      </c>
      <c r="M232" s="1" t="str">
        <f ca="1">IFERROR(__xludf.DUMMYFUNCTION("""COMPUTED_VALUE"""),"TN")</f>
        <v>TN</v>
      </c>
      <c r="N232" s="1" t="str">
        <f ca="1">IFERROR(__xludf.DUMMYFUNCTION("""COMPUTED_VALUE"""),"High")</f>
        <v>High</v>
      </c>
      <c r="O232" s="1" t="str">
        <f ca="1">IFERROR(__xludf.DUMMYFUNCTION("""COMPUTED_VALUE"""),"Parking Lot")</f>
        <v>Parking Lot</v>
      </c>
      <c r="P232" s="1" t="str">
        <f ca="1">IFERROR(__xludf.DUMMYFUNCTION("""COMPUTED_VALUE"""),"Outside on School Property")</f>
        <v>Outside on School Property</v>
      </c>
      <c r="Q232" s="1" t="str">
        <f ca="1">IFERROR(__xludf.DUMMYFUNCTION("""COMPUTED_VALUE"""),"No")</f>
        <v>No</v>
      </c>
      <c r="R232" s="1" t="str">
        <f ca="1">IFERROR(__xludf.DUMMYFUNCTION("""COMPUTED_VALUE"""),"Sport Event")</f>
        <v>Sport Event</v>
      </c>
      <c r="S232" s="5">
        <f ca="1">IFERROR(__xludf.DUMMYFUNCTION("""COMPUTED_VALUE"""),0.0208333333333333)</f>
        <v>2.0833333333333301E-2</v>
      </c>
      <c r="T232" s="1">
        <f ca="1">IFERROR(__xludf.DUMMYFUNCTION("""COMPUTED_VALUE"""),1)</f>
        <v>1</v>
      </c>
      <c r="U232" s="1" t="str">
        <f ca="1">IFERROR(__xludf.DUMMYFUNCTION("""COMPUTED_VALUE"""),"Shots fired during midnight madness football practice")</f>
        <v>Shots fired during midnight madness football practice</v>
      </c>
      <c r="V232" s="1" t="str">
        <f ca="1">IFERROR(__xludf.DUMMYFUNCTION("""COMPUTED_VALUE"""),"According to a spokesman from the Starkville Police Department, officers responded to the SHS parking lot around 12:30 a.m. to assist the school’s law enforcement after reports of shots fired. No injuries were reported. So far, no arrests have been made. "&amp;"The shooting happened during the SHS football team's “Midnight Madness” scrimmage. They host the scrimmage before the season kicks off.")</f>
        <v>According to a spokesman from the Starkville Police Department, officers responded to the SHS parking lot around 12:30 a.m. to assist the school’s law enforcement after reports of shots fired. No injuries were reported. So far, no arrests have been made. The shooting happened during the SHS football team's “Midnight Madness” scrimmage. They host the scrimmage before the season kicks off.</v>
      </c>
      <c r="W232" s="1" t="str">
        <f ca="1">IFERROR(__xludf.DUMMYFUNCTION("""COMPUTED_VALUE"""),"Escalation of Dispute")</f>
        <v>Escalation of Dispute</v>
      </c>
      <c r="X232" s="1" t="str">
        <f ca="1">IFERROR(__xludf.DUMMYFUNCTION("""COMPUTED_VALUE"""),"Victims Targeted")</f>
        <v>Victims Targeted</v>
      </c>
      <c r="Y232" s="1" t="str">
        <f ca="1">IFERROR(__xludf.DUMMYFUNCTION("""COMPUTED_VALUE"""),"No")</f>
        <v>No</v>
      </c>
      <c r="Z232" s="1"/>
      <c r="AA232" s="1" t="str">
        <f ca="1">IFERROR(__xludf.DUMMYFUNCTION("""COMPUTED_VALUE"""),"No")</f>
        <v>No</v>
      </c>
      <c r="AB232" s="1" t="str">
        <f ca="1">IFERROR(__xludf.DUMMYFUNCTION("""COMPUTED_VALUE"""),"No")</f>
        <v>No</v>
      </c>
      <c r="AC232" s="1" t="str">
        <f ca="1">IFERROR(__xludf.DUMMYFUNCTION("""COMPUTED_VALUE"""),"No")</f>
        <v>No</v>
      </c>
      <c r="AD232" s="1" t="str">
        <f ca="1">IFERROR(__xludf.DUMMYFUNCTION("""COMPUTED_VALUE"""),"No")</f>
        <v>No</v>
      </c>
      <c r="AE232" s="1" t="str">
        <f ca="1">IFERROR(__xludf.DUMMYFUNCTION("""COMPUTED_VALUE"""),"No")</f>
        <v>No</v>
      </c>
      <c r="AF232" s="1"/>
      <c r="AG232" s="1" t="str">
        <f ca="1">IFERROR(__xludf.DUMMYFUNCTION("""COMPUTED_VALUE"""),"No")</f>
        <v>No</v>
      </c>
      <c r="AH232" s="1">
        <f ca="1">IFERROR(__xludf.DUMMYFUNCTION("""COMPUTED_VALUE"""),99)</f>
        <v>99</v>
      </c>
    </row>
    <row r="233" spans="1:34" ht="12.5">
      <c r="A233" s="1" t="str">
        <f ca="1">IFERROR(__xludf.DUMMYFUNCTION("""COMPUTED_VALUE"""),"20230810TNCOM")</f>
        <v>20230810TNCOM</v>
      </c>
      <c r="B233" s="1">
        <f ca="1">IFERROR(__xludf.DUMMYFUNCTION("""COMPUTED_VALUE"""),8)</f>
        <v>8</v>
      </c>
      <c r="C233" s="1">
        <f ca="1">IFERROR(__xludf.DUMMYFUNCTION("""COMPUTED_VALUE"""),10)</f>
        <v>10</v>
      </c>
      <c r="D233" s="1">
        <f ca="1">IFERROR(__xludf.DUMMYFUNCTION("""COMPUTED_VALUE"""),2023)</f>
        <v>2023</v>
      </c>
      <c r="E233" s="4">
        <f ca="1">IFERROR(__xludf.DUMMYFUNCTION("""COMPUTED_VALUE"""),45148)</f>
        <v>45148</v>
      </c>
      <c r="F233" s="1" t="str">
        <f ca="1">IFERROR(__xludf.DUMMYFUNCTION("""COMPUTED_VALUE"""),"Cordova High School")</f>
        <v>Cordova High School</v>
      </c>
      <c r="G233" s="1">
        <f ca="1">IFERROR(__xludf.DUMMYFUNCTION("""COMPUTED_VALUE"""),0)</f>
        <v>0</v>
      </c>
      <c r="H233" s="1">
        <f ca="1">IFERROR(__xludf.DUMMYFUNCTION("""COMPUTED_VALUE"""),0)</f>
        <v>0</v>
      </c>
      <c r="I233" s="1">
        <f ca="1">IFERROR(__xludf.DUMMYFUNCTION("""COMPUTED_VALUE"""),0)</f>
        <v>0</v>
      </c>
      <c r="J233" s="1">
        <f ca="1">IFERROR(__xludf.DUMMYFUNCTION("""COMPUTED_VALUE"""),0)</f>
        <v>0</v>
      </c>
      <c r="K233" s="1" t="str">
        <f ca="1">IFERROR(__xludf.DUMMYFUNCTION("""COMPUTED_VALUE"""),"Summer")</f>
        <v>Summer</v>
      </c>
      <c r="L233" s="1" t="str">
        <f ca="1">IFERROR(__xludf.DUMMYFUNCTION("""COMPUTED_VALUE"""),"Memphis")</f>
        <v>Memphis</v>
      </c>
      <c r="M233" s="1" t="str">
        <f ca="1">IFERROR(__xludf.DUMMYFUNCTION("""COMPUTED_VALUE"""),"TN")</f>
        <v>TN</v>
      </c>
      <c r="N233" s="1" t="str">
        <f ca="1">IFERROR(__xludf.DUMMYFUNCTION("""COMPUTED_VALUE"""),"High")</f>
        <v>High</v>
      </c>
      <c r="O233" s="1" t="str">
        <f ca="1">IFERROR(__xludf.DUMMYFUNCTION("""COMPUTED_VALUE"""),"Parking Lot")</f>
        <v>Parking Lot</v>
      </c>
      <c r="P233" s="1" t="str">
        <f ca="1">IFERROR(__xludf.DUMMYFUNCTION("""COMPUTED_VALUE"""),"Outside on School Property")</f>
        <v>Outside on School Property</v>
      </c>
      <c r="Q233" s="1" t="str">
        <f ca="1">IFERROR(__xludf.DUMMYFUNCTION("""COMPUTED_VALUE"""),"No")</f>
        <v>No</v>
      </c>
      <c r="R233" s="1" t="str">
        <f ca="1">IFERROR(__xludf.DUMMYFUNCTION("""COMPUTED_VALUE"""),"Sport Event")</f>
        <v>Sport Event</v>
      </c>
      <c r="S233" s="5">
        <f ca="1">IFERROR(__xludf.DUMMYFUNCTION("""COMPUTED_VALUE"""),0.854166666666666)</f>
        <v>0.85416666666666596</v>
      </c>
      <c r="T233" s="1">
        <f ca="1">IFERROR(__xludf.DUMMYFUNCTION("""COMPUTED_VALUE"""),1)</f>
        <v>1</v>
      </c>
      <c r="U233" s="1" t="str">
        <f ca="1">IFERROR(__xludf.DUMMYFUNCTION("""COMPUTED_VALUE"""),"Shots fired in parking lot during fight at football game")</f>
        <v>Shots fired in parking lot during fight at football game</v>
      </c>
      <c r="V233" s="1" t="str">
        <f ca="1">IFERROR(__xludf.DUMMYFUNCTION("""COMPUTED_VALUE"""),"An after-school football jamboree turned south Thursday night at Cordova High School after supposed gunshots sent panic through the stands. Memphis police responded to the shots-fired call at 8:20 p.m., just as the game between Ridgeway High and Sheffield"&amp;" High was underway. Memphis Shelby County Schools said about 25 Shelby County Sheriff deputies attended the jamboree and they defused a situation of an individual who fired shots in the air at a stadium parking lot. MPD says two vehicles drove away from t"&amp;"he scene and officers recovered two shell casings.")</f>
        <v>An after-school football jamboree turned south Thursday night at Cordova High School after supposed gunshots sent panic through the stands. Memphis police responded to the shots-fired call at 8:20 p.m., just as the game between Ridgeway High and Sheffield High was underway. Memphis Shelby County Schools said about 25 Shelby County Sheriff deputies attended the jamboree and they defused a situation of an individual who fired shots in the air at a stadium parking lot. MPD says two vehicles drove away from the scene and officers recovered two shell casings.</v>
      </c>
      <c r="W233" s="1" t="str">
        <f ca="1">IFERROR(__xludf.DUMMYFUNCTION("""COMPUTED_VALUE"""),"Escalation of Dispute")</f>
        <v>Escalation of Dispute</v>
      </c>
      <c r="X233" s="1" t="str">
        <f ca="1">IFERROR(__xludf.DUMMYFUNCTION("""COMPUTED_VALUE"""),"Neither")</f>
        <v>Neither</v>
      </c>
      <c r="Y233" s="1" t="str">
        <f ca="1">IFERROR(__xludf.DUMMYFUNCTION("""COMPUTED_VALUE"""),"Yes")</f>
        <v>Yes</v>
      </c>
      <c r="Z233" s="1" t="str">
        <f ca="1">IFERROR(__xludf.DUMMYFUNCTION("""COMPUTED_VALUE"""),"4 arrested")</f>
        <v>4 arrested</v>
      </c>
      <c r="AA233" s="1" t="str">
        <f ca="1">IFERROR(__xludf.DUMMYFUNCTION("""COMPUTED_VALUE"""),"No")</f>
        <v>No</v>
      </c>
      <c r="AB233" s="1" t="str">
        <f ca="1">IFERROR(__xludf.DUMMYFUNCTION("""COMPUTED_VALUE"""),"No")</f>
        <v>No</v>
      </c>
      <c r="AC233" s="1" t="str">
        <f ca="1">IFERROR(__xludf.DUMMYFUNCTION("""COMPUTED_VALUE"""),"No")</f>
        <v>No</v>
      </c>
      <c r="AD233" s="1" t="str">
        <f ca="1">IFERROR(__xludf.DUMMYFUNCTION("""COMPUTED_VALUE"""),"No")</f>
        <v>No</v>
      </c>
      <c r="AE233" s="1" t="str">
        <f ca="1">IFERROR(__xludf.DUMMYFUNCTION("""COMPUTED_VALUE"""),"No")</f>
        <v>No</v>
      </c>
      <c r="AF233" s="1" t="str">
        <f ca="1">IFERROR(__xludf.DUMMYFUNCTION("""COMPUTED_VALUE"""),"No")</f>
        <v>No</v>
      </c>
      <c r="AG233" s="1" t="str">
        <f ca="1">IFERROR(__xludf.DUMMYFUNCTION("""COMPUTED_VALUE"""),"No")</f>
        <v>No</v>
      </c>
      <c r="AH233" s="1">
        <f ca="1">IFERROR(__xludf.DUMMYFUNCTION("""COMPUTED_VALUE"""),2)</f>
        <v>2</v>
      </c>
    </row>
    <row r="234" spans="1:34" ht="12.5">
      <c r="A234" s="1" t="str">
        <f ca="1">IFERROR(__xludf.DUMMYFUNCTION("""COMPUTED_VALUE"""),"20230808ILBOC")</f>
        <v>20230808ILBOC</v>
      </c>
      <c r="B234" s="1">
        <f ca="1">IFERROR(__xludf.DUMMYFUNCTION("""COMPUTED_VALUE"""),8)</f>
        <v>8</v>
      </c>
      <c r="C234" s="1">
        <f ca="1">IFERROR(__xludf.DUMMYFUNCTION("""COMPUTED_VALUE"""),8)</f>
        <v>8</v>
      </c>
      <c r="D234" s="1">
        <f ca="1">IFERROR(__xludf.DUMMYFUNCTION("""COMPUTED_VALUE"""),2023)</f>
        <v>2023</v>
      </c>
      <c r="E234" s="4">
        <f ca="1">IFERROR(__xludf.DUMMYFUNCTION("""COMPUTED_VALUE"""),45146)</f>
        <v>45146</v>
      </c>
      <c r="F234" s="1" t="str">
        <f ca="1">IFERROR(__xludf.DUMMYFUNCTION("""COMPUTED_VALUE"""),"Booker T. Washington STEM Academy")</f>
        <v>Booker T. Washington STEM Academy</v>
      </c>
      <c r="G234" s="1">
        <f ca="1">IFERROR(__xludf.DUMMYFUNCTION("""COMPUTED_VALUE"""),0)</f>
        <v>0</v>
      </c>
      <c r="H234" s="1">
        <f ca="1">IFERROR(__xludf.DUMMYFUNCTION("""COMPUTED_VALUE"""),0)</f>
        <v>0</v>
      </c>
      <c r="I234" s="1">
        <f ca="1">IFERROR(__xludf.DUMMYFUNCTION("""COMPUTED_VALUE"""),0)</f>
        <v>0</v>
      </c>
      <c r="J234" s="1">
        <f ca="1">IFERROR(__xludf.DUMMYFUNCTION("""COMPUTED_VALUE"""),0)</f>
        <v>0</v>
      </c>
      <c r="K234" s="1" t="str">
        <f ca="1">IFERROR(__xludf.DUMMYFUNCTION("""COMPUTED_VALUE"""),"Summer")</f>
        <v>Summer</v>
      </c>
      <c r="L234" s="1" t="str">
        <f ca="1">IFERROR(__xludf.DUMMYFUNCTION("""COMPUTED_VALUE"""),"Champaign")</f>
        <v>Champaign</v>
      </c>
      <c r="M234" s="1" t="str">
        <f ca="1">IFERROR(__xludf.DUMMYFUNCTION("""COMPUTED_VALUE"""),"IL")</f>
        <v>IL</v>
      </c>
      <c r="N234" s="1" t="str">
        <f ca="1">IFERROR(__xludf.DUMMYFUNCTION("""COMPUTED_VALUE"""),"Elementary")</f>
        <v>Elementary</v>
      </c>
      <c r="O234" s="1" t="str">
        <f ca="1">IFERROR(__xludf.DUMMYFUNCTION("""COMPUTED_VALUE"""),"Office")</f>
        <v>Office</v>
      </c>
      <c r="P234" s="1" t="str">
        <f ca="1">IFERROR(__xludf.DUMMYFUNCTION("""COMPUTED_VALUE"""),"Outside on School Property")</f>
        <v>Outside on School Property</v>
      </c>
      <c r="Q234" s="1" t="str">
        <f ca="1">IFERROR(__xludf.DUMMYFUNCTION("""COMPUTED_VALUE"""),"Yes")</f>
        <v>Yes</v>
      </c>
      <c r="R234" s="1" t="str">
        <f ca="1">IFERROR(__xludf.DUMMYFUNCTION("""COMPUTED_VALUE"""),"Before School")</f>
        <v>Before School</v>
      </c>
      <c r="S234" s="5">
        <f ca="1">IFERROR(__xludf.DUMMYFUNCTION("""COMPUTED_VALUE"""),0.364583333333333)</f>
        <v>0.36458333333333298</v>
      </c>
      <c r="T234" s="1">
        <f ca="1">IFERROR(__xludf.DUMMYFUNCTION("""COMPUTED_VALUE"""),1)</f>
        <v>1</v>
      </c>
      <c r="U234" s="1" t="str">
        <f ca="1">IFERROR(__xludf.DUMMYFUNCTION("""COMPUTED_VALUE"""),"Window broken by bullet while staff were inside")</f>
        <v>Window broken by bullet while staff were inside</v>
      </c>
      <c r="V234" s="1" t="str">
        <f ca="1">IFERROR(__xludf.DUMMYFUNCTION("""COMPUTED_VALUE"""),"Employees discovered a broken window in the administrative office about 8:45 a.m. Officers found metal fragments on the floor that appeared to be bullet fragments. CCTV did not show the shooting.")</f>
        <v>Employees discovered a broken window in the administrative office about 8:45 a.m. Officers found metal fragments on the floor that appeared to be bullet fragments. CCTV did not show the shooting.</v>
      </c>
      <c r="W234" s="1" t="str">
        <f ca="1">IFERROR(__xludf.DUMMYFUNCTION("""COMPUTED_VALUE"""),"Intentional Property Damage")</f>
        <v>Intentional Property Damage</v>
      </c>
      <c r="X234" s="1" t="str">
        <f ca="1">IFERROR(__xludf.DUMMYFUNCTION("""COMPUTED_VALUE"""),"Neither")</f>
        <v>Neither</v>
      </c>
      <c r="Y234" s="1" t="str">
        <f ca="1">IFERROR(__xludf.DUMMYFUNCTION("""COMPUTED_VALUE"""),"No")</f>
        <v>No</v>
      </c>
      <c r="Z234" s="1"/>
      <c r="AA234" s="1" t="str">
        <f ca="1">IFERROR(__xludf.DUMMYFUNCTION("""COMPUTED_VALUE"""),"No")</f>
        <v>No</v>
      </c>
      <c r="AB234" s="1" t="str">
        <f ca="1">IFERROR(__xludf.DUMMYFUNCTION("""COMPUTED_VALUE"""),"No")</f>
        <v>No</v>
      </c>
      <c r="AC234" s="1" t="str">
        <f ca="1">IFERROR(__xludf.DUMMYFUNCTION("""COMPUTED_VALUE"""),"No")</f>
        <v>No</v>
      </c>
      <c r="AD234" s="1" t="str">
        <f ca="1">IFERROR(__xludf.DUMMYFUNCTION("""COMPUTED_VALUE"""),"No")</f>
        <v>No</v>
      </c>
      <c r="AE234" s="1" t="str">
        <f ca="1">IFERROR(__xludf.DUMMYFUNCTION("""COMPUTED_VALUE"""),"No")</f>
        <v>No</v>
      </c>
      <c r="AF234" s="1" t="str">
        <f ca="1">IFERROR(__xludf.DUMMYFUNCTION("""COMPUTED_VALUE"""),"No")</f>
        <v>No</v>
      </c>
      <c r="AG234" s="1" t="str">
        <f ca="1">IFERROR(__xludf.DUMMYFUNCTION("""COMPUTED_VALUE"""),"No")</f>
        <v>No</v>
      </c>
      <c r="AH234" s="1">
        <f ca="1">IFERROR(__xludf.DUMMYFUNCTION("""COMPUTED_VALUE"""),1)</f>
        <v>1</v>
      </c>
    </row>
    <row r="235" spans="1:34" ht="12.5">
      <c r="A235" s="1" t="str">
        <f ca="1">IFERROR(__xludf.DUMMYFUNCTION("""COMPUTED_VALUE"""),"20230807WAHIS")</f>
        <v>20230807WAHIS</v>
      </c>
      <c r="B235" s="1">
        <f ca="1">IFERROR(__xludf.DUMMYFUNCTION("""COMPUTED_VALUE"""),8)</f>
        <v>8</v>
      </c>
      <c r="C235" s="1">
        <f ca="1">IFERROR(__xludf.DUMMYFUNCTION("""COMPUTED_VALUE"""),7)</f>
        <v>7</v>
      </c>
      <c r="D235" s="1">
        <f ca="1">IFERROR(__xludf.DUMMYFUNCTION("""COMPUTED_VALUE"""),2023)</f>
        <v>2023</v>
      </c>
      <c r="E235" s="4">
        <f ca="1">IFERROR(__xludf.DUMMYFUNCTION("""COMPUTED_VALUE"""),45145)</f>
        <v>45145</v>
      </c>
      <c r="F235" s="1" t="str">
        <f ca="1">IFERROR(__xludf.DUMMYFUNCTION("""COMPUTED_VALUE"""),"Highland Park Elementary School")</f>
        <v>Highland Park Elementary School</v>
      </c>
      <c r="G235" s="1">
        <f ca="1">IFERROR(__xludf.DUMMYFUNCTION("""COMPUTED_VALUE"""),0)</f>
        <v>0</v>
      </c>
      <c r="H235" s="1">
        <f ca="1">IFERROR(__xludf.DUMMYFUNCTION("""COMPUTED_VALUE"""),0)</f>
        <v>0</v>
      </c>
      <c r="I235" s="1">
        <f ca="1">IFERROR(__xludf.DUMMYFUNCTION("""COMPUTED_VALUE"""),0)</f>
        <v>0</v>
      </c>
      <c r="J235" s="1">
        <f ca="1">IFERROR(__xludf.DUMMYFUNCTION("""COMPUTED_VALUE"""),0)</f>
        <v>0</v>
      </c>
      <c r="K235" s="1" t="str">
        <f ca="1">IFERROR(__xludf.DUMMYFUNCTION("""COMPUTED_VALUE"""),"Summer")</f>
        <v>Summer</v>
      </c>
      <c r="L235" s="1" t="str">
        <f ca="1">IFERROR(__xludf.DUMMYFUNCTION("""COMPUTED_VALUE"""),"Seattle")</f>
        <v>Seattle</v>
      </c>
      <c r="M235" s="1" t="str">
        <f ca="1">IFERROR(__xludf.DUMMYFUNCTION("""COMPUTED_VALUE"""),"WA")</f>
        <v>WA</v>
      </c>
      <c r="N235" s="1" t="str">
        <f ca="1">IFERROR(__xludf.DUMMYFUNCTION("""COMPUTED_VALUE"""),"Elementary")</f>
        <v>Elementary</v>
      </c>
      <c r="O235" s="1" t="str">
        <f ca="1">IFERROR(__xludf.DUMMYFUNCTION("""COMPUTED_VALUE"""),"Playground")</f>
        <v>Playground</v>
      </c>
      <c r="P235" s="1" t="str">
        <f ca="1">IFERROR(__xludf.DUMMYFUNCTION("""COMPUTED_VALUE"""),"Outside on School Property")</f>
        <v>Outside on School Property</v>
      </c>
      <c r="Q235" s="1" t="str">
        <f ca="1">IFERROR(__xludf.DUMMYFUNCTION("""COMPUTED_VALUE"""),"No")</f>
        <v>No</v>
      </c>
      <c r="R235" s="1" t="str">
        <f ca="1">IFERROR(__xludf.DUMMYFUNCTION("""COMPUTED_VALUE"""),"Night")</f>
        <v>Night</v>
      </c>
      <c r="S235" s="1"/>
      <c r="T235" s="1">
        <f ca="1">IFERROR(__xludf.DUMMYFUNCTION("""COMPUTED_VALUE"""),1)</f>
        <v>1</v>
      </c>
      <c r="U235" s="1" t="str">
        <f ca="1">IFERROR(__xludf.DUMMYFUNCTION("""COMPUTED_VALUE"""),"Shots fired at school building, light broken, casings found on playground")</f>
        <v>Shots fired at school building, light broken, casings found on playground</v>
      </c>
      <c r="V235" s="1" t="str">
        <f ca="1">IFERROR(__xludf.DUMMYFUNCTION("""COMPUTED_VALUE"""),"An elementary school in West Seattle was hit by several bullets, which was discovered after staff saw kids handling a spent casing in the playground. At about 10:32 a.m. Monday, staff at Highland Park Elementary School saw bullet damage to the building af"&amp;"ter they saw two kids with the spent casing. Seattle police that responded noted damage to a floodlight and damage to the outside of the building where the floodlight was located.")</f>
        <v>An elementary school in West Seattle was hit by several bullets, which was discovered after staff saw kids handling a spent casing in the playground. At about 10:32 a.m. Monday, staff at Highland Park Elementary School saw bullet damage to the building after they saw two kids with the spent casing. Seattle police that responded noted damage to a floodlight and damage to the outside of the building where the floodlight was located.</v>
      </c>
      <c r="W235" s="1" t="str">
        <f ca="1">IFERROR(__xludf.DUMMYFUNCTION("""COMPUTED_VALUE"""),"Intentional Property Damage")</f>
        <v>Intentional Property Damage</v>
      </c>
      <c r="X235" s="1" t="str">
        <f ca="1">IFERROR(__xludf.DUMMYFUNCTION("""COMPUTED_VALUE"""),"Neither")</f>
        <v>Neither</v>
      </c>
      <c r="Y235" s="1" t="str">
        <f ca="1">IFERROR(__xludf.DUMMYFUNCTION("""COMPUTED_VALUE"""),"No")</f>
        <v>No</v>
      </c>
      <c r="Z235" s="1"/>
      <c r="AA235" s="1" t="str">
        <f ca="1">IFERROR(__xludf.DUMMYFUNCTION("""COMPUTED_VALUE"""),"No")</f>
        <v>No</v>
      </c>
      <c r="AB235" s="1" t="str">
        <f ca="1">IFERROR(__xludf.DUMMYFUNCTION("""COMPUTED_VALUE"""),"No")</f>
        <v>No</v>
      </c>
      <c r="AC235" s="1" t="str">
        <f ca="1">IFERROR(__xludf.DUMMYFUNCTION("""COMPUTED_VALUE"""),"No")</f>
        <v>No</v>
      </c>
      <c r="AD235" s="1" t="str">
        <f ca="1">IFERROR(__xludf.DUMMYFUNCTION("""COMPUTED_VALUE"""),"No")</f>
        <v>No</v>
      </c>
      <c r="AE235" s="1" t="str">
        <f ca="1">IFERROR(__xludf.DUMMYFUNCTION("""COMPUTED_VALUE"""),"No")</f>
        <v>No</v>
      </c>
      <c r="AF235" s="1" t="str">
        <f ca="1">IFERROR(__xludf.DUMMYFUNCTION("""COMPUTED_VALUE"""),"No")</f>
        <v>No</v>
      </c>
      <c r="AG235" s="1" t="str">
        <f ca="1">IFERROR(__xludf.DUMMYFUNCTION("""COMPUTED_VALUE"""),"No")</f>
        <v>No</v>
      </c>
      <c r="AH235" s="1">
        <f ca="1">IFERROR(__xludf.DUMMYFUNCTION("""COMPUTED_VALUE"""),99)</f>
        <v>99</v>
      </c>
    </row>
    <row r="236" spans="1:34" ht="12.5">
      <c r="A236" s="1" t="str">
        <f ca="1">IFERROR(__xludf.DUMMYFUNCTION("""COMPUTED_VALUE"""),"20230731TNMAM")</f>
        <v>20230731TNMAM</v>
      </c>
      <c r="B236" s="1">
        <f ca="1">IFERROR(__xludf.DUMMYFUNCTION("""COMPUTED_VALUE"""),7)</f>
        <v>7</v>
      </c>
      <c r="C236" s="1">
        <f ca="1">IFERROR(__xludf.DUMMYFUNCTION("""COMPUTED_VALUE"""),31)</f>
        <v>31</v>
      </c>
      <c r="D236" s="1">
        <f ca="1">IFERROR(__xludf.DUMMYFUNCTION("""COMPUTED_VALUE"""),2023)</f>
        <v>2023</v>
      </c>
      <c r="E236" s="4">
        <f ca="1">IFERROR(__xludf.DUMMYFUNCTION("""COMPUTED_VALUE"""),45138)</f>
        <v>45138</v>
      </c>
      <c r="F236" s="1" t="str">
        <f ca="1">IFERROR(__xludf.DUMMYFUNCTION("""COMPUTED_VALUE"""),"Margolin Hebrew Academy")</f>
        <v>Margolin Hebrew Academy</v>
      </c>
      <c r="G236" s="1">
        <f ca="1">IFERROR(__xludf.DUMMYFUNCTION("""COMPUTED_VALUE"""),0)</f>
        <v>0</v>
      </c>
      <c r="H236" s="1">
        <f ca="1">IFERROR(__xludf.DUMMYFUNCTION("""COMPUTED_VALUE"""),0)</f>
        <v>0</v>
      </c>
      <c r="I236" s="1">
        <f ca="1">IFERROR(__xludf.DUMMYFUNCTION("""COMPUTED_VALUE"""),0)</f>
        <v>0</v>
      </c>
      <c r="J236" s="1">
        <f ca="1">IFERROR(__xludf.DUMMYFUNCTION("""COMPUTED_VALUE"""),0)</f>
        <v>0</v>
      </c>
      <c r="K236" s="1" t="str">
        <f ca="1">IFERROR(__xludf.DUMMYFUNCTION("""COMPUTED_VALUE"""),"Summer")</f>
        <v>Summer</v>
      </c>
      <c r="L236" s="1" t="str">
        <f ca="1">IFERROR(__xludf.DUMMYFUNCTION("""COMPUTED_VALUE"""),"Memphis")</f>
        <v>Memphis</v>
      </c>
      <c r="M236" s="1" t="str">
        <f ca="1">IFERROR(__xludf.DUMMYFUNCTION("""COMPUTED_VALUE"""),"TN")</f>
        <v>TN</v>
      </c>
      <c r="N236" s="1" t="str">
        <f ca="1">IFERROR(__xludf.DUMMYFUNCTION("""COMPUTED_VALUE"""),"K-12")</f>
        <v>K-12</v>
      </c>
      <c r="O236" s="1" t="str">
        <f ca="1">IFERROR(__xludf.DUMMYFUNCTION("""COMPUTED_VALUE"""),"Front of School")</f>
        <v>Front of School</v>
      </c>
      <c r="P236" s="1" t="str">
        <f ca="1">IFERROR(__xludf.DUMMYFUNCTION("""COMPUTED_VALUE"""),"Outside on School Property")</f>
        <v>Outside on School Property</v>
      </c>
      <c r="Q236" s="1" t="str">
        <f ca="1">IFERROR(__xludf.DUMMYFUNCTION("""COMPUTED_VALUE"""),"Yes")</f>
        <v>Yes</v>
      </c>
      <c r="R236" s="1" t="str">
        <f ca="1">IFERROR(__xludf.DUMMYFUNCTION("""COMPUTED_VALUE"""),"Afternoon Classes")</f>
        <v>Afternoon Classes</v>
      </c>
      <c r="S236" s="5">
        <f ca="1">IFERROR(__xludf.DUMMYFUNCTION("""COMPUTED_VALUE"""),0.513888888888888)</f>
        <v>0.51388888888888795</v>
      </c>
      <c r="T236" s="1">
        <f ca="1">IFERROR(__xludf.DUMMYFUNCTION("""COMPUTED_VALUE"""),1)</f>
        <v>1</v>
      </c>
      <c r="U236" s="1" t="str">
        <f ca="1">IFERROR(__xludf.DUMMYFUNCTION("""COMPUTED_VALUE"""),"Former student attempted to enter school, fired shots outside, fled, and was shot by police")</f>
        <v>Former student attempted to enter school, fired shots outside, fled, and was shot by police</v>
      </c>
      <c r="V236" s="1" t="str">
        <f ca="1">IFERROR(__xludf.DUMMYFUNCTION("""COMPUTED_VALUE"""),"Memphis police were called to the Margolin Hebrew Academy-Feinstone Yeshiva of the South around 12:20 p.m. ET after an armed man tried to enter the school, according to Memphis Police Assistant Chief Don Crowe. Police say the suspect tried to enter the bu"&amp;"ilding but couldn’t get inside. Class was not in session, but there were limited staff and construction workers there at the time. In an affidavit, police said Bowman — who had attended the school — walked around its exterior and fired two shots at the co"&amp;"ntractor, who was not hit. Bowman then fired two more shots outside the school before driving away in a pickup truck, police said. Officers tracked down Bowman a short drive from the school. He exited his truck with a gun in his right hand and pointed the"&amp;" weapon at an officer, who shot him, police said. Bowman was hospitalized in critical condition. Friend said he was diagnosed with PTSD, perhaps stemming from his father’s death in 2003, when police fatally shot him during a mental health episode. He said"&amp;" doctors recently changed Bowman’s medication and he noticed Bowman’s behavior change. ")</f>
        <v xml:space="preserve">Memphis police were called to the Margolin Hebrew Academy-Feinstone Yeshiva of the South around 12:20 p.m. ET after an armed man tried to enter the school, according to Memphis Police Assistant Chief Don Crowe. Police say the suspect tried to enter the building but couldn’t get inside. Class was not in session, but there were limited staff and construction workers there at the time. In an affidavit, police said Bowman — who had attended the school — walked around its exterior and fired two shots at the contractor, who was not hit. Bowman then fired two more shots outside the school before driving away in a pickup truck, police said. Officers tracked down Bowman a short drive from the school. He exited his truck with a gun in his right hand and pointed the weapon at an officer, who shot him, police said. Bowman was hospitalized in critical condition. Friend said he was diagnosed with PTSD, perhaps stemming from his father’s death in 2003, when police fatally shot him during a mental health episode. He said doctors recently changed Bowman’s medication and he noticed Bowman’s behavior change. </v>
      </c>
      <c r="W236" s="1" t="str">
        <f ca="1">IFERROR(__xludf.DUMMYFUNCTION("""COMPUTED_VALUE"""),"Psychosis")</f>
        <v>Psychosis</v>
      </c>
      <c r="X236" s="1" t="str">
        <f ca="1">IFERROR(__xludf.DUMMYFUNCTION("""COMPUTED_VALUE"""),"Random Shooting")</f>
        <v>Random Shooting</v>
      </c>
      <c r="Y236" s="1" t="str">
        <f ca="1">IFERROR(__xludf.DUMMYFUNCTION("""COMPUTED_VALUE"""),"No")</f>
        <v>No</v>
      </c>
      <c r="Z236" s="1"/>
      <c r="AA236" s="1" t="str">
        <f ca="1">IFERROR(__xludf.DUMMYFUNCTION("""COMPUTED_VALUE"""),"No")</f>
        <v>No</v>
      </c>
      <c r="AB236" s="1" t="str">
        <f ca="1">IFERROR(__xludf.DUMMYFUNCTION("""COMPUTED_VALUE"""),"No")</f>
        <v>No</v>
      </c>
      <c r="AC236" s="1" t="str">
        <f ca="1">IFERROR(__xludf.DUMMYFUNCTION("""COMPUTED_VALUE"""),"No")</f>
        <v>No</v>
      </c>
      <c r="AD236" s="1" t="str">
        <f ca="1">IFERROR(__xludf.DUMMYFUNCTION("""COMPUTED_VALUE"""),"No")</f>
        <v>No</v>
      </c>
      <c r="AE236" s="1" t="str">
        <f ca="1">IFERROR(__xludf.DUMMYFUNCTION("""COMPUTED_VALUE"""),"No")</f>
        <v>No</v>
      </c>
      <c r="AF236" s="1" t="str">
        <f ca="1">IFERROR(__xludf.DUMMYFUNCTION("""COMPUTED_VALUE"""),"No")</f>
        <v>No</v>
      </c>
      <c r="AG236" s="1" t="str">
        <f ca="1">IFERROR(__xludf.DUMMYFUNCTION("""COMPUTED_VALUE"""),"Yes")</f>
        <v>Yes</v>
      </c>
      <c r="AH236" s="1">
        <f ca="1">IFERROR(__xludf.DUMMYFUNCTION("""COMPUTED_VALUE"""),99)</f>
        <v>99</v>
      </c>
    </row>
    <row r="237" spans="1:34" ht="12.5">
      <c r="A237" s="1" t="str">
        <f ca="1">IFERROR(__xludf.DUMMYFUNCTION("""COMPUTED_VALUE"""),"20230726DCMAW")</f>
        <v>20230726DCMAW</v>
      </c>
      <c r="B237" s="1">
        <f ca="1">IFERROR(__xludf.DUMMYFUNCTION("""COMPUTED_VALUE"""),7)</f>
        <v>7</v>
      </c>
      <c r="C237" s="1">
        <f ca="1">IFERROR(__xludf.DUMMYFUNCTION("""COMPUTED_VALUE"""),26)</f>
        <v>26</v>
      </c>
      <c r="D237" s="1">
        <f ca="1">IFERROR(__xludf.DUMMYFUNCTION("""COMPUTED_VALUE"""),2023)</f>
        <v>2023</v>
      </c>
      <c r="E237" s="4">
        <f ca="1">IFERROR(__xludf.DUMMYFUNCTION("""COMPUTED_VALUE"""),45133)</f>
        <v>45133</v>
      </c>
      <c r="F237" s="1" t="str">
        <f ca="1">IFERROR(__xludf.DUMMYFUNCTION("""COMPUTED_VALUE"""),"Marie Reed Elementary School")</f>
        <v>Marie Reed Elementary School</v>
      </c>
      <c r="G237" s="1">
        <f ca="1">IFERROR(__xludf.DUMMYFUNCTION("""COMPUTED_VALUE"""),1)</f>
        <v>1</v>
      </c>
      <c r="H237" s="1">
        <f ca="1">IFERROR(__xludf.DUMMYFUNCTION("""COMPUTED_VALUE"""),0)</f>
        <v>0</v>
      </c>
      <c r="I237" s="1">
        <f ca="1">IFERROR(__xludf.DUMMYFUNCTION("""COMPUTED_VALUE"""),1)</f>
        <v>1</v>
      </c>
      <c r="J237" s="1">
        <f ca="1">IFERROR(__xludf.DUMMYFUNCTION("""COMPUTED_VALUE"""),0)</f>
        <v>0</v>
      </c>
      <c r="K237" s="1" t="str">
        <f ca="1">IFERROR(__xludf.DUMMYFUNCTION("""COMPUTED_VALUE"""),"Summer")</f>
        <v>Summer</v>
      </c>
      <c r="L237" s="1" t="str">
        <f ca="1">IFERROR(__xludf.DUMMYFUNCTION("""COMPUTED_VALUE"""),"Washington")</f>
        <v>Washington</v>
      </c>
      <c r="M237" s="1" t="str">
        <f ca="1">IFERROR(__xludf.DUMMYFUNCTION("""COMPUTED_VALUE"""),"DC")</f>
        <v>DC</v>
      </c>
      <c r="N237" s="1" t="str">
        <f ca="1">IFERROR(__xludf.DUMMYFUNCTION("""COMPUTED_VALUE"""),"Elementary")</f>
        <v>Elementary</v>
      </c>
      <c r="O237" s="1" t="str">
        <f ca="1">IFERROR(__xludf.DUMMYFUNCTION("""COMPUTED_VALUE"""),"Football Field/Track")</f>
        <v>Football Field/Track</v>
      </c>
      <c r="P237" s="1" t="str">
        <f ca="1">IFERROR(__xludf.DUMMYFUNCTION("""COMPUTED_VALUE"""),"Outside on School Property")</f>
        <v>Outside on School Property</v>
      </c>
      <c r="Q237" s="1" t="str">
        <f ca="1">IFERROR(__xludf.DUMMYFUNCTION("""COMPUTED_VALUE"""),"No")</f>
        <v>No</v>
      </c>
      <c r="R237" s="1" t="str">
        <f ca="1">IFERROR(__xludf.DUMMYFUNCTION("""COMPUTED_VALUE"""),"Evening")</f>
        <v>Evening</v>
      </c>
      <c r="S237" s="5">
        <f ca="1">IFERROR(__xludf.DUMMYFUNCTION("""COMPUTED_VALUE"""),0.854166666666666)</f>
        <v>0.85416666666666596</v>
      </c>
      <c r="T237" s="1">
        <f ca="1">IFERROR(__xludf.DUMMYFUNCTION("""COMPUTED_VALUE"""),1)</f>
        <v>1</v>
      </c>
      <c r="U237" s="1" t="str">
        <f ca="1">IFERROR(__xludf.DUMMYFUNCTION("""COMPUTED_VALUE"""),"Man killed on elementary school soccer field")</f>
        <v>Man killed on elementary school soccer field</v>
      </c>
      <c r="V237" s="1" t="str">
        <f ca="1">IFERROR(__xludf.DUMMYFUNCTION("""COMPUTED_VALUE"""),"According to police investigation and witness testimony, a group of men were sitting in the bleachers at a soccer game on school grounds when an altercation broke out. The altercation seemingly escalated as a firearm was discharged, however, witness testi"&amp;"mony did not suggest that any verbal interaction had taken place. The shooter was reported casually leaving the scene.")</f>
        <v>According to police investigation and witness testimony, a group of men were sitting in the bleachers at a soccer game on school grounds when an altercation broke out. The altercation seemingly escalated as a firearm was discharged, however, witness testimony did not suggest that any verbal interaction had taken place. The shooter was reported casually leaving the scene.</v>
      </c>
      <c r="W237" s="1" t="str">
        <f ca="1">IFERROR(__xludf.DUMMYFUNCTION("""COMPUTED_VALUE"""),"Escalation of Dispute")</f>
        <v>Escalation of Dispute</v>
      </c>
      <c r="X237" s="1" t="str">
        <f ca="1">IFERROR(__xludf.DUMMYFUNCTION("""COMPUTED_VALUE"""),"Victims Targeted")</f>
        <v>Victims Targeted</v>
      </c>
      <c r="Y237" s="1" t="str">
        <f ca="1">IFERROR(__xludf.DUMMYFUNCTION("""COMPUTED_VALUE"""),"No")</f>
        <v>No</v>
      </c>
      <c r="Z237" s="1"/>
      <c r="AA237" s="1" t="str">
        <f ca="1">IFERROR(__xludf.DUMMYFUNCTION("""COMPUTED_VALUE"""),"No")</f>
        <v>No</v>
      </c>
      <c r="AB237" s="1" t="str">
        <f ca="1">IFERROR(__xludf.DUMMYFUNCTION("""COMPUTED_VALUE"""),"No")</f>
        <v>No</v>
      </c>
      <c r="AC237" s="1" t="str">
        <f ca="1">IFERROR(__xludf.DUMMYFUNCTION("""COMPUTED_VALUE"""),"No")</f>
        <v>No</v>
      </c>
      <c r="AD237" s="1" t="str">
        <f ca="1">IFERROR(__xludf.DUMMYFUNCTION("""COMPUTED_VALUE"""),"No")</f>
        <v>No</v>
      </c>
      <c r="AE237" s="1" t="str">
        <f ca="1">IFERROR(__xludf.DUMMYFUNCTION("""COMPUTED_VALUE"""),"No")</f>
        <v>No</v>
      </c>
      <c r="AF237" s="1" t="str">
        <f ca="1">IFERROR(__xludf.DUMMYFUNCTION("""COMPUTED_VALUE"""),"No")</f>
        <v>No</v>
      </c>
      <c r="AG237" s="1" t="str">
        <f ca="1">IFERROR(__xludf.DUMMYFUNCTION("""COMPUTED_VALUE"""),"No")</f>
        <v>No</v>
      </c>
      <c r="AH237" s="1">
        <f ca="1">IFERROR(__xludf.DUMMYFUNCTION("""COMPUTED_VALUE"""),1)</f>
        <v>1</v>
      </c>
    </row>
    <row r="238" spans="1:34" ht="12.5">
      <c r="A238" s="1" t="str">
        <f ca="1">IFERROR(__xludf.DUMMYFUNCTION("""COMPUTED_VALUE"""),"20230725TNFRM")</f>
        <v>20230725TNFRM</v>
      </c>
      <c r="B238" s="1">
        <f ca="1">IFERROR(__xludf.DUMMYFUNCTION("""COMPUTED_VALUE"""),7)</f>
        <v>7</v>
      </c>
      <c r="C238" s="1">
        <f ca="1">IFERROR(__xludf.DUMMYFUNCTION("""COMPUTED_VALUE"""),25)</f>
        <v>25</v>
      </c>
      <c r="D238" s="1">
        <f ca="1">IFERROR(__xludf.DUMMYFUNCTION("""COMPUTED_VALUE"""),2023)</f>
        <v>2023</v>
      </c>
      <c r="E238" s="4">
        <f ca="1">IFERROR(__xludf.DUMMYFUNCTION("""COMPUTED_VALUE"""),45132)</f>
        <v>45132</v>
      </c>
      <c r="F238" s="1" t="str">
        <f ca="1">IFERROR(__xludf.DUMMYFUNCTION("""COMPUTED_VALUE"""),"Freedom Prep Academy Westwood")</f>
        <v>Freedom Prep Academy Westwood</v>
      </c>
      <c r="G238" s="1">
        <f ca="1">IFERROR(__xludf.DUMMYFUNCTION("""COMPUTED_VALUE"""),0)</f>
        <v>0</v>
      </c>
      <c r="H238" s="1">
        <f ca="1">IFERROR(__xludf.DUMMYFUNCTION("""COMPUTED_VALUE"""),1)</f>
        <v>1</v>
      </c>
      <c r="I238" s="1">
        <f ca="1">IFERROR(__xludf.DUMMYFUNCTION("""COMPUTED_VALUE"""),1)</f>
        <v>1</v>
      </c>
      <c r="J238" s="1">
        <f ca="1">IFERROR(__xludf.DUMMYFUNCTION("""COMPUTED_VALUE"""),0)</f>
        <v>0</v>
      </c>
      <c r="K238" s="1" t="str">
        <f ca="1">IFERROR(__xludf.DUMMYFUNCTION("""COMPUTED_VALUE"""),"Summer")</f>
        <v>Summer</v>
      </c>
      <c r="L238" s="1" t="str">
        <f ca="1">IFERROR(__xludf.DUMMYFUNCTION("""COMPUTED_VALUE"""),"Memphis")</f>
        <v>Memphis</v>
      </c>
      <c r="M238" s="1" t="str">
        <f ca="1">IFERROR(__xludf.DUMMYFUNCTION("""COMPUTED_VALUE"""),"TN")</f>
        <v>TN</v>
      </c>
      <c r="N238" s="1" t="str">
        <f ca="1">IFERROR(__xludf.DUMMYFUNCTION("""COMPUTED_VALUE"""),"High")</f>
        <v>High</v>
      </c>
      <c r="O238" s="1" t="str">
        <f ca="1">IFERROR(__xludf.DUMMYFUNCTION("""COMPUTED_VALUE"""),"Front of School")</f>
        <v>Front of School</v>
      </c>
      <c r="P238" s="1" t="str">
        <f ca="1">IFERROR(__xludf.DUMMYFUNCTION("""COMPUTED_VALUE"""),"Outside on School Property")</f>
        <v>Outside on School Property</v>
      </c>
      <c r="Q238" s="1" t="str">
        <f ca="1">IFERROR(__xludf.DUMMYFUNCTION("""COMPUTED_VALUE"""),"No")</f>
        <v>No</v>
      </c>
      <c r="R238" s="1" t="str">
        <f ca="1">IFERROR(__xludf.DUMMYFUNCTION("""COMPUTED_VALUE"""),"Not a School Day")</f>
        <v>Not a School Day</v>
      </c>
      <c r="S238" s="5">
        <f ca="1">IFERROR(__xludf.DUMMYFUNCTION("""COMPUTED_VALUE"""),0.305555555555555)</f>
        <v>0.30555555555555503</v>
      </c>
      <c r="T238" s="1">
        <f ca="1">IFERROR(__xludf.DUMMYFUNCTION("""COMPUTED_VALUE"""),1)</f>
        <v>1</v>
      </c>
      <c r="U238" s="1" t="str">
        <f ca="1">IFERROR(__xludf.DUMMYFUNCTION("""COMPUTED_VALUE"""),"Security guard shot in front of school")</f>
        <v>Security guard shot in front of school</v>
      </c>
      <c r="V238" s="1" t="str">
        <f ca="1">IFERROR(__xludf.DUMMYFUNCTION("""COMPUTED_VALUE"""),"At around 7:20 a.m., officers responded to a shooting outside of Freedom Prep Academy Westwood on Parkrose Road, MPD said. MPD on scene told me a security guard contracted by Freedom Prep in Westwood is the person who got shot. The security guard was rush"&amp;"ed to Regional One in critical condition but is expected to be okay, MPD said. Memphis Police is looking for a burgundy sedan with five men inside. Sources told me the men shot into the security guard’s car. Officers say the security guard told them the b"&amp;"urgundy sedan drove past the school in the 700 block of Parkrose Avenue. The car went to the end of the street and made a U-turn before shooting into the guard’s car in front of the school. According to sources, the guard told officers he and the suspects"&amp;" didn’t exchange any communication before the shooting. From what I’ve been told the school hired the guard to provide safety for contractors inside of the building.")</f>
        <v>At around 7:20 a.m., officers responded to a shooting outside of Freedom Prep Academy Westwood on Parkrose Road, MPD said. MPD on scene told me a security guard contracted by Freedom Prep in Westwood is the person who got shot. The security guard was rushed to Regional One in critical condition but is expected to be okay, MPD said. Memphis Police is looking for a burgundy sedan with five men inside. Sources told me the men shot into the security guard’s car. Officers say the security guard told them the burgundy sedan drove past the school in the 700 block of Parkrose Avenue. The car went to the end of the street and made a U-turn before shooting into the guard’s car in front of the school. According to sources, the guard told officers he and the suspects didn’t exchange any communication before the shooting. From what I’ve been told the school hired the guard to provide safety for contractors inside of the building.</v>
      </c>
      <c r="W238" s="1" t="str">
        <f ca="1">IFERROR(__xludf.DUMMYFUNCTION("""COMPUTED_VALUE"""),"Drive-by Shooting")</f>
        <v>Drive-by Shooting</v>
      </c>
      <c r="X238" s="1" t="str">
        <f ca="1">IFERROR(__xludf.DUMMYFUNCTION("""COMPUTED_VALUE"""),"Victims Targeted")</f>
        <v>Victims Targeted</v>
      </c>
      <c r="Y238" s="1" t="str">
        <f ca="1">IFERROR(__xludf.DUMMYFUNCTION("""COMPUTED_VALUE"""),"Yes")</f>
        <v>Yes</v>
      </c>
      <c r="Z238" s="1" t="str">
        <f ca="1">IFERROR(__xludf.DUMMYFUNCTION("""COMPUTED_VALUE"""),"5 men in car")</f>
        <v>5 men in car</v>
      </c>
      <c r="AA238" s="1" t="str">
        <f ca="1">IFERROR(__xludf.DUMMYFUNCTION("""COMPUTED_VALUE"""),"No")</f>
        <v>No</v>
      </c>
      <c r="AB238" s="1" t="str">
        <f ca="1">IFERROR(__xludf.DUMMYFUNCTION("""COMPUTED_VALUE"""),"No")</f>
        <v>No</v>
      </c>
      <c r="AC238" s="1" t="str">
        <f ca="1">IFERROR(__xludf.DUMMYFUNCTION("""COMPUTED_VALUE"""),"No")</f>
        <v>No</v>
      </c>
      <c r="AD238" s="1" t="str">
        <f ca="1">IFERROR(__xludf.DUMMYFUNCTION("""COMPUTED_VALUE"""),"No")</f>
        <v>No</v>
      </c>
      <c r="AE238" s="1" t="str">
        <f ca="1">IFERROR(__xludf.DUMMYFUNCTION("""COMPUTED_VALUE"""),"No")</f>
        <v>No</v>
      </c>
      <c r="AF238" s="1"/>
      <c r="AG238" s="1" t="str">
        <f ca="1">IFERROR(__xludf.DUMMYFUNCTION("""COMPUTED_VALUE"""),"No")</f>
        <v>No</v>
      </c>
      <c r="AH238" s="1">
        <f ca="1">IFERROR(__xludf.DUMMYFUNCTION("""COMPUTED_VALUE"""),99)</f>
        <v>99</v>
      </c>
    </row>
    <row r="239" spans="1:34" ht="12.5">
      <c r="A239" s="1" t="str">
        <f ca="1">IFERROR(__xludf.DUMMYFUNCTION("""COMPUTED_VALUE"""),"20230725NCJUC")</f>
        <v>20230725NCJUC</v>
      </c>
      <c r="B239" s="1">
        <f ca="1">IFERROR(__xludf.DUMMYFUNCTION("""COMPUTED_VALUE"""),7)</f>
        <v>7</v>
      </c>
      <c r="C239" s="1">
        <f ca="1">IFERROR(__xludf.DUMMYFUNCTION("""COMPUTED_VALUE"""),25)</f>
        <v>25</v>
      </c>
      <c r="D239" s="1">
        <f ca="1">IFERROR(__xludf.DUMMYFUNCTION("""COMPUTED_VALUE"""),2023)</f>
        <v>2023</v>
      </c>
      <c r="E239" s="4">
        <f ca="1">IFERROR(__xludf.DUMMYFUNCTION("""COMPUTED_VALUE"""),45132)</f>
        <v>45132</v>
      </c>
      <c r="F239" s="1" t="str">
        <f ca="1">IFERROR(__xludf.DUMMYFUNCTION("""COMPUTED_VALUE"""),"Julius Chambers High School")</f>
        <v>Julius Chambers High School</v>
      </c>
      <c r="G239" s="1">
        <f ca="1">IFERROR(__xludf.DUMMYFUNCTION("""COMPUTED_VALUE"""),0)</f>
        <v>0</v>
      </c>
      <c r="H239" s="1">
        <f ca="1">IFERROR(__xludf.DUMMYFUNCTION("""COMPUTED_VALUE"""),1)</f>
        <v>1</v>
      </c>
      <c r="I239" s="1">
        <f ca="1">IFERROR(__xludf.DUMMYFUNCTION("""COMPUTED_VALUE"""),1)</f>
        <v>1</v>
      </c>
      <c r="J239" s="1">
        <f ca="1">IFERROR(__xludf.DUMMYFUNCTION("""COMPUTED_VALUE"""),0)</f>
        <v>0</v>
      </c>
      <c r="K239" s="1" t="str">
        <f ca="1">IFERROR(__xludf.DUMMYFUNCTION("""COMPUTED_VALUE"""),"Summer")</f>
        <v>Summer</v>
      </c>
      <c r="L239" s="1" t="str">
        <f ca="1">IFERROR(__xludf.DUMMYFUNCTION("""COMPUTED_VALUE"""),"Charlotte")</f>
        <v>Charlotte</v>
      </c>
      <c r="M239" s="1" t="str">
        <f ca="1">IFERROR(__xludf.DUMMYFUNCTION("""COMPUTED_VALUE"""),"NC")</f>
        <v>NC</v>
      </c>
      <c r="N239" s="1" t="str">
        <f ca="1">IFERROR(__xludf.DUMMYFUNCTION("""COMPUTED_VALUE"""),"High")</f>
        <v>High</v>
      </c>
      <c r="O239" s="1" t="str">
        <f ca="1">IFERROR(__xludf.DUMMYFUNCTION("""COMPUTED_VALUE"""),"Football Field/Track")</f>
        <v>Football Field/Track</v>
      </c>
      <c r="P239" s="1" t="str">
        <f ca="1">IFERROR(__xludf.DUMMYFUNCTION("""COMPUTED_VALUE"""),"Outside on School Property")</f>
        <v>Outside on School Property</v>
      </c>
      <c r="Q239" s="1" t="str">
        <f ca="1">IFERROR(__xludf.DUMMYFUNCTION("""COMPUTED_VALUE"""),"No")</f>
        <v>No</v>
      </c>
      <c r="R239" s="1" t="str">
        <f ca="1">IFERROR(__xludf.DUMMYFUNCTION("""COMPUTED_VALUE"""),"Not a School Day")</f>
        <v>Not a School Day</v>
      </c>
      <c r="S239" s="5">
        <f ca="1">IFERROR(__xludf.DUMMYFUNCTION("""COMPUTED_VALUE"""),0.59375)</f>
        <v>0.59375</v>
      </c>
      <c r="T239" s="1">
        <f ca="1">IFERROR(__xludf.DUMMYFUNCTION("""COMPUTED_VALUE"""),1)</f>
        <v>1</v>
      </c>
      <c r="U239" s="1" t="str">
        <f ca="1">IFERROR(__xludf.DUMMYFUNCTION("""COMPUTED_VALUE"""),"Adult shot during fight")</f>
        <v>Adult shot during fight</v>
      </c>
      <c r="V239" s="1" t="str">
        <f ca="1">IFERROR(__xludf.DUMMYFUNCTION("""COMPUTED_VALUE"""),"Police are investigating a shooting that followed a fight between workers on the grounds of Julius L. Chambers High School on Tuesday afternoon. Chambers High was not in session when shots were fired at about 2:50 p.m., but it went under a “modified lockd"&amp;"own” when students arrived for football tryouts around 3:30 p.m., said Chambers High principal Gregory Hicks in a message sent to families. The two workers were repairing the track when they began fighting and one shot the other in the arm.")</f>
        <v>Police are investigating a shooting that followed a fight between workers on the grounds of Julius L. Chambers High School on Tuesday afternoon. Chambers High was not in session when shots were fired at about 2:50 p.m., but it went under a “modified lockdown” when students arrived for football tryouts around 3:30 p.m., said Chambers High principal Gregory Hicks in a message sent to families. The two workers were repairing the track when they began fighting and one shot the other in the arm.</v>
      </c>
      <c r="W239" s="1" t="str">
        <f ca="1">IFERROR(__xludf.DUMMYFUNCTION("""COMPUTED_VALUE"""),"Escalation of Dispute")</f>
        <v>Escalation of Dispute</v>
      </c>
      <c r="X239" s="1" t="str">
        <f ca="1">IFERROR(__xludf.DUMMYFUNCTION("""COMPUTED_VALUE"""),"Victims Targeted")</f>
        <v>Victims Targeted</v>
      </c>
      <c r="Y239" s="1" t="str">
        <f ca="1">IFERROR(__xludf.DUMMYFUNCTION("""COMPUTED_VALUE"""),"No")</f>
        <v>No</v>
      </c>
      <c r="Z239" s="1"/>
      <c r="AA239" s="1" t="str">
        <f ca="1">IFERROR(__xludf.DUMMYFUNCTION("""COMPUTED_VALUE"""),"No")</f>
        <v>No</v>
      </c>
      <c r="AB239" s="1" t="str">
        <f ca="1">IFERROR(__xludf.DUMMYFUNCTION("""COMPUTED_VALUE"""),"No")</f>
        <v>No</v>
      </c>
      <c r="AC239" s="1" t="str">
        <f ca="1">IFERROR(__xludf.DUMMYFUNCTION("""COMPUTED_VALUE"""),"No")</f>
        <v>No</v>
      </c>
      <c r="AD239" s="1" t="str">
        <f ca="1">IFERROR(__xludf.DUMMYFUNCTION("""COMPUTED_VALUE"""),"No")</f>
        <v>No</v>
      </c>
      <c r="AE239" s="1" t="str">
        <f ca="1">IFERROR(__xludf.DUMMYFUNCTION("""COMPUTED_VALUE"""),"No")</f>
        <v>No</v>
      </c>
      <c r="AF239" s="1" t="str">
        <f ca="1">IFERROR(__xludf.DUMMYFUNCTION("""COMPUTED_VALUE"""),"No")</f>
        <v>No</v>
      </c>
      <c r="AG239" s="1" t="str">
        <f ca="1">IFERROR(__xludf.DUMMYFUNCTION("""COMPUTED_VALUE"""),"No")</f>
        <v>No</v>
      </c>
      <c r="AH239" s="1">
        <f ca="1">IFERROR(__xludf.DUMMYFUNCTION("""COMPUTED_VALUE"""),1)</f>
        <v>1</v>
      </c>
    </row>
    <row r="240" spans="1:34" ht="12.5">
      <c r="A240" s="1" t="str">
        <f ca="1">IFERROR(__xludf.DUMMYFUNCTION("""COMPUTED_VALUE"""),"20230724PAJOH")</f>
        <v>20230724PAJOH</v>
      </c>
      <c r="B240" s="1">
        <f ca="1">IFERROR(__xludf.DUMMYFUNCTION("""COMPUTED_VALUE"""),7)</f>
        <v>7</v>
      </c>
      <c r="C240" s="1">
        <f ca="1">IFERROR(__xludf.DUMMYFUNCTION("""COMPUTED_VALUE"""),24)</f>
        <v>24</v>
      </c>
      <c r="D240" s="1">
        <f ca="1">IFERROR(__xludf.DUMMYFUNCTION("""COMPUTED_VALUE"""),2023)</f>
        <v>2023</v>
      </c>
      <c r="E240" s="4">
        <f ca="1">IFERROR(__xludf.DUMMYFUNCTION("""COMPUTED_VALUE"""),45131)</f>
        <v>45131</v>
      </c>
      <c r="F240" s="1" t="str">
        <f ca="1">IFERROR(__xludf.DUMMYFUNCTION("""COMPUTED_VALUE"""),"John Harris High School")</f>
        <v>John Harris High School</v>
      </c>
      <c r="G240" s="1">
        <f ca="1">IFERROR(__xludf.DUMMYFUNCTION("""COMPUTED_VALUE"""),1)</f>
        <v>1</v>
      </c>
      <c r="H240" s="1">
        <f ca="1">IFERROR(__xludf.DUMMYFUNCTION("""COMPUTED_VALUE"""),0)</f>
        <v>0</v>
      </c>
      <c r="I240" s="1">
        <f ca="1">IFERROR(__xludf.DUMMYFUNCTION("""COMPUTED_VALUE"""),1)</f>
        <v>1</v>
      </c>
      <c r="J240" s="1">
        <f ca="1">IFERROR(__xludf.DUMMYFUNCTION("""COMPUTED_VALUE"""),0)</f>
        <v>0</v>
      </c>
      <c r="K240" s="1" t="str">
        <f ca="1">IFERROR(__xludf.DUMMYFUNCTION("""COMPUTED_VALUE"""),"Summer")</f>
        <v>Summer</v>
      </c>
      <c r="L240" s="1" t="str">
        <f ca="1">IFERROR(__xludf.DUMMYFUNCTION("""COMPUTED_VALUE"""),"Harrisburg")</f>
        <v>Harrisburg</v>
      </c>
      <c r="M240" s="1" t="str">
        <f ca="1">IFERROR(__xludf.DUMMYFUNCTION("""COMPUTED_VALUE"""),"PA")</f>
        <v>PA</v>
      </c>
      <c r="N240" s="1" t="str">
        <f ca="1">IFERROR(__xludf.DUMMYFUNCTION("""COMPUTED_VALUE"""),"High")</f>
        <v>High</v>
      </c>
      <c r="O240" s="1" t="str">
        <f ca="1">IFERROR(__xludf.DUMMYFUNCTION("""COMPUTED_VALUE"""),"Front of School")</f>
        <v>Front of School</v>
      </c>
      <c r="P240" s="1" t="str">
        <f ca="1">IFERROR(__xludf.DUMMYFUNCTION("""COMPUTED_VALUE"""),"Outside on School Property")</f>
        <v>Outside on School Property</v>
      </c>
      <c r="Q240" s="1" t="str">
        <f ca="1">IFERROR(__xludf.DUMMYFUNCTION("""COMPUTED_VALUE"""),"No")</f>
        <v>No</v>
      </c>
      <c r="R240" s="1" t="str">
        <f ca="1">IFERROR(__xludf.DUMMYFUNCTION("""COMPUTED_VALUE"""),"Night")</f>
        <v>Night</v>
      </c>
      <c r="S240" s="5">
        <f ca="1">IFERROR(__xludf.DUMMYFUNCTION("""COMPUTED_VALUE"""),0.908333333333333)</f>
        <v>0.90833333333333299</v>
      </c>
      <c r="T240" s="1">
        <f ca="1">IFERROR(__xludf.DUMMYFUNCTION("""COMPUTED_VALUE"""),1)</f>
        <v>1</v>
      </c>
      <c r="U240" s="1" t="str">
        <f ca="1">IFERROR(__xludf.DUMMYFUNCTION("""COMPUTED_VALUE"""),"Teen fatally shot man in front of the schhol")</f>
        <v>Teen fatally shot man in front of the schhol</v>
      </c>
      <c r="V240" s="1" t="str">
        <f ca="1">IFERROR(__xludf.DUMMYFUNCTION("""COMPUTED_VALUE"""),"Officers arrived in front of the John Harris high school campus and found Strain-Hankerson in the passenger seat of a car after being hit multiple times by bullets. The car also had been struck by bullets. Strain-Hankerson died at the scene. Police linked"&amp;" Akai to the shooting after being spotted in video surveillance from multiple locations in the area, according to court documents. The 15-year-old spoke with police on Tuesday and told a detective that he possessed and shot a firearm during the incident, "&amp;"according to court record")</f>
        <v>Officers arrived in front of the John Harris high school campus and found Strain-Hankerson in the passenger seat of a car after being hit multiple times by bullets. The car also had been struck by bullets. Strain-Hankerson died at the scene. Police linked Akai to the shooting after being spotted in video surveillance from multiple locations in the area, according to court documents. The 15-year-old spoke with police on Tuesday and told a detective that he possessed and shot a firearm during the incident, according to court record</v>
      </c>
      <c r="W240" s="1"/>
      <c r="X240" s="1" t="str">
        <f ca="1">IFERROR(__xludf.DUMMYFUNCTION("""COMPUTED_VALUE"""),"Victims Targeted")</f>
        <v>Victims Targeted</v>
      </c>
      <c r="Y240" s="1" t="str">
        <f ca="1">IFERROR(__xludf.DUMMYFUNCTION("""COMPUTED_VALUE"""),"No")</f>
        <v>No</v>
      </c>
      <c r="Z240" s="1"/>
      <c r="AA240" s="1" t="str">
        <f ca="1">IFERROR(__xludf.DUMMYFUNCTION("""COMPUTED_VALUE"""),"No")</f>
        <v>No</v>
      </c>
      <c r="AB240" s="1" t="str">
        <f ca="1">IFERROR(__xludf.DUMMYFUNCTION("""COMPUTED_VALUE"""),"No")</f>
        <v>No</v>
      </c>
      <c r="AC240" s="1" t="str">
        <f ca="1">IFERROR(__xludf.DUMMYFUNCTION("""COMPUTED_VALUE"""),"No")</f>
        <v>No</v>
      </c>
      <c r="AD240" s="1" t="str">
        <f ca="1">IFERROR(__xludf.DUMMYFUNCTION("""COMPUTED_VALUE"""),"No")</f>
        <v>No</v>
      </c>
      <c r="AE240" s="1" t="str">
        <f ca="1">IFERROR(__xludf.DUMMYFUNCTION("""COMPUTED_VALUE"""),"No")</f>
        <v>No</v>
      </c>
      <c r="AF240" s="1"/>
      <c r="AG240" s="1" t="str">
        <f ca="1">IFERROR(__xludf.DUMMYFUNCTION("""COMPUTED_VALUE"""),"No")</f>
        <v>No</v>
      </c>
      <c r="AH240" s="1">
        <f ca="1">IFERROR(__xludf.DUMMYFUNCTION("""COMPUTED_VALUE"""),99)</f>
        <v>99</v>
      </c>
    </row>
    <row r="241" spans="1:34" ht="12.5">
      <c r="A241" s="1" t="str">
        <f ca="1">IFERROR(__xludf.DUMMYFUNCTION("""COMPUTED_VALUE"""),"20230718NYFRB")</f>
        <v>20230718NYFRB</v>
      </c>
      <c r="B241" s="1">
        <f ca="1">IFERROR(__xludf.DUMMYFUNCTION("""COMPUTED_VALUE"""),7)</f>
        <v>7</v>
      </c>
      <c r="C241" s="1">
        <f ca="1">IFERROR(__xludf.DUMMYFUNCTION("""COMPUTED_VALUE"""),18)</f>
        <v>18</v>
      </c>
      <c r="D241" s="1">
        <f ca="1">IFERROR(__xludf.DUMMYFUNCTION("""COMPUTED_VALUE"""),2023)</f>
        <v>2023</v>
      </c>
      <c r="E241" s="4">
        <f ca="1">IFERROR(__xludf.DUMMYFUNCTION("""COMPUTED_VALUE"""),45125)</f>
        <v>45125</v>
      </c>
      <c r="F241" s="1" t="str">
        <f ca="1">IFERROR(__xludf.DUMMYFUNCTION("""COMPUTED_VALUE"""),"Franklin Delano Roosevelt High School")</f>
        <v>Franklin Delano Roosevelt High School</v>
      </c>
      <c r="G241" s="1">
        <f ca="1">IFERROR(__xludf.DUMMYFUNCTION("""COMPUTED_VALUE"""),1)</f>
        <v>1</v>
      </c>
      <c r="H241" s="1">
        <f ca="1">IFERROR(__xludf.DUMMYFUNCTION("""COMPUTED_VALUE"""),0)</f>
        <v>0</v>
      </c>
      <c r="I241" s="1">
        <f ca="1">IFERROR(__xludf.DUMMYFUNCTION("""COMPUTED_VALUE"""),1)</f>
        <v>1</v>
      </c>
      <c r="J241" s="1">
        <f ca="1">IFERROR(__xludf.DUMMYFUNCTION("""COMPUTED_VALUE"""),0)</f>
        <v>0</v>
      </c>
      <c r="K241" s="1" t="str">
        <f ca="1">IFERROR(__xludf.DUMMYFUNCTION("""COMPUTED_VALUE"""),"Summer")</f>
        <v>Summer</v>
      </c>
      <c r="L241" s="1" t="str">
        <f ca="1">IFERROR(__xludf.DUMMYFUNCTION("""COMPUTED_VALUE"""),"Brooklyn")</f>
        <v>Brooklyn</v>
      </c>
      <c r="M241" s="1" t="str">
        <f ca="1">IFERROR(__xludf.DUMMYFUNCTION("""COMPUTED_VALUE"""),"NY")</f>
        <v>NY</v>
      </c>
      <c r="N241" s="1" t="str">
        <f ca="1">IFERROR(__xludf.DUMMYFUNCTION("""COMPUTED_VALUE"""),"High")</f>
        <v>High</v>
      </c>
      <c r="O241" s="1" t="str">
        <f ca="1">IFERROR(__xludf.DUMMYFUNCTION("""COMPUTED_VALUE"""),"Front of School")</f>
        <v>Front of School</v>
      </c>
      <c r="P241" s="1" t="str">
        <f ca="1">IFERROR(__xludf.DUMMYFUNCTION("""COMPUTED_VALUE"""),"Outside on School Property")</f>
        <v>Outside on School Property</v>
      </c>
      <c r="Q241" s="1" t="str">
        <f ca="1">IFERROR(__xludf.DUMMYFUNCTION("""COMPUTED_VALUE"""),"Yes")</f>
        <v>Yes</v>
      </c>
      <c r="R241" s="1" t="str">
        <f ca="1">IFERROR(__xludf.DUMMYFUNCTION("""COMPUTED_VALUE"""),"Afternoon Classes")</f>
        <v>Afternoon Classes</v>
      </c>
      <c r="S241" s="5">
        <f ca="1">IFERROR(__xludf.DUMMYFUNCTION("""COMPUTED_VALUE"""),0.541666666666666)</f>
        <v>0.54166666666666596</v>
      </c>
      <c r="T241" s="1">
        <f ca="1">IFERROR(__xludf.DUMMYFUNCTION("""COMPUTED_VALUE"""),1)</f>
        <v>1</v>
      </c>
      <c r="U241" s="1" t="str">
        <f ca="1">IFERROR(__xludf.DUMMYFUNCTION("""COMPUTED_VALUE"""),"Teen shot during planned fight between students")</f>
        <v>Teen shot during planned fight between students</v>
      </c>
      <c r="V241" s="1" t="str">
        <f ca="1">IFERROR(__xludf.DUMMYFUNCTION("""COMPUTED_VALUE"""),"According to investigators, around 1 p.m. Monday 15-year-old Foridun Mavlonov was with six other young people on 20th Avenue in Bensonhurst. They believe two groups of students knew each other from Franklin Delano Roosevelt High School, where they all att"&amp;"end summer school. The victim had been with one group of students arguing with another group, which included the 17-year-old shooter. Detectives say the gunman had words with a particular member of the victim's group, and agreed to meet up later to settle"&amp;" matters physically.")</f>
        <v>According to investigators, around 1 p.m. Monday 15-year-old Foridun Mavlonov was with six other young people on 20th Avenue in Bensonhurst. They believe two groups of students knew each other from Franklin Delano Roosevelt High School, where they all attend summer school. The victim had been with one group of students arguing with another group, which included the 17-year-old shooter. Detectives say the gunman had words with a particular member of the victim's group, and agreed to meet up later to settle matters physically.</v>
      </c>
      <c r="W241" s="1" t="str">
        <f ca="1">IFERROR(__xludf.DUMMYFUNCTION("""COMPUTED_VALUE"""),"Escalation of Dispute")</f>
        <v>Escalation of Dispute</v>
      </c>
      <c r="X241" s="1" t="str">
        <f ca="1">IFERROR(__xludf.DUMMYFUNCTION("""COMPUTED_VALUE"""),"Both")</f>
        <v>Both</v>
      </c>
      <c r="Y241" s="1" t="str">
        <f ca="1">IFERROR(__xludf.DUMMYFUNCTION("""COMPUTED_VALUE"""),"Yes")</f>
        <v>Yes</v>
      </c>
      <c r="Z241" s="1" t="str">
        <f ca="1">IFERROR(__xludf.DUMMYFUNCTION("""COMPUTED_VALUE"""),"Group")</f>
        <v>Group</v>
      </c>
      <c r="AA241" s="1" t="str">
        <f ca="1">IFERROR(__xludf.DUMMYFUNCTION("""COMPUTED_VALUE"""),"No")</f>
        <v>No</v>
      </c>
      <c r="AB241" s="1" t="str">
        <f ca="1">IFERROR(__xludf.DUMMYFUNCTION("""COMPUTED_VALUE"""),"No")</f>
        <v>No</v>
      </c>
      <c r="AC241" s="1" t="str">
        <f ca="1">IFERROR(__xludf.DUMMYFUNCTION("""COMPUTED_VALUE"""),"No")</f>
        <v>No</v>
      </c>
      <c r="AD241" s="1"/>
      <c r="AE241" s="1" t="str">
        <f ca="1">IFERROR(__xludf.DUMMYFUNCTION("""COMPUTED_VALUE"""),"No")</f>
        <v>No</v>
      </c>
      <c r="AF241" s="1" t="str">
        <f ca="1">IFERROR(__xludf.DUMMYFUNCTION("""COMPUTED_VALUE"""),"No")</f>
        <v>No</v>
      </c>
      <c r="AG241" s="1" t="str">
        <f ca="1">IFERROR(__xludf.DUMMYFUNCTION("""COMPUTED_VALUE"""),"No")</f>
        <v>No</v>
      </c>
      <c r="AH241" s="1">
        <f ca="1">IFERROR(__xludf.DUMMYFUNCTION("""COMPUTED_VALUE"""),7)</f>
        <v>7</v>
      </c>
    </row>
    <row r="242" spans="1:34" ht="12.5">
      <c r="A242" s="1" t="str">
        <f ca="1">IFERROR(__xludf.DUMMYFUNCTION("""COMPUTED_VALUE"""),"20230716GALOH")</f>
        <v>20230716GALOH</v>
      </c>
      <c r="B242" s="1">
        <f ca="1">IFERROR(__xludf.DUMMYFUNCTION("""COMPUTED_VALUE"""),7)</f>
        <v>7</v>
      </c>
      <c r="C242" s="1">
        <f ca="1">IFERROR(__xludf.DUMMYFUNCTION("""COMPUTED_VALUE"""),16)</f>
        <v>16</v>
      </c>
      <c r="D242" s="1">
        <f ca="1">IFERROR(__xludf.DUMMYFUNCTION("""COMPUTED_VALUE"""),2023)</f>
        <v>2023</v>
      </c>
      <c r="E242" s="4">
        <f ca="1">IFERROR(__xludf.DUMMYFUNCTION("""COMPUTED_VALUE"""),45123)</f>
        <v>45123</v>
      </c>
      <c r="F242" s="1" t="str">
        <f ca="1">IFERROR(__xludf.DUMMYFUNCTION("""COMPUTED_VALUE"""),"Lovejoy High School")</f>
        <v>Lovejoy High School</v>
      </c>
      <c r="G242" s="1">
        <f ca="1">IFERROR(__xludf.DUMMYFUNCTION("""COMPUTED_VALUE"""),1)</f>
        <v>1</v>
      </c>
      <c r="H242" s="1">
        <f ca="1">IFERROR(__xludf.DUMMYFUNCTION("""COMPUTED_VALUE"""),0)</f>
        <v>0</v>
      </c>
      <c r="I242" s="1">
        <f ca="1">IFERROR(__xludf.DUMMYFUNCTION("""COMPUTED_VALUE"""),1)</f>
        <v>1</v>
      </c>
      <c r="J242" s="1">
        <f ca="1">IFERROR(__xludf.DUMMYFUNCTION("""COMPUTED_VALUE"""),0)</f>
        <v>0</v>
      </c>
      <c r="K242" s="1" t="str">
        <f ca="1">IFERROR(__xludf.DUMMYFUNCTION("""COMPUTED_VALUE"""),"Summer")</f>
        <v>Summer</v>
      </c>
      <c r="L242" s="1" t="str">
        <f ca="1">IFERROR(__xludf.DUMMYFUNCTION("""COMPUTED_VALUE"""),"Hampton")</f>
        <v>Hampton</v>
      </c>
      <c r="M242" s="1" t="str">
        <f ca="1">IFERROR(__xludf.DUMMYFUNCTION("""COMPUTED_VALUE"""),"GA")</f>
        <v>GA</v>
      </c>
      <c r="N242" s="1" t="str">
        <f ca="1">IFERROR(__xludf.DUMMYFUNCTION("""COMPUTED_VALUE"""),"High")</f>
        <v>High</v>
      </c>
      <c r="O242" s="1" t="str">
        <f ca="1">IFERROR(__xludf.DUMMYFUNCTION("""COMPUTED_VALUE"""),"Parking Lot")</f>
        <v>Parking Lot</v>
      </c>
      <c r="P242" s="1" t="str">
        <f ca="1">IFERROR(__xludf.DUMMYFUNCTION("""COMPUTED_VALUE"""),"Outside on School Property")</f>
        <v>Outside on School Property</v>
      </c>
      <c r="Q242" s="1" t="str">
        <f ca="1">IFERROR(__xludf.DUMMYFUNCTION("""COMPUTED_VALUE"""),"No")</f>
        <v>No</v>
      </c>
      <c r="R242" s="1" t="str">
        <f ca="1">IFERROR(__xludf.DUMMYFUNCTION("""COMPUTED_VALUE"""),"Night")</f>
        <v>Night</v>
      </c>
      <c r="S242" s="5">
        <f ca="1">IFERROR(__xludf.DUMMYFUNCTION("""COMPUTED_VALUE"""),0.958333333333333)</f>
        <v>0.95833333333333304</v>
      </c>
      <c r="T242" s="1">
        <f ca="1">IFERROR(__xludf.DUMMYFUNCTION("""COMPUTED_VALUE"""),1)</f>
        <v>1</v>
      </c>
      <c r="U242" s="1" t="str">
        <f ca="1">IFERROR(__xludf.DUMMYFUNCTION("""COMPUTED_VALUE"""),"Man kidnapped ex girlfriend and fatally shot her at schhol")</f>
        <v>Man kidnapped ex girlfriend and fatally shot her at schhol</v>
      </c>
      <c r="V242" s="1" t="str">
        <f ca="1">IFERROR(__xludf.DUMMYFUNCTION("""COMPUTED_VALUE"""),"Around 11 p.m. Sunday, Fayetteville Police responded to a kidnapping call at Wingstop off North Glynn Street. 911 callers told police that a man, identified as Hopkins, came into the restaurant and took his ex-girlfriend at gunpoint. One of the callers sa"&amp;"id they left in a red Camaro, which officers later spotted and began to follow it. Police say that Hopkins eventually sped off from officers near Banks Road and the chase went into Clayton County, where he pulled into Lovejoy High School. Fayetteville pol"&amp;"ice said their officers did a PIT maneuver to end the chase and they heard several gunshots fired inside the car. They said Hopkins also fired shots at the officers’ cars. Officers and deputies found the 19-year-old woman dead with several gunshot wounds."&amp;" ")</f>
        <v xml:space="preserve">Around 11 p.m. Sunday, Fayetteville Police responded to a kidnapping call at Wingstop off North Glynn Street. 911 callers told police that a man, identified as Hopkins, came into the restaurant and took his ex-girlfriend at gunpoint. One of the callers said they left in a red Camaro, which officers later spotted and began to follow it. Police say that Hopkins eventually sped off from officers near Banks Road and the chase went into Clayton County, where he pulled into Lovejoy High School. Fayetteville police said their officers did a PIT maneuver to end the chase and they heard several gunshots fired inside the car. They said Hopkins also fired shots at the officers’ cars. Officers and deputies found the 19-year-old woman dead with several gunshot wounds. </v>
      </c>
      <c r="W242" s="1" t="str">
        <f ca="1">IFERROR(__xludf.DUMMYFUNCTION("""COMPUTED_VALUE"""),"Domestic w/ Targeted Victim")</f>
        <v>Domestic w/ Targeted Victim</v>
      </c>
      <c r="X242" s="1" t="str">
        <f ca="1">IFERROR(__xludf.DUMMYFUNCTION("""COMPUTED_VALUE"""),"Victims Targeted")</f>
        <v>Victims Targeted</v>
      </c>
      <c r="Y242" s="1" t="str">
        <f ca="1">IFERROR(__xludf.DUMMYFUNCTION("""COMPUTED_VALUE"""),"No")</f>
        <v>No</v>
      </c>
      <c r="Z242" s="1"/>
      <c r="AA242" s="1" t="str">
        <f ca="1">IFERROR(__xludf.DUMMYFUNCTION("""COMPUTED_VALUE"""),"No")</f>
        <v>No</v>
      </c>
      <c r="AB242" s="1" t="str">
        <f ca="1">IFERROR(__xludf.DUMMYFUNCTION("""COMPUTED_VALUE"""),"No")</f>
        <v>No</v>
      </c>
      <c r="AC242" s="1" t="str">
        <f ca="1">IFERROR(__xludf.DUMMYFUNCTION("""COMPUTED_VALUE"""),"No")</f>
        <v>No</v>
      </c>
      <c r="AD242" s="1" t="str">
        <f ca="1">IFERROR(__xludf.DUMMYFUNCTION("""COMPUTED_VALUE"""),"No")</f>
        <v>No</v>
      </c>
      <c r="AE242" s="1" t="str">
        <f ca="1">IFERROR(__xludf.DUMMYFUNCTION("""COMPUTED_VALUE"""),"Yes")</f>
        <v>Yes</v>
      </c>
      <c r="AF242" s="1" t="str">
        <f ca="1">IFERROR(__xludf.DUMMYFUNCTION("""COMPUTED_VALUE"""),"No")</f>
        <v>No</v>
      </c>
      <c r="AG242" s="1" t="str">
        <f ca="1">IFERROR(__xludf.DUMMYFUNCTION("""COMPUTED_VALUE"""),"No")</f>
        <v>No</v>
      </c>
      <c r="AH242" s="1">
        <f ca="1">IFERROR(__xludf.DUMMYFUNCTION("""COMPUTED_VALUE"""),99)</f>
        <v>99</v>
      </c>
    </row>
    <row r="243" spans="1:34" ht="12.5">
      <c r="A243" s="1" t="str">
        <f ca="1">IFERROR(__xludf.DUMMYFUNCTION("""COMPUTED_VALUE"""),"20230714TXJAS")</f>
        <v>20230714TXJAS</v>
      </c>
      <c r="B243" s="1">
        <f ca="1">IFERROR(__xludf.DUMMYFUNCTION("""COMPUTED_VALUE"""),7)</f>
        <v>7</v>
      </c>
      <c r="C243" s="1">
        <f ca="1">IFERROR(__xludf.DUMMYFUNCTION("""COMPUTED_VALUE"""),14)</f>
        <v>14</v>
      </c>
      <c r="D243" s="1">
        <f ca="1">IFERROR(__xludf.DUMMYFUNCTION("""COMPUTED_VALUE"""),2023)</f>
        <v>2023</v>
      </c>
      <c r="E243" s="4">
        <f ca="1">IFERROR(__xludf.DUMMYFUNCTION("""COMPUTED_VALUE"""),45121)</f>
        <v>45121</v>
      </c>
      <c r="F243" s="1" t="str">
        <f ca="1">IFERROR(__xludf.DUMMYFUNCTION("""COMPUTED_VALUE"""),"Japhet Elementary School")</f>
        <v>Japhet Elementary School</v>
      </c>
      <c r="G243" s="1">
        <f ca="1">IFERROR(__xludf.DUMMYFUNCTION("""COMPUTED_VALUE"""),0)</f>
        <v>0</v>
      </c>
      <c r="H243" s="1">
        <f ca="1">IFERROR(__xludf.DUMMYFUNCTION("""COMPUTED_VALUE"""),0)</f>
        <v>0</v>
      </c>
      <c r="I243" s="1">
        <f ca="1">IFERROR(__xludf.DUMMYFUNCTION("""COMPUTED_VALUE"""),0)</f>
        <v>0</v>
      </c>
      <c r="J243" s="1">
        <f ca="1">IFERROR(__xludf.DUMMYFUNCTION("""COMPUTED_VALUE"""),0)</f>
        <v>0</v>
      </c>
      <c r="K243" s="1" t="str">
        <f ca="1">IFERROR(__xludf.DUMMYFUNCTION("""COMPUTED_VALUE"""),"Summer")</f>
        <v>Summer</v>
      </c>
      <c r="L243" s="1" t="str">
        <f ca="1">IFERROR(__xludf.DUMMYFUNCTION("""COMPUTED_VALUE"""),"San Antonio")</f>
        <v>San Antonio</v>
      </c>
      <c r="M243" s="1" t="str">
        <f ca="1">IFERROR(__xludf.DUMMYFUNCTION("""COMPUTED_VALUE"""),"TX")</f>
        <v>TX</v>
      </c>
      <c r="N243" s="1" t="str">
        <f ca="1">IFERROR(__xludf.DUMMYFUNCTION("""COMPUTED_VALUE"""),"Elementary")</f>
        <v>Elementary</v>
      </c>
      <c r="O243" s="1" t="str">
        <f ca="1">IFERROR(__xludf.DUMMYFUNCTION("""COMPUTED_VALUE"""),"Parking Lot")</f>
        <v>Parking Lot</v>
      </c>
      <c r="P243" s="1" t="str">
        <f ca="1">IFERROR(__xludf.DUMMYFUNCTION("""COMPUTED_VALUE"""),"Outside on School Property")</f>
        <v>Outside on School Property</v>
      </c>
      <c r="Q243" s="1" t="str">
        <f ca="1">IFERROR(__xludf.DUMMYFUNCTION("""COMPUTED_VALUE"""),"No")</f>
        <v>No</v>
      </c>
      <c r="R243" s="1" t="str">
        <f ca="1">IFERROR(__xludf.DUMMYFUNCTION("""COMPUTED_VALUE"""),"Evening")</f>
        <v>Evening</v>
      </c>
      <c r="S243" s="5">
        <f ca="1">IFERROR(__xludf.DUMMYFUNCTION("""COMPUTED_VALUE"""),0.833333333333333)</f>
        <v>0.83333333333333304</v>
      </c>
      <c r="T243" s="1">
        <f ca="1">IFERROR(__xludf.DUMMYFUNCTION("""COMPUTED_VALUE"""),1)</f>
        <v>1</v>
      </c>
      <c r="U243" s="1" t="str">
        <f ca="1">IFERROR(__xludf.DUMMYFUNCTION("""COMPUTED_VALUE"""),"A juvenile was arrested after firing rounds in an elementary parking lot")</f>
        <v>A juvenile was arrested after firing rounds in an elementary parking lot</v>
      </c>
      <c r="V243" s="1" t="str">
        <f ca="1">IFERROR(__xludf.DUMMYFUNCTION("""COMPUTED_VALUE"""),"According to The San Antonio Police Department, the shooting happened around 8 p.m. in parking lot of school. Police say that a 28-year-old victim approached an officer saying that a young man had a weapon and fired shots toward him. The officer went to i"&amp;"nvestigate and saw the suspect with a gun in his hand nearby. The officer drew his weapon and demanded the suspect to drop the gun and he complied with the officer.")</f>
        <v>According to The San Antonio Police Department, the shooting happened around 8 p.m. in parking lot of school. Police say that a 28-year-old victim approached an officer saying that a young man had a weapon and fired shots toward him. The officer went to investigate and saw the suspect with a gun in his hand nearby. The officer drew his weapon and demanded the suspect to drop the gun and he complied with the officer.</v>
      </c>
      <c r="W243" s="1" t="str">
        <f ca="1">IFERROR(__xludf.DUMMYFUNCTION("""COMPUTED_VALUE"""),"Escalation of Dispute")</f>
        <v>Escalation of Dispute</v>
      </c>
      <c r="X243" s="1" t="str">
        <f ca="1">IFERROR(__xludf.DUMMYFUNCTION("""COMPUTED_VALUE"""),"Victims Targeted")</f>
        <v>Victims Targeted</v>
      </c>
      <c r="Y243" s="1" t="str">
        <f ca="1">IFERROR(__xludf.DUMMYFUNCTION("""COMPUTED_VALUE"""),"No")</f>
        <v>No</v>
      </c>
      <c r="Z243" s="1"/>
      <c r="AA243" s="1" t="str">
        <f ca="1">IFERROR(__xludf.DUMMYFUNCTION("""COMPUTED_VALUE"""),"No")</f>
        <v>No</v>
      </c>
      <c r="AB243" s="1" t="str">
        <f ca="1">IFERROR(__xludf.DUMMYFUNCTION("""COMPUTED_VALUE"""),"No")</f>
        <v>No</v>
      </c>
      <c r="AC243" s="1" t="str">
        <f ca="1">IFERROR(__xludf.DUMMYFUNCTION("""COMPUTED_VALUE"""),"No")</f>
        <v>No</v>
      </c>
      <c r="AD243" s="1" t="str">
        <f ca="1">IFERROR(__xludf.DUMMYFUNCTION("""COMPUTED_VALUE"""),"No")</f>
        <v>No</v>
      </c>
      <c r="AE243" s="1" t="str">
        <f ca="1">IFERROR(__xludf.DUMMYFUNCTION("""COMPUTED_VALUE"""),"No")</f>
        <v>No</v>
      </c>
      <c r="AF243" s="1" t="str">
        <f ca="1">IFERROR(__xludf.DUMMYFUNCTION("""COMPUTED_VALUE"""),"No")</f>
        <v>No</v>
      </c>
      <c r="AG243" s="1" t="str">
        <f ca="1">IFERROR(__xludf.DUMMYFUNCTION("""COMPUTED_VALUE"""),"No")</f>
        <v>No</v>
      </c>
      <c r="AH243" s="1">
        <f ca="1">IFERROR(__xludf.DUMMYFUNCTION("""COMPUTED_VALUE"""),99)</f>
        <v>99</v>
      </c>
    </row>
    <row r="244" spans="1:34" ht="12.5">
      <c r="A244" s="1" t="str">
        <f ca="1">IFERROR(__xludf.DUMMYFUNCTION("""COMPUTED_VALUE"""),"20230714NYKIT")</f>
        <v>20230714NYKIT</v>
      </c>
      <c r="B244" s="1">
        <f ca="1">IFERROR(__xludf.DUMMYFUNCTION("""COMPUTED_VALUE"""),7)</f>
        <v>7</v>
      </c>
      <c r="C244" s="1">
        <f ca="1">IFERROR(__xludf.DUMMYFUNCTION("""COMPUTED_VALUE"""),14)</f>
        <v>14</v>
      </c>
      <c r="D244" s="1">
        <f ca="1">IFERROR(__xludf.DUMMYFUNCTION("""COMPUTED_VALUE"""),2023)</f>
        <v>2023</v>
      </c>
      <c r="E244" s="4">
        <f ca="1">IFERROR(__xludf.DUMMYFUNCTION("""COMPUTED_VALUE"""),45121)</f>
        <v>45121</v>
      </c>
      <c r="F244" s="1" t="str">
        <f ca="1">IFERROR(__xludf.DUMMYFUNCTION("""COMPUTED_VALUE"""),"KIPP Troy Prep Elementary School")</f>
        <v>KIPP Troy Prep Elementary School</v>
      </c>
      <c r="G244" s="1">
        <f ca="1">IFERROR(__xludf.DUMMYFUNCTION("""COMPUTED_VALUE"""),0)</f>
        <v>0</v>
      </c>
      <c r="H244" s="1">
        <f ca="1">IFERROR(__xludf.DUMMYFUNCTION("""COMPUTED_VALUE"""),1)</f>
        <v>1</v>
      </c>
      <c r="I244" s="1">
        <f ca="1">IFERROR(__xludf.DUMMYFUNCTION("""COMPUTED_VALUE"""),1)</f>
        <v>1</v>
      </c>
      <c r="J244" s="1">
        <f ca="1">IFERROR(__xludf.DUMMYFUNCTION("""COMPUTED_VALUE"""),0)</f>
        <v>0</v>
      </c>
      <c r="K244" s="1" t="str">
        <f ca="1">IFERROR(__xludf.DUMMYFUNCTION("""COMPUTED_VALUE"""),"Summer")</f>
        <v>Summer</v>
      </c>
      <c r="L244" s="1" t="str">
        <f ca="1">IFERROR(__xludf.DUMMYFUNCTION("""COMPUTED_VALUE"""),"Troy")</f>
        <v>Troy</v>
      </c>
      <c r="M244" s="1" t="str">
        <f ca="1">IFERROR(__xludf.DUMMYFUNCTION("""COMPUTED_VALUE"""),"NY")</f>
        <v>NY</v>
      </c>
      <c r="N244" s="1" t="str">
        <f ca="1">IFERROR(__xludf.DUMMYFUNCTION("""COMPUTED_VALUE"""),"Elementary")</f>
        <v>Elementary</v>
      </c>
      <c r="O244" s="1" t="str">
        <f ca="1">IFERROR(__xludf.DUMMYFUNCTION("""COMPUTED_VALUE"""),"Front of School")</f>
        <v>Front of School</v>
      </c>
      <c r="P244" s="1" t="str">
        <f ca="1">IFERROR(__xludf.DUMMYFUNCTION("""COMPUTED_VALUE"""),"Outside on School Property")</f>
        <v>Outside on School Property</v>
      </c>
      <c r="Q244" s="1" t="str">
        <f ca="1">IFERROR(__xludf.DUMMYFUNCTION("""COMPUTED_VALUE"""),"No")</f>
        <v>No</v>
      </c>
      <c r="R244" s="1" t="str">
        <f ca="1">IFERROR(__xludf.DUMMYFUNCTION("""COMPUTED_VALUE"""),"Evening")</f>
        <v>Evening</v>
      </c>
      <c r="S244" s="5">
        <f ca="1">IFERROR(__xludf.DUMMYFUNCTION("""COMPUTED_VALUE"""),0.75)</f>
        <v>0.75</v>
      </c>
      <c r="T244" s="1">
        <f ca="1">IFERROR(__xludf.DUMMYFUNCTION("""COMPUTED_VALUE"""),1)</f>
        <v>1</v>
      </c>
      <c r="U244" s="1" t="str">
        <f ca="1">IFERROR(__xludf.DUMMYFUNCTION("""COMPUTED_VALUE"""),"Teen shot in front of school")</f>
        <v>Teen shot in front of school</v>
      </c>
      <c r="V244" s="1" t="str">
        <f ca="1">IFERROR(__xludf.DUMMYFUNCTION("""COMPUTED_VALUE"""),"According to Troy Police, two groups of people got into a fight and someone opened fire, intentionally striking a 16-year-old boy. The suspect then fled the scene.")</f>
        <v>According to Troy Police, two groups of people got into a fight and someone opened fire, intentionally striking a 16-year-old boy. The suspect then fled the scene.</v>
      </c>
      <c r="W244" s="1" t="str">
        <f ca="1">IFERROR(__xludf.DUMMYFUNCTION("""COMPUTED_VALUE"""),"Escalation of Dispute")</f>
        <v>Escalation of Dispute</v>
      </c>
      <c r="X244" s="1" t="str">
        <f ca="1">IFERROR(__xludf.DUMMYFUNCTION("""COMPUTED_VALUE"""),"Victims Targeted")</f>
        <v>Victims Targeted</v>
      </c>
      <c r="Y244" s="1" t="str">
        <f ca="1">IFERROR(__xludf.DUMMYFUNCTION("""COMPUTED_VALUE"""),"No")</f>
        <v>No</v>
      </c>
      <c r="Z244" s="1"/>
      <c r="AA244" s="1" t="str">
        <f ca="1">IFERROR(__xludf.DUMMYFUNCTION("""COMPUTED_VALUE"""),"No")</f>
        <v>No</v>
      </c>
      <c r="AB244" s="1" t="str">
        <f ca="1">IFERROR(__xludf.DUMMYFUNCTION("""COMPUTED_VALUE"""),"No")</f>
        <v>No</v>
      </c>
      <c r="AC244" s="1" t="str">
        <f ca="1">IFERROR(__xludf.DUMMYFUNCTION("""COMPUTED_VALUE"""),"No")</f>
        <v>No</v>
      </c>
      <c r="AD244" s="1" t="str">
        <f ca="1">IFERROR(__xludf.DUMMYFUNCTION("""COMPUTED_VALUE"""),"No")</f>
        <v>No</v>
      </c>
      <c r="AE244" s="1" t="str">
        <f ca="1">IFERROR(__xludf.DUMMYFUNCTION("""COMPUTED_VALUE"""),"No")</f>
        <v>No</v>
      </c>
      <c r="AF244" s="1" t="str">
        <f ca="1">IFERROR(__xludf.DUMMYFUNCTION("""COMPUTED_VALUE"""),"No")</f>
        <v>No</v>
      </c>
      <c r="AG244" s="1" t="str">
        <f ca="1">IFERROR(__xludf.DUMMYFUNCTION("""COMPUTED_VALUE"""),"No")</f>
        <v>No</v>
      </c>
      <c r="AH244" s="1"/>
    </row>
    <row r="245" spans="1:34" ht="12.5">
      <c r="A245" s="1" t="str">
        <f ca="1">IFERROR(__xludf.DUMMYFUNCTION("""COMPUTED_VALUE"""),"20230708ALWOB")</f>
        <v>20230708ALWOB</v>
      </c>
      <c r="B245" s="1">
        <f ca="1">IFERROR(__xludf.DUMMYFUNCTION("""COMPUTED_VALUE"""),7)</f>
        <v>7</v>
      </c>
      <c r="C245" s="1">
        <f ca="1">IFERROR(__xludf.DUMMYFUNCTION("""COMPUTED_VALUE"""),8)</f>
        <v>8</v>
      </c>
      <c r="D245" s="1">
        <f ca="1">IFERROR(__xludf.DUMMYFUNCTION("""COMPUTED_VALUE"""),2023)</f>
        <v>2023</v>
      </c>
      <c r="E245" s="4">
        <f ca="1">IFERROR(__xludf.DUMMYFUNCTION("""COMPUTED_VALUE"""),45115)</f>
        <v>45115</v>
      </c>
      <c r="F245" s="1" t="str">
        <f ca="1">IFERROR(__xludf.DUMMYFUNCTION("""COMPUTED_VALUE"""),"Woodlawn High School")</f>
        <v>Woodlawn High School</v>
      </c>
      <c r="G245" s="1">
        <f ca="1">IFERROR(__xludf.DUMMYFUNCTION("""COMPUTED_VALUE"""),1)</f>
        <v>1</v>
      </c>
      <c r="H245" s="1">
        <f ca="1">IFERROR(__xludf.DUMMYFUNCTION("""COMPUTED_VALUE"""),1)</f>
        <v>1</v>
      </c>
      <c r="I245" s="1">
        <f ca="1">IFERROR(__xludf.DUMMYFUNCTION("""COMPUTED_VALUE"""),2)</f>
        <v>2</v>
      </c>
      <c r="J245" s="1">
        <f ca="1">IFERROR(__xludf.DUMMYFUNCTION("""COMPUTED_VALUE"""),1)</f>
        <v>1</v>
      </c>
      <c r="K245" s="1" t="str">
        <f ca="1">IFERROR(__xludf.DUMMYFUNCTION("""COMPUTED_VALUE"""),"Summer")</f>
        <v>Summer</v>
      </c>
      <c r="L245" s="1" t="str">
        <f ca="1">IFERROR(__xludf.DUMMYFUNCTION("""COMPUTED_VALUE"""),"Bermingham")</f>
        <v>Bermingham</v>
      </c>
      <c r="M245" s="1" t="str">
        <f ca="1">IFERROR(__xludf.DUMMYFUNCTION("""COMPUTED_VALUE"""),"AL")</f>
        <v>AL</v>
      </c>
      <c r="N245" s="1" t="str">
        <f ca="1">IFERROR(__xludf.DUMMYFUNCTION("""COMPUTED_VALUE"""),"High")</f>
        <v>High</v>
      </c>
      <c r="O245" s="1" t="str">
        <f ca="1">IFERROR(__xludf.DUMMYFUNCTION("""COMPUTED_VALUE"""),"Parking Lot")</f>
        <v>Parking Lot</v>
      </c>
      <c r="P245" s="1" t="str">
        <f ca="1">IFERROR(__xludf.DUMMYFUNCTION("""COMPUTED_VALUE"""),"Outside on School Property")</f>
        <v>Outside on School Property</v>
      </c>
      <c r="Q245" s="1" t="str">
        <f ca="1">IFERROR(__xludf.DUMMYFUNCTION("""COMPUTED_VALUE"""),"No")</f>
        <v>No</v>
      </c>
      <c r="R245" s="1" t="str">
        <f ca="1">IFERROR(__xludf.DUMMYFUNCTION("""COMPUTED_VALUE"""),"Not a School Day")</f>
        <v>Not a School Day</v>
      </c>
      <c r="S245" s="5">
        <f ca="1">IFERROR(__xludf.DUMMYFUNCTION("""COMPUTED_VALUE"""),0.75)</f>
        <v>0.75</v>
      </c>
      <c r="T245" s="1">
        <f ca="1">IFERROR(__xludf.DUMMYFUNCTION("""COMPUTED_VALUE"""),1)</f>
        <v>1</v>
      </c>
      <c r="U245" s="1" t="str">
        <f ca="1">IFERROR(__xludf.DUMMYFUNCTION("""COMPUTED_VALUE"""),"Two women shot in school parking lot during domestic, man fled and commit suicide")</f>
        <v>Two women shot in school parking lot during domestic, man fled and commit suicide</v>
      </c>
      <c r="V245" s="1" t="str">
        <f ca="1">IFERROR(__xludf.DUMMYFUNCTION("""COMPUTED_VALUE"""),"Two women shot in school parking lot during domestic, man fled and commit suicide")</f>
        <v>Two women shot in school parking lot during domestic, man fled and commit suicide</v>
      </c>
      <c r="W245" s="1" t="str">
        <f ca="1">IFERROR(__xludf.DUMMYFUNCTION("""COMPUTED_VALUE"""),"Domestic w/ Targeted Victim")</f>
        <v>Domestic w/ Targeted Victim</v>
      </c>
      <c r="X245" s="1" t="str">
        <f ca="1">IFERROR(__xludf.DUMMYFUNCTION("""COMPUTED_VALUE"""),"Victims Targeted")</f>
        <v>Victims Targeted</v>
      </c>
      <c r="Y245" s="1" t="str">
        <f ca="1">IFERROR(__xludf.DUMMYFUNCTION("""COMPUTED_VALUE"""),"No")</f>
        <v>No</v>
      </c>
      <c r="Z245" s="1"/>
      <c r="AA245" s="1" t="str">
        <f ca="1">IFERROR(__xludf.DUMMYFUNCTION("""COMPUTED_VALUE"""),"No")</f>
        <v>No</v>
      </c>
      <c r="AB245" s="1" t="str">
        <f ca="1">IFERROR(__xludf.DUMMYFUNCTION("""COMPUTED_VALUE"""),"No")</f>
        <v>No</v>
      </c>
      <c r="AC245" s="1" t="str">
        <f ca="1">IFERROR(__xludf.DUMMYFUNCTION("""COMPUTED_VALUE"""),"No")</f>
        <v>No</v>
      </c>
      <c r="AD245" s="1" t="str">
        <f ca="1">IFERROR(__xludf.DUMMYFUNCTION("""COMPUTED_VALUE"""),"No")</f>
        <v>No</v>
      </c>
      <c r="AE245" s="1" t="str">
        <f ca="1">IFERROR(__xludf.DUMMYFUNCTION("""COMPUTED_VALUE"""),"Yes")</f>
        <v>Yes</v>
      </c>
      <c r="AF245" s="1" t="str">
        <f ca="1">IFERROR(__xludf.DUMMYFUNCTION("""COMPUTED_VALUE"""),"No")</f>
        <v>No</v>
      </c>
      <c r="AG245" s="1" t="str">
        <f ca="1">IFERROR(__xludf.DUMMYFUNCTION("""COMPUTED_VALUE"""),"No")</f>
        <v>No</v>
      </c>
      <c r="AH245" s="1">
        <f ca="1">IFERROR(__xludf.DUMMYFUNCTION("""COMPUTED_VALUE"""),99)</f>
        <v>99</v>
      </c>
    </row>
    <row r="246" spans="1:34" ht="12.5">
      <c r="A246" s="1" t="str">
        <f ca="1">IFERROR(__xludf.DUMMYFUNCTION("""COMPUTED_VALUE"""),"20230707MDPIP")</f>
        <v>20230707MDPIP</v>
      </c>
      <c r="B246" s="1">
        <f ca="1">IFERROR(__xludf.DUMMYFUNCTION("""COMPUTED_VALUE"""),7)</f>
        <v>7</v>
      </c>
      <c r="C246" s="1">
        <f ca="1">IFERROR(__xludf.DUMMYFUNCTION("""COMPUTED_VALUE"""),7)</f>
        <v>7</v>
      </c>
      <c r="D246" s="1">
        <f ca="1">IFERROR(__xludf.DUMMYFUNCTION("""COMPUTED_VALUE"""),2023)</f>
        <v>2023</v>
      </c>
      <c r="E246" s="4">
        <f ca="1">IFERROR(__xludf.DUMMYFUNCTION("""COMPUTED_VALUE"""),45114)</f>
        <v>45114</v>
      </c>
      <c r="F246" s="1" t="str">
        <f ca="1">IFERROR(__xludf.DUMMYFUNCTION("""COMPUTED_VALUE"""),"Pikesville High School")</f>
        <v>Pikesville High School</v>
      </c>
      <c r="G246" s="1">
        <f ca="1">IFERROR(__xludf.DUMMYFUNCTION("""COMPUTED_VALUE"""),1)</f>
        <v>1</v>
      </c>
      <c r="H246" s="1">
        <f ca="1">IFERROR(__xludf.DUMMYFUNCTION("""COMPUTED_VALUE"""),0)</f>
        <v>0</v>
      </c>
      <c r="I246" s="1">
        <f ca="1">IFERROR(__xludf.DUMMYFUNCTION("""COMPUTED_VALUE"""),1)</f>
        <v>1</v>
      </c>
      <c r="J246" s="1">
        <f ca="1">IFERROR(__xludf.DUMMYFUNCTION("""COMPUTED_VALUE"""),0)</f>
        <v>0</v>
      </c>
      <c r="K246" s="1" t="str">
        <f ca="1">IFERROR(__xludf.DUMMYFUNCTION("""COMPUTED_VALUE"""),"Summer")</f>
        <v>Summer</v>
      </c>
      <c r="L246" s="1" t="str">
        <f ca="1">IFERROR(__xludf.DUMMYFUNCTION("""COMPUTED_VALUE"""),"Pikesville")</f>
        <v>Pikesville</v>
      </c>
      <c r="M246" s="1" t="str">
        <f ca="1">IFERROR(__xludf.DUMMYFUNCTION("""COMPUTED_VALUE"""),"MD")</f>
        <v>MD</v>
      </c>
      <c r="N246" s="1" t="str">
        <f ca="1">IFERROR(__xludf.DUMMYFUNCTION("""COMPUTED_VALUE"""),"High")</f>
        <v>High</v>
      </c>
      <c r="O246" s="1" t="str">
        <f ca="1">IFERROR(__xludf.DUMMYFUNCTION("""COMPUTED_VALUE"""),"Parking Lot")</f>
        <v>Parking Lot</v>
      </c>
      <c r="P246" s="1" t="str">
        <f ca="1">IFERROR(__xludf.DUMMYFUNCTION("""COMPUTED_VALUE"""),"Outside on School Property")</f>
        <v>Outside on School Property</v>
      </c>
      <c r="Q246" s="1" t="str">
        <f ca="1">IFERROR(__xludf.DUMMYFUNCTION("""COMPUTED_VALUE"""),"No")</f>
        <v>No</v>
      </c>
      <c r="R246" s="1" t="str">
        <f ca="1">IFERROR(__xludf.DUMMYFUNCTION("""COMPUTED_VALUE"""),"Evening")</f>
        <v>Evening</v>
      </c>
      <c r="S246" s="5">
        <f ca="1">IFERROR(__xludf.DUMMYFUNCTION("""COMPUTED_VALUE"""),0.826388888888888)</f>
        <v>0.82638888888888795</v>
      </c>
      <c r="T246" s="1">
        <f ca="1">IFERROR(__xludf.DUMMYFUNCTION("""COMPUTED_VALUE"""),1)</f>
        <v>1</v>
      </c>
      <c r="U246" s="1" t="str">
        <f ca="1">IFERROR(__xludf.DUMMYFUNCTION("""COMPUTED_VALUE"""),"Woman found fatally shot in schhol parking lot")</f>
        <v>Woman found fatally shot in schhol parking lot</v>
      </c>
      <c r="V246" s="1" t="str">
        <f ca="1">IFERROR(__xludf.DUMMYFUNCTION("""COMPUTED_VALUE"""),"A woman was found fatally shot Friday evening in parking lot of Pikesville High School in Baltimore County. Police said they responded to the 7600 block of Labyrinth Road just before 7 p.m. for a report of an unconscious person. Upon arrival, officers sai"&amp;"d they found Lakisha Wheeler, 45, with an apparent gunshot wound. Wheeler was pronounced dead at the scene, police said.")</f>
        <v>A woman was found fatally shot Friday evening in parking lot of Pikesville High School in Baltimore County. Police said they responded to the 7600 block of Labyrinth Road just before 7 p.m. for a report of an unconscious person. Upon arrival, officers said they found Lakisha Wheeler, 45, with an apparent gunshot wound. Wheeler was pronounced dead at the scene, police said.</v>
      </c>
      <c r="W246" s="1"/>
      <c r="X246" s="1" t="str">
        <f ca="1">IFERROR(__xludf.DUMMYFUNCTION("""COMPUTED_VALUE"""),"Victims Targeted")</f>
        <v>Victims Targeted</v>
      </c>
      <c r="Y246" s="1"/>
      <c r="Z246" s="1"/>
      <c r="AA246" s="1" t="str">
        <f ca="1">IFERROR(__xludf.DUMMYFUNCTION("""COMPUTED_VALUE"""),"No")</f>
        <v>No</v>
      </c>
      <c r="AB246" s="1" t="str">
        <f ca="1">IFERROR(__xludf.DUMMYFUNCTION("""COMPUTED_VALUE"""),"No")</f>
        <v>No</v>
      </c>
      <c r="AC246" s="1" t="str">
        <f ca="1">IFERROR(__xludf.DUMMYFUNCTION("""COMPUTED_VALUE"""),"No")</f>
        <v>No</v>
      </c>
      <c r="AD246" s="1" t="str">
        <f ca="1">IFERROR(__xludf.DUMMYFUNCTION("""COMPUTED_VALUE"""),"No")</f>
        <v>No</v>
      </c>
      <c r="AE246" s="1"/>
      <c r="AF246" s="1"/>
      <c r="AG246" s="1" t="str">
        <f ca="1">IFERROR(__xludf.DUMMYFUNCTION("""COMPUTED_VALUE"""),"No")</f>
        <v>No</v>
      </c>
      <c r="AH246" s="1"/>
    </row>
    <row r="247" spans="1:34" ht="12.5">
      <c r="A247" s="1" t="str">
        <f ca="1">IFERROR(__xludf.DUMMYFUNCTION("""COMPUTED_VALUE"""),"20230706OHHUC")</f>
        <v>20230706OHHUC</v>
      </c>
      <c r="B247" s="1">
        <f ca="1">IFERROR(__xludf.DUMMYFUNCTION("""COMPUTED_VALUE"""),7)</f>
        <v>7</v>
      </c>
      <c r="C247" s="1">
        <f ca="1">IFERROR(__xludf.DUMMYFUNCTION("""COMPUTED_VALUE"""),6)</f>
        <v>6</v>
      </c>
      <c r="D247" s="1">
        <f ca="1">IFERROR(__xludf.DUMMYFUNCTION("""COMPUTED_VALUE"""),2023)</f>
        <v>2023</v>
      </c>
      <c r="E247" s="4">
        <f ca="1">IFERROR(__xludf.DUMMYFUNCTION("""COMPUTED_VALUE"""),45113)</f>
        <v>45113</v>
      </c>
      <c r="F247" s="1" t="str">
        <f ca="1">IFERROR(__xludf.DUMMYFUNCTION("""COMPUTED_VALUE"""),"Hughes High School")</f>
        <v>Hughes High School</v>
      </c>
      <c r="G247" s="1">
        <f ca="1">IFERROR(__xludf.DUMMYFUNCTION("""COMPUTED_VALUE"""),0)</f>
        <v>0</v>
      </c>
      <c r="H247" s="1">
        <f ca="1">IFERROR(__xludf.DUMMYFUNCTION("""COMPUTED_VALUE"""),1)</f>
        <v>1</v>
      </c>
      <c r="I247" s="1">
        <f ca="1">IFERROR(__xludf.DUMMYFUNCTION("""COMPUTED_VALUE"""),1)</f>
        <v>1</v>
      </c>
      <c r="J247" s="1">
        <f ca="1">IFERROR(__xludf.DUMMYFUNCTION("""COMPUTED_VALUE"""),0)</f>
        <v>0</v>
      </c>
      <c r="K247" s="1" t="str">
        <f ca="1">IFERROR(__xludf.DUMMYFUNCTION("""COMPUTED_VALUE"""),"Summer")</f>
        <v>Summer</v>
      </c>
      <c r="L247" s="1" t="str">
        <f ca="1">IFERROR(__xludf.DUMMYFUNCTION("""COMPUTED_VALUE"""),"Cincinnati")</f>
        <v>Cincinnati</v>
      </c>
      <c r="M247" s="1" t="str">
        <f ca="1">IFERROR(__xludf.DUMMYFUNCTION("""COMPUTED_VALUE"""),"OH")</f>
        <v>OH</v>
      </c>
      <c r="N247" s="1" t="str">
        <f ca="1">IFERROR(__xludf.DUMMYFUNCTION("""COMPUTED_VALUE"""),"High")</f>
        <v>High</v>
      </c>
      <c r="O247" s="1" t="str">
        <f ca="1">IFERROR(__xludf.DUMMYFUNCTION("""COMPUTED_VALUE"""),"Front of School")</f>
        <v>Front of School</v>
      </c>
      <c r="P247" s="1" t="str">
        <f ca="1">IFERROR(__xludf.DUMMYFUNCTION("""COMPUTED_VALUE"""),"Outside on School Property")</f>
        <v>Outside on School Property</v>
      </c>
      <c r="Q247" s="1" t="str">
        <f ca="1">IFERROR(__xludf.DUMMYFUNCTION("""COMPUTED_VALUE"""),"No")</f>
        <v>No</v>
      </c>
      <c r="R247" s="1" t="str">
        <f ca="1">IFERROR(__xludf.DUMMYFUNCTION("""COMPUTED_VALUE"""),"Night")</f>
        <v>Night</v>
      </c>
      <c r="S247" s="5">
        <f ca="1">IFERROR(__xludf.DUMMYFUNCTION("""COMPUTED_VALUE"""),0.958333333333333)</f>
        <v>0.95833333333333304</v>
      </c>
      <c r="T247" s="1">
        <f ca="1">IFERROR(__xludf.DUMMYFUNCTION("""COMPUTED_VALUE"""),1)</f>
        <v>1</v>
      </c>
      <c r="U247" s="1" t="str">
        <f ca="1">IFERROR(__xludf.DUMMYFUNCTION("""COMPUTED_VALUE"""),"Man shot in front of school")</f>
        <v>Man shot in front of school</v>
      </c>
      <c r="V247" s="1" t="str">
        <f ca="1">IFERROR(__xludf.DUMMYFUNCTION("""COMPUTED_VALUE"""),"Cincinnati police are investigating an overnight shooting in front of Hughes High School near the University of Cincinnati. It was reported at about 11 p.m. on Clifton Avenue. A man with a gunshot wound to one of his legs drove himself to a hospital for t"&amp;"reatment")</f>
        <v>Cincinnati police are investigating an overnight shooting in front of Hughes High School near the University of Cincinnati. It was reported at about 11 p.m. on Clifton Avenue. A man with a gunshot wound to one of his legs drove himself to a hospital for treatment</v>
      </c>
      <c r="W247" s="1"/>
      <c r="X247" s="1"/>
      <c r="Y247" s="1"/>
      <c r="Z247" s="1"/>
      <c r="AA247" s="1" t="str">
        <f ca="1">IFERROR(__xludf.DUMMYFUNCTION("""COMPUTED_VALUE"""),"No")</f>
        <v>No</v>
      </c>
      <c r="AB247" s="1" t="str">
        <f ca="1">IFERROR(__xludf.DUMMYFUNCTION("""COMPUTED_VALUE"""),"No")</f>
        <v>No</v>
      </c>
      <c r="AC247" s="1" t="str">
        <f ca="1">IFERROR(__xludf.DUMMYFUNCTION("""COMPUTED_VALUE"""),"No")</f>
        <v>No</v>
      </c>
      <c r="AD247" s="1" t="str">
        <f ca="1">IFERROR(__xludf.DUMMYFUNCTION("""COMPUTED_VALUE"""),"No")</f>
        <v>No</v>
      </c>
      <c r="AE247" s="1" t="str">
        <f ca="1">IFERROR(__xludf.DUMMYFUNCTION("""COMPUTED_VALUE"""),"No")</f>
        <v>No</v>
      </c>
      <c r="AF247" s="1"/>
      <c r="AG247" s="1" t="str">
        <f ca="1">IFERROR(__xludf.DUMMYFUNCTION("""COMPUTED_VALUE"""),"No")</f>
        <v>No</v>
      </c>
      <c r="AH247" s="1"/>
    </row>
    <row r="248" spans="1:34" ht="12.5">
      <c r="A248" s="1" t="str">
        <f ca="1">IFERROR(__xludf.DUMMYFUNCTION("""COMPUTED_VALUE"""),"20230702MNUNF")</f>
        <v>20230702MNUNF</v>
      </c>
      <c r="B248" s="1">
        <f ca="1">IFERROR(__xludf.DUMMYFUNCTION("""COMPUTED_VALUE"""),7)</f>
        <v>7</v>
      </c>
      <c r="C248" s="1">
        <f ca="1">IFERROR(__xludf.DUMMYFUNCTION("""COMPUTED_VALUE"""),2)</f>
        <v>2</v>
      </c>
      <c r="D248" s="1">
        <f ca="1">IFERROR(__xludf.DUMMYFUNCTION("""COMPUTED_VALUE"""),2023)</f>
        <v>2023</v>
      </c>
      <c r="E248" s="4">
        <f ca="1">IFERROR(__xludf.DUMMYFUNCTION("""COMPUTED_VALUE"""),45109)</f>
        <v>45109</v>
      </c>
      <c r="F248" s="1" t="str">
        <f ca="1">IFERROR(__xludf.DUMMYFUNCTION("""COMPUTED_VALUE"""),"Jefferson Elementary School")</f>
        <v>Jefferson Elementary School</v>
      </c>
      <c r="G248" s="1">
        <f ca="1">IFERROR(__xludf.DUMMYFUNCTION("""COMPUTED_VALUE"""),0)</f>
        <v>0</v>
      </c>
      <c r="H248" s="1">
        <f ca="1">IFERROR(__xludf.DUMMYFUNCTION("""COMPUTED_VALUE"""),0)</f>
        <v>0</v>
      </c>
      <c r="I248" s="1">
        <f ca="1">IFERROR(__xludf.DUMMYFUNCTION("""COMPUTED_VALUE"""),0)</f>
        <v>0</v>
      </c>
      <c r="J248" s="1">
        <f ca="1">IFERROR(__xludf.DUMMYFUNCTION("""COMPUTED_VALUE"""),0)</f>
        <v>0</v>
      </c>
      <c r="K248" s="1" t="str">
        <f ca="1">IFERROR(__xludf.DUMMYFUNCTION("""COMPUTED_VALUE"""),"Summer")</f>
        <v>Summer</v>
      </c>
      <c r="L248" s="1" t="str">
        <f ca="1">IFERROR(__xludf.DUMMYFUNCTION("""COMPUTED_VALUE"""),"Faribault")</f>
        <v>Faribault</v>
      </c>
      <c r="M248" s="1" t="str">
        <f ca="1">IFERROR(__xludf.DUMMYFUNCTION("""COMPUTED_VALUE"""),"MN")</f>
        <v>MN</v>
      </c>
      <c r="N248" s="1" t="str">
        <f ca="1">IFERROR(__xludf.DUMMYFUNCTION("""COMPUTED_VALUE"""),"Unknown")</f>
        <v>Unknown</v>
      </c>
      <c r="O248" s="1" t="str">
        <f ca="1">IFERROR(__xludf.DUMMYFUNCTION("""COMPUTED_VALUE"""),"Basketball Court")</f>
        <v>Basketball Court</v>
      </c>
      <c r="P248" s="1" t="str">
        <f ca="1">IFERROR(__xludf.DUMMYFUNCTION("""COMPUTED_VALUE"""),"Outside on School Property")</f>
        <v>Outside on School Property</v>
      </c>
      <c r="Q248" s="1" t="str">
        <f ca="1">IFERROR(__xludf.DUMMYFUNCTION("""COMPUTED_VALUE"""),"No")</f>
        <v>No</v>
      </c>
      <c r="R248" s="1" t="str">
        <f ca="1">IFERROR(__xludf.DUMMYFUNCTION("""COMPUTED_VALUE"""),"Night")</f>
        <v>Night</v>
      </c>
      <c r="S248" s="5">
        <f ca="1">IFERROR(__xludf.DUMMYFUNCTION("""COMPUTED_VALUE"""),0.986111111111111)</f>
        <v>0.98611111111111105</v>
      </c>
      <c r="T248" s="1">
        <f ca="1">IFERROR(__xludf.DUMMYFUNCTION("""COMPUTED_VALUE"""),1)</f>
        <v>1</v>
      </c>
      <c r="U248" s="1" t="str">
        <f ca="1">IFERROR(__xludf.DUMMYFUNCTION("""COMPUTED_VALUE"""),"19-year-old shot replica bb gun at kids playing basketball")</f>
        <v>19-year-old shot replica bb gun at kids playing basketball</v>
      </c>
      <c r="V248" s="1" t="str">
        <f ca="1">IFERROR(__xludf.DUMMYFUNCTION("""COMPUTED_VALUE"""),"19-year-old shot replica bb gun at kids playing basketball. Hassannuur allegedly pulled up in a black Ford with tinted windows and called out threatening to beat up the kids playing on the basketball court, according to a victim statement in the criminal "&amp;"complaint. Moments later, the group was being shot at and the kids ran away. One child, who fell and chipped his tooth, told police he was ""terrified and had difficulty speaking because he was crying,"" charges state. ")</f>
        <v xml:space="preserve">19-year-old shot replica bb gun at kids playing basketball. Hassannuur allegedly pulled up in a black Ford with tinted windows and called out threatening to beat up the kids playing on the basketball court, according to a victim statement in the criminal complaint. Moments later, the group was being shot at and the kids ran away. One child, who fell and chipped his tooth, told police he was "terrified and had difficulty speaking because he was crying," charges state. </v>
      </c>
      <c r="W248" s="1" t="str">
        <f ca="1">IFERROR(__xludf.DUMMYFUNCTION("""COMPUTED_VALUE"""),"Escalation of Dispute")</f>
        <v>Escalation of Dispute</v>
      </c>
      <c r="X248" s="1"/>
      <c r="Y248" s="1" t="str">
        <f ca="1">IFERROR(__xludf.DUMMYFUNCTION("""COMPUTED_VALUE"""),"No")</f>
        <v>No</v>
      </c>
      <c r="Z248" s="1"/>
      <c r="AA248" s="1" t="str">
        <f ca="1">IFERROR(__xludf.DUMMYFUNCTION("""COMPUTED_VALUE"""),"No")</f>
        <v>No</v>
      </c>
      <c r="AB248" s="1" t="str">
        <f ca="1">IFERROR(__xludf.DUMMYFUNCTION("""COMPUTED_VALUE"""),"No")</f>
        <v>No</v>
      </c>
      <c r="AC248" s="1" t="str">
        <f ca="1">IFERROR(__xludf.DUMMYFUNCTION("""COMPUTED_VALUE"""),"No")</f>
        <v>No</v>
      </c>
      <c r="AD248" s="1" t="str">
        <f ca="1">IFERROR(__xludf.DUMMYFUNCTION("""COMPUTED_VALUE"""),"No")</f>
        <v>No</v>
      </c>
      <c r="AE248" s="1" t="str">
        <f ca="1">IFERROR(__xludf.DUMMYFUNCTION("""COMPUTED_VALUE"""),"No")</f>
        <v>No</v>
      </c>
      <c r="AF248" s="1" t="str">
        <f ca="1">IFERROR(__xludf.DUMMYFUNCTION("""COMPUTED_VALUE"""),"No")</f>
        <v>No</v>
      </c>
      <c r="AG248" s="1" t="str">
        <f ca="1">IFERROR(__xludf.DUMMYFUNCTION("""COMPUTED_VALUE"""),"No")</f>
        <v>No</v>
      </c>
      <c r="AH248" s="1">
        <f ca="1">IFERROR(__xludf.DUMMYFUNCTION("""COMPUTED_VALUE"""),99)</f>
        <v>99</v>
      </c>
    </row>
    <row r="249" spans="1:34" ht="12.5">
      <c r="A249" s="1" t="str">
        <f ca="1">IFERROR(__xludf.DUMMYFUNCTION("""COMPUTED_VALUE"""),"20230623NMKEA")</f>
        <v>20230623NMKEA</v>
      </c>
      <c r="B249" s="1">
        <f ca="1">IFERROR(__xludf.DUMMYFUNCTION("""COMPUTED_VALUE"""),6)</f>
        <v>6</v>
      </c>
      <c r="C249" s="1">
        <f ca="1">IFERROR(__xludf.DUMMYFUNCTION("""COMPUTED_VALUE"""),23)</f>
        <v>23</v>
      </c>
      <c r="D249" s="1">
        <f ca="1">IFERROR(__xludf.DUMMYFUNCTION("""COMPUTED_VALUE"""),2023)</f>
        <v>2023</v>
      </c>
      <c r="E249" s="4">
        <f ca="1">IFERROR(__xludf.DUMMYFUNCTION("""COMPUTED_VALUE"""),45100)</f>
        <v>45100</v>
      </c>
      <c r="F249" s="1" t="str">
        <f ca="1">IFERROR(__xludf.DUMMYFUNCTION("""COMPUTED_VALUE"""),"Kennedy Middle School")</f>
        <v>Kennedy Middle School</v>
      </c>
      <c r="G249" s="1">
        <f ca="1">IFERROR(__xludf.DUMMYFUNCTION("""COMPUTED_VALUE"""),0)</f>
        <v>0</v>
      </c>
      <c r="H249" s="1">
        <f ca="1">IFERROR(__xludf.DUMMYFUNCTION("""COMPUTED_VALUE"""),1)</f>
        <v>1</v>
      </c>
      <c r="I249" s="1">
        <f ca="1">IFERROR(__xludf.DUMMYFUNCTION("""COMPUTED_VALUE"""),1)</f>
        <v>1</v>
      </c>
      <c r="J249" s="1">
        <f ca="1">IFERROR(__xludf.DUMMYFUNCTION("""COMPUTED_VALUE"""),0)</f>
        <v>0</v>
      </c>
      <c r="K249" s="1" t="str">
        <f ca="1">IFERROR(__xludf.DUMMYFUNCTION("""COMPUTED_VALUE"""),"Summer")</f>
        <v>Summer</v>
      </c>
      <c r="L249" s="1" t="str">
        <f ca="1">IFERROR(__xludf.DUMMYFUNCTION("""COMPUTED_VALUE"""),"Albuquerque")</f>
        <v>Albuquerque</v>
      </c>
      <c r="M249" s="1" t="str">
        <f ca="1">IFERROR(__xludf.DUMMYFUNCTION("""COMPUTED_VALUE"""),"NM")</f>
        <v>NM</v>
      </c>
      <c r="N249" s="1" t="str">
        <f ca="1">IFERROR(__xludf.DUMMYFUNCTION("""COMPUTED_VALUE"""),"Middle")</f>
        <v>Middle</v>
      </c>
      <c r="O249" s="1" t="str">
        <f ca="1">IFERROR(__xludf.DUMMYFUNCTION("""COMPUTED_VALUE"""),"Front of School")</f>
        <v>Front of School</v>
      </c>
      <c r="P249" s="1" t="str">
        <f ca="1">IFERROR(__xludf.DUMMYFUNCTION("""COMPUTED_VALUE"""),"Outside on School Property")</f>
        <v>Outside on School Property</v>
      </c>
      <c r="Q249" s="1" t="str">
        <f ca="1">IFERROR(__xludf.DUMMYFUNCTION("""COMPUTED_VALUE"""),"Yes")</f>
        <v>Yes</v>
      </c>
      <c r="R249" s="1" t="str">
        <f ca="1">IFERROR(__xludf.DUMMYFUNCTION("""COMPUTED_VALUE"""),"Before School")</f>
        <v>Before School</v>
      </c>
      <c r="S249" s="5">
        <f ca="1">IFERROR(__xludf.DUMMYFUNCTION("""COMPUTED_VALUE"""),0.25)</f>
        <v>0.25</v>
      </c>
      <c r="T249" s="1">
        <f ca="1">IFERROR(__xludf.DUMMYFUNCTION("""COMPUTED_VALUE"""),1)</f>
        <v>1</v>
      </c>
      <c r="U249" s="1" t="str">
        <f ca="1">IFERROR(__xludf.DUMMYFUNCTION("""COMPUTED_VALUE"""),"Janitor shot while confronting 4 trespassers at the front door")</f>
        <v>Janitor shot while confronting 4 trespassers at the front door</v>
      </c>
      <c r="V249" s="1" t="str">
        <f ca="1">IFERROR(__xludf.DUMMYFUNCTION("""COMPUTED_VALUE"""),"The district said the worker confronted the trespassers when they knocked a phone out of his hand and shot him after being confronted. APS said the school custodian was shot outside the school’s front entrance.")</f>
        <v>The district said the worker confronted the trespassers when they knocked a phone out of his hand and shot him after being confronted. APS said the school custodian was shot outside the school’s front entrance.</v>
      </c>
      <c r="W249" s="1" t="str">
        <f ca="1">IFERROR(__xludf.DUMMYFUNCTION("""COMPUTED_VALUE"""),"Illegal Activity")</f>
        <v>Illegal Activity</v>
      </c>
      <c r="X249" s="1" t="str">
        <f ca="1">IFERROR(__xludf.DUMMYFUNCTION("""COMPUTED_VALUE"""),"Victims Targeted")</f>
        <v>Victims Targeted</v>
      </c>
      <c r="Y249" s="1" t="str">
        <f ca="1">IFERROR(__xludf.DUMMYFUNCTION("""COMPUTED_VALUE"""),"Yes")</f>
        <v>Yes</v>
      </c>
      <c r="Z249" s="1" t="str">
        <f ca="1">IFERROR(__xludf.DUMMYFUNCTION("""COMPUTED_VALUE"""),"4 trespassers")</f>
        <v>4 trespassers</v>
      </c>
      <c r="AA249" s="1" t="str">
        <f ca="1">IFERROR(__xludf.DUMMYFUNCTION("""COMPUTED_VALUE"""),"No")</f>
        <v>No</v>
      </c>
      <c r="AB249" s="1" t="str">
        <f ca="1">IFERROR(__xludf.DUMMYFUNCTION("""COMPUTED_VALUE"""),"No")</f>
        <v>No</v>
      </c>
      <c r="AC249" s="1" t="str">
        <f ca="1">IFERROR(__xludf.DUMMYFUNCTION("""COMPUTED_VALUE"""),"No")</f>
        <v>No</v>
      </c>
      <c r="AD249" s="1" t="str">
        <f ca="1">IFERROR(__xludf.DUMMYFUNCTION("""COMPUTED_VALUE"""),"No")</f>
        <v>No</v>
      </c>
      <c r="AE249" s="1" t="str">
        <f ca="1">IFERROR(__xludf.DUMMYFUNCTION("""COMPUTED_VALUE"""),"No")</f>
        <v>No</v>
      </c>
      <c r="AF249" s="1" t="str">
        <f ca="1">IFERROR(__xludf.DUMMYFUNCTION("""COMPUTED_VALUE"""),"No")</f>
        <v>No</v>
      </c>
      <c r="AG249" s="1" t="str">
        <f ca="1">IFERROR(__xludf.DUMMYFUNCTION("""COMPUTED_VALUE"""),"No")</f>
        <v>No</v>
      </c>
      <c r="AH249" s="1">
        <f ca="1">IFERROR(__xludf.DUMMYFUNCTION("""COMPUTED_VALUE"""),1)</f>
        <v>1</v>
      </c>
    </row>
    <row r="250" spans="1:34" ht="12.5">
      <c r="A250" s="1" t="str">
        <f ca="1">IFERROR(__xludf.DUMMYFUNCTION("""COMPUTED_VALUE"""),"20230622ARSOS")</f>
        <v>20230622ARSOS</v>
      </c>
      <c r="B250" s="1">
        <f ca="1">IFERROR(__xludf.DUMMYFUNCTION("""COMPUTED_VALUE"""),6)</f>
        <v>6</v>
      </c>
      <c r="C250" s="1">
        <f ca="1">IFERROR(__xludf.DUMMYFUNCTION("""COMPUTED_VALUE"""),22)</f>
        <v>22</v>
      </c>
      <c r="D250" s="1">
        <f ca="1">IFERROR(__xludf.DUMMYFUNCTION("""COMPUTED_VALUE"""),2023)</f>
        <v>2023</v>
      </c>
      <c r="E250" s="4">
        <f ca="1">IFERROR(__xludf.DUMMYFUNCTION("""COMPUTED_VALUE"""),45099)</f>
        <v>45099</v>
      </c>
      <c r="F250" s="1" t="str">
        <f ca="1">IFERROR(__xludf.DUMMYFUNCTION("""COMPUTED_VALUE"""),"Southwest Middle School")</f>
        <v>Southwest Middle School</v>
      </c>
      <c r="G250" s="1">
        <f ca="1">IFERROR(__xludf.DUMMYFUNCTION("""COMPUTED_VALUE"""),0)</f>
        <v>0</v>
      </c>
      <c r="H250" s="1">
        <f ca="1">IFERROR(__xludf.DUMMYFUNCTION("""COMPUTED_VALUE"""),0)</f>
        <v>0</v>
      </c>
      <c r="I250" s="1">
        <f ca="1">IFERROR(__xludf.DUMMYFUNCTION("""COMPUTED_VALUE"""),0)</f>
        <v>0</v>
      </c>
      <c r="J250" s="1">
        <f ca="1">IFERROR(__xludf.DUMMYFUNCTION("""COMPUTED_VALUE"""),0)</f>
        <v>0</v>
      </c>
      <c r="K250" s="1" t="str">
        <f ca="1">IFERROR(__xludf.DUMMYFUNCTION("""COMPUTED_VALUE"""),"Summer")</f>
        <v>Summer</v>
      </c>
      <c r="L250" s="1" t="str">
        <f ca="1">IFERROR(__xludf.DUMMYFUNCTION("""COMPUTED_VALUE"""),"Searcy")</f>
        <v>Searcy</v>
      </c>
      <c r="M250" s="1" t="str">
        <f ca="1">IFERROR(__xludf.DUMMYFUNCTION("""COMPUTED_VALUE"""),"AR")</f>
        <v>AR</v>
      </c>
      <c r="N250" s="1" t="str">
        <f ca="1">IFERROR(__xludf.DUMMYFUNCTION("""COMPUTED_VALUE"""),"Middle")</f>
        <v>Middle</v>
      </c>
      <c r="O250" s="1" t="str">
        <f ca="1">IFERROR(__xludf.DUMMYFUNCTION("""COMPUTED_VALUE"""),"Outside on School Property")</f>
        <v>Outside on School Property</v>
      </c>
      <c r="P250" s="1" t="str">
        <f ca="1">IFERROR(__xludf.DUMMYFUNCTION("""COMPUTED_VALUE"""),"Outside on School Property")</f>
        <v>Outside on School Property</v>
      </c>
      <c r="Q250" s="1" t="str">
        <f ca="1">IFERROR(__xludf.DUMMYFUNCTION("""COMPUTED_VALUE"""),"Yes")</f>
        <v>Yes</v>
      </c>
      <c r="R250" s="1" t="str">
        <f ca="1">IFERROR(__xludf.DUMMYFUNCTION("""COMPUTED_VALUE"""),"Afternoon Classes")</f>
        <v>Afternoon Classes</v>
      </c>
      <c r="S250" s="1"/>
      <c r="T250" s="1">
        <f ca="1">IFERROR(__xludf.DUMMYFUNCTION("""COMPUTED_VALUE"""),1)</f>
        <v>1</v>
      </c>
      <c r="U250" s="1" t="str">
        <f ca="1">IFERROR(__xludf.DUMMYFUNCTION("""COMPUTED_VALUE"""),"Man fired shot behind school, school went on lockdown")</f>
        <v>Man fired shot behind school, school went on lockdown</v>
      </c>
      <c r="V250" s="1" t="str">
        <f ca="1">IFERROR(__xludf.DUMMYFUNCTION("""COMPUTED_VALUE"""),"A shot fired Thursday behind Southwest Middle School, leading to a short lockdown while summer school was in session, resulted in the arrest of a 29-year-old Searcy man who reportedly fled from police while intoxicated. Dylan Cole Rigsby has been charged "&amp;"preliminarily with fleeing, DWI (second offense) and DWI refusal to submit to a chemical test after officers responded to the shots-fired call, according to Lt. Todd Wells with the Searcy Police Department. “We had a quick response by officers, plus our s"&amp;"chool resource officer was working summer school duty when the shot happened,” Wells said. “Responding officers were able to locate a suspect vehicle. The vehicle was stopped after a pursuit and Rigsby was identified as the driver. Rigsby smelled of alcoh"&amp;"ol, had slurred speech and swayed as he walked. Rigsby refused testing for his intoxication level. Evidence was collected from the traffic stop and scene of the shots fired call.”")</f>
        <v>A shot fired Thursday behind Southwest Middle School, leading to a short lockdown while summer school was in session, resulted in the arrest of a 29-year-old Searcy man who reportedly fled from police while intoxicated. Dylan Cole Rigsby has been charged preliminarily with fleeing, DWI (second offense) and DWI refusal to submit to a chemical test after officers responded to the shots-fired call, according to Lt. Todd Wells with the Searcy Police Department. “We had a quick response by officers, plus our school resource officer was working summer school duty when the shot happened,” Wells said. “Responding officers were able to locate a suspect vehicle. The vehicle was stopped after a pursuit and Rigsby was identified as the driver. Rigsby smelled of alcohol, had slurred speech and swayed as he walked. Rigsby refused testing for his intoxication level. Evidence was collected from the traffic stop and scene of the shots fired call.”</v>
      </c>
      <c r="W250" s="1"/>
      <c r="X250" s="1"/>
      <c r="Y250" s="1" t="str">
        <f ca="1">IFERROR(__xludf.DUMMYFUNCTION("""COMPUTED_VALUE"""),"No")</f>
        <v>No</v>
      </c>
      <c r="Z250" s="1"/>
      <c r="AA250" s="1" t="str">
        <f ca="1">IFERROR(__xludf.DUMMYFUNCTION("""COMPUTED_VALUE"""),"No")</f>
        <v>No</v>
      </c>
      <c r="AB250" s="1" t="str">
        <f ca="1">IFERROR(__xludf.DUMMYFUNCTION("""COMPUTED_VALUE"""),"No")</f>
        <v>No</v>
      </c>
      <c r="AC250" s="1" t="str">
        <f ca="1">IFERROR(__xludf.DUMMYFUNCTION("""COMPUTED_VALUE"""),"No")</f>
        <v>No</v>
      </c>
      <c r="AD250" s="1" t="str">
        <f ca="1">IFERROR(__xludf.DUMMYFUNCTION("""COMPUTED_VALUE"""),"No")</f>
        <v>No</v>
      </c>
      <c r="AE250" s="1" t="str">
        <f ca="1">IFERROR(__xludf.DUMMYFUNCTION("""COMPUTED_VALUE"""),"No")</f>
        <v>No</v>
      </c>
      <c r="AF250" s="1" t="str">
        <f ca="1">IFERROR(__xludf.DUMMYFUNCTION("""COMPUTED_VALUE"""),"No")</f>
        <v>No</v>
      </c>
      <c r="AG250" s="1" t="str">
        <f ca="1">IFERROR(__xludf.DUMMYFUNCTION("""COMPUTED_VALUE"""),"No")</f>
        <v>No</v>
      </c>
      <c r="AH250" s="1">
        <f ca="1">IFERROR(__xludf.DUMMYFUNCTION("""COMPUTED_VALUE"""),1)</f>
        <v>1</v>
      </c>
    </row>
    <row r="251" spans="1:34" ht="12.5">
      <c r="A251" s="1" t="str">
        <f ca="1">IFERROR(__xludf.DUMMYFUNCTION("""COMPUTED_VALUE"""),"20230613PAJUP")</f>
        <v>20230613PAJUP</v>
      </c>
      <c r="B251" s="1">
        <f ca="1">IFERROR(__xludf.DUMMYFUNCTION("""COMPUTED_VALUE"""),6)</f>
        <v>6</v>
      </c>
      <c r="C251" s="1">
        <f ca="1">IFERROR(__xludf.DUMMYFUNCTION("""COMPUTED_VALUE"""),13)</f>
        <v>13</v>
      </c>
      <c r="D251" s="1">
        <f ca="1">IFERROR(__xludf.DUMMYFUNCTION("""COMPUTED_VALUE"""),2023)</f>
        <v>2023</v>
      </c>
      <c r="E251" s="4">
        <f ca="1">IFERROR(__xludf.DUMMYFUNCTION("""COMPUTED_VALUE"""),45090)</f>
        <v>45090</v>
      </c>
      <c r="F251" s="1" t="str">
        <f ca="1">IFERROR(__xludf.DUMMYFUNCTION("""COMPUTED_VALUE"""),"Julia De Burgos Elementary School")</f>
        <v>Julia De Burgos Elementary School</v>
      </c>
      <c r="G251" s="1">
        <f ca="1">IFERROR(__xludf.DUMMYFUNCTION("""COMPUTED_VALUE"""),0)</f>
        <v>0</v>
      </c>
      <c r="H251" s="1">
        <f ca="1">IFERROR(__xludf.DUMMYFUNCTION("""COMPUTED_VALUE"""),1)</f>
        <v>1</v>
      </c>
      <c r="I251" s="1">
        <f ca="1">IFERROR(__xludf.DUMMYFUNCTION("""COMPUTED_VALUE"""),1)</f>
        <v>1</v>
      </c>
      <c r="J251" s="1">
        <f ca="1">IFERROR(__xludf.DUMMYFUNCTION("""COMPUTED_VALUE"""),0)</f>
        <v>0</v>
      </c>
      <c r="K251" s="1" t="str">
        <f ca="1">IFERROR(__xludf.DUMMYFUNCTION("""COMPUTED_VALUE"""),"Summer")</f>
        <v>Summer</v>
      </c>
      <c r="L251" s="1" t="str">
        <f ca="1">IFERROR(__xludf.DUMMYFUNCTION("""COMPUTED_VALUE"""),"Philadelphia")</f>
        <v>Philadelphia</v>
      </c>
      <c r="M251" s="1" t="str">
        <f ca="1">IFERROR(__xludf.DUMMYFUNCTION("""COMPUTED_VALUE"""),"PA")</f>
        <v>PA</v>
      </c>
      <c r="N251" s="1" t="str">
        <f ca="1">IFERROR(__xludf.DUMMYFUNCTION("""COMPUTED_VALUE"""),"Elementary")</f>
        <v>Elementary</v>
      </c>
      <c r="O251" s="1" t="str">
        <f ca="1">IFERROR(__xludf.DUMMYFUNCTION("""COMPUTED_VALUE"""),"Front of School")</f>
        <v>Front of School</v>
      </c>
      <c r="P251" s="1" t="str">
        <f ca="1">IFERROR(__xludf.DUMMYFUNCTION("""COMPUTED_VALUE"""),"Outside on School Property")</f>
        <v>Outside on School Property</v>
      </c>
      <c r="Q251" s="1" t="str">
        <f ca="1">IFERROR(__xludf.DUMMYFUNCTION("""COMPUTED_VALUE"""),"No")</f>
        <v>No</v>
      </c>
      <c r="R251" s="1" t="str">
        <f ca="1">IFERROR(__xludf.DUMMYFUNCTION("""COMPUTED_VALUE"""),"Night")</f>
        <v>Night</v>
      </c>
      <c r="S251" s="5">
        <f ca="1">IFERROR(__xludf.DUMMYFUNCTION("""COMPUTED_VALUE"""),0.958333333333333)</f>
        <v>0.95833333333333304</v>
      </c>
      <c r="T251" s="1">
        <f ca="1">IFERROR(__xludf.DUMMYFUNCTION("""COMPUTED_VALUE"""),1)</f>
        <v>1</v>
      </c>
      <c r="U251" s="1" t="str">
        <f ca="1">IFERROR(__xludf.DUMMYFUNCTION("""COMPUTED_VALUE"""),"Man shot on the front steps of the school during argument, shooter fled")</f>
        <v>Man shot on the front steps of the school during argument, shooter fled</v>
      </c>
      <c r="V251" s="1" t="str">
        <f ca="1">IFERROR(__xludf.DUMMYFUNCTION("""COMPUTED_VALUE"""),"A gunman shot a 26-year-old man while he was sitting on the front steps of a North Philadelphia elementary school, police say. It happened at the Julia De Burgos Elementary School at 4th Street and Lehigh Avenue just after 11 p.m. Tuesday. Investigators t"&amp;"ell Action News the victim and the gunman were arguing and that escalated into gunfire. The 26-year-old victim was shot four times. He was taken to Temple University Hospital in critical condition.")</f>
        <v>A gunman shot a 26-year-old man while he was sitting on the front steps of a North Philadelphia elementary school, police say. It happened at the Julia De Burgos Elementary School at 4th Street and Lehigh Avenue just after 11 p.m. Tuesday. Investigators tell Action News the victim and the gunman were arguing and that escalated into gunfire. The 26-year-old victim was shot four times. He was taken to Temple University Hospital in critical condition.</v>
      </c>
      <c r="W251" s="1" t="str">
        <f ca="1">IFERROR(__xludf.DUMMYFUNCTION("""COMPUTED_VALUE"""),"Escalation of Dispute")</f>
        <v>Escalation of Dispute</v>
      </c>
      <c r="X251" s="1" t="str">
        <f ca="1">IFERROR(__xludf.DUMMYFUNCTION("""COMPUTED_VALUE"""),"Victims Targeted")</f>
        <v>Victims Targeted</v>
      </c>
      <c r="Y251" s="1" t="str">
        <f ca="1">IFERROR(__xludf.DUMMYFUNCTION("""COMPUTED_VALUE"""),"No")</f>
        <v>No</v>
      </c>
      <c r="Z251" s="1"/>
      <c r="AA251" s="1" t="str">
        <f ca="1">IFERROR(__xludf.DUMMYFUNCTION("""COMPUTED_VALUE"""),"No")</f>
        <v>No</v>
      </c>
      <c r="AB251" s="1" t="str">
        <f ca="1">IFERROR(__xludf.DUMMYFUNCTION("""COMPUTED_VALUE"""),"No")</f>
        <v>No</v>
      </c>
      <c r="AC251" s="1" t="str">
        <f ca="1">IFERROR(__xludf.DUMMYFUNCTION("""COMPUTED_VALUE"""),"No")</f>
        <v>No</v>
      </c>
      <c r="AD251" s="1" t="str">
        <f ca="1">IFERROR(__xludf.DUMMYFUNCTION("""COMPUTED_VALUE"""),"No")</f>
        <v>No</v>
      </c>
      <c r="AE251" s="1" t="str">
        <f ca="1">IFERROR(__xludf.DUMMYFUNCTION("""COMPUTED_VALUE"""),"No")</f>
        <v>No</v>
      </c>
      <c r="AF251" s="1" t="str">
        <f ca="1">IFERROR(__xludf.DUMMYFUNCTION("""COMPUTED_VALUE"""),"No")</f>
        <v>No</v>
      </c>
      <c r="AG251" s="1" t="str">
        <f ca="1">IFERROR(__xludf.DUMMYFUNCTION("""COMPUTED_VALUE"""),"No")</f>
        <v>No</v>
      </c>
      <c r="AH251" s="1">
        <f ca="1">IFERROR(__xludf.DUMMYFUNCTION("""COMPUTED_VALUE"""),4)</f>
        <v>4</v>
      </c>
    </row>
    <row r="252" spans="1:34" ht="12.5">
      <c r="A252" s="1" t="str">
        <f ca="1">IFERROR(__xludf.DUMMYFUNCTION("""COMPUTED_VALUE"""),"20230612NJRIM")</f>
        <v>20230612NJRIM</v>
      </c>
      <c r="B252" s="1">
        <f ca="1">IFERROR(__xludf.DUMMYFUNCTION("""COMPUTED_VALUE"""),6)</f>
        <v>6</v>
      </c>
      <c r="C252" s="1">
        <f ca="1">IFERROR(__xludf.DUMMYFUNCTION("""COMPUTED_VALUE"""),12)</f>
        <v>12</v>
      </c>
      <c r="D252" s="1">
        <f ca="1">IFERROR(__xludf.DUMMYFUNCTION("""COMPUTED_VALUE"""),2023)</f>
        <v>2023</v>
      </c>
      <c r="E252" s="4">
        <f ca="1">IFERROR(__xludf.DUMMYFUNCTION("""COMPUTED_VALUE"""),45089)</f>
        <v>45089</v>
      </c>
      <c r="F252" s="1" t="str">
        <f ca="1">IFERROR(__xludf.DUMMYFUNCTION("""COMPUTED_VALUE"""),"Rieck Avenue Elementary School")</f>
        <v>Rieck Avenue Elementary School</v>
      </c>
      <c r="G252" s="1">
        <f ca="1">IFERROR(__xludf.DUMMYFUNCTION("""COMPUTED_VALUE"""),1)</f>
        <v>1</v>
      </c>
      <c r="H252" s="1">
        <f ca="1">IFERROR(__xludf.DUMMYFUNCTION("""COMPUTED_VALUE"""),0)</f>
        <v>0</v>
      </c>
      <c r="I252" s="1">
        <f ca="1">IFERROR(__xludf.DUMMYFUNCTION("""COMPUTED_VALUE"""),1)</f>
        <v>1</v>
      </c>
      <c r="J252" s="1">
        <f ca="1">IFERROR(__xludf.DUMMYFUNCTION("""COMPUTED_VALUE"""),0)</f>
        <v>0</v>
      </c>
      <c r="K252" s="1" t="str">
        <f ca="1">IFERROR(__xludf.DUMMYFUNCTION("""COMPUTED_VALUE"""),"Summer")</f>
        <v>Summer</v>
      </c>
      <c r="L252" s="1" t="str">
        <f ca="1">IFERROR(__xludf.DUMMYFUNCTION("""COMPUTED_VALUE"""),"Millville")</f>
        <v>Millville</v>
      </c>
      <c r="M252" s="1" t="str">
        <f ca="1">IFERROR(__xludf.DUMMYFUNCTION("""COMPUTED_VALUE"""),"NJ")</f>
        <v>NJ</v>
      </c>
      <c r="N252" s="1" t="str">
        <f ca="1">IFERROR(__xludf.DUMMYFUNCTION("""COMPUTED_VALUE"""),"Elementary")</f>
        <v>Elementary</v>
      </c>
      <c r="O252" s="1" t="str">
        <f ca="1">IFERROR(__xludf.DUMMYFUNCTION("""COMPUTED_VALUE"""),"Parking Lot")</f>
        <v>Parking Lot</v>
      </c>
      <c r="P252" s="1" t="str">
        <f ca="1">IFERROR(__xludf.DUMMYFUNCTION("""COMPUTED_VALUE"""),"Outside on School Property")</f>
        <v>Outside on School Property</v>
      </c>
      <c r="Q252" s="1" t="str">
        <f ca="1">IFERROR(__xludf.DUMMYFUNCTION("""COMPUTED_VALUE"""),"No")</f>
        <v>No</v>
      </c>
      <c r="R252" s="1" t="str">
        <f ca="1">IFERROR(__xludf.DUMMYFUNCTION("""COMPUTED_VALUE"""),"Before School")</f>
        <v>Before School</v>
      </c>
      <c r="S252" s="5">
        <f ca="1">IFERROR(__xludf.DUMMYFUNCTION("""COMPUTED_VALUE"""),0.208333333333333)</f>
        <v>0.20833333333333301</v>
      </c>
      <c r="T252" s="1">
        <f ca="1">IFERROR(__xludf.DUMMYFUNCTION("""COMPUTED_VALUE"""),1)</f>
        <v>1</v>
      </c>
      <c r="U252" s="1" t="str">
        <f ca="1">IFERROR(__xludf.DUMMYFUNCTION("""COMPUTED_VALUE"""),"Man fatally shot in school parking lot")</f>
        <v>Man fatally shot in school parking lot</v>
      </c>
      <c r="V252" s="1" t="str">
        <f ca="1">IFERROR(__xludf.DUMMYFUNCTION("""COMPUTED_VALUE"""),"An attorney defending a Vineland High School senior against murder and other charges claims his client only meant to fire a “warning shot” toward the victim, not to kill him. Emmanuel B. Doivilus, 18, did not know the victim, 20-year-old Mark Hoffman of M"&amp;"illville, defense attorney David Branco said at a court hearing. He said Doivilus was present to support an unidentified male friend, who was supposed to fight Hoffman in a dispute involving a girl. The shooting occurred behind Rieck Avenue Elementary Sch"&amp;"ool in Millville, where Hoffman's body was found in his vehicle on June 12.")</f>
        <v>An attorney defending a Vineland High School senior against murder and other charges claims his client only meant to fire a “warning shot” toward the victim, not to kill him. Emmanuel B. Doivilus, 18, did not know the victim, 20-year-old Mark Hoffman of Millville, defense attorney David Branco said at a court hearing. He said Doivilus was present to support an unidentified male friend, who was supposed to fight Hoffman in a dispute involving a girl. The shooting occurred behind Rieck Avenue Elementary School in Millville, where Hoffman's body was found in his vehicle on June 12.</v>
      </c>
      <c r="W252" s="1" t="str">
        <f ca="1">IFERROR(__xludf.DUMMYFUNCTION("""COMPUTED_VALUE"""),"Escalation of Dispute")</f>
        <v>Escalation of Dispute</v>
      </c>
      <c r="X252" s="1" t="str">
        <f ca="1">IFERROR(__xludf.DUMMYFUNCTION("""COMPUTED_VALUE"""),"Victims Targeted")</f>
        <v>Victims Targeted</v>
      </c>
      <c r="Y252" s="1" t="str">
        <f ca="1">IFERROR(__xludf.DUMMYFUNCTION("""COMPUTED_VALUE"""),"No")</f>
        <v>No</v>
      </c>
      <c r="Z252" s="1"/>
      <c r="AA252" s="1" t="str">
        <f ca="1">IFERROR(__xludf.DUMMYFUNCTION("""COMPUTED_VALUE"""),"No")</f>
        <v>No</v>
      </c>
      <c r="AB252" s="1" t="str">
        <f ca="1">IFERROR(__xludf.DUMMYFUNCTION("""COMPUTED_VALUE"""),"No")</f>
        <v>No</v>
      </c>
      <c r="AC252" s="1" t="str">
        <f ca="1">IFERROR(__xludf.DUMMYFUNCTION("""COMPUTED_VALUE"""),"No")</f>
        <v>No</v>
      </c>
      <c r="AD252" s="1" t="str">
        <f ca="1">IFERROR(__xludf.DUMMYFUNCTION("""COMPUTED_VALUE"""),"No")</f>
        <v>No</v>
      </c>
      <c r="AE252" s="1" t="str">
        <f ca="1">IFERROR(__xludf.DUMMYFUNCTION("""COMPUTED_VALUE"""),"No")</f>
        <v>No</v>
      </c>
      <c r="AF252" s="1"/>
      <c r="AG252" s="1" t="str">
        <f ca="1">IFERROR(__xludf.DUMMYFUNCTION("""COMPUTED_VALUE"""),"No")</f>
        <v>No</v>
      </c>
      <c r="AH252" s="1">
        <f ca="1">IFERROR(__xludf.DUMMYFUNCTION("""COMPUTED_VALUE"""),99)</f>
        <v>99</v>
      </c>
    </row>
    <row r="253" spans="1:34" ht="12.5">
      <c r="A253" s="1" t="str">
        <f ca="1">IFERROR(__xludf.DUMMYFUNCTION("""COMPUTED_VALUE"""),"20230612GAKEC")</f>
        <v>20230612GAKEC</v>
      </c>
      <c r="B253" s="1">
        <f ca="1">IFERROR(__xludf.DUMMYFUNCTION("""COMPUTED_VALUE"""),6)</f>
        <v>6</v>
      </c>
      <c r="C253" s="1">
        <f ca="1">IFERROR(__xludf.DUMMYFUNCTION("""COMPUTED_VALUE"""),12)</f>
        <v>12</v>
      </c>
      <c r="D253" s="1">
        <f ca="1">IFERROR(__xludf.DUMMYFUNCTION("""COMPUTED_VALUE"""),2023)</f>
        <v>2023</v>
      </c>
      <c r="E253" s="4">
        <f ca="1">IFERROR(__xludf.DUMMYFUNCTION("""COMPUTED_VALUE"""),45089)</f>
        <v>45089</v>
      </c>
      <c r="F253" s="1" t="str">
        <f ca="1">IFERROR(__xludf.DUMMYFUNCTION("""COMPUTED_VALUE"""),"Kendrick High School")</f>
        <v>Kendrick High School</v>
      </c>
      <c r="G253" s="1">
        <f ca="1">IFERROR(__xludf.DUMMYFUNCTION("""COMPUTED_VALUE"""),0)</f>
        <v>0</v>
      </c>
      <c r="H253" s="1">
        <f ca="1">IFERROR(__xludf.DUMMYFUNCTION("""COMPUTED_VALUE"""),1)</f>
        <v>1</v>
      </c>
      <c r="I253" s="1">
        <f ca="1">IFERROR(__xludf.DUMMYFUNCTION("""COMPUTED_VALUE"""),1)</f>
        <v>1</v>
      </c>
      <c r="J253" s="1">
        <f ca="1">IFERROR(__xludf.DUMMYFUNCTION("""COMPUTED_VALUE"""),0)</f>
        <v>0</v>
      </c>
      <c r="K253" s="1" t="str">
        <f ca="1">IFERROR(__xludf.DUMMYFUNCTION("""COMPUTED_VALUE"""),"Summer")</f>
        <v>Summer</v>
      </c>
      <c r="L253" s="1" t="str">
        <f ca="1">IFERROR(__xludf.DUMMYFUNCTION("""COMPUTED_VALUE"""),"Columbus")</f>
        <v>Columbus</v>
      </c>
      <c r="M253" s="1" t="str">
        <f ca="1">IFERROR(__xludf.DUMMYFUNCTION("""COMPUTED_VALUE"""),"GA")</f>
        <v>GA</v>
      </c>
      <c r="N253" s="1" t="str">
        <f ca="1">IFERROR(__xludf.DUMMYFUNCTION("""COMPUTED_VALUE"""),"High")</f>
        <v>High</v>
      </c>
      <c r="O253" s="1" t="str">
        <f ca="1">IFERROR(__xludf.DUMMYFUNCTION("""COMPUTED_VALUE"""),"Beside Building")</f>
        <v>Beside Building</v>
      </c>
      <c r="P253" s="1" t="str">
        <f ca="1">IFERROR(__xludf.DUMMYFUNCTION("""COMPUTED_VALUE"""),"Outside on School Property")</f>
        <v>Outside on School Property</v>
      </c>
      <c r="Q253" s="1" t="str">
        <f ca="1">IFERROR(__xludf.DUMMYFUNCTION("""COMPUTED_VALUE"""),"No")</f>
        <v>No</v>
      </c>
      <c r="R253" s="1" t="str">
        <f ca="1">IFERROR(__xludf.DUMMYFUNCTION("""COMPUTED_VALUE"""),"Evening")</f>
        <v>Evening</v>
      </c>
      <c r="S253" s="5">
        <f ca="1">IFERROR(__xludf.DUMMYFUNCTION("""COMPUTED_VALUE"""),0.729166666666666)</f>
        <v>0.72916666666666596</v>
      </c>
      <c r="T253" s="1">
        <f ca="1">IFERROR(__xludf.DUMMYFUNCTION("""COMPUTED_VALUE"""),1)</f>
        <v>1</v>
      </c>
      <c r="U253" s="1" t="str">
        <f ca="1">IFERROR(__xludf.DUMMYFUNCTION("""COMPUTED_VALUE"""),"Male victim shot behind the school")</f>
        <v>Male victim shot behind the school</v>
      </c>
      <c r="V253" s="1" t="str">
        <f ca="1">IFERROR(__xludf.DUMMYFUNCTION("""COMPUTED_VALUE"""),"Police responded for a male victim with a gunshot wound to the foot behind the school.")</f>
        <v>Police responded for a male victim with a gunshot wound to the foot behind the school.</v>
      </c>
      <c r="W253" s="1"/>
      <c r="X253" s="1"/>
      <c r="Y253" s="1"/>
      <c r="Z253" s="1"/>
      <c r="AA253" s="1" t="str">
        <f ca="1">IFERROR(__xludf.DUMMYFUNCTION("""COMPUTED_VALUE"""),"No")</f>
        <v>No</v>
      </c>
      <c r="AB253" s="1" t="str">
        <f ca="1">IFERROR(__xludf.DUMMYFUNCTION("""COMPUTED_VALUE"""),"No")</f>
        <v>No</v>
      </c>
      <c r="AC253" s="1" t="str">
        <f ca="1">IFERROR(__xludf.DUMMYFUNCTION("""COMPUTED_VALUE"""),"No")</f>
        <v>No</v>
      </c>
      <c r="AD253" s="1" t="str">
        <f ca="1">IFERROR(__xludf.DUMMYFUNCTION("""COMPUTED_VALUE"""),"No")</f>
        <v>No</v>
      </c>
      <c r="AE253" s="1" t="str">
        <f ca="1">IFERROR(__xludf.DUMMYFUNCTION("""COMPUTED_VALUE"""),"No")</f>
        <v>No</v>
      </c>
      <c r="AF253" s="1"/>
      <c r="AG253" s="1" t="str">
        <f ca="1">IFERROR(__xludf.DUMMYFUNCTION("""COMPUTED_VALUE"""),"No")</f>
        <v>No</v>
      </c>
      <c r="AH253" s="1">
        <f ca="1">IFERROR(__xludf.DUMMYFUNCTION("""COMPUTED_VALUE"""),1)</f>
        <v>1</v>
      </c>
    </row>
    <row r="254" spans="1:34" ht="12.5">
      <c r="A254" s="1" t="str">
        <f ca="1">IFERROR(__xludf.DUMMYFUNCTION("""COMPUTED_VALUE"""),"20230609DCTUW")</f>
        <v>20230609DCTUW</v>
      </c>
      <c r="B254" s="1">
        <f ca="1">IFERROR(__xludf.DUMMYFUNCTION("""COMPUTED_VALUE"""),6)</f>
        <v>6</v>
      </c>
      <c r="C254" s="1">
        <f ca="1">IFERROR(__xludf.DUMMYFUNCTION("""COMPUTED_VALUE"""),9)</f>
        <v>9</v>
      </c>
      <c r="D254" s="1">
        <f ca="1">IFERROR(__xludf.DUMMYFUNCTION("""COMPUTED_VALUE"""),2023)</f>
        <v>2023</v>
      </c>
      <c r="E254" s="4">
        <f ca="1">IFERROR(__xludf.DUMMYFUNCTION("""COMPUTED_VALUE"""),45086)</f>
        <v>45086</v>
      </c>
      <c r="F254" s="1" t="str">
        <f ca="1">IFERROR(__xludf.DUMMYFUNCTION("""COMPUTED_VALUE"""),"Turner Elementary School")</f>
        <v>Turner Elementary School</v>
      </c>
      <c r="G254" s="1">
        <f ca="1">IFERROR(__xludf.DUMMYFUNCTION("""COMPUTED_VALUE"""),0)</f>
        <v>0</v>
      </c>
      <c r="H254" s="1">
        <f ca="1">IFERROR(__xludf.DUMMYFUNCTION("""COMPUTED_VALUE"""),1)</f>
        <v>1</v>
      </c>
      <c r="I254" s="1">
        <f ca="1">IFERROR(__xludf.DUMMYFUNCTION("""COMPUTED_VALUE"""),1)</f>
        <v>1</v>
      </c>
      <c r="J254" s="1">
        <f ca="1">IFERROR(__xludf.DUMMYFUNCTION("""COMPUTED_VALUE"""),0)</f>
        <v>0</v>
      </c>
      <c r="K254" s="1" t="str">
        <f ca="1">IFERROR(__xludf.DUMMYFUNCTION("""COMPUTED_VALUE"""),"Summer")</f>
        <v>Summer</v>
      </c>
      <c r="L254" s="1" t="str">
        <f ca="1">IFERROR(__xludf.DUMMYFUNCTION("""COMPUTED_VALUE"""),"Washington")</f>
        <v>Washington</v>
      </c>
      <c r="M254" s="1" t="str">
        <f ca="1">IFERROR(__xludf.DUMMYFUNCTION("""COMPUTED_VALUE"""),"DC")</f>
        <v>DC</v>
      </c>
      <c r="N254" s="1" t="str">
        <f ca="1">IFERROR(__xludf.DUMMYFUNCTION("""COMPUTED_VALUE"""),"Elementary")</f>
        <v>Elementary</v>
      </c>
      <c r="O254" s="1" t="str">
        <f ca="1">IFERROR(__xludf.DUMMYFUNCTION("""COMPUTED_VALUE"""),"Front of School")</f>
        <v>Front of School</v>
      </c>
      <c r="P254" s="1" t="str">
        <f ca="1">IFERROR(__xludf.DUMMYFUNCTION("""COMPUTED_VALUE"""),"Outside on School Property")</f>
        <v>Outside on School Property</v>
      </c>
      <c r="Q254" s="1" t="str">
        <f ca="1">IFERROR(__xludf.DUMMYFUNCTION("""COMPUTED_VALUE"""),"Yes")</f>
        <v>Yes</v>
      </c>
      <c r="R254" s="1" t="str">
        <f ca="1">IFERROR(__xludf.DUMMYFUNCTION("""COMPUTED_VALUE"""),"Afternoon Classes")</f>
        <v>Afternoon Classes</v>
      </c>
      <c r="S254" s="5">
        <f ca="1">IFERROR(__xludf.DUMMYFUNCTION("""COMPUTED_VALUE"""),0.619444444444444)</f>
        <v>0.61944444444444402</v>
      </c>
      <c r="T254" s="1">
        <f ca="1">IFERROR(__xludf.DUMMYFUNCTION("""COMPUTED_VALUE"""),1)</f>
        <v>1</v>
      </c>
      <c r="U254" s="1" t="str">
        <f ca="1">IFERROR(__xludf.DUMMYFUNCTION("""COMPUTED_VALUE"""),"School went on lockdown when adult man was shot on the sidewalk outside")</f>
        <v>School went on lockdown when adult man was shot on the sidewalk outside</v>
      </c>
      <c r="V254" s="1" t="str">
        <f ca="1">IFERROR(__xludf.DUMMYFUNCTION("""COMPUTED_VALUE"""),"School went on lockdown when adult man was shot on the sidewalk outside. Victim was shot 3 times. Shots were fired from a vehicle and shooter feld.")</f>
        <v>School went on lockdown when adult man was shot on the sidewalk outside. Victim was shot 3 times. Shots were fired from a vehicle and shooter feld.</v>
      </c>
      <c r="W254" s="1" t="str">
        <f ca="1">IFERROR(__xludf.DUMMYFUNCTION("""COMPUTED_VALUE"""),"Drive-by Shooting")</f>
        <v>Drive-by Shooting</v>
      </c>
      <c r="X254" s="1" t="str">
        <f ca="1">IFERROR(__xludf.DUMMYFUNCTION("""COMPUTED_VALUE"""),"Victims Targeted")</f>
        <v>Victims Targeted</v>
      </c>
      <c r="Y254" s="1"/>
      <c r="Z254" s="1"/>
      <c r="AA254" s="1" t="str">
        <f ca="1">IFERROR(__xludf.DUMMYFUNCTION("""COMPUTED_VALUE"""),"No")</f>
        <v>No</v>
      </c>
      <c r="AB254" s="1" t="str">
        <f ca="1">IFERROR(__xludf.DUMMYFUNCTION("""COMPUTED_VALUE"""),"No")</f>
        <v>No</v>
      </c>
      <c r="AC254" s="1" t="str">
        <f ca="1">IFERROR(__xludf.DUMMYFUNCTION("""COMPUTED_VALUE"""),"No")</f>
        <v>No</v>
      </c>
      <c r="AD254" s="1" t="str">
        <f ca="1">IFERROR(__xludf.DUMMYFUNCTION("""COMPUTED_VALUE"""),"No")</f>
        <v>No</v>
      </c>
      <c r="AE254" s="1" t="str">
        <f ca="1">IFERROR(__xludf.DUMMYFUNCTION("""COMPUTED_VALUE"""),"No")</f>
        <v>No</v>
      </c>
      <c r="AF254" s="1"/>
      <c r="AG254" s="1" t="str">
        <f ca="1">IFERROR(__xludf.DUMMYFUNCTION("""COMPUTED_VALUE"""),"No")</f>
        <v>No</v>
      </c>
      <c r="AH254" s="1">
        <f ca="1">IFERROR(__xludf.DUMMYFUNCTION("""COMPUTED_VALUE"""),99)</f>
        <v>99</v>
      </c>
    </row>
    <row r="255" spans="1:34" ht="12.5">
      <c r="A255" s="1" t="str">
        <f ca="1">IFERROR(__xludf.DUMMYFUNCTION("""COMPUTED_VALUE"""),"20230607WIMIM")</f>
        <v>20230607WIMIM</v>
      </c>
      <c r="B255" s="1">
        <f ca="1">IFERROR(__xludf.DUMMYFUNCTION("""COMPUTED_VALUE"""),6)</f>
        <v>6</v>
      </c>
      <c r="C255" s="1">
        <f ca="1">IFERROR(__xludf.DUMMYFUNCTION("""COMPUTED_VALUE"""),7)</f>
        <v>7</v>
      </c>
      <c r="D255" s="1">
        <f ca="1">IFERROR(__xludf.DUMMYFUNCTION("""COMPUTED_VALUE"""),2023)</f>
        <v>2023</v>
      </c>
      <c r="E255" s="4">
        <f ca="1">IFERROR(__xludf.DUMMYFUNCTION("""COMPUTED_VALUE"""),45084)</f>
        <v>45084</v>
      </c>
      <c r="F255" s="1" t="str">
        <f ca="1">IFERROR(__xludf.DUMMYFUNCTION("""COMPUTED_VALUE"""),"Milwaukee School Bus")</f>
        <v>Milwaukee School Bus</v>
      </c>
      <c r="G255" s="1">
        <f ca="1">IFERROR(__xludf.DUMMYFUNCTION("""COMPUTED_VALUE"""),0)</f>
        <v>0</v>
      </c>
      <c r="H255" s="1">
        <f ca="1">IFERROR(__xludf.DUMMYFUNCTION("""COMPUTED_VALUE"""),0)</f>
        <v>0</v>
      </c>
      <c r="I255" s="1">
        <f ca="1">IFERROR(__xludf.DUMMYFUNCTION("""COMPUTED_VALUE"""),0)</f>
        <v>0</v>
      </c>
      <c r="J255" s="1">
        <f ca="1">IFERROR(__xludf.DUMMYFUNCTION("""COMPUTED_VALUE"""),0)</f>
        <v>0</v>
      </c>
      <c r="K255" s="1" t="str">
        <f ca="1">IFERROR(__xludf.DUMMYFUNCTION("""COMPUTED_VALUE"""),"Summer")</f>
        <v>Summer</v>
      </c>
      <c r="L255" s="1" t="str">
        <f ca="1">IFERROR(__xludf.DUMMYFUNCTION("""COMPUTED_VALUE"""),"Milwaukee")</f>
        <v>Milwaukee</v>
      </c>
      <c r="M255" s="1" t="str">
        <f ca="1">IFERROR(__xludf.DUMMYFUNCTION("""COMPUTED_VALUE"""),"WI")</f>
        <v>WI</v>
      </c>
      <c r="N255" s="1" t="str">
        <f ca="1">IFERROR(__xludf.DUMMYFUNCTION("""COMPUTED_VALUE"""),"Elementary")</f>
        <v>Elementary</v>
      </c>
      <c r="O255" s="1" t="str">
        <f ca="1">IFERROR(__xludf.DUMMYFUNCTION("""COMPUTED_VALUE"""),"School Bus")</f>
        <v>School Bus</v>
      </c>
      <c r="P255" s="1" t="str">
        <f ca="1">IFERROR(__xludf.DUMMYFUNCTION("""COMPUTED_VALUE"""),"School Bus")</f>
        <v>School Bus</v>
      </c>
      <c r="Q255" s="1" t="str">
        <f ca="1">IFERROR(__xludf.DUMMYFUNCTION("""COMPUTED_VALUE"""),"Yes")</f>
        <v>Yes</v>
      </c>
      <c r="R255" s="1" t="str">
        <f ca="1">IFERROR(__xludf.DUMMYFUNCTION("""COMPUTED_VALUE"""),"Dismissal")</f>
        <v>Dismissal</v>
      </c>
      <c r="S255" s="5">
        <f ca="1">IFERROR(__xludf.DUMMYFUNCTION("""COMPUTED_VALUE"""),0.640277777777777)</f>
        <v>0.64027777777777695</v>
      </c>
      <c r="T255" s="1">
        <f ca="1">IFERROR(__xludf.DUMMYFUNCTION("""COMPUTED_VALUE"""),1)</f>
        <v>1</v>
      </c>
      <c r="U255" s="1" t="str">
        <f ca="1">IFERROR(__xludf.DUMMYFUNCTION("""COMPUTED_VALUE"""),"School bus carrying student was struck by bullets")</f>
        <v>School bus carrying student was struck by bullets</v>
      </c>
      <c r="V255" s="1" t="str">
        <f ca="1">IFERROR(__xludf.DUMMYFUNCTION("""COMPUTED_VALUE"""),"Milwaukee police are investigating after gunfire struck a school bus with two children inside Tuesday afternoon, June 6. According to the police department, two children, ages 7 and 13, were inside the bus when it was struck by gunfire while traveling nea"&amp;"r 15th and Meinecke Avenue around 3:22 p.m. ")</f>
        <v xml:space="preserve">Milwaukee police are investigating after gunfire struck a school bus with two children inside Tuesday afternoon, June 6. According to the police department, two children, ages 7 and 13, were inside the bus when it was struck by gunfire while traveling near 15th and Meinecke Avenue around 3:22 p.m. </v>
      </c>
      <c r="W255" s="1"/>
      <c r="X255" s="1"/>
      <c r="Y255" s="1"/>
      <c r="Z255" s="1"/>
      <c r="AA255" s="1" t="str">
        <f ca="1">IFERROR(__xludf.DUMMYFUNCTION("""COMPUTED_VALUE"""),"No")</f>
        <v>No</v>
      </c>
      <c r="AB255" s="1" t="str">
        <f ca="1">IFERROR(__xludf.DUMMYFUNCTION("""COMPUTED_VALUE"""),"No")</f>
        <v>No</v>
      </c>
      <c r="AC255" s="1" t="str">
        <f ca="1">IFERROR(__xludf.DUMMYFUNCTION("""COMPUTED_VALUE"""),"No")</f>
        <v>No</v>
      </c>
      <c r="AD255" s="1" t="str">
        <f ca="1">IFERROR(__xludf.DUMMYFUNCTION("""COMPUTED_VALUE"""),"No")</f>
        <v>No</v>
      </c>
      <c r="AE255" s="1" t="str">
        <f ca="1">IFERROR(__xludf.DUMMYFUNCTION("""COMPUTED_VALUE"""),"No")</f>
        <v>No</v>
      </c>
      <c r="AF255" s="1"/>
      <c r="AG255" s="1" t="str">
        <f ca="1">IFERROR(__xludf.DUMMYFUNCTION("""COMPUTED_VALUE"""),"No")</f>
        <v>No</v>
      </c>
      <c r="AH255" s="1">
        <f ca="1">IFERROR(__xludf.DUMMYFUNCTION("""COMPUTED_VALUE"""),99)</f>
        <v>99</v>
      </c>
    </row>
    <row r="256" spans="1:34" ht="12.5">
      <c r="A256" s="1" t="str">
        <f ca="1">IFERROR(__xludf.DUMMYFUNCTION("""COMPUTED_VALUE"""),"20230607VADRA")</f>
        <v>20230607VADRA</v>
      </c>
      <c r="B256" s="1">
        <f ca="1">IFERROR(__xludf.DUMMYFUNCTION("""COMPUTED_VALUE"""),6)</f>
        <v>6</v>
      </c>
      <c r="C256" s="1">
        <f ca="1">IFERROR(__xludf.DUMMYFUNCTION("""COMPUTED_VALUE"""),7)</f>
        <v>7</v>
      </c>
      <c r="D256" s="1">
        <f ca="1">IFERROR(__xludf.DUMMYFUNCTION("""COMPUTED_VALUE"""),2023)</f>
        <v>2023</v>
      </c>
      <c r="E256" s="4">
        <f ca="1">IFERROR(__xludf.DUMMYFUNCTION("""COMPUTED_VALUE"""),45084)</f>
        <v>45084</v>
      </c>
      <c r="F256" s="1" t="str">
        <f ca="1">IFERROR(__xludf.DUMMYFUNCTION("""COMPUTED_VALUE"""),"Drew Elementary School")</f>
        <v>Drew Elementary School</v>
      </c>
      <c r="G256" s="1">
        <f ca="1">IFERROR(__xludf.DUMMYFUNCTION("""COMPUTED_VALUE"""),0)</f>
        <v>0</v>
      </c>
      <c r="H256" s="1">
        <f ca="1">IFERROR(__xludf.DUMMYFUNCTION("""COMPUTED_VALUE"""),0)</f>
        <v>0</v>
      </c>
      <c r="I256" s="1">
        <f ca="1">IFERROR(__xludf.DUMMYFUNCTION("""COMPUTED_VALUE"""),0)</f>
        <v>0</v>
      </c>
      <c r="J256" s="1">
        <f ca="1">IFERROR(__xludf.DUMMYFUNCTION("""COMPUTED_VALUE"""),0)</f>
        <v>0</v>
      </c>
      <c r="K256" s="1" t="str">
        <f ca="1">IFERROR(__xludf.DUMMYFUNCTION("""COMPUTED_VALUE"""),"Summer")</f>
        <v>Summer</v>
      </c>
      <c r="L256" s="1" t="str">
        <f ca="1">IFERROR(__xludf.DUMMYFUNCTION("""COMPUTED_VALUE"""),"Arlington")</f>
        <v>Arlington</v>
      </c>
      <c r="M256" s="1" t="str">
        <f ca="1">IFERROR(__xludf.DUMMYFUNCTION("""COMPUTED_VALUE"""),"VA")</f>
        <v>VA</v>
      </c>
      <c r="N256" s="1" t="str">
        <f ca="1">IFERROR(__xludf.DUMMYFUNCTION("""COMPUTED_VALUE"""),"Elementary")</f>
        <v>Elementary</v>
      </c>
      <c r="O256" s="1" t="str">
        <f ca="1">IFERROR(__xludf.DUMMYFUNCTION("""COMPUTED_VALUE"""),"Front of School")</f>
        <v>Front of School</v>
      </c>
      <c r="P256" s="1" t="str">
        <f ca="1">IFERROR(__xludf.DUMMYFUNCTION("""COMPUTED_VALUE"""),"Outside on School Property")</f>
        <v>Outside on School Property</v>
      </c>
      <c r="Q256" s="1" t="str">
        <f ca="1">IFERROR(__xludf.DUMMYFUNCTION("""COMPUTED_VALUE"""),"Yes")</f>
        <v>Yes</v>
      </c>
      <c r="R256" s="1" t="str">
        <f ca="1">IFERROR(__xludf.DUMMYFUNCTION("""COMPUTED_VALUE"""),"Morning Classes")</f>
        <v>Morning Classes</v>
      </c>
      <c r="S256" s="5">
        <f ca="1">IFERROR(__xludf.DUMMYFUNCTION("""COMPUTED_VALUE"""),0.436805555555555)</f>
        <v>0.436805555555555</v>
      </c>
      <c r="T256" s="1">
        <f ca="1">IFERROR(__xludf.DUMMYFUNCTION("""COMPUTED_VALUE"""),1)</f>
        <v>1</v>
      </c>
      <c r="U256" s="1" t="str">
        <f ca="1">IFERROR(__xludf.DUMMYFUNCTION("""COMPUTED_VALUE"""),"Adult fired shot outside of school during fight over firearm")</f>
        <v>Adult fired shot outside of school during fight over firearm</v>
      </c>
      <c r="V256" s="1" t="str">
        <f ca="1">IFERROR(__xludf.DUMMYFUNCTION("""COMPUTED_VALUE"""),"The Arlington County Police Department’s Homicide/Robbery Unit is announcing the arrest of a suspect following an investigation into a fight with a shot fired. Chase Smith, 21, of Arlington, VA is charged with Attempted Aggravated Malicious Wounding and D"&amp;"ischarge of a Firearm within 1,000 feet of a School. At approximately 10:29 a.m. on June 7, 2023, police were dispatched to the 2200 block of S. Kenmore Street for the report of a fight involving a firearm. Prior to police arrival, the suspect ran from th"&amp;"e scene. Responding officers located him in the 3400 block of 22nd Street S. and took him into custody without incident. The preliminary investigation indicates the victim and suspect were involved in a verbal dispute when the suspect allegedly displayed "&amp;"a firearm. A physical altercation ensued over the firearm, during which a shot was fired. No property damage or injuries were reported as a result of the firearm discharge. A firearm was recovered on scene.")</f>
        <v>The Arlington County Police Department’s Homicide/Robbery Unit is announcing the arrest of a suspect following an investigation into a fight with a shot fired. Chase Smith, 21, of Arlington, VA is charged with Attempted Aggravated Malicious Wounding and Discharge of a Firearm within 1,000 feet of a School. At approximately 10:29 a.m. on June 7, 2023, police were dispatched to the 2200 block of S. Kenmore Street for the report of a fight involving a firearm. Prior to police arrival, the suspect ran from the scene. Responding officers located him in the 3400 block of 22nd Street S. and took him into custody without incident. The preliminary investigation indicates the victim and suspect were involved in a verbal dispute when the suspect allegedly displayed a firearm. A physical altercation ensued over the firearm, during which a shot was fired. No property damage or injuries were reported as a result of the firearm discharge. A firearm was recovered on scene.</v>
      </c>
      <c r="W256" s="1" t="str">
        <f ca="1">IFERROR(__xludf.DUMMYFUNCTION("""COMPUTED_VALUE"""),"Escalation of Dispute")</f>
        <v>Escalation of Dispute</v>
      </c>
      <c r="X256" s="1" t="str">
        <f ca="1">IFERROR(__xludf.DUMMYFUNCTION("""COMPUTED_VALUE"""),"Victims Targeted")</f>
        <v>Victims Targeted</v>
      </c>
      <c r="Y256" s="1" t="str">
        <f ca="1">IFERROR(__xludf.DUMMYFUNCTION("""COMPUTED_VALUE"""),"No")</f>
        <v>No</v>
      </c>
      <c r="Z256" s="1"/>
      <c r="AA256" s="1" t="str">
        <f ca="1">IFERROR(__xludf.DUMMYFUNCTION("""COMPUTED_VALUE"""),"No")</f>
        <v>No</v>
      </c>
      <c r="AB256" s="1" t="str">
        <f ca="1">IFERROR(__xludf.DUMMYFUNCTION("""COMPUTED_VALUE"""),"No")</f>
        <v>No</v>
      </c>
      <c r="AC256" s="1" t="str">
        <f ca="1">IFERROR(__xludf.DUMMYFUNCTION("""COMPUTED_VALUE"""),"No")</f>
        <v>No</v>
      </c>
      <c r="AD256" s="1" t="str">
        <f ca="1">IFERROR(__xludf.DUMMYFUNCTION("""COMPUTED_VALUE"""),"No")</f>
        <v>No</v>
      </c>
      <c r="AE256" s="1" t="str">
        <f ca="1">IFERROR(__xludf.DUMMYFUNCTION("""COMPUTED_VALUE"""),"No")</f>
        <v>No</v>
      </c>
      <c r="AF256" s="1" t="str">
        <f ca="1">IFERROR(__xludf.DUMMYFUNCTION("""COMPUTED_VALUE"""),"No")</f>
        <v>No</v>
      </c>
      <c r="AG256" s="1" t="str">
        <f ca="1">IFERROR(__xludf.DUMMYFUNCTION("""COMPUTED_VALUE"""),"No")</f>
        <v>No</v>
      </c>
      <c r="AH256" s="1">
        <f ca="1">IFERROR(__xludf.DUMMYFUNCTION("""COMPUTED_VALUE"""),1)</f>
        <v>1</v>
      </c>
    </row>
    <row r="257" spans="1:34" ht="12.5">
      <c r="A257" s="1" t="str">
        <f ca="1">IFERROR(__xludf.DUMMYFUNCTION("""COMPUTED_VALUE"""),"20230606VAHUR")</f>
        <v>20230606VAHUR</v>
      </c>
      <c r="B257" s="1">
        <f ca="1">IFERROR(__xludf.DUMMYFUNCTION("""COMPUTED_VALUE"""),6)</f>
        <v>6</v>
      </c>
      <c r="C257" s="1">
        <f ca="1">IFERROR(__xludf.DUMMYFUNCTION("""COMPUTED_VALUE"""),6)</f>
        <v>6</v>
      </c>
      <c r="D257" s="1">
        <f ca="1">IFERROR(__xludf.DUMMYFUNCTION("""COMPUTED_VALUE"""),2023)</f>
        <v>2023</v>
      </c>
      <c r="E257" s="4">
        <f ca="1">IFERROR(__xludf.DUMMYFUNCTION("""COMPUTED_VALUE"""),45083)</f>
        <v>45083</v>
      </c>
      <c r="F257" s="1" t="str">
        <f ca="1">IFERROR(__xludf.DUMMYFUNCTION("""COMPUTED_VALUE"""),"Huguenot High School")</f>
        <v>Huguenot High School</v>
      </c>
      <c r="G257" s="1">
        <f ca="1">IFERROR(__xludf.DUMMYFUNCTION("""COMPUTED_VALUE"""),2)</f>
        <v>2</v>
      </c>
      <c r="H257" s="1">
        <f ca="1">IFERROR(__xludf.DUMMYFUNCTION("""COMPUTED_VALUE"""),5)</f>
        <v>5</v>
      </c>
      <c r="I257" s="1">
        <f ca="1">IFERROR(__xludf.DUMMYFUNCTION("""COMPUTED_VALUE"""),7)</f>
        <v>7</v>
      </c>
      <c r="J257" s="1">
        <f ca="1">IFERROR(__xludf.DUMMYFUNCTION("""COMPUTED_VALUE"""),0)</f>
        <v>0</v>
      </c>
      <c r="K257" s="1" t="str">
        <f ca="1">IFERROR(__xludf.DUMMYFUNCTION("""COMPUTED_VALUE"""),"Summer")</f>
        <v>Summer</v>
      </c>
      <c r="L257" s="1" t="str">
        <f ca="1">IFERROR(__xludf.DUMMYFUNCTION("""COMPUTED_VALUE"""),"Richmond")</f>
        <v>Richmond</v>
      </c>
      <c r="M257" s="1" t="str">
        <f ca="1">IFERROR(__xludf.DUMMYFUNCTION("""COMPUTED_VALUE"""),"VA")</f>
        <v>VA</v>
      </c>
      <c r="N257" s="1" t="str">
        <f ca="1">IFERROR(__xludf.DUMMYFUNCTION("""COMPUTED_VALUE"""),"High")</f>
        <v>High</v>
      </c>
      <c r="O257" s="1" t="str">
        <f ca="1">IFERROR(__xludf.DUMMYFUNCTION("""COMPUTED_VALUE"""),"Off School Property")</f>
        <v>Off School Property</v>
      </c>
      <c r="P257" s="1" t="str">
        <f ca="1">IFERROR(__xludf.DUMMYFUNCTION("""COMPUTED_VALUE"""),"Off School Property")</f>
        <v>Off School Property</v>
      </c>
      <c r="Q257" s="1" t="str">
        <f ca="1">IFERROR(__xludf.DUMMYFUNCTION("""COMPUTED_VALUE"""),"No")</f>
        <v>No</v>
      </c>
      <c r="R257" s="1" t="str">
        <f ca="1">IFERROR(__xludf.DUMMYFUNCTION("""COMPUTED_VALUE"""),"School Event")</f>
        <v>School Event</v>
      </c>
      <c r="S257" s="5">
        <f ca="1">IFERROR(__xludf.DUMMYFUNCTION("""COMPUTED_VALUE"""),0.71875)</f>
        <v>0.71875</v>
      </c>
      <c r="T257" s="1">
        <f ca="1">IFERROR(__xludf.DUMMYFUNCTION("""COMPUTED_VALUE"""),1)</f>
        <v>1</v>
      </c>
      <c r="U257" s="1" t="str">
        <f ca="1">IFERROR(__xludf.DUMMYFUNCTION("""COMPUTED_VALUE"""),"19-year-old killed graduate and father, wounded 5 others outside graduation")</f>
        <v>19-year-old killed graduate and father, wounded 5 others outside graduation</v>
      </c>
      <c r="V257" s="1" t="str">
        <f ca="1">IFERROR(__xludf.DUMMYFUNCTION("""COMPUTED_VALUE"""),"Richmond police said in a press conference around 5:15 p.m., officers were inside Altria Theater running security when they reported hearing gunshots outside. Officers on traffic detail found “multiple victims.” Acting Police Chief Rick Edwards says a tot"&amp;"al of seven people were shot. A family spokesperson confirmed An 18-year-old Shawn Jackson and his 36-year-old father, Renzo Smith, died as a result of their injuries. A 31-year-old is suffering from life-threatening injuries. Edwards also confirmed four "&amp;"other males, ages 14, 42, 55 and 58, were injured but are expected to be okay. Six other people sustained injuries unrelated to the gunfire, three reported needing to be transported to the hospital for anxiety, two were injured from falls and a 9-year-old"&amp;" was hit by a car as they were running away from the area. That child is also expected to be okay. Police have a 19-year-old man in custody that they believe was involved in the shooting. He is expected to be charged with two counts of second-degree murde"&amp;"r with more potential charges. Police also think the suspect knew at least one of the victims. Richmond Public Schools confirmed the shooting happened outside the theater after Huguenot High School’s graduation ceremony and occurred in Monroe Park adjacen"&amp;"t to the theater. The district says they have canceled all high school graduation ceremonies this week. Richmond Police said there were four total guns recovered from the shooting scene near Monroe Park at North Laurel and West Main Street. Police said Po"&amp;"llard had one gun, police confirmed. Another person, not directly involved in the shooting and who never fired gunshots, was found with the second gun, police said. Police have not yet said to whom the remaining two guns belonged.
Jackson-Smith told 8New"&amp;"s she witnessed a teen boy run up behind her son and open fire. “My son was walking toward me, and I seen the boy run up behind him and just start shooting him from behind,” she said. “My son was walking toward me. My husband was walking behind my son, bu"&amp;"t somehow the boy ran around everybody and ran behind my son.” Shawn Jackson and his stepfather, Renzo Smith, were shot dead. Several other people were shot and injured. Police later identified the gunman as 19-year-old Amari Pollard, adding that the vict"&amp;"im and suspect knew each other and had an “ongoing dispute.” Jackson-Smith said she was unclear on what the dispute was about but confirmed the two knew each other. “They were friends. He used to stay at my house when they were little kids since they were"&amp;" like 8 years old,” she said. “My son told me, about four-five months ago, that he was going to see him, so I didn’t even know that they were having a problem. When you think of people that your child considered a friend… and somebody stayed in your home…"&amp;" you wouldn’t think that they would be that angry at you that they would take their life from you. It’s no amount of words that equals a life.”")</f>
        <v>Richmond police said in a press conference around 5:15 p.m., officers were inside Altria Theater running security when they reported hearing gunshots outside. Officers on traffic detail found “multiple victims.” Acting Police Chief Rick Edwards says a total of seven people were shot. A family spokesperson confirmed An 18-year-old Shawn Jackson and his 36-year-old father, Renzo Smith, died as a result of their injuries. A 31-year-old is suffering from life-threatening injuries. Edwards also confirmed four other males, ages 14, 42, 55 and 58, were injured but are expected to be okay. Six other people sustained injuries unrelated to the gunfire, three reported needing to be transported to the hospital for anxiety, two were injured from falls and a 9-year-old was hit by a car as they were running away from the area. That child is also expected to be okay. Police have a 19-year-old man in custody that they believe was involved in the shooting. He is expected to be charged with two counts of second-degree murder with more potential charges. Police also think the suspect knew at least one of the victims. Richmond Public Schools confirmed the shooting happened outside the theater after Huguenot High School’s graduation ceremony and occurred in Monroe Park adjacent to the theater. The district says they have canceled all high school graduation ceremonies this week. Richmond Police said there were four total guns recovered from the shooting scene near Monroe Park at North Laurel and West Main Street. Police said Pollard had one gun, police confirmed. Another person, not directly involved in the shooting and who never fired gunshots, was found with the second gun, police said. Police have not yet said to whom the remaining two guns belonged.
Jackson-Smith told 8News she witnessed a teen boy run up behind her son and open fire. “My son was walking toward me, and I seen the boy run up behind him and just start shooting him from behind,” she said. “My son was walking toward me. My husband was walking behind my son, but somehow the boy ran around everybody and ran behind my son.” Shawn Jackson and his stepfather, Renzo Smith, were shot dead. Several other people were shot and injured. Police later identified the gunman as 19-year-old Amari Pollard, adding that the victim and suspect knew each other and had an “ongoing dispute.” Jackson-Smith said she was unclear on what the dispute was about but confirmed the two knew each other. “They were friends. He used to stay at my house when they were little kids since they were like 8 years old,” she said. “My son told me, about four-five months ago, that he was going to see him, so I didn’t even know that they were having a problem. When you think of people that your child considered a friend… and somebody stayed in your home… you wouldn’t think that they would be that angry at you that they would take their life from you. It’s no amount of words that equals a life.”</v>
      </c>
      <c r="W257" s="1" t="str">
        <f ca="1">IFERROR(__xludf.DUMMYFUNCTION("""COMPUTED_VALUE"""),"Escalation of Dispute")</f>
        <v>Escalation of Dispute</v>
      </c>
      <c r="X257" s="1" t="str">
        <f ca="1">IFERROR(__xludf.DUMMYFUNCTION("""COMPUTED_VALUE"""),"Both")</f>
        <v>Both</v>
      </c>
      <c r="Y257" s="1" t="str">
        <f ca="1">IFERROR(__xludf.DUMMYFUNCTION("""COMPUTED_VALUE"""),"No")</f>
        <v>No</v>
      </c>
      <c r="Z257" s="1"/>
      <c r="AA257" s="1" t="str">
        <f ca="1">IFERROR(__xludf.DUMMYFUNCTION("""COMPUTED_VALUE"""),"No")</f>
        <v>No</v>
      </c>
      <c r="AB257" s="1" t="str">
        <f ca="1">IFERROR(__xludf.DUMMYFUNCTION("""COMPUTED_VALUE"""),"No")</f>
        <v>No</v>
      </c>
      <c r="AC257" s="1" t="str">
        <f ca="1">IFERROR(__xludf.DUMMYFUNCTION("""COMPUTED_VALUE"""),"No")</f>
        <v>No</v>
      </c>
      <c r="AD257" s="1" t="str">
        <f ca="1">IFERROR(__xludf.DUMMYFUNCTION("""COMPUTED_VALUE"""),"No")</f>
        <v>No</v>
      </c>
      <c r="AE257" s="1" t="str">
        <f ca="1">IFERROR(__xludf.DUMMYFUNCTION("""COMPUTED_VALUE"""),"No")</f>
        <v>No</v>
      </c>
      <c r="AF257" s="1" t="str">
        <f ca="1">IFERROR(__xludf.DUMMYFUNCTION("""COMPUTED_VALUE"""),"No")</f>
        <v>No</v>
      </c>
      <c r="AG257" s="1" t="str">
        <f ca="1">IFERROR(__xludf.DUMMYFUNCTION("""COMPUTED_VALUE"""),"No")</f>
        <v>No</v>
      </c>
      <c r="AH257" s="1">
        <f ca="1">IFERROR(__xludf.DUMMYFUNCTION("""COMPUTED_VALUE"""),99)</f>
        <v>99</v>
      </c>
    </row>
    <row r="258" spans="1:34" ht="12.5">
      <c r="A258" s="1" t="str">
        <f ca="1">IFERROR(__xludf.DUMMYFUNCTION("""COMPUTED_VALUE"""),"20230605MIMIW")</f>
        <v>20230605MIMIW</v>
      </c>
      <c r="B258" s="1">
        <f ca="1">IFERROR(__xludf.DUMMYFUNCTION("""COMPUTED_VALUE"""),6)</f>
        <v>6</v>
      </c>
      <c r="C258" s="1">
        <f ca="1">IFERROR(__xludf.DUMMYFUNCTION("""COMPUTED_VALUE"""),5)</f>
        <v>5</v>
      </c>
      <c r="D258" s="1">
        <f ca="1">IFERROR(__xludf.DUMMYFUNCTION("""COMPUTED_VALUE"""),2023)</f>
        <v>2023</v>
      </c>
      <c r="E258" s="4">
        <f ca="1">IFERROR(__xludf.DUMMYFUNCTION("""COMPUTED_VALUE"""),45082)</f>
        <v>45082</v>
      </c>
      <c r="F258" s="1" t="str">
        <f ca="1">IFERROR(__xludf.DUMMYFUNCTION("""COMPUTED_VALUE"""),"Michigan Collegiate High School")</f>
        <v>Michigan Collegiate High School</v>
      </c>
      <c r="G258" s="1">
        <f ca="1">IFERROR(__xludf.DUMMYFUNCTION("""COMPUTED_VALUE"""),0)</f>
        <v>0</v>
      </c>
      <c r="H258" s="1">
        <f ca="1">IFERROR(__xludf.DUMMYFUNCTION("""COMPUTED_VALUE"""),0)</f>
        <v>0</v>
      </c>
      <c r="I258" s="1">
        <f ca="1">IFERROR(__xludf.DUMMYFUNCTION("""COMPUTED_VALUE"""),0)</f>
        <v>0</v>
      </c>
      <c r="J258" s="1">
        <f ca="1">IFERROR(__xludf.DUMMYFUNCTION("""COMPUTED_VALUE"""),0)</f>
        <v>0</v>
      </c>
      <c r="K258" s="1" t="str">
        <f ca="1">IFERROR(__xludf.DUMMYFUNCTION("""COMPUTED_VALUE"""),"Summer")</f>
        <v>Summer</v>
      </c>
      <c r="L258" s="1" t="str">
        <f ca="1">IFERROR(__xludf.DUMMYFUNCTION("""COMPUTED_VALUE"""),"Warren")</f>
        <v>Warren</v>
      </c>
      <c r="M258" s="1" t="str">
        <f ca="1">IFERROR(__xludf.DUMMYFUNCTION("""COMPUTED_VALUE"""),"MI")</f>
        <v>MI</v>
      </c>
      <c r="N258" s="1" t="str">
        <f ca="1">IFERROR(__xludf.DUMMYFUNCTION("""COMPUTED_VALUE"""),"High")</f>
        <v>High</v>
      </c>
      <c r="O258" s="1" t="str">
        <f ca="1">IFERROR(__xludf.DUMMYFUNCTION("""COMPUTED_VALUE"""),"Parking Lot")</f>
        <v>Parking Lot</v>
      </c>
      <c r="P258" s="1" t="str">
        <f ca="1">IFERROR(__xludf.DUMMYFUNCTION("""COMPUTED_VALUE"""),"Outside on School Property")</f>
        <v>Outside on School Property</v>
      </c>
      <c r="Q258" s="1" t="str">
        <f ca="1">IFERROR(__xludf.DUMMYFUNCTION("""COMPUTED_VALUE"""),"Yes")</f>
        <v>Yes</v>
      </c>
      <c r="R258" s="1" t="str">
        <f ca="1">IFERROR(__xludf.DUMMYFUNCTION("""COMPUTED_VALUE"""),"Dismissal")</f>
        <v>Dismissal</v>
      </c>
      <c r="S258" s="5">
        <f ca="1">IFERROR(__xludf.DUMMYFUNCTION("""COMPUTED_VALUE"""),0.611111111111111)</f>
        <v>0.61111111111111105</v>
      </c>
      <c r="T258" s="1">
        <f ca="1">IFERROR(__xludf.DUMMYFUNCTION("""COMPUTED_VALUE"""),1)</f>
        <v>1</v>
      </c>
      <c r="U258" s="1" t="str">
        <f ca="1">IFERROR(__xludf.DUMMYFUNCTION("""COMPUTED_VALUE"""),"Relative of suspended student fired 6 shots during planned fight in front of the school at dismissal")</f>
        <v>Relative of suspended student fired 6 shots during planned fight in front of the school at dismissal</v>
      </c>
      <c r="V258" s="1" t="str">
        <f ca="1">IFERROR(__xludf.DUMMYFUNCTION("""COMPUTED_VALUE"""),"Police said at 2:40 p.m., six gunshots were fired in what they're calling a planned fight that evolved into a shooting by a 22-year-old male relative of a student suspended earlier in the day. According to police, some students who had been suspended from"&amp;" school earlier in the day on Monday came back, parked on the south side of the school, and then started shooting. ""Looking at the video, we believe this to be a planned after-school fight,"" said Warren Police Captain Charles Rushton.")</f>
        <v>Police said at 2:40 p.m., six gunshots were fired in what they're calling a planned fight that evolved into a shooting by a 22-year-old male relative of a student suspended earlier in the day. According to police, some students who had been suspended from school earlier in the day on Monday came back, parked on the south side of the school, and then started shooting. "Looking at the video, we believe this to be a planned after-school fight," said Warren Police Captain Charles Rushton.</v>
      </c>
      <c r="W258" s="1" t="str">
        <f ca="1">IFERROR(__xludf.DUMMYFUNCTION("""COMPUTED_VALUE"""),"Escalation of Dispute")</f>
        <v>Escalation of Dispute</v>
      </c>
      <c r="X258" s="1" t="str">
        <f ca="1">IFERROR(__xludf.DUMMYFUNCTION("""COMPUTED_VALUE"""),"Neither")</f>
        <v>Neither</v>
      </c>
      <c r="Y258" s="1" t="str">
        <f ca="1">IFERROR(__xludf.DUMMYFUNCTION("""COMPUTED_VALUE"""),"No")</f>
        <v>No</v>
      </c>
      <c r="Z258" s="1"/>
      <c r="AA258" s="1" t="str">
        <f ca="1">IFERROR(__xludf.DUMMYFUNCTION("""COMPUTED_VALUE"""),"No")</f>
        <v>No</v>
      </c>
      <c r="AB258" s="1" t="str">
        <f ca="1">IFERROR(__xludf.DUMMYFUNCTION("""COMPUTED_VALUE"""),"No")</f>
        <v>No</v>
      </c>
      <c r="AC258" s="1" t="str">
        <f ca="1">IFERROR(__xludf.DUMMYFUNCTION("""COMPUTED_VALUE"""),"No")</f>
        <v>No</v>
      </c>
      <c r="AD258" s="1" t="str">
        <f ca="1">IFERROR(__xludf.DUMMYFUNCTION("""COMPUTED_VALUE"""),"No")</f>
        <v>No</v>
      </c>
      <c r="AE258" s="1" t="str">
        <f ca="1">IFERROR(__xludf.DUMMYFUNCTION("""COMPUTED_VALUE"""),"No")</f>
        <v>No</v>
      </c>
      <c r="AF258" s="1"/>
      <c r="AG258" s="1" t="str">
        <f ca="1">IFERROR(__xludf.DUMMYFUNCTION("""COMPUTED_VALUE"""),"No")</f>
        <v>No</v>
      </c>
      <c r="AH258" s="1">
        <f ca="1">IFERROR(__xludf.DUMMYFUNCTION("""COMPUTED_VALUE"""),6)</f>
        <v>6</v>
      </c>
    </row>
    <row r="259" spans="1:34" ht="12.5">
      <c r="A259" s="1" t="str">
        <f ca="1">IFERROR(__xludf.DUMMYFUNCTION("""COMPUTED_VALUE"""),"20230605MARID")</f>
        <v>20230605MARID</v>
      </c>
      <c r="B259" s="1">
        <f ca="1">IFERROR(__xludf.DUMMYFUNCTION("""COMPUTED_VALUE"""),6)</f>
        <v>6</v>
      </c>
      <c r="C259" s="1">
        <f ca="1">IFERROR(__xludf.DUMMYFUNCTION("""COMPUTED_VALUE"""),5)</f>
        <v>5</v>
      </c>
      <c r="D259" s="1">
        <f ca="1">IFERROR(__xludf.DUMMYFUNCTION("""COMPUTED_VALUE"""),2023)</f>
        <v>2023</v>
      </c>
      <c r="E259" s="4">
        <f ca="1">IFERROR(__xludf.DUMMYFUNCTION("""COMPUTED_VALUE"""),45082)</f>
        <v>45082</v>
      </c>
      <c r="F259" s="1" t="str">
        <f ca="1">IFERROR(__xludf.DUMMYFUNCTION("""COMPUTED_VALUE"""),"Richard Murphy School")</f>
        <v>Richard Murphy School</v>
      </c>
      <c r="G259" s="1">
        <f ca="1">IFERROR(__xludf.DUMMYFUNCTION("""COMPUTED_VALUE"""),0)</f>
        <v>0</v>
      </c>
      <c r="H259" s="1">
        <f ca="1">IFERROR(__xludf.DUMMYFUNCTION("""COMPUTED_VALUE"""),0)</f>
        <v>0</v>
      </c>
      <c r="I259" s="1">
        <f ca="1">IFERROR(__xludf.DUMMYFUNCTION("""COMPUTED_VALUE"""),0)</f>
        <v>0</v>
      </c>
      <c r="J259" s="1">
        <f ca="1">IFERROR(__xludf.DUMMYFUNCTION("""COMPUTED_VALUE"""),0)</f>
        <v>0</v>
      </c>
      <c r="K259" s="1" t="str">
        <f ca="1">IFERROR(__xludf.DUMMYFUNCTION("""COMPUTED_VALUE"""),"Summer")</f>
        <v>Summer</v>
      </c>
      <c r="L259" s="1" t="str">
        <f ca="1">IFERROR(__xludf.DUMMYFUNCTION("""COMPUTED_VALUE"""),"Dorchester")</f>
        <v>Dorchester</v>
      </c>
      <c r="M259" s="1" t="str">
        <f ca="1">IFERROR(__xludf.DUMMYFUNCTION("""COMPUTED_VALUE"""),"MA")</f>
        <v>MA</v>
      </c>
      <c r="N259" s="1" t="str">
        <f ca="1">IFERROR(__xludf.DUMMYFUNCTION("""COMPUTED_VALUE"""),"K-8")</f>
        <v>K-8</v>
      </c>
      <c r="O259" s="1" t="str">
        <f ca="1">IFERROR(__xludf.DUMMYFUNCTION("""COMPUTED_VALUE"""),"Playground")</f>
        <v>Playground</v>
      </c>
      <c r="P259" s="1" t="str">
        <f ca="1">IFERROR(__xludf.DUMMYFUNCTION("""COMPUTED_VALUE"""),"Outside on School Property")</f>
        <v>Outside on School Property</v>
      </c>
      <c r="Q259" s="1" t="str">
        <f ca="1">IFERROR(__xludf.DUMMYFUNCTION("""COMPUTED_VALUE"""),"Yes")</f>
        <v>Yes</v>
      </c>
      <c r="R259" s="1" t="str">
        <f ca="1">IFERROR(__xludf.DUMMYFUNCTION("""COMPUTED_VALUE"""),"Afternoon Classes")</f>
        <v>Afternoon Classes</v>
      </c>
      <c r="S259" s="5">
        <f ca="1">IFERROR(__xludf.DUMMYFUNCTION("""COMPUTED_VALUE"""),0.583333333333333)</f>
        <v>0.58333333333333304</v>
      </c>
      <c r="T259" s="1">
        <f ca="1">IFERROR(__xludf.DUMMYFUNCTION("""COMPUTED_VALUE"""),1)</f>
        <v>1</v>
      </c>
      <c r="U259" s="1" t="str">
        <f ca="1">IFERROR(__xludf.DUMMYFUNCTION("""COMPUTED_VALUE"""),"Multiple pellets fired at school playground during afternoon classes")</f>
        <v>Multiple pellets fired at school playground during afternoon classes</v>
      </c>
      <c r="V259" s="1" t="str">
        <f ca="1">IFERROR(__xludf.DUMMYFUNCTION("""COMPUTED_VALUE"""),"School staff were notified Monday afternoon that someone ""discharged what appeared to be pellets from a pellet gun, which were found near the perimeter of school grounds by members of the school community,"" Principal of the Richard Murphy School Courtne"&amp;"y Sheppeck wrote in her letter to the school community, adding that no students or staff were hurt during the incident. Boston Public Schools Safety Services was notified by school staff, and an investigation is ongoing. The letter noted that the person w"&amp;"ho apparently shot the pellet gun is unknown to the district.")</f>
        <v>School staff were notified Monday afternoon that someone "discharged what appeared to be pellets from a pellet gun, which were found near the perimeter of school grounds by members of the school community," Principal of the Richard Murphy School Courtney Sheppeck wrote in her letter to the school community, adding that no students or staff were hurt during the incident. Boston Public Schools Safety Services was notified by school staff, and an investigation is ongoing. The letter noted that the person who apparently shot the pellet gun is unknown to the district.</v>
      </c>
      <c r="W259" s="1" t="str">
        <f ca="1">IFERROR(__xludf.DUMMYFUNCTION("""COMPUTED_VALUE"""),"Drive-by Shooting")</f>
        <v>Drive-by Shooting</v>
      </c>
      <c r="X259" s="1" t="str">
        <f ca="1">IFERROR(__xludf.DUMMYFUNCTION("""COMPUTED_VALUE"""),"Random Shooting")</f>
        <v>Random Shooting</v>
      </c>
      <c r="Y259" s="1" t="str">
        <f ca="1">IFERROR(__xludf.DUMMYFUNCTION("""COMPUTED_VALUE"""),"No")</f>
        <v>No</v>
      </c>
      <c r="Z259" s="1"/>
      <c r="AA259" s="1" t="str">
        <f ca="1">IFERROR(__xludf.DUMMYFUNCTION("""COMPUTED_VALUE"""),"No")</f>
        <v>No</v>
      </c>
      <c r="AB259" s="1" t="str">
        <f ca="1">IFERROR(__xludf.DUMMYFUNCTION("""COMPUTED_VALUE"""),"No")</f>
        <v>No</v>
      </c>
      <c r="AC259" s="1" t="str">
        <f ca="1">IFERROR(__xludf.DUMMYFUNCTION("""COMPUTED_VALUE"""),"No")</f>
        <v>No</v>
      </c>
      <c r="AD259" s="1" t="str">
        <f ca="1">IFERROR(__xludf.DUMMYFUNCTION("""COMPUTED_VALUE"""),"No")</f>
        <v>No</v>
      </c>
      <c r="AE259" s="1" t="str">
        <f ca="1">IFERROR(__xludf.DUMMYFUNCTION("""COMPUTED_VALUE"""),"No")</f>
        <v>No</v>
      </c>
      <c r="AF259" s="1" t="str">
        <f ca="1">IFERROR(__xludf.DUMMYFUNCTION("""COMPUTED_VALUE"""),"No")</f>
        <v>No</v>
      </c>
      <c r="AG259" s="1" t="str">
        <f ca="1">IFERROR(__xludf.DUMMYFUNCTION("""COMPUTED_VALUE"""),"No")</f>
        <v>No</v>
      </c>
      <c r="AH259" s="1">
        <f ca="1">IFERROR(__xludf.DUMMYFUNCTION("""COMPUTED_VALUE"""),99)</f>
        <v>99</v>
      </c>
    </row>
    <row r="260" spans="1:34" ht="12.5">
      <c r="A260" s="1" t="str">
        <f ca="1">IFERROR(__xludf.DUMMYFUNCTION("""COMPUTED_VALUE"""),"20230602MDSAE")</f>
        <v>20230602MDSAE</v>
      </c>
      <c r="B260" s="1">
        <f ca="1">IFERROR(__xludf.DUMMYFUNCTION("""COMPUTED_VALUE"""),6)</f>
        <v>6</v>
      </c>
      <c r="C260" s="1">
        <f ca="1">IFERROR(__xludf.DUMMYFUNCTION("""COMPUTED_VALUE"""),2)</f>
        <v>2</v>
      </c>
      <c r="D260" s="1">
        <f ca="1">IFERROR(__xludf.DUMMYFUNCTION("""COMPUTED_VALUE"""),2023)</f>
        <v>2023</v>
      </c>
      <c r="E260" s="4">
        <f ca="1">IFERROR(__xludf.DUMMYFUNCTION("""COMPUTED_VALUE"""),45079)</f>
        <v>45079</v>
      </c>
      <c r="F260" s="1" t="str">
        <f ca="1">IFERROR(__xludf.DUMMYFUNCTION("""COMPUTED_VALUE"""),"Sandalwood Elementary School")</f>
        <v>Sandalwood Elementary School</v>
      </c>
      <c r="G260" s="1">
        <f ca="1">IFERROR(__xludf.DUMMYFUNCTION("""COMPUTED_VALUE"""),0)</f>
        <v>0</v>
      </c>
      <c r="H260" s="1">
        <f ca="1">IFERROR(__xludf.DUMMYFUNCTION("""COMPUTED_VALUE"""),2)</f>
        <v>2</v>
      </c>
      <c r="I260" s="1">
        <f ca="1">IFERROR(__xludf.DUMMYFUNCTION("""COMPUTED_VALUE"""),2)</f>
        <v>2</v>
      </c>
      <c r="J260" s="1">
        <f ca="1">IFERROR(__xludf.DUMMYFUNCTION("""COMPUTED_VALUE"""),0)</f>
        <v>0</v>
      </c>
      <c r="K260" s="1" t="str">
        <f ca="1">IFERROR(__xludf.DUMMYFUNCTION("""COMPUTED_VALUE"""),"Summer")</f>
        <v>Summer</v>
      </c>
      <c r="L260" s="1" t="str">
        <f ca="1">IFERROR(__xludf.DUMMYFUNCTION("""COMPUTED_VALUE"""),"Essex")</f>
        <v>Essex</v>
      </c>
      <c r="M260" s="1" t="str">
        <f ca="1">IFERROR(__xludf.DUMMYFUNCTION("""COMPUTED_VALUE"""),"MD")</f>
        <v>MD</v>
      </c>
      <c r="N260" s="1" t="str">
        <f ca="1">IFERROR(__xludf.DUMMYFUNCTION("""COMPUTED_VALUE"""),"Elementary")</f>
        <v>Elementary</v>
      </c>
      <c r="O260" s="1" t="str">
        <f ca="1">IFERROR(__xludf.DUMMYFUNCTION("""COMPUTED_VALUE"""),"Front of School")</f>
        <v>Front of School</v>
      </c>
      <c r="P260" s="1" t="str">
        <f ca="1">IFERROR(__xludf.DUMMYFUNCTION("""COMPUTED_VALUE"""),"Outside on School Property")</f>
        <v>Outside on School Property</v>
      </c>
      <c r="Q260" s="1" t="str">
        <f ca="1">IFERROR(__xludf.DUMMYFUNCTION("""COMPUTED_VALUE"""),"No")</f>
        <v>No</v>
      </c>
      <c r="R260" s="1" t="str">
        <f ca="1">IFERROR(__xludf.DUMMYFUNCTION("""COMPUTED_VALUE"""),"Evening")</f>
        <v>Evening</v>
      </c>
      <c r="S260" s="5">
        <f ca="1">IFERROR(__xludf.DUMMYFUNCTION("""COMPUTED_VALUE"""),0.840277777777777)</f>
        <v>0.84027777777777701</v>
      </c>
      <c r="T260" s="1">
        <f ca="1">IFERROR(__xludf.DUMMYFUNCTION("""COMPUTED_VALUE"""),1)</f>
        <v>1</v>
      </c>
      <c r="U260" s="1" t="str">
        <f ca="1">IFERROR(__xludf.DUMMYFUNCTION("""COMPUTED_VALUE"""),"Two juveniles shot each other during fight in front of elementary school")</f>
        <v>Two juveniles shot each other during fight in front of elementary school</v>
      </c>
      <c r="V260" s="1" t="str">
        <f ca="1">IFERROR(__xludf.DUMMYFUNCTION("""COMPUTED_VALUE"""),"Baltimore County police said two juveniles shot each other during fight. Both were transported to a local hospital. At around 8:10 p.m., officers responded to the 900 block of South Marlyn Avenue, according to police. Crime scene tape was visible at both "&amp;"the Royal Farms and Sandalwood Elementary School across the street. No other information was immediately available.")</f>
        <v>Baltimore County police said two juveniles shot each other during fight. Both were transported to a local hospital. At around 8:10 p.m., officers responded to the 900 block of South Marlyn Avenue, according to police. Crime scene tape was visible at both the Royal Farms and Sandalwood Elementary School across the street. No other information was immediately available.</v>
      </c>
      <c r="W260" s="1" t="str">
        <f ca="1">IFERROR(__xludf.DUMMYFUNCTION("""COMPUTED_VALUE"""),"Escalation of Dispute")</f>
        <v>Escalation of Dispute</v>
      </c>
      <c r="X260" s="1" t="str">
        <f ca="1">IFERROR(__xludf.DUMMYFUNCTION("""COMPUTED_VALUE"""),"Victims Targeted")</f>
        <v>Victims Targeted</v>
      </c>
      <c r="Y260" s="1" t="str">
        <f ca="1">IFERROR(__xludf.DUMMYFUNCTION("""COMPUTED_VALUE"""),"No")</f>
        <v>No</v>
      </c>
      <c r="Z260" s="1"/>
      <c r="AA260" s="1" t="str">
        <f ca="1">IFERROR(__xludf.DUMMYFUNCTION("""COMPUTED_VALUE"""),"No")</f>
        <v>No</v>
      </c>
      <c r="AB260" s="1" t="str">
        <f ca="1">IFERROR(__xludf.DUMMYFUNCTION("""COMPUTED_VALUE"""),"No")</f>
        <v>No</v>
      </c>
      <c r="AC260" s="1" t="str">
        <f ca="1">IFERROR(__xludf.DUMMYFUNCTION("""COMPUTED_VALUE"""),"No")</f>
        <v>No</v>
      </c>
      <c r="AD260" s="1" t="str">
        <f ca="1">IFERROR(__xludf.DUMMYFUNCTION("""COMPUTED_VALUE"""),"No")</f>
        <v>No</v>
      </c>
      <c r="AE260" s="1" t="str">
        <f ca="1">IFERROR(__xludf.DUMMYFUNCTION("""COMPUTED_VALUE"""),"No")</f>
        <v>No</v>
      </c>
      <c r="AF260" s="1"/>
      <c r="AG260" s="1" t="str">
        <f ca="1">IFERROR(__xludf.DUMMYFUNCTION("""COMPUTED_VALUE"""),"No")</f>
        <v>No</v>
      </c>
      <c r="AH260" s="1">
        <f ca="1">IFERROR(__xludf.DUMMYFUNCTION("""COMPUTED_VALUE"""),99)</f>
        <v>99</v>
      </c>
    </row>
    <row r="261" spans="1:34" ht="12.5">
      <c r="A261" s="1" t="str">
        <f ca="1">IFERROR(__xludf.DUMMYFUNCTION("""COMPUTED_VALUE"""),"20230602MAWOW")</f>
        <v>20230602MAWOW</v>
      </c>
      <c r="B261" s="1">
        <f ca="1">IFERROR(__xludf.DUMMYFUNCTION("""COMPUTED_VALUE"""),6)</f>
        <v>6</v>
      </c>
      <c r="C261" s="1">
        <f ca="1">IFERROR(__xludf.DUMMYFUNCTION("""COMPUTED_VALUE"""),2)</f>
        <v>2</v>
      </c>
      <c r="D261" s="1">
        <f ca="1">IFERROR(__xludf.DUMMYFUNCTION("""COMPUTED_VALUE"""),2023)</f>
        <v>2023</v>
      </c>
      <c r="E261" s="4">
        <f ca="1">IFERROR(__xludf.DUMMYFUNCTION("""COMPUTED_VALUE"""),45079)</f>
        <v>45079</v>
      </c>
      <c r="F261" s="1" t="str">
        <f ca="1">IFERROR(__xludf.DUMMYFUNCTION("""COMPUTED_VALUE"""),"Worcester Technical High School")</f>
        <v>Worcester Technical High School</v>
      </c>
      <c r="G261" s="1">
        <f ca="1">IFERROR(__xludf.DUMMYFUNCTION("""COMPUTED_VALUE"""),0)</f>
        <v>0</v>
      </c>
      <c r="H261" s="1">
        <f ca="1">IFERROR(__xludf.DUMMYFUNCTION("""COMPUTED_VALUE"""),1)</f>
        <v>1</v>
      </c>
      <c r="I261" s="1">
        <f ca="1">IFERROR(__xludf.DUMMYFUNCTION("""COMPUTED_VALUE"""),1)</f>
        <v>1</v>
      </c>
      <c r="J261" s="1">
        <f ca="1">IFERROR(__xludf.DUMMYFUNCTION("""COMPUTED_VALUE"""),0)</f>
        <v>0</v>
      </c>
      <c r="K261" s="1" t="str">
        <f ca="1">IFERROR(__xludf.DUMMYFUNCTION("""COMPUTED_VALUE"""),"Summer")</f>
        <v>Summer</v>
      </c>
      <c r="L261" s="1" t="str">
        <f ca="1">IFERROR(__xludf.DUMMYFUNCTION("""COMPUTED_VALUE"""),"Worcester")</f>
        <v>Worcester</v>
      </c>
      <c r="M261" s="1" t="str">
        <f ca="1">IFERROR(__xludf.DUMMYFUNCTION("""COMPUTED_VALUE"""),"MA")</f>
        <v>MA</v>
      </c>
      <c r="N261" s="1" t="str">
        <f ca="1">IFERROR(__xludf.DUMMYFUNCTION("""COMPUTED_VALUE"""),"High")</f>
        <v>High</v>
      </c>
      <c r="O261" s="1" t="str">
        <f ca="1">IFERROR(__xludf.DUMMYFUNCTION("""COMPUTED_VALUE"""),"Outside on School Property")</f>
        <v>Outside on School Property</v>
      </c>
      <c r="P261" s="1" t="str">
        <f ca="1">IFERROR(__xludf.DUMMYFUNCTION("""COMPUTED_VALUE"""),"Outside on School Property")</f>
        <v>Outside on School Property</v>
      </c>
      <c r="Q261" s="1" t="str">
        <f ca="1">IFERROR(__xludf.DUMMYFUNCTION("""COMPUTED_VALUE"""),"No")</f>
        <v>No</v>
      </c>
      <c r="R261" s="1" t="str">
        <f ca="1">IFERROR(__xludf.DUMMYFUNCTION("""COMPUTED_VALUE"""),"Night")</f>
        <v>Night</v>
      </c>
      <c r="S261" s="5">
        <f ca="1">IFERROR(__xludf.DUMMYFUNCTION("""COMPUTED_VALUE"""),0.131944444444444)</f>
        <v>0.131944444444444</v>
      </c>
      <c r="T261" s="1">
        <f ca="1">IFERROR(__xludf.DUMMYFUNCTION("""COMPUTED_VALUE"""),1)</f>
        <v>1</v>
      </c>
      <c r="U261" s="1" t="str">
        <f ca="1">IFERROR(__xludf.DUMMYFUNCTION("""COMPUTED_VALUE"""),"Man shot outside school")</f>
        <v>Man shot outside school</v>
      </c>
      <c r="V261" s="1" t="str">
        <f ca="1">IFERROR(__xludf.DUMMYFUNCTION("""COMPUTED_VALUE"""),"On June 2nd 2023 at about 3:10 AM, Worcester Police officers were dispatched to the property of Worcester Technical High School for a report of a ShotSpotter activation. Upon arrival, officers located a twenty-two-year-old male shooting victim. He was tre"&amp;"ated medically and transported to the hospital with non-life-threatening injuries. Detectives arrived to investigate and process the scene. At this time, it appears that no one involved in this incident had any affiliation with the school.")</f>
        <v>On June 2nd 2023 at about 3:10 AM, Worcester Police officers were dispatched to the property of Worcester Technical High School for a report of a ShotSpotter activation. Upon arrival, officers located a twenty-two-year-old male shooting victim. He was treated medically and transported to the hospital with non-life-threatening injuries. Detectives arrived to investigate and process the scene. At this time, it appears that no one involved in this incident had any affiliation with the school.</v>
      </c>
      <c r="W261" s="1"/>
      <c r="X261" s="1" t="str">
        <f ca="1">IFERROR(__xludf.DUMMYFUNCTION("""COMPUTED_VALUE"""),"Victims Targeted")</f>
        <v>Victims Targeted</v>
      </c>
      <c r="Y261" s="1"/>
      <c r="Z261" s="1"/>
      <c r="AA261" s="1" t="str">
        <f ca="1">IFERROR(__xludf.DUMMYFUNCTION("""COMPUTED_VALUE"""),"No")</f>
        <v>No</v>
      </c>
      <c r="AB261" s="1" t="str">
        <f ca="1">IFERROR(__xludf.DUMMYFUNCTION("""COMPUTED_VALUE"""),"No")</f>
        <v>No</v>
      </c>
      <c r="AC261" s="1" t="str">
        <f ca="1">IFERROR(__xludf.DUMMYFUNCTION("""COMPUTED_VALUE"""),"No")</f>
        <v>No</v>
      </c>
      <c r="AD261" s="1" t="str">
        <f ca="1">IFERROR(__xludf.DUMMYFUNCTION("""COMPUTED_VALUE"""),"No")</f>
        <v>No</v>
      </c>
      <c r="AE261" s="1" t="str">
        <f ca="1">IFERROR(__xludf.DUMMYFUNCTION("""COMPUTED_VALUE"""),"No")</f>
        <v>No</v>
      </c>
      <c r="AF261" s="1"/>
      <c r="AG261" s="1" t="str">
        <f ca="1">IFERROR(__xludf.DUMMYFUNCTION("""COMPUTED_VALUE"""),"No")</f>
        <v>No</v>
      </c>
      <c r="AH261" s="1">
        <f ca="1">IFERROR(__xludf.DUMMYFUNCTION("""COMPUTED_VALUE"""),99)</f>
        <v>99</v>
      </c>
    </row>
    <row r="262" spans="1:34" ht="12.5">
      <c r="A262" s="1" t="str">
        <f ca="1">IFERROR(__xludf.DUMMYFUNCTION("""COMPUTED_VALUE"""),"20230601TXCAF")</f>
        <v>20230601TXCAF</v>
      </c>
      <c r="B262" s="1">
        <f ca="1">IFERROR(__xludf.DUMMYFUNCTION("""COMPUTED_VALUE"""),6)</f>
        <v>6</v>
      </c>
      <c r="C262" s="1">
        <f ca="1">IFERROR(__xludf.DUMMYFUNCTION("""COMPUTED_VALUE"""),1)</f>
        <v>1</v>
      </c>
      <c r="D262" s="1">
        <f ca="1">IFERROR(__xludf.DUMMYFUNCTION("""COMPUTED_VALUE"""),2023)</f>
        <v>2023</v>
      </c>
      <c r="E262" s="4">
        <f ca="1">IFERROR(__xludf.DUMMYFUNCTION("""COMPUTED_VALUE"""),45078)</f>
        <v>45078</v>
      </c>
      <c r="F262" s="1" t="str">
        <f ca="1">IFERROR(__xludf.DUMMYFUNCTION("""COMPUTED_VALUE"""),"Carroll Peak Elementary School")</f>
        <v>Carroll Peak Elementary School</v>
      </c>
      <c r="G262" s="1">
        <f ca="1">IFERROR(__xludf.DUMMYFUNCTION("""COMPUTED_VALUE"""),0)</f>
        <v>0</v>
      </c>
      <c r="H262" s="1">
        <f ca="1">IFERROR(__xludf.DUMMYFUNCTION("""COMPUTED_VALUE"""),1)</f>
        <v>1</v>
      </c>
      <c r="I262" s="1">
        <f ca="1">IFERROR(__xludf.DUMMYFUNCTION("""COMPUTED_VALUE"""),1)</f>
        <v>1</v>
      </c>
      <c r="J262" s="1">
        <f ca="1">IFERROR(__xludf.DUMMYFUNCTION("""COMPUTED_VALUE"""),0)</f>
        <v>0</v>
      </c>
      <c r="K262" s="1" t="str">
        <f ca="1">IFERROR(__xludf.DUMMYFUNCTION("""COMPUTED_VALUE"""),"Summer")</f>
        <v>Summer</v>
      </c>
      <c r="L262" s="1" t="str">
        <f ca="1">IFERROR(__xludf.DUMMYFUNCTION("""COMPUTED_VALUE"""),"Fort Worth")</f>
        <v>Fort Worth</v>
      </c>
      <c r="M262" s="1" t="str">
        <f ca="1">IFERROR(__xludf.DUMMYFUNCTION("""COMPUTED_VALUE"""),"TX")</f>
        <v>TX</v>
      </c>
      <c r="N262" s="1" t="str">
        <f ca="1">IFERROR(__xludf.DUMMYFUNCTION("""COMPUTED_VALUE"""),"Elementary")</f>
        <v>Elementary</v>
      </c>
      <c r="O262" s="1" t="str">
        <f ca="1">IFERROR(__xludf.DUMMYFUNCTION("""COMPUTED_VALUE"""),"Outside on School Property")</f>
        <v>Outside on School Property</v>
      </c>
      <c r="P262" s="1" t="str">
        <f ca="1">IFERROR(__xludf.DUMMYFUNCTION("""COMPUTED_VALUE"""),"Outside on School Property")</f>
        <v>Outside on School Property</v>
      </c>
      <c r="Q262" s="1" t="str">
        <f ca="1">IFERROR(__xludf.DUMMYFUNCTION("""COMPUTED_VALUE"""),"No")</f>
        <v>No</v>
      </c>
      <c r="R262" s="1" t="str">
        <f ca="1">IFERROR(__xludf.DUMMYFUNCTION("""COMPUTED_VALUE"""),"Evening")</f>
        <v>Evening</v>
      </c>
      <c r="S262" s="5">
        <f ca="1">IFERROR(__xludf.DUMMYFUNCTION("""COMPUTED_VALUE"""),0.777777777777777)</f>
        <v>0.77777777777777701</v>
      </c>
      <c r="T262" s="1">
        <f ca="1">IFERROR(__xludf.DUMMYFUNCTION("""COMPUTED_VALUE"""),1)</f>
        <v>1</v>
      </c>
      <c r="U262" s="1" t="str">
        <f ca="1">IFERROR(__xludf.DUMMYFUNCTION("""COMPUTED_VALUE"""),"Bystander man shot during fight between two men at the school")</f>
        <v>Bystander man shot during fight between two men at the school</v>
      </c>
      <c r="V262" s="1" t="str">
        <f ca="1">IFERROR(__xludf.DUMMYFUNCTION("""COMPUTED_VALUE"""),"A bystander was shot and taken to a hospital after one of two people who got into a dispute near an elementary school fired a gun, according to the Fort Worth Police Department. On Thursday at about 6:40 p.m., police responded to a hospital about a man wh"&amp;"o had arrived in a private vehicle and was in need of treatment for a gunshot wound. Officers found the man had suffered a gunshot wound to his left leg. The man told police that the shooting happened near Carroll Peak Elementary School, at 1201 E. Jeffer"&amp;"son Ave. He said that two unidentified people had begun fighting with each other on the school grounds when one took out a gun and fired it, hitting the victim in his calf.")</f>
        <v>A bystander was shot and taken to a hospital after one of two people who got into a dispute near an elementary school fired a gun, according to the Fort Worth Police Department. On Thursday at about 6:40 p.m., police responded to a hospital about a man who had arrived in a private vehicle and was in need of treatment for a gunshot wound. Officers found the man had suffered a gunshot wound to his left leg. The man told police that the shooting happened near Carroll Peak Elementary School, at 1201 E. Jefferson Ave. He said that two unidentified people had begun fighting with each other on the school grounds when one took out a gun and fired it, hitting the victim in his calf.</v>
      </c>
      <c r="W262" s="1" t="str">
        <f ca="1">IFERROR(__xludf.DUMMYFUNCTION("""COMPUTED_VALUE"""),"Escalation of Dispute")</f>
        <v>Escalation of Dispute</v>
      </c>
      <c r="X262" s="1" t="str">
        <f ca="1">IFERROR(__xludf.DUMMYFUNCTION("""COMPUTED_VALUE"""),"Both")</f>
        <v>Both</v>
      </c>
      <c r="Y262" s="1" t="str">
        <f ca="1">IFERROR(__xludf.DUMMYFUNCTION("""COMPUTED_VALUE"""),"No")</f>
        <v>No</v>
      </c>
      <c r="Z262" s="1"/>
      <c r="AA262" s="1" t="str">
        <f ca="1">IFERROR(__xludf.DUMMYFUNCTION("""COMPUTED_VALUE"""),"No")</f>
        <v>No</v>
      </c>
      <c r="AB262" s="1" t="str">
        <f ca="1">IFERROR(__xludf.DUMMYFUNCTION("""COMPUTED_VALUE"""),"No")</f>
        <v>No</v>
      </c>
      <c r="AC262" s="1" t="str">
        <f ca="1">IFERROR(__xludf.DUMMYFUNCTION("""COMPUTED_VALUE"""),"No")</f>
        <v>No</v>
      </c>
      <c r="AD262" s="1" t="str">
        <f ca="1">IFERROR(__xludf.DUMMYFUNCTION("""COMPUTED_VALUE"""),"No")</f>
        <v>No</v>
      </c>
      <c r="AE262" s="1" t="str">
        <f ca="1">IFERROR(__xludf.DUMMYFUNCTION("""COMPUTED_VALUE"""),"No")</f>
        <v>No</v>
      </c>
      <c r="AF262" s="1" t="str">
        <f ca="1">IFERROR(__xludf.DUMMYFUNCTION("""COMPUTED_VALUE"""),"No")</f>
        <v>No</v>
      </c>
      <c r="AG262" s="1" t="str">
        <f ca="1">IFERROR(__xludf.DUMMYFUNCTION("""COMPUTED_VALUE"""),"No")</f>
        <v>No</v>
      </c>
      <c r="AH262" s="1">
        <f ca="1">IFERROR(__xludf.DUMMYFUNCTION("""COMPUTED_VALUE"""),99)</f>
        <v>99</v>
      </c>
    </row>
    <row r="263" spans="1:34" ht="12.5">
      <c r="A263" s="1" t="str">
        <f ca="1">IFERROR(__xludf.DUMMYFUNCTION("""COMPUTED_VALUE"""),"20230531CABAB")</f>
        <v>20230531CABAB</v>
      </c>
      <c r="B263" s="1">
        <f ca="1">IFERROR(__xludf.DUMMYFUNCTION("""COMPUTED_VALUE"""),5)</f>
        <v>5</v>
      </c>
      <c r="C263" s="1">
        <f ca="1">IFERROR(__xludf.DUMMYFUNCTION("""COMPUTED_VALUE"""),31)</f>
        <v>31</v>
      </c>
      <c r="D263" s="1">
        <f ca="1">IFERROR(__xludf.DUMMYFUNCTION("""COMPUTED_VALUE"""),2023)</f>
        <v>2023</v>
      </c>
      <c r="E263" s="4">
        <f ca="1">IFERROR(__xludf.DUMMYFUNCTION("""COMPUTED_VALUE"""),45077)</f>
        <v>45077</v>
      </c>
      <c r="F263" s="1" t="str">
        <f ca="1">IFERROR(__xludf.DUMMYFUNCTION("""COMPUTED_VALUE"""),"Banning High School")</f>
        <v>Banning High School</v>
      </c>
      <c r="G263" s="1">
        <f ca="1">IFERROR(__xludf.DUMMYFUNCTION("""COMPUTED_VALUE"""),1)</f>
        <v>1</v>
      </c>
      <c r="H263" s="1">
        <f ca="1">IFERROR(__xludf.DUMMYFUNCTION("""COMPUTED_VALUE"""),0)</f>
        <v>0</v>
      </c>
      <c r="I263" s="1">
        <f ca="1">IFERROR(__xludf.DUMMYFUNCTION("""COMPUTED_VALUE"""),1)</f>
        <v>1</v>
      </c>
      <c r="J263" s="1">
        <f ca="1">IFERROR(__xludf.DUMMYFUNCTION("""COMPUTED_VALUE"""),0)</f>
        <v>0</v>
      </c>
      <c r="K263" s="1" t="str">
        <f ca="1">IFERROR(__xludf.DUMMYFUNCTION("""COMPUTED_VALUE"""),"Spring")</f>
        <v>Spring</v>
      </c>
      <c r="L263" s="1" t="str">
        <f ca="1">IFERROR(__xludf.DUMMYFUNCTION("""COMPUTED_VALUE"""),"Banning")</f>
        <v>Banning</v>
      </c>
      <c r="M263" s="1" t="str">
        <f ca="1">IFERROR(__xludf.DUMMYFUNCTION("""COMPUTED_VALUE"""),"CA")</f>
        <v>CA</v>
      </c>
      <c r="N263" s="1" t="str">
        <f ca="1">IFERROR(__xludf.DUMMYFUNCTION("""COMPUTED_VALUE"""),"High")</f>
        <v>High</v>
      </c>
      <c r="O263" s="1" t="str">
        <f ca="1">IFERROR(__xludf.DUMMYFUNCTION("""COMPUTED_VALUE"""),"Front of School")</f>
        <v>Front of School</v>
      </c>
      <c r="P263" s="1" t="str">
        <f ca="1">IFERROR(__xludf.DUMMYFUNCTION("""COMPUTED_VALUE"""),"Outside on School Property")</f>
        <v>Outside on School Property</v>
      </c>
      <c r="Q263" s="1" t="str">
        <f ca="1">IFERROR(__xludf.DUMMYFUNCTION("""COMPUTED_VALUE"""),"No")</f>
        <v>No</v>
      </c>
      <c r="R263" s="1" t="str">
        <f ca="1">IFERROR(__xludf.DUMMYFUNCTION("""COMPUTED_VALUE"""),"School Event")</f>
        <v>School Event</v>
      </c>
      <c r="S263" s="5">
        <f ca="1">IFERROR(__xludf.DUMMYFUNCTION("""COMPUTED_VALUE"""),0.729166666666666)</f>
        <v>0.72916666666666596</v>
      </c>
      <c r="T263" s="1">
        <f ca="1">IFERROR(__xludf.DUMMYFUNCTION("""COMPUTED_VALUE"""),1)</f>
        <v>1</v>
      </c>
      <c r="U263" s="1" t="str">
        <f ca="1">IFERROR(__xludf.DUMMYFUNCTION("""COMPUTED_VALUE"""),"19-year-old male killed 20-year-old in vehicle male leaving graduation. ")</f>
        <v xml:space="preserve">19-year-old male killed 20-year-old in vehicle male leaving graduation. </v>
      </c>
      <c r="V263" s="1" t="str">
        <f ca="1">IFERROR(__xludf.DUMMYFUNCTION("""COMPUTED_VALUE"""),"19-year-old male killed 20-year-old male leaving graduation. At approximately 5:31 p.m., Banning police officers were called to the campus regarding a report of shots fired. School resource officers were already at the site monitoring a graduation ceremon"&amp;"y for New Horizons High School (Susan B. Coombs Intermediate School) that was being held at Banning High School's Performing Arts Center, according to police. ""One of the officers on scene witnessed a male suspect wearing a white mask, black long-sleeve "&amp;"shirt and grey pants shooting into a black sedan that was traveling eastbound on W. Westward Avenue, in front of the high school,"" the news release stated. After shots were fired, the sedan smashed into a light pole by the school sign and came to a stop.")</f>
        <v>19-year-old male killed 20-year-old male leaving graduation. At approximately 5:31 p.m., Banning police officers were called to the campus regarding a report of shots fired. School resource officers were already at the site monitoring a graduation ceremony for New Horizons High School (Susan B. Coombs Intermediate School) that was being held at Banning High School's Performing Arts Center, according to police. "One of the officers on scene witnessed a male suspect wearing a white mask, black long-sleeve shirt and grey pants shooting into a black sedan that was traveling eastbound on W. Westward Avenue, in front of the high school," the news release stated. After shots were fired, the sedan smashed into a light pole by the school sign and came to a stop.</v>
      </c>
      <c r="W263" s="1" t="str">
        <f ca="1">IFERROR(__xludf.DUMMYFUNCTION("""COMPUTED_VALUE"""),"Drive-by Shooting")</f>
        <v>Drive-by Shooting</v>
      </c>
      <c r="X263" s="1"/>
      <c r="Y263" s="1"/>
      <c r="Z263" s="1"/>
      <c r="AA263" s="1" t="str">
        <f ca="1">IFERROR(__xludf.DUMMYFUNCTION("""COMPUTED_VALUE"""),"No")</f>
        <v>No</v>
      </c>
      <c r="AB263" s="1" t="str">
        <f ca="1">IFERROR(__xludf.DUMMYFUNCTION("""COMPUTED_VALUE"""),"No")</f>
        <v>No</v>
      </c>
      <c r="AC263" s="1" t="str">
        <f ca="1">IFERROR(__xludf.DUMMYFUNCTION("""COMPUTED_VALUE"""),"No")</f>
        <v>No</v>
      </c>
      <c r="AD263" s="1" t="str">
        <f ca="1">IFERROR(__xludf.DUMMYFUNCTION("""COMPUTED_VALUE"""),"No")</f>
        <v>No</v>
      </c>
      <c r="AE263" s="1" t="str">
        <f ca="1">IFERROR(__xludf.DUMMYFUNCTION("""COMPUTED_VALUE"""),"No")</f>
        <v>No</v>
      </c>
      <c r="AF263" s="1"/>
      <c r="AG263" s="1" t="str">
        <f ca="1">IFERROR(__xludf.DUMMYFUNCTION("""COMPUTED_VALUE"""),"No")</f>
        <v>No</v>
      </c>
      <c r="AH263" s="1">
        <f ca="1">IFERROR(__xludf.DUMMYFUNCTION("""COMPUTED_VALUE"""),99)</f>
        <v>99</v>
      </c>
    </row>
    <row r="264" spans="1:34" ht="12.5">
      <c r="A264" s="1" t="str">
        <f ca="1">IFERROR(__xludf.DUMMYFUNCTION("""COMPUTED_VALUE"""),"20230528GABEA")</f>
        <v>20230528GABEA</v>
      </c>
      <c r="B264" s="1">
        <f ca="1">IFERROR(__xludf.DUMMYFUNCTION("""COMPUTED_VALUE"""),5)</f>
        <v>5</v>
      </c>
      <c r="C264" s="1">
        <f ca="1">IFERROR(__xludf.DUMMYFUNCTION("""COMPUTED_VALUE"""),28)</f>
        <v>28</v>
      </c>
      <c r="D264" s="1">
        <f ca="1">IFERROR(__xludf.DUMMYFUNCTION("""COMPUTED_VALUE"""),2023)</f>
        <v>2023</v>
      </c>
      <c r="E264" s="4">
        <f ca="1">IFERROR(__xludf.DUMMYFUNCTION("""COMPUTED_VALUE"""),45074)</f>
        <v>45074</v>
      </c>
      <c r="F264" s="1" t="str">
        <f ca="1">IFERROR(__xludf.DUMMYFUNCTION("""COMPUTED_VALUE"""),"Benjamin E. Mays High School")</f>
        <v>Benjamin E. Mays High School</v>
      </c>
      <c r="G264" s="1">
        <f ca="1">IFERROR(__xludf.DUMMYFUNCTION("""COMPUTED_VALUE"""),1)</f>
        <v>1</v>
      </c>
      <c r="H264" s="1">
        <f ca="1">IFERROR(__xludf.DUMMYFUNCTION("""COMPUTED_VALUE"""),1)</f>
        <v>1</v>
      </c>
      <c r="I264" s="1">
        <f ca="1">IFERROR(__xludf.DUMMYFUNCTION("""COMPUTED_VALUE"""),2)</f>
        <v>2</v>
      </c>
      <c r="J264" s="1">
        <f ca="1">IFERROR(__xludf.DUMMYFUNCTION("""COMPUTED_VALUE"""),0)</f>
        <v>0</v>
      </c>
      <c r="K264" s="1" t="str">
        <f ca="1">IFERROR(__xludf.DUMMYFUNCTION("""COMPUTED_VALUE"""),"Spring")</f>
        <v>Spring</v>
      </c>
      <c r="L264" s="1" t="str">
        <f ca="1">IFERROR(__xludf.DUMMYFUNCTION("""COMPUTED_VALUE"""),"Atlanta")</f>
        <v>Atlanta</v>
      </c>
      <c r="M264" s="1" t="str">
        <f ca="1">IFERROR(__xludf.DUMMYFUNCTION("""COMPUTED_VALUE"""),"GA")</f>
        <v>GA</v>
      </c>
      <c r="N264" s="1" t="str">
        <f ca="1">IFERROR(__xludf.DUMMYFUNCTION("""COMPUTED_VALUE"""),"High")</f>
        <v>High</v>
      </c>
      <c r="O264" s="1" t="str">
        <f ca="1">IFERROR(__xludf.DUMMYFUNCTION("""COMPUTED_VALUE"""),"Parking Lot")</f>
        <v>Parking Lot</v>
      </c>
      <c r="P264" s="1" t="str">
        <f ca="1">IFERROR(__xludf.DUMMYFUNCTION("""COMPUTED_VALUE"""),"Outside on School Property")</f>
        <v>Outside on School Property</v>
      </c>
      <c r="Q264" s="1" t="str">
        <f ca="1">IFERROR(__xludf.DUMMYFUNCTION("""COMPUTED_VALUE"""),"No")</f>
        <v>No</v>
      </c>
      <c r="R264" s="1" t="str">
        <f ca="1">IFERROR(__xludf.DUMMYFUNCTION("""COMPUTED_VALUE"""),"Night")</f>
        <v>Night</v>
      </c>
      <c r="S264" s="5">
        <f ca="1">IFERROR(__xludf.DUMMYFUNCTION("""COMPUTED_VALUE"""),0.104166666666666)</f>
        <v>0.10416666666666601</v>
      </c>
      <c r="T264" s="1">
        <f ca="1">IFERROR(__xludf.DUMMYFUNCTION("""COMPUTED_VALUE"""),1)</f>
        <v>1</v>
      </c>
      <c r="U264" s="1" t="str">
        <f ca="1">IFERROR(__xludf.DUMMYFUNCTION("""COMPUTED_VALUE"""),"Two student shot during unauthorized graduation party outside of the school")</f>
        <v>Two student shot during unauthorized graduation party outside of the school</v>
      </c>
      <c r="V264" s="1" t="str">
        <f ca="1">IFERROR(__xludf.DUMMYFUNCTION("""COMPUTED_VALUE"""),"Officers responded to a report of multiple people shot outside Benjamin E. Mays High School around 2:30 a.m. Sunday. Upon arrival, they located two victims, including Powell. She was rushed to the hospital where she later died. The second victim was a 16-"&amp;"year-old boy who was also rushed to the hospital, where he is in stable condition. Police did not release the identity of the 16-year-old boy or information on the extent of his injuries. Atlanta Public Schools said in a statement that the shooting happen"&amp;"ed “during an unauthorized gathering at the end of the exiting driveway” at the high school. The gathering took place after a graduation party at another location was broken up by police hours earlier.")</f>
        <v>Officers responded to a report of multiple people shot outside Benjamin E. Mays High School around 2:30 a.m. Sunday. Upon arrival, they located two victims, including Powell. She was rushed to the hospital where she later died. The second victim was a 16-year-old boy who was also rushed to the hospital, where he is in stable condition. Police did not release the identity of the 16-year-old boy or information on the extent of his injuries. Atlanta Public Schools said in a statement that the shooting happened “during an unauthorized gathering at the end of the exiting driveway” at the high school. The gathering took place after a graduation party at another location was broken up by police hours earlier.</v>
      </c>
      <c r="W264" s="1" t="str">
        <f ca="1">IFERROR(__xludf.DUMMYFUNCTION("""COMPUTED_VALUE"""),"Escalation of Dispute")</f>
        <v>Escalation of Dispute</v>
      </c>
      <c r="X264" s="1" t="str">
        <f ca="1">IFERROR(__xludf.DUMMYFUNCTION("""COMPUTED_VALUE"""),"Both")</f>
        <v>Both</v>
      </c>
      <c r="Y264" s="1"/>
      <c r="Z264" s="1"/>
      <c r="AA264" s="1" t="str">
        <f ca="1">IFERROR(__xludf.DUMMYFUNCTION("""COMPUTED_VALUE"""),"No")</f>
        <v>No</v>
      </c>
      <c r="AB264" s="1" t="str">
        <f ca="1">IFERROR(__xludf.DUMMYFUNCTION("""COMPUTED_VALUE"""),"No")</f>
        <v>No</v>
      </c>
      <c r="AC264" s="1" t="str">
        <f ca="1">IFERROR(__xludf.DUMMYFUNCTION("""COMPUTED_VALUE"""),"No")</f>
        <v>No</v>
      </c>
      <c r="AD264" s="1" t="str">
        <f ca="1">IFERROR(__xludf.DUMMYFUNCTION("""COMPUTED_VALUE"""),"No")</f>
        <v>No</v>
      </c>
      <c r="AE264" s="1" t="str">
        <f ca="1">IFERROR(__xludf.DUMMYFUNCTION("""COMPUTED_VALUE"""),"No")</f>
        <v>No</v>
      </c>
      <c r="AF264" s="1"/>
      <c r="AG264" s="1" t="str">
        <f ca="1">IFERROR(__xludf.DUMMYFUNCTION("""COMPUTED_VALUE"""),"No")</f>
        <v>No</v>
      </c>
      <c r="AH264" s="1">
        <f ca="1">IFERROR(__xludf.DUMMYFUNCTION("""COMPUTED_VALUE"""),99)</f>
        <v>99</v>
      </c>
    </row>
    <row r="265" spans="1:34" ht="12.5">
      <c r="A265" s="1" t="str">
        <f ca="1">IFERROR(__xludf.DUMMYFUNCTION("""COMPUTED_VALUE"""),"20230526NYMOM")</f>
        <v>20230526NYMOM</v>
      </c>
      <c r="B265" s="1">
        <f ca="1">IFERROR(__xludf.DUMMYFUNCTION("""COMPUTED_VALUE"""),5)</f>
        <v>5</v>
      </c>
      <c r="C265" s="1">
        <f ca="1">IFERROR(__xludf.DUMMYFUNCTION("""COMPUTED_VALUE"""),26)</f>
        <v>26</v>
      </c>
      <c r="D265" s="1">
        <f ca="1">IFERROR(__xludf.DUMMYFUNCTION("""COMPUTED_VALUE"""),2023)</f>
        <v>2023</v>
      </c>
      <c r="E265" s="4">
        <f ca="1">IFERROR(__xludf.DUMMYFUNCTION("""COMPUTED_VALUE"""),45072)</f>
        <v>45072</v>
      </c>
      <c r="F265" s="1" t="str">
        <f ca="1">IFERROR(__xludf.DUMMYFUNCTION("""COMPUTED_VALUE"""),"Monhagen Middle School")</f>
        <v>Monhagen Middle School</v>
      </c>
      <c r="G265" s="1">
        <f ca="1">IFERROR(__xludf.DUMMYFUNCTION("""COMPUTED_VALUE"""),0)</f>
        <v>0</v>
      </c>
      <c r="H265" s="1">
        <f ca="1">IFERROR(__xludf.DUMMYFUNCTION("""COMPUTED_VALUE"""),0)</f>
        <v>0</v>
      </c>
      <c r="I265" s="1">
        <f ca="1">IFERROR(__xludf.DUMMYFUNCTION("""COMPUTED_VALUE"""),0)</f>
        <v>0</v>
      </c>
      <c r="J265" s="1">
        <f ca="1">IFERROR(__xludf.DUMMYFUNCTION("""COMPUTED_VALUE"""),0)</f>
        <v>0</v>
      </c>
      <c r="K265" s="1" t="str">
        <f ca="1">IFERROR(__xludf.DUMMYFUNCTION("""COMPUTED_VALUE"""),"Spring")</f>
        <v>Spring</v>
      </c>
      <c r="L265" s="1" t="str">
        <f ca="1">IFERROR(__xludf.DUMMYFUNCTION("""COMPUTED_VALUE"""),"Middletown")</f>
        <v>Middletown</v>
      </c>
      <c r="M265" s="1" t="str">
        <f ca="1">IFERROR(__xludf.DUMMYFUNCTION("""COMPUTED_VALUE"""),"NY")</f>
        <v>NY</v>
      </c>
      <c r="N265" s="1" t="str">
        <f ca="1">IFERROR(__xludf.DUMMYFUNCTION("""COMPUTED_VALUE"""),"Middle")</f>
        <v>Middle</v>
      </c>
      <c r="O265" s="1" t="str">
        <f ca="1">IFERROR(__xludf.DUMMYFUNCTION("""COMPUTED_VALUE"""),"Outside on School Property")</f>
        <v>Outside on School Property</v>
      </c>
      <c r="P265" s="1" t="str">
        <f ca="1">IFERROR(__xludf.DUMMYFUNCTION("""COMPUTED_VALUE"""),"Outside on School Property")</f>
        <v>Outside on School Property</v>
      </c>
      <c r="Q265" s="1" t="str">
        <f ca="1">IFERROR(__xludf.DUMMYFUNCTION("""COMPUTED_VALUE"""),"No")</f>
        <v>No</v>
      </c>
      <c r="R265" s="1" t="str">
        <f ca="1">IFERROR(__xludf.DUMMYFUNCTION("""COMPUTED_VALUE"""),"Evening")</f>
        <v>Evening</v>
      </c>
      <c r="S265" s="5">
        <f ca="1">IFERROR(__xludf.DUMMYFUNCTION("""COMPUTED_VALUE"""),0.791666666666666)</f>
        <v>0.79166666666666596</v>
      </c>
      <c r="T265" s="1">
        <f ca="1">IFERROR(__xludf.DUMMYFUNCTION("""COMPUTED_VALUE"""),1)</f>
        <v>1</v>
      </c>
      <c r="U265" s="1" t="str">
        <f ca="1">IFERROR(__xludf.DUMMYFUNCTION("""COMPUTED_VALUE"""),"Shots fired outside of school")</f>
        <v>Shots fired outside of school</v>
      </c>
      <c r="V265" s="1" t="str">
        <f ca="1">IFERROR(__xludf.DUMMYFUNCTION("""COMPUTED_VALUE"""),"Police responded for shots fired outside a school on Friday evening. It happened outside the Monhagen Middle School on County Route 78 in the Town of Wallkill. Police recovered shell casings at the scene. No one was injured, and no suspects have been foun"&amp;"d.")</f>
        <v>Police responded for shots fired outside a school on Friday evening. It happened outside the Monhagen Middle School on County Route 78 in the Town of Wallkill. Police recovered shell casings at the scene. No one was injured, and no suspects have been found.</v>
      </c>
      <c r="W265" s="1"/>
      <c r="X265" s="1"/>
      <c r="Y265" s="1"/>
      <c r="Z265" s="1"/>
      <c r="AA265" s="1" t="str">
        <f ca="1">IFERROR(__xludf.DUMMYFUNCTION("""COMPUTED_VALUE"""),"No")</f>
        <v>No</v>
      </c>
      <c r="AB265" s="1" t="str">
        <f ca="1">IFERROR(__xludf.DUMMYFUNCTION("""COMPUTED_VALUE"""),"No")</f>
        <v>No</v>
      </c>
      <c r="AC265" s="1" t="str">
        <f ca="1">IFERROR(__xludf.DUMMYFUNCTION("""COMPUTED_VALUE"""),"No")</f>
        <v>No</v>
      </c>
      <c r="AD265" s="1" t="str">
        <f ca="1">IFERROR(__xludf.DUMMYFUNCTION("""COMPUTED_VALUE"""),"No")</f>
        <v>No</v>
      </c>
      <c r="AE265" s="1" t="str">
        <f ca="1">IFERROR(__xludf.DUMMYFUNCTION("""COMPUTED_VALUE"""),"No")</f>
        <v>No</v>
      </c>
      <c r="AF265" s="1"/>
      <c r="AG265" s="1" t="str">
        <f ca="1">IFERROR(__xludf.DUMMYFUNCTION("""COMPUTED_VALUE"""),"No")</f>
        <v>No</v>
      </c>
      <c r="AH265" s="1">
        <f ca="1">IFERROR(__xludf.DUMMYFUNCTION("""COMPUTED_VALUE"""),99)</f>
        <v>99</v>
      </c>
    </row>
    <row r="266" spans="1:34" ht="12.5">
      <c r="A266" s="1" t="str">
        <f ca="1">IFERROR(__xludf.DUMMYFUNCTION("""COMPUTED_VALUE"""),"20230526MIHAH")</f>
        <v>20230526MIHAH</v>
      </c>
      <c r="B266" s="1">
        <f ca="1">IFERROR(__xludf.DUMMYFUNCTION("""COMPUTED_VALUE"""),5)</f>
        <v>5</v>
      </c>
      <c r="C266" s="1">
        <f ca="1">IFERROR(__xludf.DUMMYFUNCTION("""COMPUTED_VALUE"""),26)</f>
        <v>26</v>
      </c>
      <c r="D266" s="1">
        <f ca="1">IFERROR(__xludf.DUMMYFUNCTION("""COMPUTED_VALUE"""),2023)</f>
        <v>2023</v>
      </c>
      <c r="E266" s="4">
        <f ca="1">IFERROR(__xludf.DUMMYFUNCTION("""COMPUTED_VALUE"""),45072)</f>
        <v>45072</v>
      </c>
      <c r="F266" s="1" t="str">
        <f ca="1">IFERROR(__xludf.DUMMYFUNCTION("""COMPUTED_VALUE"""),"Harper Woods Middle School")</f>
        <v>Harper Woods Middle School</v>
      </c>
      <c r="G266" s="1">
        <f ca="1">IFERROR(__xludf.DUMMYFUNCTION("""COMPUTED_VALUE"""),0)</f>
        <v>0</v>
      </c>
      <c r="H266" s="1">
        <f ca="1">IFERROR(__xludf.DUMMYFUNCTION("""COMPUTED_VALUE"""),0)</f>
        <v>0</v>
      </c>
      <c r="I266" s="1">
        <f ca="1">IFERROR(__xludf.DUMMYFUNCTION("""COMPUTED_VALUE"""),0)</f>
        <v>0</v>
      </c>
      <c r="J266" s="1">
        <f ca="1">IFERROR(__xludf.DUMMYFUNCTION("""COMPUTED_VALUE"""),0)</f>
        <v>0</v>
      </c>
      <c r="K266" s="1" t="str">
        <f ca="1">IFERROR(__xludf.DUMMYFUNCTION("""COMPUTED_VALUE"""),"Spring")</f>
        <v>Spring</v>
      </c>
      <c r="L266" s="1" t="str">
        <f ca="1">IFERROR(__xludf.DUMMYFUNCTION("""COMPUTED_VALUE"""),"Harper Woods")</f>
        <v>Harper Woods</v>
      </c>
      <c r="M266" s="1" t="str">
        <f ca="1">IFERROR(__xludf.DUMMYFUNCTION("""COMPUTED_VALUE"""),"MI")</f>
        <v>MI</v>
      </c>
      <c r="N266" s="1" t="str">
        <f ca="1">IFERROR(__xludf.DUMMYFUNCTION("""COMPUTED_VALUE"""),"Middle")</f>
        <v>Middle</v>
      </c>
      <c r="O266" s="1" t="str">
        <f ca="1">IFERROR(__xludf.DUMMYFUNCTION("""COMPUTED_VALUE"""),"Front of School")</f>
        <v>Front of School</v>
      </c>
      <c r="P266" s="1" t="str">
        <f ca="1">IFERROR(__xludf.DUMMYFUNCTION("""COMPUTED_VALUE"""),"Outside on School Property")</f>
        <v>Outside on School Property</v>
      </c>
      <c r="Q266" s="1" t="str">
        <f ca="1">IFERROR(__xludf.DUMMYFUNCTION("""COMPUTED_VALUE"""),"No")</f>
        <v>No</v>
      </c>
      <c r="R266" s="1" t="str">
        <f ca="1">IFERROR(__xludf.DUMMYFUNCTION("""COMPUTED_VALUE"""),"School Event")</f>
        <v>School Event</v>
      </c>
      <c r="S266" s="5">
        <f ca="1">IFERROR(__xludf.DUMMYFUNCTION("""COMPUTED_VALUE"""),0.833333333333333)</f>
        <v>0.83333333333333304</v>
      </c>
      <c r="T266" s="1">
        <f ca="1">IFERROR(__xludf.DUMMYFUNCTION("""COMPUTED_VALUE"""),1)</f>
        <v>1</v>
      </c>
      <c r="U266" s="1" t="str">
        <f ca="1">IFERROR(__xludf.DUMMYFUNCTION("""COMPUTED_VALUE"""),"Shots fired at two vehicles during prom parade in front of middle school")</f>
        <v>Shots fired at two vehicles during prom parade in front of middle school</v>
      </c>
      <c r="V266" s="1" t="str">
        <f ca="1">IFERROR(__xludf.DUMMYFUNCTION("""COMPUTED_VALUE"""),"Shots fired at two vehicles during the high school prom parade while vehicles were lining up in front of the nearby middle school. No injuries. Shooter fled.")</f>
        <v>Shots fired at two vehicles during the high school prom parade while vehicles were lining up in front of the nearby middle school. No injuries. Shooter fled.</v>
      </c>
      <c r="W266" s="1" t="str">
        <f ca="1">IFERROR(__xludf.DUMMYFUNCTION("""COMPUTED_VALUE"""),"Drive-by Shooting")</f>
        <v>Drive-by Shooting</v>
      </c>
      <c r="X266" s="1" t="str">
        <f ca="1">IFERROR(__xludf.DUMMYFUNCTION("""COMPUTED_VALUE"""),"Both")</f>
        <v>Both</v>
      </c>
      <c r="Y266" s="1" t="str">
        <f ca="1">IFERROR(__xludf.DUMMYFUNCTION("""COMPUTED_VALUE"""),"No")</f>
        <v>No</v>
      </c>
      <c r="Z266" s="1"/>
      <c r="AA266" s="1" t="str">
        <f ca="1">IFERROR(__xludf.DUMMYFUNCTION("""COMPUTED_VALUE"""),"No")</f>
        <v>No</v>
      </c>
      <c r="AB266" s="1" t="str">
        <f ca="1">IFERROR(__xludf.DUMMYFUNCTION("""COMPUTED_VALUE"""),"No")</f>
        <v>No</v>
      </c>
      <c r="AC266" s="1" t="str">
        <f ca="1">IFERROR(__xludf.DUMMYFUNCTION("""COMPUTED_VALUE"""),"No")</f>
        <v>No</v>
      </c>
      <c r="AD266" s="1" t="str">
        <f ca="1">IFERROR(__xludf.DUMMYFUNCTION("""COMPUTED_VALUE"""),"No")</f>
        <v>No</v>
      </c>
      <c r="AE266" s="1" t="str">
        <f ca="1">IFERROR(__xludf.DUMMYFUNCTION("""COMPUTED_VALUE"""),"No")</f>
        <v>No</v>
      </c>
      <c r="AF266" s="1"/>
      <c r="AG266" s="1" t="str">
        <f ca="1">IFERROR(__xludf.DUMMYFUNCTION("""COMPUTED_VALUE"""),"No")</f>
        <v>No</v>
      </c>
      <c r="AH266" s="1">
        <f ca="1">IFERROR(__xludf.DUMMYFUNCTION("""COMPUTED_VALUE"""),99)</f>
        <v>99</v>
      </c>
    </row>
    <row r="267" spans="1:34" ht="12.5">
      <c r="A267" s="1" t="str">
        <f ca="1">IFERROR(__xludf.DUMMYFUNCTION("""COMPUTED_VALUE"""),"20230525PASAB")</f>
        <v>20230525PASAB</v>
      </c>
      <c r="B267" s="1">
        <f ca="1">IFERROR(__xludf.DUMMYFUNCTION("""COMPUTED_VALUE"""),5)</f>
        <v>5</v>
      </c>
      <c r="C267" s="1">
        <f ca="1">IFERROR(__xludf.DUMMYFUNCTION("""COMPUTED_VALUE"""),25)</f>
        <v>25</v>
      </c>
      <c r="D267" s="1">
        <f ca="1">IFERROR(__xludf.DUMMYFUNCTION("""COMPUTED_VALUE"""),2023)</f>
        <v>2023</v>
      </c>
      <c r="E267" s="4">
        <f ca="1">IFERROR(__xludf.DUMMYFUNCTION("""COMPUTED_VALUE"""),45071)</f>
        <v>45071</v>
      </c>
      <c r="F267" s="1" t="str">
        <f ca="1">IFERROR(__xludf.DUMMYFUNCTION("""COMPUTED_VALUE"""),"Salem Elementary School")</f>
        <v>Salem Elementary School</v>
      </c>
      <c r="G267" s="1">
        <f ca="1">IFERROR(__xludf.DUMMYFUNCTION("""COMPUTED_VALUE"""),0)</f>
        <v>0</v>
      </c>
      <c r="H267" s="1">
        <f ca="1">IFERROR(__xludf.DUMMYFUNCTION("""COMPUTED_VALUE"""),0)</f>
        <v>0</v>
      </c>
      <c r="I267" s="1">
        <f ca="1">IFERROR(__xludf.DUMMYFUNCTION("""COMPUTED_VALUE"""),0)</f>
        <v>0</v>
      </c>
      <c r="J267" s="1">
        <f ca="1">IFERROR(__xludf.DUMMYFUNCTION("""COMPUTED_VALUE"""),0)</f>
        <v>0</v>
      </c>
      <c r="K267" s="1" t="str">
        <f ca="1">IFERROR(__xludf.DUMMYFUNCTION("""COMPUTED_VALUE"""),"Spring")</f>
        <v>Spring</v>
      </c>
      <c r="L267" s="1" t="str">
        <f ca="1">IFERROR(__xludf.DUMMYFUNCTION("""COMPUTED_VALUE"""),"Berwick")</f>
        <v>Berwick</v>
      </c>
      <c r="M267" s="1" t="str">
        <f ca="1">IFERROR(__xludf.DUMMYFUNCTION("""COMPUTED_VALUE"""),"PA")</f>
        <v>PA</v>
      </c>
      <c r="N267" s="1" t="str">
        <f ca="1">IFERROR(__xludf.DUMMYFUNCTION("""COMPUTED_VALUE"""),"Elementary")</f>
        <v>Elementary</v>
      </c>
      <c r="O267" s="1" t="str">
        <f ca="1">IFERROR(__xludf.DUMMYFUNCTION("""COMPUTED_VALUE"""),"Football Field/Track")</f>
        <v>Football Field/Track</v>
      </c>
      <c r="P267" s="1" t="str">
        <f ca="1">IFERROR(__xludf.DUMMYFUNCTION("""COMPUTED_VALUE"""),"Outside on School Property")</f>
        <v>Outside on School Property</v>
      </c>
      <c r="Q267" s="1" t="str">
        <f ca="1">IFERROR(__xludf.DUMMYFUNCTION("""COMPUTED_VALUE"""),"No")</f>
        <v>No</v>
      </c>
      <c r="R267" s="1" t="str">
        <f ca="1">IFERROR(__xludf.DUMMYFUNCTION("""COMPUTED_VALUE"""),"Night")</f>
        <v>Night</v>
      </c>
      <c r="S267" s="5">
        <f ca="1">IFERROR(__xludf.DUMMYFUNCTION("""COMPUTED_VALUE"""),0.142361111111111)</f>
        <v>0.14236111111111099</v>
      </c>
      <c r="T267" s="1">
        <f ca="1">IFERROR(__xludf.DUMMYFUNCTION("""COMPUTED_VALUE"""),1)</f>
        <v>1</v>
      </c>
      <c r="U267" s="1" t="str">
        <f ca="1">IFERROR(__xludf.DUMMYFUNCTION("""COMPUTED_VALUE"""),"Teens drove stolen car through school fence, drove around track, and then fired shot at vehicle")</f>
        <v>Teens drove stolen car through school fence, drove around track, and then fired shot at vehicle</v>
      </c>
      <c r="V267" s="1" t="str">
        <f ca="1">IFERROR(__xludf.DUMMYFUNCTION("""COMPUTED_VALUE"""),"Teens drove stolen car through school fence, drove around track, and then fired shot at vehicle")</f>
        <v>Teens drove stolen car through school fence, drove around track, and then fired shot at vehicle</v>
      </c>
      <c r="W267" s="1" t="str">
        <f ca="1">IFERROR(__xludf.DUMMYFUNCTION("""COMPUTED_VALUE"""),"Intentional Property Damage")</f>
        <v>Intentional Property Damage</v>
      </c>
      <c r="X267" s="1" t="str">
        <f ca="1">IFERROR(__xludf.DUMMYFUNCTION("""COMPUTED_VALUE"""),"Neither")</f>
        <v>Neither</v>
      </c>
      <c r="Y267" s="1" t="str">
        <f ca="1">IFERROR(__xludf.DUMMYFUNCTION("""COMPUTED_VALUE"""),"Yes")</f>
        <v>Yes</v>
      </c>
      <c r="Z267" s="1" t="str">
        <f ca="1">IFERROR(__xludf.DUMMYFUNCTION("""COMPUTED_VALUE"""),"4 teens")</f>
        <v>4 teens</v>
      </c>
      <c r="AA267" s="1" t="str">
        <f ca="1">IFERROR(__xludf.DUMMYFUNCTION("""COMPUTED_VALUE"""),"No")</f>
        <v>No</v>
      </c>
      <c r="AB267" s="1" t="str">
        <f ca="1">IFERROR(__xludf.DUMMYFUNCTION("""COMPUTED_VALUE"""),"No")</f>
        <v>No</v>
      </c>
      <c r="AC267" s="1" t="str">
        <f ca="1">IFERROR(__xludf.DUMMYFUNCTION("""COMPUTED_VALUE"""),"No")</f>
        <v>No</v>
      </c>
      <c r="AD267" s="1" t="str">
        <f ca="1">IFERROR(__xludf.DUMMYFUNCTION("""COMPUTED_VALUE"""),"No")</f>
        <v>No</v>
      </c>
      <c r="AE267" s="1" t="str">
        <f ca="1">IFERROR(__xludf.DUMMYFUNCTION("""COMPUTED_VALUE"""),"No")</f>
        <v>No</v>
      </c>
      <c r="AF267" s="1" t="str">
        <f ca="1">IFERROR(__xludf.DUMMYFUNCTION("""COMPUTED_VALUE"""),"No")</f>
        <v>No</v>
      </c>
      <c r="AG267" s="1" t="str">
        <f ca="1">IFERROR(__xludf.DUMMYFUNCTION("""COMPUTED_VALUE"""),"No")</f>
        <v>No</v>
      </c>
      <c r="AH267" s="1">
        <f ca="1">IFERROR(__xludf.DUMMYFUNCTION("""COMPUTED_VALUE"""),4)</f>
        <v>4</v>
      </c>
    </row>
    <row r="268" spans="1:34" ht="12.5">
      <c r="A268" s="1" t="str">
        <f ca="1">IFERROR(__xludf.DUMMYFUNCTION("""COMPUTED_VALUE"""),"20230525OHBEC")</f>
        <v>20230525OHBEC</v>
      </c>
      <c r="B268" s="1">
        <f ca="1">IFERROR(__xludf.DUMMYFUNCTION("""COMPUTED_VALUE"""),5)</f>
        <v>5</v>
      </c>
      <c r="C268" s="1">
        <f ca="1">IFERROR(__xludf.DUMMYFUNCTION("""COMPUTED_VALUE"""),25)</f>
        <v>25</v>
      </c>
      <c r="D268" s="1">
        <f ca="1">IFERROR(__xludf.DUMMYFUNCTION("""COMPUTED_VALUE"""),2023)</f>
        <v>2023</v>
      </c>
      <c r="E268" s="4">
        <f ca="1">IFERROR(__xludf.DUMMYFUNCTION("""COMPUTED_VALUE"""),45071)</f>
        <v>45071</v>
      </c>
      <c r="F268" s="1" t="str">
        <f ca="1">IFERROR(__xludf.DUMMYFUNCTION("""COMPUTED_VALUE"""),"Berwick Alternative Elementary School")</f>
        <v>Berwick Alternative Elementary School</v>
      </c>
      <c r="G268" s="1">
        <f ca="1">IFERROR(__xludf.DUMMYFUNCTION("""COMPUTED_VALUE"""),0)</f>
        <v>0</v>
      </c>
      <c r="H268" s="1">
        <f ca="1">IFERROR(__xludf.DUMMYFUNCTION("""COMPUTED_VALUE"""),1)</f>
        <v>1</v>
      </c>
      <c r="I268" s="1">
        <f ca="1">IFERROR(__xludf.DUMMYFUNCTION("""COMPUTED_VALUE"""),1)</f>
        <v>1</v>
      </c>
      <c r="J268" s="1">
        <f ca="1">IFERROR(__xludf.DUMMYFUNCTION("""COMPUTED_VALUE"""),0)</f>
        <v>0</v>
      </c>
      <c r="K268" s="1" t="str">
        <f ca="1">IFERROR(__xludf.DUMMYFUNCTION("""COMPUTED_VALUE"""),"Spring")</f>
        <v>Spring</v>
      </c>
      <c r="L268" s="1" t="str">
        <f ca="1">IFERROR(__xludf.DUMMYFUNCTION("""COMPUTED_VALUE"""),"Columbus")</f>
        <v>Columbus</v>
      </c>
      <c r="M268" s="1" t="str">
        <f ca="1">IFERROR(__xludf.DUMMYFUNCTION("""COMPUTED_VALUE"""),"OH")</f>
        <v>OH</v>
      </c>
      <c r="N268" s="1" t="str">
        <f ca="1">IFERROR(__xludf.DUMMYFUNCTION("""COMPUTED_VALUE"""),"Elementary")</f>
        <v>Elementary</v>
      </c>
      <c r="O268" s="1" t="str">
        <f ca="1">IFERROR(__xludf.DUMMYFUNCTION("""COMPUTED_VALUE"""),"Basketball Court")</f>
        <v>Basketball Court</v>
      </c>
      <c r="P268" s="1" t="str">
        <f ca="1">IFERROR(__xludf.DUMMYFUNCTION("""COMPUTED_VALUE"""),"Outside on School Property")</f>
        <v>Outside on School Property</v>
      </c>
      <c r="Q268" s="1" t="str">
        <f ca="1">IFERROR(__xludf.DUMMYFUNCTION("""COMPUTED_VALUE"""),"No")</f>
        <v>No</v>
      </c>
      <c r="R268" s="1" t="str">
        <f ca="1">IFERROR(__xludf.DUMMYFUNCTION("""COMPUTED_VALUE"""),"Evening")</f>
        <v>Evening</v>
      </c>
      <c r="S268" s="5">
        <f ca="1">IFERROR(__xludf.DUMMYFUNCTION("""COMPUTED_VALUE"""),0.875)</f>
        <v>0.875</v>
      </c>
      <c r="T268" s="1">
        <f ca="1">IFERROR(__xludf.DUMMYFUNCTION("""COMPUTED_VALUE"""),1)</f>
        <v>1</v>
      </c>
      <c r="U268" s="1" t="str">
        <f ca="1">IFERROR(__xludf.DUMMYFUNCTION("""COMPUTED_VALUE"""),"Man shot on school basketball court")</f>
        <v>Man shot on school basketball court</v>
      </c>
      <c r="V268" s="1" t="str">
        <f ca="1">IFERROR(__xludf.DUMMYFUNCTION("""COMPUTED_VALUE"""),"Man was shot on the school basketball court and transported to the hospital. Shooter fled.")</f>
        <v>Man was shot on the school basketball court and transported to the hospital. Shooter fled.</v>
      </c>
      <c r="W268" s="1" t="str">
        <f ca="1">IFERROR(__xludf.DUMMYFUNCTION("""COMPUTED_VALUE"""),"Drive-by Shooting")</f>
        <v>Drive-by Shooting</v>
      </c>
      <c r="X268" s="1" t="str">
        <f ca="1">IFERROR(__xludf.DUMMYFUNCTION("""COMPUTED_VALUE"""),"Victims Targeted")</f>
        <v>Victims Targeted</v>
      </c>
      <c r="Y268" s="1" t="str">
        <f ca="1">IFERROR(__xludf.DUMMYFUNCTION("""COMPUTED_VALUE"""),"No")</f>
        <v>No</v>
      </c>
      <c r="Z268" s="1"/>
      <c r="AA268" s="1" t="str">
        <f ca="1">IFERROR(__xludf.DUMMYFUNCTION("""COMPUTED_VALUE"""),"No")</f>
        <v>No</v>
      </c>
      <c r="AB268" s="1" t="str">
        <f ca="1">IFERROR(__xludf.DUMMYFUNCTION("""COMPUTED_VALUE"""),"No")</f>
        <v>No</v>
      </c>
      <c r="AC268" s="1" t="str">
        <f ca="1">IFERROR(__xludf.DUMMYFUNCTION("""COMPUTED_VALUE"""),"No")</f>
        <v>No</v>
      </c>
      <c r="AD268" s="1" t="str">
        <f ca="1">IFERROR(__xludf.DUMMYFUNCTION("""COMPUTED_VALUE"""),"No")</f>
        <v>No</v>
      </c>
      <c r="AE268" s="1" t="str">
        <f ca="1">IFERROR(__xludf.DUMMYFUNCTION("""COMPUTED_VALUE"""),"No")</f>
        <v>No</v>
      </c>
      <c r="AF268" s="1"/>
      <c r="AG268" s="1" t="str">
        <f ca="1">IFERROR(__xludf.DUMMYFUNCTION("""COMPUTED_VALUE"""),"No")</f>
        <v>No</v>
      </c>
      <c r="AH268" s="1">
        <f ca="1">IFERROR(__xludf.DUMMYFUNCTION("""COMPUTED_VALUE"""),99)</f>
        <v>99</v>
      </c>
    </row>
    <row r="269" spans="1:34" ht="12.5">
      <c r="A269" s="1" t="str">
        <f ca="1">IFERROR(__xludf.DUMMYFUNCTION("""COMPUTED_VALUE"""),"20230525MNWAM")</f>
        <v>20230525MNWAM</v>
      </c>
      <c r="B269" s="1">
        <f ca="1">IFERROR(__xludf.DUMMYFUNCTION("""COMPUTED_VALUE"""),5)</f>
        <v>5</v>
      </c>
      <c r="C269" s="1">
        <f ca="1">IFERROR(__xludf.DUMMYFUNCTION("""COMPUTED_VALUE"""),25)</f>
        <v>25</v>
      </c>
      <c r="D269" s="1">
        <f ca="1">IFERROR(__xludf.DUMMYFUNCTION("""COMPUTED_VALUE"""),2023)</f>
        <v>2023</v>
      </c>
      <c r="E269" s="4">
        <f ca="1">IFERROR(__xludf.DUMMYFUNCTION("""COMPUTED_VALUE"""),45071)</f>
        <v>45071</v>
      </c>
      <c r="F269" s="1" t="str">
        <f ca="1">IFERROR(__xludf.DUMMYFUNCTION("""COMPUTED_VALUE"""),"Washburn High School")</f>
        <v>Washburn High School</v>
      </c>
      <c r="G269" s="1">
        <f ca="1">IFERROR(__xludf.DUMMYFUNCTION("""COMPUTED_VALUE"""),0)</f>
        <v>0</v>
      </c>
      <c r="H269" s="1">
        <f ca="1">IFERROR(__xludf.DUMMYFUNCTION("""COMPUTED_VALUE"""),0)</f>
        <v>0</v>
      </c>
      <c r="I269" s="1">
        <f ca="1">IFERROR(__xludf.DUMMYFUNCTION("""COMPUTED_VALUE"""),0)</f>
        <v>0</v>
      </c>
      <c r="J269" s="1">
        <f ca="1">IFERROR(__xludf.DUMMYFUNCTION("""COMPUTED_VALUE"""),0)</f>
        <v>0</v>
      </c>
      <c r="K269" s="1" t="str">
        <f ca="1">IFERROR(__xludf.DUMMYFUNCTION("""COMPUTED_VALUE"""),"Spring")</f>
        <v>Spring</v>
      </c>
      <c r="L269" s="1" t="str">
        <f ca="1">IFERROR(__xludf.DUMMYFUNCTION("""COMPUTED_VALUE"""),"Minneapolis")</f>
        <v>Minneapolis</v>
      </c>
      <c r="M269" s="1" t="str">
        <f ca="1">IFERROR(__xludf.DUMMYFUNCTION("""COMPUTED_VALUE"""),"MN")</f>
        <v>MN</v>
      </c>
      <c r="N269" s="1" t="str">
        <f ca="1">IFERROR(__xludf.DUMMYFUNCTION("""COMPUTED_VALUE"""),"High")</f>
        <v>High</v>
      </c>
      <c r="O269" s="1" t="str">
        <f ca="1">IFERROR(__xludf.DUMMYFUNCTION("""COMPUTED_VALUE"""),"Beside Building")</f>
        <v>Beside Building</v>
      </c>
      <c r="P269" s="1" t="str">
        <f ca="1">IFERROR(__xludf.DUMMYFUNCTION("""COMPUTED_VALUE"""),"Outside on School Property")</f>
        <v>Outside on School Property</v>
      </c>
      <c r="Q269" s="1" t="str">
        <f ca="1">IFERROR(__xludf.DUMMYFUNCTION("""COMPUTED_VALUE"""),"No")</f>
        <v>No</v>
      </c>
      <c r="R269" s="1" t="str">
        <f ca="1">IFERROR(__xludf.DUMMYFUNCTION("""COMPUTED_VALUE"""),"School Event")</f>
        <v>School Event</v>
      </c>
      <c r="S269" s="5">
        <f ca="1">IFERROR(__xludf.DUMMYFUNCTION("""COMPUTED_VALUE"""),0.829861111111111)</f>
        <v>0.82986111111111105</v>
      </c>
      <c r="T269" s="1">
        <f ca="1">IFERROR(__xludf.DUMMYFUNCTION("""COMPUTED_VALUE"""),1)</f>
        <v>1</v>
      </c>
      <c r="U269" s="1" t="str">
        <f ca="1">IFERROR(__xludf.DUMMYFUNCTION("""COMPUTED_VALUE"""),"Shots fired during large fight in auditorium, one student stabbed, one student criticall injured")</f>
        <v>Shots fired during large fight in auditorium, one student stabbed, one student criticall injured</v>
      </c>
      <c r="V269" s="1" t="str">
        <f ca="1">IFERROR(__xludf.DUMMYFUNCTION("""COMPUTED_VALUE"""),"Minneapolis officers got a 911 call about a “large fight” inside the auditorium of Washburn High School around 7:55 p.m. Officers found a 17-year-old who had been stabbed in the back. His wounds were non-life-threatening, and he was brought to the hospita"&amp;"l, police said. As more law enforcement got to the school, bystanders pointed out suspects involved in the fight. Police said that a 15-year-old was later brought to the hospital with a potentially life-threatening injury sustained in the fight. An office"&amp;"r began chasing the suspects, and when he turned a corner, he heard gunfire and saw a muzzle flash, according to police. Three shell casings were later recovered. The 16-year-old who fired the gun has been arrested, and a Glock handgun with a 50-round dru"&amp;"m magazine was recovered, O’Hara said. He added that the officer isn’t sure yet whether the teen was shooting at him.")</f>
        <v>Minneapolis officers got a 911 call about a “large fight” inside the auditorium of Washburn High School around 7:55 p.m. Officers found a 17-year-old who had been stabbed in the back. His wounds were non-life-threatening, and he was brought to the hospital, police said. As more law enforcement got to the school, bystanders pointed out suspects involved in the fight. Police said that a 15-year-old was later brought to the hospital with a potentially life-threatening injury sustained in the fight. An officer began chasing the suspects, and when he turned a corner, he heard gunfire and saw a muzzle flash, according to police. Three shell casings were later recovered. The 16-year-old who fired the gun has been arrested, and a Glock handgun with a 50-round drum magazine was recovered, O’Hara said. He added that the officer isn’t sure yet whether the teen was shooting at him.</v>
      </c>
      <c r="W269" s="1" t="str">
        <f ca="1">IFERROR(__xludf.DUMMYFUNCTION("""COMPUTED_VALUE"""),"Escalation of Dispute")</f>
        <v>Escalation of Dispute</v>
      </c>
      <c r="X269" s="1" t="str">
        <f ca="1">IFERROR(__xludf.DUMMYFUNCTION("""COMPUTED_VALUE"""),"Random Shooting")</f>
        <v>Random Shooting</v>
      </c>
      <c r="Y269" s="1" t="str">
        <f ca="1">IFERROR(__xludf.DUMMYFUNCTION("""COMPUTED_VALUE"""),"Yes")</f>
        <v>Yes</v>
      </c>
      <c r="Z269" s="1" t="str">
        <f ca="1">IFERROR(__xludf.DUMMYFUNCTION("""COMPUTED_VALUE"""),"Group of teens running")</f>
        <v>Group of teens running</v>
      </c>
      <c r="AA269" s="1" t="str">
        <f ca="1">IFERROR(__xludf.DUMMYFUNCTION("""COMPUTED_VALUE"""),"No")</f>
        <v>No</v>
      </c>
      <c r="AB269" s="1" t="str">
        <f ca="1">IFERROR(__xludf.DUMMYFUNCTION("""COMPUTED_VALUE"""),"No")</f>
        <v>No</v>
      </c>
      <c r="AC269" s="1" t="str">
        <f ca="1">IFERROR(__xludf.DUMMYFUNCTION("""COMPUTED_VALUE"""),"No")</f>
        <v>No</v>
      </c>
      <c r="AD269" s="1" t="str">
        <f ca="1">IFERROR(__xludf.DUMMYFUNCTION("""COMPUTED_VALUE"""),"No")</f>
        <v>No</v>
      </c>
      <c r="AE269" s="1" t="str">
        <f ca="1">IFERROR(__xludf.DUMMYFUNCTION("""COMPUTED_VALUE"""),"No")</f>
        <v>No</v>
      </c>
      <c r="AF269" s="1"/>
      <c r="AG269" s="1" t="str">
        <f ca="1">IFERROR(__xludf.DUMMYFUNCTION("""COMPUTED_VALUE"""),"No")</f>
        <v>No</v>
      </c>
      <c r="AH269" s="1">
        <f ca="1">IFERROR(__xludf.DUMMYFUNCTION("""COMPUTED_VALUE"""),3)</f>
        <v>3</v>
      </c>
    </row>
    <row r="270" spans="1:34" ht="12.5">
      <c r="A270" s="1" t="str">
        <f ca="1">IFERROR(__xludf.DUMMYFUNCTION("""COMPUTED_VALUE"""),"20230525CABEM")</f>
        <v>20230525CABEM</v>
      </c>
      <c r="B270" s="1">
        <f ca="1">IFERROR(__xludf.DUMMYFUNCTION("""COMPUTED_VALUE"""),5)</f>
        <v>5</v>
      </c>
      <c r="C270" s="1">
        <f ca="1">IFERROR(__xludf.DUMMYFUNCTION("""COMPUTED_VALUE"""),25)</f>
        <v>25</v>
      </c>
      <c r="D270" s="1">
        <f ca="1">IFERROR(__xludf.DUMMYFUNCTION("""COMPUTED_VALUE"""),2023)</f>
        <v>2023</v>
      </c>
      <c r="E270" s="4">
        <f ca="1">IFERROR(__xludf.DUMMYFUNCTION("""COMPUTED_VALUE"""),45071)</f>
        <v>45071</v>
      </c>
      <c r="F270" s="1" t="str">
        <f ca="1">IFERROR(__xludf.DUMMYFUNCTION("""COMPUTED_VALUE"""),"Berenda Elementary School")</f>
        <v>Berenda Elementary School</v>
      </c>
      <c r="G270" s="1">
        <f ca="1">IFERROR(__xludf.DUMMYFUNCTION("""COMPUTED_VALUE"""),0)</f>
        <v>0</v>
      </c>
      <c r="H270" s="1">
        <f ca="1">IFERROR(__xludf.DUMMYFUNCTION("""COMPUTED_VALUE"""),0)</f>
        <v>0</v>
      </c>
      <c r="I270" s="1">
        <f ca="1">IFERROR(__xludf.DUMMYFUNCTION("""COMPUTED_VALUE"""),0)</f>
        <v>0</v>
      </c>
      <c r="J270" s="1">
        <f ca="1">IFERROR(__xludf.DUMMYFUNCTION("""COMPUTED_VALUE"""),0)</f>
        <v>0</v>
      </c>
      <c r="K270" s="1" t="str">
        <f ca="1">IFERROR(__xludf.DUMMYFUNCTION("""COMPUTED_VALUE"""),"Spring")</f>
        <v>Spring</v>
      </c>
      <c r="L270" s="1" t="str">
        <f ca="1">IFERROR(__xludf.DUMMYFUNCTION("""COMPUTED_VALUE"""),"Madera Acres")</f>
        <v>Madera Acres</v>
      </c>
      <c r="M270" s="1" t="str">
        <f ca="1">IFERROR(__xludf.DUMMYFUNCTION("""COMPUTED_VALUE"""),"CA")</f>
        <v>CA</v>
      </c>
      <c r="N270" s="1" t="str">
        <f ca="1">IFERROR(__xludf.DUMMYFUNCTION("""COMPUTED_VALUE"""),"Elementary")</f>
        <v>Elementary</v>
      </c>
      <c r="O270" s="1" t="str">
        <f ca="1">IFERROR(__xludf.DUMMYFUNCTION("""COMPUTED_VALUE"""),"Front of School")</f>
        <v>Front of School</v>
      </c>
      <c r="P270" s="1" t="str">
        <f ca="1">IFERROR(__xludf.DUMMYFUNCTION("""COMPUTED_VALUE"""),"Outside on School Property")</f>
        <v>Outside on School Property</v>
      </c>
      <c r="Q270" s="1" t="str">
        <f ca="1">IFERROR(__xludf.DUMMYFUNCTION("""COMPUTED_VALUE"""),"No")</f>
        <v>No</v>
      </c>
      <c r="R270" s="1" t="str">
        <f ca="1">IFERROR(__xludf.DUMMYFUNCTION("""COMPUTED_VALUE"""),"School Event")</f>
        <v>School Event</v>
      </c>
      <c r="S270" s="5">
        <f ca="1">IFERROR(__xludf.DUMMYFUNCTION("""COMPUTED_VALUE"""),0.75)</f>
        <v>0.75</v>
      </c>
      <c r="T270" s="1">
        <f ca="1">IFERROR(__xludf.DUMMYFUNCTION("""COMPUTED_VALUE"""),1)</f>
        <v>1</v>
      </c>
      <c r="U270" s="1" t="str">
        <f ca="1">IFERROR(__xludf.DUMMYFUNCTION("""COMPUTED_VALUE"""),"Shots fired in front of school during end of year dance, school locked down and attendees search for weapons")</f>
        <v>Shots fired in front of school during end of year dance, school locked down and attendees search for weapons</v>
      </c>
      <c r="V270" s="1" t="str">
        <f ca="1">IFERROR(__xludf.DUMMYFUNCTION("""COMPUTED_VALUE"""),"Deputies say around 6:00 p.m. they responded to a shots fired call across from Berenda Elementary School. Upon arrival, authorities say they found evidence that a shooting did occur and learned the school nearby was having a dance. The Madera County Sheri"&amp;"ff's Office says the campus was placed on lockdown in the middle of a school dance. No injuries were reported. Detectives are actively investigating the scene and say preliminary investigation suggests there were likely at least four people involved in th"&amp;"e shooting.")</f>
        <v>Deputies say around 6:00 p.m. they responded to a shots fired call across from Berenda Elementary School. Upon arrival, authorities say they found evidence that a shooting did occur and learned the school nearby was having a dance. The Madera County Sheriff's Office says the campus was placed on lockdown in the middle of a school dance. No injuries were reported. Detectives are actively investigating the scene and say preliminary investigation suggests there were likely at least four people involved in the shooting.</v>
      </c>
      <c r="W270" s="1" t="str">
        <f ca="1">IFERROR(__xludf.DUMMYFUNCTION("""COMPUTED_VALUE"""),"Escalation of Dispute")</f>
        <v>Escalation of Dispute</v>
      </c>
      <c r="X270" s="1" t="str">
        <f ca="1">IFERROR(__xludf.DUMMYFUNCTION("""COMPUTED_VALUE"""),"Victims Targeted")</f>
        <v>Victims Targeted</v>
      </c>
      <c r="Y270" s="1" t="str">
        <f ca="1">IFERROR(__xludf.DUMMYFUNCTION("""COMPUTED_VALUE"""),"Yes")</f>
        <v>Yes</v>
      </c>
      <c r="Z270" s="1" t="str">
        <f ca="1">IFERROR(__xludf.DUMMYFUNCTION("""COMPUTED_VALUE"""),"Group")</f>
        <v>Group</v>
      </c>
      <c r="AA270" s="1" t="str">
        <f ca="1">IFERROR(__xludf.DUMMYFUNCTION("""COMPUTED_VALUE"""),"No")</f>
        <v>No</v>
      </c>
      <c r="AB270" s="1" t="str">
        <f ca="1">IFERROR(__xludf.DUMMYFUNCTION("""COMPUTED_VALUE"""),"No")</f>
        <v>No</v>
      </c>
      <c r="AC270" s="1" t="str">
        <f ca="1">IFERROR(__xludf.DUMMYFUNCTION("""COMPUTED_VALUE"""),"No")</f>
        <v>No</v>
      </c>
      <c r="AD270" s="1" t="str">
        <f ca="1">IFERROR(__xludf.DUMMYFUNCTION("""COMPUTED_VALUE"""),"No")</f>
        <v>No</v>
      </c>
      <c r="AE270" s="1" t="str">
        <f ca="1">IFERROR(__xludf.DUMMYFUNCTION("""COMPUTED_VALUE"""),"No")</f>
        <v>No</v>
      </c>
      <c r="AF270" s="1"/>
      <c r="AG270" s="1" t="str">
        <f ca="1">IFERROR(__xludf.DUMMYFUNCTION("""COMPUTED_VALUE"""),"No")</f>
        <v>No</v>
      </c>
      <c r="AH270" s="1">
        <f ca="1">IFERROR(__xludf.DUMMYFUNCTION("""COMPUTED_VALUE"""),99)</f>
        <v>99</v>
      </c>
    </row>
    <row r="271" spans="1:34" ht="12.5">
      <c r="A271" s="1" t="str">
        <f ca="1">IFERROR(__xludf.DUMMYFUNCTION("""COMPUTED_VALUE"""),"20230524PAOLP")</f>
        <v>20230524PAOLP</v>
      </c>
      <c r="B271" s="1">
        <f ca="1">IFERROR(__xludf.DUMMYFUNCTION("""COMPUTED_VALUE"""),5)</f>
        <v>5</v>
      </c>
      <c r="C271" s="1">
        <f ca="1">IFERROR(__xludf.DUMMYFUNCTION("""COMPUTED_VALUE"""),24)</f>
        <v>24</v>
      </c>
      <c r="D271" s="1">
        <f ca="1">IFERROR(__xludf.DUMMYFUNCTION("""COMPUTED_VALUE"""),2023)</f>
        <v>2023</v>
      </c>
      <c r="E271" s="4">
        <f ca="1">IFERROR(__xludf.DUMMYFUNCTION("""COMPUTED_VALUE"""),45070)</f>
        <v>45070</v>
      </c>
      <c r="F271" s="1" t="str">
        <f ca="1">IFERROR(__xludf.DUMMYFUNCTION("""COMPUTED_VALUE"""),"Oliver Citywide Academy")</f>
        <v>Oliver Citywide Academy</v>
      </c>
      <c r="G271" s="1">
        <f ca="1">IFERROR(__xludf.DUMMYFUNCTION("""COMPUTED_VALUE"""),1)</f>
        <v>1</v>
      </c>
      <c r="H271" s="1">
        <f ca="1">IFERROR(__xludf.DUMMYFUNCTION("""COMPUTED_VALUE"""),0)</f>
        <v>0</v>
      </c>
      <c r="I271" s="1">
        <f ca="1">IFERROR(__xludf.DUMMYFUNCTION("""COMPUTED_VALUE"""),1)</f>
        <v>1</v>
      </c>
      <c r="J271" s="1">
        <f ca="1">IFERROR(__xludf.DUMMYFUNCTION("""COMPUTED_VALUE"""),0)</f>
        <v>0</v>
      </c>
      <c r="K271" s="1" t="str">
        <f ca="1">IFERROR(__xludf.DUMMYFUNCTION("""COMPUTED_VALUE"""),"Spring")</f>
        <v>Spring</v>
      </c>
      <c r="L271" s="1" t="str">
        <f ca="1">IFERROR(__xludf.DUMMYFUNCTION("""COMPUTED_VALUE"""),"Pittsburgh")</f>
        <v>Pittsburgh</v>
      </c>
      <c r="M271" s="1" t="str">
        <f ca="1">IFERROR(__xludf.DUMMYFUNCTION("""COMPUTED_VALUE"""),"PA")</f>
        <v>PA</v>
      </c>
      <c r="N271" s="1" t="str">
        <f ca="1">IFERROR(__xludf.DUMMYFUNCTION("""COMPUTED_VALUE"""),"K-12")</f>
        <v>K-12</v>
      </c>
      <c r="O271" s="1" t="str">
        <f ca="1">IFERROR(__xludf.DUMMYFUNCTION("""COMPUTED_VALUE"""),"Front of School")</f>
        <v>Front of School</v>
      </c>
      <c r="P271" s="1" t="str">
        <f ca="1">IFERROR(__xludf.DUMMYFUNCTION("""COMPUTED_VALUE"""),"Outside on School Property")</f>
        <v>Outside on School Property</v>
      </c>
      <c r="Q271" s="1" t="str">
        <f ca="1">IFERROR(__xludf.DUMMYFUNCTION("""COMPUTED_VALUE"""),"Yes")</f>
        <v>Yes</v>
      </c>
      <c r="R271" s="1" t="str">
        <f ca="1">IFERROR(__xludf.DUMMYFUNCTION("""COMPUTED_VALUE"""),"School Start")</f>
        <v>School Start</v>
      </c>
      <c r="S271" s="5">
        <f ca="1">IFERROR(__xludf.DUMMYFUNCTION("""COMPUTED_VALUE"""),0.309027777777777)</f>
        <v>0.30902777777777701</v>
      </c>
      <c r="T271" s="1">
        <f ca="1">IFERROR(__xludf.DUMMYFUNCTION("""COMPUTED_VALUE"""),1)</f>
        <v>1</v>
      </c>
      <c r="U271" s="1" t="str">
        <f ca="1">IFERROR(__xludf.DUMMYFUNCTION("""COMPUTED_VALUE"""),"Student fatally shot on the front steps while waiting for doors to open, student shooter fled")</f>
        <v>Student fatally shot on the front steps while waiting for doors to open, student shooter fled</v>
      </c>
      <c r="V271" s="1" t="str">
        <f ca="1">IFERROR(__xludf.DUMMYFUNCTION("""COMPUTED_VALUE"""),"Pittsburgh police said the shooting happened around 7:25 a.m. Wednesday as students began arriving for the school day. As many as eleven gunshots were fired along Brighton Road. The male victim was found outside the school and taken to the hospital, where"&amp;" they later died. Shooter dropped 9mm handgun in front of school and was arrested away from the campus. School switched to virtual learning for the remainder of the school year after the shooting.")</f>
        <v>Pittsburgh police said the shooting happened around 7:25 a.m. Wednesday as students began arriving for the school day. As many as eleven gunshots were fired along Brighton Road. The male victim was found outside the school and taken to the hospital, where they later died. Shooter dropped 9mm handgun in front of school and was arrested away from the campus. School switched to virtual learning for the remainder of the school year after the shooting.</v>
      </c>
      <c r="W271" s="1"/>
      <c r="X271" s="1" t="str">
        <f ca="1">IFERROR(__xludf.DUMMYFUNCTION("""COMPUTED_VALUE"""),"Victims Targeted")</f>
        <v>Victims Targeted</v>
      </c>
      <c r="Y271" s="1" t="str">
        <f ca="1">IFERROR(__xludf.DUMMYFUNCTION("""COMPUTED_VALUE"""),"No")</f>
        <v>No</v>
      </c>
      <c r="Z271" s="1"/>
      <c r="AA271" s="1" t="str">
        <f ca="1">IFERROR(__xludf.DUMMYFUNCTION("""COMPUTED_VALUE"""),"No")</f>
        <v>No</v>
      </c>
      <c r="AB271" s="1" t="str">
        <f ca="1">IFERROR(__xludf.DUMMYFUNCTION("""COMPUTED_VALUE"""),"No")</f>
        <v>No</v>
      </c>
      <c r="AC271" s="1" t="str">
        <f ca="1">IFERROR(__xludf.DUMMYFUNCTION("""COMPUTED_VALUE"""),"No")</f>
        <v>No</v>
      </c>
      <c r="AD271" s="1"/>
      <c r="AE271" s="1" t="str">
        <f ca="1">IFERROR(__xludf.DUMMYFUNCTION("""COMPUTED_VALUE"""),"No")</f>
        <v>No</v>
      </c>
      <c r="AF271" s="1"/>
      <c r="AG271" s="1" t="str">
        <f ca="1">IFERROR(__xludf.DUMMYFUNCTION("""COMPUTED_VALUE"""),"No")</f>
        <v>No</v>
      </c>
      <c r="AH271" s="1">
        <f ca="1">IFERROR(__xludf.DUMMYFUNCTION("""COMPUTED_VALUE"""),11)</f>
        <v>11</v>
      </c>
    </row>
    <row r="272" spans="1:34" ht="12.5">
      <c r="A272" s="1" t="str">
        <f ca="1">IFERROR(__xludf.DUMMYFUNCTION("""COMPUTED_VALUE"""),"20230524NCNOD")</f>
        <v>20230524NCNOD</v>
      </c>
      <c r="B272" s="1">
        <f ca="1">IFERROR(__xludf.DUMMYFUNCTION("""COMPUTED_VALUE"""),5)</f>
        <v>5</v>
      </c>
      <c r="C272" s="1">
        <f ca="1">IFERROR(__xludf.DUMMYFUNCTION("""COMPUTED_VALUE"""),24)</f>
        <v>24</v>
      </c>
      <c r="D272" s="1">
        <f ca="1">IFERROR(__xludf.DUMMYFUNCTION("""COMPUTED_VALUE"""),2023)</f>
        <v>2023</v>
      </c>
      <c r="E272" s="4">
        <f ca="1">IFERROR(__xludf.DUMMYFUNCTION("""COMPUTED_VALUE"""),45070)</f>
        <v>45070</v>
      </c>
      <c r="F272" s="1" t="str">
        <f ca="1">IFERROR(__xludf.DUMMYFUNCTION("""COMPUTED_VALUE"""),"Northern High School")</f>
        <v>Northern High School</v>
      </c>
      <c r="G272" s="1">
        <f ca="1">IFERROR(__xludf.DUMMYFUNCTION("""COMPUTED_VALUE"""),0)</f>
        <v>0</v>
      </c>
      <c r="H272" s="1">
        <f ca="1">IFERROR(__xludf.DUMMYFUNCTION("""COMPUTED_VALUE"""),0)</f>
        <v>0</v>
      </c>
      <c r="I272" s="1">
        <f ca="1">IFERROR(__xludf.DUMMYFUNCTION("""COMPUTED_VALUE"""),0)</f>
        <v>0</v>
      </c>
      <c r="J272" s="1">
        <f ca="1">IFERROR(__xludf.DUMMYFUNCTION("""COMPUTED_VALUE"""),0)</f>
        <v>0</v>
      </c>
      <c r="K272" s="1" t="str">
        <f ca="1">IFERROR(__xludf.DUMMYFUNCTION("""COMPUTED_VALUE"""),"Spring")</f>
        <v>Spring</v>
      </c>
      <c r="L272" s="1" t="str">
        <f ca="1">IFERROR(__xludf.DUMMYFUNCTION("""COMPUTED_VALUE"""),"Durham")</f>
        <v>Durham</v>
      </c>
      <c r="M272" s="1" t="str">
        <f ca="1">IFERROR(__xludf.DUMMYFUNCTION("""COMPUTED_VALUE"""),"NC")</f>
        <v>NC</v>
      </c>
      <c r="N272" s="1" t="str">
        <f ca="1">IFERROR(__xludf.DUMMYFUNCTION("""COMPUTED_VALUE"""),"High")</f>
        <v>High</v>
      </c>
      <c r="O272" s="1" t="str">
        <f ca="1">IFERROR(__xludf.DUMMYFUNCTION("""COMPUTED_VALUE"""),"Off School Property")</f>
        <v>Off School Property</v>
      </c>
      <c r="P272" s="1" t="str">
        <f ca="1">IFERROR(__xludf.DUMMYFUNCTION("""COMPUTED_VALUE"""),"Off School Property")</f>
        <v>Off School Property</v>
      </c>
      <c r="Q272" s="1" t="str">
        <f ca="1">IFERROR(__xludf.DUMMYFUNCTION("""COMPUTED_VALUE"""),"Yes")</f>
        <v>Yes</v>
      </c>
      <c r="R272" s="1" t="str">
        <f ca="1">IFERROR(__xludf.DUMMYFUNCTION("""COMPUTED_VALUE"""),"Afternoon Classes")</f>
        <v>Afternoon Classes</v>
      </c>
      <c r="S272" s="5">
        <f ca="1">IFERROR(__xludf.DUMMYFUNCTION("""COMPUTED_VALUE"""),0.583333333333333)</f>
        <v>0.58333333333333304</v>
      </c>
      <c r="T272" s="1">
        <f ca="1">IFERROR(__xludf.DUMMYFUNCTION("""COMPUTED_VALUE"""),1)</f>
        <v>1</v>
      </c>
      <c r="U272" s="1" t="str">
        <f ca="1">IFERROR(__xludf.DUMMYFUNCTION("""COMPUTED_VALUE"""),"Teen was dropped of on street behind high school with AK-47 rifle wearing ski mask, school went on lockdown")</f>
        <v>Teen was dropped of on street behind high school with AK-47 rifle wearing ski mask, school went on lockdown</v>
      </c>
      <c r="V272" s="1" t="str">
        <f ca="1">IFERROR(__xludf.DUMMYFUNCTION("""COMPUTED_VALUE"""),"16-year-old was dropped of on street behind high school with AK-47 rifle wearing ski mask, school went on lockdown. Police arrested teen off school property. Third time teen was arrested with a firearm.")</f>
        <v>16-year-old was dropped of on street behind high school with AK-47 rifle wearing ski mask, school went on lockdown. Police arrested teen off school property. Third time teen was arrested with a firearm.</v>
      </c>
      <c r="W272" s="1"/>
      <c r="X272" s="1"/>
      <c r="Y272" s="1" t="str">
        <f ca="1">IFERROR(__xludf.DUMMYFUNCTION("""COMPUTED_VALUE"""),"Yes")</f>
        <v>Yes</v>
      </c>
      <c r="Z272" s="1" t="str">
        <f ca="1">IFERROR(__xludf.DUMMYFUNCTION("""COMPUTED_VALUE"""),"Dropped off in stolen vehicle")</f>
        <v>Dropped off in stolen vehicle</v>
      </c>
      <c r="AA272" s="1" t="str">
        <f ca="1">IFERROR(__xludf.DUMMYFUNCTION("""COMPUTED_VALUE"""),"No")</f>
        <v>No</v>
      </c>
      <c r="AB272" s="1" t="str">
        <f ca="1">IFERROR(__xludf.DUMMYFUNCTION("""COMPUTED_VALUE"""),"No")</f>
        <v>No</v>
      </c>
      <c r="AC272" s="1" t="str">
        <f ca="1">IFERROR(__xludf.DUMMYFUNCTION("""COMPUTED_VALUE"""),"No")</f>
        <v>No</v>
      </c>
      <c r="AD272" s="1" t="str">
        <f ca="1">IFERROR(__xludf.DUMMYFUNCTION("""COMPUTED_VALUE"""),"No")</f>
        <v>No</v>
      </c>
      <c r="AE272" s="1" t="str">
        <f ca="1">IFERROR(__xludf.DUMMYFUNCTION("""COMPUTED_VALUE"""),"No")</f>
        <v>No</v>
      </c>
      <c r="AF272" s="1"/>
      <c r="AG272" s="1" t="str">
        <f ca="1">IFERROR(__xludf.DUMMYFUNCTION("""COMPUTED_VALUE"""),"No")</f>
        <v>No</v>
      </c>
      <c r="AH272" s="1">
        <f ca="1">IFERROR(__xludf.DUMMYFUNCTION("""COMPUTED_VALUE"""),0)</f>
        <v>0</v>
      </c>
    </row>
    <row r="273" spans="1:34" ht="12.5">
      <c r="A273" s="1" t="str">
        <f ca="1">IFERROR(__xludf.DUMMYFUNCTION("""COMPUTED_VALUE"""),"20230524NCJHG")</f>
        <v>20230524NCJHG</v>
      </c>
      <c r="B273" s="1">
        <f ca="1">IFERROR(__xludf.DUMMYFUNCTION("""COMPUTED_VALUE"""),5)</f>
        <v>5</v>
      </c>
      <c r="C273" s="1">
        <f ca="1">IFERROR(__xludf.DUMMYFUNCTION("""COMPUTED_VALUE"""),24)</f>
        <v>24</v>
      </c>
      <c r="D273" s="1">
        <f ca="1">IFERROR(__xludf.DUMMYFUNCTION("""COMPUTED_VALUE"""),2023)</f>
        <v>2023</v>
      </c>
      <c r="E273" s="4">
        <f ca="1">IFERROR(__xludf.DUMMYFUNCTION("""COMPUTED_VALUE"""),45070)</f>
        <v>45070</v>
      </c>
      <c r="F273" s="1" t="str">
        <f ca="1">IFERROR(__xludf.DUMMYFUNCTION("""COMPUTED_VALUE"""),"J.H. Rose High School")</f>
        <v>J.H. Rose High School</v>
      </c>
      <c r="G273" s="1">
        <f ca="1">IFERROR(__xludf.DUMMYFUNCTION("""COMPUTED_VALUE"""),0)</f>
        <v>0</v>
      </c>
      <c r="H273" s="1">
        <f ca="1">IFERROR(__xludf.DUMMYFUNCTION("""COMPUTED_VALUE"""),1)</f>
        <v>1</v>
      </c>
      <c r="I273" s="1">
        <f ca="1">IFERROR(__xludf.DUMMYFUNCTION("""COMPUTED_VALUE"""),1)</f>
        <v>1</v>
      </c>
      <c r="J273" s="1">
        <f ca="1">IFERROR(__xludf.DUMMYFUNCTION("""COMPUTED_VALUE"""),0)</f>
        <v>0</v>
      </c>
      <c r="K273" s="1" t="str">
        <f ca="1">IFERROR(__xludf.DUMMYFUNCTION("""COMPUTED_VALUE"""),"Spring")</f>
        <v>Spring</v>
      </c>
      <c r="L273" s="1" t="str">
        <f ca="1">IFERROR(__xludf.DUMMYFUNCTION("""COMPUTED_VALUE"""),"Greenville")</f>
        <v>Greenville</v>
      </c>
      <c r="M273" s="1" t="str">
        <f ca="1">IFERROR(__xludf.DUMMYFUNCTION("""COMPUTED_VALUE"""),"NC")</f>
        <v>NC</v>
      </c>
      <c r="N273" s="1" t="str">
        <f ca="1">IFERROR(__xludf.DUMMYFUNCTION("""COMPUTED_VALUE"""),"High")</f>
        <v>High</v>
      </c>
      <c r="O273" s="1" t="str">
        <f ca="1">IFERROR(__xludf.DUMMYFUNCTION("""COMPUTED_VALUE"""),"Football Field/Track")</f>
        <v>Football Field/Track</v>
      </c>
      <c r="P273" s="1" t="str">
        <f ca="1">IFERROR(__xludf.DUMMYFUNCTION("""COMPUTED_VALUE"""),"Outside on School Property")</f>
        <v>Outside on School Property</v>
      </c>
      <c r="Q273" s="1" t="str">
        <f ca="1">IFERROR(__xludf.DUMMYFUNCTION("""COMPUTED_VALUE"""),"Yes")</f>
        <v>Yes</v>
      </c>
      <c r="R273" s="1" t="str">
        <f ca="1">IFERROR(__xludf.DUMMYFUNCTION("""COMPUTED_VALUE"""),"Morning Classes")</f>
        <v>Morning Classes</v>
      </c>
      <c r="S273" s="5">
        <f ca="1">IFERROR(__xludf.DUMMYFUNCTION("""COMPUTED_VALUE"""),0.444444444444444)</f>
        <v>0.44444444444444398</v>
      </c>
      <c r="T273" s="1">
        <f ca="1">IFERROR(__xludf.DUMMYFUNCTION("""COMPUTED_VALUE"""),1)</f>
        <v>1</v>
      </c>
      <c r="U273" s="1" t="str">
        <f ca="1">IFERROR(__xludf.DUMMYFUNCTION("""COMPUTED_VALUE"""),"Teen shot on athletic field during morning classes")</f>
        <v>Teen shot on athletic field during morning classes</v>
      </c>
      <c r="V273" s="1" t="str">
        <f ca="1">IFERROR(__xludf.DUMMYFUNCTION("""COMPUTED_VALUE"""),"Around 10:40 in the morning, police responded to a Shotspotter alert in the immediate area of J.H. Rose High School. Officers found an 18-year-old male on a recreational practice field in the area of Marvin Jarman Drive. The man sustained a non-life-threa"&amp;"tening gunshot wound to the leg and was transported to ECU Health Medical Center. The shooting appears to have been a targeted incident. Investigators said the victim was not a student and the shooting was not related to any school activities. J.H. Rose H"&amp;"igh School was immediately secured and placed on lockdown for approximately 30 minutes as a precaution.")</f>
        <v>Around 10:40 in the morning, police responded to a Shotspotter alert in the immediate area of J.H. Rose High School. Officers found an 18-year-old male on a recreational practice field in the area of Marvin Jarman Drive. The man sustained a non-life-threatening gunshot wound to the leg and was transported to ECU Health Medical Center. The shooting appears to have been a targeted incident. Investigators said the victim was not a student and the shooting was not related to any school activities. J.H. Rose High School was immediately secured and placed on lockdown for approximately 30 minutes as a precaution.</v>
      </c>
      <c r="W273" s="1" t="str">
        <f ca="1">IFERROR(__xludf.DUMMYFUNCTION("""COMPUTED_VALUE"""),"Escalation of Dispute")</f>
        <v>Escalation of Dispute</v>
      </c>
      <c r="X273" s="1" t="str">
        <f ca="1">IFERROR(__xludf.DUMMYFUNCTION("""COMPUTED_VALUE"""),"Victims Targeted")</f>
        <v>Victims Targeted</v>
      </c>
      <c r="Y273" s="1" t="str">
        <f ca="1">IFERROR(__xludf.DUMMYFUNCTION("""COMPUTED_VALUE"""),"Yes")</f>
        <v>Yes</v>
      </c>
      <c r="Z273" s="1" t="str">
        <f ca="1">IFERROR(__xludf.DUMMYFUNCTION("""COMPUTED_VALUE"""),"4 people fled in vehicle")</f>
        <v>4 people fled in vehicle</v>
      </c>
      <c r="AA273" s="1" t="str">
        <f ca="1">IFERROR(__xludf.DUMMYFUNCTION("""COMPUTED_VALUE"""),"No")</f>
        <v>No</v>
      </c>
      <c r="AB273" s="1" t="str">
        <f ca="1">IFERROR(__xludf.DUMMYFUNCTION("""COMPUTED_VALUE"""),"No")</f>
        <v>No</v>
      </c>
      <c r="AC273" s="1" t="str">
        <f ca="1">IFERROR(__xludf.DUMMYFUNCTION("""COMPUTED_VALUE"""),"No")</f>
        <v>No</v>
      </c>
      <c r="AD273" s="1" t="str">
        <f ca="1">IFERROR(__xludf.DUMMYFUNCTION("""COMPUTED_VALUE"""),"No")</f>
        <v>No</v>
      </c>
      <c r="AE273" s="1" t="str">
        <f ca="1">IFERROR(__xludf.DUMMYFUNCTION("""COMPUTED_VALUE"""),"No")</f>
        <v>No</v>
      </c>
      <c r="AF273" s="1"/>
      <c r="AG273" s="1" t="str">
        <f ca="1">IFERROR(__xludf.DUMMYFUNCTION("""COMPUTED_VALUE"""),"No")</f>
        <v>No</v>
      </c>
      <c r="AH273" s="1">
        <f ca="1">IFERROR(__xludf.DUMMYFUNCTION("""COMPUTED_VALUE"""),9)</f>
        <v>9</v>
      </c>
    </row>
    <row r="274" spans="1:34" ht="12.5">
      <c r="A274" s="1" t="str">
        <f ca="1">IFERROR(__xludf.DUMMYFUNCTION("""COMPUTED_VALUE"""),"20230523MIYPY")</f>
        <v>20230523MIYPY</v>
      </c>
      <c r="B274" s="1">
        <f ca="1">IFERROR(__xludf.DUMMYFUNCTION("""COMPUTED_VALUE"""),5)</f>
        <v>5</v>
      </c>
      <c r="C274" s="1">
        <f ca="1">IFERROR(__xludf.DUMMYFUNCTION("""COMPUTED_VALUE"""),23)</f>
        <v>23</v>
      </c>
      <c r="D274" s="1">
        <f ca="1">IFERROR(__xludf.DUMMYFUNCTION("""COMPUTED_VALUE"""),2023)</f>
        <v>2023</v>
      </c>
      <c r="E274" s="4">
        <f ca="1">IFERROR(__xludf.DUMMYFUNCTION("""COMPUTED_VALUE"""),45069)</f>
        <v>45069</v>
      </c>
      <c r="F274" s="1" t="str">
        <f ca="1">IFERROR(__xludf.DUMMYFUNCTION("""COMPUTED_VALUE"""),"Ypsilanti Community Schools Bus")</f>
        <v>Ypsilanti Community Schools Bus</v>
      </c>
      <c r="G274" s="1">
        <f ca="1">IFERROR(__xludf.DUMMYFUNCTION("""COMPUTED_VALUE"""),0)</f>
        <v>0</v>
      </c>
      <c r="H274" s="1">
        <f ca="1">IFERROR(__xludf.DUMMYFUNCTION("""COMPUTED_VALUE"""),0)</f>
        <v>0</v>
      </c>
      <c r="I274" s="1">
        <f ca="1">IFERROR(__xludf.DUMMYFUNCTION("""COMPUTED_VALUE"""),0)</f>
        <v>0</v>
      </c>
      <c r="J274" s="1">
        <f ca="1">IFERROR(__xludf.DUMMYFUNCTION("""COMPUTED_VALUE"""),0)</f>
        <v>0</v>
      </c>
      <c r="K274" s="1" t="str">
        <f ca="1">IFERROR(__xludf.DUMMYFUNCTION("""COMPUTED_VALUE"""),"Spring")</f>
        <v>Spring</v>
      </c>
      <c r="L274" s="1" t="str">
        <f ca="1">IFERROR(__xludf.DUMMYFUNCTION("""COMPUTED_VALUE"""),"Ypsilanti")</f>
        <v>Ypsilanti</v>
      </c>
      <c r="M274" s="1" t="str">
        <f ca="1">IFERROR(__xludf.DUMMYFUNCTION("""COMPUTED_VALUE"""),"MI")</f>
        <v>MI</v>
      </c>
      <c r="N274" s="1" t="str">
        <f ca="1">IFERROR(__xludf.DUMMYFUNCTION("""COMPUTED_VALUE"""),"Elementary")</f>
        <v>Elementary</v>
      </c>
      <c r="O274" s="1" t="str">
        <f ca="1">IFERROR(__xludf.DUMMYFUNCTION("""COMPUTED_VALUE"""),"School Bus")</f>
        <v>School Bus</v>
      </c>
      <c r="P274" s="1" t="str">
        <f ca="1">IFERROR(__xludf.DUMMYFUNCTION("""COMPUTED_VALUE"""),"School Bus")</f>
        <v>School Bus</v>
      </c>
      <c r="Q274" s="1" t="str">
        <f ca="1">IFERROR(__xludf.DUMMYFUNCTION("""COMPUTED_VALUE"""),"Yes")</f>
        <v>Yes</v>
      </c>
      <c r="R274" s="1" t="str">
        <f ca="1">IFERROR(__xludf.DUMMYFUNCTION("""COMPUTED_VALUE"""),"Dismissal")</f>
        <v>Dismissal</v>
      </c>
      <c r="S274" s="5">
        <f ca="1">IFERROR(__xludf.DUMMYFUNCTION("""COMPUTED_VALUE"""),0.635416666666666)</f>
        <v>0.63541666666666596</v>
      </c>
      <c r="T274" s="1">
        <f ca="1">IFERROR(__xludf.DUMMYFUNCTION("""COMPUTED_VALUE"""),1)</f>
        <v>1</v>
      </c>
      <c r="U274" s="1" t="str">
        <f ca="1">IFERROR(__xludf.DUMMYFUNCTION("""COMPUTED_VALUE"""),"Bus struck by bullet while dropping off students")</f>
        <v>Bus struck by bullet while dropping off students</v>
      </c>
      <c r="V274" s="1" t="str">
        <f ca="1">IFERROR(__xludf.DUMMYFUNCTION("""COMPUTED_VALUE"""),"An Ypsilanti school bus was struck by gunfire (bullet went through the front windshield) Monday afternoon while dropping off students after someone opened fire. A call of shots fired came to the Washtenaw County Sheriff's Office around 3:15 p.m. in the ar"&amp;"ea of Concord and Bedford drives, and as deputies were en route, they received additional information that a school bus was struck. The investigation is ongoing, but preliminary findings indicate that the bus was not the intended target, said Derrick Jack"&amp;"son, spokesman for the agency. The passengers and driver were all unharmed, said Ypsilanti Community Schools Superintendent Alena Zachery-Ross in a letter to families explaining the incident Monday. The school bus driver and monitor ensured each student's"&amp;" safety and acted within the district's safety procedures, Zachery-Ross said.")</f>
        <v>An Ypsilanti school bus was struck by gunfire (bullet went through the front windshield) Monday afternoon while dropping off students after someone opened fire. A call of shots fired came to the Washtenaw County Sheriff's Office around 3:15 p.m. in the area of Concord and Bedford drives, and as deputies were en route, they received additional information that a school bus was struck. The investigation is ongoing, but preliminary findings indicate that the bus was not the intended target, said Derrick Jackson, spokesman for the agency. The passengers and driver were all unharmed, said Ypsilanti Community Schools Superintendent Alena Zachery-Ross in a letter to families explaining the incident Monday. The school bus driver and monitor ensured each student's safety and acted within the district's safety procedures, Zachery-Ross said.</v>
      </c>
      <c r="W274" s="1" t="str">
        <f ca="1">IFERROR(__xludf.DUMMYFUNCTION("""COMPUTED_VALUE"""),"Escalation of Dispute")</f>
        <v>Escalation of Dispute</v>
      </c>
      <c r="X274" s="1" t="str">
        <f ca="1">IFERROR(__xludf.DUMMYFUNCTION("""COMPUTED_VALUE"""),"Victims Targeted")</f>
        <v>Victims Targeted</v>
      </c>
      <c r="Y274" s="1" t="str">
        <f ca="1">IFERROR(__xludf.DUMMYFUNCTION("""COMPUTED_VALUE"""),"No")</f>
        <v>No</v>
      </c>
      <c r="Z274" s="1"/>
      <c r="AA274" s="1" t="str">
        <f ca="1">IFERROR(__xludf.DUMMYFUNCTION("""COMPUTED_VALUE"""),"No")</f>
        <v>No</v>
      </c>
      <c r="AB274" s="1" t="str">
        <f ca="1">IFERROR(__xludf.DUMMYFUNCTION("""COMPUTED_VALUE"""),"No")</f>
        <v>No</v>
      </c>
      <c r="AC274" s="1" t="str">
        <f ca="1">IFERROR(__xludf.DUMMYFUNCTION("""COMPUTED_VALUE"""),"No")</f>
        <v>No</v>
      </c>
      <c r="AD274" s="1" t="str">
        <f ca="1">IFERROR(__xludf.DUMMYFUNCTION("""COMPUTED_VALUE"""),"No")</f>
        <v>No</v>
      </c>
      <c r="AE274" s="1" t="str">
        <f ca="1">IFERROR(__xludf.DUMMYFUNCTION("""COMPUTED_VALUE"""),"No")</f>
        <v>No</v>
      </c>
      <c r="AF274" s="1"/>
      <c r="AG274" s="1" t="str">
        <f ca="1">IFERROR(__xludf.DUMMYFUNCTION("""COMPUTED_VALUE"""),"No")</f>
        <v>No</v>
      </c>
      <c r="AH274" s="1">
        <f ca="1">IFERROR(__xludf.DUMMYFUNCTION("""COMPUTED_VALUE"""),99)</f>
        <v>99</v>
      </c>
    </row>
    <row r="275" spans="1:34" ht="12.5">
      <c r="A275" s="1" t="str">
        <f ca="1">IFERROR(__xludf.DUMMYFUNCTION("""COMPUTED_VALUE"""),"20230522MASTD")</f>
        <v>20230522MASTD</v>
      </c>
      <c r="B275" s="1">
        <f ca="1">IFERROR(__xludf.DUMMYFUNCTION("""COMPUTED_VALUE"""),5)</f>
        <v>5</v>
      </c>
      <c r="C275" s="1">
        <f ca="1">IFERROR(__xludf.DUMMYFUNCTION("""COMPUTED_VALUE"""),22)</f>
        <v>22</v>
      </c>
      <c r="D275" s="1">
        <f ca="1">IFERROR(__xludf.DUMMYFUNCTION("""COMPUTED_VALUE"""),2023)</f>
        <v>2023</v>
      </c>
      <c r="E275" s="4">
        <f ca="1">IFERROR(__xludf.DUMMYFUNCTION("""COMPUTED_VALUE"""),45068)</f>
        <v>45068</v>
      </c>
      <c r="F275" s="1" t="str">
        <f ca="1">IFERROR(__xludf.DUMMYFUNCTION("""COMPUTED_VALUE"""),"St. John's Preparatory School")</f>
        <v>St. John's Preparatory School</v>
      </c>
      <c r="G275" s="1">
        <f ca="1">IFERROR(__xludf.DUMMYFUNCTION("""COMPUTED_VALUE"""),0)</f>
        <v>0</v>
      </c>
      <c r="H275" s="1">
        <f ca="1">IFERROR(__xludf.DUMMYFUNCTION("""COMPUTED_VALUE"""),0)</f>
        <v>0</v>
      </c>
      <c r="I275" s="1">
        <f ca="1">IFERROR(__xludf.DUMMYFUNCTION("""COMPUTED_VALUE"""),0)</f>
        <v>0</v>
      </c>
      <c r="J275" s="1">
        <f ca="1">IFERROR(__xludf.DUMMYFUNCTION("""COMPUTED_VALUE"""),0)</f>
        <v>0</v>
      </c>
      <c r="K275" s="1" t="str">
        <f ca="1">IFERROR(__xludf.DUMMYFUNCTION("""COMPUTED_VALUE"""),"Spring")</f>
        <v>Spring</v>
      </c>
      <c r="L275" s="1" t="str">
        <f ca="1">IFERROR(__xludf.DUMMYFUNCTION("""COMPUTED_VALUE"""),"Danvers")</f>
        <v>Danvers</v>
      </c>
      <c r="M275" s="1" t="str">
        <f ca="1">IFERROR(__xludf.DUMMYFUNCTION("""COMPUTED_VALUE"""),"MA")</f>
        <v>MA</v>
      </c>
      <c r="N275" s="1" t="str">
        <f ca="1">IFERROR(__xludf.DUMMYFUNCTION("""COMPUTED_VALUE"""),"High")</f>
        <v>High</v>
      </c>
      <c r="O275" s="1" t="str">
        <f ca="1">IFERROR(__xludf.DUMMYFUNCTION("""COMPUTED_VALUE"""),"Hallway")</f>
        <v>Hallway</v>
      </c>
      <c r="P275" s="1" t="str">
        <f ca="1">IFERROR(__xludf.DUMMYFUNCTION("""COMPUTED_VALUE"""),"Inside School Building")</f>
        <v>Inside School Building</v>
      </c>
      <c r="Q275" s="1" t="str">
        <f ca="1">IFERROR(__xludf.DUMMYFUNCTION("""COMPUTED_VALUE"""),"Yes")</f>
        <v>Yes</v>
      </c>
      <c r="R275" s="1" t="str">
        <f ca="1">IFERROR(__xludf.DUMMYFUNCTION("""COMPUTED_VALUE"""),"Afternoon Classes")</f>
        <v>Afternoon Classes</v>
      </c>
      <c r="S275" s="5">
        <f ca="1">IFERROR(__xludf.DUMMYFUNCTION("""COMPUTED_VALUE"""),0.583333333333333)</f>
        <v>0.58333333333333304</v>
      </c>
      <c r="T275" s="1">
        <f ca="1">IFERROR(__xludf.DUMMYFUNCTION("""COMPUTED_VALUE"""),1)</f>
        <v>1</v>
      </c>
      <c r="U275" s="1" t="str">
        <f ca="1">IFERROR(__xludf.DUMMYFUNCTION("""COMPUTED_VALUE"""),"Officer fired shot while searching school during swatting hoax")</f>
        <v>Officer fired shot while searching school during swatting hoax</v>
      </c>
      <c r="V275" s="1" t="str">
        <f ca="1">IFERROR(__xludf.DUMMYFUNCTION("""COMPUTED_VALUE"""),"Danvers Police and the school’s superintendent gave an update just after 4 p.m. saying an officer’s gun accidentally went off which elevated the situation from a swatting response to an actual active shooter situation. “We are aware of reports of a single"&amp;", accidental discharge of a firearm by a responding Danvers officer,” state police said. Local and state police descended upon the school on Spring Street shortly before 2 p.m. and immediately ordered students and staff to shelter in place. School remaine"&amp;"d locked down until 4pm and classes cancelled the following 2 days.")</f>
        <v>Danvers Police and the school’s superintendent gave an update just after 4 p.m. saying an officer’s gun accidentally went off which elevated the situation from a swatting response to an actual active shooter situation. “We are aware of reports of a single, accidental discharge of a firearm by a responding Danvers officer,” state police said. Local and state police descended upon the school on Spring Street shortly before 2 p.m. and immediately ordered students and staff to shelter in place. School remained locked down until 4pm and classes cancelled the following 2 days.</v>
      </c>
      <c r="W275" s="1" t="str">
        <f ca="1">IFERROR(__xludf.DUMMYFUNCTION("""COMPUTED_VALUE"""),"Accidental")</f>
        <v>Accidental</v>
      </c>
      <c r="X275" s="1" t="str">
        <f ca="1">IFERROR(__xludf.DUMMYFUNCTION("""COMPUTED_VALUE"""),"Neither")</f>
        <v>Neither</v>
      </c>
      <c r="Y275" s="1" t="str">
        <f ca="1">IFERROR(__xludf.DUMMYFUNCTION("""COMPUTED_VALUE"""),"No")</f>
        <v>No</v>
      </c>
      <c r="Z275" s="1"/>
      <c r="AA275" s="1" t="str">
        <f ca="1">IFERROR(__xludf.DUMMYFUNCTION("""COMPUTED_VALUE"""),"No")</f>
        <v>No</v>
      </c>
      <c r="AB275" s="1" t="str">
        <f ca="1">IFERROR(__xludf.DUMMYFUNCTION("""COMPUTED_VALUE"""),"No")</f>
        <v>No</v>
      </c>
      <c r="AC275" s="1" t="str">
        <f ca="1">IFERROR(__xludf.DUMMYFUNCTION("""COMPUTED_VALUE"""),"Yes")</f>
        <v>Yes</v>
      </c>
      <c r="AD275" s="1" t="str">
        <f ca="1">IFERROR(__xludf.DUMMYFUNCTION("""COMPUTED_VALUE"""),"No")</f>
        <v>No</v>
      </c>
      <c r="AE275" s="1" t="str">
        <f ca="1">IFERROR(__xludf.DUMMYFUNCTION("""COMPUTED_VALUE"""),"No")</f>
        <v>No</v>
      </c>
      <c r="AF275" s="1" t="str">
        <f ca="1">IFERROR(__xludf.DUMMYFUNCTION("""COMPUTED_VALUE"""),"No")</f>
        <v>No</v>
      </c>
      <c r="AG275" s="1" t="str">
        <f ca="1">IFERROR(__xludf.DUMMYFUNCTION("""COMPUTED_VALUE"""),"No")</f>
        <v>No</v>
      </c>
      <c r="AH275" s="1">
        <f ca="1">IFERROR(__xludf.DUMMYFUNCTION("""COMPUTED_VALUE"""),1)</f>
        <v>1</v>
      </c>
    </row>
    <row r="276" spans="1:34" ht="12.5">
      <c r="A276" s="1" t="str">
        <f ca="1">IFERROR(__xludf.DUMMYFUNCTION("""COMPUTED_VALUE"""),"20230522DCKID")</f>
        <v>20230522DCKID</v>
      </c>
      <c r="B276" s="1">
        <f ca="1">IFERROR(__xludf.DUMMYFUNCTION("""COMPUTED_VALUE"""),5)</f>
        <v>5</v>
      </c>
      <c r="C276" s="1">
        <f ca="1">IFERROR(__xludf.DUMMYFUNCTION("""COMPUTED_VALUE"""),22)</f>
        <v>22</v>
      </c>
      <c r="D276" s="1">
        <f ca="1">IFERROR(__xludf.DUMMYFUNCTION("""COMPUTED_VALUE"""),2023)</f>
        <v>2023</v>
      </c>
      <c r="E276" s="4">
        <f ca="1">IFERROR(__xludf.DUMMYFUNCTION("""COMPUTED_VALUE"""),45068)</f>
        <v>45068</v>
      </c>
      <c r="F276" s="1" t="str">
        <f ca="1">IFERROR(__xludf.DUMMYFUNCTION("""COMPUTED_VALUE"""),"KIPP College Preparatry High School")</f>
        <v>KIPP College Preparatry High School</v>
      </c>
      <c r="G276" s="1">
        <f ca="1">IFERROR(__xludf.DUMMYFUNCTION("""COMPUTED_VALUE"""),0)</f>
        <v>0</v>
      </c>
      <c r="H276" s="1">
        <f ca="1">IFERROR(__xludf.DUMMYFUNCTION("""COMPUTED_VALUE"""),1)</f>
        <v>1</v>
      </c>
      <c r="I276" s="1">
        <f ca="1">IFERROR(__xludf.DUMMYFUNCTION("""COMPUTED_VALUE"""),1)</f>
        <v>1</v>
      </c>
      <c r="J276" s="1">
        <f ca="1">IFERROR(__xludf.DUMMYFUNCTION("""COMPUTED_VALUE"""),0)</f>
        <v>0</v>
      </c>
      <c r="K276" s="1" t="str">
        <f ca="1">IFERROR(__xludf.DUMMYFUNCTION("""COMPUTED_VALUE"""),"Spring")</f>
        <v>Spring</v>
      </c>
      <c r="L276" s="1" t="str">
        <f ca="1">IFERROR(__xludf.DUMMYFUNCTION("""COMPUTED_VALUE"""),"Washington")</f>
        <v>Washington</v>
      </c>
      <c r="M276" s="1" t="str">
        <f ca="1">IFERROR(__xludf.DUMMYFUNCTION("""COMPUTED_VALUE"""),"DC")</f>
        <v>DC</v>
      </c>
      <c r="N276" s="1" t="str">
        <f ca="1">IFERROR(__xludf.DUMMYFUNCTION("""COMPUTED_VALUE"""),"High")</f>
        <v>High</v>
      </c>
      <c r="O276" s="1" t="str">
        <f ca="1">IFERROR(__xludf.DUMMYFUNCTION("""COMPUTED_VALUE"""),"Front of School")</f>
        <v>Front of School</v>
      </c>
      <c r="P276" s="1" t="str">
        <f ca="1">IFERROR(__xludf.DUMMYFUNCTION("""COMPUTED_VALUE"""),"Outside on School Property")</f>
        <v>Outside on School Property</v>
      </c>
      <c r="Q276" s="1" t="str">
        <f ca="1">IFERROR(__xludf.DUMMYFUNCTION("""COMPUTED_VALUE"""),"Yes")</f>
        <v>Yes</v>
      </c>
      <c r="R276" s="1" t="str">
        <f ca="1">IFERROR(__xludf.DUMMYFUNCTION("""COMPUTED_VALUE"""),"Afternoon Classes")</f>
        <v>Afternoon Classes</v>
      </c>
      <c r="S276" s="5">
        <f ca="1">IFERROR(__xludf.DUMMYFUNCTION("""COMPUTED_VALUE"""),0.568055555555555)</f>
        <v>0.56805555555555498</v>
      </c>
      <c r="T276" s="1">
        <f ca="1">IFERROR(__xludf.DUMMYFUNCTION("""COMPUTED_VALUE"""),1)</f>
        <v>1</v>
      </c>
      <c r="U276" s="1" t="str">
        <f ca="1">IFERROR(__xludf.DUMMYFUNCTION("""COMPUTED_VALUE"""),"Student shot in front of the school during afternoon classes")</f>
        <v>Student shot in front of the school during afternoon classes</v>
      </c>
      <c r="V276" s="1" t="str">
        <f ca="1">IFERROR(__xludf.DUMMYFUNCTION("""COMPUTED_VALUE"""),"An 18-year-old student was shot in front of the school during afternoon classes during attempted robbery of Air Jordan shoes and cellphone. School went on lockdown, dismissed, and closed the following day. Shooter fled and was not identified.")</f>
        <v>An 18-year-old student was shot in front of the school during afternoon classes during attempted robbery of Air Jordan shoes and cellphone. School went on lockdown, dismissed, and closed the following day. Shooter fled and was not identified.</v>
      </c>
      <c r="W276" s="1" t="str">
        <f ca="1">IFERROR(__xludf.DUMMYFUNCTION("""COMPUTED_VALUE"""),"Illegal Activity")</f>
        <v>Illegal Activity</v>
      </c>
      <c r="X276" s="1" t="str">
        <f ca="1">IFERROR(__xludf.DUMMYFUNCTION("""COMPUTED_VALUE"""),"Victims Targeted")</f>
        <v>Victims Targeted</v>
      </c>
      <c r="Y276" s="1" t="str">
        <f ca="1">IFERROR(__xludf.DUMMYFUNCTION("""COMPUTED_VALUE"""),"No")</f>
        <v>No</v>
      </c>
      <c r="Z276" s="1"/>
      <c r="AA276" s="1" t="str">
        <f ca="1">IFERROR(__xludf.DUMMYFUNCTION("""COMPUTED_VALUE"""),"No")</f>
        <v>No</v>
      </c>
      <c r="AB276" s="1" t="str">
        <f ca="1">IFERROR(__xludf.DUMMYFUNCTION("""COMPUTED_VALUE"""),"No")</f>
        <v>No</v>
      </c>
      <c r="AC276" s="1" t="str">
        <f ca="1">IFERROR(__xludf.DUMMYFUNCTION("""COMPUTED_VALUE"""),"No")</f>
        <v>No</v>
      </c>
      <c r="AD276" s="1" t="str">
        <f ca="1">IFERROR(__xludf.DUMMYFUNCTION("""COMPUTED_VALUE"""),"No")</f>
        <v>No</v>
      </c>
      <c r="AE276" s="1" t="str">
        <f ca="1">IFERROR(__xludf.DUMMYFUNCTION("""COMPUTED_VALUE"""),"No")</f>
        <v>No</v>
      </c>
      <c r="AF276" s="1"/>
      <c r="AG276" s="1" t="str">
        <f ca="1">IFERROR(__xludf.DUMMYFUNCTION("""COMPUTED_VALUE"""),"No")</f>
        <v>No</v>
      </c>
      <c r="AH276" s="1">
        <f ca="1">IFERROR(__xludf.DUMMYFUNCTION("""COMPUTED_VALUE"""),99)</f>
        <v>99</v>
      </c>
    </row>
    <row r="277" spans="1:34" ht="12.5">
      <c r="A277" s="1" t="str">
        <f ca="1">IFERROR(__xludf.DUMMYFUNCTION("""COMPUTED_VALUE"""),"20230521NJCEN")</f>
        <v>20230521NJCEN</v>
      </c>
      <c r="B277" s="1">
        <f ca="1">IFERROR(__xludf.DUMMYFUNCTION("""COMPUTED_VALUE"""),5)</f>
        <v>5</v>
      </c>
      <c r="C277" s="1">
        <f ca="1">IFERROR(__xludf.DUMMYFUNCTION("""COMPUTED_VALUE"""),21)</f>
        <v>21</v>
      </c>
      <c r="D277" s="1">
        <f ca="1">IFERROR(__xludf.DUMMYFUNCTION("""COMPUTED_VALUE"""),2023)</f>
        <v>2023</v>
      </c>
      <c r="E277" s="4">
        <f ca="1">IFERROR(__xludf.DUMMYFUNCTION("""COMPUTED_VALUE"""),45067)</f>
        <v>45067</v>
      </c>
      <c r="F277" s="1" t="str">
        <f ca="1">IFERROR(__xludf.DUMMYFUNCTION("""COMPUTED_VALUE"""),"Central High School")</f>
        <v>Central High School</v>
      </c>
      <c r="G277" s="1">
        <f ca="1">IFERROR(__xludf.DUMMYFUNCTION("""COMPUTED_VALUE"""),0)</f>
        <v>0</v>
      </c>
      <c r="H277" s="1">
        <f ca="1">IFERROR(__xludf.DUMMYFUNCTION("""COMPUTED_VALUE"""),1)</f>
        <v>1</v>
      </c>
      <c r="I277" s="1">
        <f ca="1">IFERROR(__xludf.DUMMYFUNCTION("""COMPUTED_VALUE"""),1)</f>
        <v>1</v>
      </c>
      <c r="J277" s="1">
        <f ca="1">IFERROR(__xludf.DUMMYFUNCTION("""COMPUTED_VALUE"""),0)</f>
        <v>0</v>
      </c>
      <c r="K277" s="1" t="str">
        <f ca="1">IFERROR(__xludf.DUMMYFUNCTION("""COMPUTED_VALUE"""),"Spring")</f>
        <v>Spring</v>
      </c>
      <c r="L277" s="1" t="str">
        <f ca="1">IFERROR(__xludf.DUMMYFUNCTION("""COMPUTED_VALUE"""),"Newark")</f>
        <v>Newark</v>
      </c>
      <c r="M277" s="1" t="str">
        <f ca="1">IFERROR(__xludf.DUMMYFUNCTION("""COMPUTED_VALUE"""),"NJ")</f>
        <v>NJ</v>
      </c>
      <c r="N277" s="1" t="str">
        <f ca="1">IFERROR(__xludf.DUMMYFUNCTION("""COMPUTED_VALUE"""),"High")</f>
        <v>High</v>
      </c>
      <c r="O277" s="1" t="str">
        <f ca="1">IFERROR(__xludf.DUMMYFUNCTION("""COMPUTED_VALUE"""),"Football Field/Track")</f>
        <v>Football Field/Track</v>
      </c>
      <c r="P277" s="1" t="str">
        <f ca="1">IFERROR(__xludf.DUMMYFUNCTION("""COMPUTED_VALUE"""),"Outside on School Property")</f>
        <v>Outside on School Property</v>
      </c>
      <c r="Q277" s="1" t="str">
        <f ca="1">IFERROR(__xludf.DUMMYFUNCTION("""COMPUTED_VALUE"""),"No")</f>
        <v>No</v>
      </c>
      <c r="R277" s="1" t="str">
        <f ca="1">IFERROR(__xludf.DUMMYFUNCTION("""COMPUTED_VALUE"""),"Not a School Day")</f>
        <v>Not a School Day</v>
      </c>
      <c r="S277" s="5">
        <f ca="1">IFERROR(__xludf.DUMMYFUNCTION("""COMPUTED_VALUE"""),0.729166666666666)</f>
        <v>0.72916666666666596</v>
      </c>
      <c r="T277" s="1">
        <f ca="1">IFERROR(__xludf.DUMMYFUNCTION("""COMPUTED_VALUE"""),1)</f>
        <v>1</v>
      </c>
      <c r="U277" s="1" t="str">
        <f ca="1">IFERROR(__xludf.DUMMYFUNCTION("""COMPUTED_VALUE"""),"13-year-old shot near school football field")</f>
        <v>13-year-old shot near school football field</v>
      </c>
      <c r="V277" s="1" t="str">
        <f ca="1">IFERROR(__xludf.DUMMYFUNCTION("""COMPUTED_VALUE"""),"13-year-old shot near the school football field by teen with a ghost gun. Victim was critically injured.")</f>
        <v>13-year-old shot near the school football field by teen with a ghost gun. Victim was critically injured.</v>
      </c>
      <c r="W277" s="1"/>
      <c r="X277" s="1" t="str">
        <f ca="1">IFERROR(__xludf.DUMMYFUNCTION("""COMPUTED_VALUE"""),"Victims Targeted")</f>
        <v>Victims Targeted</v>
      </c>
      <c r="Y277" s="1" t="str">
        <f ca="1">IFERROR(__xludf.DUMMYFUNCTION("""COMPUTED_VALUE"""),"No")</f>
        <v>No</v>
      </c>
      <c r="Z277" s="1"/>
      <c r="AA277" s="1" t="str">
        <f ca="1">IFERROR(__xludf.DUMMYFUNCTION("""COMPUTED_VALUE"""),"No")</f>
        <v>No</v>
      </c>
      <c r="AB277" s="1" t="str">
        <f ca="1">IFERROR(__xludf.DUMMYFUNCTION("""COMPUTED_VALUE"""),"No")</f>
        <v>No</v>
      </c>
      <c r="AC277" s="1" t="str">
        <f ca="1">IFERROR(__xludf.DUMMYFUNCTION("""COMPUTED_VALUE"""),"No")</f>
        <v>No</v>
      </c>
      <c r="AD277" s="1" t="str">
        <f ca="1">IFERROR(__xludf.DUMMYFUNCTION("""COMPUTED_VALUE"""),"No")</f>
        <v>No</v>
      </c>
      <c r="AE277" s="1" t="str">
        <f ca="1">IFERROR(__xludf.DUMMYFUNCTION("""COMPUTED_VALUE"""),"No")</f>
        <v>No</v>
      </c>
      <c r="AF277" s="1"/>
      <c r="AG277" s="1" t="str">
        <f ca="1">IFERROR(__xludf.DUMMYFUNCTION("""COMPUTED_VALUE"""),"No")</f>
        <v>No</v>
      </c>
      <c r="AH277" s="1">
        <f ca="1">IFERROR(__xludf.DUMMYFUNCTION("""COMPUTED_VALUE"""),99)</f>
        <v>99</v>
      </c>
    </row>
    <row r="278" spans="1:34" ht="12.5">
      <c r="A278" s="1" t="str">
        <f ca="1">IFERROR(__xludf.DUMMYFUNCTION("""COMPUTED_VALUE"""),"20230519NYPSS")</f>
        <v>20230519NYPSS</v>
      </c>
      <c r="B278" s="1">
        <f ca="1">IFERROR(__xludf.DUMMYFUNCTION("""COMPUTED_VALUE"""),5)</f>
        <v>5</v>
      </c>
      <c r="C278" s="1">
        <f ca="1">IFERROR(__xludf.DUMMYFUNCTION("""COMPUTED_VALUE"""),19)</f>
        <v>19</v>
      </c>
      <c r="D278" s="1">
        <f ca="1">IFERROR(__xludf.DUMMYFUNCTION("""COMPUTED_VALUE"""),2023)</f>
        <v>2023</v>
      </c>
      <c r="E278" s="4">
        <f ca="1">IFERROR(__xludf.DUMMYFUNCTION("""COMPUTED_VALUE"""),45065)</f>
        <v>45065</v>
      </c>
      <c r="F278" s="1" t="str">
        <f ca="1">IFERROR(__xludf.DUMMYFUNCTION("""COMPUTED_VALUE"""),"P.S. 78")</f>
        <v>P.S. 78</v>
      </c>
      <c r="G278" s="1">
        <f ca="1">IFERROR(__xludf.DUMMYFUNCTION("""COMPUTED_VALUE"""),0)</f>
        <v>0</v>
      </c>
      <c r="H278" s="1">
        <f ca="1">IFERROR(__xludf.DUMMYFUNCTION("""COMPUTED_VALUE"""),1)</f>
        <v>1</v>
      </c>
      <c r="I278" s="1">
        <f ca="1">IFERROR(__xludf.DUMMYFUNCTION("""COMPUTED_VALUE"""),1)</f>
        <v>1</v>
      </c>
      <c r="J278" s="1">
        <f ca="1">IFERROR(__xludf.DUMMYFUNCTION("""COMPUTED_VALUE"""),0)</f>
        <v>0</v>
      </c>
      <c r="K278" s="1" t="str">
        <f ca="1">IFERROR(__xludf.DUMMYFUNCTION("""COMPUTED_VALUE"""),"Spring")</f>
        <v>Spring</v>
      </c>
      <c r="L278" s="1" t="str">
        <f ca="1">IFERROR(__xludf.DUMMYFUNCTION("""COMPUTED_VALUE"""),"Staten Island")</f>
        <v>Staten Island</v>
      </c>
      <c r="M278" s="1" t="str">
        <f ca="1">IFERROR(__xludf.DUMMYFUNCTION("""COMPUTED_VALUE"""),"NY")</f>
        <v>NY</v>
      </c>
      <c r="N278" s="1" t="str">
        <f ca="1">IFERROR(__xludf.DUMMYFUNCTION("""COMPUTED_VALUE"""),"Elementary")</f>
        <v>Elementary</v>
      </c>
      <c r="O278" s="1" t="str">
        <f ca="1">IFERROR(__xludf.DUMMYFUNCTION("""COMPUTED_VALUE"""),"Basketball Court")</f>
        <v>Basketball Court</v>
      </c>
      <c r="P278" s="1" t="str">
        <f ca="1">IFERROR(__xludf.DUMMYFUNCTION("""COMPUTED_VALUE"""),"Outside on School Property")</f>
        <v>Outside on School Property</v>
      </c>
      <c r="Q278" s="1" t="str">
        <f ca="1">IFERROR(__xludf.DUMMYFUNCTION("""COMPUTED_VALUE"""),"Yes")</f>
        <v>Yes</v>
      </c>
      <c r="R278" s="1" t="str">
        <f ca="1">IFERROR(__xludf.DUMMYFUNCTION("""COMPUTED_VALUE"""),"Dismissal")</f>
        <v>Dismissal</v>
      </c>
      <c r="S278" s="5">
        <f ca="1">IFERROR(__xludf.DUMMYFUNCTION("""COMPUTED_VALUE"""),0.666666666666666)</f>
        <v>0.66666666666666596</v>
      </c>
      <c r="T278" s="1">
        <f ca="1">IFERROR(__xludf.DUMMYFUNCTION("""COMPUTED_VALUE"""),1)</f>
        <v>1</v>
      </c>
      <c r="U278" s="1" t="str">
        <f ca="1">IFERROR(__xludf.DUMMYFUNCTION("""COMPUTED_VALUE"""),"Teen shot in head on basketball court, shot was fired at a group of students")</f>
        <v>Teen shot in head on basketball court, shot was fired at a group of students</v>
      </c>
      <c r="V278" s="1" t="str">
        <f ca="1">IFERROR(__xludf.DUMMYFUNCTION("""COMPUTED_VALUE"""),"13-year-old was on the basketball court when two shots were fired. The shooting occurred about a block away from his school, I.S. 49, as the teen was hanging out with a group of friends, police said. That's when another teen a distance away fired two guns"&amp;"hots into the group, with one of the bullets striking the teen in the face, according to witnesses. Police said the shooter is believed to be between the ages of 15-18, and about 5'7.")</f>
        <v>13-year-old was on the basketball court when two shots were fired. The shooting occurred about a block away from his school, I.S. 49, as the teen was hanging out with a group of friends, police said. That's when another teen a distance away fired two gunshots into the group, with one of the bullets striking the teen in the face, according to witnesses. Police said the shooter is believed to be between the ages of 15-18, and about 5'7.</v>
      </c>
      <c r="W278" s="1" t="str">
        <f ca="1">IFERROR(__xludf.DUMMYFUNCTION("""COMPUTED_VALUE"""),"Escalation of Dispute")</f>
        <v>Escalation of Dispute</v>
      </c>
      <c r="X278" s="1" t="str">
        <f ca="1">IFERROR(__xludf.DUMMYFUNCTION("""COMPUTED_VALUE"""),"Both")</f>
        <v>Both</v>
      </c>
      <c r="Y278" s="1" t="str">
        <f ca="1">IFERROR(__xludf.DUMMYFUNCTION("""COMPUTED_VALUE"""),"No")</f>
        <v>No</v>
      </c>
      <c r="Z278" s="1"/>
      <c r="AA278" s="1" t="str">
        <f ca="1">IFERROR(__xludf.DUMMYFUNCTION("""COMPUTED_VALUE"""),"No")</f>
        <v>No</v>
      </c>
      <c r="AB278" s="1" t="str">
        <f ca="1">IFERROR(__xludf.DUMMYFUNCTION("""COMPUTED_VALUE"""),"No")</f>
        <v>No</v>
      </c>
      <c r="AC278" s="1" t="str">
        <f ca="1">IFERROR(__xludf.DUMMYFUNCTION("""COMPUTED_VALUE"""),"No")</f>
        <v>No</v>
      </c>
      <c r="AD278" s="1" t="str">
        <f ca="1">IFERROR(__xludf.DUMMYFUNCTION("""COMPUTED_VALUE"""),"No")</f>
        <v>No</v>
      </c>
      <c r="AE278" s="1" t="str">
        <f ca="1">IFERROR(__xludf.DUMMYFUNCTION("""COMPUTED_VALUE"""),"No")</f>
        <v>No</v>
      </c>
      <c r="AF278" s="1"/>
      <c r="AG278" s="1" t="str">
        <f ca="1">IFERROR(__xludf.DUMMYFUNCTION("""COMPUTED_VALUE"""),"No")</f>
        <v>No</v>
      </c>
      <c r="AH278" s="1">
        <f ca="1">IFERROR(__xludf.DUMMYFUNCTION("""COMPUTED_VALUE"""),2)</f>
        <v>2</v>
      </c>
    </row>
    <row r="279" spans="1:34" ht="12.5">
      <c r="A279" s="1" t="str">
        <f ca="1">IFERROR(__xludf.DUMMYFUNCTION("""COMPUTED_VALUE"""),"20230519DEFAD")</f>
        <v>20230519DEFAD</v>
      </c>
      <c r="B279" s="1">
        <f ca="1">IFERROR(__xludf.DUMMYFUNCTION("""COMPUTED_VALUE"""),5)</f>
        <v>5</v>
      </c>
      <c r="C279" s="1">
        <f ca="1">IFERROR(__xludf.DUMMYFUNCTION("""COMPUTED_VALUE"""),19)</f>
        <v>19</v>
      </c>
      <c r="D279" s="1">
        <f ca="1">IFERROR(__xludf.DUMMYFUNCTION("""COMPUTED_VALUE"""),2023)</f>
        <v>2023</v>
      </c>
      <c r="E279" s="4">
        <f ca="1">IFERROR(__xludf.DUMMYFUNCTION("""COMPUTED_VALUE"""),45065)</f>
        <v>45065</v>
      </c>
      <c r="F279" s="1" t="str">
        <f ca="1">IFERROR(__xludf.DUMMYFUNCTION("""COMPUTED_VALUE"""),"Fair View Elementary School")</f>
        <v>Fair View Elementary School</v>
      </c>
      <c r="G279" s="1">
        <f ca="1">IFERROR(__xludf.DUMMYFUNCTION("""COMPUTED_VALUE"""),0)</f>
        <v>0</v>
      </c>
      <c r="H279" s="1">
        <f ca="1">IFERROR(__xludf.DUMMYFUNCTION("""COMPUTED_VALUE"""),0)</f>
        <v>0</v>
      </c>
      <c r="I279" s="1">
        <f ca="1">IFERROR(__xludf.DUMMYFUNCTION("""COMPUTED_VALUE"""),0)</f>
        <v>0</v>
      </c>
      <c r="J279" s="1">
        <f ca="1">IFERROR(__xludf.DUMMYFUNCTION("""COMPUTED_VALUE"""),0)</f>
        <v>0</v>
      </c>
      <c r="K279" s="1" t="str">
        <f ca="1">IFERROR(__xludf.DUMMYFUNCTION("""COMPUTED_VALUE"""),"Spring")</f>
        <v>Spring</v>
      </c>
      <c r="L279" s="1" t="str">
        <f ca="1">IFERROR(__xludf.DUMMYFUNCTION("""COMPUTED_VALUE"""),"Dover")</f>
        <v>Dover</v>
      </c>
      <c r="M279" s="1" t="str">
        <f ca="1">IFERROR(__xludf.DUMMYFUNCTION("""COMPUTED_VALUE"""),"DE")</f>
        <v>DE</v>
      </c>
      <c r="N279" s="1" t="str">
        <f ca="1">IFERROR(__xludf.DUMMYFUNCTION("""COMPUTED_VALUE"""),"Elementary")</f>
        <v>Elementary</v>
      </c>
      <c r="O279" s="1" t="str">
        <f ca="1">IFERROR(__xludf.DUMMYFUNCTION("""COMPUTED_VALUE"""),"Beside Building")</f>
        <v>Beside Building</v>
      </c>
      <c r="P279" s="1" t="str">
        <f ca="1">IFERROR(__xludf.DUMMYFUNCTION("""COMPUTED_VALUE"""),"Outside on School Property")</f>
        <v>Outside on School Property</v>
      </c>
      <c r="Q279" s="1" t="str">
        <f ca="1">IFERROR(__xludf.DUMMYFUNCTION("""COMPUTED_VALUE"""),"No")</f>
        <v>No</v>
      </c>
      <c r="R279" s="1" t="str">
        <f ca="1">IFERROR(__xludf.DUMMYFUNCTION("""COMPUTED_VALUE"""),"Before School")</f>
        <v>Before School</v>
      </c>
      <c r="S279" s="5">
        <f ca="1">IFERROR(__xludf.DUMMYFUNCTION("""COMPUTED_VALUE"""),0.326388888888888)</f>
        <v>0.32638888888888801</v>
      </c>
      <c r="T279" s="1">
        <f ca="1">IFERROR(__xludf.DUMMYFUNCTION("""COMPUTED_VALUE"""),1)</f>
        <v>1</v>
      </c>
      <c r="U279" s="1" t="str">
        <f ca="1">IFERROR(__xludf.DUMMYFUNCTION("""COMPUTED_VALUE"""),"Window of school broken by bullet")</f>
        <v>Window of school broken by bullet</v>
      </c>
      <c r="V279" s="1" t="str">
        <f ca="1">IFERROR(__xludf.DUMMYFUNCTION("""COMPUTED_VALUE"""),"The Dover Police Department is investigating a shooting incident that left a home and a window at Fairview Elementary School damaged. The investigation began at approximately 7:50 a.m. on May 19th, when Dover Police received a call that a home in the 700 "&amp;"block of North West Street had been damaged by gunfire. Officers responded and located evidence consistent with the damage being caused by gunfire. The home was occupied at the time of the shooting however no residents were injured as a result. It was det"&amp;"ermined that at 1:10 a.m. Dover Police received a call for shots fired near the Hamlett Shopping Center, however no victims or crime scene were located at this time. Through further investigation, it was also revealed that a window at Fairview Elementary "&amp;"School had been damaged by gunfire during this same incident. No students or staff were present at the school the time of this shooting. Based on the information revealed through the investigation at this time, the school is not believed to be the intende"&amp;"d target of this incident.")</f>
        <v>The Dover Police Department is investigating a shooting incident that left a home and a window at Fairview Elementary School damaged. The investigation began at approximately 7:50 a.m. on May 19th, when Dover Police received a call that a home in the 700 block of North West Street had been damaged by gunfire. Officers responded and located evidence consistent with the damage being caused by gunfire. The home was occupied at the time of the shooting however no residents were injured as a result. It was determined that at 1:10 a.m. Dover Police received a call for shots fired near the Hamlett Shopping Center, however no victims or crime scene were located at this time. Through further investigation, it was also revealed that a window at Fairview Elementary School had been damaged by gunfire during this same incident. No students or staff were present at the school the time of this shooting. Based on the information revealed through the investigation at this time, the school is not believed to be the intended target of this incident.</v>
      </c>
      <c r="W279" s="1" t="str">
        <f ca="1">IFERROR(__xludf.DUMMYFUNCTION("""COMPUTED_VALUE"""),"Intentional Property Damage")</f>
        <v>Intentional Property Damage</v>
      </c>
      <c r="X279" s="1" t="str">
        <f ca="1">IFERROR(__xludf.DUMMYFUNCTION("""COMPUTED_VALUE"""),"Neither")</f>
        <v>Neither</v>
      </c>
      <c r="Y279" s="1" t="str">
        <f ca="1">IFERROR(__xludf.DUMMYFUNCTION("""COMPUTED_VALUE"""),"No")</f>
        <v>No</v>
      </c>
      <c r="Z279" s="1"/>
      <c r="AA279" s="1" t="str">
        <f ca="1">IFERROR(__xludf.DUMMYFUNCTION("""COMPUTED_VALUE"""),"No")</f>
        <v>No</v>
      </c>
      <c r="AB279" s="1" t="str">
        <f ca="1">IFERROR(__xludf.DUMMYFUNCTION("""COMPUTED_VALUE"""),"No")</f>
        <v>No</v>
      </c>
      <c r="AC279" s="1" t="str">
        <f ca="1">IFERROR(__xludf.DUMMYFUNCTION("""COMPUTED_VALUE"""),"No")</f>
        <v>No</v>
      </c>
      <c r="AD279" s="1" t="str">
        <f ca="1">IFERROR(__xludf.DUMMYFUNCTION("""COMPUTED_VALUE"""),"No")</f>
        <v>No</v>
      </c>
      <c r="AE279" s="1" t="str">
        <f ca="1">IFERROR(__xludf.DUMMYFUNCTION("""COMPUTED_VALUE"""),"No")</f>
        <v>No</v>
      </c>
      <c r="AF279" s="1" t="str">
        <f ca="1">IFERROR(__xludf.DUMMYFUNCTION("""COMPUTED_VALUE"""),"No")</f>
        <v>No</v>
      </c>
      <c r="AG279" s="1" t="str">
        <f ca="1">IFERROR(__xludf.DUMMYFUNCTION("""COMPUTED_VALUE"""),"No")</f>
        <v>No</v>
      </c>
      <c r="AH279" s="1">
        <f ca="1">IFERROR(__xludf.DUMMYFUNCTION("""COMPUTED_VALUE"""),99)</f>
        <v>99</v>
      </c>
    </row>
    <row r="280" spans="1:34" ht="12.5">
      <c r="A280" s="1" t="str">
        <f ca="1">IFERROR(__xludf.DUMMYFUNCTION("""COMPUTED_VALUE"""),"20230519AZBOP")</f>
        <v>20230519AZBOP</v>
      </c>
      <c r="B280" s="1">
        <f ca="1">IFERROR(__xludf.DUMMYFUNCTION("""COMPUTED_VALUE"""),5)</f>
        <v>5</v>
      </c>
      <c r="C280" s="1">
        <f ca="1">IFERROR(__xludf.DUMMYFUNCTION("""COMPUTED_VALUE"""),19)</f>
        <v>19</v>
      </c>
      <c r="D280" s="1">
        <f ca="1">IFERROR(__xludf.DUMMYFUNCTION("""COMPUTED_VALUE"""),2023)</f>
        <v>2023</v>
      </c>
      <c r="E280" s="4">
        <f ca="1">IFERROR(__xludf.DUMMYFUNCTION("""COMPUTED_VALUE"""),45065)</f>
        <v>45065</v>
      </c>
      <c r="F280" s="1" t="str">
        <f ca="1">IFERROR(__xludf.DUMMYFUNCTION("""COMPUTED_VALUE"""),"Bostrom High School")</f>
        <v>Bostrom High School</v>
      </c>
      <c r="G280" s="1">
        <f ca="1">IFERROR(__xludf.DUMMYFUNCTION("""COMPUTED_VALUE"""),0)</f>
        <v>0</v>
      </c>
      <c r="H280" s="1">
        <f ca="1">IFERROR(__xludf.DUMMYFUNCTION("""COMPUTED_VALUE"""),0)</f>
        <v>0</v>
      </c>
      <c r="I280" s="1">
        <f ca="1">IFERROR(__xludf.DUMMYFUNCTION("""COMPUTED_VALUE"""),0)</f>
        <v>0</v>
      </c>
      <c r="J280" s="1">
        <f ca="1">IFERROR(__xludf.DUMMYFUNCTION("""COMPUTED_VALUE"""),0)</f>
        <v>0</v>
      </c>
      <c r="K280" s="1" t="str">
        <f ca="1">IFERROR(__xludf.DUMMYFUNCTION("""COMPUTED_VALUE"""),"Spring")</f>
        <v>Spring</v>
      </c>
      <c r="L280" s="1" t="str">
        <f ca="1">IFERROR(__xludf.DUMMYFUNCTION("""COMPUTED_VALUE"""),"Phoenix")</f>
        <v>Phoenix</v>
      </c>
      <c r="M280" s="1" t="str">
        <f ca="1">IFERROR(__xludf.DUMMYFUNCTION("""COMPUTED_VALUE"""),"AZ")</f>
        <v>AZ</v>
      </c>
      <c r="N280" s="1" t="str">
        <f ca="1">IFERROR(__xludf.DUMMYFUNCTION("""COMPUTED_VALUE"""),"High")</f>
        <v>High</v>
      </c>
      <c r="O280" s="1" t="str">
        <f ca="1">IFERROR(__xludf.DUMMYFUNCTION("""COMPUTED_VALUE"""),"Office")</f>
        <v>Office</v>
      </c>
      <c r="P280" s="1" t="str">
        <f ca="1">IFERROR(__xludf.DUMMYFUNCTION("""COMPUTED_VALUE"""),"Inside School Building")</f>
        <v>Inside School Building</v>
      </c>
      <c r="Q280" s="1" t="str">
        <f ca="1">IFERROR(__xludf.DUMMYFUNCTION("""COMPUTED_VALUE"""),"Yes")</f>
        <v>Yes</v>
      </c>
      <c r="R280" s="1" t="str">
        <f ca="1">IFERROR(__xludf.DUMMYFUNCTION("""COMPUTED_VALUE"""),"Lunch")</f>
        <v>Lunch</v>
      </c>
      <c r="S280" s="5">
        <f ca="1">IFERROR(__xludf.DUMMYFUNCTION("""COMPUTED_VALUE"""),0.506944444444444)</f>
        <v>0.50694444444444398</v>
      </c>
      <c r="T280" s="1">
        <f ca="1">IFERROR(__xludf.DUMMYFUNCTION("""COMPUTED_VALUE"""),1)</f>
        <v>1</v>
      </c>
      <c r="U280" s="1" t="str">
        <f ca="1">IFERROR(__xludf.DUMMYFUNCTION("""COMPUTED_VALUE"""),"Student with AR-15 rifle and ammo arrested inside school office")</f>
        <v>Student with AR-15 rifle and ammo arrested inside school office</v>
      </c>
      <c r="V280" s="1" t="str">
        <f ca="1">IFERROR(__xludf.DUMMYFUNCTION("""COMPUTED_VALUE"""),"The 15-year-old accused of bringing an AR-15 to his Phoenix high school last week also allegedly possessed a device that would allow the weapon to function as a fully automatic machine gun, according to court documents. The boy allegedly brought the devic"&amp;"e — known as a ""lightning link"" — along with a disassembled AR-15 and ammunition to Bostrom High School on Friday, according to the probable cause statement. The AR-15 was disassembled into an upper and lower receiver, the two main parts of the gun, acc"&amp;"ording to the probable cause statement. “When combining the upper, lower receiver and lightning link together they create a prohibited weapon,” it says. An AR-15 is normally a semi-automatic weapon, but the addition of the lightning link would make it ful"&amp;"ly automatic. Student had extra ammo in his backpack and lunchbox. Police allegedly found the lightning link in the boy’s backpack along with a lower receiver for the rifle with a fully loaded magazine, additional ammunition and firearm-related accessorie"&amp;"s, it states. The upper receiver was found concealed inside the boy’s sweatpants “with the barrel facing upwards towards the officers” and a live cartridge inside the chamber, according to the document. Following the boy’s arrest, police assembled the pie"&amp;"ces of the AR-15 and found it “successfully test fired as a functioning firearm,” the probable cause statement says.")</f>
        <v>The 15-year-old accused of bringing an AR-15 to his Phoenix high school last week also allegedly possessed a device that would allow the weapon to function as a fully automatic machine gun, according to court documents. The boy allegedly brought the device — known as a "lightning link" — along with a disassembled AR-15 and ammunition to Bostrom High School on Friday, according to the probable cause statement. The AR-15 was disassembled into an upper and lower receiver, the two main parts of the gun, according to the probable cause statement. “When combining the upper, lower receiver and lightning link together they create a prohibited weapon,” it says. An AR-15 is normally a semi-automatic weapon, but the addition of the lightning link would make it fully automatic. Student had extra ammo in his backpack and lunchbox. Police allegedly found the lightning link in the boy’s backpack along with a lower receiver for the rifle with a fully loaded magazine, additional ammunition and firearm-related accessories, it states. The upper receiver was found concealed inside the boy’s sweatpants “with the barrel facing upwards towards the officers” and a live cartridge inside the chamber, according to the document. Following the boy’s arrest, police assembled the pieces of the AR-15 and found it “successfully test fired as a functioning firearm,” the probable cause statement says.</v>
      </c>
      <c r="W280" s="1" t="str">
        <f ca="1">IFERROR(__xludf.DUMMYFUNCTION("""COMPUTED_VALUE"""),"Indiscriminate Shooting")</f>
        <v>Indiscriminate Shooting</v>
      </c>
      <c r="X280" s="1"/>
      <c r="Y280" s="1" t="str">
        <f ca="1">IFERROR(__xludf.DUMMYFUNCTION("""COMPUTED_VALUE"""),"No")</f>
        <v>No</v>
      </c>
      <c r="Z280" s="1"/>
      <c r="AA280" s="1" t="str">
        <f ca="1">IFERROR(__xludf.DUMMYFUNCTION("""COMPUTED_VALUE"""),"No")</f>
        <v>No</v>
      </c>
      <c r="AB280" s="1" t="str">
        <f ca="1">IFERROR(__xludf.DUMMYFUNCTION("""COMPUTED_VALUE"""),"No")</f>
        <v>No</v>
      </c>
      <c r="AC280" s="1" t="str">
        <f ca="1">IFERROR(__xludf.DUMMYFUNCTION("""COMPUTED_VALUE"""),"No")</f>
        <v>No</v>
      </c>
      <c r="AD280" s="1"/>
      <c r="AE280" s="1" t="str">
        <f ca="1">IFERROR(__xludf.DUMMYFUNCTION("""COMPUTED_VALUE"""),"No")</f>
        <v>No</v>
      </c>
      <c r="AF280" s="1" t="str">
        <f ca="1">IFERROR(__xludf.DUMMYFUNCTION("""COMPUTED_VALUE"""),"No")</f>
        <v>No</v>
      </c>
      <c r="AG280" s="1" t="str">
        <f ca="1">IFERROR(__xludf.DUMMYFUNCTION("""COMPUTED_VALUE"""),"Yes")</f>
        <v>Yes</v>
      </c>
      <c r="AH280" s="1">
        <f ca="1">IFERROR(__xludf.DUMMYFUNCTION("""COMPUTED_VALUE"""),0)</f>
        <v>0</v>
      </c>
    </row>
    <row r="281" spans="1:34" ht="12.5">
      <c r="A281" s="1" t="str">
        <f ca="1">IFERROR(__xludf.DUMMYFUNCTION("""COMPUTED_VALUE"""),"20230518WAGAS")</f>
        <v>20230518WAGAS</v>
      </c>
      <c r="B281" s="1">
        <f ca="1">IFERROR(__xludf.DUMMYFUNCTION("""COMPUTED_VALUE"""),5)</f>
        <v>5</v>
      </c>
      <c r="C281" s="1">
        <f ca="1">IFERROR(__xludf.DUMMYFUNCTION("""COMPUTED_VALUE"""),18)</f>
        <v>18</v>
      </c>
      <c r="D281" s="1">
        <f ca="1">IFERROR(__xludf.DUMMYFUNCTION("""COMPUTED_VALUE"""),2023)</f>
        <v>2023</v>
      </c>
      <c r="E281" s="4">
        <f ca="1">IFERROR(__xludf.DUMMYFUNCTION("""COMPUTED_VALUE"""),45064)</f>
        <v>45064</v>
      </c>
      <c r="F281" s="1" t="str">
        <f ca="1">IFERROR(__xludf.DUMMYFUNCTION("""COMPUTED_VALUE"""),"Garfield High School")</f>
        <v>Garfield High School</v>
      </c>
      <c r="G281" s="1">
        <f ca="1">IFERROR(__xludf.DUMMYFUNCTION("""COMPUTED_VALUE"""),0)</f>
        <v>0</v>
      </c>
      <c r="H281" s="1">
        <f ca="1">IFERROR(__xludf.DUMMYFUNCTION("""COMPUTED_VALUE"""),1)</f>
        <v>1</v>
      </c>
      <c r="I281" s="1">
        <f ca="1">IFERROR(__xludf.DUMMYFUNCTION("""COMPUTED_VALUE"""),1)</f>
        <v>1</v>
      </c>
      <c r="J281" s="1">
        <f ca="1">IFERROR(__xludf.DUMMYFUNCTION("""COMPUTED_VALUE"""),0)</f>
        <v>0</v>
      </c>
      <c r="K281" s="1" t="str">
        <f ca="1">IFERROR(__xludf.DUMMYFUNCTION("""COMPUTED_VALUE"""),"Spring")</f>
        <v>Spring</v>
      </c>
      <c r="L281" s="1" t="str">
        <f ca="1">IFERROR(__xludf.DUMMYFUNCTION("""COMPUTED_VALUE"""),"Seattle")</f>
        <v>Seattle</v>
      </c>
      <c r="M281" s="1" t="str">
        <f ca="1">IFERROR(__xludf.DUMMYFUNCTION("""COMPUTED_VALUE"""),"WA")</f>
        <v>WA</v>
      </c>
      <c r="N281" s="1" t="str">
        <f ca="1">IFERROR(__xludf.DUMMYFUNCTION("""COMPUTED_VALUE"""),"High")</f>
        <v>High</v>
      </c>
      <c r="O281" s="1" t="str">
        <f ca="1">IFERROR(__xludf.DUMMYFUNCTION("""COMPUTED_VALUE"""),"Parking Lot")</f>
        <v>Parking Lot</v>
      </c>
      <c r="P281" s="1" t="str">
        <f ca="1">IFERROR(__xludf.DUMMYFUNCTION("""COMPUTED_VALUE"""),"Outside on School Property")</f>
        <v>Outside on School Property</v>
      </c>
      <c r="Q281" s="1" t="str">
        <f ca="1">IFERROR(__xludf.DUMMYFUNCTION("""COMPUTED_VALUE"""),"Yes")</f>
        <v>Yes</v>
      </c>
      <c r="R281" s="1" t="str">
        <f ca="1">IFERROR(__xludf.DUMMYFUNCTION("""COMPUTED_VALUE"""),"Dismissal")</f>
        <v>Dismissal</v>
      </c>
      <c r="S281" s="5">
        <f ca="1">IFERROR(__xludf.DUMMYFUNCTION("""COMPUTED_VALUE"""),0.694444444444444)</f>
        <v>0.69444444444444398</v>
      </c>
      <c r="T281" s="1">
        <f ca="1">IFERROR(__xludf.DUMMYFUNCTION("""COMPUTED_VALUE"""),1)</f>
        <v>1</v>
      </c>
      <c r="U281" s="1" t="str">
        <f ca="1">IFERROR(__xludf.DUMMYFUNCTION("""COMPUTED_VALUE"""),"Teen shot in school parking lot at dismissal")</f>
        <v>Teen shot in school parking lot at dismissal</v>
      </c>
      <c r="V281" s="1" t="str">
        <f ca="1">IFERROR(__xludf.DUMMYFUNCTION("""COMPUTED_VALUE"""),"Seattle Police and Seattle Fire were called to the parking lot at Garfield High School late Thursday afternoon after a shootout in front of the school. According to emergency radio updates and Seattle Fire, a 19-year-old was reported shot in the leg and p"&amp;"olice were looking for suspects seen in a vehicle leaving the area. The shooting was first reported around 4:40 PM about an hour after the final bell of the school day on the still busy 23rd Ave campus. Seattle Fire says the teen was transported by parame"&amp;"dics to Harborview in stable condition.")</f>
        <v>Seattle Police and Seattle Fire were called to the parking lot at Garfield High School late Thursday afternoon after a shootout in front of the school. According to emergency radio updates and Seattle Fire, a 19-year-old was reported shot in the leg and police were looking for suspects seen in a vehicle leaving the area. The shooting was first reported around 4:40 PM about an hour after the final bell of the school day on the still busy 23rd Ave campus. Seattle Fire says the teen was transported by paramedics to Harborview in stable condition.</v>
      </c>
      <c r="W281" s="1" t="str">
        <f ca="1">IFERROR(__xludf.DUMMYFUNCTION("""COMPUTED_VALUE"""),"Drive-by Shooting")</f>
        <v>Drive-by Shooting</v>
      </c>
      <c r="X281" s="1" t="str">
        <f ca="1">IFERROR(__xludf.DUMMYFUNCTION("""COMPUTED_VALUE"""),"Victims Targeted")</f>
        <v>Victims Targeted</v>
      </c>
      <c r="Y281" s="1" t="str">
        <f ca="1">IFERROR(__xludf.DUMMYFUNCTION("""COMPUTED_VALUE"""),"Yes")</f>
        <v>Yes</v>
      </c>
      <c r="Z281" s="1"/>
      <c r="AA281" s="1" t="str">
        <f ca="1">IFERROR(__xludf.DUMMYFUNCTION("""COMPUTED_VALUE"""),"No")</f>
        <v>No</v>
      </c>
      <c r="AB281" s="1" t="str">
        <f ca="1">IFERROR(__xludf.DUMMYFUNCTION("""COMPUTED_VALUE"""),"No")</f>
        <v>No</v>
      </c>
      <c r="AC281" s="1" t="str">
        <f ca="1">IFERROR(__xludf.DUMMYFUNCTION("""COMPUTED_VALUE"""),"No")</f>
        <v>No</v>
      </c>
      <c r="AD281" s="1" t="str">
        <f ca="1">IFERROR(__xludf.DUMMYFUNCTION("""COMPUTED_VALUE"""),"No")</f>
        <v>No</v>
      </c>
      <c r="AE281" s="1" t="str">
        <f ca="1">IFERROR(__xludf.DUMMYFUNCTION("""COMPUTED_VALUE"""),"No")</f>
        <v>No</v>
      </c>
      <c r="AF281" s="1"/>
      <c r="AG281" s="1" t="str">
        <f ca="1">IFERROR(__xludf.DUMMYFUNCTION("""COMPUTED_VALUE"""),"No")</f>
        <v>No</v>
      </c>
      <c r="AH281" s="1">
        <f ca="1">IFERROR(__xludf.DUMMYFUNCTION("""COMPUTED_VALUE"""),99)</f>
        <v>99</v>
      </c>
    </row>
    <row r="282" spans="1:34" ht="12.5">
      <c r="A282" s="1" t="str">
        <f ca="1">IFERROR(__xludf.DUMMYFUNCTION("""COMPUTED_VALUE"""),"20230518CACHW")</f>
        <v>20230518CACHW</v>
      </c>
      <c r="B282" s="1">
        <f ca="1">IFERROR(__xludf.DUMMYFUNCTION("""COMPUTED_VALUE"""),5)</f>
        <v>5</v>
      </c>
      <c r="C282" s="1">
        <f ca="1">IFERROR(__xludf.DUMMYFUNCTION("""COMPUTED_VALUE"""),18)</f>
        <v>18</v>
      </c>
      <c r="D282" s="1">
        <f ca="1">IFERROR(__xludf.DUMMYFUNCTION("""COMPUTED_VALUE"""),2023)</f>
        <v>2023</v>
      </c>
      <c r="E282" s="4">
        <f ca="1">IFERROR(__xludf.DUMMYFUNCTION("""COMPUTED_VALUE"""),45064)</f>
        <v>45064</v>
      </c>
      <c r="F282" s="1" t="str">
        <f ca="1">IFERROR(__xludf.DUMMYFUNCTION("""COMPUTED_VALUE"""),"Chaminade College Preparatory High School")</f>
        <v>Chaminade College Preparatory High School</v>
      </c>
      <c r="G282" s="1">
        <f ca="1">IFERROR(__xludf.DUMMYFUNCTION("""COMPUTED_VALUE"""),0)</f>
        <v>0</v>
      </c>
      <c r="H282" s="1">
        <f ca="1">IFERROR(__xludf.DUMMYFUNCTION("""COMPUTED_VALUE"""),0)</f>
        <v>0</v>
      </c>
      <c r="I282" s="1">
        <f ca="1">IFERROR(__xludf.DUMMYFUNCTION("""COMPUTED_VALUE"""),0)</f>
        <v>0</v>
      </c>
      <c r="J282" s="1">
        <f ca="1">IFERROR(__xludf.DUMMYFUNCTION("""COMPUTED_VALUE"""),0)</f>
        <v>0</v>
      </c>
      <c r="K282" s="1" t="str">
        <f ca="1">IFERROR(__xludf.DUMMYFUNCTION("""COMPUTED_VALUE"""),"Spring")</f>
        <v>Spring</v>
      </c>
      <c r="L282" s="1" t="str">
        <f ca="1">IFERROR(__xludf.DUMMYFUNCTION("""COMPUTED_VALUE"""),"West Hills")</f>
        <v>West Hills</v>
      </c>
      <c r="M282" s="1" t="str">
        <f ca="1">IFERROR(__xludf.DUMMYFUNCTION("""COMPUTED_VALUE"""),"CA")</f>
        <v>CA</v>
      </c>
      <c r="N282" s="1" t="str">
        <f ca="1">IFERROR(__xludf.DUMMYFUNCTION("""COMPUTED_VALUE"""),"High")</f>
        <v>High</v>
      </c>
      <c r="O282" s="1" t="str">
        <f ca="1">IFERROR(__xludf.DUMMYFUNCTION("""COMPUTED_VALUE"""),"Beside Building")</f>
        <v>Beside Building</v>
      </c>
      <c r="P282" s="1" t="str">
        <f ca="1">IFERROR(__xludf.DUMMYFUNCTION("""COMPUTED_VALUE"""),"Outside on School Property")</f>
        <v>Outside on School Property</v>
      </c>
      <c r="Q282" s="1" t="str">
        <f ca="1">IFERROR(__xludf.DUMMYFUNCTION("""COMPUTED_VALUE"""),"No")</f>
        <v>No</v>
      </c>
      <c r="R282" s="1" t="str">
        <f ca="1">IFERROR(__xludf.DUMMYFUNCTION("""COMPUTED_VALUE"""),"Sport Event")</f>
        <v>Sport Event</v>
      </c>
      <c r="S282" s="5">
        <f ca="1">IFERROR(__xludf.DUMMYFUNCTION("""COMPUTED_VALUE"""),0.708333333333333)</f>
        <v>0.70833333333333304</v>
      </c>
      <c r="T282" s="1">
        <f ca="1">IFERROR(__xludf.DUMMYFUNCTION("""COMPUTED_VALUE"""),1)</f>
        <v>1</v>
      </c>
      <c r="U282" s="1" t="str">
        <f ca="1">IFERROR(__xludf.DUMMYFUNCTION("""COMPUTED_VALUE"""),"Man on motorcycle brandished gun around school causing lockdown")</f>
        <v>Man on motorcycle brandished gun around school causing lockdown</v>
      </c>
      <c r="V282" s="1" t="str">
        <f ca="1">IFERROR(__xludf.DUMMYFUNCTION("""COMPUTED_VALUE"""),"The incident started at about 5 p.m. when police received calls about an armed man near Chaminade College Preparatory High School. The school was out of session but a baseball practice was occurring at the time. It was canceled and players were evacuated."&amp;" ""We were in the middle of practice, and all we hear were just these sirens blaring,"" said witness Harrison Lucas-Tinter. ""Cops come screeching in and they're like walking around. None of us had any clue of what was happening."" According to police, th"&amp;"e man suffers from a mental illness and has major depression. Officers were in the area trying to negotiate with him before he took off on a motorcycle. At some point, he pointed the firearm at police and was armed with two different firearms. The suspect"&amp;" drove around the San Fernando Valley for about an hour before returning to his home. Then, he pulled into his driveway before officers pounced upon him. ")</f>
        <v xml:space="preserve">The incident started at about 5 p.m. when police received calls about an armed man near Chaminade College Preparatory High School. The school was out of session but a baseball practice was occurring at the time. It was canceled and players were evacuated. "We were in the middle of practice, and all we hear were just these sirens blaring," said witness Harrison Lucas-Tinter. "Cops come screeching in and they're like walking around. None of us had any clue of what was happening." According to police, the man suffers from a mental illness and has major depression. Officers were in the area trying to negotiate with him before he took off on a motorcycle. At some point, he pointed the firearm at police and was armed with two different firearms. The suspect drove around the San Fernando Valley for about an hour before returning to his home. Then, he pulled into his driveway before officers pounced upon him. </v>
      </c>
      <c r="W282" s="1" t="str">
        <f ca="1">IFERROR(__xludf.DUMMYFUNCTION("""COMPUTED_VALUE"""),"Psychosis")</f>
        <v>Psychosis</v>
      </c>
      <c r="X282" s="1" t="str">
        <f ca="1">IFERROR(__xludf.DUMMYFUNCTION("""COMPUTED_VALUE"""),"Neither")</f>
        <v>Neither</v>
      </c>
      <c r="Y282" s="1" t="str">
        <f ca="1">IFERROR(__xludf.DUMMYFUNCTION("""COMPUTED_VALUE"""),"No")</f>
        <v>No</v>
      </c>
      <c r="Z282" s="1"/>
      <c r="AA282" s="1" t="str">
        <f ca="1">IFERROR(__xludf.DUMMYFUNCTION("""COMPUTED_VALUE"""),"No")</f>
        <v>No</v>
      </c>
      <c r="AB282" s="1" t="str">
        <f ca="1">IFERROR(__xludf.DUMMYFUNCTION("""COMPUTED_VALUE"""),"No")</f>
        <v>No</v>
      </c>
      <c r="AC282" s="1" t="str">
        <f ca="1">IFERROR(__xludf.DUMMYFUNCTION("""COMPUTED_VALUE"""),"No")</f>
        <v>No</v>
      </c>
      <c r="AD282" s="1" t="str">
        <f ca="1">IFERROR(__xludf.DUMMYFUNCTION("""COMPUTED_VALUE"""),"No")</f>
        <v>No</v>
      </c>
      <c r="AE282" s="1" t="str">
        <f ca="1">IFERROR(__xludf.DUMMYFUNCTION("""COMPUTED_VALUE"""),"No")</f>
        <v>No</v>
      </c>
      <c r="AF282" s="1" t="str">
        <f ca="1">IFERROR(__xludf.DUMMYFUNCTION("""COMPUTED_VALUE"""),"No")</f>
        <v>No</v>
      </c>
      <c r="AG282" s="1" t="str">
        <f ca="1">IFERROR(__xludf.DUMMYFUNCTION("""COMPUTED_VALUE"""),"No")</f>
        <v>No</v>
      </c>
      <c r="AH282" s="1">
        <f ca="1">IFERROR(__xludf.DUMMYFUNCTION("""COMPUTED_VALUE"""),0)</f>
        <v>0</v>
      </c>
    </row>
    <row r="283" spans="1:34" ht="12.5">
      <c r="A283" s="1" t="str">
        <f ca="1">IFERROR(__xludf.DUMMYFUNCTION("""COMPUTED_VALUE"""),"20230517DCTHW")</f>
        <v>20230517DCTHW</v>
      </c>
      <c r="B283" s="1">
        <f ca="1">IFERROR(__xludf.DUMMYFUNCTION("""COMPUTED_VALUE"""),5)</f>
        <v>5</v>
      </c>
      <c r="C283" s="1">
        <f ca="1">IFERROR(__xludf.DUMMYFUNCTION("""COMPUTED_VALUE"""),17)</f>
        <v>17</v>
      </c>
      <c r="D283" s="1">
        <f ca="1">IFERROR(__xludf.DUMMYFUNCTION("""COMPUTED_VALUE"""),2023)</f>
        <v>2023</v>
      </c>
      <c r="E283" s="4">
        <f ca="1">IFERROR(__xludf.DUMMYFUNCTION("""COMPUTED_VALUE"""),45063)</f>
        <v>45063</v>
      </c>
      <c r="F283" s="1" t="str">
        <f ca="1">IFERROR(__xludf.DUMMYFUNCTION("""COMPUTED_VALUE"""),"Theodore Roosevelt High School")</f>
        <v>Theodore Roosevelt High School</v>
      </c>
      <c r="G283" s="1">
        <f ca="1">IFERROR(__xludf.DUMMYFUNCTION("""COMPUTED_VALUE"""),1)</f>
        <v>1</v>
      </c>
      <c r="H283" s="1">
        <f ca="1">IFERROR(__xludf.DUMMYFUNCTION("""COMPUTED_VALUE"""),0)</f>
        <v>0</v>
      </c>
      <c r="I283" s="1">
        <f ca="1">IFERROR(__xludf.DUMMYFUNCTION("""COMPUTED_VALUE"""),1)</f>
        <v>1</v>
      </c>
      <c r="J283" s="1">
        <f ca="1">IFERROR(__xludf.DUMMYFUNCTION("""COMPUTED_VALUE"""),0)</f>
        <v>0</v>
      </c>
      <c r="K283" s="1" t="str">
        <f ca="1">IFERROR(__xludf.DUMMYFUNCTION("""COMPUTED_VALUE"""),"Spring")</f>
        <v>Spring</v>
      </c>
      <c r="L283" s="1" t="str">
        <f ca="1">IFERROR(__xludf.DUMMYFUNCTION("""COMPUTED_VALUE"""),"Washington")</f>
        <v>Washington</v>
      </c>
      <c r="M283" s="1" t="str">
        <f ca="1">IFERROR(__xludf.DUMMYFUNCTION("""COMPUTED_VALUE"""),"DC")</f>
        <v>DC</v>
      </c>
      <c r="N283" s="1" t="str">
        <f ca="1">IFERROR(__xludf.DUMMYFUNCTION("""COMPUTED_VALUE"""),"High")</f>
        <v>High</v>
      </c>
      <c r="O283" s="1" t="str">
        <f ca="1">IFERROR(__xludf.DUMMYFUNCTION("""COMPUTED_VALUE"""),"Parking Lot")</f>
        <v>Parking Lot</v>
      </c>
      <c r="P283" s="1" t="str">
        <f ca="1">IFERROR(__xludf.DUMMYFUNCTION("""COMPUTED_VALUE"""),"Outside on School Property")</f>
        <v>Outside on School Property</v>
      </c>
      <c r="Q283" s="1" t="str">
        <f ca="1">IFERROR(__xludf.DUMMYFUNCTION("""COMPUTED_VALUE"""),"Yes")</f>
        <v>Yes</v>
      </c>
      <c r="R283" s="1" t="str">
        <f ca="1">IFERROR(__xludf.DUMMYFUNCTION("""COMPUTED_VALUE"""),"Afternoon Classes")</f>
        <v>Afternoon Classes</v>
      </c>
      <c r="S283" s="5">
        <f ca="1">IFERROR(__xludf.DUMMYFUNCTION("""COMPUTED_VALUE"""),0.604166666666666)</f>
        <v>0.60416666666666596</v>
      </c>
      <c r="T283" s="1">
        <f ca="1">IFERROR(__xludf.DUMMYFUNCTION("""COMPUTED_VALUE"""),1)</f>
        <v>1</v>
      </c>
      <c r="U283" s="1" t="str">
        <f ca="1">IFERROR(__xludf.DUMMYFUNCTION("""COMPUTED_VALUE"""),"Student fatally shot in school parking lot during afternoon classes")</f>
        <v>Student fatally shot in school parking lot during afternoon classes</v>
      </c>
      <c r="V283" s="1" t="str">
        <f ca="1">IFERROR(__xludf.DUMMYFUNCTION("""COMPUTED_VALUE"""),"Witnesses and police said the boy fell down in the parking lot of the school, where medics gave him CPR before taking him to a hospital in critical condition. He died at the hospital a short time later, police said. Authorities said at a news conference t"&amp;"here was a fight in the parking lot and they found a gun there, but they don't yet know if the gun was associated with the shooting. Teen had been threatened by gang members prior to shooting.")</f>
        <v>Witnesses and police said the boy fell down in the parking lot of the school, where medics gave him CPR before taking him to a hospital in critical condition. He died at the hospital a short time later, police said. Authorities said at a news conference there was a fight in the parking lot and they found a gun there, but they don't yet know if the gun was associated with the shooting. Teen had been threatened by gang members prior to shooting.</v>
      </c>
      <c r="W283" s="1" t="str">
        <f ca="1">IFERROR(__xludf.DUMMYFUNCTION("""COMPUTED_VALUE"""),"Escalation of Dispute")</f>
        <v>Escalation of Dispute</v>
      </c>
      <c r="X283" s="1" t="str">
        <f ca="1">IFERROR(__xludf.DUMMYFUNCTION("""COMPUTED_VALUE"""),"Victims Targeted")</f>
        <v>Victims Targeted</v>
      </c>
      <c r="Y283" s="1" t="str">
        <f ca="1">IFERROR(__xludf.DUMMYFUNCTION("""COMPUTED_VALUE"""),"Yes")</f>
        <v>Yes</v>
      </c>
      <c r="Z283" s="1" t="str">
        <f ca="1">IFERROR(__xludf.DUMMYFUNCTION("""COMPUTED_VALUE"""),"Three teens ran from sene")</f>
        <v>Three teens ran from sene</v>
      </c>
      <c r="AA283" s="1" t="str">
        <f ca="1">IFERROR(__xludf.DUMMYFUNCTION("""COMPUTED_VALUE"""),"No")</f>
        <v>No</v>
      </c>
      <c r="AB283" s="1" t="str">
        <f ca="1">IFERROR(__xludf.DUMMYFUNCTION("""COMPUTED_VALUE"""),"No")</f>
        <v>No</v>
      </c>
      <c r="AC283" s="1" t="str">
        <f ca="1">IFERROR(__xludf.DUMMYFUNCTION("""COMPUTED_VALUE"""),"No")</f>
        <v>No</v>
      </c>
      <c r="AD283" s="1" t="str">
        <f ca="1">IFERROR(__xludf.DUMMYFUNCTION("""COMPUTED_VALUE"""),"No")</f>
        <v>No</v>
      </c>
      <c r="AE283" s="1" t="str">
        <f ca="1">IFERROR(__xludf.DUMMYFUNCTION("""COMPUTED_VALUE"""),"No")</f>
        <v>No</v>
      </c>
      <c r="AF283" s="1" t="str">
        <f ca="1">IFERROR(__xludf.DUMMYFUNCTION("""COMPUTED_VALUE"""),"Yes")</f>
        <v>Yes</v>
      </c>
      <c r="AG283" s="1" t="str">
        <f ca="1">IFERROR(__xludf.DUMMYFUNCTION("""COMPUTED_VALUE"""),"No")</f>
        <v>No</v>
      </c>
      <c r="AH283" s="1">
        <f ca="1">IFERROR(__xludf.DUMMYFUNCTION("""COMPUTED_VALUE"""),5)</f>
        <v>5</v>
      </c>
    </row>
    <row r="284" spans="1:34" ht="12.5">
      <c r="A284" s="1" t="str">
        <f ca="1">IFERROR(__xludf.DUMMYFUNCTION("""COMPUTED_VALUE"""),"20230516OHEAC")</f>
        <v>20230516OHEAC</v>
      </c>
      <c r="B284" s="1">
        <f ca="1">IFERROR(__xludf.DUMMYFUNCTION("""COMPUTED_VALUE"""),5)</f>
        <v>5</v>
      </c>
      <c r="C284" s="1">
        <f ca="1">IFERROR(__xludf.DUMMYFUNCTION("""COMPUTED_VALUE"""),16)</f>
        <v>16</v>
      </c>
      <c r="D284" s="1">
        <f ca="1">IFERROR(__xludf.DUMMYFUNCTION("""COMPUTED_VALUE"""),2023)</f>
        <v>2023</v>
      </c>
      <c r="E284" s="4">
        <f ca="1">IFERROR(__xludf.DUMMYFUNCTION("""COMPUTED_VALUE"""),45062)</f>
        <v>45062</v>
      </c>
      <c r="F284" s="1" t="str">
        <f ca="1">IFERROR(__xludf.DUMMYFUNCTION("""COMPUTED_VALUE"""),"Eakin Elementary School")</f>
        <v>Eakin Elementary School</v>
      </c>
      <c r="G284" s="1">
        <f ca="1">IFERROR(__xludf.DUMMYFUNCTION("""COMPUTED_VALUE"""),0)</f>
        <v>0</v>
      </c>
      <c r="H284" s="1">
        <f ca="1">IFERROR(__xludf.DUMMYFUNCTION("""COMPUTED_VALUE"""),1)</f>
        <v>1</v>
      </c>
      <c r="I284" s="1">
        <f ca="1">IFERROR(__xludf.DUMMYFUNCTION("""COMPUTED_VALUE"""),1)</f>
        <v>1</v>
      </c>
      <c r="J284" s="1">
        <f ca="1">IFERROR(__xludf.DUMMYFUNCTION("""COMPUTED_VALUE"""),0)</f>
        <v>0</v>
      </c>
      <c r="K284" s="1" t="str">
        <f ca="1">IFERROR(__xludf.DUMMYFUNCTION("""COMPUTED_VALUE"""),"Spring")</f>
        <v>Spring</v>
      </c>
      <c r="L284" s="1" t="str">
        <f ca="1">IFERROR(__xludf.DUMMYFUNCTION("""COMPUTED_VALUE"""),"Columbus")</f>
        <v>Columbus</v>
      </c>
      <c r="M284" s="1" t="str">
        <f ca="1">IFERROR(__xludf.DUMMYFUNCTION("""COMPUTED_VALUE"""),"OH")</f>
        <v>OH</v>
      </c>
      <c r="N284" s="1" t="str">
        <f ca="1">IFERROR(__xludf.DUMMYFUNCTION("""COMPUTED_VALUE"""),"Elementary")</f>
        <v>Elementary</v>
      </c>
      <c r="O284" s="1" t="str">
        <f ca="1">IFERROR(__xludf.DUMMYFUNCTION("""COMPUTED_VALUE"""),"Parking Lot")</f>
        <v>Parking Lot</v>
      </c>
      <c r="P284" s="1" t="str">
        <f ca="1">IFERROR(__xludf.DUMMYFUNCTION("""COMPUTED_VALUE"""),"Outside on School Property")</f>
        <v>Outside on School Property</v>
      </c>
      <c r="Q284" s="1" t="str">
        <f ca="1">IFERROR(__xludf.DUMMYFUNCTION("""COMPUTED_VALUE"""),"Yes")</f>
        <v>Yes</v>
      </c>
      <c r="R284" s="1" t="str">
        <f ca="1">IFERROR(__xludf.DUMMYFUNCTION("""COMPUTED_VALUE"""),"Dismissal")</f>
        <v>Dismissal</v>
      </c>
      <c r="S284" s="5">
        <f ca="1">IFERROR(__xludf.DUMMYFUNCTION("""COMPUTED_VALUE"""),0.64375)</f>
        <v>0.64375000000000004</v>
      </c>
      <c r="T284" s="1">
        <f ca="1">IFERROR(__xludf.DUMMYFUNCTION("""COMPUTED_VALUE"""),1)</f>
        <v>1</v>
      </c>
      <c r="U284" s="1" t="str">
        <f ca="1">IFERROR(__xludf.DUMMYFUNCTION("""COMPUTED_VALUE"""),"12-year-old boy shot in school parking lot during large fight")</f>
        <v>12-year-old boy shot in school parking lot during large fight</v>
      </c>
      <c r="V284" s="1" t="str">
        <f ca="1">IFERROR(__xludf.DUMMYFUNCTION("""COMPUTED_VALUE"""),"12-year-old boy shot in school parking lot during large fight at dismissal. Unclear if he was involved or a bystander. Police said the shooting happened amid a fight on Eakin Elementary School's property. ""People were fighting, and somebody ran over and "&amp;"they pulled out a gun and started firing it in the air,"" a mom of two told WSYX about what she saw as she was picking up her kids. The school did a reverse evacuation, bringing students back into the building until police gave the all-clear around 4:15 p"&amp;".m.")</f>
        <v>12-year-old boy shot in school parking lot during large fight at dismissal. Unclear if he was involved or a bystander. Police said the shooting happened amid a fight on Eakin Elementary School's property. "People were fighting, and somebody ran over and they pulled out a gun and started firing it in the air," a mom of two told WSYX about what she saw as she was picking up her kids. The school did a reverse evacuation, bringing students back into the building until police gave the all-clear around 4:15 p.m.</v>
      </c>
      <c r="W284" s="1" t="str">
        <f ca="1">IFERROR(__xludf.DUMMYFUNCTION("""COMPUTED_VALUE"""),"Escalation of Dispute")</f>
        <v>Escalation of Dispute</v>
      </c>
      <c r="X284" s="1"/>
      <c r="Y284" s="1" t="str">
        <f ca="1">IFERROR(__xludf.DUMMYFUNCTION("""COMPUTED_VALUE"""),"Yes")</f>
        <v>Yes</v>
      </c>
      <c r="Z284" s="1" t="str">
        <f ca="1">IFERROR(__xludf.DUMMYFUNCTION("""COMPUTED_VALUE"""),"Large fight")</f>
        <v>Large fight</v>
      </c>
      <c r="AA284" s="1" t="str">
        <f ca="1">IFERROR(__xludf.DUMMYFUNCTION("""COMPUTED_VALUE"""),"No")</f>
        <v>No</v>
      </c>
      <c r="AB284" s="1" t="str">
        <f ca="1">IFERROR(__xludf.DUMMYFUNCTION("""COMPUTED_VALUE"""),"No")</f>
        <v>No</v>
      </c>
      <c r="AC284" s="1" t="str">
        <f ca="1">IFERROR(__xludf.DUMMYFUNCTION("""COMPUTED_VALUE"""),"No")</f>
        <v>No</v>
      </c>
      <c r="AD284" s="1" t="str">
        <f ca="1">IFERROR(__xludf.DUMMYFUNCTION("""COMPUTED_VALUE"""),"No")</f>
        <v>No</v>
      </c>
      <c r="AE284" s="1" t="str">
        <f ca="1">IFERROR(__xludf.DUMMYFUNCTION("""COMPUTED_VALUE"""),"No")</f>
        <v>No</v>
      </c>
      <c r="AF284" s="1"/>
      <c r="AG284" s="1" t="str">
        <f ca="1">IFERROR(__xludf.DUMMYFUNCTION("""COMPUTED_VALUE"""),"No")</f>
        <v>No</v>
      </c>
      <c r="AH284" s="1">
        <f ca="1">IFERROR(__xludf.DUMMYFUNCTION("""COMPUTED_VALUE"""),99)</f>
        <v>99</v>
      </c>
    </row>
    <row r="285" spans="1:34" ht="12.5">
      <c r="A285" s="1" t="str">
        <f ca="1">IFERROR(__xludf.DUMMYFUNCTION("""COMPUTED_VALUE"""),"20230516NJSCP")</f>
        <v>20230516NJSCP</v>
      </c>
      <c r="B285" s="1">
        <f ca="1">IFERROR(__xludf.DUMMYFUNCTION("""COMPUTED_VALUE"""),5)</f>
        <v>5</v>
      </c>
      <c r="C285" s="1">
        <f ca="1">IFERROR(__xludf.DUMMYFUNCTION("""COMPUTED_VALUE"""),16)</f>
        <v>16</v>
      </c>
      <c r="D285" s="1">
        <f ca="1">IFERROR(__xludf.DUMMYFUNCTION("""COMPUTED_VALUE"""),2023)</f>
        <v>2023</v>
      </c>
      <c r="E285" s="4">
        <f ca="1">IFERROR(__xludf.DUMMYFUNCTION("""COMPUTED_VALUE"""),45062)</f>
        <v>45062</v>
      </c>
      <c r="F285" s="1" t="str">
        <f ca="1">IFERROR(__xludf.DUMMYFUNCTION("""COMPUTED_VALUE"""),"School 21")</f>
        <v>School 21</v>
      </c>
      <c r="G285" s="1">
        <f ca="1">IFERROR(__xludf.DUMMYFUNCTION("""COMPUTED_VALUE"""),0)</f>
        <v>0</v>
      </c>
      <c r="H285" s="1">
        <f ca="1">IFERROR(__xludf.DUMMYFUNCTION("""COMPUTED_VALUE"""),0)</f>
        <v>0</v>
      </c>
      <c r="I285" s="1">
        <f ca="1">IFERROR(__xludf.DUMMYFUNCTION("""COMPUTED_VALUE"""),0)</f>
        <v>0</v>
      </c>
      <c r="J285" s="1">
        <f ca="1">IFERROR(__xludf.DUMMYFUNCTION("""COMPUTED_VALUE"""),0)</f>
        <v>0</v>
      </c>
      <c r="K285" s="1" t="str">
        <f ca="1">IFERROR(__xludf.DUMMYFUNCTION("""COMPUTED_VALUE"""),"Spring")</f>
        <v>Spring</v>
      </c>
      <c r="L285" s="1" t="str">
        <f ca="1">IFERROR(__xludf.DUMMYFUNCTION("""COMPUTED_VALUE"""),"Patterson")</f>
        <v>Patterson</v>
      </c>
      <c r="M285" s="1" t="str">
        <f ca="1">IFERROR(__xludf.DUMMYFUNCTION("""COMPUTED_VALUE"""),"NJ")</f>
        <v>NJ</v>
      </c>
      <c r="N285" s="1" t="str">
        <f ca="1">IFERROR(__xludf.DUMMYFUNCTION("""COMPUTED_VALUE"""),"Elementary")</f>
        <v>Elementary</v>
      </c>
      <c r="O285" s="1" t="str">
        <f ca="1">IFERROR(__xludf.DUMMYFUNCTION("""COMPUTED_VALUE"""),"Front of School")</f>
        <v>Front of School</v>
      </c>
      <c r="P285" s="1" t="str">
        <f ca="1">IFERROR(__xludf.DUMMYFUNCTION("""COMPUTED_VALUE"""),"Outside on School Property")</f>
        <v>Outside on School Property</v>
      </c>
      <c r="Q285" s="1" t="str">
        <f ca="1">IFERROR(__xludf.DUMMYFUNCTION("""COMPUTED_VALUE"""),"Yes")</f>
        <v>Yes</v>
      </c>
      <c r="R285" s="1" t="str">
        <f ca="1">IFERROR(__xludf.DUMMYFUNCTION("""COMPUTED_VALUE"""),"Morning Classes")</f>
        <v>Morning Classes</v>
      </c>
      <c r="S285" s="5">
        <f ca="1">IFERROR(__xludf.DUMMYFUNCTION("""COMPUTED_VALUE"""),0.375)</f>
        <v>0.375</v>
      </c>
      <c r="T285" s="1">
        <f ca="1">IFERROR(__xludf.DUMMYFUNCTION("""COMPUTED_VALUE"""),1)</f>
        <v>1</v>
      </c>
      <c r="U285" s="1" t="str">
        <f ca="1">IFERROR(__xludf.DUMMYFUNCTION("""COMPUTED_VALUE"""),"Shooting between adult man and school security officer during dispute over illegal parking")</f>
        <v>Shooting between adult man and school security officer during dispute over illegal parking</v>
      </c>
      <c r="V285" s="1" t="str">
        <f ca="1">IFERROR(__xludf.DUMMYFUNCTION("""COMPUTED_VALUE"""),"A motorist who was illegally parked outside a Paterson elementary school allegedly fired gunshots Tuesday morning at a school security guard who tried to get the vehicle to move on, according to multiple sources familiar with the investigation. The securi"&amp;"ty guard, who is a retired Paterson police officer, responded by firing back at the motorist, the sources said. Neither man was injured in the gunfire, which took place outside School 21 near the corner of Madison and 10th avenues at about 9 a.m., officia"&amp;"ls said.")</f>
        <v>A motorist who was illegally parked outside a Paterson elementary school allegedly fired gunshots Tuesday morning at a school security guard who tried to get the vehicle to move on, according to multiple sources familiar with the investigation. The security guard, who is a retired Paterson police officer, responded by firing back at the motorist, the sources said. Neither man was injured in the gunfire, which took place outside School 21 near the corner of Madison and 10th avenues at about 9 a.m., officials said.</v>
      </c>
      <c r="W285" s="1" t="str">
        <f ca="1">IFERROR(__xludf.DUMMYFUNCTION("""COMPUTED_VALUE"""),"Escalation of Dispute")</f>
        <v>Escalation of Dispute</v>
      </c>
      <c r="X285" s="1" t="str">
        <f ca="1">IFERROR(__xludf.DUMMYFUNCTION("""COMPUTED_VALUE"""),"Victims Targeted")</f>
        <v>Victims Targeted</v>
      </c>
      <c r="Y285" s="1" t="str">
        <f ca="1">IFERROR(__xludf.DUMMYFUNCTION("""COMPUTED_VALUE"""),"No")</f>
        <v>No</v>
      </c>
      <c r="Z285" s="1"/>
      <c r="AA285" s="1" t="str">
        <f ca="1">IFERROR(__xludf.DUMMYFUNCTION("""COMPUTED_VALUE"""),"No")</f>
        <v>No</v>
      </c>
      <c r="AB285" s="1" t="str">
        <f ca="1">IFERROR(__xludf.DUMMYFUNCTION("""COMPUTED_VALUE"""),"No")</f>
        <v>No</v>
      </c>
      <c r="AC285" s="1" t="str">
        <f ca="1">IFERROR(__xludf.DUMMYFUNCTION("""COMPUTED_VALUE"""),"No")</f>
        <v>No</v>
      </c>
      <c r="AD285" s="1" t="str">
        <f ca="1">IFERROR(__xludf.DUMMYFUNCTION("""COMPUTED_VALUE"""),"No")</f>
        <v>No</v>
      </c>
      <c r="AE285" s="1" t="str">
        <f ca="1">IFERROR(__xludf.DUMMYFUNCTION("""COMPUTED_VALUE"""),"No")</f>
        <v>No</v>
      </c>
      <c r="AF285" s="1" t="str">
        <f ca="1">IFERROR(__xludf.DUMMYFUNCTION("""COMPUTED_VALUE"""),"No")</f>
        <v>No</v>
      </c>
      <c r="AG285" s="1" t="str">
        <f ca="1">IFERROR(__xludf.DUMMYFUNCTION("""COMPUTED_VALUE"""),"No")</f>
        <v>No</v>
      </c>
      <c r="AH285" s="1">
        <f ca="1">IFERROR(__xludf.DUMMYFUNCTION("""COMPUTED_VALUE"""),99)</f>
        <v>99</v>
      </c>
    </row>
    <row r="286" spans="1:34" ht="12.5">
      <c r="A286" s="1" t="str">
        <f ca="1">IFERROR(__xludf.DUMMYFUNCTION("""COMPUTED_VALUE"""),"20230516MNDAM")</f>
        <v>20230516MNDAM</v>
      </c>
      <c r="B286" s="1">
        <f ca="1">IFERROR(__xludf.DUMMYFUNCTION("""COMPUTED_VALUE"""),5)</f>
        <v>5</v>
      </c>
      <c r="C286" s="1">
        <f ca="1">IFERROR(__xludf.DUMMYFUNCTION("""COMPUTED_VALUE"""),16)</f>
        <v>16</v>
      </c>
      <c r="D286" s="1">
        <f ca="1">IFERROR(__xludf.DUMMYFUNCTION("""COMPUTED_VALUE"""),2023)</f>
        <v>2023</v>
      </c>
      <c r="E286" s="4">
        <f ca="1">IFERROR(__xludf.DUMMYFUNCTION("""COMPUTED_VALUE"""),45062)</f>
        <v>45062</v>
      </c>
      <c r="F286" s="1" t="str">
        <f ca="1">IFERROR(__xludf.DUMMYFUNCTION("""COMPUTED_VALUE"""),"Davis Center for Minneapolis Public Schools")</f>
        <v>Davis Center for Minneapolis Public Schools</v>
      </c>
      <c r="G286" s="1">
        <f ca="1">IFERROR(__xludf.DUMMYFUNCTION("""COMPUTED_VALUE"""),0)</f>
        <v>0</v>
      </c>
      <c r="H286" s="1">
        <f ca="1">IFERROR(__xludf.DUMMYFUNCTION("""COMPUTED_VALUE"""),0)</f>
        <v>0</v>
      </c>
      <c r="I286" s="1">
        <f ca="1">IFERROR(__xludf.DUMMYFUNCTION("""COMPUTED_VALUE"""),0)</f>
        <v>0</v>
      </c>
      <c r="J286" s="1">
        <f ca="1">IFERROR(__xludf.DUMMYFUNCTION("""COMPUTED_VALUE"""),0)</f>
        <v>0</v>
      </c>
      <c r="K286" s="1" t="str">
        <f ca="1">IFERROR(__xludf.DUMMYFUNCTION("""COMPUTED_VALUE"""),"Spring")</f>
        <v>Spring</v>
      </c>
      <c r="L286" s="1" t="str">
        <f ca="1">IFERROR(__xludf.DUMMYFUNCTION("""COMPUTED_VALUE"""),"Minneapolis")</f>
        <v>Minneapolis</v>
      </c>
      <c r="M286" s="1" t="str">
        <f ca="1">IFERROR(__xludf.DUMMYFUNCTION("""COMPUTED_VALUE"""),"MN")</f>
        <v>MN</v>
      </c>
      <c r="N286" s="1" t="str">
        <f ca="1">IFERROR(__xludf.DUMMYFUNCTION("""COMPUTED_VALUE"""),"Other")</f>
        <v>Other</v>
      </c>
      <c r="O286" s="1" t="str">
        <f ca="1">IFERROR(__xludf.DUMMYFUNCTION("""COMPUTED_VALUE"""),"Outside on School Property")</f>
        <v>Outside on School Property</v>
      </c>
      <c r="P286" s="1" t="str">
        <f ca="1">IFERROR(__xludf.DUMMYFUNCTION("""COMPUTED_VALUE"""),"Outside on School Property")</f>
        <v>Outside on School Property</v>
      </c>
      <c r="Q286" s="1" t="str">
        <f ca="1">IFERROR(__xludf.DUMMYFUNCTION("""COMPUTED_VALUE"""),"Yes")</f>
        <v>Yes</v>
      </c>
      <c r="R286" s="1" t="str">
        <f ca="1">IFERROR(__xludf.DUMMYFUNCTION("""COMPUTED_VALUE"""),"Afternoon Classes")</f>
        <v>Afternoon Classes</v>
      </c>
      <c r="S286" s="5">
        <f ca="1">IFERROR(__xludf.DUMMYFUNCTION("""COMPUTED_VALUE"""),0.590277777777777)</f>
        <v>0.59027777777777701</v>
      </c>
      <c r="T286" s="1">
        <f ca="1">IFERROR(__xludf.DUMMYFUNCTION("""COMPUTED_VALUE"""),1)</f>
        <v>1</v>
      </c>
      <c r="U286" s="1" t="str">
        <f ca="1">IFERROR(__xludf.DUMMYFUNCTION("""COMPUTED_VALUE"""),"Three teens fired shots from vehicle at school district's administrative headquarters")</f>
        <v>Three teens fired shots from vehicle at school district's administrative headquarters</v>
      </c>
      <c r="V286" s="1" t="str">
        <f ca="1">IFERROR(__xludf.DUMMYFUNCTION("""COMPUTED_VALUE"""),"Three teenage boys have been arrested in connection with a drive-by shooting that damaged the Minneapolis Public Schools administration headquarters. Officers responded around 2:10 p.m. Monday to 911 calls reporting about a dozen shots fired in the 2100 b"&amp;"lock of Girard Avenue N. More calls came from staff at the Davis Center for Minneapolis Public Schools (MPS), on the same block. The callers reported a café window was broken by gunfire in the shooting, according to a MPS statement released Monday. ""A dr"&amp;"ive-by shooting outside MPS headquarters shattered a café window, a shooting that occurred while a few staff members were in the courtyard,"" the statement read. ""Everyone is shaken but safe.""")</f>
        <v>Three teenage boys have been arrested in connection with a drive-by shooting that damaged the Minneapolis Public Schools administration headquarters. Officers responded around 2:10 p.m. Monday to 911 calls reporting about a dozen shots fired in the 2100 block of Girard Avenue N. More calls came from staff at the Davis Center for Minneapolis Public Schools (MPS), on the same block. The callers reported a café window was broken by gunfire in the shooting, according to a MPS statement released Monday. "A drive-by shooting outside MPS headquarters shattered a café window, a shooting that occurred while a few staff members were in the courtyard," the statement read. "Everyone is shaken but safe."</v>
      </c>
      <c r="W286" s="1" t="str">
        <f ca="1">IFERROR(__xludf.DUMMYFUNCTION("""COMPUTED_VALUE"""),"Drive-by Shooting")</f>
        <v>Drive-by Shooting</v>
      </c>
      <c r="X286" s="1" t="str">
        <f ca="1">IFERROR(__xludf.DUMMYFUNCTION("""COMPUTED_VALUE"""),"Both")</f>
        <v>Both</v>
      </c>
      <c r="Y286" s="1" t="str">
        <f ca="1">IFERROR(__xludf.DUMMYFUNCTION("""COMPUTED_VALUE"""),"Yes")</f>
        <v>Yes</v>
      </c>
      <c r="Z286" s="1" t="str">
        <f ca="1">IFERROR(__xludf.DUMMYFUNCTION("""COMPUTED_VALUE"""),"Three teen shooters and driver")</f>
        <v>Three teen shooters and driver</v>
      </c>
      <c r="AA286" s="1" t="str">
        <f ca="1">IFERROR(__xludf.DUMMYFUNCTION("""COMPUTED_VALUE"""),"No")</f>
        <v>No</v>
      </c>
      <c r="AB286" s="1" t="str">
        <f ca="1">IFERROR(__xludf.DUMMYFUNCTION("""COMPUTED_VALUE"""),"No")</f>
        <v>No</v>
      </c>
      <c r="AC286" s="1" t="str">
        <f ca="1">IFERROR(__xludf.DUMMYFUNCTION("""COMPUTED_VALUE"""),"No")</f>
        <v>No</v>
      </c>
      <c r="AD286" s="1" t="str">
        <f ca="1">IFERROR(__xludf.DUMMYFUNCTION("""COMPUTED_VALUE"""),"No")</f>
        <v>No</v>
      </c>
      <c r="AE286" s="1" t="str">
        <f ca="1">IFERROR(__xludf.DUMMYFUNCTION("""COMPUTED_VALUE"""),"No")</f>
        <v>No</v>
      </c>
      <c r="AF286" s="1" t="str">
        <f ca="1">IFERROR(__xludf.DUMMYFUNCTION("""COMPUTED_VALUE"""),"No")</f>
        <v>No</v>
      </c>
      <c r="AG286" s="1" t="str">
        <f ca="1">IFERROR(__xludf.DUMMYFUNCTION("""COMPUTED_VALUE"""),"No")</f>
        <v>No</v>
      </c>
      <c r="AH286" s="1">
        <f ca="1">IFERROR(__xludf.DUMMYFUNCTION("""COMPUTED_VALUE"""),12)</f>
        <v>12</v>
      </c>
    </row>
    <row r="287" spans="1:34" ht="12.5">
      <c r="A287" s="1" t="str">
        <f ca="1">IFERROR(__xludf.DUMMYFUNCTION("""COMPUTED_VALUE"""),"20230515ORCRP")</f>
        <v>20230515ORCRP</v>
      </c>
      <c r="B287" s="1">
        <f ca="1">IFERROR(__xludf.DUMMYFUNCTION("""COMPUTED_VALUE"""),5)</f>
        <v>5</v>
      </c>
      <c r="C287" s="1">
        <f ca="1">IFERROR(__xludf.DUMMYFUNCTION("""COMPUTED_VALUE"""),15)</f>
        <v>15</v>
      </c>
      <c r="D287" s="1">
        <f ca="1">IFERROR(__xludf.DUMMYFUNCTION("""COMPUTED_VALUE"""),2023)</f>
        <v>2023</v>
      </c>
      <c r="E287" s="4">
        <f ca="1">IFERROR(__xludf.DUMMYFUNCTION("""COMPUTED_VALUE"""),45061)</f>
        <v>45061</v>
      </c>
      <c r="F287" s="1" t="str">
        <f ca="1">IFERROR(__xludf.DUMMYFUNCTION("""COMPUTED_VALUE"""),"Creative Science School")</f>
        <v>Creative Science School</v>
      </c>
      <c r="G287" s="1">
        <f ca="1">IFERROR(__xludf.DUMMYFUNCTION("""COMPUTED_VALUE"""),0)</f>
        <v>0</v>
      </c>
      <c r="H287" s="1">
        <f ca="1">IFERROR(__xludf.DUMMYFUNCTION("""COMPUTED_VALUE"""),0)</f>
        <v>0</v>
      </c>
      <c r="I287" s="1">
        <f ca="1">IFERROR(__xludf.DUMMYFUNCTION("""COMPUTED_VALUE"""),0)</f>
        <v>0</v>
      </c>
      <c r="J287" s="1">
        <f ca="1">IFERROR(__xludf.DUMMYFUNCTION("""COMPUTED_VALUE"""),0)</f>
        <v>0</v>
      </c>
      <c r="K287" s="1" t="str">
        <f ca="1">IFERROR(__xludf.DUMMYFUNCTION("""COMPUTED_VALUE"""),"Spring")</f>
        <v>Spring</v>
      </c>
      <c r="L287" s="1" t="str">
        <f ca="1">IFERROR(__xludf.DUMMYFUNCTION("""COMPUTED_VALUE"""),"Portland")</f>
        <v>Portland</v>
      </c>
      <c r="M287" s="1" t="str">
        <f ca="1">IFERROR(__xludf.DUMMYFUNCTION("""COMPUTED_VALUE"""),"OR")</f>
        <v>OR</v>
      </c>
      <c r="N287" s="1" t="str">
        <f ca="1">IFERROR(__xludf.DUMMYFUNCTION("""COMPUTED_VALUE"""),"Middle")</f>
        <v>Middle</v>
      </c>
      <c r="O287" s="1" t="str">
        <f ca="1">IFERROR(__xludf.DUMMYFUNCTION("""COMPUTED_VALUE"""),"Inside School Building")</f>
        <v>Inside School Building</v>
      </c>
      <c r="P287" s="1" t="str">
        <f ca="1">IFERROR(__xludf.DUMMYFUNCTION("""COMPUTED_VALUE"""),"Inside School Building")</f>
        <v>Inside School Building</v>
      </c>
      <c r="Q287" s="1" t="str">
        <f ca="1">IFERROR(__xludf.DUMMYFUNCTION("""COMPUTED_VALUE"""),"Yes")</f>
        <v>Yes</v>
      </c>
      <c r="R287" s="1" t="str">
        <f ca="1">IFERROR(__xludf.DUMMYFUNCTION("""COMPUTED_VALUE"""),"Dismissal")</f>
        <v>Dismissal</v>
      </c>
      <c r="S287" s="5">
        <f ca="1">IFERROR(__xludf.DUMMYFUNCTION("""COMPUTED_VALUE"""),0.666666666666666)</f>
        <v>0.66666666666666596</v>
      </c>
      <c r="T287" s="1">
        <f ca="1">IFERROR(__xludf.DUMMYFUNCTION("""COMPUTED_VALUE"""),1)</f>
        <v>1</v>
      </c>
      <c r="U287" s="1" t="str">
        <f ca="1">IFERROR(__xludf.DUMMYFUNCTION("""COMPUTED_VALUE"""),"Former student banned from campus entered school with helmet, goggles, tactical vest, and replica handgun, threatened school shooting")</f>
        <v>Former student banned from campus entered school with helmet, goggles, tactical vest, and replica handgun, threatened school shooting</v>
      </c>
      <c r="V287" s="1" t="str">
        <f ca="1">IFERROR(__xludf.DUMMYFUNCTION("""COMPUTED_VALUE"""),"Former student banned from campus entered school with helmet, goggles, tactical vest, and replica handgun, threatened school shooting. They took the 13-year-old boy into custody for trespassing, menacing and disorderly conduct. He was taken to the Donald "&amp;"E. Long Juvenile Detention Center.")</f>
        <v>Former student banned from campus entered school with helmet, goggles, tactical vest, and replica handgun, threatened school shooting. They took the 13-year-old boy into custody for trespassing, menacing and disorderly conduct. He was taken to the Donald E. Long Juvenile Detention Center.</v>
      </c>
      <c r="W287" s="1" t="str">
        <f ca="1">IFERROR(__xludf.DUMMYFUNCTION("""COMPUTED_VALUE"""),"Indiscriminate Shooting")</f>
        <v>Indiscriminate Shooting</v>
      </c>
      <c r="X287" s="1" t="str">
        <f ca="1">IFERROR(__xludf.DUMMYFUNCTION("""COMPUTED_VALUE"""),"Neither")</f>
        <v>Neither</v>
      </c>
      <c r="Y287" s="1" t="str">
        <f ca="1">IFERROR(__xludf.DUMMYFUNCTION("""COMPUTED_VALUE"""),"No")</f>
        <v>No</v>
      </c>
      <c r="Z287" s="1"/>
      <c r="AA287" s="1" t="str">
        <f ca="1">IFERROR(__xludf.DUMMYFUNCTION("""COMPUTED_VALUE"""),"No")</f>
        <v>No</v>
      </c>
      <c r="AB287" s="1" t="str">
        <f ca="1">IFERROR(__xludf.DUMMYFUNCTION("""COMPUTED_VALUE"""),"No")</f>
        <v>No</v>
      </c>
      <c r="AC287" s="1" t="str">
        <f ca="1">IFERROR(__xludf.DUMMYFUNCTION("""COMPUTED_VALUE"""),"No")</f>
        <v>No</v>
      </c>
      <c r="AD287" s="1" t="str">
        <f ca="1">IFERROR(__xludf.DUMMYFUNCTION("""COMPUTED_VALUE"""),"No")</f>
        <v>No</v>
      </c>
      <c r="AE287" s="1" t="str">
        <f ca="1">IFERROR(__xludf.DUMMYFUNCTION("""COMPUTED_VALUE"""),"No")</f>
        <v>No</v>
      </c>
      <c r="AF287" s="1" t="str">
        <f ca="1">IFERROR(__xludf.DUMMYFUNCTION("""COMPUTED_VALUE"""),"No")</f>
        <v>No</v>
      </c>
      <c r="AG287" s="1" t="str">
        <f ca="1">IFERROR(__xludf.DUMMYFUNCTION("""COMPUTED_VALUE"""),"Yes")</f>
        <v>Yes</v>
      </c>
      <c r="AH287" s="1">
        <f ca="1">IFERROR(__xludf.DUMMYFUNCTION("""COMPUTED_VALUE"""),0)</f>
        <v>0</v>
      </c>
    </row>
    <row r="288" spans="1:34" ht="12.5">
      <c r="A288" s="1" t="str">
        <f ca="1">IFERROR(__xludf.DUMMYFUNCTION("""COMPUTED_VALUE"""),"20230515ININI")</f>
        <v>20230515ININI</v>
      </c>
      <c r="B288" s="1">
        <f ca="1">IFERROR(__xludf.DUMMYFUNCTION("""COMPUTED_VALUE"""),5)</f>
        <v>5</v>
      </c>
      <c r="C288" s="1">
        <f ca="1">IFERROR(__xludf.DUMMYFUNCTION("""COMPUTED_VALUE"""),15)</f>
        <v>15</v>
      </c>
      <c r="D288" s="1">
        <f ca="1">IFERROR(__xludf.DUMMYFUNCTION("""COMPUTED_VALUE"""),2023)</f>
        <v>2023</v>
      </c>
      <c r="E288" s="4">
        <f ca="1">IFERROR(__xludf.DUMMYFUNCTION("""COMPUTED_VALUE"""),45061)</f>
        <v>45061</v>
      </c>
      <c r="F288" s="1" t="str">
        <f ca="1">IFERROR(__xludf.DUMMYFUNCTION("""COMPUTED_VALUE"""),"Indianapolis Metropolitan High School")</f>
        <v>Indianapolis Metropolitan High School</v>
      </c>
      <c r="G288" s="1">
        <f ca="1">IFERROR(__xludf.DUMMYFUNCTION("""COMPUTED_VALUE"""),0)</f>
        <v>0</v>
      </c>
      <c r="H288" s="1">
        <f ca="1">IFERROR(__xludf.DUMMYFUNCTION("""COMPUTED_VALUE"""),0)</f>
        <v>0</v>
      </c>
      <c r="I288" s="1">
        <f ca="1">IFERROR(__xludf.DUMMYFUNCTION("""COMPUTED_VALUE"""),0)</f>
        <v>0</v>
      </c>
      <c r="J288" s="1">
        <f ca="1">IFERROR(__xludf.DUMMYFUNCTION("""COMPUTED_VALUE"""),0)</f>
        <v>0</v>
      </c>
      <c r="K288" s="1" t="str">
        <f ca="1">IFERROR(__xludf.DUMMYFUNCTION("""COMPUTED_VALUE"""),"Spring")</f>
        <v>Spring</v>
      </c>
      <c r="L288" s="1" t="str">
        <f ca="1">IFERROR(__xludf.DUMMYFUNCTION("""COMPUTED_VALUE"""),"Indianapolis")</f>
        <v>Indianapolis</v>
      </c>
      <c r="M288" s="1" t="str">
        <f ca="1">IFERROR(__xludf.DUMMYFUNCTION("""COMPUTED_VALUE"""),"IN")</f>
        <v>IN</v>
      </c>
      <c r="N288" s="1" t="str">
        <f ca="1">IFERROR(__xludf.DUMMYFUNCTION("""COMPUTED_VALUE"""),"High")</f>
        <v>High</v>
      </c>
      <c r="O288" s="1" t="str">
        <f ca="1">IFERROR(__xludf.DUMMYFUNCTION("""COMPUTED_VALUE"""),"Bathroom")</f>
        <v>Bathroom</v>
      </c>
      <c r="P288" s="1" t="str">
        <f ca="1">IFERROR(__xludf.DUMMYFUNCTION("""COMPUTED_VALUE"""),"Inside School Building")</f>
        <v>Inside School Building</v>
      </c>
      <c r="Q288" s="1" t="str">
        <f ca="1">IFERROR(__xludf.DUMMYFUNCTION("""COMPUTED_VALUE"""),"Yes")</f>
        <v>Yes</v>
      </c>
      <c r="R288" s="1" t="str">
        <f ca="1">IFERROR(__xludf.DUMMYFUNCTION("""COMPUTED_VALUE"""),"Afternoon Classes")</f>
        <v>Afternoon Classes</v>
      </c>
      <c r="S288" s="5">
        <f ca="1">IFERROR(__xludf.DUMMYFUNCTION("""COMPUTED_VALUE"""),0.625)</f>
        <v>0.625</v>
      </c>
      <c r="T288" s="1">
        <f ca="1">IFERROR(__xludf.DUMMYFUNCTION("""COMPUTED_VALUE"""),1)</f>
        <v>1</v>
      </c>
      <c r="U288" s="1" t="str">
        <f ca="1">IFERROR(__xludf.DUMMYFUNCTION("""COMPUTED_VALUE"""),"Two students arrested with guns after posting photos with them in school bathroom")</f>
        <v>Two students arrested with guns after posting photos with them in school bathroom</v>
      </c>
      <c r="V288" s="1" t="str">
        <f ca="1">IFERROR(__xludf.DUMMYFUNCTION("""COMPUTED_VALUE"""),"Police say just before 3 p.m. Monday they were called to conduct a weapons investigation at Indianapolis Metropolitan High School on the city’s near west side off West Michigan Street. Principal Christina Lear told officers that a student found a picture "&amp;"on social media showing two male juveniles posing for a picture and holding guns in the school’s bathroom. Lear stated there was an event earlier in the day where a student was shot at near 10th and Tremont Street. Officers then assisted school officials "&amp;"with a search of the students. After Principal Lear identified the students as 16-year-old Christopher Smith and Karamba Dioboy, officers were given permission to search of both. They found a black Glock 27 in Smith’s waistband. The firearm did not have a"&amp;"ny live rounds in the chamber but had 7 live rounds in the magazine. Officers also found a 5.7×28 mm in Dioboy’s backpack which didn’t have any live rounds in the chamber but had 8 rounds in the magazine.")</f>
        <v>Police say just before 3 p.m. Monday they were called to conduct a weapons investigation at Indianapolis Metropolitan High School on the city’s near west side off West Michigan Street. Principal Christina Lear told officers that a student found a picture on social media showing two male juveniles posing for a picture and holding guns in the school’s bathroom. Lear stated there was an event earlier in the day where a student was shot at near 10th and Tremont Street. Officers then assisted school officials with a search of the students. After Principal Lear identified the students as 16-year-old Christopher Smith and Karamba Dioboy, officers were given permission to search of both. They found a black Glock 27 in Smith’s waistband. The firearm did not have any live rounds in the chamber but had 7 live rounds in the magazine. Officers also found a 5.7×28 mm in Dioboy’s backpack which didn’t have any live rounds in the chamber but had 8 rounds in the magazine.</v>
      </c>
      <c r="W288" s="1" t="str">
        <f ca="1">IFERROR(__xludf.DUMMYFUNCTION("""COMPUTED_VALUE"""),"Illegal Activity")</f>
        <v>Illegal Activity</v>
      </c>
      <c r="X288" s="1" t="str">
        <f ca="1">IFERROR(__xludf.DUMMYFUNCTION("""COMPUTED_VALUE"""),"Neither")</f>
        <v>Neither</v>
      </c>
      <c r="Y288" s="1" t="str">
        <f ca="1">IFERROR(__xludf.DUMMYFUNCTION("""COMPUTED_VALUE"""),"Yes")</f>
        <v>Yes</v>
      </c>
      <c r="Z288" s="1" t="str">
        <f ca="1">IFERROR(__xludf.DUMMYFUNCTION("""COMPUTED_VALUE"""),"Two students arrested")</f>
        <v>Two students arrested</v>
      </c>
      <c r="AA288" s="1" t="str">
        <f ca="1">IFERROR(__xludf.DUMMYFUNCTION("""COMPUTED_VALUE"""),"No")</f>
        <v>No</v>
      </c>
      <c r="AB288" s="1" t="str">
        <f ca="1">IFERROR(__xludf.DUMMYFUNCTION("""COMPUTED_VALUE"""),"No")</f>
        <v>No</v>
      </c>
      <c r="AC288" s="1" t="str">
        <f ca="1">IFERROR(__xludf.DUMMYFUNCTION("""COMPUTED_VALUE"""),"No")</f>
        <v>No</v>
      </c>
      <c r="AD288" s="1" t="str">
        <f ca="1">IFERROR(__xludf.DUMMYFUNCTION("""COMPUTED_VALUE"""),"No")</f>
        <v>No</v>
      </c>
      <c r="AE288" s="1" t="str">
        <f ca="1">IFERROR(__xludf.DUMMYFUNCTION("""COMPUTED_VALUE"""),"No")</f>
        <v>No</v>
      </c>
      <c r="AF288" s="1"/>
      <c r="AG288" s="1" t="str">
        <f ca="1">IFERROR(__xludf.DUMMYFUNCTION("""COMPUTED_VALUE"""),"No")</f>
        <v>No</v>
      </c>
      <c r="AH288" s="1">
        <f ca="1">IFERROR(__xludf.DUMMYFUNCTION("""COMPUTED_VALUE"""),0)</f>
        <v>0</v>
      </c>
    </row>
    <row r="289" spans="1:34" ht="12.5">
      <c r="A289" s="1" t="str">
        <f ca="1">IFERROR(__xludf.DUMMYFUNCTION("""COMPUTED_VALUE"""),"20230515CAPIP")</f>
        <v>20230515CAPIP</v>
      </c>
      <c r="B289" s="1">
        <f ca="1">IFERROR(__xludf.DUMMYFUNCTION("""COMPUTED_VALUE"""),5)</f>
        <v>5</v>
      </c>
      <c r="C289" s="1">
        <f ca="1">IFERROR(__xludf.DUMMYFUNCTION("""COMPUTED_VALUE"""),15)</f>
        <v>15</v>
      </c>
      <c r="D289" s="1">
        <f ca="1">IFERROR(__xludf.DUMMYFUNCTION("""COMPUTED_VALUE"""),2023)</f>
        <v>2023</v>
      </c>
      <c r="E289" s="4">
        <f ca="1">IFERROR(__xludf.DUMMYFUNCTION("""COMPUTED_VALUE"""),45060)</f>
        <v>45060</v>
      </c>
      <c r="F289" s="1" t="str">
        <f ca="1">IFERROR(__xludf.DUMMYFUNCTION("""COMPUTED_VALUE"""),"Pinon Hills Elementary School")</f>
        <v>Pinon Hills Elementary School</v>
      </c>
      <c r="G289" s="1">
        <f ca="1">IFERROR(__xludf.DUMMYFUNCTION("""COMPUTED_VALUE"""),0)</f>
        <v>0</v>
      </c>
      <c r="H289" s="1">
        <f ca="1">IFERROR(__xludf.DUMMYFUNCTION("""COMPUTED_VALUE"""),0)</f>
        <v>0</v>
      </c>
      <c r="I289" s="1">
        <f ca="1">IFERROR(__xludf.DUMMYFUNCTION("""COMPUTED_VALUE"""),0)</f>
        <v>0</v>
      </c>
      <c r="J289" s="1">
        <f ca="1">IFERROR(__xludf.DUMMYFUNCTION("""COMPUTED_VALUE"""),0)</f>
        <v>0</v>
      </c>
      <c r="K289" s="1" t="str">
        <f ca="1">IFERROR(__xludf.DUMMYFUNCTION("""COMPUTED_VALUE"""),"Spring")</f>
        <v>Spring</v>
      </c>
      <c r="L289" s="1" t="str">
        <f ca="1">IFERROR(__xludf.DUMMYFUNCTION("""COMPUTED_VALUE"""),"Pinon Hills")</f>
        <v>Pinon Hills</v>
      </c>
      <c r="M289" s="1" t="str">
        <f ca="1">IFERROR(__xludf.DUMMYFUNCTION("""COMPUTED_VALUE"""),"CA")</f>
        <v>CA</v>
      </c>
      <c r="N289" s="1" t="str">
        <f ca="1">IFERROR(__xludf.DUMMYFUNCTION("""COMPUTED_VALUE"""),"Elementary")</f>
        <v>Elementary</v>
      </c>
      <c r="O289" s="1" t="str">
        <f ca="1">IFERROR(__xludf.DUMMYFUNCTION("""COMPUTED_VALUE"""),"Playground")</f>
        <v>Playground</v>
      </c>
      <c r="P289" s="1" t="str">
        <f ca="1">IFERROR(__xludf.DUMMYFUNCTION("""COMPUTED_VALUE"""),"Outside on School Property")</f>
        <v>Outside on School Property</v>
      </c>
      <c r="Q289" s="1" t="str">
        <f ca="1">IFERROR(__xludf.DUMMYFUNCTION("""COMPUTED_VALUE"""),"Yes")</f>
        <v>Yes</v>
      </c>
      <c r="R289" s="1" t="str">
        <f ca="1">IFERROR(__xludf.DUMMYFUNCTION("""COMPUTED_VALUE"""),"Morning Classes")</f>
        <v>Morning Classes</v>
      </c>
      <c r="S289" s="5">
        <f ca="1">IFERROR(__xludf.DUMMYFUNCTION("""COMPUTED_VALUE"""),0.375)</f>
        <v>0.375</v>
      </c>
      <c r="T289" s="1">
        <f ca="1">IFERROR(__xludf.DUMMYFUNCTION("""COMPUTED_VALUE"""),1)</f>
        <v>1</v>
      </c>
      <c r="U289" s="1" t="str">
        <f ca="1">IFERROR(__xludf.DUMMYFUNCTION("""COMPUTED_VALUE"""),"Man fired three rounds in the direction of the riders and the school, with two rounds going over the deputy’s head. The school was immediately placed on lockdown, arrested with 40 firearms")</f>
        <v>Man fired three rounds in the direction of the riders and the school, with two rounds going over the deputy’s head. The school was immediately placed on lockdown, arrested with 40 firearms</v>
      </c>
      <c r="V289" s="1" t="str">
        <f ca="1">IFERROR(__xludf.DUMMYFUNCTION("""COMPUTED_VALUE"""),"Gun shots fired toward Pinon Hills Elementary School and a bullet hole found on campus led to the arrest of a local man, who was found with nearly 40 firearms. Shooting suspect Sean Michael David Garcia of Pinon Hills was arrested on Monday and booked at "&amp;"the High Desert Detention Center in Adelanto, sheriff’s officials reported. Garcia was booked into jail on suspicion of discharging a firearm at an occupied vehicle, willful discharge of a firearm with gross negligence, illegal possession of an assault we"&amp;"apon, and manufacturing a short barrel rifle, sheriff’s officials said. At 12:36 p.m. on Sunday, deputies responded to a 911 call in Pinon Hills. According to the victims, they were riding their off-road side-by-side when someone began shooting at them. T"&amp;"he victims told deputies that they were riding when they found someone had placed large rocks and dug ditches on several of the dirt roads to make them impassable to off-road vehicles. During the investigation, two people not link to the incident, rode by"&amp;" on motorcycles and continued on a dirt road southwest of the school. Someone fired three rounds in the direction of the riders and the school, with two rounds going over the deputy’s head. The school was immediately placed on lockdown. Responding deputie"&amp;"s set a perimeter around the school to keep children and staff safe. The San Bernardino County Sheriff’s Department Aviation Division also responded to assist. Around 10 a.m., deputies located the suspect, Garcia, in the yard of his home in the 600 block "&amp;"of Rancho Road. He was found in possession of 38 guns, including assault rifles despite being prohibited from owning weapons, sheriff’s officials said. ")</f>
        <v xml:space="preserve">Gun shots fired toward Pinon Hills Elementary School and a bullet hole found on campus led to the arrest of a local man, who was found with nearly 40 firearms. Shooting suspect Sean Michael David Garcia of Pinon Hills was arrested on Monday and booked at the High Desert Detention Center in Adelanto, sheriff’s officials reported. Garcia was booked into jail on suspicion of discharging a firearm at an occupied vehicle, willful discharge of a firearm with gross negligence, illegal possession of an assault weapon, and manufacturing a short barrel rifle, sheriff’s officials said. At 12:36 p.m. on Sunday, deputies responded to a 911 call in Pinon Hills. According to the victims, they were riding their off-road side-by-side when someone began shooting at them. The victims told deputies that they were riding when they found someone had placed large rocks and dug ditches on several of the dirt roads to make them impassable to off-road vehicles. During the investigation, two people not link to the incident, rode by on motorcycles and continued on a dirt road southwest of the school. Someone fired three rounds in the direction of the riders and the school, with two rounds going over the deputy’s head. The school was immediately placed on lockdown. Responding deputies set a perimeter around the school to keep children and staff safe. The San Bernardino County Sheriff’s Department Aviation Division also responded to assist. Around 10 a.m., deputies located the suspect, Garcia, in the yard of his home in the 600 block of Rancho Road. He was found in possession of 38 guns, including assault rifles despite being prohibited from owning weapons, sheriff’s officials said. </v>
      </c>
      <c r="W289" s="1" t="str">
        <f ca="1">IFERROR(__xludf.DUMMYFUNCTION("""COMPUTED_VALUE"""),"Indiscriminate Shooting")</f>
        <v>Indiscriminate Shooting</v>
      </c>
      <c r="X289" s="1" t="str">
        <f ca="1">IFERROR(__xludf.DUMMYFUNCTION("""COMPUTED_VALUE"""),"Random Shooting")</f>
        <v>Random Shooting</v>
      </c>
      <c r="Y289" s="1" t="str">
        <f ca="1">IFERROR(__xludf.DUMMYFUNCTION("""COMPUTED_VALUE"""),"No")</f>
        <v>No</v>
      </c>
      <c r="Z289" s="1"/>
      <c r="AA289" s="1" t="str">
        <f ca="1">IFERROR(__xludf.DUMMYFUNCTION("""COMPUTED_VALUE"""),"No")</f>
        <v>No</v>
      </c>
      <c r="AB289" s="1" t="str">
        <f ca="1">IFERROR(__xludf.DUMMYFUNCTION("""COMPUTED_VALUE"""),"No")</f>
        <v>No</v>
      </c>
      <c r="AC289" s="1" t="str">
        <f ca="1">IFERROR(__xludf.DUMMYFUNCTION("""COMPUTED_VALUE"""),"No")</f>
        <v>No</v>
      </c>
      <c r="AD289" s="1" t="str">
        <f ca="1">IFERROR(__xludf.DUMMYFUNCTION("""COMPUTED_VALUE"""),"No")</f>
        <v>No</v>
      </c>
      <c r="AE289" s="1" t="str">
        <f ca="1">IFERROR(__xludf.DUMMYFUNCTION("""COMPUTED_VALUE"""),"No")</f>
        <v>No</v>
      </c>
      <c r="AF289" s="1" t="str">
        <f ca="1">IFERROR(__xludf.DUMMYFUNCTION("""COMPUTED_VALUE"""),"No")</f>
        <v>No</v>
      </c>
      <c r="AG289" s="1" t="str">
        <f ca="1">IFERROR(__xludf.DUMMYFUNCTION("""COMPUTED_VALUE"""),"Yes")</f>
        <v>Yes</v>
      </c>
      <c r="AH289" s="1">
        <f ca="1">IFERROR(__xludf.DUMMYFUNCTION("""COMPUTED_VALUE"""),5)</f>
        <v>5</v>
      </c>
    </row>
    <row r="290" spans="1:34" ht="12.5">
      <c r="A290" s="1" t="str">
        <f ca="1">IFERROR(__xludf.DUMMYFUNCTION("""COMPUTED_VALUE"""),"20230512TNLEL")</f>
        <v>20230512TNLEL</v>
      </c>
      <c r="B290" s="1">
        <f ca="1">IFERROR(__xludf.DUMMYFUNCTION("""COMPUTED_VALUE"""),5)</f>
        <v>5</v>
      </c>
      <c r="C290" s="1">
        <f ca="1">IFERROR(__xludf.DUMMYFUNCTION("""COMPUTED_VALUE"""),12)</f>
        <v>12</v>
      </c>
      <c r="D290" s="1">
        <f ca="1">IFERROR(__xludf.DUMMYFUNCTION("""COMPUTED_VALUE"""),2023)</f>
        <v>2023</v>
      </c>
      <c r="E290" s="4">
        <f ca="1">IFERROR(__xludf.DUMMYFUNCTION("""COMPUTED_VALUE"""),45058)</f>
        <v>45058</v>
      </c>
      <c r="F290" s="1" t="str">
        <f ca="1">IFERROR(__xludf.DUMMYFUNCTION("""COMPUTED_VALUE"""),"Lenoir City High School")</f>
        <v>Lenoir City High School</v>
      </c>
      <c r="G290" s="1">
        <f ca="1">IFERROR(__xludf.DUMMYFUNCTION("""COMPUTED_VALUE"""),0)</f>
        <v>0</v>
      </c>
      <c r="H290" s="1">
        <f ca="1">IFERROR(__xludf.DUMMYFUNCTION("""COMPUTED_VALUE"""),0)</f>
        <v>0</v>
      </c>
      <c r="I290" s="1">
        <f ca="1">IFERROR(__xludf.DUMMYFUNCTION("""COMPUTED_VALUE"""),0)</f>
        <v>0</v>
      </c>
      <c r="J290" s="1">
        <f ca="1">IFERROR(__xludf.DUMMYFUNCTION("""COMPUTED_VALUE"""),1)</f>
        <v>1</v>
      </c>
      <c r="K290" s="1" t="str">
        <f ca="1">IFERROR(__xludf.DUMMYFUNCTION("""COMPUTED_VALUE"""),"Spring")</f>
        <v>Spring</v>
      </c>
      <c r="L290" s="1" t="str">
        <f ca="1">IFERROR(__xludf.DUMMYFUNCTION("""COMPUTED_VALUE"""),"Lenoir City")</f>
        <v>Lenoir City</v>
      </c>
      <c r="M290" s="1" t="str">
        <f ca="1">IFERROR(__xludf.DUMMYFUNCTION("""COMPUTED_VALUE"""),"TN")</f>
        <v>TN</v>
      </c>
      <c r="N290" s="1" t="str">
        <f ca="1">IFERROR(__xludf.DUMMYFUNCTION("""COMPUTED_VALUE"""),"High")</f>
        <v>High</v>
      </c>
      <c r="O290" s="1" t="str">
        <f ca="1">IFERROR(__xludf.DUMMYFUNCTION("""COMPUTED_VALUE"""),"Parking Lot")</f>
        <v>Parking Lot</v>
      </c>
      <c r="P290" s="1" t="str">
        <f ca="1">IFERROR(__xludf.DUMMYFUNCTION("""COMPUTED_VALUE"""),"Outside on School Property")</f>
        <v>Outside on School Property</v>
      </c>
      <c r="Q290" s="1" t="str">
        <f ca="1">IFERROR(__xludf.DUMMYFUNCTION("""COMPUTED_VALUE"""),"No")</f>
        <v>No</v>
      </c>
      <c r="R290" s="1" t="str">
        <f ca="1">IFERROR(__xludf.DUMMYFUNCTION("""COMPUTED_VALUE"""),"School Event")</f>
        <v>School Event</v>
      </c>
      <c r="S290" s="5">
        <f ca="1">IFERROR(__xludf.DUMMYFUNCTION("""COMPUTED_VALUE"""),0.864583333333333)</f>
        <v>0.86458333333333304</v>
      </c>
      <c r="T290" s="1">
        <f ca="1">IFERROR(__xludf.DUMMYFUNCTION("""COMPUTED_VALUE"""),1)</f>
        <v>1</v>
      </c>
      <c r="U290" s="1" t="str">
        <f ca="1">IFERROR(__xludf.DUMMYFUNCTION("""COMPUTED_VALUE"""),"Parent shot self while leaving high school graduation")</f>
        <v>Parent shot self while leaving high school graduation</v>
      </c>
      <c r="V290" s="1" t="str">
        <f ca="1">IFERROR(__xludf.DUMMYFUNCTION("""COMPUTED_VALUE"""),"A gun accidentally discharged at the Lenoir City High School graduation Friday night, according to school officials. After the ceremony, a gun went off and hit the owner. “First Aid was immediately rendered by school SROs and local first responders,” Leno"&amp;"ir City High officials said. “No other attendees were injured, and we have no reason to believe that the incident was anything other than an accident.” It is illegal to have a firearm on school grounds. It is unclear if the person will be charged.")</f>
        <v>A gun accidentally discharged at the Lenoir City High School graduation Friday night, according to school officials. After the ceremony, a gun went off and hit the owner. “First Aid was immediately rendered by school SROs and local first responders,” Lenoir City High officials said. “No other attendees were injured, and we have no reason to believe that the incident was anything other than an accident.” It is illegal to have a firearm on school grounds. It is unclear if the person will be charged.</v>
      </c>
      <c r="W290" s="1" t="str">
        <f ca="1">IFERROR(__xludf.DUMMYFUNCTION("""COMPUTED_VALUE"""),"Accidental")</f>
        <v>Accidental</v>
      </c>
      <c r="X290" s="1" t="str">
        <f ca="1">IFERROR(__xludf.DUMMYFUNCTION("""COMPUTED_VALUE"""),"Neither")</f>
        <v>Neither</v>
      </c>
      <c r="Y290" s="1" t="str">
        <f ca="1">IFERROR(__xludf.DUMMYFUNCTION("""COMPUTED_VALUE"""),"No")</f>
        <v>No</v>
      </c>
      <c r="Z290" s="1"/>
      <c r="AA290" s="1" t="str">
        <f ca="1">IFERROR(__xludf.DUMMYFUNCTION("""COMPUTED_VALUE"""),"No")</f>
        <v>No</v>
      </c>
      <c r="AB290" s="1" t="str">
        <f ca="1">IFERROR(__xludf.DUMMYFUNCTION("""COMPUTED_VALUE"""),"No")</f>
        <v>No</v>
      </c>
      <c r="AC290" s="1" t="str">
        <f ca="1">IFERROR(__xludf.DUMMYFUNCTION("""COMPUTED_VALUE"""),"No")</f>
        <v>No</v>
      </c>
      <c r="AD290" s="1" t="str">
        <f ca="1">IFERROR(__xludf.DUMMYFUNCTION("""COMPUTED_VALUE"""),"No")</f>
        <v>No</v>
      </c>
      <c r="AE290" s="1" t="str">
        <f ca="1">IFERROR(__xludf.DUMMYFUNCTION("""COMPUTED_VALUE"""),"No")</f>
        <v>No</v>
      </c>
      <c r="AF290" s="1" t="str">
        <f ca="1">IFERROR(__xludf.DUMMYFUNCTION("""COMPUTED_VALUE"""),"No")</f>
        <v>No</v>
      </c>
      <c r="AG290" s="1" t="str">
        <f ca="1">IFERROR(__xludf.DUMMYFUNCTION("""COMPUTED_VALUE"""),"No")</f>
        <v>No</v>
      </c>
      <c r="AH290" s="1">
        <f ca="1">IFERROR(__xludf.DUMMYFUNCTION("""COMPUTED_VALUE"""),1)</f>
        <v>1</v>
      </c>
    </row>
    <row r="291" spans="1:34" ht="12.5">
      <c r="A291" s="1" t="str">
        <f ca="1">IFERROR(__xludf.DUMMYFUNCTION("""COMPUTED_VALUE"""),"20230512OHEDD")</f>
        <v>20230512OHEDD</v>
      </c>
      <c r="B291" s="1">
        <f ca="1">IFERROR(__xludf.DUMMYFUNCTION("""COMPUTED_VALUE"""),5)</f>
        <v>5</v>
      </c>
      <c r="C291" s="1">
        <f ca="1">IFERROR(__xludf.DUMMYFUNCTION("""COMPUTED_VALUE"""),12)</f>
        <v>12</v>
      </c>
      <c r="D291" s="1">
        <f ca="1">IFERROR(__xludf.DUMMYFUNCTION("""COMPUTED_VALUE"""),2023)</f>
        <v>2023</v>
      </c>
      <c r="E291" s="4">
        <f ca="1">IFERROR(__xludf.DUMMYFUNCTION("""COMPUTED_VALUE"""),45058)</f>
        <v>45058</v>
      </c>
      <c r="F291" s="1" t="str">
        <f ca="1">IFERROR(__xludf.DUMMYFUNCTION("""COMPUTED_VALUE"""),"Edwin Joel Brown Middle School")</f>
        <v>Edwin Joel Brown Middle School</v>
      </c>
      <c r="G291" s="1">
        <f ca="1">IFERROR(__xludf.DUMMYFUNCTION("""COMPUTED_VALUE"""),0)</f>
        <v>0</v>
      </c>
      <c r="H291" s="1">
        <f ca="1">IFERROR(__xludf.DUMMYFUNCTION("""COMPUTED_VALUE"""),0)</f>
        <v>0</v>
      </c>
      <c r="I291" s="1">
        <f ca="1">IFERROR(__xludf.DUMMYFUNCTION("""COMPUTED_VALUE"""),0)</f>
        <v>0</v>
      </c>
      <c r="J291" s="1">
        <f ca="1">IFERROR(__xludf.DUMMYFUNCTION("""COMPUTED_VALUE"""),0)</f>
        <v>0</v>
      </c>
      <c r="K291" s="1" t="str">
        <f ca="1">IFERROR(__xludf.DUMMYFUNCTION("""COMPUTED_VALUE"""),"Spring")</f>
        <v>Spring</v>
      </c>
      <c r="L291" s="1" t="str">
        <f ca="1">IFERROR(__xludf.DUMMYFUNCTION("""COMPUTED_VALUE"""),"Dayton")</f>
        <v>Dayton</v>
      </c>
      <c r="M291" s="1" t="str">
        <f ca="1">IFERROR(__xludf.DUMMYFUNCTION("""COMPUTED_VALUE"""),"OH")</f>
        <v>OH</v>
      </c>
      <c r="N291" s="1" t="str">
        <f ca="1">IFERROR(__xludf.DUMMYFUNCTION("""COMPUTED_VALUE"""),"Middle")</f>
        <v>Middle</v>
      </c>
      <c r="O291" s="1" t="str">
        <f ca="1">IFERROR(__xludf.DUMMYFUNCTION("""COMPUTED_VALUE"""),"Parking Lot")</f>
        <v>Parking Lot</v>
      </c>
      <c r="P291" s="1" t="str">
        <f ca="1">IFERROR(__xludf.DUMMYFUNCTION("""COMPUTED_VALUE"""),"Outside on School Property")</f>
        <v>Outside on School Property</v>
      </c>
      <c r="Q291" s="1" t="str">
        <f ca="1">IFERROR(__xludf.DUMMYFUNCTION("""COMPUTED_VALUE"""),"No")</f>
        <v>No</v>
      </c>
      <c r="R291" s="1" t="str">
        <f ca="1">IFERROR(__xludf.DUMMYFUNCTION("""COMPUTED_VALUE"""),"Evening")</f>
        <v>Evening</v>
      </c>
      <c r="S291" s="5">
        <f ca="1">IFERROR(__xludf.DUMMYFUNCTION("""COMPUTED_VALUE"""),0.829861111111111)</f>
        <v>0.82986111111111105</v>
      </c>
      <c r="T291" s="1">
        <f ca="1">IFERROR(__xludf.DUMMYFUNCTION("""COMPUTED_VALUE"""),1)</f>
        <v>1</v>
      </c>
      <c r="U291" s="1" t="str">
        <f ca="1">IFERROR(__xludf.DUMMYFUNCTION("""COMPUTED_VALUE"""),"Minor and 19-year-old man fired shots during fight in the school parking lot")</f>
        <v>Minor and 19-year-old man fired shots during fight in the school parking lot</v>
      </c>
      <c r="V291" s="1" t="str">
        <f ca="1">IFERROR(__xludf.DUMMYFUNCTION("""COMPUTED_VALUE"""),"At about 7:55 p.m. May 12, Dayton police were dispatched to the school in north Dayton after receiving a report of gunshots being fired. A caller indicated that a male was firing a gun and four males got into an orange Cadillac and drove off, the affidavi"&amp;"t states. Officers said surveillance video footage showed that people were firing guns in the school parking lot toward the school playground. Police said the first shots were fired by a juvenile, but they allege Ruff then produced a firearm and fired gun"&amp;"shots toward the playground as well. Officers located five .40 caliber shell casings in the school parking lot. Special Agent Housum in his affidavit said there is sufficient probable cause to believe that Ruff possessed a pistol with ammunition and disch"&amp;"arged it with reckless disregard for the safety of others in a place that he knew was a school zone.")</f>
        <v>At about 7:55 p.m. May 12, Dayton police were dispatched to the school in north Dayton after receiving a report of gunshots being fired. A caller indicated that a male was firing a gun and four males got into an orange Cadillac and drove off, the affidavit states. Officers said surveillance video footage showed that people were firing guns in the school parking lot toward the school playground. Police said the first shots were fired by a juvenile, but they allege Ruff then produced a firearm and fired gunshots toward the playground as well. Officers located five .40 caliber shell casings in the school parking lot. Special Agent Housum in his affidavit said there is sufficient probable cause to believe that Ruff possessed a pistol with ammunition and discharged it with reckless disregard for the safety of others in a place that he knew was a school zone.</v>
      </c>
      <c r="W291" s="1" t="str">
        <f ca="1">IFERROR(__xludf.DUMMYFUNCTION("""COMPUTED_VALUE"""),"Escalation of Dispute")</f>
        <v>Escalation of Dispute</v>
      </c>
      <c r="X291" s="1" t="str">
        <f ca="1">IFERROR(__xludf.DUMMYFUNCTION("""COMPUTED_VALUE"""),"Victims Targeted")</f>
        <v>Victims Targeted</v>
      </c>
      <c r="Y291" s="1" t="str">
        <f ca="1">IFERROR(__xludf.DUMMYFUNCTION("""COMPUTED_VALUE"""),"No")</f>
        <v>No</v>
      </c>
      <c r="Z291" s="1"/>
      <c r="AA291" s="1" t="str">
        <f ca="1">IFERROR(__xludf.DUMMYFUNCTION("""COMPUTED_VALUE"""),"No")</f>
        <v>No</v>
      </c>
      <c r="AB291" s="1" t="str">
        <f ca="1">IFERROR(__xludf.DUMMYFUNCTION("""COMPUTED_VALUE"""),"No")</f>
        <v>No</v>
      </c>
      <c r="AC291" s="1" t="str">
        <f ca="1">IFERROR(__xludf.DUMMYFUNCTION("""COMPUTED_VALUE"""),"No")</f>
        <v>No</v>
      </c>
      <c r="AD291" s="1" t="str">
        <f ca="1">IFERROR(__xludf.DUMMYFUNCTION("""COMPUTED_VALUE"""),"No")</f>
        <v>No</v>
      </c>
      <c r="AE291" s="1" t="str">
        <f ca="1">IFERROR(__xludf.DUMMYFUNCTION("""COMPUTED_VALUE"""),"No")</f>
        <v>No</v>
      </c>
      <c r="AF291" s="1"/>
      <c r="AG291" s="1" t="str">
        <f ca="1">IFERROR(__xludf.DUMMYFUNCTION("""COMPUTED_VALUE"""),"No")</f>
        <v>No</v>
      </c>
      <c r="AH291" s="1">
        <f ca="1">IFERROR(__xludf.DUMMYFUNCTION("""COMPUTED_VALUE"""),99)</f>
        <v>99</v>
      </c>
    </row>
    <row r="292" spans="1:34" ht="12.5">
      <c r="A292" s="1" t="str">
        <f ca="1">IFERROR(__xludf.DUMMYFUNCTION("""COMPUTED_VALUE"""),"20230512DCKEW")</f>
        <v>20230512DCKEW</v>
      </c>
      <c r="B292" s="1">
        <f ca="1">IFERROR(__xludf.DUMMYFUNCTION("""COMPUTED_VALUE"""),5)</f>
        <v>5</v>
      </c>
      <c r="C292" s="1">
        <f ca="1">IFERROR(__xludf.DUMMYFUNCTION("""COMPUTED_VALUE"""),12)</f>
        <v>12</v>
      </c>
      <c r="D292" s="1">
        <f ca="1">IFERROR(__xludf.DUMMYFUNCTION("""COMPUTED_VALUE"""),2023)</f>
        <v>2023</v>
      </c>
      <c r="E292" s="4">
        <f ca="1">IFERROR(__xludf.DUMMYFUNCTION("""COMPUTED_VALUE"""),45058)</f>
        <v>45058</v>
      </c>
      <c r="F292" s="1" t="str">
        <f ca="1">IFERROR(__xludf.DUMMYFUNCTION("""COMPUTED_VALUE"""),"Ketcham Elementary School")</f>
        <v>Ketcham Elementary School</v>
      </c>
      <c r="G292" s="1">
        <f ca="1">IFERROR(__xludf.DUMMYFUNCTION("""COMPUTED_VALUE"""),0)</f>
        <v>0</v>
      </c>
      <c r="H292" s="1">
        <f ca="1">IFERROR(__xludf.DUMMYFUNCTION("""COMPUTED_VALUE"""),1)</f>
        <v>1</v>
      </c>
      <c r="I292" s="1">
        <f ca="1">IFERROR(__xludf.DUMMYFUNCTION("""COMPUTED_VALUE"""),1)</f>
        <v>1</v>
      </c>
      <c r="J292" s="1">
        <f ca="1">IFERROR(__xludf.DUMMYFUNCTION("""COMPUTED_VALUE"""),0)</f>
        <v>0</v>
      </c>
      <c r="K292" s="1" t="str">
        <f ca="1">IFERROR(__xludf.DUMMYFUNCTION("""COMPUTED_VALUE"""),"Spring")</f>
        <v>Spring</v>
      </c>
      <c r="L292" s="1" t="str">
        <f ca="1">IFERROR(__xludf.DUMMYFUNCTION("""COMPUTED_VALUE"""),"Washington")</f>
        <v>Washington</v>
      </c>
      <c r="M292" s="1" t="str">
        <f ca="1">IFERROR(__xludf.DUMMYFUNCTION("""COMPUTED_VALUE"""),"DC")</f>
        <v>DC</v>
      </c>
      <c r="N292" s="1" t="str">
        <f ca="1">IFERROR(__xludf.DUMMYFUNCTION("""COMPUTED_VALUE"""),"Elementary")</f>
        <v>Elementary</v>
      </c>
      <c r="O292" s="1" t="str">
        <f ca="1">IFERROR(__xludf.DUMMYFUNCTION("""COMPUTED_VALUE"""),"Front of School")</f>
        <v>Front of School</v>
      </c>
      <c r="P292" s="1" t="str">
        <f ca="1">IFERROR(__xludf.DUMMYFUNCTION("""COMPUTED_VALUE"""),"Outside on School Property")</f>
        <v>Outside on School Property</v>
      </c>
      <c r="Q292" s="1" t="str">
        <f ca="1">IFERROR(__xludf.DUMMYFUNCTION("""COMPUTED_VALUE"""),"Yes")</f>
        <v>Yes</v>
      </c>
      <c r="R292" s="1" t="str">
        <f ca="1">IFERROR(__xludf.DUMMYFUNCTION("""COMPUTED_VALUE"""),"Lunch")</f>
        <v>Lunch</v>
      </c>
      <c r="S292" s="5">
        <f ca="1">IFERROR(__xludf.DUMMYFUNCTION("""COMPUTED_VALUE"""),0.506944444444444)</f>
        <v>0.50694444444444398</v>
      </c>
      <c r="T292" s="1">
        <f ca="1">IFERROR(__xludf.DUMMYFUNCTION("""COMPUTED_VALUE"""),1)</f>
        <v>1</v>
      </c>
      <c r="U292" s="1" t="str">
        <f ca="1">IFERROR(__xludf.DUMMYFUNCTION("""COMPUTED_VALUE"""),"Man shot in front of school, students outside witnessed shooting")</f>
        <v>Man shot in front of school, students outside witnessed shooting</v>
      </c>
      <c r="V292" s="1" t="str">
        <f ca="1">IFERROR(__xludf.DUMMYFUNCTION("""COMPUTED_VALUE"""),"Ketcham Elementary in Southeast D.C. was put on lockdown after a man was shot in front of the school around noon on Friday. According to a teacher at the school, some children were outside at the time. “We had kindergarteners coming inside, screaming, cry"&amp;"ing, one of the kindergarteners vomiting. This is not what we want our children subject to when they come to school,” said Erica Green, a Ketcham teacher. Shots fired from a vehicle and shooter fled.")</f>
        <v>Ketcham Elementary in Southeast D.C. was put on lockdown after a man was shot in front of the school around noon on Friday. According to a teacher at the school, some children were outside at the time. “We had kindergarteners coming inside, screaming, crying, one of the kindergarteners vomiting. This is not what we want our children subject to when they come to school,” said Erica Green, a Ketcham teacher. Shots fired from a vehicle and shooter fled.</v>
      </c>
      <c r="W292" s="1" t="str">
        <f ca="1">IFERROR(__xludf.DUMMYFUNCTION("""COMPUTED_VALUE"""),"Drive-by Shooting")</f>
        <v>Drive-by Shooting</v>
      </c>
      <c r="X292" s="1" t="str">
        <f ca="1">IFERROR(__xludf.DUMMYFUNCTION("""COMPUTED_VALUE"""),"Victims Targeted")</f>
        <v>Victims Targeted</v>
      </c>
      <c r="Y292" s="1" t="str">
        <f ca="1">IFERROR(__xludf.DUMMYFUNCTION("""COMPUTED_VALUE"""),"Yes")</f>
        <v>Yes</v>
      </c>
      <c r="Z292" s="1" t="str">
        <f ca="1">IFERROR(__xludf.DUMMYFUNCTION("""COMPUTED_VALUE"""),"Shooter and driver")</f>
        <v>Shooter and driver</v>
      </c>
      <c r="AA292" s="1" t="str">
        <f ca="1">IFERROR(__xludf.DUMMYFUNCTION("""COMPUTED_VALUE"""),"No")</f>
        <v>No</v>
      </c>
      <c r="AB292" s="1" t="str">
        <f ca="1">IFERROR(__xludf.DUMMYFUNCTION("""COMPUTED_VALUE"""),"No")</f>
        <v>No</v>
      </c>
      <c r="AC292" s="1" t="str">
        <f ca="1">IFERROR(__xludf.DUMMYFUNCTION("""COMPUTED_VALUE"""),"No")</f>
        <v>No</v>
      </c>
      <c r="AD292" s="1" t="str">
        <f ca="1">IFERROR(__xludf.DUMMYFUNCTION("""COMPUTED_VALUE"""),"No")</f>
        <v>No</v>
      </c>
      <c r="AE292" s="1" t="str">
        <f ca="1">IFERROR(__xludf.DUMMYFUNCTION("""COMPUTED_VALUE"""),"No")</f>
        <v>No</v>
      </c>
      <c r="AF292" s="1"/>
      <c r="AG292" s="1" t="str">
        <f ca="1">IFERROR(__xludf.DUMMYFUNCTION("""COMPUTED_VALUE"""),"No")</f>
        <v>No</v>
      </c>
      <c r="AH292" s="1">
        <f ca="1">IFERROR(__xludf.DUMMYFUNCTION("""COMPUTED_VALUE"""),99)</f>
        <v>99</v>
      </c>
    </row>
    <row r="293" spans="1:34" ht="12.5">
      <c r="A293" s="1" t="str">
        <f ca="1">IFERROR(__xludf.DUMMYFUNCTION("""COMPUTED_VALUE"""),"20230511MDNOF")</f>
        <v>20230511MDNOF</v>
      </c>
      <c r="B293" s="1">
        <f ca="1">IFERROR(__xludf.DUMMYFUNCTION("""COMPUTED_VALUE"""),5)</f>
        <v>5</v>
      </c>
      <c r="C293" s="1">
        <f ca="1">IFERROR(__xludf.DUMMYFUNCTION("""COMPUTED_VALUE"""),11)</f>
        <v>11</v>
      </c>
      <c r="D293" s="1">
        <f ca="1">IFERROR(__xludf.DUMMYFUNCTION("""COMPUTED_VALUE"""),2023)</f>
        <v>2023</v>
      </c>
      <c r="E293" s="4">
        <f ca="1">IFERROR(__xludf.DUMMYFUNCTION("""COMPUTED_VALUE"""),45057)</f>
        <v>45057</v>
      </c>
      <c r="F293" s="1" t="str">
        <f ca="1">IFERROR(__xludf.DUMMYFUNCTION("""COMPUTED_VALUE"""),"North Forestville Elementary School")</f>
        <v>North Forestville Elementary School</v>
      </c>
      <c r="G293" s="1">
        <f ca="1">IFERROR(__xludf.DUMMYFUNCTION("""COMPUTED_VALUE"""),1)</f>
        <v>1</v>
      </c>
      <c r="H293" s="1">
        <f ca="1">IFERROR(__xludf.DUMMYFUNCTION("""COMPUTED_VALUE"""),0)</f>
        <v>0</v>
      </c>
      <c r="I293" s="1">
        <f ca="1">IFERROR(__xludf.DUMMYFUNCTION("""COMPUTED_VALUE"""),1)</f>
        <v>1</v>
      </c>
      <c r="J293" s="1">
        <f ca="1">IFERROR(__xludf.DUMMYFUNCTION("""COMPUTED_VALUE"""),0)</f>
        <v>0</v>
      </c>
      <c r="K293" s="1" t="str">
        <f ca="1">IFERROR(__xludf.DUMMYFUNCTION("""COMPUTED_VALUE"""),"Spring")</f>
        <v>Spring</v>
      </c>
      <c r="L293" s="1" t="str">
        <f ca="1">IFERROR(__xludf.DUMMYFUNCTION("""COMPUTED_VALUE"""),"Forestville")</f>
        <v>Forestville</v>
      </c>
      <c r="M293" s="1" t="str">
        <f ca="1">IFERROR(__xludf.DUMMYFUNCTION("""COMPUTED_VALUE"""),"MD")</f>
        <v>MD</v>
      </c>
      <c r="N293" s="1" t="str">
        <f ca="1">IFERROR(__xludf.DUMMYFUNCTION("""COMPUTED_VALUE"""),"Elementary")</f>
        <v>Elementary</v>
      </c>
      <c r="O293" s="1" t="str">
        <f ca="1">IFERROR(__xludf.DUMMYFUNCTION("""COMPUTED_VALUE"""),"Parking Lot")</f>
        <v>Parking Lot</v>
      </c>
      <c r="P293" s="1" t="str">
        <f ca="1">IFERROR(__xludf.DUMMYFUNCTION("""COMPUTED_VALUE"""),"Outside on School Property")</f>
        <v>Outside on School Property</v>
      </c>
      <c r="Q293" s="1" t="str">
        <f ca="1">IFERROR(__xludf.DUMMYFUNCTION("""COMPUTED_VALUE"""),"No")</f>
        <v>No</v>
      </c>
      <c r="R293" s="1" t="str">
        <f ca="1">IFERROR(__xludf.DUMMYFUNCTION("""COMPUTED_VALUE"""),"Evening")</f>
        <v>Evening</v>
      </c>
      <c r="S293" s="5">
        <f ca="1">IFERROR(__xludf.DUMMYFUNCTION("""COMPUTED_VALUE"""),0.770833333333333)</f>
        <v>0.77083333333333304</v>
      </c>
      <c r="T293" s="1">
        <f ca="1">IFERROR(__xludf.DUMMYFUNCTION("""COMPUTED_VALUE"""),1)</f>
        <v>1</v>
      </c>
      <c r="U293" s="1" t="str">
        <f ca="1">IFERROR(__xludf.DUMMYFUNCTION("""COMPUTED_VALUE"""),"Man killed during attempted carjacking in school parking lot.")</f>
        <v>Man killed during attempted carjacking in school parking lot.</v>
      </c>
      <c r="V293" s="1" t="str">
        <f ca="1">IFERROR(__xludf.DUMMYFUNCTION("""COMPUTED_VALUE"""),"High school senior killed during attempted carjacking in school parking lot. 18-year-old gunman with a rifle ")</f>
        <v xml:space="preserve">High school senior killed during attempted carjacking in school parking lot. 18-year-old gunman with a rifle </v>
      </c>
      <c r="W293" s="1" t="str">
        <f ca="1">IFERROR(__xludf.DUMMYFUNCTION("""COMPUTED_VALUE"""),"Illegal Activity")</f>
        <v>Illegal Activity</v>
      </c>
      <c r="X293" s="1" t="str">
        <f ca="1">IFERROR(__xludf.DUMMYFUNCTION("""COMPUTED_VALUE"""),"Victims Targeted")</f>
        <v>Victims Targeted</v>
      </c>
      <c r="Y293" s="1"/>
      <c r="Z293" s="1"/>
      <c r="AA293" s="1" t="str">
        <f ca="1">IFERROR(__xludf.DUMMYFUNCTION("""COMPUTED_VALUE"""),"No")</f>
        <v>No</v>
      </c>
      <c r="AB293" s="1" t="str">
        <f ca="1">IFERROR(__xludf.DUMMYFUNCTION("""COMPUTED_VALUE"""),"No")</f>
        <v>No</v>
      </c>
      <c r="AC293" s="1" t="str">
        <f ca="1">IFERROR(__xludf.DUMMYFUNCTION("""COMPUTED_VALUE"""),"No")</f>
        <v>No</v>
      </c>
      <c r="AD293" s="1" t="str">
        <f ca="1">IFERROR(__xludf.DUMMYFUNCTION("""COMPUTED_VALUE"""),"No")</f>
        <v>No</v>
      </c>
      <c r="AE293" s="1" t="str">
        <f ca="1">IFERROR(__xludf.DUMMYFUNCTION("""COMPUTED_VALUE"""),"No")</f>
        <v>No</v>
      </c>
      <c r="AF293" s="1" t="str">
        <f ca="1">IFERROR(__xludf.DUMMYFUNCTION("""COMPUTED_VALUE"""),"No")</f>
        <v>No</v>
      </c>
      <c r="AG293" s="1" t="str">
        <f ca="1">IFERROR(__xludf.DUMMYFUNCTION("""COMPUTED_VALUE"""),"No")</f>
        <v>No</v>
      </c>
      <c r="AH293" s="1">
        <f ca="1">IFERROR(__xludf.DUMMYFUNCTION("""COMPUTED_VALUE"""),99)</f>
        <v>99</v>
      </c>
    </row>
    <row r="294" spans="1:34" ht="12.5">
      <c r="A294" s="1" t="str">
        <f ca="1">IFERROR(__xludf.DUMMYFUNCTION("""COMPUTED_VALUE"""),"20230511ILNER")</f>
        <v>20230511ILNER</v>
      </c>
      <c r="B294" s="1">
        <f ca="1">IFERROR(__xludf.DUMMYFUNCTION("""COMPUTED_VALUE"""),5)</f>
        <v>5</v>
      </c>
      <c r="C294" s="1">
        <f ca="1">IFERROR(__xludf.DUMMYFUNCTION("""COMPUTED_VALUE"""),11)</f>
        <v>11</v>
      </c>
      <c r="D294" s="1">
        <f ca="1">IFERROR(__xludf.DUMMYFUNCTION("""COMPUTED_VALUE"""),2023)</f>
        <v>2023</v>
      </c>
      <c r="E294" s="4">
        <f ca="1">IFERROR(__xludf.DUMMYFUNCTION("""COMPUTED_VALUE"""),45057)</f>
        <v>45057</v>
      </c>
      <c r="F294" s="1" t="str">
        <f ca="1">IFERROR(__xludf.DUMMYFUNCTION("""COMPUTED_VALUE"""),"Neil Armstrong Elementary School")</f>
        <v>Neil Armstrong Elementary School</v>
      </c>
      <c r="G294" s="1">
        <f ca="1">IFERROR(__xludf.DUMMYFUNCTION("""COMPUTED_VALUE"""),0)</f>
        <v>0</v>
      </c>
      <c r="H294" s="1">
        <f ca="1">IFERROR(__xludf.DUMMYFUNCTION("""COMPUTED_VALUE"""),0)</f>
        <v>0</v>
      </c>
      <c r="I294" s="1">
        <f ca="1">IFERROR(__xludf.DUMMYFUNCTION("""COMPUTED_VALUE"""),0)</f>
        <v>0</v>
      </c>
      <c r="J294" s="1">
        <f ca="1">IFERROR(__xludf.DUMMYFUNCTION("""COMPUTED_VALUE"""),0)</f>
        <v>0</v>
      </c>
      <c r="K294" s="1" t="str">
        <f ca="1">IFERROR(__xludf.DUMMYFUNCTION("""COMPUTED_VALUE"""),"Spring")</f>
        <v>Spring</v>
      </c>
      <c r="L294" s="1" t="str">
        <f ca="1">IFERROR(__xludf.DUMMYFUNCTION("""COMPUTED_VALUE"""),"Richton Park")</f>
        <v>Richton Park</v>
      </c>
      <c r="M294" s="1" t="str">
        <f ca="1">IFERROR(__xludf.DUMMYFUNCTION("""COMPUTED_VALUE"""),"IL")</f>
        <v>IL</v>
      </c>
      <c r="N294" s="1" t="str">
        <f ca="1">IFERROR(__xludf.DUMMYFUNCTION("""COMPUTED_VALUE"""),"Elementary")</f>
        <v>Elementary</v>
      </c>
      <c r="O294" s="1" t="str">
        <f ca="1">IFERROR(__xludf.DUMMYFUNCTION("""COMPUTED_VALUE"""),"Hallway")</f>
        <v>Hallway</v>
      </c>
      <c r="P294" s="1" t="str">
        <f ca="1">IFERROR(__xludf.DUMMYFUNCTION("""COMPUTED_VALUE"""),"Inside School Building")</f>
        <v>Inside School Building</v>
      </c>
      <c r="Q294" s="1" t="str">
        <f ca="1">IFERROR(__xludf.DUMMYFUNCTION("""COMPUTED_VALUE"""),"Yes")</f>
        <v>Yes</v>
      </c>
      <c r="R294" s="1" t="str">
        <f ca="1">IFERROR(__xludf.DUMMYFUNCTION("""COMPUTED_VALUE"""),"Morning Classes")</f>
        <v>Morning Classes</v>
      </c>
      <c r="S294" s="5">
        <f ca="1">IFERROR(__xludf.DUMMYFUNCTION("""COMPUTED_VALUE"""),0.354166666666666)</f>
        <v>0.35416666666666602</v>
      </c>
      <c r="T294" s="1">
        <f ca="1">IFERROR(__xludf.DUMMYFUNCTION("""COMPUTED_VALUE"""),1)</f>
        <v>1</v>
      </c>
      <c r="U294" s="1" t="str">
        <f ca="1">IFERROR(__xludf.DUMMYFUNCTION("""COMPUTED_VALUE"""),"Teacher wrestled loaded handgun away from 10-year-old girl in school hallway")</f>
        <v>Teacher wrestled loaded handgun away from 10-year-old girl in school hallway</v>
      </c>
      <c r="V294" s="1" t="str">
        <f ca="1">IFERROR(__xludf.DUMMYFUNCTION("""COMPUTED_VALUE"""),"The fourth grader allegedly shows the fully loaded semiautomatic handgun to other children , who then told the teacher 8:30 a.m. The teacher then confronted the student in a hallway full of kids, wrestling the weapon away from the girl. ""She had students"&amp;" telling her that the student had a gun, and she found the student in the hallway and took the gun from her,"" Richton Park Police Chief Demitrious C. Cook. ""She cuffed the gun and she asked for help, and another teacher, without regard for his safety, c"&amp;"ame up and took the weapon,"" said Chief Cook. Police said the gun was owned by the girl's mother, who authorities said is a Cook County Sheriff's Department corrections officer. The mother has now been charged with endangering the health and safety of a "&amp;"minor. She has also been stripped of her police powers pending the results of an internal investigation.")</f>
        <v>The fourth grader allegedly shows the fully loaded semiautomatic handgun to other children , who then told the teacher 8:30 a.m. The teacher then confronted the student in a hallway full of kids, wrestling the weapon away from the girl. "She had students telling her that the student had a gun, and she found the student in the hallway and took the gun from her," Richton Park Police Chief Demitrious C. Cook. "She cuffed the gun and she asked for help, and another teacher, without regard for his safety, came up and took the weapon," said Chief Cook. Police said the gun was owned by the girl's mother, who authorities said is a Cook County Sheriff's Department corrections officer. The mother has now been charged with endangering the health and safety of a minor. She has also been stripped of her police powers pending the results of an internal investigation.</v>
      </c>
      <c r="W294" s="1"/>
      <c r="X294" s="1"/>
      <c r="Y294" s="1" t="str">
        <f ca="1">IFERROR(__xludf.DUMMYFUNCTION("""COMPUTED_VALUE"""),"No")</f>
        <v>No</v>
      </c>
      <c r="Z294" s="1"/>
      <c r="AA294" s="1" t="str">
        <f ca="1">IFERROR(__xludf.DUMMYFUNCTION("""COMPUTED_VALUE"""),"No")</f>
        <v>No</v>
      </c>
      <c r="AB294" s="1" t="str">
        <f ca="1">IFERROR(__xludf.DUMMYFUNCTION("""COMPUTED_VALUE"""),"No")</f>
        <v>No</v>
      </c>
      <c r="AC294" s="1" t="str">
        <f ca="1">IFERROR(__xludf.DUMMYFUNCTION("""COMPUTED_VALUE"""),"No")</f>
        <v>No</v>
      </c>
      <c r="AD294" s="1"/>
      <c r="AE294" s="1" t="str">
        <f ca="1">IFERROR(__xludf.DUMMYFUNCTION("""COMPUTED_VALUE"""),"No")</f>
        <v>No</v>
      </c>
      <c r="AF294" s="1" t="str">
        <f ca="1">IFERROR(__xludf.DUMMYFUNCTION("""COMPUTED_VALUE"""),"No")</f>
        <v>No</v>
      </c>
      <c r="AG294" s="1" t="str">
        <f ca="1">IFERROR(__xludf.DUMMYFUNCTION("""COMPUTED_VALUE"""),"No")</f>
        <v>No</v>
      </c>
      <c r="AH294" s="1">
        <f ca="1">IFERROR(__xludf.DUMMYFUNCTION("""COMPUTED_VALUE"""),0)</f>
        <v>0</v>
      </c>
    </row>
    <row r="295" spans="1:34" ht="12.5">
      <c r="A295" s="1" t="str">
        <f ca="1">IFERROR(__xludf.DUMMYFUNCTION("""COMPUTED_VALUE"""),"20230510NYPSQ")</f>
        <v>20230510NYPSQ</v>
      </c>
      <c r="B295" s="1">
        <f ca="1">IFERROR(__xludf.DUMMYFUNCTION("""COMPUTED_VALUE"""),5)</f>
        <v>5</v>
      </c>
      <c r="C295" s="1">
        <f ca="1">IFERROR(__xludf.DUMMYFUNCTION("""COMPUTED_VALUE"""),10)</f>
        <v>10</v>
      </c>
      <c r="D295" s="1">
        <f ca="1">IFERROR(__xludf.DUMMYFUNCTION("""COMPUTED_VALUE"""),2023)</f>
        <v>2023</v>
      </c>
      <c r="E295" s="4">
        <f ca="1">IFERROR(__xludf.DUMMYFUNCTION("""COMPUTED_VALUE"""),45056)</f>
        <v>45056</v>
      </c>
      <c r="F295" s="1" t="str">
        <f ca="1">IFERROR(__xludf.DUMMYFUNCTION("""COMPUTED_VALUE"""),"P.S. 015 Jackie Robinson Elementary")</f>
        <v>P.S. 015 Jackie Robinson Elementary</v>
      </c>
      <c r="G295" s="1">
        <f ca="1">IFERROR(__xludf.DUMMYFUNCTION("""COMPUTED_VALUE"""),0)</f>
        <v>0</v>
      </c>
      <c r="H295" s="1">
        <f ca="1">IFERROR(__xludf.DUMMYFUNCTION("""COMPUTED_VALUE"""),1)</f>
        <v>1</v>
      </c>
      <c r="I295" s="1">
        <f ca="1">IFERROR(__xludf.DUMMYFUNCTION("""COMPUTED_VALUE"""),1)</f>
        <v>1</v>
      </c>
      <c r="J295" s="1">
        <f ca="1">IFERROR(__xludf.DUMMYFUNCTION("""COMPUTED_VALUE"""),0)</f>
        <v>0</v>
      </c>
      <c r="K295" s="1" t="str">
        <f ca="1">IFERROR(__xludf.DUMMYFUNCTION("""COMPUTED_VALUE"""),"Spring")</f>
        <v>Spring</v>
      </c>
      <c r="L295" s="1" t="str">
        <f ca="1">IFERROR(__xludf.DUMMYFUNCTION("""COMPUTED_VALUE"""),"Queens")</f>
        <v>Queens</v>
      </c>
      <c r="M295" s="1" t="str">
        <f ca="1">IFERROR(__xludf.DUMMYFUNCTION("""COMPUTED_VALUE"""),"NY")</f>
        <v>NY</v>
      </c>
      <c r="N295" s="1" t="str">
        <f ca="1">IFERROR(__xludf.DUMMYFUNCTION("""COMPUTED_VALUE"""),"Elementary")</f>
        <v>Elementary</v>
      </c>
      <c r="O295" s="1" t="str">
        <f ca="1">IFERROR(__xludf.DUMMYFUNCTION("""COMPUTED_VALUE"""),"Playground")</f>
        <v>Playground</v>
      </c>
      <c r="P295" s="1" t="str">
        <f ca="1">IFERROR(__xludf.DUMMYFUNCTION("""COMPUTED_VALUE"""),"Outside on School Property")</f>
        <v>Outside on School Property</v>
      </c>
      <c r="Q295" s="1" t="str">
        <f ca="1">IFERROR(__xludf.DUMMYFUNCTION("""COMPUTED_VALUE"""),"No")</f>
        <v>No</v>
      </c>
      <c r="R295" s="1" t="str">
        <f ca="1">IFERROR(__xludf.DUMMYFUNCTION("""COMPUTED_VALUE"""),"Evening")</f>
        <v>Evening</v>
      </c>
      <c r="S295" s="5">
        <f ca="1">IFERROR(__xludf.DUMMYFUNCTION("""COMPUTED_VALUE"""),0.770833333333333)</f>
        <v>0.77083333333333304</v>
      </c>
      <c r="T295" s="1">
        <f ca="1">IFERROR(__xludf.DUMMYFUNCTION("""COMPUTED_VALUE"""),1)</f>
        <v>1</v>
      </c>
      <c r="U295" s="1" t="str">
        <f ca="1">IFERROR(__xludf.DUMMYFUNCTION("""COMPUTED_VALUE"""),"16-year-old girl shot in the head during argument between two groups")</f>
        <v>16-year-old girl shot in the head during argument between two groups</v>
      </c>
      <c r="V295" s="1" t="str">
        <f ca="1">IFERROR(__xludf.DUMMYFUNCTION("""COMPUTED_VALUE"""),"16-year-old girl shot in the head during argument between two groups near the school playground. She was not the intended target. Shooter fled.")</f>
        <v>16-year-old girl shot in the head during argument between two groups near the school playground. She was not the intended target. Shooter fled.</v>
      </c>
      <c r="W295" s="1" t="str">
        <f ca="1">IFERROR(__xludf.DUMMYFUNCTION("""COMPUTED_VALUE"""),"Escalation of Dispute")</f>
        <v>Escalation of Dispute</v>
      </c>
      <c r="X295" s="1" t="str">
        <f ca="1">IFERROR(__xludf.DUMMYFUNCTION("""COMPUTED_VALUE"""),"Both")</f>
        <v>Both</v>
      </c>
      <c r="Y295" s="1" t="str">
        <f ca="1">IFERROR(__xludf.DUMMYFUNCTION("""COMPUTED_VALUE"""),"Yes")</f>
        <v>Yes</v>
      </c>
      <c r="Z295" s="1" t="str">
        <f ca="1">IFERROR(__xludf.DUMMYFUNCTION("""COMPUTED_VALUE"""),"Fight between groups")</f>
        <v>Fight between groups</v>
      </c>
      <c r="AA295" s="1" t="str">
        <f ca="1">IFERROR(__xludf.DUMMYFUNCTION("""COMPUTED_VALUE"""),"No")</f>
        <v>No</v>
      </c>
      <c r="AB295" s="1" t="str">
        <f ca="1">IFERROR(__xludf.DUMMYFUNCTION("""COMPUTED_VALUE"""),"No")</f>
        <v>No</v>
      </c>
      <c r="AC295" s="1" t="str">
        <f ca="1">IFERROR(__xludf.DUMMYFUNCTION("""COMPUTED_VALUE"""),"No")</f>
        <v>No</v>
      </c>
      <c r="AD295" s="1" t="str">
        <f ca="1">IFERROR(__xludf.DUMMYFUNCTION("""COMPUTED_VALUE"""),"No")</f>
        <v>No</v>
      </c>
      <c r="AE295" s="1" t="str">
        <f ca="1">IFERROR(__xludf.DUMMYFUNCTION("""COMPUTED_VALUE"""),"No")</f>
        <v>No</v>
      </c>
      <c r="AF295" s="1"/>
      <c r="AG295" s="1" t="str">
        <f ca="1">IFERROR(__xludf.DUMMYFUNCTION("""COMPUTED_VALUE"""),"No")</f>
        <v>No</v>
      </c>
      <c r="AH295" s="1">
        <f ca="1">IFERROR(__xludf.DUMMYFUNCTION("""COMPUTED_VALUE"""),99)</f>
        <v>99</v>
      </c>
    </row>
    <row r="296" spans="1:34" ht="12.5">
      <c r="A296" s="1" t="str">
        <f ca="1">IFERROR(__xludf.DUMMYFUNCTION("""COMPUTED_VALUE"""),"20230509CACAO")</f>
        <v>20230509CACAO</v>
      </c>
      <c r="B296" s="1">
        <f ca="1">IFERROR(__xludf.DUMMYFUNCTION("""COMPUTED_VALUE"""),5)</f>
        <v>5</v>
      </c>
      <c r="C296" s="1">
        <f ca="1">IFERROR(__xludf.DUMMYFUNCTION("""COMPUTED_VALUE"""),9)</f>
        <v>9</v>
      </c>
      <c r="D296" s="1">
        <f ca="1">IFERROR(__xludf.DUMMYFUNCTION("""COMPUTED_VALUE"""),2023)</f>
        <v>2023</v>
      </c>
      <c r="E296" s="4">
        <f ca="1">IFERROR(__xludf.DUMMYFUNCTION("""COMPUTED_VALUE"""),45055)</f>
        <v>45055</v>
      </c>
      <c r="F296" s="1" t="str">
        <f ca="1">IFERROR(__xludf.DUMMYFUNCTION("""COMPUTED_VALUE"""),"Castlemont High School")</f>
        <v>Castlemont High School</v>
      </c>
      <c r="G296" s="1">
        <f ca="1">IFERROR(__xludf.DUMMYFUNCTION("""COMPUTED_VALUE"""),0)</f>
        <v>0</v>
      </c>
      <c r="H296" s="1">
        <f ca="1">IFERROR(__xludf.DUMMYFUNCTION("""COMPUTED_VALUE"""),2)</f>
        <v>2</v>
      </c>
      <c r="I296" s="1">
        <f ca="1">IFERROR(__xludf.DUMMYFUNCTION("""COMPUTED_VALUE"""),2)</f>
        <v>2</v>
      </c>
      <c r="J296" s="1">
        <f ca="1">IFERROR(__xludf.DUMMYFUNCTION("""COMPUTED_VALUE"""),0)</f>
        <v>0</v>
      </c>
      <c r="K296" s="1" t="str">
        <f ca="1">IFERROR(__xludf.DUMMYFUNCTION("""COMPUTED_VALUE"""),"Spring")</f>
        <v>Spring</v>
      </c>
      <c r="L296" s="1" t="str">
        <f ca="1">IFERROR(__xludf.DUMMYFUNCTION("""COMPUTED_VALUE"""),"Oakland")</f>
        <v>Oakland</v>
      </c>
      <c r="M296" s="1" t="str">
        <f ca="1">IFERROR(__xludf.DUMMYFUNCTION("""COMPUTED_VALUE"""),"CA")</f>
        <v>CA</v>
      </c>
      <c r="N296" s="1" t="str">
        <f ca="1">IFERROR(__xludf.DUMMYFUNCTION("""COMPUTED_VALUE"""),"High")</f>
        <v>High</v>
      </c>
      <c r="O296" s="1" t="str">
        <f ca="1">IFERROR(__xludf.DUMMYFUNCTION("""COMPUTED_VALUE"""),"Beside Building")</f>
        <v>Beside Building</v>
      </c>
      <c r="P296" s="1" t="str">
        <f ca="1">IFERROR(__xludf.DUMMYFUNCTION("""COMPUTED_VALUE"""),"Outside on School Property")</f>
        <v>Outside on School Property</v>
      </c>
      <c r="Q296" s="1" t="str">
        <f ca="1">IFERROR(__xludf.DUMMYFUNCTION("""COMPUTED_VALUE"""),"No")</f>
        <v>No</v>
      </c>
      <c r="R296" s="1" t="str">
        <f ca="1">IFERROR(__xludf.DUMMYFUNCTION("""COMPUTED_VALUE"""),"Evening")</f>
        <v>Evening</v>
      </c>
      <c r="S296" s="5">
        <f ca="1">IFERROR(__xludf.DUMMYFUNCTION("""COMPUTED_VALUE"""),0.729166666666666)</f>
        <v>0.72916666666666596</v>
      </c>
      <c r="T296" s="1">
        <f ca="1">IFERROR(__xludf.DUMMYFUNCTION("""COMPUTED_VALUE"""),1)</f>
        <v>1</v>
      </c>
      <c r="U296" s="1" t="str">
        <f ca="1">IFERROR(__xludf.DUMMYFUNCTION("""COMPUTED_VALUE"""),"Teen and adult woman shot next to school")</f>
        <v>Teen and adult woman shot next to school</v>
      </c>
      <c r="V296" s="1" t="str">
        <f ca="1">IFERROR(__xludf.DUMMYFUNCTION("""COMPUTED_VALUE"""),"A teenage male and adult female were shot next to the school. Shooter fled.")</f>
        <v>A teenage male and adult female were shot next to the school. Shooter fled.</v>
      </c>
      <c r="W296" s="1"/>
      <c r="X296" s="1"/>
      <c r="Y296" s="1"/>
      <c r="Z296" s="1"/>
      <c r="AA296" s="1" t="str">
        <f ca="1">IFERROR(__xludf.DUMMYFUNCTION("""COMPUTED_VALUE"""),"No")</f>
        <v>No</v>
      </c>
      <c r="AB296" s="1" t="str">
        <f ca="1">IFERROR(__xludf.DUMMYFUNCTION("""COMPUTED_VALUE"""),"No")</f>
        <v>No</v>
      </c>
      <c r="AC296" s="1" t="str">
        <f ca="1">IFERROR(__xludf.DUMMYFUNCTION("""COMPUTED_VALUE"""),"No")</f>
        <v>No</v>
      </c>
      <c r="AD296" s="1" t="str">
        <f ca="1">IFERROR(__xludf.DUMMYFUNCTION("""COMPUTED_VALUE"""),"No")</f>
        <v>No</v>
      </c>
      <c r="AE296" s="1"/>
      <c r="AF296" s="1"/>
      <c r="AG296" s="1" t="str">
        <f ca="1">IFERROR(__xludf.DUMMYFUNCTION("""COMPUTED_VALUE"""),"No")</f>
        <v>No</v>
      </c>
      <c r="AH296" s="1">
        <f ca="1">IFERROR(__xludf.DUMMYFUNCTION("""COMPUTED_VALUE"""),99)</f>
        <v>99</v>
      </c>
    </row>
    <row r="297" spans="1:34" ht="12.5">
      <c r="A297" s="1" t="str">
        <f ca="1">IFERROR(__xludf.DUMMYFUNCTION("""COMPUTED_VALUE"""),"20230508SCSUS")</f>
        <v>20230508SCSUS</v>
      </c>
      <c r="B297" s="1">
        <f ca="1">IFERROR(__xludf.DUMMYFUNCTION("""COMPUTED_VALUE"""),5)</f>
        <v>5</v>
      </c>
      <c r="C297" s="1">
        <f ca="1">IFERROR(__xludf.DUMMYFUNCTION("""COMPUTED_VALUE"""),8)</f>
        <v>8</v>
      </c>
      <c r="D297" s="1">
        <f ca="1">IFERROR(__xludf.DUMMYFUNCTION("""COMPUTED_VALUE"""),2023)</f>
        <v>2023</v>
      </c>
      <c r="E297" s="4">
        <f ca="1">IFERROR(__xludf.DUMMYFUNCTION("""COMPUTED_VALUE"""),45054)</f>
        <v>45054</v>
      </c>
      <c r="F297" s="1" t="str">
        <f ca="1">IFERROR(__xludf.DUMMYFUNCTION("""COMPUTED_VALUE"""),"Summerville High School")</f>
        <v>Summerville High School</v>
      </c>
      <c r="G297" s="1">
        <f ca="1">IFERROR(__xludf.DUMMYFUNCTION("""COMPUTED_VALUE"""),0)</f>
        <v>0</v>
      </c>
      <c r="H297" s="1">
        <f ca="1">IFERROR(__xludf.DUMMYFUNCTION("""COMPUTED_VALUE"""),0)</f>
        <v>0</v>
      </c>
      <c r="I297" s="1">
        <f ca="1">IFERROR(__xludf.DUMMYFUNCTION("""COMPUTED_VALUE"""),0)</f>
        <v>0</v>
      </c>
      <c r="J297" s="1">
        <f ca="1">IFERROR(__xludf.DUMMYFUNCTION("""COMPUTED_VALUE"""),0)</f>
        <v>0</v>
      </c>
      <c r="K297" s="1" t="str">
        <f ca="1">IFERROR(__xludf.DUMMYFUNCTION("""COMPUTED_VALUE"""),"Spring")</f>
        <v>Spring</v>
      </c>
      <c r="L297" s="1" t="str">
        <f ca="1">IFERROR(__xludf.DUMMYFUNCTION("""COMPUTED_VALUE"""),"Summerville")</f>
        <v>Summerville</v>
      </c>
      <c r="M297" s="1" t="str">
        <f ca="1">IFERROR(__xludf.DUMMYFUNCTION("""COMPUTED_VALUE"""),"SC")</f>
        <v>SC</v>
      </c>
      <c r="N297" s="1" t="str">
        <f ca="1">IFERROR(__xludf.DUMMYFUNCTION("""COMPUTED_VALUE"""),"High")</f>
        <v>High</v>
      </c>
      <c r="O297" s="1" t="str">
        <f ca="1">IFERROR(__xludf.DUMMYFUNCTION("""COMPUTED_VALUE"""),"Parking Lot")</f>
        <v>Parking Lot</v>
      </c>
      <c r="P297" s="1" t="str">
        <f ca="1">IFERROR(__xludf.DUMMYFUNCTION("""COMPUTED_VALUE"""),"Outside on School Property")</f>
        <v>Outside on School Property</v>
      </c>
      <c r="Q297" s="1" t="str">
        <f ca="1">IFERROR(__xludf.DUMMYFUNCTION("""COMPUTED_VALUE"""),"Yes")</f>
        <v>Yes</v>
      </c>
      <c r="R297" s="1" t="str">
        <f ca="1">IFERROR(__xludf.DUMMYFUNCTION("""COMPUTED_VALUE"""),"Dismissal")</f>
        <v>Dismissal</v>
      </c>
      <c r="S297" s="5">
        <f ca="1">IFERROR(__xludf.DUMMYFUNCTION("""COMPUTED_VALUE"""),0.625)</f>
        <v>0.625</v>
      </c>
      <c r="T297" s="1">
        <f ca="1">IFERROR(__xludf.DUMMYFUNCTION("""COMPUTED_VALUE"""),1)</f>
        <v>1</v>
      </c>
      <c r="U297" s="1" t="str">
        <f ca="1">IFERROR(__xludf.DUMMYFUNCTION("""COMPUTED_VALUE"""),"Middle school student pointed gun at high school girl when she refused to give him a ride")</f>
        <v>Middle school student pointed gun at high school girl when she refused to give him a ride</v>
      </c>
      <c r="V297" s="1" t="str">
        <f ca="1">IFERROR(__xludf.DUMMYFUNCTION("""COMPUTED_VALUE"""),"A resource officer at Summerville High School says a student was in her car when she was approached by three middle school-aged boys who were asking for a ride on Monday. The girl told them no and rolled up her windows. One of the students pulled out a gu"&amp;"n and pointed it at her, the report states. After an investigation, officers identified the student accused of pointing the gun and took him into custody at Gregg Middle School. The student is charged with pointing and presenting a firearm and carrying a "&amp;"weapon on school grounds.")</f>
        <v>A resource officer at Summerville High School says a student was in her car when she was approached by three middle school-aged boys who were asking for a ride on Monday. The girl told them no and rolled up her windows. One of the students pulled out a gun and pointed it at her, the report states. After an investigation, officers identified the student accused of pointing the gun and took him into custody at Gregg Middle School. The student is charged with pointing and presenting a firearm and carrying a weapon on school grounds.</v>
      </c>
      <c r="W297" s="1" t="str">
        <f ca="1">IFERROR(__xludf.DUMMYFUNCTION("""COMPUTED_VALUE"""),"Escalation of Dispute")</f>
        <v>Escalation of Dispute</v>
      </c>
      <c r="X297" s="1" t="str">
        <f ca="1">IFERROR(__xludf.DUMMYFUNCTION("""COMPUTED_VALUE"""),"Victims Targeted")</f>
        <v>Victims Targeted</v>
      </c>
      <c r="Y297" s="1" t="str">
        <f ca="1">IFERROR(__xludf.DUMMYFUNCTION("""COMPUTED_VALUE"""),"Yes")</f>
        <v>Yes</v>
      </c>
      <c r="Z297" s="1" t="str">
        <f ca="1">IFERROR(__xludf.DUMMYFUNCTION("""COMPUTED_VALUE"""),"3 middle school students")</f>
        <v>3 middle school students</v>
      </c>
      <c r="AA297" s="1" t="str">
        <f ca="1">IFERROR(__xludf.DUMMYFUNCTION("""COMPUTED_VALUE"""),"No")</f>
        <v>No</v>
      </c>
      <c r="AB297" s="1" t="str">
        <f ca="1">IFERROR(__xludf.DUMMYFUNCTION("""COMPUTED_VALUE"""),"No")</f>
        <v>No</v>
      </c>
      <c r="AC297" s="1" t="str">
        <f ca="1">IFERROR(__xludf.DUMMYFUNCTION("""COMPUTED_VALUE"""),"No")</f>
        <v>No</v>
      </c>
      <c r="AD297" s="1" t="str">
        <f ca="1">IFERROR(__xludf.DUMMYFUNCTION("""COMPUTED_VALUE"""),"No")</f>
        <v>No</v>
      </c>
      <c r="AE297" s="1" t="str">
        <f ca="1">IFERROR(__xludf.DUMMYFUNCTION("""COMPUTED_VALUE"""),"No")</f>
        <v>No</v>
      </c>
      <c r="AF297" s="1" t="str">
        <f ca="1">IFERROR(__xludf.DUMMYFUNCTION("""COMPUTED_VALUE"""),"No")</f>
        <v>No</v>
      </c>
      <c r="AG297" s="1" t="str">
        <f ca="1">IFERROR(__xludf.DUMMYFUNCTION("""COMPUTED_VALUE"""),"No")</f>
        <v>No</v>
      </c>
      <c r="AH297" s="1">
        <f ca="1">IFERROR(__xludf.DUMMYFUNCTION("""COMPUTED_VALUE"""),0)</f>
        <v>0</v>
      </c>
    </row>
    <row r="298" spans="1:34" ht="12.5">
      <c r="A298" s="1" t="str">
        <f ca="1">IFERROR(__xludf.DUMMYFUNCTION("""COMPUTED_VALUE"""),"20230508PAEWP")</f>
        <v>20230508PAEWP</v>
      </c>
      <c r="B298" s="1">
        <f ca="1">IFERROR(__xludf.DUMMYFUNCTION("""COMPUTED_VALUE"""),5)</f>
        <v>5</v>
      </c>
      <c r="C298" s="1">
        <f ca="1">IFERROR(__xludf.DUMMYFUNCTION("""COMPUTED_VALUE"""),8)</f>
        <v>8</v>
      </c>
      <c r="D298" s="1">
        <f ca="1">IFERROR(__xludf.DUMMYFUNCTION("""COMPUTED_VALUE"""),2023)</f>
        <v>2023</v>
      </c>
      <c r="E298" s="4">
        <f ca="1">IFERROR(__xludf.DUMMYFUNCTION("""COMPUTED_VALUE"""),45054)</f>
        <v>45054</v>
      </c>
      <c r="F298" s="1" t="str">
        <f ca="1">IFERROR(__xludf.DUMMYFUNCTION("""COMPUTED_VALUE"""),"E. Washington Rhodes Elementary")</f>
        <v>E. Washington Rhodes Elementary</v>
      </c>
      <c r="G298" s="1">
        <f ca="1">IFERROR(__xludf.DUMMYFUNCTION("""COMPUTED_VALUE"""),0)</f>
        <v>0</v>
      </c>
      <c r="H298" s="1">
        <f ca="1">IFERROR(__xludf.DUMMYFUNCTION("""COMPUTED_VALUE"""),0)</f>
        <v>0</v>
      </c>
      <c r="I298" s="1">
        <f ca="1">IFERROR(__xludf.DUMMYFUNCTION("""COMPUTED_VALUE"""),0)</f>
        <v>0</v>
      </c>
      <c r="J298" s="1">
        <f ca="1">IFERROR(__xludf.DUMMYFUNCTION("""COMPUTED_VALUE"""),0)</f>
        <v>0</v>
      </c>
      <c r="K298" s="1" t="str">
        <f ca="1">IFERROR(__xludf.DUMMYFUNCTION("""COMPUTED_VALUE"""),"Spring")</f>
        <v>Spring</v>
      </c>
      <c r="L298" s="1" t="str">
        <f ca="1">IFERROR(__xludf.DUMMYFUNCTION("""COMPUTED_VALUE"""),"Philadelphia")</f>
        <v>Philadelphia</v>
      </c>
      <c r="M298" s="1" t="str">
        <f ca="1">IFERROR(__xludf.DUMMYFUNCTION("""COMPUTED_VALUE"""),"PA")</f>
        <v>PA</v>
      </c>
      <c r="N298" s="1" t="str">
        <f ca="1">IFERROR(__xludf.DUMMYFUNCTION("""COMPUTED_VALUE"""),"K-8")</f>
        <v>K-8</v>
      </c>
      <c r="O298" s="1" t="str">
        <f ca="1">IFERROR(__xludf.DUMMYFUNCTION("""COMPUTED_VALUE"""),"Bathroom")</f>
        <v>Bathroom</v>
      </c>
      <c r="P298" s="1" t="str">
        <f ca="1">IFERROR(__xludf.DUMMYFUNCTION("""COMPUTED_VALUE"""),"Inside School Building")</f>
        <v>Inside School Building</v>
      </c>
      <c r="Q298" s="1" t="str">
        <f ca="1">IFERROR(__xludf.DUMMYFUNCTION("""COMPUTED_VALUE"""),"Yes")</f>
        <v>Yes</v>
      </c>
      <c r="R298" s="1" t="str">
        <f ca="1">IFERROR(__xludf.DUMMYFUNCTION("""COMPUTED_VALUE"""),"Morning Classes")</f>
        <v>Morning Classes</v>
      </c>
      <c r="S298" s="5">
        <f ca="1">IFERROR(__xludf.DUMMYFUNCTION("""COMPUTED_VALUE"""),0.46875)</f>
        <v>0.46875</v>
      </c>
      <c r="T298" s="1">
        <f ca="1">IFERROR(__xludf.DUMMYFUNCTION("""COMPUTED_VALUE"""),1)</f>
        <v>1</v>
      </c>
      <c r="U298" s="1" t="str">
        <f ca="1">IFERROR(__xludf.DUMMYFUNCTION("""COMPUTED_VALUE"""),"Gun fired in bathroom, school went on lockdown")</f>
        <v>Gun fired in bathroom, school went on lockdown</v>
      </c>
      <c r="V298" s="1" t="str">
        <f ca="1">IFERROR(__xludf.DUMMYFUNCTION("""COMPUTED_VALUE"""),"The Chief of School Safety, Kevin Bethel, said a 7th grader fired the gun in the second-floor bathroom. No one was hit by the gunfire, and the child ran from the school after the gun went off. Bethel said he wasn't sure if it was accidentally fired, or wh"&amp;"y the child brought the gun. He said they know who the child is and have talked to his parents. Police have not said if the child has been arrested. Parents gathered outside the school to get their kids after the building was swept by police and the lockd"&amp;"own lifted.")</f>
        <v>The Chief of School Safety, Kevin Bethel, said a 7th grader fired the gun in the second-floor bathroom. No one was hit by the gunfire, and the child ran from the school after the gun went off. Bethel said he wasn't sure if it was accidentally fired, or why the child brought the gun. He said they know who the child is and have talked to his parents. Police have not said if the child has been arrested. Parents gathered outside the school to get their kids after the building was swept by police and the lockdown lifted.</v>
      </c>
      <c r="W298" s="1" t="str">
        <f ca="1">IFERROR(__xludf.DUMMYFUNCTION("""COMPUTED_VALUE"""),"Accidental")</f>
        <v>Accidental</v>
      </c>
      <c r="X298" s="1" t="str">
        <f ca="1">IFERROR(__xludf.DUMMYFUNCTION("""COMPUTED_VALUE"""),"Neither")</f>
        <v>Neither</v>
      </c>
      <c r="Y298" s="1" t="str">
        <f ca="1">IFERROR(__xludf.DUMMYFUNCTION("""COMPUTED_VALUE"""),"No")</f>
        <v>No</v>
      </c>
      <c r="Z298" s="1"/>
      <c r="AA298" s="1" t="str">
        <f ca="1">IFERROR(__xludf.DUMMYFUNCTION("""COMPUTED_VALUE"""),"No")</f>
        <v>No</v>
      </c>
      <c r="AB298" s="1" t="str">
        <f ca="1">IFERROR(__xludf.DUMMYFUNCTION("""COMPUTED_VALUE"""),"No")</f>
        <v>No</v>
      </c>
      <c r="AC298" s="1" t="str">
        <f ca="1">IFERROR(__xludf.DUMMYFUNCTION("""COMPUTED_VALUE"""),"No")</f>
        <v>No</v>
      </c>
      <c r="AD298" s="1" t="str">
        <f ca="1">IFERROR(__xludf.DUMMYFUNCTION("""COMPUTED_VALUE"""),"No")</f>
        <v>No</v>
      </c>
      <c r="AE298" s="1" t="str">
        <f ca="1">IFERROR(__xludf.DUMMYFUNCTION("""COMPUTED_VALUE"""),"No")</f>
        <v>No</v>
      </c>
      <c r="AF298" s="1" t="str">
        <f ca="1">IFERROR(__xludf.DUMMYFUNCTION("""COMPUTED_VALUE"""),"No")</f>
        <v>No</v>
      </c>
      <c r="AG298" s="1" t="str">
        <f ca="1">IFERROR(__xludf.DUMMYFUNCTION("""COMPUTED_VALUE"""),"No")</f>
        <v>No</v>
      </c>
      <c r="AH298" s="1">
        <f ca="1">IFERROR(__xludf.DUMMYFUNCTION("""COMPUTED_VALUE"""),1)</f>
        <v>1</v>
      </c>
    </row>
    <row r="299" spans="1:34" ht="12.5">
      <c r="A299" s="1" t="str">
        <f ca="1">IFERROR(__xludf.DUMMYFUNCTION("""COMPUTED_VALUE"""),"20230508NVVOL")</f>
        <v>20230508NVVOL</v>
      </c>
      <c r="B299" s="1">
        <f ca="1">IFERROR(__xludf.DUMMYFUNCTION("""COMPUTED_VALUE"""),5)</f>
        <v>5</v>
      </c>
      <c r="C299" s="1">
        <f ca="1">IFERROR(__xludf.DUMMYFUNCTION("""COMPUTED_VALUE"""),8)</f>
        <v>8</v>
      </c>
      <c r="D299" s="1">
        <f ca="1">IFERROR(__xludf.DUMMYFUNCTION("""COMPUTED_VALUE"""),2023)</f>
        <v>2023</v>
      </c>
      <c r="E299" s="4">
        <f ca="1">IFERROR(__xludf.DUMMYFUNCTION("""COMPUTED_VALUE"""),45054)</f>
        <v>45054</v>
      </c>
      <c r="F299" s="1" t="str">
        <f ca="1">IFERROR(__xludf.DUMMYFUNCTION("""COMPUTED_VALUE"""),"Von Tobel Middle School")</f>
        <v>Von Tobel Middle School</v>
      </c>
      <c r="G299" s="1">
        <f ca="1">IFERROR(__xludf.DUMMYFUNCTION("""COMPUTED_VALUE"""),0)</f>
        <v>0</v>
      </c>
      <c r="H299" s="1">
        <f ca="1">IFERROR(__xludf.DUMMYFUNCTION("""COMPUTED_VALUE"""),1)</f>
        <v>1</v>
      </c>
      <c r="I299" s="1">
        <f ca="1">IFERROR(__xludf.DUMMYFUNCTION("""COMPUTED_VALUE"""),1)</f>
        <v>1</v>
      </c>
      <c r="J299" s="1">
        <f ca="1">IFERROR(__xludf.DUMMYFUNCTION("""COMPUTED_VALUE"""),0)</f>
        <v>0</v>
      </c>
      <c r="K299" s="1" t="str">
        <f ca="1">IFERROR(__xludf.DUMMYFUNCTION("""COMPUTED_VALUE"""),"Spring")</f>
        <v>Spring</v>
      </c>
      <c r="L299" s="1" t="str">
        <f ca="1">IFERROR(__xludf.DUMMYFUNCTION("""COMPUTED_VALUE"""),"Las Vegas")</f>
        <v>Las Vegas</v>
      </c>
      <c r="M299" s="1" t="str">
        <f ca="1">IFERROR(__xludf.DUMMYFUNCTION("""COMPUTED_VALUE"""),"NV")</f>
        <v>NV</v>
      </c>
      <c r="N299" s="1" t="str">
        <f ca="1">IFERROR(__xludf.DUMMYFUNCTION("""COMPUTED_VALUE"""),"Middle")</f>
        <v>Middle</v>
      </c>
      <c r="O299" s="1" t="str">
        <f ca="1">IFERROR(__xludf.DUMMYFUNCTION("""COMPUTED_VALUE"""),"Beside Building")</f>
        <v>Beside Building</v>
      </c>
      <c r="P299" s="1" t="str">
        <f ca="1">IFERROR(__xludf.DUMMYFUNCTION("""COMPUTED_VALUE"""),"Outside on School Property")</f>
        <v>Outside on School Property</v>
      </c>
      <c r="Q299" s="1" t="str">
        <f ca="1">IFERROR(__xludf.DUMMYFUNCTION("""COMPUTED_VALUE"""),"Yes")</f>
        <v>Yes</v>
      </c>
      <c r="R299" s="1" t="str">
        <f ca="1">IFERROR(__xludf.DUMMYFUNCTION("""COMPUTED_VALUE"""),"Afternoon Classes")</f>
        <v>Afternoon Classes</v>
      </c>
      <c r="S299" s="5">
        <f ca="1">IFERROR(__xludf.DUMMYFUNCTION("""COMPUTED_VALUE"""),0.526388888888888)</f>
        <v>0.52638888888888802</v>
      </c>
      <c r="T299" s="1">
        <f ca="1">IFERROR(__xludf.DUMMYFUNCTION("""COMPUTED_VALUE"""),1)</f>
        <v>1</v>
      </c>
      <c r="U299" s="1" t="str">
        <f ca="1">IFERROR(__xludf.DUMMYFUNCTION("""COMPUTED_VALUE"""),"Adult campus monitor shot outside of school, students inside a classroom heard shots and witnessed shooting")</f>
        <v>Adult campus monitor shot outside of school, students inside a classroom heard shots and witnessed shooting</v>
      </c>
      <c r="V299" s="1" t="str">
        <f ca="1">IFERROR(__xludf.DUMMYFUNCTION("""COMPUTED_VALUE"""),"According to initial reports, LVMPD received word of the shooting around 12:38 p.m., and police believe there is no ""active threat."" One adult man, who worked for CCSD, was ""struck by gunfire"" and immediately transported to UMC where he is now in stab"&amp;"le condition. The Education Support Employees Association said that the adult man who was shot was a CCSD campus security monitor. School locked down for 1 hour, police searched the building, and the school dismissed. Shot was fired from 4 blocks away. 18"&amp;"-year-old male was arrested the following day.")</f>
        <v>According to initial reports, LVMPD received word of the shooting around 12:38 p.m., and police believe there is no "active threat." One adult man, who worked for CCSD, was "struck by gunfire" and immediately transported to UMC where he is now in stable condition. The Education Support Employees Association said that the adult man who was shot was a CCSD campus security monitor. School locked down for 1 hour, police searched the building, and the school dismissed. Shot was fired from 4 blocks away. 18-year-old male was arrested the following day.</v>
      </c>
      <c r="W299" s="1" t="str">
        <f ca="1">IFERROR(__xludf.DUMMYFUNCTION("""COMPUTED_VALUE"""),"Escalation of Dispute")</f>
        <v>Escalation of Dispute</v>
      </c>
      <c r="X299" s="1" t="str">
        <f ca="1">IFERROR(__xludf.DUMMYFUNCTION("""COMPUTED_VALUE"""),"Both")</f>
        <v>Both</v>
      </c>
      <c r="Y299" s="1" t="str">
        <f ca="1">IFERROR(__xludf.DUMMYFUNCTION("""COMPUTED_VALUE"""),"Yes")</f>
        <v>Yes</v>
      </c>
      <c r="Z299" s="1" t="str">
        <f ca="1">IFERROR(__xludf.DUMMYFUNCTION("""COMPUTED_VALUE"""),"Brother charged with conspiracy")</f>
        <v>Brother charged with conspiracy</v>
      </c>
      <c r="AA299" s="1" t="str">
        <f ca="1">IFERROR(__xludf.DUMMYFUNCTION("""COMPUTED_VALUE"""),"No")</f>
        <v>No</v>
      </c>
      <c r="AB299" s="1" t="str">
        <f ca="1">IFERROR(__xludf.DUMMYFUNCTION("""COMPUTED_VALUE"""),"No")</f>
        <v>No</v>
      </c>
      <c r="AC299" s="1" t="str">
        <f ca="1">IFERROR(__xludf.DUMMYFUNCTION("""COMPUTED_VALUE"""),"No")</f>
        <v>No</v>
      </c>
      <c r="AD299" s="1" t="str">
        <f ca="1">IFERROR(__xludf.DUMMYFUNCTION("""COMPUTED_VALUE"""),"No")</f>
        <v>No</v>
      </c>
      <c r="AE299" s="1" t="str">
        <f ca="1">IFERROR(__xludf.DUMMYFUNCTION("""COMPUTED_VALUE"""),"No")</f>
        <v>No</v>
      </c>
      <c r="AF299" s="1" t="str">
        <f ca="1">IFERROR(__xludf.DUMMYFUNCTION("""COMPUTED_VALUE"""),"Yes")</f>
        <v>Yes</v>
      </c>
      <c r="AG299" s="1" t="str">
        <f ca="1">IFERROR(__xludf.DUMMYFUNCTION("""COMPUTED_VALUE"""),"No")</f>
        <v>No</v>
      </c>
      <c r="AH299" s="1">
        <f ca="1">IFERROR(__xludf.DUMMYFUNCTION("""COMPUTED_VALUE"""),4)</f>
        <v>4</v>
      </c>
    </row>
    <row r="300" spans="1:34" ht="12.5">
      <c r="A300" s="1" t="str">
        <f ca="1">IFERROR(__xludf.DUMMYFUNCTION("""COMPUTED_VALUE"""),"20230506SCCOL")</f>
        <v>20230506SCCOL</v>
      </c>
      <c r="B300" s="1">
        <f ca="1">IFERROR(__xludf.DUMMYFUNCTION("""COMPUTED_VALUE"""),5)</f>
        <v>5</v>
      </c>
      <c r="C300" s="1">
        <f ca="1">IFERROR(__xludf.DUMMYFUNCTION("""COMPUTED_VALUE"""),6)</f>
        <v>6</v>
      </c>
      <c r="D300" s="1">
        <f ca="1">IFERROR(__xludf.DUMMYFUNCTION("""COMPUTED_VALUE"""),2023)</f>
        <v>2023</v>
      </c>
      <c r="E300" s="4">
        <f ca="1">IFERROR(__xludf.DUMMYFUNCTION("""COMPUTED_VALUE"""),45052)</f>
        <v>45052</v>
      </c>
      <c r="F300" s="1" t="str">
        <f ca="1">IFERROR(__xludf.DUMMYFUNCTION("""COMPUTED_VALUE"""),"College Park Middle School")</f>
        <v>College Park Middle School</v>
      </c>
      <c r="G300" s="1">
        <f ca="1">IFERROR(__xludf.DUMMYFUNCTION("""COMPUTED_VALUE"""),0)</f>
        <v>0</v>
      </c>
      <c r="H300" s="1">
        <f ca="1">IFERROR(__xludf.DUMMYFUNCTION("""COMPUTED_VALUE"""),1)</f>
        <v>1</v>
      </c>
      <c r="I300" s="1">
        <f ca="1">IFERROR(__xludf.DUMMYFUNCTION("""COMPUTED_VALUE"""),1)</f>
        <v>1</v>
      </c>
      <c r="J300" s="1">
        <f ca="1">IFERROR(__xludf.DUMMYFUNCTION("""COMPUTED_VALUE"""),0)</f>
        <v>0</v>
      </c>
      <c r="K300" s="1" t="str">
        <f ca="1">IFERROR(__xludf.DUMMYFUNCTION("""COMPUTED_VALUE"""),"Spring")</f>
        <v>Spring</v>
      </c>
      <c r="L300" s="1" t="str">
        <f ca="1">IFERROR(__xludf.DUMMYFUNCTION("""COMPUTED_VALUE"""),"Ladson")</f>
        <v>Ladson</v>
      </c>
      <c r="M300" s="1" t="str">
        <f ca="1">IFERROR(__xludf.DUMMYFUNCTION("""COMPUTED_VALUE"""),"SC")</f>
        <v>SC</v>
      </c>
      <c r="N300" s="1" t="str">
        <f ca="1">IFERROR(__xludf.DUMMYFUNCTION("""COMPUTED_VALUE"""),"Middle")</f>
        <v>Middle</v>
      </c>
      <c r="O300" s="1" t="str">
        <f ca="1">IFERROR(__xludf.DUMMYFUNCTION("""COMPUTED_VALUE"""),"Outside on School Property")</f>
        <v>Outside on School Property</v>
      </c>
      <c r="P300" s="1" t="str">
        <f ca="1">IFERROR(__xludf.DUMMYFUNCTION("""COMPUTED_VALUE"""),"Outside on School Property")</f>
        <v>Outside on School Property</v>
      </c>
      <c r="Q300" s="1" t="str">
        <f ca="1">IFERROR(__xludf.DUMMYFUNCTION("""COMPUTED_VALUE"""),"No")</f>
        <v>No</v>
      </c>
      <c r="R300" s="1" t="str">
        <f ca="1">IFERROR(__xludf.DUMMYFUNCTION("""COMPUTED_VALUE"""),"Not a School Day")</f>
        <v>Not a School Day</v>
      </c>
      <c r="S300" s="5">
        <f ca="1">IFERROR(__xludf.DUMMYFUNCTION("""COMPUTED_VALUE"""),0.625)</f>
        <v>0.625</v>
      </c>
      <c r="T300" s="1">
        <f ca="1">IFERROR(__xludf.DUMMYFUNCTION("""COMPUTED_VALUE"""),1)</f>
        <v>1</v>
      </c>
      <c r="U300" s="1" t="str">
        <f ca="1">IFERROR(__xludf.DUMMYFUNCTION("""COMPUTED_VALUE"""),"Juvenile shot at the school")</f>
        <v>Juvenile shot at the school</v>
      </c>
      <c r="V300" s="1" t="str">
        <f ca="1">IFERROR(__xludf.DUMMYFUNCTION("""COMPUTED_VALUE"""),"Deputies said they responded to College Park Middle School Saturday afternoon for report of a shooting. Preliminary investigations revealed it was accidental, deputies said. The victim was transported to an area hospital. Deputies did not say the extent o"&amp;"f their injuries.
")</f>
        <v xml:space="preserve">Deputies said they responded to College Park Middle School Saturday afternoon for report of a shooting. Preliminary investigations revealed it was accidental, deputies said. The victim was transported to an area hospital. Deputies did not say the extent of their injuries.
</v>
      </c>
      <c r="W300" s="1" t="str">
        <f ca="1">IFERROR(__xludf.DUMMYFUNCTION("""COMPUTED_VALUE"""),"Accidental")</f>
        <v>Accidental</v>
      </c>
      <c r="X300" s="1"/>
      <c r="Y300" s="1"/>
      <c r="Z300" s="1"/>
      <c r="AA300" s="1" t="str">
        <f ca="1">IFERROR(__xludf.DUMMYFUNCTION("""COMPUTED_VALUE"""),"No")</f>
        <v>No</v>
      </c>
      <c r="AB300" s="1" t="str">
        <f ca="1">IFERROR(__xludf.DUMMYFUNCTION("""COMPUTED_VALUE"""),"No")</f>
        <v>No</v>
      </c>
      <c r="AC300" s="1" t="str">
        <f ca="1">IFERROR(__xludf.DUMMYFUNCTION("""COMPUTED_VALUE"""),"No")</f>
        <v>No</v>
      </c>
      <c r="AD300" s="1" t="str">
        <f ca="1">IFERROR(__xludf.DUMMYFUNCTION("""COMPUTED_VALUE"""),"No")</f>
        <v>No</v>
      </c>
      <c r="AE300" s="1" t="str">
        <f ca="1">IFERROR(__xludf.DUMMYFUNCTION("""COMPUTED_VALUE"""),"No")</f>
        <v>No</v>
      </c>
      <c r="AF300" s="1" t="str">
        <f ca="1">IFERROR(__xludf.DUMMYFUNCTION("""COMPUTED_VALUE"""),"No")</f>
        <v>No</v>
      </c>
      <c r="AG300" s="1" t="str">
        <f ca="1">IFERROR(__xludf.DUMMYFUNCTION("""COMPUTED_VALUE"""),"No")</f>
        <v>No</v>
      </c>
      <c r="AH300" s="1">
        <f ca="1">IFERROR(__xludf.DUMMYFUNCTION("""COMPUTED_VALUE"""),1)</f>
        <v>1</v>
      </c>
    </row>
    <row r="301" spans="1:34" ht="12.5">
      <c r="A301" s="1" t="str">
        <f ca="1">IFERROR(__xludf.DUMMYFUNCTION("""COMPUTED_VALUE"""),"20230505INLIE")</f>
        <v>20230505INLIE</v>
      </c>
      <c r="B301" s="1">
        <f ca="1">IFERROR(__xludf.DUMMYFUNCTION("""COMPUTED_VALUE"""),5)</f>
        <v>5</v>
      </c>
      <c r="C301" s="1">
        <f ca="1">IFERROR(__xludf.DUMMYFUNCTION("""COMPUTED_VALUE"""),5)</f>
        <v>5</v>
      </c>
      <c r="D301" s="1">
        <f ca="1">IFERROR(__xludf.DUMMYFUNCTION("""COMPUTED_VALUE"""),2023)</f>
        <v>2023</v>
      </c>
      <c r="E301" s="4">
        <f ca="1">IFERROR(__xludf.DUMMYFUNCTION("""COMPUTED_VALUE"""),45051)</f>
        <v>45051</v>
      </c>
      <c r="F301" s="1" t="str">
        <f ca="1">IFERROR(__xludf.DUMMYFUNCTION("""COMPUTED_VALUE"""),"Lincoln School")</f>
        <v>Lincoln School</v>
      </c>
      <c r="G301" s="1">
        <f ca="1">IFERROR(__xludf.DUMMYFUNCTION("""COMPUTED_VALUE"""),0)</f>
        <v>0</v>
      </c>
      <c r="H301" s="1">
        <f ca="1">IFERROR(__xludf.DUMMYFUNCTION("""COMPUTED_VALUE"""),1)</f>
        <v>1</v>
      </c>
      <c r="I301" s="1">
        <f ca="1">IFERROR(__xludf.DUMMYFUNCTION("""COMPUTED_VALUE"""),1)</f>
        <v>1</v>
      </c>
      <c r="J301" s="1">
        <f ca="1">IFERROR(__xludf.DUMMYFUNCTION("""COMPUTED_VALUE"""),0)</f>
        <v>0</v>
      </c>
      <c r="K301" s="1" t="str">
        <f ca="1">IFERROR(__xludf.DUMMYFUNCTION("""COMPUTED_VALUE"""),"Spring")</f>
        <v>Spring</v>
      </c>
      <c r="L301" s="1" t="str">
        <f ca="1">IFERROR(__xludf.DUMMYFUNCTION("""COMPUTED_VALUE"""),"Evansville")</f>
        <v>Evansville</v>
      </c>
      <c r="M301" s="1" t="str">
        <f ca="1">IFERROR(__xludf.DUMMYFUNCTION("""COMPUTED_VALUE"""),"IN")</f>
        <v>IN</v>
      </c>
      <c r="N301" s="1" t="str">
        <f ca="1">IFERROR(__xludf.DUMMYFUNCTION("""COMPUTED_VALUE"""),"K-8")</f>
        <v>K-8</v>
      </c>
      <c r="O301" s="1" t="str">
        <f ca="1">IFERROR(__xludf.DUMMYFUNCTION("""COMPUTED_VALUE"""),"Beside Building")</f>
        <v>Beside Building</v>
      </c>
      <c r="P301" s="1" t="str">
        <f ca="1">IFERROR(__xludf.DUMMYFUNCTION("""COMPUTED_VALUE"""),"Outside on School Property")</f>
        <v>Outside on School Property</v>
      </c>
      <c r="Q301" s="1" t="str">
        <f ca="1">IFERROR(__xludf.DUMMYFUNCTION("""COMPUTED_VALUE"""),"No")</f>
        <v>No</v>
      </c>
      <c r="R301" s="1" t="str">
        <f ca="1">IFERROR(__xludf.DUMMYFUNCTION("""COMPUTED_VALUE"""),"Night")</f>
        <v>Night</v>
      </c>
      <c r="S301" s="5">
        <f ca="1">IFERROR(__xludf.DUMMYFUNCTION("""COMPUTED_VALUE"""),0.125)</f>
        <v>0.125</v>
      </c>
      <c r="T301" s="1">
        <f ca="1">IFERROR(__xludf.DUMMYFUNCTION("""COMPUTED_VALUE"""),1)</f>
        <v>1</v>
      </c>
      <c r="U301" s="1" t="str">
        <f ca="1">IFERROR(__xludf.DUMMYFUNCTION("""COMPUTED_VALUE"""),"Man shot by two juveniles next to school building")</f>
        <v>Man shot by two juveniles next to school building</v>
      </c>
      <c r="V301" s="1" t="str">
        <f ca="1">IFERROR(__xludf.DUMMYFUNCTION("""COMPUTED_VALUE"""),"Police now say the victim was walking near the school when the victim said a young male and female came up and shot him. Officials say the victim thinks the male was a juvenile. Authorities say the victim didn’t want to press charges, so police say they w"&amp;"eren’t able to get much from the victim.")</f>
        <v>Police now say the victim was walking near the school when the victim said a young male and female came up and shot him. Officials say the victim thinks the male was a juvenile. Authorities say the victim didn’t want to press charges, so police say they weren’t able to get much from the victim.</v>
      </c>
      <c r="W301" s="1"/>
      <c r="X301" s="1" t="str">
        <f ca="1">IFERROR(__xludf.DUMMYFUNCTION("""COMPUTED_VALUE"""),"Victims Targeted")</f>
        <v>Victims Targeted</v>
      </c>
      <c r="Y301" s="1"/>
      <c r="Z301" s="1"/>
      <c r="AA301" s="1" t="str">
        <f ca="1">IFERROR(__xludf.DUMMYFUNCTION("""COMPUTED_VALUE"""),"No")</f>
        <v>No</v>
      </c>
      <c r="AB301" s="1" t="str">
        <f ca="1">IFERROR(__xludf.DUMMYFUNCTION("""COMPUTED_VALUE"""),"No")</f>
        <v>No</v>
      </c>
      <c r="AC301" s="1" t="str">
        <f ca="1">IFERROR(__xludf.DUMMYFUNCTION("""COMPUTED_VALUE"""),"No")</f>
        <v>No</v>
      </c>
      <c r="AD301" s="1" t="str">
        <f ca="1">IFERROR(__xludf.DUMMYFUNCTION("""COMPUTED_VALUE"""),"No")</f>
        <v>No</v>
      </c>
      <c r="AE301" s="1" t="str">
        <f ca="1">IFERROR(__xludf.DUMMYFUNCTION("""COMPUTED_VALUE"""),"No")</f>
        <v>No</v>
      </c>
      <c r="AF301" s="1" t="str">
        <f ca="1">IFERROR(__xludf.DUMMYFUNCTION("""COMPUTED_VALUE"""),"No")</f>
        <v>No</v>
      </c>
      <c r="AG301" s="1" t="str">
        <f ca="1">IFERROR(__xludf.DUMMYFUNCTION("""COMPUTED_VALUE"""),"No")</f>
        <v>No</v>
      </c>
      <c r="AH301" s="1">
        <f ca="1">IFERROR(__xludf.DUMMYFUNCTION("""COMPUTED_VALUE"""),99)</f>
        <v>99</v>
      </c>
    </row>
    <row r="302" spans="1:34" ht="12.5">
      <c r="A302" s="1" t="str">
        <f ca="1">IFERROR(__xludf.DUMMYFUNCTION("""COMPUTED_VALUE"""),"20230503NCJOE")</f>
        <v>20230503NCJOE</v>
      </c>
      <c r="B302" s="1">
        <f ca="1">IFERROR(__xludf.DUMMYFUNCTION("""COMPUTED_VALUE"""),5)</f>
        <v>5</v>
      </c>
      <c r="C302" s="1">
        <f ca="1">IFERROR(__xludf.DUMMYFUNCTION("""COMPUTED_VALUE"""),3)</f>
        <v>3</v>
      </c>
      <c r="D302" s="1">
        <f ca="1">IFERROR(__xludf.DUMMYFUNCTION("""COMPUTED_VALUE"""),2023)</f>
        <v>2023</v>
      </c>
      <c r="E302" s="4">
        <f ca="1">IFERROR(__xludf.DUMMYFUNCTION("""COMPUTED_VALUE"""),45049)</f>
        <v>45049</v>
      </c>
      <c r="F302" s="1" t="str">
        <f ca="1">IFERROR(__xludf.DUMMYFUNCTION("""COMPUTED_VALUE"""),"John A. Holmes High School")</f>
        <v>John A. Holmes High School</v>
      </c>
      <c r="G302" s="1">
        <f ca="1">IFERROR(__xludf.DUMMYFUNCTION("""COMPUTED_VALUE"""),0)</f>
        <v>0</v>
      </c>
      <c r="H302" s="1">
        <f ca="1">IFERROR(__xludf.DUMMYFUNCTION("""COMPUTED_VALUE"""),0)</f>
        <v>0</v>
      </c>
      <c r="I302" s="1">
        <f ca="1">IFERROR(__xludf.DUMMYFUNCTION("""COMPUTED_VALUE"""),0)</f>
        <v>0</v>
      </c>
      <c r="J302" s="1">
        <f ca="1">IFERROR(__xludf.DUMMYFUNCTION("""COMPUTED_VALUE"""),0)</f>
        <v>0</v>
      </c>
      <c r="K302" s="1" t="str">
        <f ca="1">IFERROR(__xludf.DUMMYFUNCTION("""COMPUTED_VALUE"""),"Spring")</f>
        <v>Spring</v>
      </c>
      <c r="L302" s="1" t="str">
        <f ca="1">IFERROR(__xludf.DUMMYFUNCTION("""COMPUTED_VALUE"""),"Edenton")</f>
        <v>Edenton</v>
      </c>
      <c r="M302" s="1" t="str">
        <f ca="1">IFERROR(__xludf.DUMMYFUNCTION("""COMPUTED_VALUE"""),"NC")</f>
        <v>NC</v>
      </c>
      <c r="N302" s="1" t="str">
        <f ca="1">IFERROR(__xludf.DUMMYFUNCTION("""COMPUTED_VALUE"""),"High")</f>
        <v>High</v>
      </c>
      <c r="O302" s="1" t="str">
        <f ca="1">IFERROR(__xludf.DUMMYFUNCTION("""COMPUTED_VALUE"""),"Parking Lot")</f>
        <v>Parking Lot</v>
      </c>
      <c r="P302" s="1" t="str">
        <f ca="1">IFERROR(__xludf.DUMMYFUNCTION("""COMPUTED_VALUE"""),"Outside on School Property")</f>
        <v>Outside on School Property</v>
      </c>
      <c r="Q302" s="1" t="str">
        <f ca="1">IFERROR(__xludf.DUMMYFUNCTION("""COMPUTED_VALUE"""),"No")</f>
        <v>No</v>
      </c>
      <c r="R302" s="1" t="str">
        <f ca="1">IFERROR(__xludf.DUMMYFUNCTION("""COMPUTED_VALUE"""),"Sport Event")</f>
        <v>Sport Event</v>
      </c>
      <c r="S302" s="5">
        <f ca="1">IFERROR(__xludf.DUMMYFUNCTION("""COMPUTED_VALUE"""),0.791666666666666)</f>
        <v>0.79166666666666596</v>
      </c>
      <c r="T302" s="1">
        <f ca="1">IFERROR(__xludf.DUMMYFUNCTION("""COMPUTED_VALUE"""),1)</f>
        <v>1</v>
      </c>
      <c r="U302" s="1" t="str">
        <f ca="1">IFERROR(__xludf.DUMMYFUNCTION("""COMPUTED_VALUE"""),"Shots fired between vehicles next to softball field")</f>
        <v>Shots fired between vehicles next to softball field</v>
      </c>
      <c r="V302" s="1" t="str">
        <f ca="1">IFERROR(__xludf.DUMMYFUNCTION("""COMPUTED_VALUE"""),"Shots fired between two vehicles parked next to the softball field. School went into lockdown and cancelled games. Vehicles involved fled.")</f>
        <v>Shots fired between two vehicles parked next to the softball field. School went into lockdown and cancelled games. Vehicles involved fled.</v>
      </c>
      <c r="W302" s="1" t="str">
        <f ca="1">IFERROR(__xludf.DUMMYFUNCTION("""COMPUTED_VALUE"""),"Drive-by Shooting")</f>
        <v>Drive-by Shooting</v>
      </c>
      <c r="X302" s="1" t="str">
        <f ca="1">IFERROR(__xludf.DUMMYFUNCTION("""COMPUTED_VALUE"""),"Victims Targeted")</f>
        <v>Victims Targeted</v>
      </c>
      <c r="Y302" s="1"/>
      <c r="Z302" s="1"/>
      <c r="AA302" s="1" t="str">
        <f ca="1">IFERROR(__xludf.DUMMYFUNCTION("""COMPUTED_VALUE"""),"No")</f>
        <v>No</v>
      </c>
      <c r="AB302" s="1" t="str">
        <f ca="1">IFERROR(__xludf.DUMMYFUNCTION("""COMPUTED_VALUE"""),"No")</f>
        <v>No</v>
      </c>
      <c r="AC302" s="1" t="str">
        <f ca="1">IFERROR(__xludf.DUMMYFUNCTION("""COMPUTED_VALUE"""),"No")</f>
        <v>No</v>
      </c>
      <c r="AD302" s="1" t="str">
        <f ca="1">IFERROR(__xludf.DUMMYFUNCTION("""COMPUTED_VALUE"""),"No")</f>
        <v>No</v>
      </c>
      <c r="AE302" s="1" t="str">
        <f ca="1">IFERROR(__xludf.DUMMYFUNCTION("""COMPUTED_VALUE"""),"No")</f>
        <v>No</v>
      </c>
      <c r="AF302" s="1"/>
      <c r="AG302" s="1" t="str">
        <f ca="1">IFERROR(__xludf.DUMMYFUNCTION("""COMPUTED_VALUE"""),"No")</f>
        <v>No</v>
      </c>
      <c r="AH302" s="1">
        <f ca="1">IFERROR(__xludf.DUMMYFUNCTION("""COMPUTED_VALUE"""),99)</f>
        <v>99</v>
      </c>
    </row>
    <row r="303" spans="1:34" ht="12.5">
      <c r="A303" s="1" t="str">
        <f ca="1">IFERROR(__xludf.DUMMYFUNCTION("""COMPUTED_VALUE"""),"20230502AZRAM")</f>
        <v>20230502AZRAM</v>
      </c>
      <c r="B303" s="1">
        <f ca="1">IFERROR(__xludf.DUMMYFUNCTION("""COMPUTED_VALUE"""),5)</f>
        <v>5</v>
      </c>
      <c r="C303" s="1">
        <f ca="1">IFERROR(__xludf.DUMMYFUNCTION("""COMPUTED_VALUE"""),2)</f>
        <v>2</v>
      </c>
      <c r="D303" s="1">
        <f ca="1">IFERROR(__xludf.DUMMYFUNCTION("""COMPUTED_VALUE"""),2023)</f>
        <v>2023</v>
      </c>
      <c r="E303" s="4">
        <f ca="1">IFERROR(__xludf.DUMMYFUNCTION("""COMPUTED_VALUE"""),45048)</f>
        <v>45048</v>
      </c>
      <c r="F303" s="1" t="str">
        <f ca="1">IFERROR(__xludf.DUMMYFUNCTION("""COMPUTED_VALUE"""),"Ramon S. Mendoza Elementary School")</f>
        <v>Ramon S. Mendoza Elementary School</v>
      </c>
      <c r="G303" s="1">
        <f ca="1">IFERROR(__xludf.DUMMYFUNCTION("""COMPUTED_VALUE"""),0)</f>
        <v>0</v>
      </c>
      <c r="H303" s="1">
        <f ca="1">IFERROR(__xludf.DUMMYFUNCTION("""COMPUTED_VALUE"""),1)</f>
        <v>1</v>
      </c>
      <c r="I303" s="1">
        <f ca="1">IFERROR(__xludf.DUMMYFUNCTION("""COMPUTED_VALUE"""),1)</f>
        <v>1</v>
      </c>
      <c r="J303" s="1">
        <f ca="1">IFERROR(__xludf.DUMMYFUNCTION("""COMPUTED_VALUE"""),0)</f>
        <v>0</v>
      </c>
      <c r="K303" s="1" t="str">
        <f ca="1">IFERROR(__xludf.DUMMYFUNCTION("""COMPUTED_VALUE"""),"Spring")</f>
        <v>Spring</v>
      </c>
      <c r="L303" s="1" t="str">
        <f ca="1">IFERROR(__xludf.DUMMYFUNCTION("""COMPUTED_VALUE"""),"Mesa")</f>
        <v>Mesa</v>
      </c>
      <c r="M303" s="1" t="str">
        <f ca="1">IFERROR(__xludf.DUMMYFUNCTION("""COMPUTED_VALUE"""),"AZ")</f>
        <v>AZ</v>
      </c>
      <c r="N303" s="1" t="str">
        <f ca="1">IFERROR(__xludf.DUMMYFUNCTION("""COMPUTED_VALUE"""),"Elementary")</f>
        <v>Elementary</v>
      </c>
      <c r="O303" s="1" t="str">
        <f ca="1">IFERROR(__xludf.DUMMYFUNCTION("""COMPUTED_VALUE"""),"Front of School")</f>
        <v>Front of School</v>
      </c>
      <c r="P303" s="1" t="str">
        <f ca="1">IFERROR(__xludf.DUMMYFUNCTION("""COMPUTED_VALUE"""),"Outside on School Property")</f>
        <v>Outside on School Property</v>
      </c>
      <c r="Q303" s="1" t="str">
        <f ca="1">IFERROR(__xludf.DUMMYFUNCTION("""COMPUTED_VALUE"""),"No")</f>
        <v>No</v>
      </c>
      <c r="R303" s="1" t="str">
        <f ca="1">IFERROR(__xludf.DUMMYFUNCTION("""COMPUTED_VALUE"""),"Night")</f>
        <v>Night</v>
      </c>
      <c r="S303" s="5">
        <f ca="1">IFERROR(__xludf.DUMMYFUNCTION("""COMPUTED_VALUE"""),0.135416666666666)</f>
        <v>0.13541666666666599</v>
      </c>
      <c r="T303" s="1">
        <f ca="1">IFERROR(__xludf.DUMMYFUNCTION("""COMPUTED_VALUE"""),1)</f>
        <v>1</v>
      </c>
      <c r="U303" s="1" t="str">
        <f ca="1">IFERROR(__xludf.DUMMYFUNCTION("""COMPUTED_VALUE"""),"School security guard heard gunshot and found wounded man in front of the school")</f>
        <v>School security guard heard gunshot and found wounded man in front of the school</v>
      </c>
      <c r="V303" s="1" t="str">
        <f ca="1">IFERROR(__xludf.DUMMYFUNCTION("""COMPUTED_VALUE"""),"School security guard heard gunshot and found wounded man in front of the school. Shooter fled. School was able to open for normal classes.")</f>
        <v>School security guard heard gunshot and found wounded man in front of the school. Shooter fled. School was able to open for normal classes.</v>
      </c>
      <c r="W303" s="1"/>
      <c r="X303" s="1" t="str">
        <f ca="1">IFERROR(__xludf.DUMMYFUNCTION("""COMPUTED_VALUE"""),"Victims Targeted")</f>
        <v>Victims Targeted</v>
      </c>
      <c r="Y303" s="1" t="str">
        <f ca="1">IFERROR(__xludf.DUMMYFUNCTION("""COMPUTED_VALUE"""),"No")</f>
        <v>No</v>
      </c>
      <c r="Z303" s="1"/>
      <c r="AA303" s="1" t="str">
        <f ca="1">IFERROR(__xludf.DUMMYFUNCTION("""COMPUTED_VALUE"""),"No")</f>
        <v>No</v>
      </c>
      <c r="AB303" s="1" t="str">
        <f ca="1">IFERROR(__xludf.DUMMYFUNCTION("""COMPUTED_VALUE"""),"No")</f>
        <v>No</v>
      </c>
      <c r="AC303" s="1" t="str">
        <f ca="1">IFERROR(__xludf.DUMMYFUNCTION("""COMPUTED_VALUE"""),"No")</f>
        <v>No</v>
      </c>
      <c r="AD303" s="1" t="str">
        <f ca="1">IFERROR(__xludf.DUMMYFUNCTION("""COMPUTED_VALUE"""),"No")</f>
        <v>No</v>
      </c>
      <c r="AE303" s="1" t="str">
        <f ca="1">IFERROR(__xludf.DUMMYFUNCTION("""COMPUTED_VALUE"""),"No")</f>
        <v>No</v>
      </c>
      <c r="AF303" s="1"/>
      <c r="AG303" s="1" t="str">
        <f ca="1">IFERROR(__xludf.DUMMYFUNCTION("""COMPUTED_VALUE"""),"No")</f>
        <v>No</v>
      </c>
      <c r="AH303" s="1">
        <f ca="1">IFERROR(__xludf.DUMMYFUNCTION("""COMPUTED_VALUE"""),1)</f>
        <v>1</v>
      </c>
    </row>
    <row r="304" spans="1:34" ht="12.5">
      <c r="A304" s="1" t="str">
        <f ca="1">IFERROR(__xludf.DUMMYFUNCTION("""COMPUTED_VALUE"""),"20230501MIINF")</f>
        <v>20230501MIINF</v>
      </c>
      <c r="B304" s="1">
        <f ca="1">IFERROR(__xludf.DUMMYFUNCTION("""COMPUTED_VALUE"""),5)</f>
        <v>5</v>
      </c>
      <c r="C304" s="1">
        <f ca="1">IFERROR(__xludf.DUMMYFUNCTION("""COMPUTED_VALUE"""),1)</f>
        <v>1</v>
      </c>
      <c r="D304" s="1">
        <f ca="1">IFERROR(__xludf.DUMMYFUNCTION("""COMPUTED_VALUE"""),2023)</f>
        <v>2023</v>
      </c>
      <c r="E304" s="4">
        <f ca="1">IFERROR(__xludf.DUMMYFUNCTION("""COMPUTED_VALUE"""),45047)</f>
        <v>45047</v>
      </c>
      <c r="F304" s="1" t="str">
        <f ca="1">IFERROR(__xludf.DUMMYFUNCTION("""COMPUTED_VALUE"""),"International Academy of Flint")</f>
        <v>International Academy of Flint</v>
      </c>
      <c r="G304" s="1">
        <f ca="1">IFERROR(__xludf.DUMMYFUNCTION("""COMPUTED_VALUE"""),0)</f>
        <v>0</v>
      </c>
      <c r="H304" s="1">
        <f ca="1">IFERROR(__xludf.DUMMYFUNCTION("""COMPUTED_VALUE"""),1)</f>
        <v>1</v>
      </c>
      <c r="I304" s="1">
        <f ca="1">IFERROR(__xludf.DUMMYFUNCTION("""COMPUTED_VALUE"""),1)</f>
        <v>1</v>
      </c>
      <c r="J304" s="1">
        <f ca="1">IFERROR(__xludf.DUMMYFUNCTION("""COMPUTED_VALUE"""),0)</f>
        <v>0</v>
      </c>
      <c r="K304" s="1" t="str">
        <f ca="1">IFERROR(__xludf.DUMMYFUNCTION("""COMPUTED_VALUE"""),"Spring")</f>
        <v>Spring</v>
      </c>
      <c r="L304" s="1" t="str">
        <f ca="1">IFERROR(__xludf.DUMMYFUNCTION("""COMPUTED_VALUE"""),"Flint")</f>
        <v>Flint</v>
      </c>
      <c r="M304" s="1" t="str">
        <f ca="1">IFERROR(__xludf.DUMMYFUNCTION("""COMPUTED_VALUE"""),"MI")</f>
        <v>MI</v>
      </c>
      <c r="N304" s="1" t="str">
        <f ca="1">IFERROR(__xludf.DUMMYFUNCTION("""COMPUTED_VALUE"""),"K-12")</f>
        <v>K-12</v>
      </c>
      <c r="O304" s="1" t="str">
        <f ca="1">IFERROR(__xludf.DUMMYFUNCTION("""COMPUTED_VALUE"""),"Parking Lot")</f>
        <v>Parking Lot</v>
      </c>
      <c r="P304" s="1" t="str">
        <f ca="1">IFERROR(__xludf.DUMMYFUNCTION("""COMPUTED_VALUE"""),"Outside on School Property")</f>
        <v>Outside on School Property</v>
      </c>
      <c r="Q304" s="1" t="str">
        <f ca="1">IFERROR(__xludf.DUMMYFUNCTION("""COMPUTED_VALUE"""),"Yes")</f>
        <v>Yes</v>
      </c>
      <c r="R304" s="1" t="str">
        <f ca="1">IFERROR(__xludf.DUMMYFUNCTION("""COMPUTED_VALUE"""),"Dismissal")</f>
        <v>Dismissal</v>
      </c>
      <c r="S304" s="5">
        <f ca="1">IFERROR(__xludf.DUMMYFUNCTION("""COMPUTED_VALUE"""),0.645833333333333)</f>
        <v>0.64583333333333304</v>
      </c>
      <c r="T304" s="1">
        <f ca="1">IFERROR(__xludf.DUMMYFUNCTION("""COMPUTED_VALUE"""),1)</f>
        <v>1</v>
      </c>
      <c r="U304" s="1" t="str">
        <f ca="1">IFERROR(__xludf.DUMMYFUNCTION("""COMPUTED_VALUE"""),"Parent shot another parent during fight at pickup")</f>
        <v>Parent shot another parent during fight at pickup</v>
      </c>
      <c r="V304" s="1" t="str">
        <f ca="1">IFERROR(__xludf.DUMMYFUNCTION("""COMPUTED_VALUE"""),"Parent shot and critically wounded another parent during pickup at dismissal. Police reported an ongoing feud between the parents.")</f>
        <v>Parent shot and critically wounded another parent during pickup at dismissal. Police reported an ongoing feud between the parents.</v>
      </c>
      <c r="W304" s="1" t="str">
        <f ca="1">IFERROR(__xludf.DUMMYFUNCTION("""COMPUTED_VALUE"""),"Escalation of Dispute")</f>
        <v>Escalation of Dispute</v>
      </c>
      <c r="X304" s="1" t="str">
        <f ca="1">IFERROR(__xludf.DUMMYFUNCTION("""COMPUTED_VALUE"""),"Victims Targeted")</f>
        <v>Victims Targeted</v>
      </c>
      <c r="Y304" s="1" t="str">
        <f ca="1">IFERROR(__xludf.DUMMYFUNCTION("""COMPUTED_VALUE"""),"No")</f>
        <v>No</v>
      </c>
      <c r="Z304" s="1"/>
      <c r="AA304" s="1" t="str">
        <f ca="1">IFERROR(__xludf.DUMMYFUNCTION("""COMPUTED_VALUE"""),"No")</f>
        <v>No</v>
      </c>
      <c r="AB304" s="1" t="str">
        <f ca="1">IFERROR(__xludf.DUMMYFUNCTION("""COMPUTED_VALUE"""),"No")</f>
        <v>No</v>
      </c>
      <c r="AC304" s="1" t="str">
        <f ca="1">IFERROR(__xludf.DUMMYFUNCTION("""COMPUTED_VALUE"""),"No")</f>
        <v>No</v>
      </c>
      <c r="AD304" s="1" t="str">
        <f ca="1">IFERROR(__xludf.DUMMYFUNCTION("""COMPUTED_VALUE"""),"No")</f>
        <v>No</v>
      </c>
      <c r="AE304" s="1" t="str">
        <f ca="1">IFERROR(__xludf.DUMMYFUNCTION("""COMPUTED_VALUE"""),"No")</f>
        <v>No</v>
      </c>
      <c r="AF304" s="1" t="str">
        <f ca="1">IFERROR(__xludf.DUMMYFUNCTION("""COMPUTED_VALUE"""),"No")</f>
        <v>No</v>
      </c>
      <c r="AG304" s="1" t="str">
        <f ca="1">IFERROR(__xludf.DUMMYFUNCTION("""COMPUTED_VALUE"""),"No")</f>
        <v>No</v>
      </c>
      <c r="AH304" s="1">
        <f ca="1">IFERROR(__xludf.DUMMYFUNCTION("""COMPUTED_VALUE"""),99)</f>
        <v>99</v>
      </c>
    </row>
    <row r="305" spans="1:34" ht="12.5">
      <c r="A305" s="1" t="str">
        <f ca="1">IFERROR(__xludf.DUMMYFUNCTION("""COMPUTED_VALUE"""),"20230501MDPRS")</f>
        <v>20230501MDPRS</v>
      </c>
      <c r="B305" s="1">
        <f ca="1">IFERROR(__xludf.DUMMYFUNCTION("""COMPUTED_VALUE"""),5)</f>
        <v>5</v>
      </c>
      <c r="C305" s="1">
        <f ca="1">IFERROR(__xludf.DUMMYFUNCTION("""COMPUTED_VALUE"""),1)</f>
        <v>1</v>
      </c>
      <c r="D305" s="1">
        <f ca="1">IFERROR(__xludf.DUMMYFUNCTION("""COMPUTED_VALUE"""),2023)</f>
        <v>2023</v>
      </c>
      <c r="E305" s="4">
        <f ca="1">IFERROR(__xludf.DUMMYFUNCTION("""COMPUTED_VALUE"""),45047)</f>
        <v>45047</v>
      </c>
      <c r="F305" s="1" t="str">
        <f ca="1">IFERROR(__xludf.DUMMYFUNCTION("""COMPUTED_VALUE"""),"Prince George's County Alternative Middle School")</f>
        <v>Prince George's County Alternative Middle School</v>
      </c>
      <c r="G305" s="1">
        <f ca="1">IFERROR(__xludf.DUMMYFUNCTION("""COMPUTED_VALUE"""),0)</f>
        <v>0</v>
      </c>
      <c r="H305" s="1">
        <f ca="1">IFERROR(__xludf.DUMMYFUNCTION("""COMPUTED_VALUE"""),1)</f>
        <v>1</v>
      </c>
      <c r="I305" s="1">
        <f ca="1">IFERROR(__xludf.DUMMYFUNCTION("""COMPUTED_VALUE"""),1)</f>
        <v>1</v>
      </c>
      <c r="J305" s="1">
        <f ca="1">IFERROR(__xludf.DUMMYFUNCTION("""COMPUTED_VALUE"""),0)</f>
        <v>0</v>
      </c>
      <c r="K305" s="1" t="str">
        <f ca="1">IFERROR(__xludf.DUMMYFUNCTION("""COMPUTED_VALUE"""),"Spring")</f>
        <v>Spring</v>
      </c>
      <c r="L305" s="1" t="str">
        <f ca="1">IFERROR(__xludf.DUMMYFUNCTION("""COMPUTED_VALUE"""),"Suitland")</f>
        <v>Suitland</v>
      </c>
      <c r="M305" s="1" t="str">
        <f ca="1">IFERROR(__xludf.DUMMYFUNCTION("""COMPUTED_VALUE"""),"MD")</f>
        <v>MD</v>
      </c>
      <c r="N305" s="1" t="str">
        <f ca="1">IFERROR(__xludf.DUMMYFUNCTION("""COMPUTED_VALUE"""),"Middle")</f>
        <v>Middle</v>
      </c>
      <c r="O305" s="1" t="str">
        <f ca="1">IFERROR(__xludf.DUMMYFUNCTION("""COMPUTED_VALUE"""),"School Bus")</f>
        <v>School Bus</v>
      </c>
      <c r="P305" s="1" t="str">
        <f ca="1">IFERROR(__xludf.DUMMYFUNCTION("""COMPUTED_VALUE"""),"School Bus")</f>
        <v>School Bus</v>
      </c>
      <c r="Q305" s="1" t="str">
        <f ca="1">IFERROR(__xludf.DUMMYFUNCTION("""COMPUTED_VALUE"""),"Yes")</f>
        <v>Yes</v>
      </c>
      <c r="R305" s="1" t="str">
        <f ca="1">IFERROR(__xludf.DUMMYFUNCTION("""COMPUTED_VALUE"""),"Dismissal")</f>
        <v>Dismissal</v>
      </c>
      <c r="S305" s="5">
        <f ca="1">IFERROR(__xludf.DUMMYFUNCTION("""COMPUTED_VALUE"""),0.625)</f>
        <v>0.625</v>
      </c>
      <c r="T305" s="1">
        <f ca="1">IFERROR(__xludf.DUMMYFUNCTION("""COMPUTED_VALUE"""),1)</f>
        <v>1</v>
      </c>
      <c r="U305" s="1" t="str">
        <f ca="1">IFERROR(__xludf.DUMMYFUNCTION("""COMPUTED_VALUE"""),"Three teens attempted to execute student on school bus")</f>
        <v>Three teens attempted to execute student on school bus</v>
      </c>
      <c r="V305" s="1" t="str">
        <f ca="1">IFERROR(__xludf.DUMMYFUNCTION("""COMPUTED_VALUE"""),"Maryland school bus stopped to let a student off at a stop when three teenage suspects wearing masks pushed their way past the bus aide. One suspect pointed a gun at the boy's chest and pulled the trigger 3 times, but the gun jammed. The bus aide said bul"&amp;"lets fell to the floor. Teen with the gun pistol whipped the student and then fled. Attack was directed and planned by 14-year-old girl who was arrested on 5/22/2023 and held without bond. Teen who pulled the trigger 3 times was arrested on May 30, 2023.")</f>
        <v>Maryland school bus stopped to let a student off at a stop when three teenage suspects wearing masks pushed their way past the bus aide. One suspect pointed a gun at the boy's chest and pulled the trigger 3 times, but the gun jammed. The bus aide said bullets fell to the floor. Teen with the gun pistol whipped the student and then fled. Attack was directed and planned by 14-year-old girl who was arrested on 5/22/2023 and held without bond. Teen who pulled the trigger 3 times was arrested on May 30, 2023.</v>
      </c>
      <c r="W305" s="1" t="str">
        <f ca="1">IFERROR(__xludf.DUMMYFUNCTION("""COMPUTED_VALUE"""),"Murder/Assassination")</f>
        <v>Murder/Assassination</v>
      </c>
      <c r="X305" s="1" t="str">
        <f ca="1">IFERROR(__xludf.DUMMYFUNCTION("""COMPUTED_VALUE"""),"Victims Targeted")</f>
        <v>Victims Targeted</v>
      </c>
      <c r="Y305" s="1" t="str">
        <f ca="1">IFERROR(__xludf.DUMMYFUNCTION("""COMPUTED_VALUE"""),"Yes")</f>
        <v>Yes</v>
      </c>
      <c r="Z305" s="1" t="str">
        <f ca="1">IFERROR(__xludf.DUMMYFUNCTION("""COMPUTED_VALUE"""),"Three teens")</f>
        <v>Three teens</v>
      </c>
      <c r="AA305" s="1" t="str">
        <f ca="1">IFERROR(__xludf.DUMMYFUNCTION("""COMPUTED_VALUE"""),"No")</f>
        <v>No</v>
      </c>
      <c r="AB305" s="1" t="str">
        <f ca="1">IFERROR(__xludf.DUMMYFUNCTION("""COMPUTED_VALUE"""),"No")</f>
        <v>No</v>
      </c>
      <c r="AC305" s="1" t="str">
        <f ca="1">IFERROR(__xludf.DUMMYFUNCTION("""COMPUTED_VALUE"""),"No")</f>
        <v>No</v>
      </c>
      <c r="AD305" s="1" t="str">
        <f ca="1">IFERROR(__xludf.DUMMYFUNCTION("""COMPUTED_VALUE"""),"No")</f>
        <v>No</v>
      </c>
      <c r="AE305" s="1" t="str">
        <f ca="1">IFERROR(__xludf.DUMMYFUNCTION("""COMPUTED_VALUE"""),"No")</f>
        <v>No</v>
      </c>
      <c r="AF305" s="1"/>
      <c r="AG305" s="1" t="str">
        <f ca="1">IFERROR(__xludf.DUMMYFUNCTION("""COMPUTED_VALUE"""),"No")</f>
        <v>No</v>
      </c>
      <c r="AH305" s="1">
        <f ca="1">IFERROR(__xludf.DUMMYFUNCTION("""COMPUTED_VALUE"""),0)</f>
        <v>0</v>
      </c>
    </row>
    <row r="306" spans="1:34" ht="12.5">
      <c r="A306" s="1" t="str">
        <f ca="1">IFERROR(__xludf.DUMMYFUNCTION("""COMPUTED_VALUE"""),"20230430KYPAP")</f>
        <v>20230430KYPAP</v>
      </c>
      <c r="B306" s="1">
        <f ca="1">IFERROR(__xludf.DUMMYFUNCTION("""COMPUTED_VALUE"""),4)</f>
        <v>4</v>
      </c>
      <c r="C306" s="1">
        <f ca="1">IFERROR(__xludf.DUMMYFUNCTION("""COMPUTED_VALUE"""),30)</f>
        <v>30</v>
      </c>
      <c r="D306" s="1">
        <f ca="1">IFERROR(__xludf.DUMMYFUNCTION("""COMPUTED_VALUE"""),2023)</f>
        <v>2023</v>
      </c>
      <c r="E306" s="4">
        <f ca="1">IFERROR(__xludf.DUMMYFUNCTION("""COMPUTED_VALUE"""),45046)</f>
        <v>45046</v>
      </c>
      <c r="F306" s="1" t="str">
        <f ca="1">IFERROR(__xludf.DUMMYFUNCTION("""COMPUTED_VALUE"""),"Paducah Tilghman High School")</f>
        <v>Paducah Tilghman High School</v>
      </c>
      <c r="G306" s="1">
        <f ca="1">IFERROR(__xludf.DUMMYFUNCTION("""COMPUTED_VALUE"""),0)</f>
        <v>0</v>
      </c>
      <c r="H306" s="1">
        <f ca="1">IFERROR(__xludf.DUMMYFUNCTION("""COMPUTED_VALUE"""),4)</f>
        <v>4</v>
      </c>
      <c r="I306" s="1">
        <f ca="1">IFERROR(__xludf.DUMMYFUNCTION("""COMPUTED_VALUE"""),4)</f>
        <v>4</v>
      </c>
      <c r="J306" s="1">
        <f ca="1">IFERROR(__xludf.DUMMYFUNCTION("""COMPUTED_VALUE"""),0)</f>
        <v>0</v>
      </c>
      <c r="K306" s="1" t="str">
        <f ca="1">IFERROR(__xludf.DUMMYFUNCTION("""COMPUTED_VALUE"""),"Spring")</f>
        <v>Spring</v>
      </c>
      <c r="L306" s="1" t="str">
        <f ca="1">IFERROR(__xludf.DUMMYFUNCTION("""COMPUTED_VALUE"""),"Paducah")</f>
        <v>Paducah</v>
      </c>
      <c r="M306" s="1" t="str">
        <f ca="1">IFERROR(__xludf.DUMMYFUNCTION("""COMPUTED_VALUE"""),"KY")</f>
        <v>KY</v>
      </c>
      <c r="N306" s="1" t="str">
        <f ca="1">IFERROR(__xludf.DUMMYFUNCTION("""COMPUTED_VALUE"""),"High")</f>
        <v>High</v>
      </c>
      <c r="O306" s="1" t="str">
        <f ca="1">IFERROR(__xludf.DUMMYFUNCTION("""COMPUTED_VALUE"""),"Off School Property")</f>
        <v>Off School Property</v>
      </c>
      <c r="P306" s="1" t="str">
        <f ca="1">IFERROR(__xludf.DUMMYFUNCTION("""COMPUTED_VALUE"""),"Off School Property")</f>
        <v>Off School Property</v>
      </c>
      <c r="Q306" s="1" t="str">
        <f ca="1">IFERROR(__xludf.DUMMYFUNCTION("""COMPUTED_VALUE"""),"No")</f>
        <v>No</v>
      </c>
      <c r="R306" s="1" t="str">
        <f ca="1">IFERROR(__xludf.DUMMYFUNCTION("""COMPUTED_VALUE"""),"School Event")</f>
        <v>School Event</v>
      </c>
      <c r="S306" s="5">
        <f ca="1">IFERROR(__xludf.DUMMYFUNCTION("""COMPUTED_VALUE"""),0.0486111111111111)</f>
        <v>4.8611111111111098E-2</v>
      </c>
      <c r="T306" s="1">
        <f ca="1">IFERROR(__xludf.DUMMYFUNCTION("""COMPUTED_VALUE"""),1)</f>
        <v>1</v>
      </c>
      <c r="U306" s="1" t="str">
        <f ca="1">IFERROR(__xludf.DUMMYFUNCTION("""COMPUTED_VALUE"""),"Four teens shot during post-prom party at community center")</f>
        <v>Four teens shot during post-prom party at community center</v>
      </c>
      <c r="V306" s="1" t="str">
        <f ca="1">IFERROR(__xludf.DUMMYFUNCTION("""COMPUTED_VALUE"""),"Four teens shot during post-prom party at community center. Two shooters fired at each other and then fled.")</f>
        <v>Four teens shot during post-prom party at community center. Two shooters fired at each other and then fled.</v>
      </c>
      <c r="W306" s="1" t="str">
        <f ca="1">IFERROR(__xludf.DUMMYFUNCTION("""COMPUTED_VALUE"""),"Escalation of Dispute")</f>
        <v>Escalation of Dispute</v>
      </c>
      <c r="X306" s="1" t="str">
        <f ca="1">IFERROR(__xludf.DUMMYFUNCTION("""COMPUTED_VALUE"""),"Both")</f>
        <v>Both</v>
      </c>
      <c r="Y306" s="1" t="str">
        <f ca="1">IFERROR(__xludf.DUMMYFUNCTION("""COMPUTED_VALUE"""),"No")</f>
        <v>No</v>
      </c>
      <c r="Z306" s="1"/>
      <c r="AA306" s="1" t="str">
        <f ca="1">IFERROR(__xludf.DUMMYFUNCTION("""COMPUTED_VALUE"""),"No")</f>
        <v>No</v>
      </c>
      <c r="AB306" s="1" t="str">
        <f ca="1">IFERROR(__xludf.DUMMYFUNCTION("""COMPUTED_VALUE"""),"No")</f>
        <v>No</v>
      </c>
      <c r="AC306" s="1" t="str">
        <f ca="1">IFERROR(__xludf.DUMMYFUNCTION("""COMPUTED_VALUE"""),"No")</f>
        <v>No</v>
      </c>
      <c r="AD306" s="1" t="str">
        <f ca="1">IFERROR(__xludf.DUMMYFUNCTION("""COMPUTED_VALUE"""),"No")</f>
        <v>No</v>
      </c>
      <c r="AE306" s="1" t="str">
        <f ca="1">IFERROR(__xludf.DUMMYFUNCTION("""COMPUTED_VALUE"""),"No")</f>
        <v>No</v>
      </c>
      <c r="AF306" s="1"/>
      <c r="AG306" s="1" t="str">
        <f ca="1">IFERROR(__xludf.DUMMYFUNCTION("""COMPUTED_VALUE"""),"No")</f>
        <v>No</v>
      </c>
      <c r="AH306" s="1">
        <f ca="1">IFERROR(__xludf.DUMMYFUNCTION("""COMPUTED_VALUE"""),99)</f>
        <v>99</v>
      </c>
    </row>
    <row r="307" spans="1:34" ht="12.5">
      <c r="A307" s="1" t="str">
        <f ca="1">IFERROR(__xludf.DUMMYFUNCTION("""COMPUTED_VALUE"""),"20230430CAKNP")</f>
        <v>20230430CAKNP</v>
      </c>
      <c r="B307" s="1">
        <f ca="1">IFERROR(__xludf.DUMMYFUNCTION("""COMPUTED_VALUE"""),4)</f>
        <v>4</v>
      </c>
      <c r="C307" s="1">
        <f ca="1">IFERROR(__xludf.DUMMYFUNCTION("""COMPUTED_VALUE"""),30)</f>
        <v>30</v>
      </c>
      <c r="D307" s="1">
        <f ca="1">IFERROR(__xludf.DUMMYFUNCTION("""COMPUTED_VALUE"""),2023)</f>
        <v>2023</v>
      </c>
      <c r="E307" s="4">
        <f ca="1">IFERROR(__xludf.DUMMYFUNCTION("""COMPUTED_VALUE"""),45046)</f>
        <v>45046</v>
      </c>
      <c r="F307" s="1" t="str">
        <f ca="1">IFERROR(__xludf.DUMMYFUNCTION("""COMPUTED_VALUE"""),"Knight High School")</f>
        <v>Knight High School</v>
      </c>
      <c r="G307" s="1">
        <f ca="1">IFERROR(__xludf.DUMMYFUNCTION("""COMPUTED_VALUE"""),0)</f>
        <v>0</v>
      </c>
      <c r="H307" s="1">
        <f ca="1">IFERROR(__xludf.DUMMYFUNCTION("""COMPUTED_VALUE"""),0)</f>
        <v>0</v>
      </c>
      <c r="I307" s="1">
        <f ca="1">IFERROR(__xludf.DUMMYFUNCTION("""COMPUTED_VALUE"""),0)</f>
        <v>0</v>
      </c>
      <c r="J307" s="1">
        <f ca="1">IFERROR(__xludf.DUMMYFUNCTION("""COMPUTED_VALUE"""),0)</f>
        <v>0</v>
      </c>
      <c r="K307" s="1" t="str">
        <f ca="1">IFERROR(__xludf.DUMMYFUNCTION("""COMPUTED_VALUE"""),"Spring")</f>
        <v>Spring</v>
      </c>
      <c r="L307" s="1" t="str">
        <f ca="1">IFERROR(__xludf.DUMMYFUNCTION("""COMPUTED_VALUE"""),"Palmdale")</f>
        <v>Palmdale</v>
      </c>
      <c r="M307" s="1" t="str">
        <f ca="1">IFERROR(__xludf.DUMMYFUNCTION("""COMPUTED_VALUE"""),"CA")</f>
        <v>CA</v>
      </c>
      <c r="N307" s="1" t="str">
        <f ca="1">IFERROR(__xludf.DUMMYFUNCTION("""COMPUTED_VALUE"""),"High")</f>
        <v>High</v>
      </c>
      <c r="O307" s="1" t="str">
        <f ca="1">IFERROR(__xludf.DUMMYFUNCTION("""COMPUTED_VALUE"""),"Parking Lot")</f>
        <v>Parking Lot</v>
      </c>
      <c r="P307" s="1" t="str">
        <f ca="1">IFERROR(__xludf.DUMMYFUNCTION("""COMPUTED_VALUE"""),"Outside on School Property")</f>
        <v>Outside on School Property</v>
      </c>
      <c r="Q307" s="1" t="str">
        <f ca="1">IFERROR(__xludf.DUMMYFUNCTION("""COMPUTED_VALUE"""),"No")</f>
        <v>No</v>
      </c>
      <c r="R307" s="1" t="str">
        <f ca="1">IFERROR(__xludf.DUMMYFUNCTION("""COMPUTED_VALUE"""),"School Event")</f>
        <v>School Event</v>
      </c>
      <c r="S307" s="5">
        <f ca="1">IFERROR(__xludf.DUMMYFUNCTION("""COMPUTED_VALUE"""),0.0416666666666666)</f>
        <v>4.1666666666666602E-2</v>
      </c>
      <c r="T307" s="1">
        <f ca="1">IFERROR(__xludf.DUMMYFUNCTION("""COMPUTED_VALUE"""),1)</f>
        <v>1</v>
      </c>
      <c r="U307" s="1" t="str">
        <f ca="1">IFERROR(__xludf.DUMMYFUNCTION("""COMPUTED_VALUE"""),"Parent fired shots during fight with other parents at post prom party")</f>
        <v>Parent fired shots during fight with other parents at post prom party</v>
      </c>
      <c r="V307" s="1" t="str">
        <f ca="1">IFERROR(__xludf.DUMMYFUNCTION("""COMPUTED_VALUE"""),"A post-prom fight early Sunday in Palmdale between two young men from Pete Knight High School resulted in a shooting by one of their mothers. No one was hit in the gunfire outside the high school at 37423 70th St. East around 1 a.m. Sunday, according to a"&amp;" videographer at the scene. No one from the Palmdale Sheriff's Station was immediately available for comment. 
The parent who allegedly fired her gun tried to intervene but was punched several times for her efforts, the videographer said. There was no im"&amp;"mediate word regarding whether the woman was arrested, but two vehicles were reportedly hit by the gunfire.")</f>
        <v>A post-prom fight early Sunday in Palmdale between two young men from Pete Knight High School resulted in a shooting by one of their mothers. No one was hit in the gunfire outside the high school at 37423 70th St. East around 1 a.m. Sunday, according to a videographer at the scene. No one from the Palmdale Sheriff's Station was immediately available for comment. 
The parent who allegedly fired her gun tried to intervene but was punched several times for her efforts, the videographer said. There was no immediate word regarding whether the woman was arrested, but two vehicles were reportedly hit by the gunfire.</v>
      </c>
      <c r="W307" s="1" t="str">
        <f ca="1">IFERROR(__xludf.DUMMYFUNCTION("""COMPUTED_VALUE"""),"Escalation of Dispute")</f>
        <v>Escalation of Dispute</v>
      </c>
      <c r="X307" s="1" t="str">
        <f ca="1">IFERROR(__xludf.DUMMYFUNCTION("""COMPUTED_VALUE"""),"Victims Targeted")</f>
        <v>Victims Targeted</v>
      </c>
      <c r="Y307" s="1" t="str">
        <f ca="1">IFERROR(__xludf.DUMMYFUNCTION("""COMPUTED_VALUE"""),"No")</f>
        <v>No</v>
      </c>
      <c r="Z307" s="1"/>
      <c r="AA307" s="1" t="str">
        <f ca="1">IFERROR(__xludf.DUMMYFUNCTION("""COMPUTED_VALUE"""),"No")</f>
        <v>No</v>
      </c>
      <c r="AB307" s="1" t="str">
        <f ca="1">IFERROR(__xludf.DUMMYFUNCTION("""COMPUTED_VALUE"""),"No")</f>
        <v>No</v>
      </c>
      <c r="AC307" s="1" t="str">
        <f ca="1">IFERROR(__xludf.DUMMYFUNCTION("""COMPUTED_VALUE"""),"No")</f>
        <v>No</v>
      </c>
      <c r="AD307" s="1" t="str">
        <f ca="1">IFERROR(__xludf.DUMMYFUNCTION("""COMPUTED_VALUE"""),"No")</f>
        <v>No</v>
      </c>
      <c r="AE307" s="1" t="str">
        <f ca="1">IFERROR(__xludf.DUMMYFUNCTION("""COMPUTED_VALUE"""),"No")</f>
        <v>No</v>
      </c>
      <c r="AF307" s="1" t="str">
        <f ca="1">IFERROR(__xludf.DUMMYFUNCTION("""COMPUTED_VALUE"""),"No")</f>
        <v>No</v>
      </c>
      <c r="AG307" s="1" t="str">
        <f ca="1">IFERROR(__xludf.DUMMYFUNCTION("""COMPUTED_VALUE"""),"No")</f>
        <v>No</v>
      </c>
      <c r="AH307" s="1">
        <f ca="1">IFERROR(__xludf.DUMMYFUNCTION("""COMPUTED_VALUE"""),99)</f>
        <v>99</v>
      </c>
    </row>
    <row r="308" spans="1:34" ht="12.5">
      <c r="A308" s="1" t="str">
        <f ca="1">IFERROR(__xludf.DUMMYFUNCTION("""COMPUTED_VALUE"""),"20230428TNWEK")</f>
        <v>20230428TNWEK</v>
      </c>
      <c r="B308" s="1">
        <f ca="1">IFERROR(__xludf.DUMMYFUNCTION("""COMPUTED_VALUE"""),4)</f>
        <v>4</v>
      </c>
      <c r="C308" s="1">
        <f ca="1">IFERROR(__xludf.DUMMYFUNCTION("""COMPUTED_VALUE"""),28)</f>
        <v>28</v>
      </c>
      <c r="D308" s="1">
        <f ca="1">IFERROR(__xludf.DUMMYFUNCTION("""COMPUTED_VALUE"""),2023)</f>
        <v>2023</v>
      </c>
      <c r="E308" s="4">
        <f ca="1">IFERROR(__xludf.DUMMYFUNCTION("""COMPUTED_VALUE"""),45044)</f>
        <v>45044</v>
      </c>
      <c r="F308" s="1" t="str">
        <f ca="1">IFERROR(__xludf.DUMMYFUNCTION("""COMPUTED_VALUE"""),"West High School")</f>
        <v>West High School</v>
      </c>
      <c r="G308" s="1">
        <f ca="1">IFERROR(__xludf.DUMMYFUNCTION("""COMPUTED_VALUE"""),0)</f>
        <v>0</v>
      </c>
      <c r="H308" s="1">
        <f ca="1">IFERROR(__xludf.DUMMYFUNCTION("""COMPUTED_VALUE"""),1)</f>
        <v>1</v>
      </c>
      <c r="I308" s="1">
        <f ca="1">IFERROR(__xludf.DUMMYFUNCTION("""COMPUTED_VALUE"""),1)</f>
        <v>1</v>
      </c>
      <c r="J308" s="1">
        <f ca="1">IFERROR(__xludf.DUMMYFUNCTION("""COMPUTED_VALUE"""),0)</f>
        <v>0</v>
      </c>
      <c r="K308" s="1" t="str">
        <f ca="1">IFERROR(__xludf.DUMMYFUNCTION("""COMPUTED_VALUE"""),"Spring")</f>
        <v>Spring</v>
      </c>
      <c r="L308" s="1" t="str">
        <f ca="1">IFERROR(__xludf.DUMMYFUNCTION("""COMPUTED_VALUE"""),"Knoxville")</f>
        <v>Knoxville</v>
      </c>
      <c r="M308" s="1" t="str">
        <f ca="1">IFERROR(__xludf.DUMMYFUNCTION("""COMPUTED_VALUE"""),"TN")</f>
        <v>TN</v>
      </c>
      <c r="N308" s="1" t="str">
        <f ca="1">IFERROR(__xludf.DUMMYFUNCTION("""COMPUTED_VALUE"""),"High")</f>
        <v>High</v>
      </c>
      <c r="O308" s="1" t="str">
        <f ca="1">IFERROR(__xludf.DUMMYFUNCTION("""COMPUTED_VALUE"""),"Classroom")</f>
        <v>Classroom</v>
      </c>
      <c r="P308" s="1" t="str">
        <f ca="1">IFERROR(__xludf.DUMMYFUNCTION("""COMPUTED_VALUE"""),"Inside School Building")</f>
        <v>Inside School Building</v>
      </c>
      <c r="Q308" s="1" t="str">
        <f ca="1">IFERROR(__xludf.DUMMYFUNCTION("""COMPUTED_VALUE"""),"Yes")</f>
        <v>Yes</v>
      </c>
      <c r="R308" s="1" t="str">
        <f ca="1">IFERROR(__xludf.DUMMYFUNCTION("""COMPUTED_VALUE"""),"Morning Classes")</f>
        <v>Morning Classes</v>
      </c>
      <c r="S308" s="5">
        <f ca="1">IFERROR(__xludf.DUMMYFUNCTION("""COMPUTED_VALUE"""),0.4375)</f>
        <v>0.4375</v>
      </c>
      <c r="T308" s="1">
        <f ca="1">IFERROR(__xludf.DUMMYFUNCTION("""COMPUTED_VALUE"""),1)</f>
        <v>1</v>
      </c>
      <c r="U308" s="1" t="str">
        <f ca="1">IFERROR(__xludf.DUMMYFUNCTION("""COMPUTED_VALUE"""),"Gun fired inside student's backpack, struck teacher")</f>
        <v>Gun fired inside student's backpack, struck teacher</v>
      </c>
      <c r="V308" s="1" t="str">
        <f ca="1">IFERROR(__xludf.DUMMYFUNCTION("""COMPUTED_VALUE"""),"Authorities are investigating after a teacher was “grazed” when a firearm discharged in a classroom at West High School on Friday, according to the Knoxville Police Department. KPD later released that one student was charged. Knoxville Police say the stud"&amp;"ent charged was identified as a 14-year-old male, however, his identity was withheld because he is a juvenile. According to police, the gun was inside the backpack of a student at West High School when it discharged in a classroom, according to a Knoxvill"&amp;"e Police preliminary investigation.")</f>
        <v>Authorities are investigating after a teacher was “grazed” when a firearm discharged in a classroom at West High School on Friday, according to the Knoxville Police Department. KPD later released that one student was charged. Knoxville Police say the student charged was identified as a 14-year-old male, however, his identity was withheld because he is a juvenile. According to police, the gun was inside the backpack of a student at West High School when it discharged in a classroom, according to a Knoxville Police preliminary investigation.</v>
      </c>
      <c r="W308" s="1" t="str">
        <f ca="1">IFERROR(__xludf.DUMMYFUNCTION("""COMPUTED_VALUE"""),"Accidental")</f>
        <v>Accidental</v>
      </c>
      <c r="X308" s="1" t="str">
        <f ca="1">IFERROR(__xludf.DUMMYFUNCTION("""COMPUTED_VALUE"""),"Random Shooting")</f>
        <v>Random Shooting</v>
      </c>
      <c r="Y308" s="1" t="str">
        <f ca="1">IFERROR(__xludf.DUMMYFUNCTION("""COMPUTED_VALUE"""),"No")</f>
        <v>No</v>
      </c>
      <c r="Z308" s="1"/>
      <c r="AA308" s="1" t="str">
        <f ca="1">IFERROR(__xludf.DUMMYFUNCTION("""COMPUTED_VALUE"""),"No")</f>
        <v>No</v>
      </c>
      <c r="AB308" s="1" t="str">
        <f ca="1">IFERROR(__xludf.DUMMYFUNCTION("""COMPUTED_VALUE"""),"No")</f>
        <v>No</v>
      </c>
      <c r="AC308" s="1" t="str">
        <f ca="1">IFERROR(__xludf.DUMMYFUNCTION("""COMPUTED_VALUE"""),"No")</f>
        <v>No</v>
      </c>
      <c r="AD308" s="1"/>
      <c r="AE308" s="1" t="str">
        <f ca="1">IFERROR(__xludf.DUMMYFUNCTION("""COMPUTED_VALUE"""),"No")</f>
        <v>No</v>
      </c>
      <c r="AF308" s="1" t="str">
        <f ca="1">IFERROR(__xludf.DUMMYFUNCTION("""COMPUTED_VALUE"""),"No")</f>
        <v>No</v>
      </c>
      <c r="AG308" s="1" t="str">
        <f ca="1">IFERROR(__xludf.DUMMYFUNCTION("""COMPUTED_VALUE"""),"No")</f>
        <v>No</v>
      </c>
      <c r="AH308" s="1">
        <f ca="1">IFERROR(__xludf.DUMMYFUNCTION("""COMPUTED_VALUE"""),1)</f>
        <v>1</v>
      </c>
    </row>
    <row r="309" spans="1:34" ht="12.5">
      <c r="A309" s="1" t="str">
        <f ca="1">IFERROR(__xludf.DUMMYFUNCTION("""COMPUTED_VALUE"""),"20230427VAGER")</f>
        <v>20230427VAGER</v>
      </c>
      <c r="B309" s="1">
        <f ca="1">IFERROR(__xludf.DUMMYFUNCTION("""COMPUTED_VALUE"""),4)</f>
        <v>4</v>
      </c>
      <c r="C309" s="1">
        <f ca="1">IFERROR(__xludf.DUMMYFUNCTION("""COMPUTED_VALUE"""),27)</f>
        <v>27</v>
      </c>
      <c r="D309" s="1">
        <f ca="1">IFERROR(__xludf.DUMMYFUNCTION("""COMPUTED_VALUE"""),2023)</f>
        <v>2023</v>
      </c>
      <c r="E309" s="4">
        <f ca="1">IFERROR(__xludf.DUMMYFUNCTION("""COMPUTED_VALUE"""),45043)</f>
        <v>45043</v>
      </c>
      <c r="F309" s="1" t="str">
        <f ca="1">IFERROR(__xludf.DUMMYFUNCTION("""COMPUTED_VALUE"""),"George Wythe High School")</f>
        <v>George Wythe High School</v>
      </c>
      <c r="G309" s="1">
        <f ca="1">IFERROR(__xludf.DUMMYFUNCTION("""COMPUTED_VALUE"""),0)</f>
        <v>0</v>
      </c>
      <c r="H309" s="1">
        <f ca="1">IFERROR(__xludf.DUMMYFUNCTION("""COMPUTED_VALUE"""),2)</f>
        <v>2</v>
      </c>
      <c r="I309" s="1">
        <f ca="1">IFERROR(__xludf.DUMMYFUNCTION("""COMPUTED_VALUE"""),2)</f>
        <v>2</v>
      </c>
      <c r="J309" s="1">
        <f ca="1">IFERROR(__xludf.DUMMYFUNCTION("""COMPUTED_VALUE"""),0)</f>
        <v>0</v>
      </c>
      <c r="K309" s="1" t="str">
        <f ca="1">IFERROR(__xludf.DUMMYFUNCTION("""COMPUTED_VALUE"""),"Spring")</f>
        <v>Spring</v>
      </c>
      <c r="L309" s="1" t="str">
        <f ca="1">IFERROR(__xludf.DUMMYFUNCTION("""COMPUTED_VALUE"""),"Richmond")</f>
        <v>Richmond</v>
      </c>
      <c r="M309" s="1" t="str">
        <f ca="1">IFERROR(__xludf.DUMMYFUNCTION("""COMPUTED_VALUE"""),"VA")</f>
        <v>VA</v>
      </c>
      <c r="N309" s="1" t="str">
        <f ca="1">IFERROR(__xludf.DUMMYFUNCTION("""COMPUTED_VALUE"""),"High")</f>
        <v>High</v>
      </c>
      <c r="O309" s="1" t="str">
        <f ca="1">IFERROR(__xludf.DUMMYFUNCTION("""COMPUTED_VALUE"""),"Parking Lot")</f>
        <v>Parking Lot</v>
      </c>
      <c r="P309" s="1" t="str">
        <f ca="1">IFERROR(__xludf.DUMMYFUNCTION("""COMPUTED_VALUE"""),"Outside on School Property")</f>
        <v>Outside on School Property</v>
      </c>
      <c r="Q309" s="1" t="str">
        <f ca="1">IFERROR(__xludf.DUMMYFUNCTION("""COMPUTED_VALUE"""),"Yes")</f>
        <v>Yes</v>
      </c>
      <c r="R309" s="1" t="str">
        <f ca="1">IFERROR(__xludf.DUMMYFUNCTION("""COMPUTED_VALUE"""),"Lunch")</f>
        <v>Lunch</v>
      </c>
      <c r="S309" s="5">
        <f ca="1">IFERROR(__xludf.DUMMYFUNCTION("""COMPUTED_VALUE"""),0.501388888888888)</f>
        <v>0.501388888888888</v>
      </c>
      <c r="T309" s="1">
        <f ca="1">IFERROR(__xludf.DUMMYFUNCTION("""COMPUTED_VALUE"""),1)</f>
        <v>1</v>
      </c>
      <c r="U309" s="1" t="str">
        <f ca="1">IFERROR(__xludf.DUMMYFUNCTION("""COMPUTED_VALUE"""),"Two students shot in school parking lot during lunch")</f>
        <v>Two students shot in school parking lot during lunch</v>
      </c>
      <c r="V309" s="1" t="str">
        <f ca="1">IFERROR(__xludf.DUMMYFUNCTION("""COMPUTED_VALUE"""),"Two students were shot in the school parking lot during lunch. One student was transported in critical condition. Shooter fled before police arrived. School went on lockdown.")</f>
        <v>Two students were shot in the school parking lot during lunch. One student was transported in critical condition. Shooter fled before police arrived. School went on lockdown.</v>
      </c>
      <c r="W309" s="1"/>
      <c r="X309" s="1"/>
      <c r="Y309" s="1"/>
      <c r="Z309" s="1"/>
      <c r="AA309" s="1" t="str">
        <f ca="1">IFERROR(__xludf.DUMMYFUNCTION("""COMPUTED_VALUE"""),"No")</f>
        <v>No</v>
      </c>
      <c r="AB309" s="1" t="str">
        <f ca="1">IFERROR(__xludf.DUMMYFUNCTION("""COMPUTED_VALUE"""),"No")</f>
        <v>No</v>
      </c>
      <c r="AC309" s="1" t="str">
        <f ca="1">IFERROR(__xludf.DUMMYFUNCTION("""COMPUTED_VALUE"""),"No")</f>
        <v>No</v>
      </c>
      <c r="AD309" s="1"/>
      <c r="AE309" s="1" t="str">
        <f ca="1">IFERROR(__xludf.DUMMYFUNCTION("""COMPUTED_VALUE"""),"No")</f>
        <v>No</v>
      </c>
      <c r="AF309" s="1"/>
      <c r="AG309" s="1" t="str">
        <f ca="1">IFERROR(__xludf.DUMMYFUNCTION("""COMPUTED_VALUE"""),"No")</f>
        <v>No</v>
      </c>
      <c r="AH309" s="1">
        <f ca="1">IFERROR(__xludf.DUMMYFUNCTION("""COMPUTED_VALUE"""),99)</f>
        <v>99</v>
      </c>
    </row>
    <row r="310" spans="1:34" ht="12.5">
      <c r="A310" s="1" t="str">
        <f ca="1">IFERROR(__xludf.DUMMYFUNCTION("""COMPUTED_VALUE"""),"20230427GACHK")</f>
        <v>20230427GACHK</v>
      </c>
      <c r="B310" s="1">
        <f ca="1">IFERROR(__xludf.DUMMYFUNCTION("""COMPUTED_VALUE"""),4)</f>
        <v>4</v>
      </c>
      <c r="C310" s="1">
        <f ca="1">IFERROR(__xludf.DUMMYFUNCTION("""COMPUTED_VALUE"""),27)</f>
        <v>27</v>
      </c>
      <c r="D310" s="1">
        <f ca="1">IFERROR(__xludf.DUMMYFUNCTION("""COMPUTED_VALUE"""),2023)</f>
        <v>2023</v>
      </c>
      <c r="E310" s="4">
        <f ca="1">IFERROR(__xludf.DUMMYFUNCTION("""COMPUTED_VALUE"""),45043)</f>
        <v>45043</v>
      </c>
      <c r="F310" s="1" t="str">
        <f ca="1">IFERROR(__xludf.DUMMYFUNCTION("""COMPUTED_VALUE"""),"Chalker Elementary School")</f>
        <v>Chalker Elementary School</v>
      </c>
      <c r="G310" s="1">
        <f ca="1">IFERROR(__xludf.DUMMYFUNCTION("""COMPUTED_VALUE"""),0)</f>
        <v>0</v>
      </c>
      <c r="H310" s="1">
        <f ca="1">IFERROR(__xludf.DUMMYFUNCTION("""COMPUTED_VALUE"""),0)</f>
        <v>0</v>
      </c>
      <c r="I310" s="1">
        <f ca="1">IFERROR(__xludf.DUMMYFUNCTION("""COMPUTED_VALUE"""),0)</f>
        <v>0</v>
      </c>
      <c r="J310" s="1">
        <f ca="1">IFERROR(__xludf.DUMMYFUNCTION("""COMPUTED_VALUE"""),0)</f>
        <v>0</v>
      </c>
      <c r="K310" s="1" t="str">
        <f ca="1">IFERROR(__xludf.DUMMYFUNCTION("""COMPUTED_VALUE"""),"Spring")</f>
        <v>Spring</v>
      </c>
      <c r="L310" s="1" t="str">
        <f ca="1">IFERROR(__xludf.DUMMYFUNCTION("""COMPUTED_VALUE"""),"Kennesaw")</f>
        <v>Kennesaw</v>
      </c>
      <c r="M310" s="1" t="str">
        <f ca="1">IFERROR(__xludf.DUMMYFUNCTION("""COMPUTED_VALUE"""),"GA")</f>
        <v>GA</v>
      </c>
      <c r="N310" s="1" t="str">
        <f ca="1">IFERROR(__xludf.DUMMYFUNCTION("""COMPUTED_VALUE"""),"Elementary")</f>
        <v>Elementary</v>
      </c>
      <c r="O310" s="1" t="str">
        <f ca="1">IFERROR(__xludf.DUMMYFUNCTION("""COMPUTED_VALUE"""),"Beside Building")</f>
        <v>Beside Building</v>
      </c>
      <c r="P310" s="1" t="str">
        <f ca="1">IFERROR(__xludf.DUMMYFUNCTION("""COMPUTED_VALUE"""),"Outside on School Property")</f>
        <v>Outside on School Property</v>
      </c>
      <c r="Q310" s="1" t="str">
        <f ca="1">IFERROR(__xludf.DUMMYFUNCTION("""COMPUTED_VALUE"""),"No")</f>
        <v>No</v>
      </c>
      <c r="R310" s="1" t="str">
        <f ca="1">IFERROR(__xludf.DUMMYFUNCTION("""COMPUTED_VALUE"""),"Night")</f>
        <v>Night</v>
      </c>
      <c r="S310" s="1"/>
      <c r="T310" s="1">
        <f ca="1">IFERROR(__xludf.DUMMYFUNCTION("""COMPUTED_VALUE"""),1)</f>
        <v>1</v>
      </c>
      <c r="U310" s="1" t="str">
        <f ca="1">IFERROR(__xludf.DUMMYFUNCTION("""COMPUTED_VALUE"""),"School building intentionally shot")</f>
        <v>School building intentionally shot</v>
      </c>
      <c r="V310" s="1" t="str">
        <f ca="1">IFERROR(__xludf.DUMMYFUNCTION("""COMPUTED_VALUE"""),"School building was intentionally shot overnight. A door of the school was intentionally shot the prior week. Police describe the shooting as ""more than vandalism"". ")</f>
        <v xml:space="preserve">School building was intentionally shot overnight. A door of the school was intentionally shot the prior week. Police describe the shooting as "more than vandalism". </v>
      </c>
      <c r="W310" s="1" t="str">
        <f ca="1">IFERROR(__xludf.DUMMYFUNCTION("""COMPUTED_VALUE"""),"Intentional Property Damage")</f>
        <v>Intentional Property Damage</v>
      </c>
      <c r="X310" s="1" t="str">
        <f ca="1">IFERROR(__xludf.DUMMYFUNCTION("""COMPUTED_VALUE"""),"Neither")</f>
        <v>Neither</v>
      </c>
      <c r="Y310" s="1"/>
      <c r="Z310" s="1"/>
      <c r="AA310" s="1" t="str">
        <f ca="1">IFERROR(__xludf.DUMMYFUNCTION("""COMPUTED_VALUE"""),"No")</f>
        <v>No</v>
      </c>
      <c r="AB310" s="1" t="str">
        <f ca="1">IFERROR(__xludf.DUMMYFUNCTION("""COMPUTED_VALUE"""),"No")</f>
        <v>No</v>
      </c>
      <c r="AC310" s="1" t="str">
        <f ca="1">IFERROR(__xludf.DUMMYFUNCTION("""COMPUTED_VALUE"""),"No")</f>
        <v>No</v>
      </c>
      <c r="AD310" s="1"/>
      <c r="AE310" s="1" t="str">
        <f ca="1">IFERROR(__xludf.DUMMYFUNCTION("""COMPUTED_VALUE"""),"No")</f>
        <v>No</v>
      </c>
      <c r="AF310" s="1" t="str">
        <f ca="1">IFERROR(__xludf.DUMMYFUNCTION("""COMPUTED_VALUE"""),"No")</f>
        <v>No</v>
      </c>
      <c r="AG310" s="1" t="str">
        <f ca="1">IFERROR(__xludf.DUMMYFUNCTION("""COMPUTED_VALUE"""),"No")</f>
        <v>No</v>
      </c>
      <c r="AH310" s="1">
        <f ca="1">IFERROR(__xludf.DUMMYFUNCTION("""COMPUTED_VALUE"""),99)</f>
        <v>99</v>
      </c>
    </row>
    <row r="311" spans="1:34" ht="12.5">
      <c r="A311" s="1" t="str">
        <f ca="1">IFERROR(__xludf.DUMMYFUNCTION("""COMPUTED_VALUE"""),"20230426MNLIH")</f>
        <v>20230426MNLIH</v>
      </c>
      <c r="B311" s="1">
        <f ca="1">IFERROR(__xludf.DUMMYFUNCTION("""COMPUTED_VALUE"""),4)</f>
        <v>4</v>
      </c>
      <c r="C311" s="1">
        <f ca="1">IFERROR(__xludf.DUMMYFUNCTION("""COMPUTED_VALUE"""),26)</f>
        <v>26</v>
      </c>
      <c r="D311" s="1">
        <f ca="1">IFERROR(__xludf.DUMMYFUNCTION("""COMPUTED_VALUE"""),2023)</f>
        <v>2023</v>
      </c>
      <c r="E311" s="4">
        <f ca="1">IFERROR(__xludf.DUMMYFUNCTION("""COMPUTED_VALUE"""),45042)</f>
        <v>45042</v>
      </c>
      <c r="F311" s="1" t="str">
        <f ca="1">IFERROR(__xludf.DUMMYFUNCTION("""COMPUTED_VALUE"""),"Lincoln Elementary School")</f>
        <v>Lincoln Elementary School</v>
      </c>
      <c r="G311" s="1">
        <f ca="1">IFERROR(__xludf.DUMMYFUNCTION("""COMPUTED_VALUE"""),0)</f>
        <v>0</v>
      </c>
      <c r="H311" s="1">
        <f ca="1">IFERROR(__xludf.DUMMYFUNCTION("""COMPUTED_VALUE"""),0)</f>
        <v>0</v>
      </c>
      <c r="I311" s="1">
        <f ca="1">IFERROR(__xludf.DUMMYFUNCTION("""COMPUTED_VALUE"""),0)</f>
        <v>0</v>
      </c>
      <c r="J311" s="1">
        <f ca="1">IFERROR(__xludf.DUMMYFUNCTION("""COMPUTED_VALUE"""),0)</f>
        <v>0</v>
      </c>
      <c r="K311" s="1" t="str">
        <f ca="1">IFERROR(__xludf.DUMMYFUNCTION("""COMPUTED_VALUE"""),"Spring")</f>
        <v>Spring</v>
      </c>
      <c r="L311" s="1" t="str">
        <f ca="1">IFERROR(__xludf.DUMMYFUNCTION("""COMPUTED_VALUE"""),"Hibbing")</f>
        <v>Hibbing</v>
      </c>
      <c r="M311" s="1" t="str">
        <f ca="1">IFERROR(__xludf.DUMMYFUNCTION("""COMPUTED_VALUE"""),"MN")</f>
        <v>MN</v>
      </c>
      <c r="N311" s="1" t="str">
        <f ca="1">IFERROR(__xludf.DUMMYFUNCTION("""COMPUTED_VALUE"""),"Elementary")</f>
        <v>Elementary</v>
      </c>
      <c r="O311" s="1" t="str">
        <f ca="1">IFERROR(__xludf.DUMMYFUNCTION("""COMPUTED_VALUE"""),"Playground")</f>
        <v>Playground</v>
      </c>
      <c r="P311" s="1" t="str">
        <f ca="1">IFERROR(__xludf.DUMMYFUNCTION("""COMPUTED_VALUE"""),"Outside on School Property")</f>
        <v>Outside on School Property</v>
      </c>
      <c r="Q311" s="1" t="str">
        <f ca="1">IFERROR(__xludf.DUMMYFUNCTION("""COMPUTED_VALUE"""),"Yes")</f>
        <v>Yes</v>
      </c>
      <c r="R311" s="1" t="str">
        <f ca="1">IFERROR(__xludf.DUMMYFUNCTION("""COMPUTED_VALUE"""),"Afternoon Classes")</f>
        <v>Afternoon Classes</v>
      </c>
      <c r="S311" s="5">
        <f ca="1">IFERROR(__xludf.DUMMYFUNCTION("""COMPUTED_VALUE"""),0.541666666666666)</f>
        <v>0.54166666666666596</v>
      </c>
      <c r="T311" s="1">
        <f ca="1">IFERROR(__xludf.DUMMYFUNCTION("""COMPUTED_VALUE"""),1)</f>
        <v>1</v>
      </c>
      <c r="U311" s="1" t="str">
        <f ca="1">IFERROR(__xludf.DUMMYFUNCTION("""COMPUTED_VALUE"""),"10 elementary school students were shot by 3 teens with pellet guns during recess")</f>
        <v>10 elementary school students were shot by 3 teens with pellet guns during recess</v>
      </c>
      <c r="V311" s="1" t="str">
        <f ca="1">IFERROR(__xludf.DUMMYFUNCTION("""COMPUTED_VALUE"""),"Around 1:00pm, Hibbing Police Officers were dispatched to Lincoln Elementary School to the report that a group of teens in a vehicle driving by shot at multiple kids on the playground. Security footage helped officers locate the three teens who are studen"&amp;"ts at Hibbing High School. HPD says possible charges will be sent to the St. Louis County Attorney’s Office once the investigation is complete. In a statement from Hibbing Police, Chief Steve Estey would like the public to know they “take incidents like t"&amp;"his very seriously.”")</f>
        <v>Around 1:00pm, Hibbing Police Officers were dispatched to Lincoln Elementary School to the report that a group of teens in a vehicle driving by shot at multiple kids on the playground. Security footage helped officers locate the three teens who are students at Hibbing High School. HPD says possible charges will be sent to the St. Louis County Attorney’s Office once the investigation is complete. In a statement from Hibbing Police, Chief Steve Estey would like the public to know they “take incidents like this very seriously.”</v>
      </c>
      <c r="W311" s="1" t="str">
        <f ca="1">IFERROR(__xludf.DUMMYFUNCTION("""COMPUTED_VALUE"""),"Drive-by Shooting")</f>
        <v>Drive-by Shooting</v>
      </c>
      <c r="X311" s="1" t="str">
        <f ca="1">IFERROR(__xludf.DUMMYFUNCTION("""COMPUTED_VALUE"""),"Random Shooting")</f>
        <v>Random Shooting</v>
      </c>
      <c r="Y311" s="1" t="str">
        <f ca="1">IFERROR(__xludf.DUMMYFUNCTION("""COMPUTED_VALUE"""),"Yes")</f>
        <v>Yes</v>
      </c>
      <c r="Z311" s="1" t="str">
        <f ca="1">IFERROR(__xludf.DUMMYFUNCTION("""COMPUTED_VALUE"""),"Three teens in vehcile")</f>
        <v>Three teens in vehcile</v>
      </c>
      <c r="AA311" s="1" t="str">
        <f ca="1">IFERROR(__xludf.DUMMYFUNCTION("""COMPUTED_VALUE"""),"No")</f>
        <v>No</v>
      </c>
      <c r="AB311" s="1" t="str">
        <f ca="1">IFERROR(__xludf.DUMMYFUNCTION("""COMPUTED_VALUE"""),"No")</f>
        <v>No</v>
      </c>
      <c r="AC311" s="1" t="str">
        <f ca="1">IFERROR(__xludf.DUMMYFUNCTION("""COMPUTED_VALUE"""),"No")</f>
        <v>No</v>
      </c>
      <c r="AD311" s="1" t="str">
        <f ca="1">IFERROR(__xludf.DUMMYFUNCTION("""COMPUTED_VALUE"""),"No")</f>
        <v>No</v>
      </c>
      <c r="AE311" s="1" t="str">
        <f ca="1">IFERROR(__xludf.DUMMYFUNCTION("""COMPUTED_VALUE"""),"No")</f>
        <v>No</v>
      </c>
      <c r="AF311" s="1" t="str">
        <f ca="1">IFERROR(__xludf.DUMMYFUNCTION("""COMPUTED_VALUE"""),"No")</f>
        <v>No</v>
      </c>
      <c r="AG311" s="1" t="str">
        <f ca="1">IFERROR(__xludf.DUMMYFUNCTION("""COMPUTED_VALUE"""),"No")</f>
        <v>No</v>
      </c>
      <c r="AH311" s="1">
        <f ca="1">IFERROR(__xludf.DUMMYFUNCTION("""COMPUTED_VALUE"""),99)</f>
        <v>99</v>
      </c>
    </row>
    <row r="312" spans="1:34" ht="12.5">
      <c r="A312" s="1" t="str">
        <f ca="1">IFERROR(__xludf.DUMMYFUNCTION("""COMPUTED_VALUE"""),"20230426CTJON")</f>
        <v>20230426CTJON</v>
      </c>
      <c r="B312" s="1">
        <f ca="1">IFERROR(__xludf.DUMMYFUNCTION("""COMPUTED_VALUE"""),4)</f>
        <v>4</v>
      </c>
      <c r="C312" s="1">
        <f ca="1">IFERROR(__xludf.DUMMYFUNCTION("""COMPUTED_VALUE"""),26)</f>
        <v>26</v>
      </c>
      <c r="D312" s="1">
        <f ca="1">IFERROR(__xludf.DUMMYFUNCTION("""COMPUTED_VALUE"""),2023)</f>
        <v>2023</v>
      </c>
      <c r="E312" s="4">
        <f ca="1">IFERROR(__xludf.DUMMYFUNCTION("""COMPUTED_VALUE"""),45042)</f>
        <v>45042</v>
      </c>
      <c r="F312" s="1" t="str">
        <f ca="1">IFERROR(__xludf.DUMMYFUNCTION("""COMPUTED_VALUE"""),"John C. Daniels School")</f>
        <v>John C. Daniels School</v>
      </c>
      <c r="G312" s="1">
        <f ca="1">IFERROR(__xludf.DUMMYFUNCTION("""COMPUTED_VALUE"""),0)</f>
        <v>0</v>
      </c>
      <c r="H312" s="1">
        <f ca="1">IFERROR(__xludf.DUMMYFUNCTION("""COMPUTED_VALUE"""),0)</f>
        <v>0</v>
      </c>
      <c r="I312" s="1">
        <f ca="1">IFERROR(__xludf.DUMMYFUNCTION("""COMPUTED_VALUE"""),0)</f>
        <v>0</v>
      </c>
      <c r="J312" s="1">
        <f ca="1">IFERROR(__xludf.DUMMYFUNCTION("""COMPUTED_VALUE"""),0)</f>
        <v>0</v>
      </c>
      <c r="K312" s="1" t="str">
        <f ca="1">IFERROR(__xludf.DUMMYFUNCTION("""COMPUTED_VALUE"""),"Spring")</f>
        <v>Spring</v>
      </c>
      <c r="L312" s="1" t="str">
        <f ca="1">IFERROR(__xludf.DUMMYFUNCTION("""COMPUTED_VALUE"""),"New Haven")</f>
        <v>New Haven</v>
      </c>
      <c r="M312" s="1" t="str">
        <f ca="1">IFERROR(__xludf.DUMMYFUNCTION("""COMPUTED_VALUE"""),"CT")</f>
        <v>CT</v>
      </c>
      <c r="N312" s="1" t="str">
        <f ca="1">IFERROR(__xludf.DUMMYFUNCTION("""COMPUTED_VALUE"""),"K-8")</f>
        <v>K-8</v>
      </c>
      <c r="O312" s="1" t="str">
        <f ca="1">IFERROR(__xludf.DUMMYFUNCTION("""COMPUTED_VALUE"""),"Parking Lot")</f>
        <v>Parking Lot</v>
      </c>
      <c r="P312" s="1" t="str">
        <f ca="1">IFERROR(__xludf.DUMMYFUNCTION("""COMPUTED_VALUE"""),"Outside on School Property")</f>
        <v>Outside on School Property</v>
      </c>
      <c r="Q312" s="1" t="str">
        <f ca="1">IFERROR(__xludf.DUMMYFUNCTION("""COMPUTED_VALUE"""),"Yes")</f>
        <v>Yes</v>
      </c>
      <c r="R312" s="1" t="str">
        <f ca="1">IFERROR(__xludf.DUMMYFUNCTION("""COMPUTED_VALUE"""),"Dismissal")</f>
        <v>Dismissal</v>
      </c>
      <c r="S312" s="5">
        <f ca="1">IFERROR(__xludf.DUMMYFUNCTION("""COMPUTED_VALUE"""),0.666666666666666)</f>
        <v>0.66666666666666596</v>
      </c>
      <c r="T312" s="1">
        <f ca="1">IFERROR(__xludf.DUMMYFUNCTION("""COMPUTED_VALUE"""),1)</f>
        <v>1</v>
      </c>
      <c r="U312" s="1" t="str">
        <f ca="1">IFERROR(__xludf.DUMMYFUNCTION("""COMPUTED_VALUE"""),"Shots fired in pickup lane of school")</f>
        <v>Shots fired in pickup lane of school</v>
      </c>
      <c r="V312" s="1" t="str">
        <f ca="1">IFERROR(__xludf.DUMMYFUNCTION("""COMPUTED_VALUE"""),"17 shots were fired in and around the pickup lane of the school after dismissal. Students and staff still in the building locked down. No injuries. Shooter fled.")</f>
        <v>17 shots were fired in and around the pickup lane of the school after dismissal. Students and staff still in the building locked down. No injuries. Shooter fled.</v>
      </c>
      <c r="W312" s="1" t="str">
        <f ca="1">IFERROR(__xludf.DUMMYFUNCTION("""COMPUTED_VALUE"""),"Drive-by Shooting")</f>
        <v>Drive-by Shooting</v>
      </c>
      <c r="X312" s="1"/>
      <c r="Y312" s="1"/>
      <c r="Z312" s="1"/>
      <c r="AA312" s="1" t="str">
        <f ca="1">IFERROR(__xludf.DUMMYFUNCTION("""COMPUTED_VALUE"""),"No")</f>
        <v>No</v>
      </c>
      <c r="AB312" s="1" t="str">
        <f ca="1">IFERROR(__xludf.DUMMYFUNCTION("""COMPUTED_VALUE"""),"No")</f>
        <v>No</v>
      </c>
      <c r="AC312" s="1" t="str">
        <f ca="1">IFERROR(__xludf.DUMMYFUNCTION("""COMPUTED_VALUE"""),"No")</f>
        <v>No</v>
      </c>
      <c r="AD312" s="1" t="str">
        <f ca="1">IFERROR(__xludf.DUMMYFUNCTION("""COMPUTED_VALUE"""),"No")</f>
        <v>No</v>
      </c>
      <c r="AE312" s="1" t="str">
        <f ca="1">IFERROR(__xludf.DUMMYFUNCTION("""COMPUTED_VALUE"""),"No")</f>
        <v>No</v>
      </c>
      <c r="AF312" s="1"/>
      <c r="AG312" s="1" t="str">
        <f ca="1">IFERROR(__xludf.DUMMYFUNCTION("""COMPUTED_VALUE"""),"No")</f>
        <v>No</v>
      </c>
      <c r="AH312" s="1">
        <f ca="1">IFERROR(__xludf.DUMMYFUNCTION("""COMPUTED_VALUE"""),17)</f>
        <v>17</v>
      </c>
    </row>
    <row r="313" spans="1:34" ht="12.5">
      <c r="A313" s="1" t="str">
        <f ca="1">IFERROR(__xludf.DUMMYFUNCTION("""COMPUTED_VALUE"""),"20230425NVCOH")</f>
        <v>20230425NVCOH</v>
      </c>
      <c r="B313" s="1">
        <f ca="1">IFERROR(__xludf.DUMMYFUNCTION("""COMPUTED_VALUE"""),4)</f>
        <v>4</v>
      </c>
      <c r="C313" s="1">
        <f ca="1">IFERROR(__xludf.DUMMYFUNCTION("""COMPUTED_VALUE"""),25)</f>
        <v>25</v>
      </c>
      <c r="D313" s="1">
        <f ca="1">IFERROR(__xludf.DUMMYFUNCTION("""COMPUTED_VALUE"""),2023)</f>
        <v>2023</v>
      </c>
      <c r="E313" s="4">
        <f ca="1">IFERROR(__xludf.DUMMYFUNCTION("""COMPUTED_VALUE"""),45041)</f>
        <v>45041</v>
      </c>
      <c r="F313" s="1" t="str">
        <f ca="1">IFERROR(__xludf.DUMMYFUNCTION("""COMPUTED_VALUE"""),"Coral Academy Cadence Campus")</f>
        <v>Coral Academy Cadence Campus</v>
      </c>
      <c r="G313" s="1">
        <f ca="1">IFERROR(__xludf.DUMMYFUNCTION("""COMPUTED_VALUE"""),0)</f>
        <v>0</v>
      </c>
      <c r="H313" s="1">
        <f ca="1">IFERROR(__xludf.DUMMYFUNCTION("""COMPUTED_VALUE"""),0)</f>
        <v>0</v>
      </c>
      <c r="I313" s="1">
        <f ca="1">IFERROR(__xludf.DUMMYFUNCTION("""COMPUTED_VALUE"""),0)</f>
        <v>0</v>
      </c>
      <c r="J313" s="1">
        <f ca="1">IFERROR(__xludf.DUMMYFUNCTION("""COMPUTED_VALUE"""),0)</f>
        <v>0</v>
      </c>
      <c r="K313" s="1" t="str">
        <f ca="1">IFERROR(__xludf.DUMMYFUNCTION("""COMPUTED_VALUE"""),"Spring")</f>
        <v>Spring</v>
      </c>
      <c r="L313" s="1" t="str">
        <f ca="1">IFERROR(__xludf.DUMMYFUNCTION("""COMPUTED_VALUE"""),"Henderson")</f>
        <v>Henderson</v>
      </c>
      <c r="M313" s="1" t="str">
        <f ca="1">IFERROR(__xludf.DUMMYFUNCTION("""COMPUTED_VALUE"""),"NV")</f>
        <v>NV</v>
      </c>
      <c r="N313" s="1" t="str">
        <f ca="1">IFERROR(__xludf.DUMMYFUNCTION("""COMPUTED_VALUE"""),"K-8")</f>
        <v>K-8</v>
      </c>
      <c r="O313" s="1" t="str">
        <f ca="1">IFERROR(__xludf.DUMMYFUNCTION("""COMPUTED_VALUE"""),"Front of School")</f>
        <v>Front of School</v>
      </c>
      <c r="P313" s="1" t="str">
        <f ca="1">IFERROR(__xludf.DUMMYFUNCTION("""COMPUTED_VALUE"""),"Outside on School Property")</f>
        <v>Outside on School Property</v>
      </c>
      <c r="Q313" s="1" t="str">
        <f ca="1">IFERROR(__xludf.DUMMYFUNCTION("""COMPUTED_VALUE"""),"No")</f>
        <v>No</v>
      </c>
      <c r="R313" s="1" t="str">
        <f ca="1">IFERROR(__xludf.DUMMYFUNCTION("""COMPUTED_VALUE"""),"Night")</f>
        <v>Night</v>
      </c>
      <c r="S313" s="5">
        <f ca="1">IFERROR(__xludf.DUMMYFUNCTION("""COMPUTED_VALUE"""),0.152777777777777)</f>
        <v>0.15277777777777701</v>
      </c>
      <c r="T313" s="1">
        <f ca="1">IFERROR(__xludf.DUMMYFUNCTION("""COMPUTED_VALUE"""),1)</f>
        <v>1</v>
      </c>
      <c r="U313" s="1" t="str">
        <f ca="1">IFERROR(__xludf.DUMMYFUNCTION("""COMPUTED_VALUE"""),"Multiple doors and windows of the school were shot")</f>
        <v>Multiple doors and windows of the school were shot</v>
      </c>
      <c r="V313" s="1" t="str">
        <f ca="1">IFERROR(__xludf.DUMMYFUNCTION("""COMPUTED_VALUE"""),"Multiple doors and windows of the school were shot. Police say the school was specifically targeted. No injuries.")</f>
        <v>Multiple doors and windows of the school were shot. Police say the school was specifically targeted. No injuries.</v>
      </c>
      <c r="W313" s="1" t="str">
        <f ca="1">IFERROR(__xludf.DUMMYFUNCTION("""COMPUTED_VALUE"""),"Intentional Property Damage")</f>
        <v>Intentional Property Damage</v>
      </c>
      <c r="X313" s="1" t="str">
        <f ca="1">IFERROR(__xludf.DUMMYFUNCTION("""COMPUTED_VALUE"""),"Neither")</f>
        <v>Neither</v>
      </c>
      <c r="Y313" s="1"/>
      <c r="Z313" s="1"/>
      <c r="AA313" s="1" t="str">
        <f ca="1">IFERROR(__xludf.DUMMYFUNCTION("""COMPUTED_VALUE"""),"No")</f>
        <v>No</v>
      </c>
      <c r="AB313" s="1" t="str">
        <f ca="1">IFERROR(__xludf.DUMMYFUNCTION("""COMPUTED_VALUE"""),"No")</f>
        <v>No</v>
      </c>
      <c r="AC313" s="1" t="str">
        <f ca="1">IFERROR(__xludf.DUMMYFUNCTION("""COMPUTED_VALUE"""),"No")</f>
        <v>No</v>
      </c>
      <c r="AD313" s="1" t="str">
        <f ca="1">IFERROR(__xludf.DUMMYFUNCTION("""COMPUTED_VALUE"""),"No")</f>
        <v>No</v>
      </c>
      <c r="AE313" s="1" t="str">
        <f ca="1">IFERROR(__xludf.DUMMYFUNCTION("""COMPUTED_VALUE"""),"No")</f>
        <v>No</v>
      </c>
      <c r="AF313" s="1"/>
      <c r="AG313" s="1" t="str">
        <f ca="1">IFERROR(__xludf.DUMMYFUNCTION("""COMPUTED_VALUE"""),"No")</f>
        <v>No</v>
      </c>
      <c r="AH313" s="1">
        <f ca="1">IFERROR(__xludf.DUMMYFUNCTION("""COMPUTED_VALUE"""),99)</f>
        <v>99</v>
      </c>
    </row>
    <row r="314" spans="1:34" ht="12.5">
      <c r="A314" s="1" t="str">
        <f ca="1">IFERROR(__xludf.DUMMYFUNCTION("""COMPUTED_VALUE"""),"20230425CAKIL")</f>
        <v>20230425CAKIL</v>
      </c>
      <c r="B314" s="1">
        <f ca="1">IFERROR(__xludf.DUMMYFUNCTION("""COMPUTED_VALUE"""),4)</f>
        <v>4</v>
      </c>
      <c r="C314" s="1">
        <f ca="1">IFERROR(__xludf.DUMMYFUNCTION("""COMPUTED_VALUE"""),25)</f>
        <v>25</v>
      </c>
      <c r="D314" s="1">
        <f ca="1">IFERROR(__xludf.DUMMYFUNCTION("""COMPUTED_VALUE"""),2023)</f>
        <v>2023</v>
      </c>
      <c r="E314" s="4">
        <f ca="1">IFERROR(__xludf.DUMMYFUNCTION("""COMPUTED_VALUE"""),45041)</f>
        <v>45041</v>
      </c>
      <c r="F314" s="1" t="str">
        <f ca="1">IFERROR(__xludf.DUMMYFUNCTION("""COMPUTED_VALUE"""),"King Drew Magnet High School")</f>
        <v>King Drew Magnet High School</v>
      </c>
      <c r="G314" s="1">
        <f ca="1">IFERROR(__xludf.DUMMYFUNCTION("""COMPUTED_VALUE"""),1)</f>
        <v>1</v>
      </c>
      <c r="H314" s="1">
        <f ca="1">IFERROR(__xludf.DUMMYFUNCTION("""COMPUTED_VALUE"""),0)</f>
        <v>0</v>
      </c>
      <c r="I314" s="1">
        <f ca="1">IFERROR(__xludf.DUMMYFUNCTION("""COMPUTED_VALUE"""),1)</f>
        <v>1</v>
      </c>
      <c r="J314" s="1">
        <f ca="1">IFERROR(__xludf.DUMMYFUNCTION("""COMPUTED_VALUE"""),0)</f>
        <v>0</v>
      </c>
      <c r="K314" s="1" t="str">
        <f ca="1">IFERROR(__xludf.DUMMYFUNCTION("""COMPUTED_VALUE"""),"Spring")</f>
        <v>Spring</v>
      </c>
      <c r="L314" s="1" t="str">
        <f ca="1">IFERROR(__xludf.DUMMYFUNCTION("""COMPUTED_VALUE"""),"Los Angles")</f>
        <v>Los Angles</v>
      </c>
      <c r="M314" s="1" t="str">
        <f ca="1">IFERROR(__xludf.DUMMYFUNCTION("""COMPUTED_VALUE"""),"CA")</f>
        <v>CA</v>
      </c>
      <c r="N314" s="1" t="str">
        <f ca="1">IFERROR(__xludf.DUMMYFUNCTION("""COMPUTED_VALUE"""),"High")</f>
        <v>High</v>
      </c>
      <c r="O314" s="1" t="str">
        <f ca="1">IFERROR(__xludf.DUMMYFUNCTION("""COMPUTED_VALUE"""),"Front of School")</f>
        <v>Front of School</v>
      </c>
      <c r="P314" s="1" t="str">
        <f ca="1">IFERROR(__xludf.DUMMYFUNCTION("""COMPUTED_VALUE"""),"Outside on School Property")</f>
        <v>Outside on School Property</v>
      </c>
      <c r="Q314" s="1" t="str">
        <f ca="1">IFERROR(__xludf.DUMMYFUNCTION("""COMPUTED_VALUE"""),"Yes")</f>
        <v>Yes</v>
      </c>
      <c r="R314" s="1" t="str">
        <f ca="1">IFERROR(__xludf.DUMMYFUNCTION("""COMPUTED_VALUE"""),"Morning Classes")</f>
        <v>Morning Classes</v>
      </c>
      <c r="S314" s="5">
        <f ca="1">IFERROR(__xludf.DUMMYFUNCTION("""COMPUTED_VALUE"""),0.354166666666666)</f>
        <v>0.35416666666666602</v>
      </c>
      <c r="T314" s="1">
        <f ca="1">IFERROR(__xludf.DUMMYFUNCTION("""COMPUTED_VALUE"""),1)</f>
        <v>1</v>
      </c>
      <c r="U314" s="1" t="str">
        <f ca="1">IFERROR(__xludf.DUMMYFUNCTION("""COMPUTED_VALUE"""),"Body of man who was shot in the head was found in the planters under the school's front sign")</f>
        <v>Body of man who was shot in the head was found in the planters under the school's front sign</v>
      </c>
      <c r="V314" s="1" t="str">
        <f ca="1">IFERROR(__xludf.DUMMYFUNCTION("""COMPUTED_VALUE"""),"When deputies arrived around 8:30 a.m., they found the Black male victim suffering from an apparent gunshot wound to his head, according to the Los Angeles County Sheriff’s Department. He was pronounced dead at the scene. Sky5 footage showed the victim wa"&amp;"s found in a planter on campus, directly below a sign for the magnet school, which is part of the Los Angeles Unified School District.")</f>
        <v>When deputies arrived around 8:30 a.m., they found the Black male victim suffering from an apparent gunshot wound to his head, according to the Los Angeles County Sheriff’s Department. He was pronounced dead at the scene. Sky5 footage showed the victim was found in a planter on campus, directly below a sign for the magnet school, which is part of the Los Angeles Unified School District.</v>
      </c>
      <c r="W314" s="1"/>
      <c r="X314" s="1" t="str">
        <f ca="1">IFERROR(__xludf.DUMMYFUNCTION("""COMPUTED_VALUE"""),"Victims Targeted")</f>
        <v>Victims Targeted</v>
      </c>
      <c r="Y314" s="1"/>
      <c r="Z314" s="1"/>
      <c r="AA314" s="1" t="str">
        <f ca="1">IFERROR(__xludf.DUMMYFUNCTION("""COMPUTED_VALUE"""),"No")</f>
        <v>No</v>
      </c>
      <c r="AB314" s="1" t="str">
        <f ca="1">IFERROR(__xludf.DUMMYFUNCTION("""COMPUTED_VALUE"""),"No")</f>
        <v>No</v>
      </c>
      <c r="AC314" s="1" t="str">
        <f ca="1">IFERROR(__xludf.DUMMYFUNCTION("""COMPUTED_VALUE"""),"No")</f>
        <v>No</v>
      </c>
      <c r="AD314" s="1" t="str">
        <f ca="1">IFERROR(__xludf.DUMMYFUNCTION("""COMPUTED_VALUE"""),"No")</f>
        <v>No</v>
      </c>
      <c r="AE314" s="1" t="str">
        <f ca="1">IFERROR(__xludf.DUMMYFUNCTION("""COMPUTED_VALUE"""),"No")</f>
        <v>No</v>
      </c>
      <c r="AF314" s="1"/>
      <c r="AG314" s="1" t="str">
        <f ca="1">IFERROR(__xludf.DUMMYFUNCTION("""COMPUTED_VALUE"""),"No")</f>
        <v>No</v>
      </c>
      <c r="AH314" s="1">
        <f ca="1">IFERROR(__xludf.DUMMYFUNCTION("""COMPUTED_VALUE"""),99)</f>
        <v>99</v>
      </c>
    </row>
    <row r="315" spans="1:34" ht="12.5">
      <c r="A315" s="1" t="str">
        <f ca="1">IFERROR(__xludf.DUMMYFUNCTION("""COMPUTED_VALUE"""),"20230423VAJOD")</f>
        <v>20230423VAJOD</v>
      </c>
      <c r="B315" s="1">
        <f ca="1">IFERROR(__xludf.DUMMYFUNCTION("""COMPUTED_VALUE"""),4)</f>
        <v>4</v>
      </c>
      <c r="C315" s="1">
        <f ca="1">IFERROR(__xludf.DUMMYFUNCTION("""COMPUTED_VALUE"""),23)</f>
        <v>23</v>
      </c>
      <c r="D315" s="1">
        <f ca="1">IFERROR(__xludf.DUMMYFUNCTION("""COMPUTED_VALUE"""),2023)</f>
        <v>2023</v>
      </c>
      <c r="E315" s="4">
        <f ca="1">IFERROR(__xludf.DUMMYFUNCTION("""COMPUTED_VALUE"""),45039)</f>
        <v>45039</v>
      </c>
      <c r="F315" s="1" t="str">
        <f ca="1">IFERROR(__xludf.DUMMYFUNCTION("""COMPUTED_VALUE"""),"Johnson Elementary School")</f>
        <v>Johnson Elementary School</v>
      </c>
      <c r="G315" s="1">
        <f ca="1">IFERROR(__xludf.DUMMYFUNCTION("""COMPUTED_VALUE"""),0)</f>
        <v>0</v>
      </c>
      <c r="H315" s="1">
        <f ca="1">IFERROR(__xludf.DUMMYFUNCTION("""COMPUTED_VALUE"""),0)</f>
        <v>0</v>
      </c>
      <c r="I315" s="1">
        <f ca="1">IFERROR(__xludf.DUMMYFUNCTION("""COMPUTED_VALUE"""),0)</f>
        <v>0</v>
      </c>
      <c r="J315" s="1">
        <f ca="1">IFERROR(__xludf.DUMMYFUNCTION("""COMPUTED_VALUE"""),0)</f>
        <v>0</v>
      </c>
      <c r="K315" s="1" t="str">
        <f ca="1">IFERROR(__xludf.DUMMYFUNCTION("""COMPUTED_VALUE"""),"Spring")</f>
        <v>Spring</v>
      </c>
      <c r="L315" s="1" t="str">
        <f ca="1">IFERROR(__xludf.DUMMYFUNCTION("""COMPUTED_VALUE"""),"Danville")</f>
        <v>Danville</v>
      </c>
      <c r="M315" s="1" t="str">
        <f ca="1">IFERROR(__xludf.DUMMYFUNCTION("""COMPUTED_VALUE"""),"VA")</f>
        <v>VA</v>
      </c>
      <c r="N315" s="1" t="str">
        <f ca="1">IFERROR(__xludf.DUMMYFUNCTION("""COMPUTED_VALUE"""),"Elementary")</f>
        <v>Elementary</v>
      </c>
      <c r="O315" s="1" t="str">
        <f ca="1">IFERROR(__xludf.DUMMYFUNCTION("""COMPUTED_VALUE"""),"Basketball Court")</f>
        <v>Basketball Court</v>
      </c>
      <c r="P315" s="1" t="str">
        <f ca="1">IFERROR(__xludf.DUMMYFUNCTION("""COMPUTED_VALUE"""),"Outside on School Property")</f>
        <v>Outside on School Property</v>
      </c>
      <c r="Q315" s="1" t="str">
        <f ca="1">IFERROR(__xludf.DUMMYFUNCTION("""COMPUTED_VALUE"""),"No")</f>
        <v>No</v>
      </c>
      <c r="R315" s="1" t="str">
        <f ca="1">IFERROR(__xludf.DUMMYFUNCTION("""COMPUTED_VALUE"""),"Not a School Day")</f>
        <v>Not a School Day</v>
      </c>
      <c r="S315" s="5">
        <f ca="1">IFERROR(__xludf.DUMMYFUNCTION("""COMPUTED_VALUE"""),0.763888888888888)</f>
        <v>0.76388888888888795</v>
      </c>
      <c r="T315" s="1">
        <f ca="1">IFERROR(__xludf.DUMMYFUNCTION("""COMPUTED_VALUE"""),1)</f>
        <v>1</v>
      </c>
      <c r="U315" s="1" t="str">
        <f ca="1">IFERROR(__xludf.DUMMYFUNCTION("""COMPUTED_VALUE"""),"Shots fired on basketball court")</f>
        <v>Shots fired on basketball court</v>
      </c>
      <c r="V315" s="1" t="str">
        <f ca="1">IFERROR(__xludf.DUMMYFUNCTION("""COMPUTED_VALUE"""),"Shots fired during altercation on the basketball court. Shooter fled before police arrived.")</f>
        <v>Shots fired during altercation on the basketball court. Shooter fled before police arrived.</v>
      </c>
      <c r="W315" s="1" t="str">
        <f ca="1">IFERROR(__xludf.DUMMYFUNCTION("""COMPUTED_VALUE"""),"Escalation of Dispute")</f>
        <v>Escalation of Dispute</v>
      </c>
      <c r="X315" s="1" t="str">
        <f ca="1">IFERROR(__xludf.DUMMYFUNCTION("""COMPUTED_VALUE"""),"Victims Targeted")</f>
        <v>Victims Targeted</v>
      </c>
      <c r="Y315" s="1" t="str">
        <f ca="1">IFERROR(__xludf.DUMMYFUNCTION("""COMPUTED_VALUE"""),"No")</f>
        <v>No</v>
      </c>
      <c r="Z315" s="1"/>
      <c r="AA315" s="1" t="str">
        <f ca="1">IFERROR(__xludf.DUMMYFUNCTION("""COMPUTED_VALUE"""),"No")</f>
        <v>No</v>
      </c>
      <c r="AB315" s="1" t="str">
        <f ca="1">IFERROR(__xludf.DUMMYFUNCTION("""COMPUTED_VALUE"""),"No")</f>
        <v>No</v>
      </c>
      <c r="AC315" s="1" t="str">
        <f ca="1">IFERROR(__xludf.DUMMYFUNCTION("""COMPUTED_VALUE"""),"No")</f>
        <v>No</v>
      </c>
      <c r="AD315" s="1" t="str">
        <f ca="1">IFERROR(__xludf.DUMMYFUNCTION("""COMPUTED_VALUE"""),"No")</f>
        <v>No</v>
      </c>
      <c r="AE315" s="1" t="str">
        <f ca="1">IFERROR(__xludf.DUMMYFUNCTION("""COMPUTED_VALUE"""),"No")</f>
        <v>No</v>
      </c>
      <c r="AF315" s="1"/>
      <c r="AG315" s="1" t="str">
        <f ca="1">IFERROR(__xludf.DUMMYFUNCTION("""COMPUTED_VALUE"""),"No")</f>
        <v>No</v>
      </c>
      <c r="AH315" s="1">
        <f ca="1">IFERROR(__xludf.DUMMYFUNCTION("""COMPUTED_VALUE"""),99)</f>
        <v>99</v>
      </c>
    </row>
    <row r="316" spans="1:34" ht="12.5">
      <c r="A316" s="1" t="str">
        <f ca="1">IFERROR(__xludf.DUMMYFUNCTION("""COMPUTED_VALUE"""),"20230420ARLIL")</f>
        <v>20230420ARLIL</v>
      </c>
      <c r="B316" s="1">
        <f ca="1">IFERROR(__xludf.DUMMYFUNCTION("""COMPUTED_VALUE"""),4)</f>
        <v>4</v>
      </c>
      <c r="C316" s="1">
        <f ca="1">IFERROR(__xludf.DUMMYFUNCTION("""COMPUTED_VALUE"""),20)</f>
        <v>20</v>
      </c>
      <c r="D316" s="1">
        <f ca="1">IFERROR(__xludf.DUMMYFUNCTION("""COMPUTED_VALUE"""),2023)</f>
        <v>2023</v>
      </c>
      <c r="E316" s="4">
        <f ca="1">IFERROR(__xludf.DUMMYFUNCTION("""COMPUTED_VALUE"""),45036)</f>
        <v>45036</v>
      </c>
      <c r="F316" s="1" t="str">
        <f ca="1">IFERROR(__xludf.DUMMYFUNCTION("""COMPUTED_VALUE"""),"Little Rock Central High")</f>
        <v>Little Rock Central High</v>
      </c>
      <c r="G316" s="1">
        <f ca="1">IFERROR(__xludf.DUMMYFUNCTION("""COMPUTED_VALUE"""),0)</f>
        <v>0</v>
      </c>
      <c r="H316" s="1">
        <f ca="1">IFERROR(__xludf.DUMMYFUNCTION("""COMPUTED_VALUE"""),0)</f>
        <v>0</v>
      </c>
      <c r="I316" s="1">
        <f ca="1">IFERROR(__xludf.DUMMYFUNCTION("""COMPUTED_VALUE"""),0)</f>
        <v>0</v>
      </c>
      <c r="J316" s="1">
        <f ca="1">IFERROR(__xludf.DUMMYFUNCTION("""COMPUTED_VALUE"""),0)</f>
        <v>0</v>
      </c>
      <c r="K316" s="1" t="str">
        <f ca="1">IFERROR(__xludf.DUMMYFUNCTION("""COMPUTED_VALUE"""),"Spring")</f>
        <v>Spring</v>
      </c>
      <c r="L316" s="1" t="str">
        <f ca="1">IFERROR(__xludf.DUMMYFUNCTION("""COMPUTED_VALUE"""),"Little Rock")</f>
        <v>Little Rock</v>
      </c>
      <c r="M316" s="1" t="str">
        <f ca="1">IFERROR(__xludf.DUMMYFUNCTION("""COMPUTED_VALUE"""),"AR")</f>
        <v>AR</v>
      </c>
      <c r="N316" s="1" t="str">
        <f ca="1">IFERROR(__xludf.DUMMYFUNCTION("""COMPUTED_VALUE"""),"High")</f>
        <v>High</v>
      </c>
      <c r="O316" s="1" t="str">
        <f ca="1">IFERROR(__xludf.DUMMYFUNCTION("""COMPUTED_VALUE"""),"Beside Building")</f>
        <v>Beside Building</v>
      </c>
      <c r="P316" s="1" t="str">
        <f ca="1">IFERROR(__xludf.DUMMYFUNCTION("""COMPUTED_VALUE"""),"Outside on School Property")</f>
        <v>Outside on School Property</v>
      </c>
      <c r="Q316" s="1" t="str">
        <f ca="1">IFERROR(__xludf.DUMMYFUNCTION("""COMPUTED_VALUE"""),"Yes")</f>
        <v>Yes</v>
      </c>
      <c r="R316" s="1" t="str">
        <f ca="1">IFERROR(__xludf.DUMMYFUNCTION("""COMPUTED_VALUE"""),"Morning Classes")</f>
        <v>Morning Classes</v>
      </c>
      <c r="S316" s="5">
        <f ca="1">IFERROR(__xludf.DUMMYFUNCTION("""COMPUTED_VALUE"""),0.479166666666666)</f>
        <v>0.47916666666666602</v>
      </c>
      <c r="T316" s="1">
        <f ca="1">IFERROR(__xludf.DUMMYFUNCTION("""COMPUTED_VALUE"""),1)</f>
        <v>1</v>
      </c>
      <c r="U316" s="1" t="str">
        <f ca="1">IFERROR(__xludf.DUMMYFUNCTION("""COMPUTED_VALUE"""),"Shots fired beside school building")</f>
        <v>Shots fired beside school building</v>
      </c>
      <c r="V316" s="1" t="str">
        <f ca="1">IFERROR(__xludf.DUMMYFUNCTION("""COMPUTED_VALUE"""),"Shots fired beside the school building. School went on lockdown. Shooter fled and was not arrested.")</f>
        <v>Shots fired beside the school building. School went on lockdown. Shooter fled and was not arrested.</v>
      </c>
      <c r="W316" s="1"/>
      <c r="X316" s="1"/>
      <c r="Y316" s="1" t="str">
        <f ca="1">IFERROR(__xludf.DUMMYFUNCTION("""COMPUTED_VALUE"""),"No")</f>
        <v>No</v>
      </c>
      <c r="Z316" s="1"/>
      <c r="AA316" s="1" t="str">
        <f ca="1">IFERROR(__xludf.DUMMYFUNCTION("""COMPUTED_VALUE"""),"No")</f>
        <v>No</v>
      </c>
      <c r="AB316" s="1" t="str">
        <f ca="1">IFERROR(__xludf.DUMMYFUNCTION("""COMPUTED_VALUE"""),"No")</f>
        <v>No</v>
      </c>
      <c r="AC316" s="1" t="str">
        <f ca="1">IFERROR(__xludf.DUMMYFUNCTION("""COMPUTED_VALUE"""),"No")</f>
        <v>No</v>
      </c>
      <c r="AD316" s="1" t="str">
        <f ca="1">IFERROR(__xludf.DUMMYFUNCTION("""COMPUTED_VALUE"""),"No")</f>
        <v>No</v>
      </c>
      <c r="AE316" s="1" t="str">
        <f ca="1">IFERROR(__xludf.DUMMYFUNCTION("""COMPUTED_VALUE"""),"No")</f>
        <v>No</v>
      </c>
      <c r="AF316" s="1"/>
      <c r="AG316" s="1" t="str">
        <f ca="1">IFERROR(__xludf.DUMMYFUNCTION("""COMPUTED_VALUE"""),"No")</f>
        <v>No</v>
      </c>
      <c r="AH316" s="1">
        <f ca="1">IFERROR(__xludf.DUMMYFUNCTION("""COMPUTED_VALUE"""),99)</f>
        <v>99</v>
      </c>
    </row>
    <row r="317" spans="1:34" ht="12.5">
      <c r="A317" s="1" t="str">
        <f ca="1">IFERROR(__xludf.DUMMYFUNCTION("""COMPUTED_VALUE"""),"20230419FLFOA")</f>
        <v>20230419FLFOA</v>
      </c>
      <c r="B317" s="1">
        <f ca="1">IFERROR(__xludf.DUMMYFUNCTION("""COMPUTED_VALUE"""),4)</f>
        <v>4</v>
      </c>
      <c r="C317" s="1">
        <f ca="1">IFERROR(__xludf.DUMMYFUNCTION("""COMPUTED_VALUE"""),19)</f>
        <v>19</v>
      </c>
      <c r="D317" s="1">
        <f ca="1">IFERROR(__xludf.DUMMYFUNCTION("""COMPUTED_VALUE"""),2023)</f>
        <v>2023</v>
      </c>
      <c r="E317" s="4">
        <f ca="1">IFERROR(__xludf.DUMMYFUNCTION("""COMPUTED_VALUE"""),45035)</f>
        <v>45035</v>
      </c>
      <c r="F317" s="1" t="str">
        <f ca="1">IFERROR(__xludf.DUMMYFUNCTION("""COMPUTED_VALUE"""),"Forest City Elementary School")</f>
        <v>Forest City Elementary School</v>
      </c>
      <c r="G317" s="1">
        <f ca="1">IFERROR(__xludf.DUMMYFUNCTION("""COMPUTED_VALUE"""),0)</f>
        <v>0</v>
      </c>
      <c r="H317" s="1">
        <f ca="1">IFERROR(__xludf.DUMMYFUNCTION("""COMPUTED_VALUE"""),0)</f>
        <v>0</v>
      </c>
      <c r="I317" s="1">
        <f ca="1">IFERROR(__xludf.DUMMYFUNCTION("""COMPUTED_VALUE"""),0)</f>
        <v>0</v>
      </c>
      <c r="J317" s="1">
        <f ca="1">IFERROR(__xludf.DUMMYFUNCTION("""COMPUTED_VALUE"""),0)</f>
        <v>0</v>
      </c>
      <c r="K317" s="1" t="str">
        <f ca="1">IFERROR(__xludf.DUMMYFUNCTION("""COMPUTED_VALUE"""),"Spring")</f>
        <v>Spring</v>
      </c>
      <c r="L317" s="1" t="str">
        <f ca="1">IFERROR(__xludf.DUMMYFUNCTION("""COMPUTED_VALUE"""),"Altamonte Springs")</f>
        <v>Altamonte Springs</v>
      </c>
      <c r="M317" s="1" t="str">
        <f ca="1">IFERROR(__xludf.DUMMYFUNCTION("""COMPUTED_VALUE"""),"FL")</f>
        <v>FL</v>
      </c>
      <c r="N317" s="1" t="str">
        <f ca="1">IFERROR(__xludf.DUMMYFUNCTION("""COMPUTED_VALUE"""),"Elementary")</f>
        <v>Elementary</v>
      </c>
      <c r="O317" s="1" t="str">
        <f ca="1">IFERROR(__xludf.DUMMYFUNCTION("""COMPUTED_VALUE"""),"Parking Lot")</f>
        <v>Parking Lot</v>
      </c>
      <c r="P317" s="1" t="str">
        <f ca="1">IFERROR(__xludf.DUMMYFUNCTION("""COMPUTED_VALUE"""),"Outside on School Property")</f>
        <v>Outside on School Property</v>
      </c>
      <c r="Q317" s="1" t="str">
        <f ca="1">IFERROR(__xludf.DUMMYFUNCTION("""COMPUTED_VALUE"""),"Yes")</f>
        <v>Yes</v>
      </c>
      <c r="R317" s="1" t="str">
        <f ca="1">IFERROR(__xludf.DUMMYFUNCTION("""COMPUTED_VALUE"""),"Dismissal")</f>
        <v>Dismissal</v>
      </c>
      <c r="S317" s="5">
        <f ca="1">IFERROR(__xludf.DUMMYFUNCTION("""COMPUTED_VALUE"""),0.625)</f>
        <v>0.625</v>
      </c>
      <c r="T317" s="1">
        <f ca="1">IFERROR(__xludf.DUMMYFUNCTION("""COMPUTED_VALUE"""),1)</f>
        <v>1</v>
      </c>
      <c r="U317" s="1" t="str">
        <f ca="1">IFERROR(__xludf.DUMMYFUNCTION("""COMPUTED_VALUE"""),"Parent pulled gun and threatened to kill another parent during pickup line dispute")</f>
        <v>Parent pulled gun and threatened to kill another parent during pickup line dispute</v>
      </c>
      <c r="V317" s="1" t="str">
        <f ca="1">IFERROR(__xludf.DUMMYFUNCTION("""COMPUTED_VALUE"""),"Police arrested Vincent Rosa at Forest City Elementary School in Altamonte Springs after he allegedly waved a gun at another person and threatened to kill him during a road rage incident near the school. The school's assistant principal told officers that"&amp;" the driver of a minivan approached her near the end of the bus loop used for school dismal alleging that a man in a Ford Flex pulled a gun on him shortly after 3 p.m., according to an arrest affidavit. The driver of the minivan said he had stopped at an "&amp;"intersection with a ""No turn on red"" signage when he noticed Rosa behind him ""appearing to be upset and yelling inside their vehicle."" As the driver began to turn into the school, he reportedly saw Rosa holding a black bulky object in his hand that ap"&amp;"peared to be a gun. He also heard Rosa yelling that he was ""going to kill him,"" arrest records show. When interviewed by police, Vincent said the minivan driver angered him, and he told the driver he was going to shoot him. Rosa was placed under arrest "&amp;"for exhibiting a weapon within 1,000 feet of a school and aggravated assault with intent to commit a felony. ")</f>
        <v xml:space="preserve">Police arrested Vincent Rosa at Forest City Elementary School in Altamonte Springs after he allegedly waved a gun at another person and threatened to kill him during a road rage incident near the school. The school's assistant principal told officers that the driver of a minivan approached her near the end of the bus loop used for school dismal alleging that a man in a Ford Flex pulled a gun on him shortly after 3 p.m., according to an arrest affidavit. The driver of the minivan said he had stopped at an intersection with a "No turn on red" signage when he noticed Rosa behind him "appearing to be upset and yelling inside their vehicle." As the driver began to turn into the school, he reportedly saw Rosa holding a black bulky object in his hand that appeared to be a gun. He also heard Rosa yelling that he was "going to kill him," arrest records show. When interviewed by police, Vincent said the minivan driver angered him, and he told the driver he was going to shoot him. Rosa was placed under arrest for exhibiting a weapon within 1,000 feet of a school and aggravated assault with intent to commit a felony. </v>
      </c>
      <c r="W317" s="1" t="str">
        <f ca="1">IFERROR(__xludf.DUMMYFUNCTION("""COMPUTED_VALUE"""),"Escalation of Dispute")</f>
        <v>Escalation of Dispute</v>
      </c>
      <c r="X317" s="1" t="str">
        <f ca="1">IFERROR(__xludf.DUMMYFUNCTION("""COMPUTED_VALUE"""),"Victims Targeted")</f>
        <v>Victims Targeted</v>
      </c>
      <c r="Y317" s="1" t="str">
        <f ca="1">IFERROR(__xludf.DUMMYFUNCTION("""COMPUTED_VALUE"""),"No")</f>
        <v>No</v>
      </c>
      <c r="Z317" s="1"/>
      <c r="AA317" s="1" t="str">
        <f ca="1">IFERROR(__xludf.DUMMYFUNCTION("""COMPUTED_VALUE"""),"No")</f>
        <v>No</v>
      </c>
      <c r="AB317" s="1" t="str">
        <f ca="1">IFERROR(__xludf.DUMMYFUNCTION("""COMPUTED_VALUE"""),"No")</f>
        <v>No</v>
      </c>
      <c r="AC317" s="1" t="str">
        <f ca="1">IFERROR(__xludf.DUMMYFUNCTION("""COMPUTED_VALUE"""),"No")</f>
        <v>No</v>
      </c>
      <c r="AD317" s="1" t="str">
        <f ca="1">IFERROR(__xludf.DUMMYFUNCTION("""COMPUTED_VALUE"""),"No")</f>
        <v>No</v>
      </c>
      <c r="AE317" s="1" t="str">
        <f ca="1">IFERROR(__xludf.DUMMYFUNCTION("""COMPUTED_VALUE"""),"No")</f>
        <v>No</v>
      </c>
      <c r="AF317" s="1" t="str">
        <f ca="1">IFERROR(__xludf.DUMMYFUNCTION("""COMPUTED_VALUE"""),"No")</f>
        <v>No</v>
      </c>
      <c r="AG317" s="1" t="str">
        <f ca="1">IFERROR(__xludf.DUMMYFUNCTION("""COMPUTED_VALUE"""),"No")</f>
        <v>No</v>
      </c>
      <c r="AH317" s="1">
        <f ca="1">IFERROR(__xludf.DUMMYFUNCTION("""COMPUTED_VALUE"""),0)</f>
        <v>0</v>
      </c>
    </row>
    <row r="318" spans="1:34" ht="12.5">
      <c r="A318" s="1" t="str">
        <f ca="1">IFERROR(__xludf.DUMMYFUNCTION("""COMPUTED_VALUE"""),"20230418TXRIH")</f>
        <v>20230418TXRIH</v>
      </c>
      <c r="B318" s="1">
        <f ca="1">IFERROR(__xludf.DUMMYFUNCTION("""COMPUTED_VALUE"""),4)</f>
        <v>4</v>
      </c>
      <c r="C318" s="1">
        <f ca="1">IFERROR(__xludf.DUMMYFUNCTION("""COMPUTED_VALUE"""),18)</f>
        <v>18</v>
      </c>
      <c r="D318" s="1">
        <f ca="1">IFERROR(__xludf.DUMMYFUNCTION("""COMPUTED_VALUE"""),2023)</f>
        <v>2023</v>
      </c>
      <c r="E318" s="4">
        <f ca="1">IFERROR(__xludf.DUMMYFUNCTION("""COMPUTED_VALUE"""),45034)</f>
        <v>45034</v>
      </c>
      <c r="F318" s="1" t="str">
        <f ca="1">IFERROR(__xludf.DUMMYFUNCTION("""COMPUTED_VALUE"""),"Ridgemont Elementary School")</f>
        <v>Ridgemont Elementary School</v>
      </c>
      <c r="G318" s="1">
        <f ca="1">IFERROR(__xludf.DUMMYFUNCTION("""COMPUTED_VALUE"""),1)</f>
        <v>1</v>
      </c>
      <c r="H318" s="1">
        <f ca="1">IFERROR(__xludf.DUMMYFUNCTION("""COMPUTED_VALUE"""),1)</f>
        <v>1</v>
      </c>
      <c r="I318" s="1">
        <f ca="1">IFERROR(__xludf.DUMMYFUNCTION("""COMPUTED_VALUE"""),2)</f>
        <v>2</v>
      </c>
      <c r="J318" s="1">
        <f ca="1">IFERROR(__xludf.DUMMYFUNCTION("""COMPUTED_VALUE"""),0)</f>
        <v>0</v>
      </c>
      <c r="K318" s="1" t="str">
        <f ca="1">IFERROR(__xludf.DUMMYFUNCTION("""COMPUTED_VALUE"""),"Spring")</f>
        <v>Spring</v>
      </c>
      <c r="L318" s="1" t="str">
        <f ca="1">IFERROR(__xludf.DUMMYFUNCTION("""COMPUTED_VALUE"""),"Houston")</f>
        <v>Houston</v>
      </c>
      <c r="M318" s="1" t="str">
        <f ca="1">IFERROR(__xludf.DUMMYFUNCTION("""COMPUTED_VALUE"""),"TX")</f>
        <v>TX</v>
      </c>
      <c r="N318" s="1" t="str">
        <f ca="1">IFERROR(__xludf.DUMMYFUNCTION("""COMPUTED_VALUE"""),"Elementary")</f>
        <v>Elementary</v>
      </c>
      <c r="O318" s="1" t="str">
        <f ca="1">IFERROR(__xludf.DUMMYFUNCTION("""COMPUTED_VALUE"""),"Parking Lot")</f>
        <v>Parking Lot</v>
      </c>
      <c r="P318" s="1" t="str">
        <f ca="1">IFERROR(__xludf.DUMMYFUNCTION("""COMPUTED_VALUE"""),"Outside on School Property")</f>
        <v>Outside on School Property</v>
      </c>
      <c r="Q318" s="1" t="str">
        <f ca="1">IFERROR(__xludf.DUMMYFUNCTION("""COMPUTED_VALUE"""),"No")</f>
        <v>No</v>
      </c>
      <c r="R318" s="1" t="str">
        <f ca="1">IFERROR(__xludf.DUMMYFUNCTION("""COMPUTED_VALUE"""),"Evening")</f>
        <v>Evening</v>
      </c>
      <c r="S318" s="5">
        <f ca="1">IFERROR(__xludf.DUMMYFUNCTION("""COMPUTED_VALUE"""),0.854166666666666)</f>
        <v>0.85416666666666596</v>
      </c>
      <c r="T318" s="1">
        <f ca="1">IFERROR(__xludf.DUMMYFUNCTION("""COMPUTED_VALUE"""),1)</f>
        <v>1</v>
      </c>
      <c r="U318" s="1" t="str">
        <f ca="1">IFERROR(__xludf.DUMMYFUNCTION("""COMPUTED_VALUE"""),"Man fatally shot and woman wounded in front of school")</f>
        <v>Man fatally shot and woman wounded in front of school</v>
      </c>
      <c r="V318" s="1" t="str">
        <f ca="1">IFERROR(__xludf.DUMMYFUNCTION("""COMPUTED_VALUE"""),"A man is dead and a woman is hurt after a shooting in the parking lot of an elementary school in southwest Houston Tuesday night. On Wednesday, parents at Fort Bend ISD's Ridgemont Elementary School will drop off students just feet from where a man was ki"&amp;"lled. Officials said Houston police and Fort Bend ISD police responded to the scene shortly after 8:30 p.m. ""We don't believe it was related to the school, other than it just took place in their parking lot after it was closed,"" Lt. Larry Crowson said. "&amp;"""We just believe there were several people in the parking lot of the school, which was closed, and that's when the shooting took place.""")</f>
        <v>A man is dead and a woman is hurt after a shooting in the parking lot of an elementary school in southwest Houston Tuesday night. On Wednesday, parents at Fort Bend ISD's Ridgemont Elementary School will drop off students just feet from where a man was killed. Officials said Houston police and Fort Bend ISD police responded to the scene shortly after 8:30 p.m. "We don't believe it was related to the school, other than it just took place in their parking lot after it was closed," Lt. Larry Crowson said. "We just believe there were several people in the parking lot of the school, which was closed, and that's when the shooting took place."</v>
      </c>
      <c r="W318" s="1"/>
      <c r="X318" s="1" t="str">
        <f ca="1">IFERROR(__xludf.DUMMYFUNCTION("""COMPUTED_VALUE"""),"Victims Targeted")</f>
        <v>Victims Targeted</v>
      </c>
      <c r="Y318" s="1"/>
      <c r="Z318" s="1"/>
      <c r="AA318" s="1" t="str">
        <f ca="1">IFERROR(__xludf.DUMMYFUNCTION("""COMPUTED_VALUE"""),"No")</f>
        <v>No</v>
      </c>
      <c r="AB318" s="1" t="str">
        <f ca="1">IFERROR(__xludf.DUMMYFUNCTION("""COMPUTED_VALUE"""),"No")</f>
        <v>No</v>
      </c>
      <c r="AC318" s="1" t="str">
        <f ca="1">IFERROR(__xludf.DUMMYFUNCTION("""COMPUTED_VALUE"""),"No")</f>
        <v>No</v>
      </c>
      <c r="AD318" s="1" t="str">
        <f ca="1">IFERROR(__xludf.DUMMYFUNCTION("""COMPUTED_VALUE"""),"No")</f>
        <v>No</v>
      </c>
      <c r="AE318" s="1"/>
      <c r="AF318" s="1"/>
      <c r="AG318" s="1" t="str">
        <f ca="1">IFERROR(__xludf.DUMMYFUNCTION("""COMPUTED_VALUE"""),"No")</f>
        <v>No</v>
      </c>
      <c r="AH318" s="1">
        <f ca="1">IFERROR(__xludf.DUMMYFUNCTION("""COMPUTED_VALUE"""),99)</f>
        <v>99</v>
      </c>
    </row>
    <row r="319" spans="1:34" ht="12.5">
      <c r="A319" s="1" t="str">
        <f ca="1">IFERROR(__xludf.DUMMYFUNCTION("""COMPUTED_VALUE"""),"20230417LASON")</f>
        <v>20230417LASON</v>
      </c>
      <c r="B319" s="1">
        <f ca="1">IFERROR(__xludf.DUMMYFUNCTION("""COMPUTED_VALUE"""),4)</f>
        <v>4</v>
      </c>
      <c r="C319" s="1">
        <f ca="1">IFERROR(__xludf.DUMMYFUNCTION("""COMPUTED_VALUE"""),17)</f>
        <v>17</v>
      </c>
      <c r="D319" s="1">
        <f ca="1">IFERROR(__xludf.DUMMYFUNCTION("""COMPUTED_VALUE"""),2023)</f>
        <v>2023</v>
      </c>
      <c r="E319" s="4">
        <f ca="1">IFERROR(__xludf.DUMMYFUNCTION("""COMPUTED_VALUE"""),45033)</f>
        <v>45033</v>
      </c>
      <c r="F319" s="1" t="str">
        <f ca="1">IFERROR(__xludf.DUMMYFUNCTION("""COMPUTED_VALUE"""),"Sophie B. Wright Charter School")</f>
        <v>Sophie B. Wright Charter School</v>
      </c>
      <c r="G319" s="1">
        <f ca="1">IFERROR(__xludf.DUMMYFUNCTION("""COMPUTED_VALUE"""),0)</f>
        <v>0</v>
      </c>
      <c r="H319" s="1">
        <f ca="1">IFERROR(__xludf.DUMMYFUNCTION("""COMPUTED_VALUE"""),0)</f>
        <v>0</v>
      </c>
      <c r="I319" s="1">
        <f ca="1">IFERROR(__xludf.DUMMYFUNCTION("""COMPUTED_VALUE"""),0)</f>
        <v>0</v>
      </c>
      <c r="J319" s="1">
        <f ca="1">IFERROR(__xludf.DUMMYFUNCTION("""COMPUTED_VALUE"""),0)</f>
        <v>0</v>
      </c>
      <c r="K319" s="1" t="str">
        <f ca="1">IFERROR(__xludf.DUMMYFUNCTION("""COMPUTED_VALUE"""),"Spring")</f>
        <v>Spring</v>
      </c>
      <c r="L319" s="1" t="str">
        <f ca="1">IFERROR(__xludf.DUMMYFUNCTION("""COMPUTED_VALUE"""),"New Orleans")</f>
        <v>New Orleans</v>
      </c>
      <c r="M319" s="1" t="str">
        <f ca="1">IFERROR(__xludf.DUMMYFUNCTION("""COMPUTED_VALUE"""),"LA")</f>
        <v>LA</v>
      </c>
      <c r="N319" s="1" t="str">
        <f ca="1">IFERROR(__xludf.DUMMYFUNCTION("""COMPUTED_VALUE"""),"High")</f>
        <v>High</v>
      </c>
      <c r="O319" s="1" t="str">
        <f ca="1">IFERROR(__xludf.DUMMYFUNCTION("""COMPUTED_VALUE"""),"School Bus")</f>
        <v>School Bus</v>
      </c>
      <c r="P319" s="1" t="str">
        <f ca="1">IFERROR(__xludf.DUMMYFUNCTION("""COMPUTED_VALUE"""),"School Bus")</f>
        <v>School Bus</v>
      </c>
      <c r="Q319" s="1" t="str">
        <f ca="1">IFERROR(__xludf.DUMMYFUNCTION("""COMPUTED_VALUE"""),"Yes")</f>
        <v>Yes</v>
      </c>
      <c r="R319" s="1" t="str">
        <f ca="1">IFERROR(__xludf.DUMMYFUNCTION("""COMPUTED_VALUE"""),"Dismissal")</f>
        <v>Dismissal</v>
      </c>
      <c r="S319" s="5">
        <f ca="1">IFERROR(__xludf.DUMMYFUNCTION("""COMPUTED_VALUE"""),0.652777777777777)</f>
        <v>0.65277777777777701</v>
      </c>
      <c r="T319" s="1">
        <f ca="1">IFERROR(__xludf.DUMMYFUNCTION("""COMPUTED_VALUE"""),1)</f>
        <v>1</v>
      </c>
      <c r="U319" s="1" t="str">
        <f ca="1">IFERROR(__xludf.DUMMYFUNCTION("""COMPUTED_VALUE"""),"School bus shot multiple times while dropping off students")</f>
        <v>School bus shot multiple times while dropping off students</v>
      </c>
      <c r="V319" s="1" t="str">
        <f ca="1">IFERROR(__xludf.DUMMYFUNCTION("""COMPUTED_VALUE"""),"dropped eight students off from his school bus in Central City Monday afternoon when he heard gunshots. He yelled for his remaining passengers to get down, just as he saw through his rearview mirror that the vehicle’s back glass window had been shattered "&amp;"by a bullet. The bus, which had another 15 Sophie B. Wright High School students inside, had been shot at least twice. No one was injured, and Stewart returned to the school's Napoleon Avenue campus where parents picked up their children, the New Orleans "&amp;"Police Department confirmed Tuesday.")</f>
        <v>dropped eight students off from his school bus in Central City Monday afternoon when he heard gunshots. He yelled for his remaining passengers to get down, just as he saw through his rearview mirror that the vehicle’s back glass window had been shattered by a bullet. The bus, which had another 15 Sophie B. Wright High School students inside, had been shot at least twice. No one was injured, and Stewart returned to the school's Napoleon Avenue campus where parents picked up their children, the New Orleans Police Department confirmed Tuesday.</v>
      </c>
      <c r="W319" s="1" t="str">
        <f ca="1">IFERROR(__xludf.DUMMYFUNCTION("""COMPUTED_VALUE"""),"Drive-by Shooting")</f>
        <v>Drive-by Shooting</v>
      </c>
      <c r="X319" s="1" t="str">
        <f ca="1">IFERROR(__xludf.DUMMYFUNCTION("""COMPUTED_VALUE"""),"Both")</f>
        <v>Both</v>
      </c>
      <c r="Y319" s="1"/>
      <c r="Z319" s="1"/>
      <c r="AA319" s="1" t="str">
        <f ca="1">IFERROR(__xludf.DUMMYFUNCTION("""COMPUTED_VALUE"""),"No")</f>
        <v>No</v>
      </c>
      <c r="AB319" s="1" t="str">
        <f ca="1">IFERROR(__xludf.DUMMYFUNCTION("""COMPUTED_VALUE"""),"No")</f>
        <v>No</v>
      </c>
      <c r="AC319" s="1" t="str">
        <f ca="1">IFERROR(__xludf.DUMMYFUNCTION("""COMPUTED_VALUE"""),"No")</f>
        <v>No</v>
      </c>
      <c r="AD319" s="1" t="str">
        <f ca="1">IFERROR(__xludf.DUMMYFUNCTION("""COMPUTED_VALUE"""),"No")</f>
        <v>No</v>
      </c>
      <c r="AE319" s="1" t="str">
        <f ca="1">IFERROR(__xludf.DUMMYFUNCTION("""COMPUTED_VALUE"""),"No")</f>
        <v>No</v>
      </c>
      <c r="AF319" s="1"/>
      <c r="AG319" s="1" t="str">
        <f ca="1">IFERROR(__xludf.DUMMYFUNCTION("""COMPUTED_VALUE"""),"No")</f>
        <v>No</v>
      </c>
      <c r="AH319" s="1">
        <f ca="1">IFERROR(__xludf.DUMMYFUNCTION("""COMPUTED_VALUE"""),99)</f>
        <v>99</v>
      </c>
    </row>
    <row r="320" spans="1:34" ht="12.5">
      <c r="A320" s="1" t="str">
        <f ca="1">IFERROR(__xludf.DUMMYFUNCTION("""COMPUTED_VALUE"""),"20230414WIWAW")</f>
        <v>20230414WIWAW</v>
      </c>
      <c r="B320" s="1">
        <f ca="1">IFERROR(__xludf.DUMMYFUNCTION("""COMPUTED_VALUE"""),4)</f>
        <v>4</v>
      </c>
      <c r="C320" s="1">
        <f ca="1">IFERROR(__xludf.DUMMYFUNCTION("""COMPUTED_VALUE"""),14)</f>
        <v>14</v>
      </c>
      <c r="D320" s="1">
        <f ca="1">IFERROR(__xludf.DUMMYFUNCTION("""COMPUTED_VALUE"""),2023)</f>
        <v>2023</v>
      </c>
      <c r="E320" s="4">
        <f ca="1">IFERROR(__xludf.DUMMYFUNCTION("""COMPUTED_VALUE"""),45030)</f>
        <v>45030</v>
      </c>
      <c r="F320" s="1" t="str">
        <f ca="1">IFERROR(__xludf.DUMMYFUNCTION("""COMPUTED_VALUE"""),"Waukesha North High School")</f>
        <v>Waukesha North High School</v>
      </c>
      <c r="G320" s="1">
        <f ca="1">IFERROR(__xludf.DUMMYFUNCTION("""COMPUTED_VALUE"""),0)</f>
        <v>0</v>
      </c>
      <c r="H320" s="1">
        <f ca="1">IFERROR(__xludf.DUMMYFUNCTION("""COMPUTED_VALUE"""),0)</f>
        <v>0</v>
      </c>
      <c r="I320" s="1">
        <f ca="1">IFERROR(__xludf.DUMMYFUNCTION("""COMPUTED_VALUE"""),0)</f>
        <v>0</v>
      </c>
      <c r="J320" s="1">
        <f ca="1">IFERROR(__xludf.DUMMYFUNCTION("""COMPUTED_VALUE"""),0)</f>
        <v>0</v>
      </c>
      <c r="K320" s="1" t="str">
        <f ca="1">IFERROR(__xludf.DUMMYFUNCTION("""COMPUTED_VALUE"""),"Spring")</f>
        <v>Spring</v>
      </c>
      <c r="L320" s="1" t="str">
        <f ca="1">IFERROR(__xludf.DUMMYFUNCTION("""COMPUTED_VALUE"""),"Waukesha")</f>
        <v>Waukesha</v>
      </c>
      <c r="M320" s="1" t="str">
        <f ca="1">IFERROR(__xludf.DUMMYFUNCTION("""COMPUTED_VALUE"""),"WI")</f>
        <v>WI</v>
      </c>
      <c r="N320" s="1" t="str">
        <f ca="1">IFERROR(__xludf.DUMMYFUNCTION("""COMPUTED_VALUE"""),"High")</f>
        <v>High</v>
      </c>
      <c r="O320" s="1" t="str">
        <f ca="1">IFERROR(__xludf.DUMMYFUNCTION("""COMPUTED_VALUE"""),"Off School Property")</f>
        <v>Off School Property</v>
      </c>
      <c r="P320" s="1" t="str">
        <f ca="1">IFERROR(__xludf.DUMMYFUNCTION("""COMPUTED_VALUE"""),"Off School Property")</f>
        <v>Off School Property</v>
      </c>
      <c r="Q320" s="1" t="str">
        <f ca="1">IFERROR(__xludf.DUMMYFUNCTION("""COMPUTED_VALUE"""),"Yes")</f>
        <v>Yes</v>
      </c>
      <c r="R320" s="1" t="str">
        <f ca="1">IFERROR(__xludf.DUMMYFUNCTION("""COMPUTED_VALUE"""),"Afternoon Classes")</f>
        <v>Afternoon Classes</v>
      </c>
      <c r="S320" s="5">
        <f ca="1">IFERROR(__xludf.DUMMYFUNCTION("""COMPUTED_VALUE"""),0.540277777777777)</f>
        <v>0.54027777777777697</v>
      </c>
      <c r="T320" s="1">
        <f ca="1">IFERROR(__xludf.DUMMYFUNCTION("""COMPUTED_VALUE"""),1)</f>
        <v>1</v>
      </c>
      <c r="U320" s="1" t="str">
        <f ca="1">IFERROR(__xludf.DUMMYFUNCTION("""COMPUTED_VALUE"""),"Students saw teen with an AR-15 rifle at the edge of campus, called SRO, school went on lockdown, teen surrendered to police")</f>
        <v>Students saw teen with an AR-15 rifle at the edge of campus, called SRO, school went on lockdown, teen surrendered to police</v>
      </c>
      <c r="V320" s="1" t="str">
        <f ca="1">IFERROR(__xludf.DUMMYFUNCTION("""COMPUTED_VALUE"""),"Police on Friday afternoon arrested a 17-year-old boy who was found with a rifle near Waukesha North High School. No shots were fired and no one was injured, but the threat, reported shortly before 1 p.m., was serious enough to prompt school administrativ"&amp;"e officials to enact a safety measure to ensure students remained in the building while police searched for the suspect. It was North students who first alerted a school resource officer about the suspected gunman, which officials said contributed to the "&amp;"safe outcome and may have averted yet another mass shooting inside a U.S. school. ""It goes without saying that the training and preparation we have with the school district paid off,"" said Waukesha Police Capt. Dan Baumann, who also complimented departm"&amp;"ent personnel. ""To the officers who tenaciously investigated and kept those children safe, we sincerely thank you.""")</f>
        <v>Police on Friday afternoon arrested a 17-year-old boy who was found with a rifle near Waukesha North High School. No shots were fired and no one was injured, but the threat, reported shortly before 1 p.m., was serious enough to prompt school administrative officials to enact a safety measure to ensure students remained in the building while police searched for the suspect. It was North students who first alerted a school resource officer about the suspected gunman, which officials said contributed to the safe outcome and may have averted yet another mass shooting inside a U.S. school. "It goes without saying that the training and preparation we have with the school district paid off," said Waukesha Police Capt. Dan Baumann, who also complimented department personnel. "To the officers who tenaciously investigated and kept those children safe, we sincerely thank you."</v>
      </c>
      <c r="W320" s="1"/>
      <c r="X320" s="1"/>
      <c r="Y320" s="1" t="str">
        <f ca="1">IFERROR(__xludf.DUMMYFUNCTION("""COMPUTED_VALUE"""),"No")</f>
        <v>No</v>
      </c>
      <c r="Z320" s="1"/>
      <c r="AA320" s="1" t="str">
        <f ca="1">IFERROR(__xludf.DUMMYFUNCTION("""COMPUTED_VALUE"""),"No")</f>
        <v>No</v>
      </c>
      <c r="AB320" s="1" t="str">
        <f ca="1">IFERROR(__xludf.DUMMYFUNCTION("""COMPUTED_VALUE"""),"No")</f>
        <v>No</v>
      </c>
      <c r="AC320" s="1" t="str">
        <f ca="1">IFERROR(__xludf.DUMMYFUNCTION("""COMPUTED_VALUE"""),"No")</f>
        <v>No</v>
      </c>
      <c r="AD320" s="1"/>
      <c r="AE320" s="1" t="str">
        <f ca="1">IFERROR(__xludf.DUMMYFUNCTION("""COMPUTED_VALUE"""),"No")</f>
        <v>No</v>
      </c>
      <c r="AF320" s="1"/>
      <c r="AG320" s="1"/>
      <c r="AH320" s="1">
        <f ca="1">IFERROR(__xludf.DUMMYFUNCTION("""COMPUTED_VALUE"""),0)</f>
        <v>0</v>
      </c>
    </row>
    <row r="321" spans="1:34" ht="12.5">
      <c r="A321" s="1" t="str">
        <f ca="1">IFERROR(__xludf.DUMMYFUNCTION("""COMPUTED_VALUE"""),"20230414PAWOP")</f>
        <v>20230414PAWOP</v>
      </c>
      <c r="B321" s="1">
        <f ca="1">IFERROR(__xludf.DUMMYFUNCTION("""COMPUTED_VALUE"""),4)</f>
        <v>4</v>
      </c>
      <c r="C321" s="1">
        <f ca="1">IFERROR(__xludf.DUMMYFUNCTION("""COMPUTED_VALUE"""),14)</f>
        <v>14</v>
      </c>
      <c r="D321" s="1">
        <f ca="1">IFERROR(__xludf.DUMMYFUNCTION("""COMPUTED_VALUE"""),2023)</f>
        <v>2023</v>
      </c>
      <c r="E321" s="4">
        <f ca="1">IFERROR(__xludf.DUMMYFUNCTION("""COMPUTED_VALUE"""),45030)</f>
        <v>45030</v>
      </c>
      <c r="F321" s="1" t="str">
        <f ca="1">IFERROR(__xludf.DUMMYFUNCTION("""COMPUTED_VALUE"""),"Swissvale School Bus")</f>
        <v>Swissvale School Bus</v>
      </c>
      <c r="G321" s="1">
        <f ca="1">IFERROR(__xludf.DUMMYFUNCTION("""COMPUTED_VALUE"""),0)</f>
        <v>0</v>
      </c>
      <c r="H321" s="1">
        <f ca="1">IFERROR(__xludf.DUMMYFUNCTION("""COMPUTED_VALUE"""),0)</f>
        <v>0</v>
      </c>
      <c r="I321" s="1">
        <f ca="1">IFERROR(__xludf.DUMMYFUNCTION("""COMPUTED_VALUE"""),0)</f>
        <v>0</v>
      </c>
      <c r="J321" s="1">
        <f ca="1">IFERROR(__xludf.DUMMYFUNCTION("""COMPUTED_VALUE"""),0)</f>
        <v>0</v>
      </c>
      <c r="K321" s="1" t="str">
        <f ca="1">IFERROR(__xludf.DUMMYFUNCTION("""COMPUTED_VALUE"""),"Spring")</f>
        <v>Spring</v>
      </c>
      <c r="L321" s="1" t="str">
        <f ca="1">IFERROR(__xludf.DUMMYFUNCTION("""COMPUTED_VALUE"""),"Pittsburgh")</f>
        <v>Pittsburgh</v>
      </c>
      <c r="M321" s="1" t="str">
        <f ca="1">IFERROR(__xludf.DUMMYFUNCTION("""COMPUTED_VALUE"""),"PA")</f>
        <v>PA</v>
      </c>
      <c r="N321" s="1" t="str">
        <f ca="1">IFERROR(__xludf.DUMMYFUNCTION("""COMPUTED_VALUE"""),"K-12")</f>
        <v>K-12</v>
      </c>
      <c r="O321" s="1" t="str">
        <f ca="1">IFERROR(__xludf.DUMMYFUNCTION("""COMPUTED_VALUE"""),"School Bus")</f>
        <v>School Bus</v>
      </c>
      <c r="P321" s="1" t="str">
        <f ca="1">IFERROR(__xludf.DUMMYFUNCTION("""COMPUTED_VALUE"""),"School Bus")</f>
        <v>School Bus</v>
      </c>
      <c r="Q321" s="1" t="str">
        <f ca="1">IFERROR(__xludf.DUMMYFUNCTION("""COMPUTED_VALUE"""),"Yes")</f>
        <v>Yes</v>
      </c>
      <c r="R321" s="1" t="str">
        <f ca="1">IFERROR(__xludf.DUMMYFUNCTION("""COMPUTED_VALUE"""),"Afternoon Classes")</f>
        <v>Afternoon Classes</v>
      </c>
      <c r="S321" s="5">
        <f ca="1">IFERROR(__xludf.DUMMYFUNCTION("""COMPUTED_VALUE"""),0.625)</f>
        <v>0.625</v>
      </c>
      <c r="T321" s="1">
        <f ca="1">IFERROR(__xludf.DUMMYFUNCTION("""COMPUTED_VALUE"""),1)</f>
        <v>1</v>
      </c>
      <c r="U321" s="1" t="str">
        <f ca="1">IFERROR(__xludf.DUMMYFUNCTION("""COMPUTED_VALUE"""),"School bus shot, school went on lockdown")</f>
        <v>School bus shot, school went on lockdown</v>
      </c>
      <c r="V321" s="1" t="str">
        <f ca="1">IFERROR(__xludf.DUMMYFUNCTION("""COMPUTED_VALUE"""),"Schools in the Swissvale area were put on a brief lockdown Friday afternoon after a bullet went through a school bus, according to Swissvale police. This stemmed from an incident that began in Edgewood Town Center at approximately 3 p.m. when people in tw"&amp;"o vehicles exchanged gunfire. The situation spread into Swissvale, where a school bus was shot. Allegheny County police said a storefront and several parked vehicles were hit by the gunfire.")</f>
        <v>Schools in the Swissvale area were put on a brief lockdown Friday afternoon after a bullet went through a school bus, according to Swissvale police. This stemmed from an incident that began in Edgewood Town Center at approximately 3 p.m. when people in two vehicles exchanged gunfire. The situation spread into Swissvale, where a school bus was shot. Allegheny County police said a storefront and several parked vehicles were hit by the gunfire.</v>
      </c>
      <c r="W321" s="1" t="str">
        <f ca="1">IFERROR(__xludf.DUMMYFUNCTION("""COMPUTED_VALUE"""),"Drive-by Shooting")</f>
        <v>Drive-by Shooting</v>
      </c>
      <c r="X321" s="1" t="str">
        <f ca="1">IFERROR(__xludf.DUMMYFUNCTION("""COMPUTED_VALUE"""),"Both")</f>
        <v>Both</v>
      </c>
      <c r="Y321" s="1" t="str">
        <f ca="1">IFERROR(__xludf.DUMMYFUNCTION("""COMPUTED_VALUE"""),"No")</f>
        <v>No</v>
      </c>
      <c r="Z321" s="1"/>
      <c r="AA321" s="1" t="str">
        <f ca="1">IFERROR(__xludf.DUMMYFUNCTION("""COMPUTED_VALUE"""),"No")</f>
        <v>No</v>
      </c>
      <c r="AB321" s="1" t="str">
        <f ca="1">IFERROR(__xludf.DUMMYFUNCTION("""COMPUTED_VALUE"""),"No")</f>
        <v>No</v>
      </c>
      <c r="AC321" s="1" t="str">
        <f ca="1">IFERROR(__xludf.DUMMYFUNCTION("""COMPUTED_VALUE"""),"No")</f>
        <v>No</v>
      </c>
      <c r="AD321" s="1" t="str">
        <f ca="1">IFERROR(__xludf.DUMMYFUNCTION("""COMPUTED_VALUE"""),"No")</f>
        <v>No</v>
      </c>
      <c r="AE321" s="1" t="str">
        <f ca="1">IFERROR(__xludf.DUMMYFUNCTION("""COMPUTED_VALUE"""),"No")</f>
        <v>No</v>
      </c>
      <c r="AF321" s="1"/>
      <c r="AG321" s="1" t="str">
        <f ca="1">IFERROR(__xludf.DUMMYFUNCTION("""COMPUTED_VALUE"""),"No")</f>
        <v>No</v>
      </c>
      <c r="AH321" s="1">
        <f ca="1">IFERROR(__xludf.DUMMYFUNCTION("""COMPUTED_VALUE"""),99)</f>
        <v>99</v>
      </c>
    </row>
    <row r="322" spans="1:34" ht="12.5">
      <c r="A322" s="1" t="str">
        <f ca="1">IFERROR(__xludf.DUMMYFUNCTION("""COMPUTED_VALUE"""),"20230414AZDEP")</f>
        <v>20230414AZDEP</v>
      </c>
      <c r="B322" s="1">
        <f ca="1">IFERROR(__xludf.DUMMYFUNCTION("""COMPUTED_VALUE"""),4)</f>
        <v>4</v>
      </c>
      <c r="C322" s="1">
        <f ca="1">IFERROR(__xludf.DUMMYFUNCTION("""COMPUTED_VALUE"""),14)</f>
        <v>14</v>
      </c>
      <c r="D322" s="1">
        <f ca="1">IFERROR(__xludf.DUMMYFUNCTION("""COMPUTED_VALUE"""),2023)</f>
        <v>2023</v>
      </c>
      <c r="E322" s="4">
        <f ca="1">IFERROR(__xludf.DUMMYFUNCTION("""COMPUTED_VALUE"""),45030)</f>
        <v>45030</v>
      </c>
      <c r="F322" s="1" t="str">
        <f ca="1">IFERROR(__xludf.DUMMYFUNCTION("""COMPUTED_VALUE"""),"Desert Sands Middle School")</f>
        <v>Desert Sands Middle School</v>
      </c>
      <c r="G322" s="1">
        <f ca="1">IFERROR(__xludf.DUMMYFUNCTION("""COMPUTED_VALUE"""),1)</f>
        <v>1</v>
      </c>
      <c r="H322" s="1">
        <f ca="1">IFERROR(__xludf.DUMMYFUNCTION("""COMPUTED_VALUE"""),0)</f>
        <v>0</v>
      </c>
      <c r="I322" s="1">
        <f ca="1">IFERROR(__xludf.DUMMYFUNCTION("""COMPUTED_VALUE"""),1)</f>
        <v>1</v>
      </c>
      <c r="J322" s="1">
        <f ca="1">IFERROR(__xludf.DUMMYFUNCTION("""COMPUTED_VALUE"""),0)</f>
        <v>0</v>
      </c>
      <c r="K322" s="1" t="str">
        <f ca="1">IFERROR(__xludf.DUMMYFUNCTION("""COMPUTED_VALUE"""),"Spring")</f>
        <v>Spring</v>
      </c>
      <c r="L322" s="1" t="str">
        <f ca="1">IFERROR(__xludf.DUMMYFUNCTION("""COMPUTED_VALUE"""),"Phoenix")</f>
        <v>Phoenix</v>
      </c>
      <c r="M322" s="1" t="str">
        <f ca="1">IFERROR(__xludf.DUMMYFUNCTION("""COMPUTED_VALUE"""),"AZ")</f>
        <v>AZ</v>
      </c>
      <c r="N322" s="1" t="str">
        <f ca="1">IFERROR(__xludf.DUMMYFUNCTION("""COMPUTED_VALUE"""),"Middle")</f>
        <v>Middle</v>
      </c>
      <c r="O322" s="1" t="str">
        <f ca="1">IFERROR(__xludf.DUMMYFUNCTION("""COMPUTED_VALUE"""),"Front of School")</f>
        <v>Front of School</v>
      </c>
      <c r="P322" s="1" t="str">
        <f ca="1">IFERROR(__xludf.DUMMYFUNCTION("""COMPUTED_VALUE"""),"Outside on School Property")</f>
        <v>Outside on School Property</v>
      </c>
      <c r="Q322" s="1" t="str">
        <f ca="1">IFERROR(__xludf.DUMMYFUNCTION("""COMPUTED_VALUE"""),"No")</f>
        <v>No</v>
      </c>
      <c r="R322" s="1" t="str">
        <f ca="1">IFERROR(__xludf.DUMMYFUNCTION("""COMPUTED_VALUE"""),"Night")</f>
        <v>Night</v>
      </c>
      <c r="S322" s="5">
        <f ca="1">IFERROR(__xludf.DUMMYFUNCTION("""COMPUTED_VALUE"""),0.197916666666666)</f>
        <v>0.19791666666666599</v>
      </c>
      <c r="T322" s="1">
        <f ca="1">IFERROR(__xludf.DUMMYFUNCTION("""COMPUTED_VALUE"""),1)</f>
        <v>1</v>
      </c>
      <c r="U322" s="1" t="str">
        <f ca="1">IFERROR(__xludf.DUMMYFUNCTION("""COMPUTED_VALUE"""),"Man fatally shot in front of school")</f>
        <v>Man fatally shot in front of school</v>
      </c>
      <c r="V322" s="1" t="str">
        <f ca="1">IFERROR(__xludf.DUMMYFUNCTION("""COMPUTED_VALUE"""),"A man is dead after a shooting early Friday morning near a school in west Phoenix. Phoenix police say it happened just before 4:45 a.m. near 63rd and Campbell avenues. When officers arrived, they found the man suffering from a gunshot wound. He was pronou"&amp;"nced dead at the scene. Police add that while investigating, they surrounded a nearby home believed to be connected to the shooting. Shooter arrested in July 2023. Shooter and victim had dispute over a stolen vehicle.")</f>
        <v>A man is dead after a shooting early Friday morning near a school in west Phoenix. Phoenix police say it happened just before 4:45 a.m. near 63rd and Campbell avenues. When officers arrived, they found the man suffering from a gunshot wound. He was pronounced dead at the scene. Police add that while investigating, they surrounded a nearby home believed to be connected to the shooting. Shooter arrested in July 2023. Shooter and victim had dispute over a stolen vehicle.</v>
      </c>
      <c r="W322" s="1" t="str">
        <f ca="1">IFERROR(__xludf.DUMMYFUNCTION("""COMPUTED_VALUE"""),"Illegal Activity")</f>
        <v>Illegal Activity</v>
      </c>
      <c r="X322" s="1" t="str">
        <f ca="1">IFERROR(__xludf.DUMMYFUNCTION("""COMPUTED_VALUE"""),"Victims Targeted")</f>
        <v>Victims Targeted</v>
      </c>
      <c r="Y322" s="1" t="str">
        <f ca="1">IFERROR(__xludf.DUMMYFUNCTION("""COMPUTED_VALUE"""),"Yes")</f>
        <v>Yes</v>
      </c>
      <c r="Z322" s="1"/>
      <c r="AA322" s="1" t="str">
        <f ca="1">IFERROR(__xludf.DUMMYFUNCTION("""COMPUTED_VALUE"""),"No")</f>
        <v>No</v>
      </c>
      <c r="AB322" s="1" t="str">
        <f ca="1">IFERROR(__xludf.DUMMYFUNCTION("""COMPUTED_VALUE"""),"No")</f>
        <v>No</v>
      </c>
      <c r="AC322" s="1" t="str">
        <f ca="1">IFERROR(__xludf.DUMMYFUNCTION("""COMPUTED_VALUE"""),"No")</f>
        <v>No</v>
      </c>
      <c r="AD322" s="1" t="str">
        <f ca="1">IFERROR(__xludf.DUMMYFUNCTION("""COMPUTED_VALUE"""),"No")</f>
        <v>No</v>
      </c>
      <c r="AE322" s="1" t="str">
        <f ca="1">IFERROR(__xludf.DUMMYFUNCTION("""COMPUTED_VALUE"""),"No")</f>
        <v>No</v>
      </c>
      <c r="AF322" s="1" t="str">
        <f ca="1">IFERROR(__xludf.DUMMYFUNCTION("""COMPUTED_VALUE"""),"No")</f>
        <v>No</v>
      </c>
      <c r="AG322" s="1" t="str">
        <f ca="1">IFERROR(__xludf.DUMMYFUNCTION("""COMPUTED_VALUE"""),"No")</f>
        <v>No</v>
      </c>
      <c r="AH322" s="1">
        <f ca="1">IFERROR(__xludf.DUMMYFUNCTION("""COMPUTED_VALUE"""),99)</f>
        <v>99</v>
      </c>
    </row>
    <row r="323" spans="1:34" ht="12.5">
      <c r="A323" s="1" t="str">
        <f ca="1">IFERROR(__xludf.DUMMYFUNCTION("""COMPUTED_VALUE"""),"20230413ILCHC")</f>
        <v>20230413ILCHC</v>
      </c>
      <c r="B323" s="1">
        <f ca="1">IFERROR(__xludf.DUMMYFUNCTION("""COMPUTED_VALUE"""),4)</f>
        <v>4</v>
      </c>
      <c r="C323" s="1">
        <f ca="1">IFERROR(__xludf.DUMMYFUNCTION("""COMPUTED_VALUE"""),13)</f>
        <v>13</v>
      </c>
      <c r="D323" s="1">
        <f ca="1">IFERROR(__xludf.DUMMYFUNCTION("""COMPUTED_VALUE"""),2023)</f>
        <v>2023</v>
      </c>
      <c r="E323" s="4">
        <f ca="1">IFERROR(__xludf.DUMMYFUNCTION("""COMPUTED_VALUE"""),45029)</f>
        <v>45029</v>
      </c>
      <c r="F323" s="1" t="str">
        <f ca="1">IFERROR(__xludf.DUMMYFUNCTION("""COMPUTED_VALUE"""),"Chicago School Bus")</f>
        <v>Chicago School Bus</v>
      </c>
      <c r="G323" s="1">
        <f ca="1">IFERROR(__xludf.DUMMYFUNCTION("""COMPUTED_VALUE"""),0)</f>
        <v>0</v>
      </c>
      <c r="H323" s="1">
        <f ca="1">IFERROR(__xludf.DUMMYFUNCTION("""COMPUTED_VALUE"""),0)</f>
        <v>0</v>
      </c>
      <c r="I323" s="1">
        <f ca="1">IFERROR(__xludf.DUMMYFUNCTION("""COMPUTED_VALUE"""),0)</f>
        <v>0</v>
      </c>
      <c r="J323" s="1">
        <f ca="1">IFERROR(__xludf.DUMMYFUNCTION("""COMPUTED_VALUE"""),0)</f>
        <v>0</v>
      </c>
      <c r="K323" s="1" t="str">
        <f ca="1">IFERROR(__xludf.DUMMYFUNCTION("""COMPUTED_VALUE"""),"Spring")</f>
        <v>Spring</v>
      </c>
      <c r="L323" s="1" t="str">
        <f ca="1">IFERROR(__xludf.DUMMYFUNCTION("""COMPUTED_VALUE"""),"Chicago")</f>
        <v>Chicago</v>
      </c>
      <c r="M323" s="1" t="str">
        <f ca="1">IFERROR(__xludf.DUMMYFUNCTION("""COMPUTED_VALUE"""),"IL")</f>
        <v>IL</v>
      </c>
      <c r="N323" s="1" t="str">
        <f ca="1">IFERROR(__xludf.DUMMYFUNCTION("""COMPUTED_VALUE"""),"K-12")</f>
        <v>K-12</v>
      </c>
      <c r="O323" s="1" t="str">
        <f ca="1">IFERROR(__xludf.DUMMYFUNCTION("""COMPUTED_VALUE"""),"School Bus")</f>
        <v>School Bus</v>
      </c>
      <c r="P323" s="1" t="str">
        <f ca="1">IFERROR(__xludf.DUMMYFUNCTION("""COMPUTED_VALUE"""),"School Bus")</f>
        <v>School Bus</v>
      </c>
      <c r="Q323" s="1" t="str">
        <f ca="1">IFERROR(__xludf.DUMMYFUNCTION("""COMPUTED_VALUE"""),"Yes")</f>
        <v>Yes</v>
      </c>
      <c r="R323" s="1" t="str">
        <f ca="1">IFERROR(__xludf.DUMMYFUNCTION("""COMPUTED_VALUE"""),"Afternoon Classes")</f>
        <v>Afternoon Classes</v>
      </c>
      <c r="S323" s="5">
        <f ca="1">IFERROR(__xludf.DUMMYFUNCTION("""COMPUTED_VALUE"""),0.572916666666666)</f>
        <v>0.57291666666666596</v>
      </c>
      <c r="T323" s="1">
        <f ca="1">IFERROR(__xludf.DUMMYFUNCTION("""COMPUTED_VALUE"""),1)</f>
        <v>1</v>
      </c>
      <c r="U323" s="1" t="str">
        <f ca="1">IFERROR(__xludf.DUMMYFUNCTION("""COMPUTED_VALUE"""),"School bus shot during shootout following carjacking.")</f>
        <v>School bus shot during shootout following carjacking.</v>
      </c>
      <c r="V323" s="1" t="str">
        <f ca="1">IFERROR(__xludf.DUMMYFUNCTION("""COMPUTED_VALUE"""),"A school bus was damaged Thursday afternoon after shots were fired during an attempted carjacking on the West Side of Chicago, according to police. Around 1:45 p.m., a man was approached by someone with a firearm who was demanding his vehicle in the 2400 "&amp;"block of West Taylor Street, according to information from the Chicago Police Department. The driver pulled out his own firearm and the two exchanged gunshots, police said. A nearby school bus was damaged and no injuries were reported.")</f>
        <v>A school bus was damaged Thursday afternoon after shots were fired during an attempted carjacking on the West Side of Chicago, according to police. Around 1:45 p.m., a man was approached by someone with a firearm who was demanding his vehicle in the 2400 block of West Taylor Street, according to information from the Chicago Police Department. The driver pulled out his own firearm and the two exchanged gunshots, police said. A nearby school bus was damaged and no injuries were reported.</v>
      </c>
      <c r="W323" s="1" t="str">
        <f ca="1">IFERROR(__xludf.DUMMYFUNCTION("""COMPUTED_VALUE"""),"Illegal Activity")</f>
        <v>Illegal Activity</v>
      </c>
      <c r="X323" s="1" t="str">
        <f ca="1">IFERROR(__xludf.DUMMYFUNCTION("""COMPUTED_VALUE"""),"Both")</f>
        <v>Both</v>
      </c>
      <c r="Y323" s="1" t="str">
        <f ca="1">IFERROR(__xludf.DUMMYFUNCTION("""COMPUTED_VALUE"""),"No")</f>
        <v>No</v>
      </c>
      <c r="Z323" s="1"/>
      <c r="AA323" s="1" t="str">
        <f ca="1">IFERROR(__xludf.DUMMYFUNCTION("""COMPUTED_VALUE"""),"No")</f>
        <v>No</v>
      </c>
      <c r="AB323" s="1" t="str">
        <f ca="1">IFERROR(__xludf.DUMMYFUNCTION("""COMPUTED_VALUE"""),"No")</f>
        <v>No</v>
      </c>
      <c r="AC323" s="1" t="str">
        <f ca="1">IFERROR(__xludf.DUMMYFUNCTION("""COMPUTED_VALUE"""),"No")</f>
        <v>No</v>
      </c>
      <c r="AD323" s="1" t="str">
        <f ca="1">IFERROR(__xludf.DUMMYFUNCTION("""COMPUTED_VALUE"""),"No")</f>
        <v>No</v>
      </c>
      <c r="AE323" s="1" t="str">
        <f ca="1">IFERROR(__xludf.DUMMYFUNCTION("""COMPUTED_VALUE"""),"No")</f>
        <v>No</v>
      </c>
      <c r="AF323" s="1" t="str">
        <f ca="1">IFERROR(__xludf.DUMMYFUNCTION("""COMPUTED_VALUE"""),"No")</f>
        <v>No</v>
      </c>
      <c r="AG323" s="1" t="str">
        <f ca="1">IFERROR(__xludf.DUMMYFUNCTION("""COMPUTED_VALUE"""),"No")</f>
        <v>No</v>
      </c>
      <c r="AH323" s="1">
        <f ca="1">IFERROR(__xludf.DUMMYFUNCTION("""COMPUTED_VALUE"""),99)</f>
        <v>99</v>
      </c>
    </row>
    <row r="324" spans="1:34" ht="12.5">
      <c r="A324" s="1" t="str">
        <f ca="1">IFERROR(__xludf.DUMMYFUNCTION("""COMPUTED_VALUE"""),"20230412TXLOH")</f>
        <v>20230412TXLOH</v>
      </c>
      <c r="B324" s="1">
        <f ca="1">IFERROR(__xludf.DUMMYFUNCTION("""COMPUTED_VALUE"""),4)</f>
        <v>4</v>
      </c>
      <c r="C324" s="1">
        <f ca="1">IFERROR(__xludf.DUMMYFUNCTION("""COMPUTED_VALUE"""),12)</f>
        <v>12</v>
      </c>
      <c r="D324" s="1">
        <f ca="1">IFERROR(__xludf.DUMMYFUNCTION("""COMPUTED_VALUE"""),2023)</f>
        <v>2023</v>
      </c>
      <c r="E324" s="4">
        <f ca="1">IFERROR(__xludf.DUMMYFUNCTION("""COMPUTED_VALUE"""),45028)</f>
        <v>45028</v>
      </c>
      <c r="F324" s="1" t="str">
        <f ca="1">IFERROR(__xludf.DUMMYFUNCTION("""COMPUTED_VALUE"""),"Louie Welch Middle School")</f>
        <v>Louie Welch Middle School</v>
      </c>
      <c r="G324" s="1">
        <f ca="1">IFERROR(__xludf.DUMMYFUNCTION("""COMPUTED_VALUE"""),0)</f>
        <v>0</v>
      </c>
      <c r="H324" s="1">
        <f ca="1">IFERROR(__xludf.DUMMYFUNCTION("""COMPUTED_VALUE"""),1)</f>
        <v>1</v>
      </c>
      <c r="I324" s="1">
        <f ca="1">IFERROR(__xludf.DUMMYFUNCTION("""COMPUTED_VALUE"""),1)</f>
        <v>1</v>
      </c>
      <c r="J324" s="1">
        <f ca="1">IFERROR(__xludf.DUMMYFUNCTION("""COMPUTED_VALUE"""),0)</f>
        <v>0</v>
      </c>
      <c r="K324" s="1" t="str">
        <f ca="1">IFERROR(__xludf.DUMMYFUNCTION("""COMPUTED_VALUE"""),"Spring")</f>
        <v>Spring</v>
      </c>
      <c r="L324" s="1" t="str">
        <f ca="1">IFERROR(__xludf.DUMMYFUNCTION("""COMPUTED_VALUE"""),"Houston")</f>
        <v>Houston</v>
      </c>
      <c r="M324" s="1" t="str">
        <f ca="1">IFERROR(__xludf.DUMMYFUNCTION("""COMPUTED_VALUE"""),"TX")</f>
        <v>TX</v>
      </c>
      <c r="N324" s="1" t="str">
        <f ca="1">IFERROR(__xludf.DUMMYFUNCTION("""COMPUTED_VALUE"""),"Middle")</f>
        <v>Middle</v>
      </c>
      <c r="O324" s="1" t="str">
        <f ca="1">IFERROR(__xludf.DUMMYFUNCTION("""COMPUTED_VALUE"""),"Front of School")</f>
        <v>Front of School</v>
      </c>
      <c r="P324" s="1" t="str">
        <f ca="1">IFERROR(__xludf.DUMMYFUNCTION("""COMPUTED_VALUE"""),"Outside on School Property")</f>
        <v>Outside on School Property</v>
      </c>
      <c r="Q324" s="1" t="str">
        <f ca="1">IFERROR(__xludf.DUMMYFUNCTION("""COMPUTED_VALUE"""),"Yes")</f>
        <v>Yes</v>
      </c>
      <c r="R324" s="1" t="str">
        <f ca="1">IFERROR(__xludf.DUMMYFUNCTION("""COMPUTED_VALUE"""),"School Start")</f>
        <v>School Start</v>
      </c>
      <c r="S324" s="5">
        <f ca="1">IFERROR(__xludf.DUMMYFUNCTION("""COMPUTED_VALUE"""),0.327083333333333)</f>
        <v>0.327083333333333</v>
      </c>
      <c r="T324" s="1">
        <f ca="1">IFERROR(__xludf.DUMMYFUNCTION("""COMPUTED_VALUE"""),1)</f>
        <v>1</v>
      </c>
      <c r="U324" s="1" t="str">
        <f ca="1">IFERROR(__xludf.DUMMYFUNCTION("""COMPUTED_VALUE"""),"Bystander student shot while being dropped off, shooter targeted another student then fled")</f>
        <v>Bystander student shot while being dropped off, shooter targeted another student then fled</v>
      </c>
      <c r="V324" s="1" t="str">
        <f ca="1">IFERROR(__xludf.DUMMYFUNCTION("""COMPUTED_VALUE"""),"Teen (12-14) suspect fired 14 shots at a student walking towards the middle school before classes started. Shots missed target and struck a bystander student in a vehicle who was being dropped off. Shooter fled in a stolen vehicle.")</f>
        <v>Teen (12-14) suspect fired 14 shots at a student walking towards the middle school before classes started. Shots missed target and struck a bystander student in a vehicle who was being dropped off. Shooter fled in a stolen vehicle.</v>
      </c>
      <c r="W324" s="1" t="str">
        <f ca="1">IFERROR(__xludf.DUMMYFUNCTION("""COMPUTED_VALUE"""),"Escalation of Dispute")</f>
        <v>Escalation of Dispute</v>
      </c>
      <c r="X324" s="1" t="str">
        <f ca="1">IFERROR(__xludf.DUMMYFUNCTION("""COMPUTED_VALUE"""),"Both")</f>
        <v>Both</v>
      </c>
      <c r="Y324" s="1"/>
      <c r="Z324" s="1"/>
      <c r="AA324" s="1" t="str">
        <f ca="1">IFERROR(__xludf.DUMMYFUNCTION("""COMPUTED_VALUE"""),"No")</f>
        <v>No</v>
      </c>
      <c r="AB324" s="1" t="str">
        <f ca="1">IFERROR(__xludf.DUMMYFUNCTION("""COMPUTED_VALUE"""),"No")</f>
        <v>No</v>
      </c>
      <c r="AC324" s="1" t="str">
        <f ca="1">IFERROR(__xludf.DUMMYFUNCTION("""COMPUTED_VALUE"""),"No")</f>
        <v>No</v>
      </c>
      <c r="AD324" s="1" t="str">
        <f ca="1">IFERROR(__xludf.DUMMYFUNCTION("""COMPUTED_VALUE"""),"No")</f>
        <v>No</v>
      </c>
      <c r="AE324" s="1" t="str">
        <f ca="1">IFERROR(__xludf.DUMMYFUNCTION("""COMPUTED_VALUE"""),"No")</f>
        <v>No</v>
      </c>
      <c r="AF324" s="1"/>
      <c r="AG324" s="1" t="str">
        <f ca="1">IFERROR(__xludf.DUMMYFUNCTION("""COMPUTED_VALUE"""),"No")</f>
        <v>No</v>
      </c>
      <c r="AH324" s="1">
        <f ca="1">IFERROR(__xludf.DUMMYFUNCTION("""COMPUTED_VALUE"""),14)</f>
        <v>14</v>
      </c>
    </row>
    <row r="325" spans="1:34" ht="12.5">
      <c r="A325" s="1" t="str">
        <f ca="1">IFERROR(__xludf.DUMMYFUNCTION("""COMPUTED_VALUE"""),"20230412CACES")</f>
        <v>20230412CACES</v>
      </c>
      <c r="B325" s="1">
        <f ca="1">IFERROR(__xludf.DUMMYFUNCTION("""COMPUTED_VALUE"""),4)</f>
        <v>4</v>
      </c>
      <c r="C325" s="1">
        <f ca="1">IFERROR(__xludf.DUMMYFUNCTION("""COMPUTED_VALUE"""),12)</f>
        <v>12</v>
      </c>
      <c r="D325" s="1">
        <f ca="1">IFERROR(__xludf.DUMMYFUNCTION("""COMPUTED_VALUE"""),2023)</f>
        <v>2023</v>
      </c>
      <c r="E325" s="4">
        <f ca="1">IFERROR(__xludf.DUMMYFUNCTION("""COMPUTED_VALUE"""),45028)</f>
        <v>45028</v>
      </c>
      <c r="F325" s="1" t="str">
        <f ca="1">IFERROR(__xludf.DUMMYFUNCTION("""COMPUTED_VALUE"""),"Cesar Chavez High School")</f>
        <v>Cesar Chavez High School</v>
      </c>
      <c r="G325" s="1">
        <f ca="1">IFERROR(__xludf.DUMMYFUNCTION("""COMPUTED_VALUE"""),1)</f>
        <v>1</v>
      </c>
      <c r="H325" s="1">
        <f ca="1">IFERROR(__xludf.DUMMYFUNCTION("""COMPUTED_VALUE"""),1)</f>
        <v>1</v>
      </c>
      <c r="I325" s="1">
        <f ca="1">IFERROR(__xludf.DUMMYFUNCTION("""COMPUTED_VALUE"""),2)</f>
        <v>2</v>
      </c>
      <c r="J325" s="1">
        <f ca="1">IFERROR(__xludf.DUMMYFUNCTION("""COMPUTED_VALUE"""),0)</f>
        <v>0</v>
      </c>
      <c r="K325" s="1" t="str">
        <f ca="1">IFERROR(__xludf.DUMMYFUNCTION("""COMPUTED_VALUE"""),"Spring")</f>
        <v>Spring</v>
      </c>
      <c r="L325" s="1" t="str">
        <f ca="1">IFERROR(__xludf.DUMMYFUNCTION("""COMPUTED_VALUE"""),"Stockton")</f>
        <v>Stockton</v>
      </c>
      <c r="M325" s="1" t="str">
        <f ca="1">IFERROR(__xludf.DUMMYFUNCTION("""COMPUTED_VALUE"""),"CA")</f>
        <v>CA</v>
      </c>
      <c r="N325" s="1" t="str">
        <f ca="1">IFERROR(__xludf.DUMMYFUNCTION("""COMPUTED_VALUE"""),"High")</f>
        <v>High</v>
      </c>
      <c r="O325" s="1" t="str">
        <f ca="1">IFERROR(__xludf.DUMMYFUNCTION("""COMPUTED_VALUE"""),"Basketball Court")</f>
        <v>Basketball Court</v>
      </c>
      <c r="P325" s="1" t="str">
        <f ca="1">IFERROR(__xludf.DUMMYFUNCTION("""COMPUTED_VALUE"""),"Off School Property")</f>
        <v>Off School Property</v>
      </c>
      <c r="Q325" s="1" t="str">
        <f ca="1">IFERROR(__xludf.DUMMYFUNCTION("""COMPUTED_VALUE"""),"Yes")</f>
        <v>Yes</v>
      </c>
      <c r="R325" s="1" t="str">
        <f ca="1">IFERROR(__xludf.DUMMYFUNCTION("""COMPUTED_VALUE"""),"Afternoon Classes")</f>
        <v>Afternoon Classes</v>
      </c>
      <c r="S325" s="5">
        <f ca="1">IFERROR(__xludf.DUMMYFUNCTION("""COMPUTED_VALUE"""),0.629861111111111)</f>
        <v>0.62986111111111098</v>
      </c>
      <c r="T325" s="1">
        <f ca="1">IFERROR(__xludf.DUMMYFUNCTION("""COMPUTED_VALUE"""),1)</f>
        <v>1</v>
      </c>
      <c r="U325" s="1" t="str">
        <f ca="1">IFERROR(__xludf.DUMMYFUNCTION("""COMPUTED_VALUE"""),"Student fatally shot in the park next to the school during afternoon classes")</f>
        <v>Student fatally shot in the park next to the school during afternoon classes</v>
      </c>
      <c r="V325" s="1" t="str">
        <f ca="1">IFERROR(__xludf.DUMMYFUNCTION("""COMPUTED_VALUE"""),"Two students were playing basketball on the outdoor court when they were robbed at gunpoint, feet away from the campus of Cesar Chavez High School, the Stockton Police Department says. The shooting was reported around 3:07 p.m. Wednesday at Unity Park (be"&amp;"tween high school and elementary school. ""That is very concerning, the timeframe and it being in broad daylight, near schools,"" said Stockton police officer David Scott. Nearby Cesar Chavez High School went on a lockdown as police investigated the off-c"&amp;"ampus shooting. ""It was off campus at this park, but we immediately put the school on lockdown and that is for the safety of students and teachers and staff,"" said Melinda Meza director of communications for Stockton Unified School District. The lockdow"&amp;"n was lifted and students were released just before 3:50 p.m. Second injured student was pistol whipped during the shooting.")</f>
        <v>Two students were playing basketball on the outdoor court when they were robbed at gunpoint, feet away from the campus of Cesar Chavez High School, the Stockton Police Department says. The shooting was reported around 3:07 p.m. Wednesday at Unity Park (between high school and elementary school. "That is very concerning, the timeframe and it being in broad daylight, near schools," said Stockton police officer David Scott. Nearby Cesar Chavez High School went on a lockdown as police investigated the off-campus shooting. "It was off campus at this park, but we immediately put the school on lockdown and that is for the safety of students and teachers and staff," said Melinda Meza director of communications for Stockton Unified School District. The lockdown was lifted and students were released just before 3:50 p.m. Second injured student was pistol whipped during the shooting.</v>
      </c>
      <c r="W325" s="1" t="str">
        <f ca="1">IFERROR(__xludf.DUMMYFUNCTION("""COMPUTED_VALUE"""),"Escalation of Dispute")</f>
        <v>Escalation of Dispute</v>
      </c>
      <c r="X325" s="1" t="str">
        <f ca="1">IFERROR(__xludf.DUMMYFUNCTION("""COMPUTED_VALUE"""),"Victims Targeted")</f>
        <v>Victims Targeted</v>
      </c>
      <c r="Y325" s="1"/>
      <c r="Z325" s="1"/>
      <c r="AA325" s="1" t="str">
        <f ca="1">IFERROR(__xludf.DUMMYFUNCTION("""COMPUTED_VALUE"""),"No")</f>
        <v>No</v>
      </c>
      <c r="AB325" s="1" t="str">
        <f ca="1">IFERROR(__xludf.DUMMYFUNCTION("""COMPUTED_VALUE"""),"No")</f>
        <v>No</v>
      </c>
      <c r="AC325" s="1" t="str">
        <f ca="1">IFERROR(__xludf.DUMMYFUNCTION("""COMPUTED_VALUE"""),"No")</f>
        <v>No</v>
      </c>
      <c r="AD325" s="1" t="str">
        <f ca="1">IFERROR(__xludf.DUMMYFUNCTION("""COMPUTED_VALUE"""),"No")</f>
        <v>No</v>
      </c>
      <c r="AE325" s="1" t="str">
        <f ca="1">IFERROR(__xludf.DUMMYFUNCTION("""COMPUTED_VALUE"""),"No")</f>
        <v>No</v>
      </c>
      <c r="AF325" s="1"/>
      <c r="AG325" s="1" t="str">
        <f ca="1">IFERROR(__xludf.DUMMYFUNCTION("""COMPUTED_VALUE"""),"No")</f>
        <v>No</v>
      </c>
      <c r="AH325" s="1">
        <f ca="1">IFERROR(__xludf.DUMMYFUNCTION("""COMPUTED_VALUE"""),99)</f>
        <v>99</v>
      </c>
    </row>
    <row r="326" spans="1:34" ht="12.5">
      <c r="A326" s="1" t="str">
        <f ca="1">IFERROR(__xludf.DUMMYFUNCTION("""COMPUTED_VALUE"""),"20230407WACHS")</f>
        <v>20230407WACHS</v>
      </c>
      <c r="B326" s="1">
        <f ca="1">IFERROR(__xludf.DUMMYFUNCTION("""COMPUTED_VALUE"""),4)</f>
        <v>4</v>
      </c>
      <c r="C326" s="1">
        <f ca="1">IFERROR(__xludf.DUMMYFUNCTION("""COMPUTED_VALUE"""),7)</f>
        <v>7</v>
      </c>
      <c r="D326" s="1">
        <f ca="1">IFERROR(__xludf.DUMMYFUNCTION("""COMPUTED_VALUE"""),2023)</f>
        <v>2023</v>
      </c>
      <c r="E326" s="4">
        <f ca="1">IFERROR(__xludf.DUMMYFUNCTION("""COMPUTED_VALUE"""),45023)</f>
        <v>45023</v>
      </c>
      <c r="F326" s="1" t="str">
        <f ca="1">IFERROR(__xludf.DUMMYFUNCTION("""COMPUTED_VALUE"""),"Chief Sealth International High School")</f>
        <v>Chief Sealth International High School</v>
      </c>
      <c r="G326" s="1">
        <f ca="1">IFERROR(__xludf.DUMMYFUNCTION("""COMPUTED_VALUE"""),1)</f>
        <v>1</v>
      </c>
      <c r="H326" s="1">
        <f ca="1">IFERROR(__xludf.DUMMYFUNCTION("""COMPUTED_VALUE"""),0)</f>
        <v>0</v>
      </c>
      <c r="I326" s="1">
        <f ca="1">IFERROR(__xludf.DUMMYFUNCTION("""COMPUTED_VALUE"""),1)</f>
        <v>1</v>
      </c>
      <c r="J326" s="1">
        <f ca="1">IFERROR(__xludf.DUMMYFUNCTION("""COMPUTED_VALUE"""),0)</f>
        <v>0</v>
      </c>
      <c r="K326" s="1" t="str">
        <f ca="1">IFERROR(__xludf.DUMMYFUNCTION("""COMPUTED_VALUE"""),"Spring")</f>
        <v>Spring</v>
      </c>
      <c r="L326" s="1" t="str">
        <f ca="1">IFERROR(__xludf.DUMMYFUNCTION("""COMPUTED_VALUE"""),"Seattle")</f>
        <v>Seattle</v>
      </c>
      <c r="M326" s="1" t="str">
        <f ca="1">IFERROR(__xludf.DUMMYFUNCTION("""COMPUTED_VALUE"""),"WA")</f>
        <v>WA</v>
      </c>
      <c r="N326" s="1" t="str">
        <f ca="1">IFERROR(__xludf.DUMMYFUNCTION("""COMPUTED_VALUE"""),"High")</f>
        <v>High</v>
      </c>
      <c r="O326" s="1" t="str">
        <f ca="1">IFERROR(__xludf.DUMMYFUNCTION("""COMPUTED_VALUE"""),"Front of School")</f>
        <v>Front of School</v>
      </c>
      <c r="P326" s="1" t="str">
        <f ca="1">IFERROR(__xludf.DUMMYFUNCTION("""COMPUTED_VALUE"""),"Outside on School Property")</f>
        <v>Outside on School Property</v>
      </c>
      <c r="Q326" s="1" t="str">
        <f ca="1">IFERROR(__xludf.DUMMYFUNCTION("""COMPUTED_VALUE"""),"No")</f>
        <v>No</v>
      </c>
      <c r="R326" s="1" t="str">
        <f ca="1">IFERROR(__xludf.DUMMYFUNCTION("""COMPUTED_VALUE"""),"Night")</f>
        <v>Night</v>
      </c>
      <c r="S326" s="5">
        <f ca="1">IFERROR(__xludf.DUMMYFUNCTION("""COMPUTED_VALUE"""),0.9375)</f>
        <v>0.9375</v>
      </c>
      <c r="T326" s="1">
        <f ca="1">IFERROR(__xludf.DUMMYFUNCTION("""COMPUTED_VALUE"""),1)</f>
        <v>1</v>
      </c>
      <c r="U326" s="1" t="str">
        <f ca="1">IFERROR(__xludf.DUMMYFUNCTION("""COMPUTED_VALUE"""),"Man found fatally shot in front of school")</f>
        <v>Man found fatally shot in front of school</v>
      </c>
      <c r="V326" s="1" t="str">
        <f ca="1">IFERROR(__xludf.DUMMYFUNCTION("""COMPUTED_VALUE"""),"Seattle police are investigating a homicide near Chief Sealth International High School in West Seattle. Seattle police spokesperson Officer Shawn Weismiller said Saturday morning that the victim, a man in his 20s, was found shortly before 8:30 a.m. Satur"&amp;"day on a driveway on school grounds by a person walking a dog. The man was apparently shot, Weismiller said, pointing out shell casings marked with evidence tags on 27th Avenue Southwest, by the school. The school is at the corner of Thistle Street Southw"&amp;"est and 27th Avenue Southwest. Weismiller said officers were investigating reports from nearby residents who heard gunshots between 10:30 and 11 p.m. Friday.")</f>
        <v>Seattle police are investigating a homicide near Chief Sealth International High School in West Seattle. Seattle police spokesperson Officer Shawn Weismiller said Saturday morning that the victim, a man in his 20s, was found shortly before 8:30 a.m. Saturday on a driveway on school grounds by a person walking a dog. The man was apparently shot, Weismiller said, pointing out shell casings marked with evidence tags on 27th Avenue Southwest, by the school. The school is at the corner of Thistle Street Southwest and 27th Avenue Southwest. Weismiller said officers were investigating reports from nearby residents who heard gunshots between 10:30 and 11 p.m. Friday.</v>
      </c>
      <c r="W326" s="1"/>
      <c r="X326" s="1" t="str">
        <f ca="1">IFERROR(__xludf.DUMMYFUNCTION("""COMPUTED_VALUE"""),"Victims Targeted")</f>
        <v>Victims Targeted</v>
      </c>
      <c r="Y326" s="1"/>
      <c r="Z326" s="1"/>
      <c r="AA326" s="1" t="str">
        <f ca="1">IFERROR(__xludf.DUMMYFUNCTION("""COMPUTED_VALUE"""),"No")</f>
        <v>No</v>
      </c>
      <c r="AB326" s="1" t="str">
        <f ca="1">IFERROR(__xludf.DUMMYFUNCTION("""COMPUTED_VALUE"""),"No")</f>
        <v>No</v>
      </c>
      <c r="AC326" s="1" t="str">
        <f ca="1">IFERROR(__xludf.DUMMYFUNCTION("""COMPUTED_VALUE"""),"No")</f>
        <v>No</v>
      </c>
      <c r="AD326" s="1" t="str">
        <f ca="1">IFERROR(__xludf.DUMMYFUNCTION("""COMPUTED_VALUE"""),"No")</f>
        <v>No</v>
      </c>
      <c r="AE326" s="1" t="str">
        <f ca="1">IFERROR(__xludf.DUMMYFUNCTION("""COMPUTED_VALUE"""),"No")</f>
        <v>No</v>
      </c>
      <c r="AF326" s="1"/>
      <c r="AG326" s="1" t="str">
        <f ca="1">IFERROR(__xludf.DUMMYFUNCTION("""COMPUTED_VALUE"""),"No")</f>
        <v>No</v>
      </c>
      <c r="AH326" s="1">
        <f ca="1">IFERROR(__xludf.DUMMYFUNCTION("""COMPUTED_VALUE"""),99)</f>
        <v>99</v>
      </c>
    </row>
    <row r="327" spans="1:34" ht="12.5">
      <c r="A327" s="1" t="str">
        <f ca="1">IFERROR(__xludf.DUMMYFUNCTION("""COMPUTED_VALUE"""),"20230406NCSOW")</f>
        <v>20230406NCSOW</v>
      </c>
      <c r="B327" s="1">
        <f ca="1">IFERROR(__xludf.DUMMYFUNCTION("""COMPUTED_VALUE"""),4)</f>
        <v>4</v>
      </c>
      <c r="C327" s="1">
        <f ca="1">IFERROR(__xludf.DUMMYFUNCTION("""COMPUTED_VALUE"""),6)</f>
        <v>6</v>
      </c>
      <c r="D327" s="1">
        <f ca="1">IFERROR(__xludf.DUMMYFUNCTION("""COMPUTED_VALUE"""),2023)</f>
        <v>2023</v>
      </c>
      <c r="E327" s="4">
        <f ca="1">IFERROR(__xludf.DUMMYFUNCTION("""COMPUTED_VALUE"""),45022)</f>
        <v>45022</v>
      </c>
      <c r="F327" s="1" t="str">
        <f ca="1">IFERROR(__xludf.DUMMYFUNCTION("""COMPUTED_VALUE"""),"South Central High School")</f>
        <v>South Central High School</v>
      </c>
      <c r="G327" s="1">
        <f ca="1">IFERROR(__xludf.DUMMYFUNCTION("""COMPUTED_VALUE"""),0)</f>
        <v>0</v>
      </c>
      <c r="H327" s="1">
        <f ca="1">IFERROR(__xludf.DUMMYFUNCTION("""COMPUTED_VALUE"""),1)</f>
        <v>1</v>
      </c>
      <c r="I327" s="1">
        <f ca="1">IFERROR(__xludf.DUMMYFUNCTION("""COMPUTED_VALUE"""),1)</f>
        <v>1</v>
      </c>
      <c r="J327" s="1">
        <f ca="1">IFERROR(__xludf.DUMMYFUNCTION("""COMPUTED_VALUE"""),0)</f>
        <v>0</v>
      </c>
      <c r="K327" s="1" t="str">
        <f ca="1">IFERROR(__xludf.DUMMYFUNCTION("""COMPUTED_VALUE"""),"Spring")</f>
        <v>Spring</v>
      </c>
      <c r="L327" s="1" t="str">
        <f ca="1">IFERROR(__xludf.DUMMYFUNCTION("""COMPUTED_VALUE"""),"Winterville")</f>
        <v>Winterville</v>
      </c>
      <c r="M327" s="1" t="str">
        <f ca="1">IFERROR(__xludf.DUMMYFUNCTION("""COMPUTED_VALUE"""),"NC")</f>
        <v>NC</v>
      </c>
      <c r="N327" s="1" t="str">
        <f ca="1">IFERROR(__xludf.DUMMYFUNCTION("""COMPUTED_VALUE"""),"High")</f>
        <v>High</v>
      </c>
      <c r="O327" s="1" t="str">
        <f ca="1">IFERROR(__xludf.DUMMYFUNCTION("""COMPUTED_VALUE"""),"School Bus")</f>
        <v>School Bus</v>
      </c>
      <c r="P327" s="1" t="str">
        <f ca="1">IFERROR(__xludf.DUMMYFUNCTION("""COMPUTED_VALUE"""),"School Bus")</f>
        <v>School Bus</v>
      </c>
      <c r="Q327" s="1" t="str">
        <f ca="1">IFERROR(__xludf.DUMMYFUNCTION("""COMPUTED_VALUE"""),"Yes")</f>
        <v>Yes</v>
      </c>
      <c r="R327" s="1" t="str">
        <f ca="1">IFERROR(__xludf.DUMMYFUNCTION("""COMPUTED_VALUE"""),"Dismissal")</f>
        <v>Dismissal</v>
      </c>
      <c r="S327" s="5">
        <f ca="1">IFERROR(__xludf.DUMMYFUNCTION("""COMPUTED_VALUE"""),0.65625)</f>
        <v>0.65625</v>
      </c>
      <c r="T327" s="1">
        <f ca="1">IFERROR(__xludf.DUMMYFUNCTION("""COMPUTED_VALUE"""),1)</f>
        <v>1</v>
      </c>
      <c r="U327" s="1" t="str">
        <f ca="1">IFERROR(__xludf.DUMMYFUNCTION("""COMPUTED_VALUE"""),"Teen shot on school bus leaving campus")</f>
        <v>Teen shot on school bus leaving campus</v>
      </c>
      <c r="V327" s="1" t="str">
        <f ca="1">IFERROR(__xludf.DUMMYFUNCTION("""COMPUTED_VALUE"""),"A preliminary investigation has revealed it happened at approximately 3:45 in the afternoon on a Pitt County school bus leaving South Central High School. At this point in time, it appears the teen was injured as a result of an accidental discharge and it"&amp;" was not a targeted incident. No other injuries were reported.")</f>
        <v>A preliminary investigation has revealed it happened at approximately 3:45 in the afternoon on a Pitt County school bus leaving South Central High School. At this point in time, it appears the teen was injured as a result of an accidental discharge and it was not a targeted incident. No other injuries were reported.</v>
      </c>
      <c r="W327" s="1" t="str">
        <f ca="1">IFERROR(__xludf.DUMMYFUNCTION("""COMPUTED_VALUE"""),"Accidental")</f>
        <v>Accidental</v>
      </c>
      <c r="X327" s="1" t="str">
        <f ca="1">IFERROR(__xludf.DUMMYFUNCTION("""COMPUTED_VALUE"""),"Neither")</f>
        <v>Neither</v>
      </c>
      <c r="Y327" s="1" t="str">
        <f ca="1">IFERROR(__xludf.DUMMYFUNCTION("""COMPUTED_VALUE"""),"No")</f>
        <v>No</v>
      </c>
      <c r="Z327" s="1"/>
      <c r="AA327" s="1" t="str">
        <f ca="1">IFERROR(__xludf.DUMMYFUNCTION("""COMPUTED_VALUE"""),"No")</f>
        <v>No</v>
      </c>
      <c r="AB327" s="1" t="str">
        <f ca="1">IFERROR(__xludf.DUMMYFUNCTION("""COMPUTED_VALUE"""),"No")</f>
        <v>No</v>
      </c>
      <c r="AC327" s="1" t="str">
        <f ca="1">IFERROR(__xludf.DUMMYFUNCTION("""COMPUTED_VALUE"""),"No")</f>
        <v>No</v>
      </c>
      <c r="AD327" s="1" t="str">
        <f ca="1">IFERROR(__xludf.DUMMYFUNCTION("""COMPUTED_VALUE"""),"No")</f>
        <v>No</v>
      </c>
      <c r="AE327" s="1" t="str">
        <f ca="1">IFERROR(__xludf.DUMMYFUNCTION("""COMPUTED_VALUE"""),"No")</f>
        <v>No</v>
      </c>
      <c r="AF327" s="1" t="str">
        <f ca="1">IFERROR(__xludf.DUMMYFUNCTION("""COMPUTED_VALUE"""),"No")</f>
        <v>No</v>
      </c>
      <c r="AG327" s="1" t="str">
        <f ca="1">IFERROR(__xludf.DUMMYFUNCTION("""COMPUTED_VALUE"""),"No")</f>
        <v>No</v>
      </c>
      <c r="AH327" s="1">
        <f ca="1">IFERROR(__xludf.DUMMYFUNCTION("""COMPUTED_VALUE"""),1)</f>
        <v>1</v>
      </c>
    </row>
    <row r="328" spans="1:34" ht="12.5">
      <c r="A328" s="1" t="str">
        <f ca="1">IFERROR(__xludf.DUMMYFUNCTION("""COMPUTED_VALUE"""),"20230405SCHOG")</f>
        <v>20230405SCHOG</v>
      </c>
      <c r="B328" s="1">
        <f ca="1">IFERROR(__xludf.DUMMYFUNCTION("""COMPUTED_VALUE"""),4)</f>
        <v>4</v>
      </c>
      <c r="C328" s="1">
        <f ca="1">IFERROR(__xludf.DUMMYFUNCTION("""COMPUTED_VALUE"""),5)</f>
        <v>5</v>
      </c>
      <c r="D328" s="1">
        <f ca="1">IFERROR(__xludf.DUMMYFUNCTION("""COMPUTED_VALUE"""),2023)</f>
        <v>2023</v>
      </c>
      <c r="E328" s="4">
        <f ca="1">IFERROR(__xludf.DUMMYFUNCTION("""COMPUTED_VALUE"""),45021)</f>
        <v>45021</v>
      </c>
      <c r="F328" s="1" t="str">
        <f ca="1">IFERROR(__xludf.DUMMYFUNCTION("""COMPUTED_VALUE"""),"Hollis Elementary School")</f>
        <v>Hollis Elementary School</v>
      </c>
      <c r="G328" s="1">
        <f ca="1">IFERROR(__xludf.DUMMYFUNCTION("""COMPUTED_VALUE"""),0)</f>
        <v>0</v>
      </c>
      <c r="H328" s="1">
        <f ca="1">IFERROR(__xludf.DUMMYFUNCTION("""COMPUTED_VALUE"""),0)</f>
        <v>0</v>
      </c>
      <c r="I328" s="1">
        <f ca="1">IFERROR(__xludf.DUMMYFUNCTION("""COMPUTED_VALUE"""),0)</f>
        <v>0</v>
      </c>
      <c r="J328" s="1">
        <f ca="1">IFERROR(__xludf.DUMMYFUNCTION("""COMPUTED_VALUE"""),0)</f>
        <v>0</v>
      </c>
      <c r="K328" s="1" t="str">
        <f ca="1">IFERROR(__xludf.DUMMYFUNCTION("""COMPUTED_VALUE"""),"Spring")</f>
        <v>Spring</v>
      </c>
      <c r="L328" s="1" t="str">
        <f ca="1">IFERROR(__xludf.DUMMYFUNCTION("""COMPUTED_VALUE"""),"Greenville")</f>
        <v>Greenville</v>
      </c>
      <c r="M328" s="1" t="str">
        <f ca="1">IFERROR(__xludf.DUMMYFUNCTION("""COMPUTED_VALUE"""),"SC")</f>
        <v>SC</v>
      </c>
      <c r="N328" s="1" t="str">
        <f ca="1">IFERROR(__xludf.DUMMYFUNCTION("""COMPUTED_VALUE"""),"Elementary")</f>
        <v>Elementary</v>
      </c>
      <c r="O328" s="1" t="str">
        <f ca="1">IFERROR(__xludf.DUMMYFUNCTION("""COMPUTED_VALUE"""),"Playground")</f>
        <v>Playground</v>
      </c>
      <c r="P328" s="1" t="str">
        <f ca="1">IFERROR(__xludf.DUMMYFUNCTION("""COMPUTED_VALUE"""),"Outside on School Property")</f>
        <v>Outside on School Property</v>
      </c>
      <c r="Q328" s="1" t="str">
        <f ca="1">IFERROR(__xludf.DUMMYFUNCTION("""COMPUTED_VALUE"""),"No")</f>
        <v>No</v>
      </c>
      <c r="R328" s="1" t="str">
        <f ca="1">IFERROR(__xludf.DUMMYFUNCTION("""COMPUTED_VALUE"""),"After School")</f>
        <v>After School</v>
      </c>
      <c r="S328" s="5">
        <f ca="1">IFERROR(__xludf.DUMMYFUNCTION("""COMPUTED_VALUE"""),0.6875)</f>
        <v>0.6875</v>
      </c>
      <c r="T328" s="1">
        <f ca="1">IFERROR(__xludf.DUMMYFUNCTION("""COMPUTED_VALUE"""),1)</f>
        <v>1</v>
      </c>
      <c r="U328" s="1" t="str">
        <f ca="1">IFERROR(__xludf.DUMMYFUNCTION("""COMPUTED_VALUE"""),"Teen in vehicle fired shots at teens on school playground, kids and parents were present")</f>
        <v>Teen in vehicle fired shots at teens on school playground, kids and parents were present</v>
      </c>
      <c r="V328" s="1" t="str">
        <f ca="1">IFERROR(__xludf.DUMMYFUNCTION("""COMPUTED_VALUE"""),"The Greenville County Sheriff's Office responded around 4:30 p.m. on Tuesday and said a vehicle involved was driving down Eighth Street when a passenger shot at group of teens on the Hollis Elementary School Playground. Children and parents were on the pl"&amp;"ayground when the shots were fired.")</f>
        <v>The Greenville County Sheriff's Office responded around 4:30 p.m. on Tuesday and said a vehicle involved was driving down Eighth Street when a passenger shot at group of teens on the Hollis Elementary School Playground. Children and parents were on the playground when the shots were fired.</v>
      </c>
      <c r="W328" s="1" t="str">
        <f ca="1">IFERROR(__xludf.DUMMYFUNCTION("""COMPUTED_VALUE"""),"Drive-by Shooting")</f>
        <v>Drive-by Shooting</v>
      </c>
      <c r="X328" s="1" t="str">
        <f ca="1">IFERROR(__xludf.DUMMYFUNCTION("""COMPUTED_VALUE"""),"Victims Targeted")</f>
        <v>Victims Targeted</v>
      </c>
      <c r="Y328" s="1" t="str">
        <f ca="1">IFERROR(__xludf.DUMMYFUNCTION("""COMPUTED_VALUE"""),"Yes")</f>
        <v>Yes</v>
      </c>
      <c r="Z328" s="1" t="str">
        <f ca="1">IFERROR(__xludf.DUMMYFUNCTION("""COMPUTED_VALUE"""),"Driver and shooter")</f>
        <v>Driver and shooter</v>
      </c>
      <c r="AA328" s="1" t="str">
        <f ca="1">IFERROR(__xludf.DUMMYFUNCTION("""COMPUTED_VALUE"""),"No")</f>
        <v>No</v>
      </c>
      <c r="AB328" s="1" t="str">
        <f ca="1">IFERROR(__xludf.DUMMYFUNCTION("""COMPUTED_VALUE"""),"No")</f>
        <v>No</v>
      </c>
      <c r="AC328" s="1" t="str">
        <f ca="1">IFERROR(__xludf.DUMMYFUNCTION("""COMPUTED_VALUE"""),"No")</f>
        <v>No</v>
      </c>
      <c r="AD328" s="1" t="str">
        <f ca="1">IFERROR(__xludf.DUMMYFUNCTION("""COMPUTED_VALUE"""),"No")</f>
        <v>No</v>
      </c>
      <c r="AE328" s="1" t="str">
        <f ca="1">IFERROR(__xludf.DUMMYFUNCTION("""COMPUTED_VALUE"""),"No")</f>
        <v>No</v>
      </c>
      <c r="AF328" s="1"/>
      <c r="AG328" s="1" t="str">
        <f ca="1">IFERROR(__xludf.DUMMYFUNCTION("""COMPUTED_VALUE"""),"No")</f>
        <v>No</v>
      </c>
      <c r="AH328" s="1">
        <f ca="1">IFERROR(__xludf.DUMMYFUNCTION("""COMPUTED_VALUE"""),99)</f>
        <v>99</v>
      </c>
    </row>
    <row r="329" spans="1:34" ht="12.5">
      <c r="A329" s="1" t="str">
        <f ca="1">IFERROR(__xludf.DUMMYFUNCTION("""COMPUTED_VALUE"""),"20230405OHROC")</f>
        <v>20230405OHROC</v>
      </c>
      <c r="B329" s="1">
        <f ca="1">IFERROR(__xludf.DUMMYFUNCTION("""COMPUTED_VALUE"""),4)</f>
        <v>4</v>
      </c>
      <c r="C329" s="1">
        <f ca="1">IFERROR(__xludf.DUMMYFUNCTION("""COMPUTED_VALUE"""),5)</f>
        <v>5</v>
      </c>
      <c r="D329" s="1">
        <f ca="1">IFERROR(__xludf.DUMMYFUNCTION("""COMPUTED_VALUE"""),2023)</f>
        <v>2023</v>
      </c>
      <c r="E329" s="4">
        <f ca="1">IFERROR(__xludf.DUMMYFUNCTION("""COMPUTED_VALUE"""),45021)</f>
        <v>45021</v>
      </c>
      <c r="F329" s="1" t="str">
        <f ca="1">IFERROR(__xludf.DUMMYFUNCTION("""COMPUTED_VALUE"""),"Rothenberg Preparatory Academy")</f>
        <v>Rothenberg Preparatory Academy</v>
      </c>
      <c r="G329" s="1">
        <f ca="1">IFERROR(__xludf.DUMMYFUNCTION("""COMPUTED_VALUE"""),0)</f>
        <v>0</v>
      </c>
      <c r="H329" s="1">
        <f ca="1">IFERROR(__xludf.DUMMYFUNCTION("""COMPUTED_VALUE"""),0)</f>
        <v>0</v>
      </c>
      <c r="I329" s="1">
        <f ca="1">IFERROR(__xludf.DUMMYFUNCTION("""COMPUTED_VALUE"""),0)</f>
        <v>0</v>
      </c>
      <c r="J329" s="1">
        <f ca="1">IFERROR(__xludf.DUMMYFUNCTION("""COMPUTED_VALUE"""),0)</f>
        <v>0</v>
      </c>
      <c r="K329" s="1" t="str">
        <f ca="1">IFERROR(__xludf.DUMMYFUNCTION("""COMPUTED_VALUE"""),"Spring")</f>
        <v>Spring</v>
      </c>
      <c r="L329" s="1" t="str">
        <f ca="1">IFERROR(__xludf.DUMMYFUNCTION("""COMPUTED_VALUE"""),"Cincinnati")</f>
        <v>Cincinnati</v>
      </c>
      <c r="M329" s="1" t="str">
        <f ca="1">IFERROR(__xludf.DUMMYFUNCTION("""COMPUTED_VALUE"""),"OH")</f>
        <v>OH</v>
      </c>
      <c r="N329" s="1" t="str">
        <f ca="1">IFERROR(__xludf.DUMMYFUNCTION("""COMPUTED_VALUE"""),"K-12")</f>
        <v>K-12</v>
      </c>
      <c r="O329" s="1" t="str">
        <f ca="1">IFERROR(__xludf.DUMMYFUNCTION("""COMPUTED_VALUE"""),"Front of School")</f>
        <v>Front of School</v>
      </c>
      <c r="P329" s="1" t="str">
        <f ca="1">IFERROR(__xludf.DUMMYFUNCTION("""COMPUTED_VALUE"""),"Outside on School Property")</f>
        <v>Outside on School Property</v>
      </c>
      <c r="Q329" s="1" t="str">
        <f ca="1">IFERROR(__xludf.DUMMYFUNCTION("""COMPUTED_VALUE"""),"Yes")</f>
        <v>Yes</v>
      </c>
      <c r="R329" s="1" t="str">
        <f ca="1">IFERROR(__xludf.DUMMYFUNCTION("""COMPUTED_VALUE"""),"School Start")</f>
        <v>School Start</v>
      </c>
      <c r="S329" s="5">
        <f ca="1">IFERROR(__xludf.DUMMYFUNCTION("""COMPUTED_VALUE"""),0.333333333333333)</f>
        <v>0.33333333333333298</v>
      </c>
      <c r="T329" s="1">
        <f ca="1">IFERROR(__xludf.DUMMYFUNCTION("""COMPUTED_VALUE"""),1)</f>
        <v>1</v>
      </c>
      <c r="U329" s="1" t="str">
        <f ca="1">IFERROR(__xludf.DUMMYFUNCTION("""COMPUTED_VALUE"""),"Teen fired shot in front of school, fled and climbed through window of nearby elementary")</f>
        <v>Teen fired shot in front of school, fled and climbed through window of nearby elementary</v>
      </c>
      <c r="V329" s="1" t="str">
        <f ca="1">IFERROR(__xludf.DUMMYFUNCTION("""COMPUTED_VALUE"""),"An elementary school in Over-the-Rhine was placed on lockdown Wednesday morning due to a police pursuit when the suspect involved entered the school through a window. Police said it all started when officers responded to a shots-fired call that came in ju"&amp;"st after 8 a.m. on Antique Street. Police said it appears it was an incident where shots were fired into the air. There were no reports of injuries or property damage. Rothenberg Preparatory Academy was placed on a lock in due to the police activity. Offi"&amp;"cials said during the pursuit, the suspect climbed over the fences around the school and entered the school through a staff bathroom window on the first floor. School officials said the suspect was found in the basement of the building by cafeteria staff "&amp;"and was taken out of the building where he was taken into custody by police. The school remained on lockdown during the entire incident and was lifted after the suspect was taken into custody.")</f>
        <v>An elementary school in Over-the-Rhine was placed on lockdown Wednesday morning due to a police pursuit when the suspect involved entered the school through a window. Police said it all started when officers responded to a shots-fired call that came in just after 8 a.m. on Antique Street. Police said it appears it was an incident where shots were fired into the air. There were no reports of injuries or property damage. Rothenberg Preparatory Academy was placed on a lock in due to the police activity. Officials said during the pursuit, the suspect climbed over the fences around the school and entered the school through a staff bathroom window on the first floor. School officials said the suspect was found in the basement of the building by cafeteria staff and was taken out of the building where he was taken into custody by police. The school remained on lockdown during the entire incident and was lifted after the suspect was taken into custody.</v>
      </c>
      <c r="W329" s="1" t="str">
        <f ca="1">IFERROR(__xludf.DUMMYFUNCTION("""COMPUTED_VALUE"""),"Escalation of Dispute")</f>
        <v>Escalation of Dispute</v>
      </c>
      <c r="X329" s="1" t="str">
        <f ca="1">IFERROR(__xludf.DUMMYFUNCTION("""COMPUTED_VALUE"""),"Neither")</f>
        <v>Neither</v>
      </c>
      <c r="Y329" s="1" t="str">
        <f ca="1">IFERROR(__xludf.DUMMYFUNCTION("""COMPUTED_VALUE"""),"Yes")</f>
        <v>Yes</v>
      </c>
      <c r="Z329" s="1" t="str">
        <f ca="1">IFERROR(__xludf.DUMMYFUNCTION("""COMPUTED_VALUE"""),"Two teens fled")</f>
        <v>Two teens fled</v>
      </c>
      <c r="AA329" s="1" t="str">
        <f ca="1">IFERROR(__xludf.DUMMYFUNCTION("""COMPUTED_VALUE"""),"No")</f>
        <v>No</v>
      </c>
      <c r="AB329" s="1" t="str">
        <f ca="1">IFERROR(__xludf.DUMMYFUNCTION("""COMPUTED_VALUE"""),"No")</f>
        <v>No</v>
      </c>
      <c r="AC329" s="1" t="str">
        <f ca="1">IFERROR(__xludf.DUMMYFUNCTION("""COMPUTED_VALUE"""),"No")</f>
        <v>No</v>
      </c>
      <c r="AD329" s="1" t="str">
        <f ca="1">IFERROR(__xludf.DUMMYFUNCTION("""COMPUTED_VALUE"""),"No")</f>
        <v>No</v>
      </c>
      <c r="AE329" s="1" t="str">
        <f ca="1">IFERROR(__xludf.DUMMYFUNCTION("""COMPUTED_VALUE"""),"No")</f>
        <v>No</v>
      </c>
      <c r="AF329" s="1"/>
      <c r="AG329" s="1" t="str">
        <f ca="1">IFERROR(__xludf.DUMMYFUNCTION("""COMPUTED_VALUE"""),"No")</f>
        <v>No</v>
      </c>
      <c r="AH329" s="1">
        <f ca="1">IFERROR(__xludf.DUMMYFUNCTION("""COMPUTED_VALUE"""),99)</f>
        <v>99</v>
      </c>
    </row>
    <row r="330" spans="1:34" ht="12.5">
      <c r="A330" s="1" t="str">
        <f ca="1">IFERROR(__xludf.DUMMYFUNCTION("""COMPUTED_VALUE"""),"20230404TXCHH")</f>
        <v>20230404TXCHH</v>
      </c>
      <c r="B330" s="1">
        <f ca="1">IFERROR(__xludf.DUMMYFUNCTION("""COMPUTED_VALUE"""),4)</f>
        <v>4</v>
      </c>
      <c r="C330" s="1">
        <f ca="1">IFERROR(__xludf.DUMMYFUNCTION("""COMPUTED_VALUE"""),4)</f>
        <v>4</v>
      </c>
      <c r="D330" s="1">
        <f ca="1">IFERROR(__xludf.DUMMYFUNCTION("""COMPUTED_VALUE"""),2023)</f>
        <v>2023</v>
      </c>
      <c r="E330" s="4">
        <f ca="1">IFERROR(__xludf.DUMMYFUNCTION("""COMPUTED_VALUE"""),45020)</f>
        <v>45020</v>
      </c>
      <c r="F330" s="1" t="str">
        <f ca="1">IFERROR(__xludf.DUMMYFUNCTION("""COMPUTED_VALUE"""),"Chavez High School")</f>
        <v>Chavez High School</v>
      </c>
      <c r="G330" s="1">
        <f ca="1">IFERROR(__xludf.DUMMYFUNCTION("""COMPUTED_VALUE"""),0)</f>
        <v>0</v>
      </c>
      <c r="H330" s="1">
        <f ca="1">IFERROR(__xludf.DUMMYFUNCTION("""COMPUTED_VALUE"""),0)</f>
        <v>0</v>
      </c>
      <c r="I330" s="1">
        <f ca="1">IFERROR(__xludf.DUMMYFUNCTION("""COMPUTED_VALUE"""),0)</f>
        <v>0</v>
      </c>
      <c r="J330" s="1">
        <f ca="1">IFERROR(__xludf.DUMMYFUNCTION("""COMPUTED_VALUE"""),0)</f>
        <v>0</v>
      </c>
      <c r="K330" s="1" t="str">
        <f ca="1">IFERROR(__xludf.DUMMYFUNCTION("""COMPUTED_VALUE"""),"Spring")</f>
        <v>Spring</v>
      </c>
      <c r="L330" s="1" t="str">
        <f ca="1">IFERROR(__xludf.DUMMYFUNCTION("""COMPUTED_VALUE"""),"Houston")</f>
        <v>Houston</v>
      </c>
      <c r="M330" s="1" t="str">
        <f ca="1">IFERROR(__xludf.DUMMYFUNCTION("""COMPUTED_VALUE"""),"TX")</f>
        <v>TX</v>
      </c>
      <c r="N330" s="1" t="str">
        <f ca="1">IFERROR(__xludf.DUMMYFUNCTION("""COMPUTED_VALUE"""),"High")</f>
        <v>High</v>
      </c>
      <c r="O330" s="1" t="str">
        <f ca="1">IFERROR(__xludf.DUMMYFUNCTION("""COMPUTED_VALUE"""),"Office")</f>
        <v>Office</v>
      </c>
      <c r="P330" s="1" t="str">
        <f ca="1">IFERROR(__xludf.DUMMYFUNCTION("""COMPUTED_VALUE"""),"Inside School Building")</f>
        <v>Inside School Building</v>
      </c>
      <c r="Q330" s="1" t="str">
        <f ca="1">IFERROR(__xludf.DUMMYFUNCTION("""COMPUTED_VALUE"""),"Yes")</f>
        <v>Yes</v>
      </c>
      <c r="R330" s="1" t="str">
        <f ca="1">IFERROR(__xludf.DUMMYFUNCTION("""COMPUTED_VALUE"""),"Morning Classes")</f>
        <v>Morning Classes</v>
      </c>
      <c r="S330" s="5">
        <f ca="1">IFERROR(__xludf.DUMMYFUNCTION("""COMPUTED_VALUE"""),0.416666666666666)</f>
        <v>0.41666666666666602</v>
      </c>
      <c r="T330" s="1">
        <f ca="1">IFERROR(__xludf.DUMMYFUNCTION("""COMPUTED_VALUE"""),1)</f>
        <v>1</v>
      </c>
      <c r="U330" s="1" t="str">
        <f ca="1">IFERROR(__xludf.DUMMYFUNCTION("""COMPUTED_VALUE"""),"Student having mental crisis showed handgun to staff member and said he wanted to commit suicide")</f>
        <v>Student having mental crisis showed handgun to staff member and said he wanted to commit suicide</v>
      </c>
      <c r="V330" s="1" t="str">
        <f ca="1">IFERROR(__xludf.DUMMYFUNCTION("""COMPUTED_VALUE"""),"A Houston high school student is being held in jail on a $1 million bond and was ordered to undergo a mental health evaluation after allegedly bringing a 3D-printed gun to campus and threatening to kill himself.")</f>
        <v>A Houston high school student is being held in jail on a $1 million bond and was ordered to undergo a mental health evaluation after allegedly bringing a 3D-printed gun to campus and threatening to kill himself.</v>
      </c>
      <c r="W330" s="1" t="str">
        <f ca="1">IFERROR(__xludf.DUMMYFUNCTION("""COMPUTED_VALUE"""),"Suicide/Attempted")</f>
        <v>Suicide/Attempted</v>
      </c>
      <c r="X330" s="1" t="str">
        <f ca="1">IFERROR(__xludf.DUMMYFUNCTION("""COMPUTED_VALUE"""),"Victims Targeted")</f>
        <v>Victims Targeted</v>
      </c>
      <c r="Y330" s="1" t="str">
        <f ca="1">IFERROR(__xludf.DUMMYFUNCTION("""COMPUTED_VALUE"""),"No")</f>
        <v>No</v>
      </c>
      <c r="Z330" s="1"/>
      <c r="AA330" s="1" t="str">
        <f ca="1">IFERROR(__xludf.DUMMYFUNCTION("""COMPUTED_VALUE"""),"No")</f>
        <v>No</v>
      </c>
      <c r="AB330" s="1" t="str">
        <f ca="1">IFERROR(__xludf.DUMMYFUNCTION("""COMPUTED_VALUE"""),"No")</f>
        <v>No</v>
      </c>
      <c r="AC330" s="1" t="str">
        <f ca="1">IFERROR(__xludf.DUMMYFUNCTION("""COMPUTED_VALUE"""),"No")</f>
        <v>No</v>
      </c>
      <c r="AD330" s="1"/>
      <c r="AE330" s="1" t="str">
        <f ca="1">IFERROR(__xludf.DUMMYFUNCTION("""COMPUTED_VALUE"""),"No")</f>
        <v>No</v>
      </c>
      <c r="AF330" s="1" t="str">
        <f ca="1">IFERROR(__xludf.DUMMYFUNCTION("""COMPUTED_VALUE"""),"No")</f>
        <v>No</v>
      </c>
      <c r="AG330" s="1" t="str">
        <f ca="1">IFERROR(__xludf.DUMMYFUNCTION("""COMPUTED_VALUE"""),"No")</f>
        <v>No</v>
      </c>
      <c r="AH330" s="1">
        <f ca="1">IFERROR(__xludf.DUMMYFUNCTION("""COMPUTED_VALUE"""),0)</f>
        <v>0</v>
      </c>
    </row>
    <row r="331" spans="1:34" ht="12.5">
      <c r="A331" s="1" t="str">
        <f ca="1">IFERROR(__xludf.DUMMYFUNCTION("""COMPUTED_VALUE"""),"20230404OHWOC")</f>
        <v>20230404OHWOC</v>
      </c>
      <c r="B331" s="1">
        <f ca="1">IFERROR(__xludf.DUMMYFUNCTION("""COMPUTED_VALUE"""),4)</f>
        <v>4</v>
      </c>
      <c r="C331" s="1">
        <f ca="1">IFERROR(__xludf.DUMMYFUNCTION("""COMPUTED_VALUE"""),4)</f>
        <v>4</v>
      </c>
      <c r="D331" s="1">
        <f ca="1">IFERROR(__xludf.DUMMYFUNCTION("""COMPUTED_VALUE"""),2023)</f>
        <v>2023</v>
      </c>
      <c r="E331" s="4">
        <f ca="1">IFERROR(__xludf.DUMMYFUNCTION("""COMPUTED_VALUE"""),45020)</f>
        <v>45020</v>
      </c>
      <c r="F331" s="1" t="str">
        <f ca="1">IFERROR(__xludf.DUMMYFUNCTION("""COMPUTED_VALUE"""),"Woodward Career Technical School")</f>
        <v>Woodward Career Technical School</v>
      </c>
      <c r="G331" s="1">
        <f ca="1">IFERROR(__xludf.DUMMYFUNCTION("""COMPUTED_VALUE"""),0)</f>
        <v>0</v>
      </c>
      <c r="H331" s="1">
        <f ca="1">IFERROR(__xludf.DUMMYFUNCTION("""COMPUTED_VALUE"""),2)</f>
        <v>2</v>
      </c>
      <c r="I331" s="1">
        <f ca="1">IFERROR(__xludf.DUMMYFUNCTION("""COMPUTED_VALUE"""),2)</f>
        <v>2</v>
      </c>
      <c r="J331" s="1">
        <f ca="1">IFERROR(__xludf.DUMMYFUNCTION("""COMPUTED_VALUE"""),0)</f>
        <v>0</v>
      </c>
      <c r="K331" s="1" t="str">
        <f ca="1">IFERROR(__xludf.DUMMYFUNCTION("""COMPUTED_VALUE"""),"Spring")</f>
        <v>Spring</v>
      </c>
      <c r="L331" s="1" t="str">
        <f ca="1">IFERROR(__xludf.DUMMYFUNCTION("""COMPUTED_VALUE"""),"Cincinnati")</f>
        <v>Cincinnati</v>
      </c>
      <c r="M331" s="1" t="str">
        <f ca="1">IFERROR(__xludf.DUMMYFUNCTION("""COMPUTED_VALUE"""),"OH")</f>
        <v>OH</v>
      </c>
      <c r="N331" s="1" t="str">
        <f ca="1">IFERROR(__xludf.DUMMYFUNCTION("""COMPUTED_VALUE"""),"High")</f>
        <v>High</v>
      </c>
      <c r="O331" s="1" t="str">
        <f ca="1">IFERROR(__xludf.DUMMYFUNCTION("""COMPUTED_VALUE"""),"Front of School")</f>
        <v>Front of School</v>
      </c>
      <c r="P331" s="1" t="str">
        <f ca="1">IFERROR(__xludf.DUMMYFUNCTION("""COMPUTED_VALUE"""),"Outside on School Property")</f>
        <v>Outside on School Property</v>
      </c>
      <c r="Q331" s="1" t="str">
        <f ca="1">IFERROR(__xludf.DUMMYFUNCTION("""COMPUTED_VALUE"""),"Yes")</f>
        <v>Yes</v>
      </c>
      <c r="R331" s="1" t="str">
        <f ca="1">IFERROR(__xludf.DUMMYFUNCTION("""COMPUTED_VALUE"""),"Dismissal")</f>
        <v>Dismissal</v>
      </c>
      <c r="S331" s="5">
        <f ca="1">IFERROR(__xludf.DUMMYFUNCTION("""COMPUTED_VALUE"""),0.666666666666666)</f>
        <v>0.66666666666666596</v>
      </c>
      <c r="T331" s="1">
        <f ca="1">IFERROR(__xludf.DUMMYFUNCTION("""COMPUTED_VALUE"""),1)</f>
        <v>1</v>
      </c>
      <c r="U331" s="1" t="str">
        <f ca="1">IFERROR(__xludf.DUMMYFUNCTION("""COMPUTED_VALUE"""),"Two students shot in drive-by waiting for bus in front of school at dismissal")</f>
        <v>Two students shot in drive-by waiting for bus in front of school at dismissal</v>
      </c>
      <c r="V331" s="1" t="str">
        <f ca="1">IFERROR(__xludf.DUMMYFUNCTION("""COMPUTED_VALUE"""),"School district: “This afternoon, two Woodward Career Technical High School students were shot at a bus stop near the school by what appears to be a drive-by shooter shortly after dismissal. CPS’ security team immediately responded to safely move students"&amp;" back into the school building. EMS responded and transported the students to the hospital. CPS will support CPD in its investigation. All after-school activities have been canceled. As a precaution, there will be additional security and counselors at Woo"&amp;"dward Wednesday, April 5, 2023 to provide continued support for families.”")</f>
        <v>School district: “This afternoon, two Woodward Career Technical High School students were shot at a bus stop near the school by what appears to be a drive-by shooter shortly after dismissal. CPS’ security team immediately responded to safely move students back into the school building. EMS responded and transported the students to the hospital. CPS will support CPD in its investigation. All after-school activities have been canceled. As a precaution, there will be additional security and counselors at Woodward Wednesday, April 5, 2023 to provide continued support for families.”</v>
      </c>
      <c r="W331" s="1" t="str">
        <f ca="1">IFERROR(__xludf.DUMMYFUNCTION("""COMPUTED_VALUE"""),"Drive-by Shooting")</f>
        <v>Drive-by Shooting</v>
      </c>
      <c r="X331" s="1" t="str">
        <f ca="1">IFERROR(__xludf.DUMMYFUNCTION("""COMPUTED_VALUE"""),"Victims Targeted")</f>
        <v>Victims Targeted</v>
      </c>
      <c r="Y331" s="1"/>
      <c r="Z331" s="1"/>
      <c r="AA331" s="1" t="str">
        <f ca="1">IFERROR(__xludf.DUMMYFUNCTION("""COMPUTED_VALUE"""),"No")</f>
        <v>No</v>
      </c>
      <c r="AB331" s="1" t="str">
        <f ca="1">IFERROR(__xludf.DUMMYFUNCTION("""COMPUTED_VALUE"""),"No")</f>
        <v>No</v>
      </c>
      <c r="AC331" s="1" t="str">
        <f ca="1">IFERROR(__xludf.DUMMYFUNCTION("""COMPUTED_VALUE"""),"No")</f>
        <v>No</v>
      </c>
      <c r="AD331" s="1" t="str">
        <f ca="1">IFERROR(__xludf.DUMMYFUNCTION("""COMPUTED_VALUE"""),"No")</f>
        <v>No</v>
      </c>
      <c r="AE331" s="1" t="str">
        <f ca="1">IFERROR(__xludf.DUMMYFUNCTION("""COMPUTED_VALUE"""),"No")</f>
        <v>No</v>
      </c>
      <c r="AF331" s="1"/>
      <c r="AG331" s="1" t="str">
        <f ca="1">IFERROR(__xludf.DUMMYFUNCTION("""COMPUTED_VALUE"""),"No")</f>
        <v>No</v>
      </c>
      <c r="AH331" s="1">
        <f ca="1">IFERROR(__xludf.DUMMYFUNCTION("""COMPUTED_VALUE"""),99)</f>
        <v>99</v>
      </c>
    </row>
    <row r="332" spans="1:34" ht="12.5">
      <c r="A332" s="1" t="str">
        <f ca="1">IFERROR(__xludf.DUMMYFUNCTION("""COMPUTED_VALUE"""),"20230403PAFAP")</f>
        <v>20230403PAFAP</v>
      </c>
      <c r="B332" s="1">
        <f ca="1">IFERROR(__xludf.DUMMYFUNCTION("""COMPUTED_VALUE"""),4)</f>
        <v>4</v>
      </c>
      <c r="C332" s="1">
        <f ca="1">IFERROR(__xludf.DUMMYFUNCTION("""COMPUTED_VALUE"""),3)</f>
        <v>3</v>
      </c>
      <c r="D332" s="1">
        <f ca="1">IFERROR(__xludf.DUMMYFUNCTION("""COMPUTED_VALUE"""),2023)</f>
        <v>2023</v>
      </c>
      <c r="E332" s="4">
        <f ca="1">IFERROR(__xludf.DUMMYFUNCTION("""COMPUTED_VALUE"""),45019)</f>
        <v>45019</v>
      </c>
      <c r="F332" s="1" t="str">
        <f ca="1">IFERROR(__xludf.DUMMYFUNCTION("""COMPUTED_VALUE"""),"Father Judge High School")</f>
        <v>Father Judge High School</v>
      </c>
      <c r="G332" s="1">
        <f ca="1">IFERROR(__xludf.DUMMYFUNCTION("""COMPUTED_VALUE"""),0)</f>
        <v>0</v>
      </c>
      <c r="H332" s="1">
        <f ca="1">IFERROR(__xludf.DUMMYFUNCTION("""COMPUTED_VALUE"""),2)</f>
        <v>2</v>
      </c>
      <c r="I332" s="1">
        <f ca="1">IFERROR(__xludf.DUMMYFUNCTION("""COMPUTED_VALUE"""),2)</f>
        <v>2</v>
      </c>
      <c r="J332" s="1">
        <f ca="1">IFERROR(__xludf.DUMMYFUNCTION("""COMPUTED_VALUE"""),0)</f>
        <v>0</v>
      </c>
      <c r="K332" s="1" t="str">
        <f ca="1">IFERROR(__xludf.DUMMYFUNCTION("""COMPUTED_VALUE"""),"Spring")</f>
        <v>Spring</v>
      </c>
      <c r="L332" s="1" t="str">
        <f ca="1">IFERROR(__xludf.DUMMYFUNCTION("""COMPUTED_VALUE"""),"Philadelphia")</f>
        <v>Philadelphia</v>
      </c>
      <c r="M332" s="1" t="str">
        <f ca="1">IFERROR(__xludf.DUMMYFUNCTION("""COMPUTED_VALUE"""),"PA")</f>
        <v>PA</v>
      </c>
      <c r="N332" s="1" t="str">
        <f ca="1">IFERROR(__xludf.DUMMYFUNCTION("""COMPUTED_VALUE"""),"High")</f>
        <v>High</v>
      </c>
      <c r="O332" s="1" t="str">
        <f ca="1">IFERROR(__xludf.DUMMYFUNCTION("""COMPUTED_VALUE"""),"Front of School")</f>
        <v>Front of School</v>
      </c>
      <c r="P332" s="1" t="str">
        <f ca="1">IFERROR(__xludf.DUMMYFUNCTION("""COMPUTED_VALUE"""),"Outside on School Property")</f>
        <v>Outside on School Property</v>
      </c>
      <c r="Q332" s="1" t="str">
        <f ca="1">IFERROR(__xludf.DUMMYFUNCTION("""COMPUTED_VALUE"""),"No")</f>
        <v>No</v>
      </c>
      <c r="R332" s="1" t="str">
        <f ca="1">IFERROR(__xludf.DUMMYFUNCTION("""COMPUTED_VALUE"""),"Night")</f>
        <v>Night</v>
      </c>
      <c r="S332" s="5">
        <f ca="1">IFERROR(__xludf.DUMMYFUNCTION("""COMPUTED_VALUE"""),0.875)</f>
        <v>0.875</v>
      </c>
      <c r="T332" s="1">
        <f ca="1">IFERROR(__xludf.DUMMYFUNCTION("""COMPUTED_VALUE"""),1)</f>
        <v>1</v>
      </c>
      <c r="U332" s="1" t="str">
        <f ca="1">IFERROR(__xludf.DUMMYFUNCTION("""COMPUTED_VALUE"""),"Two teens shot in front of school")</f>
        <v>Two teens shot in front of school</v>
      </c>
      <c r="V332" s="1" t="str">
        <f ca="1">IFERROR(__xludf.DUMMYFUNCTION("""COMPUTED_VALUE"""),"Two teens shot in front of school. Shooter fled. School had extra police the following school day.")</f>
        <v>Two teens shot in front of school. Shooter fled. School had extra police the following school day.</v>
      </c>
      <c r="W332" s="1"/>
      <c r="X332" s="1" t="str">
        <f ca="1">IFERROR(__xludf.DUMMYFUNCTION("""COMPUTED_VALUE"""),"Victims Targeted")</f>
        <v>Victims Targeted</v>
      </c>
      <c r="Y332" s="1" t="str">
        <f ca="1">IFERROR(__xludf.DUMMYFUNCTION("""COMPUTED_VALUE"""),"No")</f>
        <v>No</v>
      </c>
      <c r="Z332" s="1"/>
      <c r="AA332" s="1" t="str">
        <f ca="1">IFERROR(__xludf.DUMMYFUNCTION("""COMPUTED_VALUE"""),"No")</f>
        <v>No</v>
      </c>
      <c r="AB332" s="1" t="str">
        <f ca="1">IFERROR(__xludf.DUMMYFUNCTION("""COMPUTED_VALUE"""),"No")</f>
        <v>No</v>
      </c>
      <c r="AC332" s="1" t="str">
        <f ca="1">IFERROR(__xludf.DUMMYFUNCTION("""COMPUTED_VALUE"""),"No")</f>
        <v>No</v>
      </c>
      <c r="AD332" s="1" t="str">
        <f ca="1">IFERROR(__xludf.DUMMYFUNCTION("""COMPUTED_VALUE"""),"No")</f>
        <v>No</v>
      </c>
      <c r="AE332" s="1" t="str">
        <f ca="1">IFERROR(__xludf.DUMMYFUNCTION("""COMPUTED_VALUE"""),"No")</f>
        <v>No</v>
      </c>
      <c r="AF332" s="1"/>
      <c r="AG332" s="1" t="str">
        <f ca="1">IFERROR(__xludf.DUMMYFUNCTION("""COMPUTED_VALUE"""),"No")</f>
        <v>No</v>
      </c>
      <c r="AH332" s="1">
        <f ca="1">IFERROR(__xludf.DUMMYFUNCTION("""COMPUTED_VALUE"""),6)</f>
        <v>6</v>
      </c>
    </row>
    <row r="333" spans="1:34" ht="12.5">
      <c r="A333" s="1" t="str">
        <f ca="1">IFERROR(__xludf.DUMMYFUNCTION("""COMPUTED_VALUE"""),"20230331NCLIR")</f>
        <v>20230331NCLIR</v>
      </c>
      <c r="B333" s="1">
        <f ca="1">IFERROR(__xludf.DUMMYFUNCTION("""COMPUTED_VALUE"""),3)</f>
        <v>3</v>
      </c>
      <c r="C333" s="1">
        <f ca="1">IFERROR(__xludf.DUMMYFUNCTION("""COMPUTED_VALUE"""),27)</f>
        <v>27</v>
      </c>
      <c r="D333" s="1">
        <f ca="1">IFERROR(__xludf.DUMMYFUNCTION("""COMPUTED_VALUE"""),2023)</f>
        <v>2023</v>
      </c>
      <c r="E333" s="4">
        <f ca="1">IFERROR(__xludf.DUMMYFUNCTION("""COMPUTED_VALUE"""),45012)</f>
        <v>45012</v>
      </c>
      <c r="F333" s="1" t="str">
        <f ca="1">IFERROR(__xludf.DUMMYFUNCTION("""COMPUTED_VALUE"""),"Ligon Magnet Middle School")</f>
        <v>Ligon Magnet Middle School</v>
      </c>
      <c r="G333" s="1">
        <f ca="1">IFERROR(__xludf.DUMMYFUNCTION("""COMPUTED_VALUE"""),0)</f>
        <v>0</v>
      </c>
      <c r="H333" s="1">
        <f ca="1">IFERROR(__xludf.DUMMYFUNCTION("""COMPUTED_VALUE"""),0)</f>
        <v>0</v>
      </c>
      <c r="I333" s="1">
        <f ca="1">IFERROR(__xludf.DUMMYFUNCTION("""COMPUTED_VALUE"""),0)</f>
        <v>0</v>
      </c>
      <c r="J333" s="1">
        <f ca="1">IFERROR(__xludf.DUMMYFUNCTION("""COMPUTED_VALUE"""),1)</f>
        <v>1</v>
      </c>
      <c r="K333" s="1" t="str">
        <f ca="1">IFERROR(__xludf.DUMMYFUNCTION("""COMPUTED_VALUE"""),"Spring")</f>
        <v>Spring</v>
      </c>
      <c r="L333" s="1" t="str">
        <f ca="1">IFERROR(__xludf.DUMMYFUNCTION("""COMPUTED_VALUE"""),"Raleigh")</f>
        <v>Raleigh</v>
      </c>
      <c r="M333" s="1" t="str">
        <f ca="1">IFERROR(__xludf.DUMMYFUNCTION("""COMPUTED_VALUE"""),"NC")</f>
        <v>NC</v>
      </c>
      <c r="N333" s="1" t="str">
        <f ca="1">IFERROR(__xludf.DUMMYFUNCTION("""COMPUTED_VALUE"""),"Middle")</f>
        <v>Middle</v>
      </c>
      <c r="O333" s="1" t="str">
        <f ca="1">IFERROR(__xludf.DUMMYFUNCTION("""COMPUTED_VALUE"""),"Parking Lot")</f>
        <v>Parking Lot</v>
      </c>
      <c r="P333" s="1" t="str">
        <f ca="1">IFERROR(__xludf.DUMMYFUNCTION("""COMPUTED_VALUE"""),"Outside on School Property")</f>
        <v>Outside on School Property</v>
      </c>
      <c r="Q333" s="1" t="str">
        <f ca="1">IFERROR(__xludf.DUMMYFUNCTION("""COMPUTED_VALUE"""),"Yes")</f>
        <v>Yes</v>
      </c>
      <c r="R333" s="1" t="str">
        <f ca="1">IFERROR(__xludf.DUMMYFUNCTION("""COMPUTED_VALUE"""),"School Start")</f>
        <v>School Start</v>
      </c>
      <c r="S333" s="5">
        <f ca="1">IFERROR(__xludf.DUMMYFUNCTION("""COMPUTED_VALUE"""),0.286805555555555)</f>
        <v>0.28680555555555498</v>
      </c>
      <c r="T333" s="1">
        <f ca="1">IFERROR(__xludf.DUMMYFUNCTION("""COMPUTED_VALUE"""),1)</f>
        <v>1</v>
      </c>
      <c r="U333" s="1" t="str">
        <f ca="1">IFERROR(__xludf.DUMMYFUNCTION("""COMPUTED_VALUE"""),"Man fired shots at teachers cars and police cars, killed by police 3 blocks from school")</f>
        <v>Man fired shots at teachers cars and police cars, killed by police 3 blocks from school</v>
      </c>
      <c r="V333" s="1" t="str">
        <f ca="1">IFERROR(__xludf.DUMMYFUNCTION("""COMPUTED_VALUE"""),"Man was walking down the street with a firearm shooting at cars. Fired at teachers in their cars arriving at middle school near the drop off area. School was placed on lockdown while students continued to arrive. Man fired a two police cars and was killed"&amp;" 3 blocks from the school in a residental area.")</f>
        <v>Man was walking down the street with a firearm shooting at cars. Fired at teachers in their cars arriving at middle school near the drop off area. School was placed on lockdown while students continued to arrive. Man fired a two police cars and was killed 3 blocks from the school in a residental area.</v>
      </c>
      <c r="W333" s="1" t="str">
        <f ca="1">IFERROR(__xludf.DUMMYFUNCTION("""COMPUTED_VALUE"""),"Indiscriminate Shooting")</f>
        <v>Indiscriminate Shooting</v>
      </c>
      <c r="X333" s="1" t="str">
        <f ca="1">IFERROR(__xludf.DUMMYFUNCTION("""COMPUTED_VALUE"""),"Random Shooting")</f>
        <v>Random Shooting</v>
      </c>
      <c r="Y333" s="1" t="str">
        <f ca="1">IFERROR(__xludf.DUMMYFUNCTION("""COMPUTED_VALUE"""),"No")</f>
        <v>No</v>
      </c>
      <c r="Z333" s="1"/>
      <c r="AA333" s="1" t="str">
        <f ca="1">IFERROR(__xludf.DUMMYFUNCTION("""COMPUTED_VALUE"""),"No")</f>
        <v>No</v>
      </c>
      <c r="AB333" s="1" t="str">
        <f ca="1">IFERROR(__xludf.DUMMYFUNCTION("""COMPUTED_VALUE"""),"No")</f>
        <v>No</v>
      </c>
      <c r="AC333" s="1" t="str">
        <f ca="1">IFERROR(__xludf.DUMMYFUNCTION("""COMPUTED_VALUE"""),"No")</f>
        <v>No</v>
      </c>
      <c r="AD333" s="1" t="str">
        <f ca="1">IFERROR(__xludf.DUMMYFUNCTION("""COMPUTED_VALUE"""),"No")</f>
        <v>No</v>
      </c>
      <c r="AE333" s="1" t="str">
        <f ca="1">IFERROR(__xludf.DUMMYFUNCTION("""COMPUTED_VALUE"""),"No")</f>
        <v>No</v>
      </c>
      <c r="AF333" s="1" t="str">
        <f ca="1">IFERROR(__xludf.DUMMYFUNCTION("""COMPUTED_VALUE"""),"No")</f>
        <v>No</v>
      </c>
      <c r="AG333" s="1" t="str">
        <f ca="1">IFERROR(__xludf.DUMMYFUNCTION("""COMPUTED_VALUE"""),"Yes")</f>
        <v>Yes</v>
      </c>
      <c r="AH333" s="1">
        <f ca="1">IFERROR(__xludf.DUMMYFUNCTION("""COMPUTED_VALUE"""),99)</f>
        <v>99</v>
      </c>
    </row>
    <row r="334" spans="1:34" ht="12.5">
      <c r="A334" s="1" t="str">
        <f ca="1">IFERROR(__xludf.DUMMYFUNCTION("""COMPUTED_VALUE"""),"20230331MSGNJ")</f>
        <v>20230331MSGNJ</v>
      </c>
      <c r="B334" s="1">
        <f ca="1">IFERROR(__xludf.DUMMYFUNCTION("""COMPUTED_VALUE"""),3)</f>
        <v>3</v>
      </c>
      <c r="C334" s="1">
        <f ca="1">IFERROR(__xludf.DUMMYFUNCTION("""COMPUTED_VALUE"""),31)</f>
        <v>31</v>
      </c>
      <c r="D334" s="1">
        <f ca="1">IFERROR(__xludf.DUMMYFUNCTION("""COMPUTED_VALUE"""),2023)</f>
        <v>2023</v>
      </c>
      <c r="E334" s="4">
        <f ca="1">IFERROR(__xludf.DUMMYFUNCTION("""COMPUTED_VALUE"""),45016)</f>
        <v>45016</v>
      </c>
      <c r="F334" s="1" t="str">
        <f ca="1">IFERROR(__xludf.DUMMYFUNCTION("""COMPUTED_VALUE"""),"G.N. Smith Elementary School")</f>
        <v>G.N. Smith Elementary School</v>
      </c>
      <c r="G334" s="1">
        <f ca="1">IFERROR(__xludf.DUMMYFUNCTION("""COMPUTED_VALUE"""),0)</f>
        <v>0</v>
      </c>
      <c r="H334" s="1">
        <f ca="1">IFERROR(__xludf.DUMMYFUNCTION("""COMPUTED_VALUE"""),2)</f>
        <v>2</v>
      </c>
      <c r="I334" s="1">
        <f ca="1">IFERROR(__xludf.DUMMYFUNCTION("""COMPUTED_VALUE"""),2)</f>
        <v>2</v>
      </c>
      <c r="J334" s="1">
        <f ca="1">IFERROR(__xludf.DUMMYFUNCTION("""COMPUTED_VALUE"""),0)</f>
        <v>0</v>
      </c>
      <c r="K334" s="1" t="str">
        <f ca="1">IFERROR(__xludf.DUMMYFUNCTION("""COMPUTED_VALUE"""),"Spring")</f>
        <v>Spring</v>
      </c>
      <c r="L334" s="1" t="str">
        <f ca="1">IFERROR(__xludf.DUMMYFUNCTION("""COMPUTED_VALUE"""),"Jackson")</f>
        <v>Jackson</v>
      </c>
      <c r="M334" s="1" t="str">
        <f ca="1">IFERROR(__xludf.DUMMYFUNCTION("""COMPUTED_VALUE"""),"MS")</f>
        <v>MS</v>
      </c>
      <c r="N334" s="1" t="str">
        <f ca="1">IFERROR(__xludf.DUMMYFUNCTION("""COMPUTED_VALUE"""),"Elementary")</f>
        <v>Elementary</v>
      </c>
      <c r="O334" s="1" t="str">
        <f ca="1">IFERROR(__xludf.DUMMYFUNCTION("""COMPUTED_VALUE"""),"Front of School")</f>
        <v>Front of School</v>
      </c>
      <c r="P334" s="1" t="str">
        <f ca="1">IFERROR(__xludf.DUMMYFUNCTION("""COMPUTED_VALUE"""),"Outside on School Property")</f>
        <v>Outside on School Property</v>
      </c>
      <c r="Q334" s="1" t="str">
        <f ca="1">IFERROR(__xludf.DUMMYFUNCTION("""COMPUTED_VALUE"""),"Yes")</f>
        <v>Yes</v>
      </c>
      <c r="R334" s="1" t="str">
        <f ca="1">IFERROR(__xludf.DUMMYFUNCTION("""COMPUTED_VALUE"""),"Afternoon Classes")</f>
        <v>Afternoon Classes</v>
      </c>
      <c r="S334" s="5">
        <f ca="1">IFERROR(__xludf.DUMMYFUNCTION("""COMPUTED_VALUE"""),0.625)</f>
        <v>0.625</v>
      </c>
      <c r="T334" s="1">
        <f ca="1">IFERROR(__xludf.DUMMYFUNCTION("""COMPUTED_VALUE"""),1)</f>
        <v>1</v>
      </c>
      <c r="U334" s="1" t="str">
        <f ca="1">IFERROR(__xludf.DUMMYFUNCTION("""COMPUTED_VALUE"""),"Two people wounded in vehicle in front of school")</f>
        <v>Two people wounded in vehicle in front of school</v>
      </c>
      <c r="V334" s="1" t="str">
        <f ca="1">IFERROR(__xludf.DUMMYFUNCTION("""COMPUTED_VALUE"""),"Two people wounded inside vehicle in front of school. At least 9 shots fired at the front and side of vehicle.")</f>
        <v>Two people wounded inside vehicle in front of school. At least 9 shots fired at the front and side of vehicle.</v>
      </c>
      <c r="W334" s="1" t="str">
        <f ca="1">IFERROR(__xludf.DUMMYFUNCTION("""COMPUTED_VALUE"""),"Drive-by Shooting")</f>
        <v>Drive-by Shooting</v>
      </c>
      <c r="X334" s="1" t="str">
        <f ca="1">IFERROR(__xludf.DUMMYFUNCTION("""COMPUTED_VALUE"""),"Victims Targeted")</f>
        <v>Victims Targeted</v>
      </c>
      <c r="Y334" s="1"/>
      <c r="Z334" s="1"/>
      <c r="AA334" s="1" t="str">
        <f ca="1">IFERROR(__xludf.DUMMYFUNCTION("""COMPUTED_VALUE"""),"No")</f>
        <v>No</v>
      </c>
      <c r="AB334" s="1" t="str">
        <f ca="1">IFERROR(__xludf.DUMMYFUNCTION("""COMPUTED_VALUE"""),"No")</f>
        <v>No</v>
      </c>
      <c r="AC334" s="1" t="str">
        <f ca="1">IFERROR(__xludf.DUMMYFUNCTION("""COMPUTED_VALUE"""),"No")</f>
        <v>No</v>
      </c>
      <c r="AD334" s="1" t="str">
        <f ca="1">IFERROR(__xludf.DUMMYFUNCTION("""COMPUTED_VALUE"""),"No")</f>
        <v>No</v>
      </c>
      <c r="AE334" s="1" t="str">
        <f ca="1">IFERROR(__xludf.DUMMYFUNCTION("""COMPUTED_VALUE"""),"No")</f>
        <v>No</v>
      </c>
      <c r="AF334" s="1"/>
      <c r="AG334" s="1" t="str">
        <f ca="1">IFERROR(__xludf.DUMMYFUNCTION("""COMPUTED_VALUE"""),"No")</f>
        <v>No</v>
      </c>
      <c r="AH334" s="1">
        <f ca="1">IFERROR(__xludf.DUMMYFUNCTION("""COMPUTED_VALUE"""),99)</f>
        <v>99</v>
      </c>
    </row>
    <row r="335" spans="1:34" ht="12.5">
      <c r="A335" s="1" t="str">
        <f ca="1">IFERROR(__xludf.DUMMYFUNCTION("""COMPUTED_VALUE"""),"20230331DCCAD")</f>
        <v>20230331DCCAD</v>
      </c>
      <c r="B335" s="1">
        <f ca="1">IFERROR(__xludf.DUMMYFUNCTION("""COMPUTED_VALUE"""),3)</f>
        <v>3</v>
      </c>
      <c r="C335" s="1">
        <f ca="1">IFERROR(__xludf.DUMMYFUNCTION("""COMPUTED_VALUE"""),31)</f>
        <v>31</v>
      </c>
      <c r="D335" s="1">
        <f ca="1">IFERROR(__xludf.DUMMYFUNCTION("""COMPUTED_VALUE"""),2023)</f>
        <v>2023</v>
      </c>
      <c r="E335" s="4">
        <f ca="1">IFERROR(__xludf.DUMMYFUNCTION("""COMPUTED_VALUE"""),45016)</f>
        <v>45016</v>
      </c>
      <c r="F335" s="1" t="str">
        <f ca="1">IFERROR(__xludf.DUMMYFUNCTION("""COMPUTED_VALUE"""),"Cardozo Education Campus")</f>
        <v>Cardozo Education Campus</v>
      </c>
      <c r="G335" s="1">
        <f ca="1">IFERROR(__xludf.DUMMYFUNCTION("""COMPUTED_VALUE"""),0)</f>
        <v>0</v>
      </c>
      <c r="H335" s="1">
        <f ca="1">IFERROR(__xludf.DUMMYFUNCTION("""COMPUTED_VALUE"""),1)</f>
        <v>1</v>
      </c>
      <c r="I335" s="1">
        <f ca="1">IFERROR(__xludf.DUMMYFUNCTION("""COMPUTED_VALUE"""),1)</f>
        <v>1</v>
      </c>
      <c r="J335" s="1">
        <f ca="1">IFERROR(__xludf.DUMMYFUNCTION("""COMPUTED_VALUE"""),0)</f>
        <v>0</v>
      </c>
      <c r="K335" s="1" t="str">
        <f ca="1">IFERROR(__xludf.DUMMYFUNCTION("""COMPUTED_VALUE"""),"Spring")</f>
        <v>Spring</v>
      </c>
      <c r="L335" s="1" t="str">
        <f ca="1">IFERROR(__xludf.DUMMYFUNCTION("""COMPUTED_VALUE"""),"Washington")</f>
        <v>Washington</v>
      </c>
      <c r="M335" s="1" t="str">
        <f ca="1">IFERROR(__xludf.DUMMYFUNCTION("""COMPUTED_VALUE"""),"DC")</f>
        <v>DC</v>
      </c>
      <c r="N335" s="1" t="str">
        <f ca="1">IFERROR(__xludf.DUMMYFUNCTION("""COMPUTED_VALUE"""),"High")</f>
        <v>High</v>
      </c>
      <c r="O335" s="1" t="str">
        <f ca="1">IFERROR(__xludf.DUMMYFUNCTION("""COMPUTED_VALUE"""),"Front of School")</f>
        <v>Front of School</v>
      </c>
      <c r="P335" s="1" t="str">
        <f ca="1">IFERROR(__xludf.DUMMYFUNCTION("""COMPUTED_VALUE"""),"Outside on School Property")</f>
        <v>Outside on School Property</v>
      </c>
      <c r="Q335" s="1" t="str">
        <f ca="1">IFERROR(__xludf.DUMMYFUNCTION("""COMPUTED_VALUE"""),"Yes")</f>
        <v>Yes</v>
      </c>
      <c r="R335" s="1" t="str">
        <f ca="1">IFERROR(__xludf.DUMMYFUNCTION("""COMPUTED_VALUE"""),"Dismissal")</f>
        <v>Dismissal</v>
      </c>
      <c r="S335" s="5">
        <f ca="1">IFERROR(__xludf.DUMMYFUNCTION("""COMPUTED_VALUE"""),0.65625)</f>
        <v>0.65625</v>
      </c>
      <c r="T335" s="1">
        <f ca="1">IFERROR(__xludf.DUMMYFUNCTION("""COMPUTED_VALUE"""),1)</f>
        <v>1</v>
      </c>
      <c r="U335" s="1" t="str">
        <f ca="1">IFERROR(__xludf.DUMMYFUNCTION("""COMPUTED_VALUE"""),"Teen shot outside of the school at dismissal")</f>
        <v>Teen shot outside of the school at dismissal</v>
      </c>
      <c r="V335" s="1" t="str">
        <f ca="1">IFERROR(__xludf.DUMMYFUNCTION("""COMPUTED_VALUE"""),"According to the Metropolitan Police Department, officers learned the teen had been shot and walked into an area hospital for help. Investigators say the shooting happened outside the Cardozo Education Campus in the 1200 block of Clifton Street just befor"&amp;"e 3:45 p.m.")</f>
        <v>According to the Metropolitan Police Department, officers learned the teen had been shot and walked into an area hospital for help. Investigators say the shooting happened outside the Cardozo Education Campus in the 1200 block of Clifton Street just before 3:45 p.m.</v>
      </c>
      <c r="W335" s="1"/>
      <c r="X335" s="1"/>
      <c r="Y335" s="1" t="str">
        <f ca="1">IFERROR(__xludf.DUMMYFUNCTION("""COMPUTED_VALUE"""),"No")</f>
        <v>No</v>
      </c>
      <c r="Z335" s="1"/>
      <c r="AA335" s="1" t="str">
        <f ca="1">IFERROR(__xludf.DUMMYFUNCTION("""COMPUTED_VALUE"""),"No")</f>
        <v>No</v>
      </c>
      <c r="AB335" s="1" t="str">
        <f ca="1">IFERROR(__xludf.DUMMYFUNCTION("""COMPUTED_VALUE"""),"No")</f>
        <v>No</v>
      </c>
      <c r="AC335" s="1" t="str">
        <f ca="1">IFERROR(__xludf.DUMMYFUNCTION("""COMPUTED_VALUE"""),"No")</f>
        <v>No</v>
      </c>
      <c r="AD335" s="1"/>
      <c r="AE335" s="1" t="str">
        <f ca="1">IFERROR(__xludf.DUMMYFUNCTION("""COMPUTED_VALUE"""),"No")</f>
        <v>No</v>
      </c>
      <c r="AF335" s="1"/>
      <c r="AG335" s="1" t="str">
        <f ca="1">IFERROR(__xludf.DUMMYFUNCTION("""COMPUTED_VALUE"""),"No")</f>
        <v>No</v>
      </c>
      <c r="AH335" s="1">
        <f ca="1">IFERROR(__xludf.DUMMYFUNCTION("""COMPUTED_VALUE"""),99)</f>
        <v>99</v>
      </c>
    </row>
    <row r="336" spans="1:34" ht="12.5">
      <c r="A336" s="1" t="str">
        <f ca="1">IFERROR(__xludf.DUMMYFUNCTION("""COMPUTED_VALUE"""),"20230331CAWOC")</f>
        <v>20230331CAWOC</v>
      </c>
      <c r="B336" s="1">
        <f ca="1">IFERROR(__xludf.DUMMYFUNCTION("""COMPUTED_VALUE"""),3)</f>
        <v>3</v>
      </c>
      <c r="C336" s="1">
        <f ca="1">IFERROR(__xludf.DUMMYFUNCTION("""COMPUTED_VALUE"""),31)</f>
        <v>31</v>
      </c>
      <c r="D336" s="1">
        <f ca="1">IFERROR(__xludf.DUMMYFUNCTION("""COMPUTED_VALUE"""),2023)</f>
        <v>2023</v>
      </c>
      <c r="E336" s="4">
        <f ca="1">IFERROR(__xludf.DUMMYFUNCTION("""COMPUTED_VALUE"""),45016)</f>
        <v>45016</v>
      </c>
      <c r="F336" s="1" t="str">
        <f ca="1">IFERROR(__xludf.DUMMYFUNCTION("""COMPUTED_VALUE"""),"Woodson Elementary School")</f>
        <v>Woodson Elementary School</v>
      </c>
      <c r="G336" s="1">
        <f ca="1">IFERROR(__xludf.DUMMYFUNCTION("""COMPUTED_VALUE"""),0)</f>
        <v>0</v>
      </c>
      <c r="H336" s="1">
        <f ca="1">IFERROR(__xludf.DUMMYFUNCTION("""COMPUTED_VALUE"""),1)</f>
        <v>1</v>
      </c>
      <c r="I336" s="1">
        <f ca="1">IFERROR(__xludf.DUMMYFUNCTION("""COMPUTED_VALUE"""),1)</f>
        <v>1</v>
      </c>
      <c r="J336" s="1">
        <f ca="1">IFERROR(__xludf.DUMMYFUNCTION("""COMPUTED_VALUE"""),0)</f>
        <v>0</v>
      </c>
      <c r="K336" s="1" t="str">
        <f ca="1">IFERROR(__xludf.DUMMYFUNCTION("""COMPUTED_VALUE"""),"Spring")</f>
        <v>Spring</v>
      </c>
      <c r="L336" s="1" t="str">
        <f ca="1">IFERROR(__xludf.DUMMYFUNCTION("""COMPUTED_VALUE"""),"Corning")</f>
        <v>Corning</v>
      </c>
      <c r="M336" s="1" t="str">
        <f ca="1">IFERROR(__xludf.DUMMYFUNCTION("""COMPUTED_VALUE"""),"CA")</f>
        <v>CA</v>
      </c>
      <c r="N336" s="1" t="str">
        <f ca="1">IFERROR(__xludf.DUMMYFUNCTION("""COMPUTED_VALUE"""),"Elementary")</f>
        <v>Elementary</v>
      </c>
      <c r="O336" s="1" t="str">
        <f ca="1">IFERROR(__xludf.DUMMYFUNCTION("""COMPUTED_VALUE"""),"Parking Lot")</f>
        <v>Parking Lot</v>
      </c>
      <c r="P336" s="1" t="str">
        <f ca="1">IFERROR(__xludf.DUMMYFUNCTION("""COMPUTED_VALUE"""),"Outside on School Property")</f>
        <v>Outside on School Property</v>
      </c>
      <c r="Q336" s="1" t="str">
        <f ca="1">IFERROR(__xludf.DUMMYFUNCTION("""COMPUTED_VALUE"""),"No")</f>
        <v>No</v>
      </c>
      <c r="R336" s="1" t="str">
        <f ca="1">IFERROR(__xludf.DUMMYFUNCTION("""COMPUTED_VALUE"""),"Evening")</f>
        <v>Evening</v>
      </c>
      <c r="S336" s="5">
        <f ca="1">IFERROR(__xludf.DUMMYFUNCTION("""COMPUTED_VALUE"""),0.854166666666666)</f>
        <v>0.85416666666666596</v>
      </c>
      <c r="T336" s="1">
        <f ca="1">IFERROR(__xludf.DUMMYFUNCTION("""COMPUTED_VALUE"""),1)</f>
        <v>1</v>
      </c>
      <c r="U336" s="1" t="str">
        <f ca="1">IFERROR(__xludf.DUMMYFUNCTION("""COMPUTED_VALUE"""),"Child shot in parking lot")</f>
        <v>Child shot in parking lot</v>
      </c>
      <c r="V336" s="1" t="str">
        <f ca="1">IFERROR(__xludf.DUMMYFUNCTION("""COMPUTED_VALUE"""),"Child was shot in the school parking lot and taken to hospital in stable conidition. Shooter fled.")</f>
        <v>Child was shot in the school parking lot and taken to hospital in stable conidition. Shooter fled.</v>
      </c>
      <c r="W336" s="1"/>
      <c r="X336" s="1"/>
      <c r="Y336" s="1"/>
      <c r="Z336" s="1"/>
      <c r="AA336" s="1" t="str">
        <f ca="1">IFERROR(__xludf.DUMMYFUNCTION("""COMPUTED_VALUE"""),"No")</f>
        <v>No</v>
      </c>
      <c r="AB336" s="1" t="str">
        <f ca="1">IFERROR(__xludf.DUMMYFUNCTION("""COMPUTED_VALUE"""),"No")</f>
        <v>No</v>
      </c>
      <c r="AC336" s="1" t="str">
        <f ca="1">IFERROR(__xludf.DUMMYFUNCTION("""COMPUTED_VALUE"""),"No")</f>
        <v>No</v>
      </c>
      <c r="AD336" s="1" t="str">
        <f ca="1">IFERROR(__xludf.DUMMYFUNCTION("""COMPUTED_VALUE"""),"No")</f>
        <v>No</v>
      </c>
      <c r="AE336" s="1"/>
      <c r="AF336" s="1" t="str">
        <f ca="1">IFERROR(__xludf.DUMMYFUNCTION("""COMPUTED_VALUE"""),"No")</f>
        <v>No</v>
      </c>
      <c r="AG336" s="1" t="str">
        <f ca="1">IFERROR(__xludf.DUMMYFUNCTION("""COMPUTED_VALUE"""),"No")</f>
        <v>No</v>
      </c>
      <c r="AH336" s="1"/>
    </row>
    <row r="337" spans="1:34" ht="12.5">
      <c r="A337" s="1" t="str">
        <f ca="1">IFERROR(__xludf.DUMMYFUNCTION("""COMPUTED_VALUE"""),"20230331CAJAR")</f>
        <v>20230331CAJAR</v>
      </c>
      <c r="B337" s="1">
        <f ca="1">IFERROR(__xludf.DUMMYFUNCTION("""COMPUTED_VALUE"""),3)</f>
        <v>3</v>
      </c>
      <c r="C337" s="1">
        <f ca="1">IFERROR(__xludf.DUMMYFUNCTION("""COMPUTED_VALUE"""),31)</f>
        <v>31</v>
      </c>
      <c r="D337" s="1">
        <f ca="1">IFERROR(__xludf.DUMMYFUNCTION("""COMPUTED_VALUE"""),2023)</f>
        <v>2023</v>
      </c>
      <c r="E337" s="4">
        <f ca="1">IFERROR(__xludf.DUMMYFUNCTION("""COMPUTED_VALUE"""),45016)</f>
        <v>45016</v>
      </c>
      <c r="F337" s="1" t="str">
        <f ca="1">IFERROR(__xludf.DUMMYFUNCTION("""COMPUTED_VALUE"""),"Jackson Heights Elementary School")</f>
        <v>Jackson Heights Elementary School</v>
      </c>
      <c r="G337" s="1">
        <f ca="1">IFERROR(__xludf.DUMMYFUNCTION("""COMPUTED_VALUE"""),0)</f>
        <v>0</v>
      </c>
      <c r="H337" s="1">
        <f ca="1">IFERROR(__xludf.DUMMYFUNCTION("""COMPUTED_VALUE"""),0)</f>
        <v>0</v>
      </c>
      <c r="I337" s="1">
        <f ca="1">IFERROR(__xludf.DUMMYFUNCTION("""COMPUTED_VALUE"""),0)</f>
        <v>0</v>
      </c>
      <c r="J337" s="1">
        <f ca="1">IFERROR(__xludf.DUMMYFUNCTION("""COMPUTED_VALUE"""),1)</f>
        <v>1</v>
      </c>
      <c r="K337" s="1" t="str">
        <f ca="1">IFERROR(__xludf.DUMMYFUNCTION("""COMPUTED_VALUE"""),"Spring")</f>
        <v>Spring</v>
      </c>
      <c r="L337" s="1" t="str">
        <f ca="1">IFERROR(__xludf.DUMMYFUNCTION("""COMPUTED_VALUE"""),"Red Bluff")</f>
        <v>Red Bluff</v>
      </c>
      <c r="M337" s="1" t="str">
        <f ca="1">IFERROR(__xludf.DUMMYFUNCTION("""COMPUTED_VALUE"""),"CA")</f>
        <v>CA</v>
      </c>
      <c r="N337" s="1" t="str">
        <f ca="1">IFERROR(__xludf.DUMMYFUNCTION("""COMPUTED_VALUE"""),"Elementary")</f>
        <v>Elementary</v>
      </c>
      <c r="O337" s="1" t="str">
        <f ca="1">IFERROR(__xludf.DUMMYFUNCTION("""COMPUTED_VALUE"""),"Outside on School Property")</f>
        <v>Outside on School Property</v>
      </c>
      <c r="P337" s="1" t="str">
        <f ca="1">IFERROR(__xludf.DUMMYFUNCTION("""COMPUTED_VALUE"""),"Outside on School Property")</f>
        <v>Outside on School Property</v>
      </c>
      <c r="Q337" s="1" t="str">
        <f ca="1">IFERROR(__xludf.DUMMYFUNCTION("""COMPUTED_VALUE"""),"Yes")</f>
        <v>Yes</v>
      </c>
      <c r="R337" s="1" t="str">
        <f ca="1">IFERROR(__xludf.DUMMYFUNCTION("""COMPUTED_VALUE"""),"Morning Classes")</f>
        <v>Morning Classes</v>
      </c>
      <c r="S337" s="5">
        <f ca="1">IFERROR(__xludf.DUMMYFUNCTION("""COMPUTED_VALUE"""),0.4)</f>
        <v>0.4</v>
      </c>
      <c r="T337" s="1">
        <f ca="1">IFERROR(__xludf.DUMMYFUNCTION("""COMPUTED_VALUE"""),1)</f>
        <v>1</v>
      </c>
      <c r="U337" s="1" t="str">
        <f ca="1">IFERROR(__xludf.DUMMYFUNCTION("""COMPUTED_VALUE"""),"Man with gun was seen walking toward elementary school, fired shots near school, commit suicide nearby")</f>
        <v>Man with gun was seen walking toward elementary school, fired shots near school, commit suicide nearby</v>
      </c>
      <c r="V337" s="1" t="str">
        <f ca="1">IFERROR(__xludf.DUMMYFUNCTION("""COMPUTED_VALUE"""),"33-year-old man was seen walking down street with gun toward elementary school. School went on lockdown. He fired shots near the school then commit suicide in the cemetery next to the school.")</f>
        <v>33-year-old man was seen walking down street with gun toward elementary school. School went on lockdown. He fired shots near the school then commit suicide in the cemetery next to the school.</v>
      </c>
      <c r="W337" s="1" t="str">
        <f ca="1">IFERROR(__xludf.DUMMYFUNCTION("""COMPUTED_VALUE"""),"Suicide/Attempted")</f>
        <v>Suicide/Attempted</v>
      </c>
      <c r="X337" s="1" t="str">
        <f ca="1">IFERROR(__xludf.DUMMYFUNCTION("""COMPUTED_VALUE"""),"Neither")</f>
        <v>Neither</v>
      </c>
      <c r="Y337" s="1" t="str">
        <f ca="1">IFERROR(__xludf.DUMMYFUNCTION("""COMPUTED_VALUE"""),"No")</f>
        <v>No</v>
      </c>
      <c r="Z337" s="1"/>
      <c r="AA337" s="1" t="str">
        <f ca="1">IFERROR(__xludf.DUMMYFUNCTION("""COMPUTED_VALUE"""),"No")</f>
        <v>No</v>
      </c>
      <c r="AB337" s="1" t="str">
        <f ca="1">IFERROR(__xludf.DUMMYFUNCTION("""COMPUTED_VALUE"""),"No")</f>
        <v>No</v>
      </c>
      <c r="AC337" s="1" t="str">
        <f ca="1">IFERROR(__xludf.DUMMYFUNCTION("""COMPUTED_VALUE"""),"No")</f>
        <v>No</v>
      </c>
      <c r="AD337" s="1" t="str">
        <f ca="1">IFERROR(__xludf.DUMMYFUNCTION("""COMPUTED_VALUE"""),"No")</f>
        <v>No</v>
      </c>
      <c r="AE337" s="1" t="str">
        <f ca="1">IFERROR(__xludf.DUMMYFUNCTION("""COMPUTED_VALUE"""),"No")</f>
        <v>No</v>
      </c>
      <c r="AF337" s="1" t="str">
        <f ca="1">IFERROR(__xludf.DUMMYFUNCTION("""COMPUTED_VALUE"""),"No")</f>
        <v>No</v>
      </c>
      <c r="AG337" s="1"/>
      <c r="AH337" s="1">
        <f ca="1">IFERROR(__xludf.DUMMYFUNCTION("""COMPUTED_VALUE"""),99)</f>
        <v>99</v>
      </c>
    </row>
    <row r="338" spans="1:34" ht="12.5">
      <c r="A338" s="1" t="str">
        <f ca="1">IFERROR(__xludf.DUMMYFUNCTION("""COMPUTED_VALUE"""),"20230330NCFOW")</f>
        <v>20230330NCFOW</v>
      </c>
      <c r="B338" s="1">
        <f ca="1">IFERROR(__xludf.DUMMYFUNCTION("""COMPUTED_VALUE"""),3)</f>
        <v>3</v>
      </c>
      <c r="C338" s="1">
        <f ca="1">IFERROR(__xludf.DUMMYFUNCTION("""COMPUTED_VALUE"""),30)</f>
        <v>30</v>
      </c>
      <c r="D338" s="1">
        <f ca="1">IFERROR(__xludf.DUMMYFUNCTION("""COMPUTED_VALUE"""),2023)</f>
        <v>2023</v>
      </c>
      <c r="E338" s="4">
        <f ca="1">IFERROR(__xludf.DUMMYFUNCTION("""COMPUTED_VALUE"""),45015)</f>
        <v>45015</v>
      </c>
      <c r="F338" s="1" t="str">
        <f ca="1">IFERROR(__xludf.DUMMYFUNCTION("""COMPUTED_VALUE"""),"Forsyth Technical Community College (high school enrollment day)")</f>
        <v>Forsyth Technical Community College (high school enrollment day)</v>
      </c>
      <c r="G338" s="1">
        <f ca="1">IFERROR(__xludf.DUMMYFUNCTION("""COMPUTED_VALUE"""),0)</f>
        <v>0</v>
      </c>
      <c r="H338" s="1">
        <f ca="1">IFERROR(__xludf.DUMMYFUNCTION("""COMPUTED_VALUE"""),1)</f>
        <v>1</v>
      </c>
      <c r="I338" s="1">
        <f ca="1">IFERROR(__xludf.DUMMYFUNCTION("""COMPUTED_VALUE"""),1)</f>
        <v>1</v>
      </c>
      <c r="J338" s="1">
        <f ca="1">IFERROR(__xludf.DUMMYFUNCTION("""COMPUTED_VALUE"""),0)</f>
        <v>0</v>
      </c>
      <c r="K338" s="1" t="str">
        <f ca="1">IFERROR(__xludf.DUMMYFUNCTION("""COMPUTED_VALUE"""),"Spring")</f>
        <v>Spring</v>
      </c>
      <c r="L338" s="1" t="str">
        <f ca="1">IFERROR(__xludf.DUMMYFUNCTION("""COMPUTED_VALUE"""),"Winston-Salem")</f>
        <v>Winston-Salem</v>
      </c>
      <c r="M338" s="1" t="str">
        <f ca="1">IFERROR(__xludf.DUMMYFUNCTION("""COMPUTED_VALUE"""),"NC")</f>
        <v>NC</v>
      </c>
      <c r="N338" s="1" t="str">
        <f ca="1">IFERROR(__xludf.DUMMYFUNCTION("""COMPUTED_VALUE"""),"High")</f>
        <v>High</v>
      </c>
      <c r="O338" s="1" t="str">
        <f ca="1">IFERROR(__xludf.DUMMYFUNCTION("""COMPUTED_VALUE"""),"Bathroom")</f>
        <v>Bathroom</v>
      </c>
      <c r="P338" s="1" t="str">
        <f ca="1">IFERROR(__xludf.DUMMYFUNCTION("""COMPUTED_VALUE"""),"Off School Property")</f>
        <v>Off School Property</v>
      </c>
      <c r="Q338" s="1" t="str">
        <f ca="1">IFERROR(__xludf.DUMMYFUNCTION("""COMPUTED_VALUE"""),"Yes")</f>
        <v>Yes</v>
      </c>
      <c r="R338" s="1" t="str">
        <f ca="1">IFERROR(__xludf.DUMMYFUNCTION("""COMPUTED_VALUE"""),"Morning Classes")</f>
        <v>Morning Classes</v>
      </c>
      <c r="S338" s="5">
        <f ca="1">IFERROR(__xludf.DUMMYFUNCTION("""COMPUTED_VALUE"""),0.416666666666666)</f>
        <v>0.41666666666666602</v>
      </c>
      <c r="T338" s="1">
        <f ca="1">IFERROR(__xludf.DUMMYFUNCTION("""COMPUTED_VALUE"""),1)</f>
        <v>1</v>
      </c>
      <c r="U338" s="1" t="str">
        <f ca="1">IFERROR(__xludf.DUMMYFUNCTION("""COMPUTED_VALUE"""),"High school senior shot self in the hand during high school enrollment day at community college")</f>
        <v>High school senior shot self in the hand during high school enrollment day at community college</v>
      </c>
      <c r="V338" s="1" t="str">
        <f ca="1">IFERROR(__xludf.DUMMYFUNCTION("""COMPUTED_VALUE"""),"High school senior shot self in the hand inside a bathroom during high school enrollment day at community college. Hundreds of seniors from area high schools were on the campus for the event. Gunshot causes active shooter response.")</f>
        <v>High school senior shot self in the hand inside a bathroom during high school enrollment day at community college. Hundreds of seniors from area high schools were on the campus for the event. Gunshot causes active shooter response.</v>
      </c>
      <c r="W338" s="1" t="str">
        <f ca="1">IFERROR(__xludf.DUMMYFUNCTION("""COMPUTED_VALUE"""),"Accidental")</f>
        <v>Accidental</v>
      </c>
      <c r="X338" s="1" t="str">
        <f ca="1">IFERROR(__xludf.DUMMYFUNCTION("""COMPUTED_VALUE"""),"Neither")</f>
        <v>Neither</v>
      </c>
      <c r="Y338" s="1" t="str">
        <f ca="1">IFERROR(__xludf.DUMMYFUNCTION("""COMPUTED_VALUE"""),"No")</f>
        <v>No</v>
      </c>
      <c r="Z338" s="1"/>
      <c r="AA338" s="1" t="str">
        <f ca="1">IFERROR(__xludf.DUMMYFUNCTION("""COMPUTED_VALUE"""),"No")</f>
        <v>No</v>
      </c>
      <c r="AB338" s="1" t="str">
        <f ca="1">IFERROR(__xludf.DUMMYFUNCTION("""COMPUTED_VALUE"""),"No")</f>
        <v>No</v>
      </c>
      <c r="AC338" s="1" t="str">
        <f ca="1">IFERROR(__xludf.DUMMYFUNCTION("""COMPUTED_VALUE"""),"No")</f>
        <v>No</v>
      </c>
      <c r="AD338" s="1" t="str">
        <f ca="1">IFERROR(__xludf.DUMMYFUNCTION("""COMPUTED_VALUE"""),"No")</f>
        <v>No</v>
      </c>
      <c r="AE338" s="1" t="str">
        <f ca="1">IFERROR(__xludf.DUMMYFUNCTION("""COMPUTED_VALUE"""),"No")</f>
        <v>No</v>
      </c>
      <c r="AF338" s="1" t="str">
        <f ca="1">IFERROR(__xludf.DUMMYFUNCTION("""COMPUTED_VALUE"""),"No")</f>
        <v>No</v>
      </c>
      <c r="AG338" s="1" t="str">
        <f ca="1">IFERROR(__xludf.DUMMYFUNCTION("""COMPUTED_VALUE"""),"No")</f>
        <v>No</v>
      </c>
      <c r="AH338" s="1">
        <f ca="1">IFERROR(__xludf.DUMMYFUNCTION("""COMPUTED_VALUE"""),1)</f>
        <v>1</v>
      </c>
    </row>
    <row r="339" spans="1:34" ht="12.5">
      <c r="A339" s="1" t="str">
        <f ca="1">IFERROR(__xludf.DUMMYFUNCTION("""COMPUTED_VALUE"""),"20230329MDBRO")</f>
        <v>20230329MDBRO</v>
      </c>
      <c r="B339" s="1">
        <f ca="1">IFERROR(__xludf.DUMMYFUNCTION("""COMPUTED_VALUE"""),3)</f>
        <v>3</v>
      </c>
      <c r="C339" s="1">
        <f ca="1">IFERROR(__xludf.DUMMYFUNCTION("""COMPUTED_VALUE"""),29)</f>
        <v>29</v>
      </c>
      <c r="D339" s="1">
        <f ca="1">IFERROR(__xludf.DUMMYFUNCTION("""COMPUTED_VALUE"""),2023)</f>
        <v>2023</v>
      </c>
      <c r="E339" s="4">
        <f ca="1">IFERROR(__xludf.DUMMYFUNCTION("""COMPUTED_VALUE"""),45014)</f>
        <v>45014</v>
      </c>
      <c r="F339" s="1" t="str">
        <f ca="1">IFERROR(__xludf.DUMMYFUNCTION("""COMPUTED_VALUE"""),"Brooke Grove Elementary School")</f>
        <v>Brooke Grove Elementary School</v>
      </c>
      <c r="G339" s="1">
        <f ca="1">IFERROR(__xludf.DUMMYFUNCTION("""COMPUTED_VALUE"""),0)</f>
        <v>0</v>
      </c>
      <c r="H339" s="1">
        <f ca="1">IFERROR(__xludf.DUMMYFUNCTION("""COMPUTED_VALUE"""),0)</f>
        <v>0</v>
      </c>
      <c r="I339" s="1">
        <f ca="1">IFERROR(__xludf.DUMMYFUNCTION("""COMPUTED_VALUE"""),0)</f>
        <v>0</v>
      </c>
      <c r="J339" s="1">
        <f ca="1">IFERROR(__xludf.DUMMYFUNCTION("""COMPUTED_VALUE"""),0)</f>
        <v>0</v>
      </c>
      <c r="K339" s="1" t="str">
        <f ca="1">IFERROR(__xludf.DUMMYFUNCTION("""COMPUTED_VALUE"""),"Spring")</f>
        <v>Spring</v>
      </c>
      <c r="L339" s="1" t="str">
        <f ca="1">IFERROR(__xludf.DUMMYFUNCTION("""COMPUTED_VALUE"""),"Olney")</f>
        <v>Olney</v>
      </c>
      <c r="M339" s="1" t="str">
        <f ca="1">IFERROR(__xludf.DUMMYFUNCTION("""COMPUTED_VALUE"""),"MD")</f>
        <v>MD</v>
      </c>
      <c r="N339" s="1" t="str">
        <f ca="1">IFERROR(__xludf.DUMMYFUNCTION("""COMPUTED_VALUE"""),"Middle")</f>
        <v>Middle</v>
      </c>
      <c r="O339" s="1" t="str">
        <f ca="1">IFERROR(__xludf.DUMMYFUNCTION("""COMPUTED_VALUE"""),"Parking Lot")</f>
        <v>Parking Lot</v>
      </c>
      <c r="P339" s="1" t="str">
        <f ca="1">IFERROR(__xludf.DUMMYFUNCTION("""COMPUTED_VALUE"""),"Outside on School Property")</f>
        <v>Outside on School Property</v>
      </c>
      <c r="Q339" s="1" t="str">
        <f ca="1">IFERROR(__xludf.DUMMYFUNCTION("""COMPUTED_VALUE"""),"No")</f>
        <v>No</v>
      </c>
      <c r="R339" s="1" t="str">
        <f ca="1">IFERROR(__xludf.DUMMYFUNCTION("""COMPUTED_VALUE"""),"Evening")</f>
        <v>Evening</v>
      </c>
      <c r="S339" s="5">
        <f ca="1">IFERROR(__xludf.DUMMYFUNCTION("""COMPUTED_VALUE"""),0.782638888888888)</f>
        <v>0.782638888888888</v>
      </c>
      <c r="T339" s="1">
        <f ca="1">IFERROR(__xludf.DUMMYFUNCTION("""COMPUTED_VALUE"""),1)</f>
        <v>1</v>
      </c>
      <c r="U339" s="1" t="str">
        <f ca="1">IFERROR(__xludf.DUMMYFUNCTION("""COMPUTED_VALUE"""),"Shots fired during fight in school parking lot")</f>
        <v>Shots fired during fight in school parking lot</v>
      </c>
      <c r="V339" s="1" t="str">
        <f ca="1">IFERROR(__xludf.DUMMYFUNCTION("""COMPUTED_VALUE"""),"According to the police, at 6:47 p.m., MCPD officers responded to 2700 Spartan Road to reports of a shooting that took place. Police stated their investigation determined that an altercation in the parking lot led to the shooting. Shooter fled. No injurie"&amp;"s.")</f>
        <v>According to the police, at 6:47 p.m., MCPD officers responded to 2700 Spartan Road to reports of a shooting that took place. Police stated their investigation determined that an altercation in the parking lot led to the shooting. Shooter fled. No injuries.</v>
      </c>
      <c r="W339" s="1" t="str">
        <f ca="1">IFERROR(__xludf.DUMMYFUNCTION("""COMPUTED_VALUE"""),"Escalation of Dispute")</f>
        <v>Escalation of Dispute</v>
      </c>
      <c r="X339" s="1" t="str">
        <f ca="1">IFERROR(__xludf.DUMMYFUNCTION("""COMPUTED_VALUE"""),"Victims Targeted")</f>
        <v>Victims Targeted</v>
      </c>
      <c r="Y339" s="1" t="str">
        <f ca="1">IFERROR(__xludf.DUMMYFUNCTION("""COMPUTED_VALUE"""),"No")</f>
        <v>No</v>
      </c>
      <c r="Z339" s="1"/>
      <c r="AA339" s="1" t="str">
        <f ca="1">IFERROR(__xludf.DUMMYFUNCTION("""COMPUTED_VALUE"""),"No")</f>
        <v>No</v>
      </c>
      <c r="AB339" s="1" t="str">
        <f ca="1">IFERROR(__xludf.DUMMYFUNCTION("""COMPUTED_VALUE"""),"No")</f>
        <v>No</v>
      </c>
      <c r="AC339" s="1" t="str">
        <f ca="1">IFERROR(__xludf.DUMMYFUNCTION("""COMPUTED_VALUE"""),"No")</f>
        <v>No</v>
      </c>
      <c r="AD339" s="1" t="str">
        <f ca="1">IFERROR(__xludf.DUMMYFUNCTION("""COMPUTED_VALUE"""),"No")</f>
        <v>No</v>
      </c>
      <c r="AE339" s="1" t="str">
        <f ca="1">IFERROR(__xludf.DUMMYFUNCTION("""COMPUTED_VALUE"""),"No")</f>
        <v>No</v>
      </c>
      <c r="AF339" s="1"/>
      <c r="AG339" s="1" t="str">
        <f ca="1">IFERROR(__xludf.DUMMYFUNCTION("""COMPUTED_VALUE"""),"No")</f>
        <v>No</v>
      </c>
      <c r="AH339" s="1">
        <f ca="1">IFERROR(__xludf.DUMMYFUNCTION("""COMPUTED_VALUE"""),99)</f>
        <v>99</v>
      </c>
    </row>
    <row r="340" spans="1:34" ht="12.5">
      <c r="A340" s="1" t="str">
        <f ca="1">IFERROR(__xludf.DUMMYFUNCTION("""COMPUTED_VALUE"""),"20230329GANED")</f>
        <v>20230329GANED</v>
      </c>
      <c r="B340" s="1">
        <f ca="1">IFERROR(__xludf.DUMMYFUNCTION("""COMPUTED_VALUE"""),3)</f>
        <v>3</v>
      </c>
      <c r="C340" s="1">
        <f ca="1">IFERROR(__xludf.DUMMYFUNCTION("""COMPUTED_VALUE"""),29)</f>
        <v>29</v>
      </c>
      <c r="D340" s="1">
        <f ca="1">IFERROR(__xludf.DUMMYFUNCTION("""COMPUTED_VALUE"""),2023)</f>
        <v>2023</v>
      </c>
      <c r="E340" s="4">
        <f ca="1">IFERROR(__xludf.DUMMYFUNCTION("""COMPUTED_VALUE"""),45014)</f>
        <v>45014</v>
      </c>
      <c r="F340" s="1" t="str">
        <f ca="1">IFERROR(__xludf.DUMMYFUNCTION("""COMPUTED_VALUE"""),"New Manchester High School")</f>
        <v>New Manchester High School</v>
      </c>
      <c r="G340" s="1">
        <f ca="1">IFERROR(__xludf.DUMMYFUNCTION("""COMPUTED_VALUE"""),0)</f>
        <v>0</v>
      </c>
      <c r="H340" s="1">
        <f ca="1">IFERROR(__xludf.DUMMYFUNCTION("""COMPUTED_VALUE"""),0)</f>
        <v>0</v>
      </c>
      <c r="I340" s="1">
        <f ca="1">IFERROR(__xludf.DUMMYFUNCTION("""COMPUTED_VALUE"""),0)</f>
        <v>0</v>
      </c>
      <c r="J340" s="1">
        <f ca="1">IFERROR(__xludf.DUMMYFUNCTION("""COMPUTED_VALUE"""),1)</f>
        <v>1</v>
      </c>
      <c r="K340" s="1" t="str">
        <f ca="1">IFERROR(__xludf.DUMMYFUNCTION("""COMPUTED_VALUE"""),"Spring")</f>
        <v>Spring</v>
      </c>
      <c r="L340" s="1" t="str">
        <f ca="1">IFERROR(__xludf.DUMMYFUNCTION("""COMPUTED_VALUE"""),"Douglasville")</f>
        <v>Douglasville</v>
      </c>
      <c r="M340" s="1" t="str">
        <f ca="1">IFERROR(__xludf.DUMMYFUNCTION("""COMPUTED_VALUE"""),"GA")</f>
        <v>GA</v>
      </c>
      <c r="N340" s="1" t="str">
        <f ca="1">IFERROR(__xludf.DUMMYFUNCTION("""COMPUTED_VALUE"""),"High")</f>
        <v>High</v>
      </c>
      <c r="O340" s="1" t="str">
        <f ca="1">IFERROR(__xludf.DUMMYFUNCTION("""COMPUTED_VALUE"""),"Football Field/Track")</f>
        <v>Football Field/Track</v>
      </c>
      <c r="P340" s="1" t="str">
        <f ca="1">IFERROR(__xludf.DUMMYFUNCTION("""COMPUTED_VALUE"""),"Outside on School Property")</f>
        <v>Outside on School Property</v>
      </c>
      <c r="Q340" s="1" t="str">
        <f ca="1">IFERROR(__xludf.DUMMYFUNCTION("""COMPUTED_VALUE"""),"Yes")</f>
        <v>Yes</v>
      </c>
      <c r="R340" s="1" t="str">
        <f ca="1">IFERROR(__xludf.DUMMYFUNCTION("""COMPUTED_VALUE"""),"Morning Classes")</f>
        <v>Morning Classes</v>
      </c>
      <c r="S340" s="5">
        <f ca="1">IFERROR(__xludf.DUMMYFUNCTION("""COMPUTED_VALUE"""),0.470833333333333)</f>
        <v>0.47083333333333299</v>
      </c>
      <c r="T340" s="1">
        <f ca="1">IFERROR(__xludf.DUMMYFUNCTION("""COMPUTED_VALUE"""),5)</f>
        <v>5</v>
      </c>
      <c r="U340" s="1" t="str">
        <f ca="1">IFERROR(__xludf.DUMMYFUNCTION("""COMPUTED_VALUE"""),"Man was see holding gun at school event, chased from school by SRO, killed at nearby residence after shooting at police")</f>
        <v>Man was see holding gun at school event, chased from school by SRO, killed at nearby residence after shooting at police</v>
      </c>
      <c r="V340" s="1" t="str">
        <f ca="1">IFERROR(__xludf.DUMMYFUNCTION("""COMPUTED_VALUE"""),"Man holding a gun was seen at the New Manchester High School Special Olympics event being held in the football stadium. When SRO approached man, he ran from the stadium to a nearby residence. When police confronted him at the residence, he fired shots at "&amp;"officers and was killed.")</f>
        <v>Man holding a gun was seen at the New Manchester High School Special Olympics event being held in the football stadium. When SRO approached man, he ran from the stadium to a nearby residence. When police confronted him at the residence, he fired shots at officers and was killed.</v>
      </c>
      <c r="W340" s="1"/>
      <c r="X340" s="1" t="str">
        <f ca="1">IFERROR(__xludf.DUMMYFUNCTION("""COMPUTED_VALUE"""),"Neither")</f>
        <v>Neither</v>
      </c>
      <c r="Y340" s="1" t="str">
        <f ca="1">IFERROR(__xludf.DUMMYFUNCTION("""COMPUTED_VALUE"""),"No")</f>
        <v>No</v>
      </c>
      <c r="Z340" s="1"/>
      <c r="AA340" s="1" t="str">
        <f ca="1">IFERROR(__xludf.DUMMYFUNCTION("""COMPUTED_VALUE"""),"No")</f>
        <v>No</v>
      </c>
      <c r="AB340" s="1" t="str">
        <f ca="1">IFERROR(__xludf.DUMMYFUNCTION("""COMPUTED_VALUE"""),"No")</f>
        <v>No</v>
      </c>
      <c r="AC340" s="1" t="str">
        <f ca="1">IFERROR(__xludf.DUMMYFUNCTION("""COMPUTED_VALUE"""),"No")</f>
        <v>No</v>
      </c>
      <c r="AD340" s="1" t="str">
        <f ca="1">IFERROR(__xludf.DUMMYFUNCTION("""COMPUTED_VALUE"""),"No")</f>
        <v>No</v>
      </c>
      <c r="AE340" s="1" t="str">
        <f ca="1">IFERROR(__xludf.DUMMYFUNCTION("""COMPUTED_VALUE"""),"No")</f>
        <v>No</v>
      </c>
      <c r="AF340" s="1" t="str">
        <f ca="1">IFERROR(__xludf.DUMMYFUNCTION("""COMPUTED_VALUE"""),"No")</f>
        <v>No</v>
      </c>
      <c r="AG340" s="1" t="str">
        <f ca="1">IFERROR(__xludf.DUMMYFUNCTION("""COMPUTED_VALUE"""),"No")</f>
        <v>No</v>
      </c>
      <c r="AH340" s="1">
        <f ca="1">IFERROR(__xludf.DUMMYFUNCTION("""COMPUTED_VALUE"""),0)</f>
        <v>0</v>
      </c>
    </row>
    <row r="341" spans="1:34" ht="12.5">
      <c r="A341" s="1" t="str">
        <f ca="1">IFERROR(__xludf.DUMMYFUNCTION("""COMPUTED_VALUE"""),"20230327TNCON")</f>
        <v>20230327TNCON</v>
      </c>
      <c r="B341" s="1">
        <f ca="1">IFERROR(__xludf.DUMMYFUNCTION("""COMPUTED_VALUE"""),3)</f>
        <v>3</v>
      </c>
      <c r="C341" s="1">
        <f ca="1">IFERROR(__xludf.DUMMYFUNCTION("""COMPUTED_VALUE"""),27)</f>
        <v>27</v>
      </c>
      <c r="D341" s="1">
        <f ca="1">IFERROR(__xludf.DUMMYFUNCTION("""COMPUTED_VALUE"""),2023)</f>
        <v>2023</v>
      </c>
      <c r="E341" s="4">
        <f ca="1">IFERROR(__xludf.DUMMYFUNCTION("""COMPUTED_VALUE"""),45012)</f>
        <v>45012</v>
      </c>
      <c r="F341" s="1" t="str">
        <f ca="1">IFERROR(__xludf.DUMMYFUNCTION("""COMPUTED_VALUE"""),"Covenant School")</f>
        <v>Covenant School</v>
      </c>
      <c r="G341" s="1">
        <f ca="1">IFERROR(__xludf.DUMMYFUNCTION("""COMPUTED_VALUE"""),6)</f>
        <v>6</v>
      </c>
      <c r="H341" s="1">
        <f ca="1">IFERROR(__xludf.DUMMYFUNCTION("""COMPUTED_VALUE"""),1)</f>
        <v>1</v>
      </c>
      <c r="I341" s="1">
        <f ca="1">IFERROR(__xludf.DUMMYFUNCTION("""COMPUTED_VALUE"""),7)</f>
        <v>7</v>
      </c>
      <c r="J341" s="1">
        <f ca="1">IFERROR(__xludf.DUMMYFUNCTION("""COMPUTED_VALUE"""),1)</f>
        <v>1</v>
      </c>
      <c r="K341" s="1" t="str">
        <f ca="1">IFERROR(__xludf.DUMMYFUNCTION("""COMPUTED_VALUE"""),"Spring")</f>
        <v>Spring</v>
      </c>
      <c r="L341" s="1" t="str">
        <f ca="1">IFERROR(__xludf.DUMMYFUNCTION("""COMPUTED_VALUE"""),"Nashville")</f>
        <v>Nashville</v>
      </c>
      <c r="M341" s="1" t="str">
        <f ca="1">IFERROR(__xludf.DUMMYFUNCTION("""COMPUTED_VALUE"""),"TN")</f>
        <v>TN</v>
      </c>
      <c r="N341" s="1" t="str">
        <f ca="1">IFERROR(__xludf.DUMMYFUNCTION("""COMPUTED_VALUE"""),"Elementary")</f>
        <v>Elementary</v>
      </c>
      <c r="O341" s="1" t="str">
        <f ca="1">IFERROR(__xludf.DUMMYFUNCTION("""COMPUTED_VALUE"""),"Inside School Building")</f>
        <v>Inside School Building</v>
      </c>
      <c r="P341" s="1" t="str">
        <f ca="1">IFERROR(__xludf.DUMMYFUNCTION("""COMPUTED_VALUE"""),"Inside School Building")</f>
        <v>Inside School Building</v>
      </c>
      <c r="Q341" s="1" t="str">
        <f ca="1">IFERROR(__xludf.DUMMYFUNCTION("""COMPUTED_VALUE"""),"Yes")</f>
        <v>Yes</v>
      </c>
      <c r="R341" s="1" t="str">
        <f ca="1">IFERROR(__xludf.DUMMYFUNCTION("""COMPUTED_VALUE"""),"Morning Classes")</f>
        <v>Morning Classes</v>
      </c>
      <c r="S341" s="5">
        <f ca="1">IFERROR(__xludf.DUMMYFUNCTION("""COMPUTED_VALUE"""),0.423611111111111)</f>
        <v>0.42361111111111099</v>
      </c>
      <c r="T341" s="1">
        <f ca="1">IFERROR(__xludf.DUMMYFUNCTION("""COMPUTED_VALUE"""),17)</f>
        <v>17</v>
      </c>
      <c r="U341" s="1" t="str">
        <f ca="1">IFERROR(__xludf.DUMMYFUNCTION("""COMPUTED_VALUE"""),"Planned by former student with 3 firearms")</f>
        <v>Planned by former student with 3 firearms</v>
      </c>
      <c r="V341" s="1" t="str">
        <f ca="1">IFERROR(__xludf.DUMMYFUNCTION("""COMPUTED_VALUE"""),"10:10 a.m. | The timestamp on the footage shows Hale breaking the glass doors with gunfire at around 10:10 a.m. 
10:13 a.m. | Police said the first call came into 911 at 10:13 a.m., at which time officers were dispatched to the school.
Surveillance video "&amp;"from the school shows Hale, holding an assault-style rifle, traversing through the school and looking into multiple rooms around 10:20 a.m.
10:24 a.m. | According to Metro Police Chief John Drake, by 10:24 a.m., officers were on the scene engaged with Hal"&amp;"e.
10:27 a.m. | Hale was shot and killed by two of the five-member team that arrived on scene first.
Shots fired: 126 5.56 rifle rounds, and 26 9 mm rounds")</f>
        <v>10:10 a.m. | The timestamp on the footage shows Hale breaking the glass doors with gunfire at around 10:10 a.m. 
10:13 a.m. | Police said the first call came into 911 at 10:13 a.m., at which time officers were dispatched to the school.
Surveillance video from the school shows Hale, holding an assault-style rifle, traversing through the school and looking into multiple rooms around 10:20 a.m.
10:24 a.m. | According to Metro Police Chief John Drake, by 10:24 a.m., officers were on the scene engaged with Hale.
10:27 a.m. | Hale was shot and killed by two of the five-member team that arrived on scene first.
Shots fired: 126 5.56 rifle rounds, and 26 9 mm rounds</v>
      </c>
      <c r="W341" s="1" t="str">
        <f ca="1">IFERROR(__xludf.DUMMYFUNCTION("""COMPUTED_VALUE"""),"Indiscriminate Shooting")</f>
        <v>Indiscriminate Shooting</v>
      </c>
      <c r="X341" s="1" t="str">
        <f ca="1">IFERROR(__xludf.DUMMYFUNCTION("""COMPUTED_VALUE"""),"Random Shooting")</f>
        <v>Random Shooting</v>
      </c>
      <c r="Y341" s="1" t="str">
        <f ca="1">IFERROR(__xludf.DUMMYFUNCTION("""COMPUTED_VALUE"""),"No")</f>
        <v>No</v>
      </c>
      <c r="Z341" s="1"/>
      <c r="AA341" s="1" t="str">
        <f ca="1">IFERROR(__xludf.DUMMYFUNCTION("""COMPUTED_VALUE"""),"No")</f>
        <v>No</v>
      </c>
      <c r="AB341" s="1" t="str">
        <f ca="1">IFERROR(__xludf.DUMMYFUNCTION("""COMPUTED_VALUE"""),"No")</f>
        <v>No</v>
      </c>
      <c r="AC341" s="1" t="str">
        <f ca="1">IFERROR(__xludf.DUMMYFUNCTION("""COMPUTED_VALUE"""),"No")</f>
        <v>No</v>
      </c>
      <c r="AD341" s="1"/>
      <c r="AE341" s="1" t="str">
        <f ca="1">IFERROR(__xludf.DUMMYFUNCTION("""COMPUTED_VALUE"""),"No")</f>
        <v>No</v>
      </c>
      <c r="AF341" s="1" t="str">
        <f ca="1">IFERROR(__xludf.DUMMYFUNCTION("""COMPUTED_VALUE"""),"No")</f>
        <v>No</v>
      </c>
      <c r="AG341" s="1" t="str">
        <f ca="1">IFERROR(__xludf.DUMMYFUNCTION("""COMPUTED_VALUE"""),"Yes")</f>
        <v>Yes</v>
      </c>
      <c r="AH341" s="1">
        <f ca="1">IFERROR(__xludf.DUMMYFUNCTION("""COMPUTED_VALUE"""),152)</f>
        <v>152</v>
      </c>
    </row>
    <row r="342" spans="1:34" ht="12.5">
      <c r="A342" s="1" t="str">
        <f ca="1">IFERROR(__xludf.DUMMYFUNCTION("""COMPUTED_VALUE"""),"20230324NJTHM")</f>
        <v>20230324NJTHM</v>
      </c>
      <c r="B342" s="1">
        <f ca="1">IFERROR(__xludf.DUMMYFUNCTION("""COMPUTED_VALUE"""),3)</f>
        <v>3</v>
      </c>
      <c r="C342" s="1">
        <f ca="1">IFERROR(__xludf.DUMMYFUNCTION("""COMPUTED_VALUE"""),24)</f>
        <v>24</v>
      </c>
      <c r="D342" s="1">
        <f ca="1">IFERROR(__xludf.DUMMYFUNCTION("""COMPUTED_VALUE"""),2023)</f>
        <v>2023</v>
      </c>
      <c r="E342" s="4">
        <f ca="1">IFERROR(__xludf.DUMMYFUNCTION("""COMPUTED_VALUE"""),45009)</f>
        <v>45009</v>
      </c>
      <c r="F342" s="1" t="str">
        <f ca="1">IFERROR(__xludf.DUMMYFUNCTION("""COMPUTED_VALUE"""),"Thunderbolt Academy")</f>
        <v>Thunderbolt Academy</v>
      </c>
      <c r="G342" s="1">
        <f ca="1">IFERROR(__xludf.DUMMYFUNCTION("""COMPUTED_VALUE"""),0)</f>
        <v>0</v>
      </c>
      <c r="H342" s="1">
        <f ca="1">IFERROR(__xludf.DUMMYFUNCTION("""COMPUTED_VALUE"""),0)</f>
        <v>0</v>
      </c>
      <c r="I342" s="1">
        <f ca="1">IFERROR(__xludf.DUMMYFUNCTION("""COMPUTED_VALUE"""),0)</f>
        <v>0</v>
      </c>
      <c r="J342" s="1">
        <f ca="1">IFERROR(__xludf.DUMMYFUNCTION("""COMPUTED_VALUE"""),0)</f>
        <v>0</v>
      </c>
      <c r="K342" s="1" t="str">
        <f ca="1">IFERROR(__xludf.DUMMYFUNCTION("""COMPUTED_VALUE"""),"Spring")</f>
        <v>Spring</v>
      </c>
      <c r="L342" s="1" t="str">
        <f ca="1">IFERROR(__xludf.DUMMYFUNCTION("""COMPUTED_VALUE"""),"Millville")</f>
        <v>Millville</v>
      </c>
      <c r="M342" s="1" t="str">
        <f ca="1">IFERROR(__xludf.DUMMYFUNCTION("""COMPUTED_VALUE"""),"NJ")</f>
        <v>NJ</v>
      </c>
      <c r="N342" s="1" t="str">
        <f ca="1">IFERROR(__xludf.DUMMYFUNCTION("""COMPUTED_VALUE"""),"High")</f>
        <v>High</v>
      </c>
      <c r="O342" s="1" t="str">
        <f ca="1">IFERROR(__xludf.DUMMYFUNCTION("""COMPUTED_VALUE"""),"Front of School")</f>
        <v>Front of School</v>
      </c>
      <c r="P342" s="1" t="str">
        <f ca="1">IFERROR(__xludf.DUMMYFUNCTION("""COMPUTED_VALUE"""),"Outside on School Property")</f>
        <v>Outside on School Property</v>
      </c>
      <c r="Q342" s="1" t="str">
        <f ca="1">IFERROR(__xludf.DUMMYFUNCTION("""COMPUTED_VALUE"""),"Yes")</f>
        <v>Yes</v>
      </c>
      <c r="R342" s="1" t="str">
        <f ca="1">IFERROR(__xludf.DUMMYFUNCTION("""COMPUTED_VALUE"""),"School Start")</f>
        <v>School Start</v>
      </c>
      <c r="S342" s="5">
        <f ca="1">IFERROR(__xludf.DUMMYFUNCTION("""COMPUTED_VALUE"""),0.375)</f>
        <v>0.375</v>
      </c>
      <c r="T342" s="1">
        <f ca="1">IFERROR(__xludf.DUMMYFUNCTION("""COMPUTED_VALUE"""),1)</f>
        <v>1</v>
      </c>
      <c r="U342" s="1" t="str">
        <f ca="1">IFERROR(__xludf.DUMMYFUNCTION("""COMPUTED_VALUE"""),"Shots fired while school bus was unloaded in front of school")</f>
        <v>Shots fired while school bus was unloaded in front of school</v>
      </c>
      <c r="V342" s="1" t="str">
        <f ca="1">IFERROR(__xludf.DUMMYFUNCTION("""COMPUTED_VALUE"""),"Shots were fired while school bus was unloading in front of the school. School went on lockdown and dismissed early. Shooter fled.")</f>
        <v>Shots were fired while school bus was unloading in front of the school. School went on lockdown and dismissed early. Shooter fled.</v>
      </c>
      <c r="W342" s="1"/>
      <c r="X342" s="1" t="str">
        <f ca="1">IFERROR(__xludf.DUMMYFUNCTION("""COMPUTED_VALUE"""),"Victims Targeted")</f>
        <v>Victims Targeted</v>
      </c>
      <c r="Y342" s="1" t="str">
        <f ca="1">IFERROR(__xludf.DUMMYFUNCTION("""COMPUTED_VALUE"""),"No")</f>
        <v>No</v>
      </c>
      <c r="Z342" s="1"/>
      <c r="AA342" s="1" t="str">
        <f ca="1">IFERROR(__xludf.DUMMYFUNCTION("""COMPUTED_VALUE"""),"No")</f>
        <v>No</v>
      </c>
      <c r="AB342" s="1" t="str">
        <f ca="1">IFERROR(__xludf.DUMMYFUNCTION("""COMPUTED_VALUE"""),"No")</f>
        <v>No</v>
      </c>
      <c r="AC342" s="1" t="str">
        <f ca="1">IFERROR(__xludf.DUMMYFUNCTION("""COMPUTED_VALUE"""),"No")</f>
        <v>No</v>
      </c>
      <c r="AD342" s="1" t="str">
        <f ca="1">IFERROR(__xludf.DUMMYFUNCTION("""COMPUTED_VALUE"""),"No")</f>
        <v>No</v>
      </c>
      <c r="AE342" s="1" t="str">
        <f ca="1">IFERROR(__xludf.DUMMYFUNCTION("""COMPUTED_VALUE"""),"No")</f>
        <v>No</v>
      </c>
      <c r="AF342" s="1"/>
      <c r="AG342" s="1" t="str">
        <f ca="1">IFERROR(__xludf.DUMMYFUNCTION("""COMPUTED_VALUE"""),"No")</f>
        <v>No</v>
      </c>
      <c r="AH342" s="1">
        <f ca="1">IFERROR(__xludf.DUMMYFUNCTION("""COMPUTED_VALUE"""),99)</f>
        <v>99</v>
      </c>
    </row>
    <row r="343" spans="1:34" ht="12.5">
      <c r="A343" s="1" t="str">
        <f ca="1">IFERROR(__xludf.DUMMYFUNCTION("""COMPUTED_VALUE"""),"20230324INNOM")</f>
        <v>20230324INNOM</v>
      </c>
      <c r="B343" s="1">
        <f ca="1">IFERROR(__xludf.DUMMYFUNCTION("""COMPUTED_VALUE"""),3)</f>
        <v>3</v>
      </c>
      <c r="C343" s="1">
        <f ca="1">IFERROR(__xludf.DUMMYFUNCTION("""COMPUTED_VALUE"""),24)</f>
        <v>24</v>
      </c>
      <c r="D343" s="1">
        <f ca="1">IFERROR(__xludf.DUMMYFUNCTION("""COMPUTED_VALUE"""),2023)</f>
        <v>2023</v>
      </c>
      <c r="E343" s="4">
        <f ca="1">IFERROR(__xludf.DUMMYFUNCTION("""COMPUTED_VALUE"""),45009)</f>
        <v>45009</v>
      </c>
      <c r="F343" s="1" t="str">
        <f ca="1">IFERROR(__xludf.DUMMYFUNCTION("""COMPUTED_VALUE"""),"Northridge Middle School")</f>
        <v>Northridge Middle School</v>
      </c>
      <c r="G343" s="1">
        <f ca="1">IFERROR(__xludf.DUMMYFUNCTION("""COMPUTED_VALUE"""),0)</f>
        <v>0</v>
      </c>
      <c r="H343" s="1">
        <f ca="1">IFERROR(__xludf.DUMMYFUNCTION("""COMPUTED_VALUE"""),0)</f>
        <v>0</v>
      </c>
      <c r="I343" s="1">
        <f ca="1">IFERROR(__xludf.DUMMYFUNCTION("""COMPUTED_VALUE"""),0)</f>
        <v>0</v>
      </c>
      <c r="J343" s="1">
        <f ca="1">IFERROR(__xludf.DUMMYFUNCTION("""COMPUTED_VALUE"""),1)</f>
        <v>1</v>
      </c>
      <c r="K343" s="1" t="str">
        <f ca="1">IFERROR(__xludf.DUMMYFUNCTION("""COMPUTED_VALUE"""),"Spring")</f>
        <v>Spring</v>
      </c>
      <c r="L343" s="1" t="str">
        <f ca="1">IFERROR(__xludf.DUMMYFUNCTION("""COMPUTED_VALUE"""),"Middlebury")</f>
        <v>Middlebury</v>
      </c>
      <c r="M343" s="1" t="str">
        <f ca="1">IFERROR(__xludf.DUMMYFUNCTION("""COMPUTED_VALUE"""),"IN")</f>
        <v>IN</v>
      </c>
      <c r="N343" s="1" t="str">
        <f ca="1">IFERROR(__xludf.DUMMYFUNCTION("""COMPUTED_VALUE"""),"Middle")</f>
        <v>Middle</v>
      </c>
      <c r="O343" s="1" t="str">
        <f ca="1">IFERROR(__xludf.DUMMYFUNCTION("""COMPUTED_VALUE"""),"Parking Lot")</f>
        <v>Parking Lot</v>
      </c>
      <c r="P343" s="1" t="str">
        <f ca="1">IFERROR(__xludf.DUMMYFUNCTION("""COMPUTED_VALUE"""),"Outside on School Property")</f>
        <v>Outside on School Property</v>
      </c>
      <c r="Q343" s="1" t="str">
        <f ca="1">IFERROR(__xludf.DUMMYFUNCTION("""COMPUTED_VALUE"""),"Yes")</f>
        <v>Yes</v>
      </c>
      <c r="R343" s="1" t="str">
        <f ca="1">IFERROR(__xludf.DUMMYFUNCTION("""COMPUTED_VALUE"""),"Afternoon Classes")</f>
        <v>Afternoon Classes</v>
      </c>
      <c r="S343" s="5">
        <f ca="1">IFERROR(__xludf.DUMMYFUNCTION("""COMPUTED_VALUE"""),0.541666666666666)</f>
        <v>0.54166666666666596</v>
      </c>
      <c r="T343" s="1">
        <f ca="1">IFERROR(__xludf.DUMMYFUNCTION("""COMPUTED_VALUE"""),1)</f>
        <v>1</v>
      </c>
      <c r="U343" s="1" t="str">
        <f ca="1">IFERROR(__xludf.DUMMYFUNCTION("""COMPUTED_VALUE"""),"Teacher commit suicide in school parking lot during classes")</f>
        <v>Teacher commit suicide in school parking lot during classes</v>
      </c>
      <c r="V343" s="1" t="str">
        <f ca="1">IFERROR(__xludf.DUMMYFUNCTION("""COMPUTED_VALUE"""),"Teacher commit suicide in the school parking lot during afternoon classes. School went on lockdown.")</f>
        <v>Teacher commit suicide in the school parking lot during afternoon classes. School went on lockdown.</v>
      </c>
      <c r="W343" s="1" t="str">
        <f ca="1">IFERROR(__xludf.DUMMYFUNCTION("""COMPUTED_VALUE"""),"Suicide/Attempted")</f>
        <v>Suicide/Attempted</v>
      </c>
      <c r="X343" s="1" t="str">
        <f ca="1">IFERROR(__xludf.DUMMYFUNCTION("""COMPUTED_VALUE"""),"Victims Targeted")</f>
        <v>Victims Targeted</v>
      </c>
      <c r="Y343" s="1" t="str">
        <f ca="1">IFERROR(__xludf.DUMMYFUNCTION("""COMPUTED_VALUE"""),"No")</f>
        <v>No</v>
      </c>
      <c r="Z343" s="1"/>
      <c r="AA343" s="1" t="str">
        <f ca="1">IFERROR(__xludf.DUMMYFUNCTION("""COMPUTED_VALUE"""),"No")</f>
        <v>No</v>
      </c>
      <c r="AB343" s="1" t="str">
        <f ca="1">IFERROR(__xludf.DUMMYFUNCTION("""COMPUTED_VALUE"""),"No")</f>
        <v>No</v>
      </c>
      <c r="AC343" s="1" t="str">
        <f ca="1">IFERROR(__xludf.DUMMYFUNCTION("""COMPUTED_VALUE"""),"No")</f>
        <v>No</v>
      </c>
      <c r="AD343" s="1" t="str">
        <f ca="1">IFERROR(__xludf.DUMMYFUNCTION("""COMPUTED_VALUE"""),"No")</f>
        <v>No</v>
      </c>
      <c r="AE343" s="1" t="str">
        <f ca="1">IFERROR(__xludf.DUMMYFUNCTION("""COMPUTED_VALUE"""),"No")</f>
        <v>No</v>
      </c>
      <c r="AF343" s="1" t="str">
        <f ca="1">IFERROR(__xludf.DUMMYFUNCTION("""COMPUTED_VALUE"""),"No")</f>
        <v>No</v>
      </c>
      <c r="AG343" s="1" t="str">
        <f ca="1">IFERROR(__xludf.DUMMYFUNCTION("""COMPUTED_VALUE"""),"No")</f>
        <v>No</v>
      </c>
      <c r="AH343" s="1">
        <f ca="1">IFERROR(__xludf.DUMMYFUNCTION("""COMPUTED_VALUE"""),1)</f>
        <v>1</v>
      </c>
    </row>
    <row r="344" spans="1:34" ht="12.5">
      <c r="A344" s="1" t="str">
        <f ca="1">IFERROR(__xludf.DUMMYFUNCTION("""COMPUTED_VALUE"""),"20230323TNHAM")</f>
        <v>20230323TNHAM</v>
      </c>
      <c r="B344" s="1">
        <f ca="1">IFERROR(__xludf.DUMMYFUNCTION("""COMPUTED_VALUE"""),3)</f>
        <v>3</v>
      </c>
      <c r="C344" s="1">
        <f ca="1">IFERROR(__xludf.DUMMYFUNCTION("""COMPUTED_VALUE"""),23)</f>
        <v>23</v>
      </c>
      <c r="D344" s="1">
        <f ca="1">IFERROR(__xludf.DUMMYFUNCTION("""COMPUTED_VALUE"""),2023)</f>
        <v>2023</v>
      </c>
      <c r="E344" s="4">
        <f ca="1">IFERROR(__xludf.DUMMYFUNCTION("""COMPUTED_VALUE"""),45008)</f>
        <v>45008</v>
      </c>
      <c r="F344" s="1" t="str">
        <f ca="1">IFERROR(__xludf.DUMMYFUNCTION("""COMPUTED_VALUE"""),"Hamilton High Schol")</f>
        <v>Hamilton High Schol</v>
      </c>
      <c r="G344" s="1">
        <f ca="1">IFERROR(__xludf.DUMMYFUNCTION("""COMPUTED_VALUE"""),0)</f>
        <v>0</v>
      </c>
      <c r="H344" s="1">
        <f ca="1">IFERROR(__xludf.DUMMYFUNCTION("""COMPUTED_VALUE"""),0)</f>
        <v>0</v>
      </c>
      <c r="I344" s="1">
        <f ca="1">IFERROR(__xludf.DUMMYFUNCTION("""COMPUTED_VALUE"""),0)</f>
        <v>0</v>
      </c>
      <c r="J344" s="1">
        <f ca="1">IFERROR(__xludf.DUMMYFUNCTION("""COMPUTED_VALUE"""),0)</f>
        <v>0</v>
      </c>
      <c r="K344" s="1" t="str">
        <f ca="1">IFERROR(__xludf.DUMMYFUNCTION("""COMPUTED_VALUE"""),"Spring")</f>
        <v>Spring</v>
      </c>
      <c r="L344" s="1" t="str">
        <f ca="1">IFERROR(__xludf.DUMMYFUNCTION("""COMPUTED_VALUE"""),"Memphis")</f>
        <v>Memphis</v>
      </c>
      <c r="M344" s="1" t="str">
        <f ca="1">IFERROR(__xludf.DUMMYFUNCTION("""COMPUTED_VALUE"""),"TN")</f>
        <v>TN</v>
      </c>
      <c r="N344" s="1" t="str">
        <f ca="1">IFERROR(__xludf.DUMMYFUNCTION("""COMPUTED_VALUE"""),"High")</f>
        <v>High</v>
      </c>
      <c r="O344" s="1" t="str">
        <f ca="1">IFERROR(__xludf.DUMMYFUNCTION("""COMPUTED_VALUE"""),"Outside on School Property")</f>
        <v>Outside on School Property</v>
      </c>
      <c r="P344" s="1" t="str">
        <f ca="1">IFERROR(__xludf.DUMMYFUNCTION("""COMPUTED_VALUE"""),"Outside on School Property")</f>
        <v>Outside on School Property</v>
      </c>
      <c r="Q344" s="1" t="str">
        <f ca="1">IFERROR(__xludf.DUMMYFUNCTION("""COMPUTED_VALUE"""),"Yes")</f>
        <v>Yes</v>
      </c>
      <c r="R344" s="1" t="str">
        <f ca="1">IFERROR(__xludf.DUMMYFUNCTION("""COMPUTED_VALUE"""),"Dismissal")</f>
        <v>Dismissal</v>
      </c>
      <c r="S344" s="5">
        <f ca="1">IFERROR(__xludf.DUMMYFUNCTION("""COMPUTED_VALUE"""),0.635416666666666)</f>
        <v>0.63541666666666596</v>
      </c>
      <c r="T344" s="1">
        <f ca="1">IFERROR(__xludf.DUMMYFUNCTION("""COMPUTED_VALUE"""),1)</f>
        <v>1</v>
      </c>
      <c r="U344" s="1" t="str">
        <f ca="1">IFERROR(__xludf.DUMMYFUNCTION("""COMPUTED_VALUE"""),"Shots fired during fight between teens")</f>
        <v>Shots fired during fight between teens</v>
      </c>
      <c r="V344" s="1" t="str">
        <f ca="1">IFERROR(__xludf.DUMMYFUNCTION("""COMPUTED_VALUE"""),"On March 23, 2023, at 3:15 pm, Officers responded to a shooting near a school in the 1300 Block of Person Ave. When officers arrived on the scene they found several victims who had not been struck. Witness video showed a juvenile suspect fighting with a w"&amp;"eapon in his hand and then firing a shot. the suspect is approximately 12-14 years old. ")</f>
        <v xml:space="preserve">On March 23, 2023, at 3:15 pm, Officers responded to a shooting near a school in the 1300 Block of Person Ave. When officers arrived on the scene they found several victims who had not been struck. Witness video showed a juvenile suspect fighting with a weapon in his hand and then firing a shot. the suspect is approximately 12-14 years old. </v>
      </c>
      <c r="W344" s="1" t="str">
        <f ca="1">IFERROR(__xludf.DUMMYFUNCTION("""COMPUTED_VALUE"""),"Escalation of Dispute")</f>
        <v>Escalation of Dispute</v>
      </c>
      <c r="X344" s="1" t="str">
        <f ca="1">IFERROR(__xludf.DUMMYFUNCTION("""COMPUTED_VALUE"""),"Victims Targeted")</f>
        <v>Victims Targeted</v>
      </c>
      <c r="Y344" s="1" t="str">
        <f ca="1">IFERROR(__xludf.DUMMYFUNCTION("""COMPUTED_VALUE"""),"No")</f>
        <v>No</v>
      </c>
      <c r="Z344" s="1"/>
      <c r="AA344" s="1" t="str">
        <f ca="1">IFERROR(__xludf.DUMMYFUNCTION("""COMPUTED_VALUE"""),"No")</f>
        <v>No</v>
      </c>
      <c r="AB344" s="1" t="str">
        <f ca="1">IFERROR(__xludf.DUMMYFUNCTION("""COMPUTED_VALUE"""),"No")</f>
        <v>No</v>
      </c>
      <c r="AC344" s="1" t="str">
        <f ca="1">IFERROR(__xludf.DUMMYFUNCTION("""COMPUTED_VALUE"""),"No")</f>
        <v>No</v>
      </c>
      <c r="AD344" s="1"/>
      <c r="AE344" s="1" t="str">
        <f ca="1">IFERROR(__xludf.DUMMYFUNCTION("""COMPUTED_VALUE"""),"No")</f>
        <v>No</v>
      </c>
      <c r="AF344" s="1"/>
      <c r="AG344" s="1" t="str">
        <f ca="1">IFERROR(__xludf.DUMMYFUNCTION("""COMPUTED_VALUE"""),"No")</f>
        <v>No</v>
      </c>
      <c r="AH344" s="1">
        <f ca="1">IFERROR(__xludf.DUMMYFUNCTION("""COMPUTED_VALUE"""),99)</f>
        <v>99</v>
      </c>
    </row>
    <row r="345" spans="1:34" ht="12.5">
      <c r="A345" s="1" t="str">
        <f ca="1">IFERROR(__xludf.DUMMYFUNCTION("""COMPUTED_VALUE"""),"20230322PAHAP")</f>
        <v>20230322PAHAP</v>
      </c>
      <c r="B345" s="1">
        <f ca="1">IFERROR(__xludf.DUMMYFUNCTION("""COMPUTED_VALUE"""),3)</f>
        <v>3</v>
      </c>
      <c r="C345" s="1">
        <f ca="1">IFERROR(__xludf.DUMMYFUNCTION("""COMPUTED_VALUE"""),22)</f>
        <v>22</v>
      </c>
      <c r="D345" s="1">
        <f ca="1">IFERROR(__xludf.DUMMYFUNCTION("""COMPUTED_VALUE"""),2023)</f>
        <v>2023</v>
      </c>
      <c r="E345" s="4">
        <f ca="1">IFERROR(__xludf.DUMMYFUNCTION("""COMPUTED_VALUE"""),45007)</f>
        <v>45007</v>
      </c>
      <c r="F345" s="1" t="str">
        <f ca="1">IFERROR(__xludf.DUMMYFUNCTION("""COMPUTED_VALUE"""),"Hardy Williams Mastery Charter School")</f>
        <v>Hardy Williams Mastery Charter School</v>
      </c>
      <c r="G345" s="1">
        <f ca="1">IFERROR(__xludf.DUMMYFUNCTION("""COMPUTED_VALUE"""),0)</f>
        <v>0</v>
      </c>
      <c r="H345" s="1">
        <f ca="1">IFERROR(__xludf.DUMMYFUNCTION("""COMPUTED_VALUE"""),0)</f>
        <v>0</v>
      </c>
      <c r="I345" s="1">
        <f ca="1">IFERROR(__xludf.DUMMYFUNCTION("""COMPUTED_VALUE"""),0)</f>
        <v>0</v>
      </c>
      <c r="J345" s="1">
        <f ca="1">IFERROR(__xludf.DUMMYFUNCTION("""COMPUTED_VALUE"""),0)</f>
        <v>0</v>
      </c>
      <c r="K345" s="1" t="str">
        <f ca="1">IFERROR(__xludf.DUMMYFUNCTION("""COMPUTED_VALUE"""),"Spring")</f>
        <v>Spring</v>
      </c>
      <c r="L345" s="1" t="str">
        <f ca="1">IFERROR(__xludf.DUMMYFUNCTION("""COMPUTED_VALUE"""),"Philadelphia")</f>
        <v>Philadelphia</v>
      </c>
      <c r="M345" s="1" t="str">
        <f ca="1">IFERROR(__xludf.DUMMYFUNCTION("""COMPUTED_VALUE"""),"PA")</f>
        <v>PA</v>
      </c>
      <c r="N345" s="1" t="str">
        <f ca="1">IFERROR(__xludf.DUMMYFUNCTION("""COMPUTED_VALUE"""),"K-12")</f>
        <v>K-12</v>
      </c>
      <c r="O345" s="1" t="str">
        <f ca="1">IFERROR(__xludf.DUMMYFUNCTION("""COMPUTED_VALUE"""),"Beside Building")</f>
        <v>Beside Building</v>
      </c>
      <c r="P345" s="1" t="str">
        <f ca="1">IFERROR(__xludf.DUMMYFUNCTION("""COMPUTED_VALUE"""),"Outside on School Property")</f>
        <v>Outside on School Property</v>
      </c>
      <c r="Q345" s="1" t="str">
        <f ca="1">IFERROR(__xludf.DUMMYFUNCTION("""COMPUTED_VALUE"""),"Yes")</f>
        <v>Yes</v>
      </c>
      <c r="R345" s="1" t="str">
        <f ca="1">IFERROR(__xludf.DUMMYFUNCTION("""COMPUTED_VALUE"""),"Afternoon Classes")</f>
        <v>Afternoon Classes</v>
      </c>
      <c r="S345" s="5">
        <f ca="1">IFERROR(__xludf.DUMMYFUNCTION("""COMPUTED_VALUE"""),0.604166666666666)</f>
        <v>0.60416666666666596</v>
      </c>
      <c r="T345" s="1">
        <f ca="1">IFERROR(__xludf.DUMMYFUNCTION("""COMPUTED_VALUE"""),1)</f>
        <v>1</v>
      </c>
      <c r="U345" s="1" t="str">
        <f ca="1">IFERROR(__xludf.DUMMYFUNCTION("""COMPUTED_VALUE"""),"School went on lockdown when multiple shots were fired outside")</f>
        <v>School went on lockdown when multiple shots were fired outside</v>
      </c>
      <c r="V345" s="1" t="str">
        <f ca="1">IFERROR(__xludf.DUMMYFUNCTION("""COMPUTED_VALUE"""),"School went on lockdown when multiple shots were fired outside. Shooter fled. No students were injured.")</f>
        <v>School went on lockdown when multiple shots were fired outside. Shooter fled. No students were injured.</v>
      </c>
      <c r="W345" s="1"/>
      <c r="X345" s="1" t="str">
        <f ca="1">IFERROR(__xludf.DUMMYFUNCTION("""COMPUTED_VALUE"""),"Victims Targeted")</f>
        <v>Victims Targeted</v>
      </c>
      <c r="Y345" s="1" t="str">
        <f ca="1">IFERROR(__xludf.DUMMYFUNCTION("""COMPUTED_VALUE"""),"No")</f>
        <v>No</v>
      </c>
      <c r="Z345" s="1"/>
      <c r="AA345" s="1" t="str">
        <f ca="1">IFERROR(__xludf.DUMMYFUNCTION("""COMPUTED_VALUE"""),"No")</f>
        <v>No</v>
      </c>
      <c r="AB345" s="1" t="str">
        <f ca="1">IFERROR(__xludf.DUMMYFUNCTION("""COMPUTED_VALUE"""),"No")</f>
        <v>No</v>
      </c>
      <c r="AC345" s="1" t="str">
        <f ca="1">IFERROR(__xludf.DUMMYFUNCTION("""COMPUTED_VALUE"""),"No")</f>
        <v>No</v>
      </c>
      <c r="AD345" s="1" t="str">
        <f ca="1">IFERROR(__xludf.DUMMYFUNCTION("""COMPUTED_VALUE"""),"No")</f>
        <v>No</v>
      </c>
      <c r="AE345" s="1" t="str">
        <f ca="1">IFERROR(__xludf.DUMMYFUNCTION("""COMPUTED_VALUE"""),"No")</f>
        <v>No</v>
      </c>
      <c r="AF345" s="1"/>
      <c r="AG345" s="1" t="str">
        <f ca="1">IFERROR(__xludf.DUMMYFUNCTION("""COMPUTED_VALUE"""),"No")</f>
        <v>No</v>
      </c>
      <c r="AH345" s="1">
        <f ca="1">IFERROR(__xludf.DUMMYFUNCTION("""COMPUTED_VALUE"""),15)</f>
        <v>15</v>
      </c>
    </row>
    <row r="346" spans="1:34" ht="12.5">
      <c r="A346" s="1" t="str">
        <f ca="1">IFERROR(__xludf.DUMMYFUNCTION("""COMPUTED_VALUE"""),"20230322COEAD")</f>
        <v>20230322COEAD</v>
      </c>
      <c r="B346" s="1">
        <f ca="1">IFERROR(__xludf.DUMMYFUNCTION("""COMPUTED_VALUE"""),3)</f>
        <v>3</v>
      </c>
      <c r="C346" s="1">
        <f ca="1">IFERROR(__xludf.DUMMYFUNCTION("""COMPUTED_VALUE"""),22)</f>
        <v>22</v>
      </c>
      <c r="D346" s="1">
        <f ca="1">IFERROR(__xludf.DUMMYFUNCTION("""COMPUTED_VALUE"""),2023)</f>
        <v>2023</v>
      </c>
      <c r="E346" s="4">
        <f ca="1">IFERROR(__xludf.DUMMYFUNCTION("""COMPUTED_VALUE"""),45007)</f>
        <v>45007</v>
      </c>
      <c r="F346" s="1" t="str">
        <f ca="1">IFERROR(__xludf.DUMMYFUNCTION("""COMPUTED_VALUE"""),"East High School")</f>
        <v>East High School</v>
      </c>
      <c r="G346" s="1">
        <f ca="1">IFERROR(__xludf.DUMMYFUNCTION("""COMPUTED_VALUE"""),0)</f>
        <v>0</v>
      </c>
      <c r="H346" s="1">
        <f ca="1">IFERROR(__xludf.DUMMYFUNCTION("""COMPUTED_VALUE"""),2)</f>
        <v>2</v>
      </c>
      <c r="I346" s="1">
        <f ca="1">IFERROR(__xludf.DUMMYFUNCTION("""COMPUTED_VALUE"""),2)</f>
        <v>2</v>
      </c>
      <c r="J346" s="1">
        <f ca="1">IFERROR(__xludf.DUMMYFUNCTION("""COMPUTED_VALUE"""),1)</f>
        <v>1</v>
      </c>
      <c r="K346" s="1" t="str">
        <f ca="1">IFERROR(__xludf.DUMMYFUNCTION("""COMPUTED_VALUE"""),"Spring")</f>
        <v>Spring</v>
      </c>
      <c r="L346" s="1" t="str">
        <f ca="1">IFERROR(__xludf.DUMMYFUNCTION("""COMPUTED_VALUE"""),"Denver")</f>
        <v>Denver</v>
      </c>
      <c r="M346" s="1" t="str">
        <f ca="1">IFERROR(__xludf.DUMMYFUNCTION("""COMPUTED_VALUE"""),"CO")</f>
        <v>CO</v>
      </c>
      <c r="N346" s="1" t="str">
        <f ca="1">IFERROR(__xludf.DUMMYFUNCTION("""COMPUTED_VALUE"""),"High")</f>
        <v>High</v>
      </c>
      <c r="O346" s="1" t="str">
        <f ca="1">IFERROR(__xludf.DUMMYFUNCTION("""COMPUTED_VALUE"""),"Office")</f>
        <v>Office</v>
      </c>
      <c r="P346" s="1" t="str">
        <f ca="1">IFERROR(__xludf.DUMMYFUNCTION("""COMPUTED_VALUE"""),"Inside School Building")</f>
        <v>Inside School Building</v>
      </c>
      <c r="Q346" s="1" t="str">
        <f ca="1">IFERROR(__xludf.DUMMYFUNCTION("""COMPUTED_VALUE"""),"Yes")</f>
        <v>Yes</v>
      </c>
      <c r="R346" s="1" t="str">
        <f ca="1">IFERROR(__xludf.DUMMYFUNCTION("""COMPUTED_VALUE"""),"Morning Classes")</f>
        <v>Morning Classes</v>
      </c>
      <c r="S346" s="5">
        <f ca="1">IFERROR(__xludf.DUMMYFUNCTION("""COMPUTED_VALUE"""),0.416666666666666)</f>
        <v>0.41666666666666602</v>
      </c>
      <c r="T346" s="1">
        <f ca="1">IFERROR(__xludf.DUMMYFUNCTION("""COMPUTED_VALUE"""),1)</f>
        <v>1</v>
      </c>
      <c r="U346" s="1" t="str">
        <f ca="1">IFERROR(__xludf.DUMMYFUNCTION("""COMPUTED_VALUE"""),"Student shot two administrators during daily search for weapon, fled")</f>
        <v>Student shot two administrators during daily search for weapon, fled</v>
      </c>
      <c r="V346" s="1" t="str">
        <f ca="1">IFERROR(__xludf.DUMMYFUNCTION("""COMPUTED_VALUE"""),"17-year-old student shot two administrators during a daily pat down for a weapon in a school office. Student was on a safety plan due to behavior issues. Per administrator, he had been seen on campus witha gun prior to the shooting. Shooter immediately fl"&amp;"ed. His vehicle was found in the mountains 60 miles from the school and he commit suicide.")</f>
        <v>17-year-old student shot two administrators during a daily pat down for a weapon in a school office. Student was on a safety plan due to behavior issues. Per administrator, he had been seen on campus witha gun prior to the shooting. Shooter immediately fled. His vehicle was found in the mountains 60 miles from the school and he commit suicide.</v>
      </c>
      <c r="W346" s="1" t="str">
        <f ca="1">IFERROR(__xludf.DUMMYFUNCTION("""COMPUTED_VALUE"""),"Anger Over Grade/Suspension/Discipline")</f>
        <v>Anger Over Grade/Suspension/Discipline</v>
      </c>
      <c r="X346" s="1" t="str">
        <f ca="1">IFERROR(__xludf.DUMMYFUNCTION("""COMPUTED_VALUE"""),"Victims Targeted")</f>
        <v>Victims Targeted</v>
      </c>
      <c r="Y346" s="1" t="str">
        <f ca="1">IFERROR(__xludf.DUMMYFUNCTION("""COMPUTED_VALUE"""),"No")</f>
        <v>No</v>
      </c>
      <c r="Z346" s="1"/>
      <c r="AA346" s="1" t="str">
        <f ca="1">IFERROR(__xludf.DUMMYFUNCTION("""COMPUTED_VALUE"""),"No")</f>
        <v>No</v>
      </c>
      <c r="AB346" s="1" t="str">
        <f ca="1">IFERROR(__xludf.DUMMYFUNCTION("""COMPUTED_VALUE"""),"No")</f>
        <v>No</v>
      </c>
      <c r="AC346" s="1" t="str">
        <f ca="1">IFERROR(__xludf.DUMMYFUNCTION("""COMPUTED_VALUE"""),"No")</f>
        <v>No</v>
      </c>
      <c r="AD346" s="1" t="str">
        <f ca="1">IFERROR(__xludf.DUMMYFUNCTION("""COMPUTED_VALUE"""),"No")</f>
        <v>No</v>
      </c>
      <c r="AE346" s="1" t="str">
        <f ca="1">IFERROR(__xludf.DUMMYFUNCTION("""COMPUTED_VALUE"""),"No")</f>
        <v>No</v>
      </c>
      <c r="AF346" s="1" t="str">
        <f ca="1">IFERROR(__xludf.DUMMYFUNCTION("""COMPUTED_VALUE"""),"No")</f>
        <v>No</v>
      </c>
      <c r="AG346" s="1" t="str">
        <f ca="1">IFERROR(__xludf.DUMMYFUNCTION("""COMPUTED_VALUE"""),"No")</f>
        <v>No</v>
      </c>
      <c r="AH346" s="1">
        <f ca="1">IFERROR(__xludf.DUMMYFUNCTION("""COMPUTED_VALUE"""),99)</f>
        <v>99</v>
      </c>
    </row>
    <row r="347" spans="1:34" ht="12.5">
      <c r="A347" s="1" t="str">
        <f ca="1">IFERROR(__xludf.DUMMYFUNCTION("""COMPUTED_VALUE"""),"20230322ALANA")</f>
        <v>20230322ALANA</v>
      </c>
      <c r="B347" s="1">
        <f ca="1">IFERROR(__xludf.DUMMYFUNCTION("""COMPUTED_VALUE"""),3)</f>
        <v>3</v>
      </c>
      <c r="C347" s="1">
        <f ca="1">IFERROR(__xludf.DUMMYFUNCTION("""COMPUTED_VALUE"""),22)</f>
        <v>22</v>
      </c>
      <c r="D347" s="1">
        <f ca="1">IFERROR(__xludf.DUMMYFUNCTION("""COMPUTED_VALUE"""),2023)</f>
        <v>2023</v>
      </c>
      <c r="E347" s="4">
        <f ca="1">IFERROR(__xludf.DUMMYFUNCTION("""COMPUTED_VALUE"""),45007)</f>
        <v>45007</v>
      </c>
      <c r="F347" s="1" t="str">
        <f ca="1">IFERROR(__xludf.DUMMYFUNCTION("""COMPUTED_VALUE"""),"Anniston High School")</f>
        <v>Anniston High School</v>
      </c>
      <c r="G347" s="1">
        <f ca="1">IFERROR(__xludf.DUMMYFUNCTION("""COMPUTED_VALUE"""),0)</f>
        <v>0</v>
      </c>
      <c r="H347" s="1">
        <f ca="1">IFERROR(__xludf.DUMMYFUNCTION("""COMPUTED_VALUE"""),1)</f>
        <v>1</v>
      </c>
      <c r="I347" s="1">
        <f ca="1">IFERROR(__xludf.DUMMYFUNCTION("""COMPUTED_VALUE"""),1)</f>
        <v>1</v>
      </c>
      <c r="J347" s="1">
        <f ca="1">IFERROR(__xludf.DUMMYFUNCTION("""COMPUTED_VALUE"""),0)</f>
        <v>0</v>
      </c>
      <c r="K347" s="1" t="str">
        <f ca="1">IFERROR(__xludf.DUMMYFUNCTION("""COMPUTED_VALUE"""),"Spring")</f>
        <v>Spring</v>
      </c>
      <c r="L347" s="1" t="str">
        <f ca="1">IFERROR(__xludf.DUMMYFUNCTION("""COMPUTED_VALUE"""),"Anniston")</f>
        <v>Anniston</v>
      </c>
      <c r="M347" s="1" t="str">
        <f ca="1">IFERROR(__xludf.DUMMYFUNCTION("""COMPUTED_VALUE"""),"AL")</f>
        <v>AL</v>
      </c>
      <c r="N347" s="1" t="str">
        <f ca="1">IFERROR(__xludf.DUMMYFUNCTION("""COMPUTED_VALUE"""),"High")</f>
        <v>High</v>
      </c>
      <c r="O347" s="1" t="str">
        <f ca="1">IFERROR(__xludf.DUMMYFUNCTION("""COMPUTED_VALUE"""),"Inside School Building")</f>
        <v>Inside School Building</v>
      </c>
      <c r="P347" s="1" t="str">
        <f ca="1">IFERROR(__xludf.DUMMYFUNCTION("""COMPUTED_VALUE"""),"Inside School Building")</f>
        <v>Inside School Building</v>
      </c>
      <c r="Q347" s="1" t="str">
        <f ca="1">IFERROR(__xludf.DUMMYFUNCTION("""COMPUTED_VALUE"""),"Yes")</f>
        <v>Yes</v>
      </c>
      <c r="R347" s="1" t="str">
        <f ca="1">IFERROR(__xludf.DUMMYFUNCTION("""COMPUTED_VALUE"""),"Afternoon Classes")</f>
        <v>Afternoon Classes</v>
      </c>
      <c r="S347" s="5">
        <f ca="1">IFERROR(__xludf.DUMMYFUNCTION("""COMPUTED_VALUE"""),0.5625)</f>
        <v>0.5625</v>
      </c>
      <c r="T347" s="1">
        <f ca="1">IFERROR(__xludf.DUMMYFUNCTION("""COMPUTED_VALUE"""),1)</f>
        <v>1</v>
      </c>
      <c r="U347" s="1" t="str">
        <f ca="1">IFERROR(__xludf.DUMMYFUNCTION("""COMPUTED_VALUE"""),"Student fired gun inside backpack, bullet struck another student in the leg")</f>
        <v>Student fired gun inside backpack, bullet struck another student in the leg</v>
      </c>
      <c r="V347" s="1" t="str">
        <f ca="1">IFERROR(__xludf.DUMMYFUNCTION("""COMPUTED_VALUE"""),"A student was handling a handgun in his backpack when it fired and struck another student in the leg. When the gunshot was heard, the school was evacuated for a reported bomb threat.")</f>
        <v>A student was handling a handgun in his backpack when it fired and struck another student in the leg. When the gunshot was heard, the school was evacuated for a reported bomb threat.</v>
      </c>
      <c r="W347" s="1" t="str">
        <f ca="1">IFERROR(__xludf.DUMMYFUNCTION("""COMPUTED_VALUE"""),"Accidental")</f>
        <v>Accidental</v>
      </c>
      <c r="X347" s="1" t="str">
        <f ca="1">IFERROR(__xludf.DUMMYFUNCTION("""COMPUTED_VALUE"""),"Neither")</f>
        <v>Neither</v>
      </c>
      <c r="Y347" s="1" t="str">
        <f ca="1">IFERROR(__xludf.DUMMYFUNCTION("""COMPUTED_VALUE"""),"No")</f>
        <v>No</v>
      </c>
      <c r="Z347" s="1"/>
      <c r="AA347" s="1" t="str">
        <f ca="1">IFERROR(__xludf.DUMMYFUNCTION("""COMPUTED_VALUE"""),"No")</f>
        <v>No</v>
      </c>
      <c r="AB347" s="1" t="str">
        <f ca="1">IFERROR(__xludf.DUMMYFUNCTION("""COMPUTED_VALUE"""),"No")</f>
        <v>No</v>
      </c>
      <c r="AC347" s="1" t="str">
        <f ca="1">IFERROR(__xludf.DUMMYFUNCTION("""COMPUTED_VALUE"""),"No")</f>
        <v>No</v>
      </c>
      <c r="AD347" s="1" t="str">
        <f ca="1">IFERROR(__xludf.DUMMYFUNCTION("""COMPUTED_VALUE"""),"No")</f>
        <v>No</v>
      </c>
      <c r="AE347" s="1" t="str">
        <f ca="1">IFERROR(__xludf.DUMMYFUNCTION("""COMPUTED_VALUE"""),"No")</f>
        <v>No</v>
      </c>
      <c r="AF347" s="1" t="str">
        <f ca="1">IFERROR(__xludf.DUMMYFUNCTION("""COMPUTED_VALUE"""),"No")</f>
        <v>No</v>
      </c>
      <c r="AG347" s="1" t="str">
        <f ca="1">IFERROR(__xludf.DUMMYFUNCTION("""COMPUTED_VALUE"""),"No")</f>
        <v>No</v>
      </c>
      <c r="AH347" s="1">
        <f ca="1">IFERROR(__xludf.DUMMYFUNCTION("""COMPUTED_VALUE"""),1)</f>
        <v>1</v>
      </c>
    </row>
    <row r="348" spans="1:34" ht="12.5">
      <c r="A348" s="1" t="str">
        <f ca="1">IFERROR(__xludf.DUMMYFUNCTION("""COMPUTED_VALUE"""),"20230321TXTHD")</f>
        <v>20230321TXTHD</v>
      </c>
      <c r="B348" s="1">
        <f ca="1">IFERROR(__xludf.DUMMYFUNCTION("""COMPUTED_VALUE"""),3)</f>
        <v>3</v>
      </c>
      <c r="C348" s="1">
        <f ca="1">IFERROR(__xludf.DUMMYFUNCTION("""COMPUTED_VALUE"""),21)</f>
        <v>21</v>
      </c>
      <c r="D348" s="1">
        <f ca="1">IFERROR(__xludf.DUMMYFUNCTION("""COMPUTED_VALUE"""),2023)</f>
        <v>2023</v>
      </c>
      <c r="E348" s="4">
        <f ca="1">IFERROR(__xludf.DUMMYFUNCTION("""COMPUTED_VALUE"""),45006)</f>
        <v>45006</v>
      </c>
      <c r="F348" s="1" t="str">
        <f ca="1">IFERROR(__xludf.DUMMYFUNCTION("""COMPUTED_VALUE"""),"Thomas Jefferson High School")</f>
        <v>Thomas Jefferson High School</v>
      </c>
      <c r="G348" s="1">
        <f ca="1">IFERROR(__xludf.DUMMYFUNCTION("""COMPUTED_VALUE"""),0)</f>
        <v>0</v>
      </c>
      <c r="H348" s="1">
        <f ca="1">IFERROR(__xludf.DUMMYFUNCTION("""COMPUTED_VALUE"""),1)</f>
        <v>1</v>
      </c>
      <c r="I348" s="1">
        <f ca="1">IFERROR(__xludf.DUMMYFUNCTION("""COMPUTED_VALUE"""),1)</f>
        <v>1</v>
      </c>
      <c r="J348" s="1">
        <f ca="1">IFERROR(__xludf.DUMMYFUNCTION("""COMPUTED_VALUE"""),0)</f>
        <v>0</v>
      </c>
      <c r="K348" s="1" t="str">
        <f ca="1">IFERROR(__xludf.DUMMYFUNCTION("""COMPUTED_VALUE"""),"Spring")</f>
        <v>Spring</v>
      </c>
      <c r="L348" s="1" t="str">
        <f ca="1">IFERROR(__xludf.DUMMYFUNCTION("""COMPUTED_VALUE"""),"Dallas")</f>
        <v>Dallas</v>
      </c>
      <c r="M348" s="1" t="str">
        <f ca="1">IFERROR(__xludf.DUMMYFUNCTION("""COMPUTED_VALUE"""),"TX")</f>
        <v>TX</v>
      </c>
      <c r="N348" s="1" t="str">
        <f ca="1">IFERROR(__xludf.DUMMYFUNCTION("""COMPUTED_VALUE"""),"High")</f>
        <v>High</v>
      </c>
      <c r="O348" s="1" t="str">
        <f ca="1">IFERROR(__xludf.DUMMYFUNCTION("""COMPUTED_VALUE"""),"Parking Lot")</f>
        <v>Parking Lot</v>
      </c>
      <c r="P348" s="1" t="str">
        <f ca="1">IFERROR(__xludf.DUMMYFUNCTION("""COMPUTED_VALUE"""),"Outside on School Property")</f>
        <v>Outside on School Property</v>
      </c>
      <c r="Q348" s="1" t="str">
        <f ca="1">IFERROR(__xludf.DUMMYFUNCTION("""COMPUTED_VALUE"""),"Yes")</f>
        <v>Yes</v>
      </c>
      <c r="R348" s="1" t="str">
        <f ca="1">IFERROR(__xludf.DUMMYFUNCTION("""COMPUTED_VALUE"""),"Dismissal")</f>
        <v>Dismissal</v>
      </c>
      <c r="S348" s="5">
        <f ca="1">IFERROR(__xludf.DUMMYFUNCTION("""COMPUTED_VALUE"""),0.694444444444444)</f>
        <v>0.69444444444444398</v>
      </c>
      <c r="T348" s="1">
        <f ca="1">IFERROR(__xludf.DUMMYFUNCTION("""COMPUTED_VALUE"""),1)</f>
        <v>1</v>
      </c>
      <c r="U348" s="1" t="str">
        <f ca="1">IFERROR(__xludf.DUMMYFUNCTION("""COMPUTED_VALUE"""),"Student shot in parking lot at dismissal")</f>
        <v>Student shot in parking lot at dismissal</v>
      </c>
      <c r="V348" s="1" t="str">
        <f ca="1">IFERROR(__xludf.DUMMYFUNCTION("""COMPUTED_VALUE"""),"A Dallas ISD student was wounded in a shooting Tuesday afternoon at Thomas Jefferson High School in the Dallas Independent School District, authorities say. Shooting happened during a fight between 3 students. Dallas Police confirmed officers were called "&amp;"to a report of a shooting at 4:40 p.m. at the campus, located along the 4000 block of Walnut Hill Lane in Northwest Dallas. Dallas ISD spokeswoman Robyn Harris said a student was shot in the arm and was hospitalized with injuries that were not life-threat"&amp;"ening. The shooting took place about 10 minutes after students had been dismissed for the day. Shooter is also a student who fled.")</f>
        <v>A Dallas ISD student was wounded in a shooting Tuesday afternoon at Thomas Jefferson High School in the Dallas Independent School District, authorities say. Shooting happened during a fight between 3 students. Dallas Police confirmed officers were called to a report of a shooting at 4:40 p.m. at the campus, located along the 4000 block of Walnut Hill Lane in Northwest Dallas. Dallas ISD spokeswoman Robyn Harris said a student was shot in the arm and was hospitalized with injuries that were not life-threatening. The shooting took place about 10 minutes after students had been dismissed for the day. Shooter is also a student who fled.</v>
      </c>
      <c r="W348" s="1" t="str">
        <f ca="1">IFERROR(__xludf.DUMMYFUNCTION("""COMPUTED_VALUE"""),"Escalation of Dispute")</f>
        <v>Escalation of Dispute</v>
      </c>
      <c r="X348" s="1" t="str">
        <f ca="1">IFERROR(__xludf.DUMMYFUNCTION("""COMPUTED_VALUE"""),"Victims Targeted")</f>
        <v>Victims Targeted</v>
      </c>
      <c r="Y348" s="1" t="str">
        <f ca="1">IFERROR(__xludf.DUMMYFUNCTION("""COMPUTED_VALUE"""),"No")</f>
        <v>No</v>
      </c>
      <c r="Z348" s="1"/>
      <c r="AA348" s="1" t="str">
        <f ca="1">IFERROR(__xludf.DUMMYFUNCTION("""COMPUTED_VALUE"""),"No")</f>
        <v>No</v>
      </c>
      <c r="AB348" s="1" t="str">
        <f ca="1">IFERROR(__xludf.DUMMYFUNCTION("""COMPUTED_VALUE"""),"No")</f>
        <v>No</v>
      </c>
      <c r="AC348" s="1" t="str">
        <f ca="1">IFERROR(__xludf.DUMMYFUNCTION("""COMPUTED_VALUE"""),"No")</f>
        <v>No</v>
      </c>
      <c r="AD348" s="1"/>
      <c r="AE348" s="1" t="str">
        <f ca="1">IFERROR(__xludf.DUMMYFUNCTION("""COMPUTED_VALUE"""),"No")</f>
        <v>No</v>
      </c>
      <c r="AF348" s="1"/>
      <c r="AG348" s="1" t="str">
        <f ca="1">IFERROR(__xludf.DUMMYFUNCTION("""COMPUTED_VALUE"""),"No")</f>
        <v>No</v>
      </c>
      <c r="AH348" s="1">
        <f ca="1">IFERROR(__xludf.DUMMYFUNCTION("""COMPUTED_VALUE"""),99)</f>
        <v>99</v>
      </c>
    </row>
    <row r="349" spans="1:34" ht="12.5">
      <c r="A349" s="1" t="str">
        <f ca="1">IFERROR(__xludf.DUMMYFUNCTION("""COMPUTED_VALUE"""),"20230320TXLAA")</f>
        <v>20230320TXLAA</v>
      </c>
      <c r="B349" s="1">
        <f ca="1">IFERROR(__xludf.DUMMYFUNCTION("""COMPUTED_VALUE"""),3)</f>
        <v>3</v>
      </c>
      <c r="C349" s="1">
        <f ca="1">IFERROR(__xludf.DUMMYFUNCTION("""COMPUTED_VALUE"""),20)</f>
        <v>20</v>
      </c>
      <c r="D349" s="1">
        <f ca="1">IFERROR(__xludf.DUMMYFUNCTION("""COMPUTED_VALUE"""),2023)</f>
        <v>2023</v>
      </c>
      <c r="E349" s="4">
        <f ca="1">IFERROR(__xludf.DUMMYFUNCTION("""COMPUTED_VALUE"""),45005)</f>
        <v>45005</v>
      </c>
      <c r="F349" s="1" t="str">
        <f ca="1">IFERROR(__xludf.DUMMYFUNCTION("""COMPUTED_VALUE"""),"Lamar High School")</f>
        <v>Lamar High School</v>
      </c>
      <c r="G349" s="1">
        <f ca="1">IFERROR(__xludf.DUMMYFUNCTION("""COMPUTED_VALUE"""),1)</f>
        <v>1</v>
      </c>
      <c r="H349" s="1">
        <f ca="1">IFERROR(__xludf.DUMMYFUNCTION("""COMPUTED_VALUE"""),1)</f>
        <v>1</v>
      </c>
      <c r="I349" s="1">
        <f ca="1">IFERROR(__xludf.DUMMYFUNCTION("""COMPUTED_VALUE"""),2)</f>
        <v>2</v>
      </c>
      <c r="J349" s="1">
        <f ca="1">IFERROR(__xludf.DUMMYFUNCTION("""COMPUTED_VALUE"""),0)</f>
        <v>0</v>
      </c>
      <c r="K349" s="1" t="str">
        <f ca="1">IFERROR(__xludf.DUMMYFUNCTION("""COMPUTED_VALUE"""),"Spring")</f>
        <v>Spring</v>
      </c>
      <c r="L349" s="1" t="str">
        <f ca="1">IFERROR(__xludf.DUMMYFUNCTION("""COMPUTED_VALUE"""),"Arlington")</f>
        <v>Arlington</v>
      </c>
      <c r="M349" s="1" t="str">
        <f ca="1">IFERROR(__xludf.DUMMYFUNCTION("""COMPUTED_VALUE"""),"TX")</f>
        <v>TX</v>
      </c>
      <c r="N349" s="1" t="str">
        <f ca="1">IFERROR(__xludf.DUMMYFUNCTION("""COMPUTED_VALUE"""),"High")</f>
        <v>High</v>
      </c>
      <c r="O349" s="1" t="str">
        <f ca="1">IFERROR(__xludf.DUMMYFUNCTION("""COMPUTED_VALUE"""),"Front of School")</f>
        <v>Front of School</v>
      </c>
      <c r="P349" s="1" t="str">
        <f ca="1">IFERROR(__xludf.DUMMYFUNCTION("""COMPUTED_VALUE"""),"Outside on School Property")</f>
        <v>Outside on School Property</v>
      </c>
      <c r="Q349" s="1" t="str">
        <f ca="1">IFERROR(__xludf.DUMMYFUNCTION("""COMPUTED_VALUE"""),"Yes")</f>
        <v>Yes</v>
      </c>
      <c r="R349" s="1" t="str">
        <f ca="1">IFERROR(__xludf.DUMMYFUNCTION("""COMPUTED_VALUE"""),"School Start")</f>
        <v>School Start</v>
      </c>
      <c r="S349" s="5">
        <f ca="1">IFERROR(__xludf.DUMMYFUNCTION("""COMPUTED_VALUE"""),0.288888888888888)</f>
        <v>0.28888888888888797</v>
      </c>
      <c r="T349" s="1">
        <f ca="1">IFERROR(__xludf.DUMMYFUNCTION("""COMPUTED_VALUE"""),1)</f>
        <v>1</v>
      </c>
      <c r="U349" s="1" t="str">
        <f ca="1">IFERROR(__xludf.DUMMYFUNCTION("""COMPUTED_VALUE"""),"Two students shot outside of school before morning classes")</f>
        <v>Two students shot outside of school before morning classes</v>
      </c>
      <c r="V349" s="1" t="str">
        <f ca="1">IFERROR(__xludf.DUMMYFUNCTION("""COMPUTED_VALUE"""),"Two students were injured after a shooting on the Lamar High School campus in Arlington Monday morning, and a suspect is in custody, according to police and district officials. The shooting happened on campus outside a school building, the district said. "&amp;"Shooter had 2 unused shotgun shells in his backpack when he fled.")</f>
        <v>Two students were injured after a shooting on the Lamar High School campus in Arlington Monday morning, and a suspect is in custody, according to police and district officials. The shooting happened on campus outside a school building, the district said. Shooter had 2 unused shotgun shells in his backpack when he fled.</v>
      </c>
      <c r="W349" s="1"/>
      <c r="X349" s="1" t="str">
        <f ca="1">IFERROR(__xludf.DUMMYFUNCTION("""COMPUTED_VALUE"""),"Victims Targeted")</f>
        <v>Victims Targeted</v>
      </c>
      <c r="Y349" s="1" t="str">
        <f ca="1">IFERROR(__xludf.DUMMYFUNCTION("""COMPUTED_VALUE"""),"No")</f>
        <v>No</v>
      </c>
      <c r="Z349" s="1"/>
      <c r="AA349" s="1" t="str">
        <f ca="1">IFERROR(__xludf.DUMMYFUNCTION("""COMPUTED_VALUE"""),"No")</f>
        <v>No</v>
      </c>
      <c r="AB349" s="1" t="str">
        <f ca="1">IFERROR(__xludf.DUMMYFUNCTION("""COMPUTED_VALUE"""),"No")</f>
        <v>No</v>
      </c>
      <c r="AC349" s="1" t="str">
        <f ca="1">IFERROR(__xludf.DUMMYFUNCTION("""COMPUTED_VALUE"""),"No")</f>
        <v>No</v>
      </c>
      <c r="AD349" s="1"/>
      <c r="AE349" s="1" t="str">
        <f ca="1">IFERROR(__xludf.DUMMYFUNCTION("""COMPUTED_VALUE"""),"No")</f>
        <v>No</v>
      </c>
      <c r="AF349" s="1" t="str">
        <f ca="1">IFERROR(__xludf.DUMMYFUNCTION("""COMPUTED_VALUE"""),"No")</f>
        <v>No</v>
      </c>
      <c r="AG349" s="1" t="str">
        <f ca="1">IFERROR(__xludf.DUMMYFUNCTION("""COMPUTED_VALUE"""),"No")</f>
        <v>No</v>
      </c>
      <c r="AH349" s="1">
        <f ca="1">IFERROR(__xludf.DUMMYFUNCTION("""COMPUTED_VALUE"""),2)</f>
        <v>2</v>
      </c>
    </row>
    <row r="350" spans="1:34" ht="12.5">
      <c r="A350" s="1" t="str">
        <f ca="1">IFERROR(__xludf.DUMMYFUNCTION("""COMPUTED_VALUE"""),"20230319ORFOS")</f>
        <v>20230319ORFOS</v>
      </c>
      <c r="B350" s="1">
        <f ca="1">IFERROR(__xludf.DUMMYFUNCTION("""COMPUTED_VALUE"""),3)</f>
        <v>3</v>
      </c>
      <c r="C350" s="1">
        <f ca="1">IFERROR(__xludf.DUMMYFUNCTION("""COMPUTED_VALUE"""),19)</f>
        <v>19</v>
      </c>
      <c r="D350" s="1">
        <f ca="1">IFERROR(__xludf.DUMMYFUNCTION("""COMPUTED_VALUE"""),2023)</f>
        <v>2023</v>
      </c>
      <c r="E350" s="4">
        <f ca="1">IFERROR(__xludf.DUMMYFUNCTION("""COMPUTED_VALUE"""),45004)</f>
        <v>45004</v>
      </c>
      <c r="F350" s="1" t="str">
        <f ca="1">IFERROR(__xludf.DUMMYFUNCTION("""COMPUTED_VALUE"""),"Foster Elementary School")</f>
        <v>Foster Elementary School</v>
      </c>
      <c r="G350" s="1">
        <f ca="1">IFERROR(__xludf.DUMMYFUNCTION("""COMPUTED_VALUE"""),0)</f>
        <v>0</v>
      </c>
      <c r="H350" s="1">
        <f ca="1">IFERROR(__xludf.DUMMYFUNCTION("""COMPUTED_VALUE"""),0)</f>
        <v>0</v>
      </c>
      <c r="I350" s="1">
        <f ca="1">IFERROR(__xludf.DUMMYFUNCTION("""COMPUTED_VALUE"""),0)</f>
        <v>0</v>
      </c>
      <c r="J350" s="1">
        <f ca="1">IFERROR(__xludf.DUMMYFUNCTION("""COMPUTED_VALUE"""),0)</f>
        <v>0</v>
      </c>
      <c r="K350" s="1" t="str">
        <f ca="1">IFERROR(__xludf.DUMMYFUNCTION("""COMPUTED_VALUE"""),"Spring")</f>
        <v>Spring</v>
      </c>
      <c r="L350" s="1" t="str">
        <f ca="1">IFERROR(__xludf.DUMMYFUNCTION("""COMPUTED_VALUE"""),"Sweet Home")</f>
        <v>Sweet Home</v>
      </c>
      <c r="M350" s="1" t="str">
        <f ca="1">IFERROR(__xludf.DUMMYFUNCTION("""COMPUTED_VALUE"""),"OR")</f>
        <v>OR</v>
      </c>
      <c r="N350" s="1" t="str">
        <f ca="1">IFERROR(__xludf.DUMMYFUNCTION("""COMPUTED_VALUE"""),"Elementary")</f>
        <v>Elementary</v>
      </c>
      <c r="O350" s="1" t="str">
        <f ca="1">IFERROR(__xludf.DUMMYFUNCTION("""COMPUTED_VALUE"""),"Beside Building")</f>
        <v>Beside Building</v>
      </c>
      <c r="P350" s="1" t="str">
        <f ca="1">IFERROR(__xludf.DUMMYFUNCTION("""COMPUTED_VALUE"""),"Outside on School Property")</f>
        <v>Outside on School Property</v>
      </c>
      <c r="Q350" s="1" t="str">
        <f ca="1">IFERROR(__xludf.DUMMYFUNCTION("""COMPUTED_VALUE"""),"No")</f>
        <v>No</v>
      </c>
      <c r="R350" s="1" t="str">
        <f ca="1">IFERROR(__xludf.DUMMYFUNCTION("""COMPUTED_VALUE"""),"Not a School Day")</f>
        <v>Not a School Day</v>
      </c>
      <c r="S350" s="5">
        <f ca="1">IFERROR(__xludf.DUMMYFUNCTION("""COMPUTED_VALUE"""),0.321527777777777)</f>
        <v>0.32152777777777702</v>
      </c>
      <c r="T350" s="1">
        <f ca="1">IFERROR(__xludf.DUMMYFUNCTION("""COMPUTED_VALUE"""),1)</f>
        <v>1</v>
      </c>
      <c r="U350" s="1" t="str">
        <f ca="1">IFERROR(__xludf.DUMMYFUNCTION("""COMPUTED_VALUE"""),"Man fired 6 shots from his living room at the school across the street during mental health crisis")</f>
        <v>Man fired 6 shots from his living room at the school across the street during mental health crisis</v>
      </c>
      <c r="V350" s="1" t="str">
        <f ca="1">IFERROR(__xludf.DUMMYFUNCTION("""COMPUTED_VALUE"""),"Sweet Home police said they issued an extreme protection order for the man, which is a rarely-used method that gives the court authority to prevent a person from possessing firearms if they pose a threat to themselves or others. After a lengthy process, t"&amp;"hat order was granted by the court, SHPD officials said. Sweet Home police said they applied for and were granted a search warrant of the man’s home, which is across the street from Foster Elementary School. They carried out the search on March 24. Police"&amp;" said they found and seized seven guns in the man’s home. In addition, police said they found six bullet holes in a window of the house, and further investigation revealed holes in the upper part of Foster Elementary School’s structure. Police said they n"&amp;"otified the school of the damage.")</f>
        <v>Sweet Home police said they issued an extreme protection order for the man, which is a rarely-used method that gives the court authority to prevent a person from possessing firearms if they pose a threat to themselves or others. After a lengthy process, that order was granted by the court, SHPD officials said. Sweet Home police said they applied for and were granted a search warrant of the man’s home, which is across the street from Foster Elementary School. They carried out the search on March 24. Police said they found and seized seven guns in the man’s home. In addition, police said they found six bullet holes in a window of the house, and further investigation revealed holes in the upper part of Foster Elementary School’s structure. Police said they notified the school of the damage.</v>
      </c>
      <c r="W350" s="1" t="str">
        <f ca="1">IFERROR(__xludf.DUMMYFUNCTION("""COMPUTED_VALUE"""),"Psychosis")</f>
        <v>Psychosis</v>
      </c>
      <c r="X350" s="1" t="str">
        <f ca="1">IFERROR(__xludf.DUMMYFUNCTION("""COMPUTED_VALUE"""),"Neither")</f>
        <v>Neither</v>
      </c>
      <c r="Y350" s="1" t="str">
        <f ca="1">IFERROR(__xludf.DUMMYFUNCTION("""COMPUTED_VALUE"""),"No")</f>
        <v>No</v>
      </c>
      <c r="Z350" s="1"/>
      <c r="AA350" s="1" t="str">
        <f ca="1">IFERROR(__xludf.DUMMYFUNCTION("""COMPUTED_VALUE"""),"No")</f>
        <v>No</v>
      </c>
      <c r="AB350" s="1" t="str">
        <f ca="1">IFERROR(__xludf.DUMMYFUNCTION("""COMPUTED_VALUE"""),"No")</f>
        <v>No</v>
      </c>
      <c r="AC350" s="1" t="str">
        <f ca="1">IFERROR(__xludf.DUMMYFUNCTION("""COMPUTED_VALUE"""),"No")</f>
        <v>No</v>
      </c>
      <c r="AD350" s="1" t="str">
        <f ca="1">IFERROR(__xludf.DUMMYFUNCTION("""COMPUTED_VALUE"""),"No")</f>
        <v>No</v>
      </c>
      <c r="AE350" s="1" t="str">
        <f ca="1">IFERROR(__xludf.DUMMYFUNCTION("""COMPUTED_VALUE"""),"No")</f>
        <v>No</v>
      </c>
      <c r="AF350" s="1" t="str">
        <f ca="1">IFERROR(__xludf.DUMMYFUNCTION("""COMPUTED_VALUE"""),"No")</f>
        <v>No</v>
      </c>
      <c r="AG350" s="1" t="str">
        <f ca="1">IFERROR(__xludf.DUMMYFUNCTION("""COMPUTED_VALUE"""),"No")</f>
        <v>No</v>
      </c>
      <c r="AH350" s="1">
        <f ca="1">IFERROR(__xludf.DUMMYFUNCTION("""COMPUTED_VALUE"""),6)</f>
        <v>6</v>
      </c>
    </row>
    <row r="351" spans="1:34" ht="12.5">
      <c r="A351" s="1" t="str">
        <f ca="1">IFERROR(__xludf.DUMMYFUNCTION("""COMPUTED_VALUE"""),"20230316NYPSB")</f>
        <v>20230316NYPSB</v>
      </c>
      <c r="B351" s="1">
        <f ca="1">IFERROR(__xludf.DUMMYFUNCTION("""COMPUTED_VALUE"""),3)</f>
        <v>3</v>
      </c>
      <c r="C351" s="1">
        <f ca="1">IFERROR(__xludf.DUMMYFUNCTION("""COMPUTED_VALUE"""),16)</f>
        <v>16</v>
      </c>
      <c r="D351" s="1">
        <f ca="1">IFERROR(__xludf.DUMMYFUNCTION("""COMPUTED_VALUE"""),2023)</f>
        <v>2023</v>
      </c>
      <c r="E351" s="4">
        <f ca="1">IFERROR(__xludf.DUMMYFUNCTION("""COMPUTED_VALUE"""),45001)</f>
        <v>45001</v>
      </c>
      <c r="F351" s="1" t="str">
        <f ca="1">IFERROR(__xludf.DUMMYFUNCTION("""COMPUTED_VALUE"""),"PS 49 Willis Avenue School")</f>
        <v>PS 49 Willis Avenue School</v>
      </c>
      <c r="G351" s="1">
        <f ca="1">IFERROR(__xludf.DUMMYFUNCTION("""COMPUTED_VALUE"""),0)</f>
        <v>0</v>
      </c>
      <c r="H351" s="1">
        <f ca="1">IFERROR(__xludf.DUMMYFUNCTION("""COMPUTED_VALUE"""),1)</f>
        <v>1</v>
      </c>
      <c r="I351" s="1">
        <f ca="1">IFERROR(__xludf.DUMMYFUNCTION("""COMPUTED_VALUE"""),1)</f>
        <v>1</v>
      </c>
      <c r="J351" s="1">
        <f ca="1">IFERROR(__xludf.DUMMYFUNCTION("""COMPUTED_VALUE"""),0)</f>
        <v>0</v>
      </c>
      <c r="K351" s="1" t="str">
        <f ca="1">IFERROR(__xludf.DUMMYFUNCTION("""COMPUTED_VALUE"""),"Spring")</f>
        <v>Spring</v>
      </c>
      <c r="L351" s="1" t="str">
        <f ca="1">IFERROR(__xludf.DUMMYFUNCTION("""COMPUTED_VALUE"""),"Bronx")</f>
        <v>Bronx</v>
      </c>
      <c r="M351" s="1" t="str">
        <f ca="1">IFERROR(__xludf.DUMMYFUNCTION("""COMPUTED_VALUE"""),"NY")</f>
        <v>NY</v>
      </c>
      <c r="N351" s="1" t="str">
        <f ca="1">IFERROR(__xludf.DUMMYFUNCTION("""COMPUTED_VALUE"""),"Elementary")</f>
        <v>Elementary</v>
      </c>
      <c r="O351" s="1" t="str">
        <f ca="1">IFERROR(__xludf.DUMMYFUNCTION("""COMPUTED_VALUE"""),"Basketball Court")</f>
        <v>Basketball Court</v>
      </c>
      <c r="P351" s="1" t="str">
        <f ca="1">IFERROR(__xludf.DUMMYFUNCTION("""COMPUTED_VALUE"""),"Outside on School Property")</f>
        <v>Outside on School Property</v>
      </c>
      <c r="Q351" s="1" t="str">
        <f ca="1">IFERROR(__xludf.DUMMYFUNCTION("""COMPUTED_VALUE"""),"No")</f>
        <v>No</v>
      </c>
      <c r="R351" s="1" t="str">
        <f ca="1">IFERROR(__xludf.DUMMYFUNCTION("""COMPUTED_VALUE"""),"After School")</f>
        <v>After School</v>
      </c>
      <c r="S351" s="5">
        <f ca="1">IFERROR(__xludf.DUMMYFUNCTION("""COMPUTED_VALUE"""),0.6875)</f>
        <v>0.6875</v>
      </c>
      <c r="T351" s="1">
        <f ca="1">IFERROR(__xludf.DUMMYFUNCTION("""COMPUTED_VALUE"""),1)</f>
        <v>1</v>
      </c>
      <c r="U351" s="1" t="str">
        <f ca="1">IFERROR(__xludf.DUMMYFUNCTION("""COMPUTED_VALUE"""),"Teen shot in parking lot behind school near the playground")</f>
        <v>Teen shot in parking lot behind school near the playground</v>
      </c>
      <c r="V351" s="1" t="str">
        <f ca="1">IFERROR(__xludf.DUMMYFUNCTION("""COMPUTED_VALUE"""),"Two male teens shot a teen victim in the parking lot behind the school. Children were on the playground near the scene.")</f>
        <v>Two male teens shot a teen victim in the parking lot behind the school. Children were on the playground near the scene.</v>
      </c>
      <c r="W351" s="1" t="str">
        <f ca="1">IFERROR(__xludf.DUMMYFUNCTION("""COMPUTED_VALUE"""),"Escalation of Dispute")</f>
        <v>Escalation of Dispute</v>
      </c>
      <c r="X351" s="1" t="str">
        <f ca="1">IFERROR(__xludf.DUMMYFUNCTION("""COMPUTED_VALUE"""),"Victims Targeted")</f>
        <v>Victims Targeted</v>
      </c>
      <c r="Y351" s="1" t="str">
        <f ca="1">IFERROR(__xludf.DUMMYFUNCTION("""COMPUTED_VALUE"""),"Yes")</f>
        <v>Yes</v>
      </c>
      <c r="Z351" s="1" t="str">
        <f ca="1">IFERROR(__xludf.DUMMYFUNCTION("""COMPUTED_VALUE"""),"Two shooters")</f>
        <v>Two shooters</v>
      </c>
      <c r="AA351" s="1" t="str">
        <f ca="1">IFERROR(__xludf.DUMMYFUNCTION("""COMPUTED_VALUE"""),"No")</f>
        <v>No</v>
      </c>
      <c r="AB351" s="1" t="str">
        <f ca="1">IFERROR(__xludf.DUMMYFUNCTION("""COMPUTED_VALUE"""),"No")</f>
        <v>No</v>
      </c>
      <c r="AC351" s="1" t="str">
        <f ca="1">IFERROR(__xludf.DUMMYFUNCTION("""COMPUTED_VALUE"""),"No")</f>
        <v>No</v>
      </c>
      <c r="AD351" s="1" t="str">
        <f ca="1">IFERROR(__xludf.DUMMYFUNCTION("""COMPUTED_VALUE"""),"No")</f>
        <v>No</v>
      </c>
      <c r="AE351" s="1" t="str">
        <f ca="1">IFERROR(__xludf.DUMMYFUNCTION("""COMPUTED_VALUE"""),"No")</f>
        <v>No</v>
      </c>
      <c r="AF351" s="1"/>
      <c r="AG351" s="1" t="str">
        <f ca="1">IFERROR(__xludf.DUMMYFUNCTION("""COMPUTED_VALUE"""),"No")</f>
        <v>No</v>
      </c>
      <c r="AH351" s="1">
        <f ca="1">IFERROR(__xludf.DUMMYFUNCTION("""COMPUTED_VALUE"""),10)</f>
        <v>10</v>
      </c>
    </row>
    <row r="352" spans="1:34" ht="12.5">
      <c r="A352" s="1" t="str">
        <f ca="1">IFERROR(__xludf.DUMMYFUNCTION("""COMPUTED_VALUE"""),"20230316NCLOD")</f>
        <v>20230316NCLOD</v>
      </c>
      <c r="B352" s="1">
        <f ca="1">IFERROR(__xludf.DUMMYFUNCTION("""COMPUTED_VALUE"""),3)</f>
        <v>3</v>
      </c>
      <c r="C352" s="1">
        <f ca="1">IFERROR(__xludf.DUMMYFUNCTION("""COMPUTED_VALUE"""),16)</f>
        <v>16</v>
      </c>
      <c r="D352" s="1">
        <f ca="1">IFERROR(__xludf.DUMMYFUNCTION("""COMPUTED_VALUE"""),2023)</f>
        <v>2023</v>
      </c>
      <c r="E352" s="4">
        <f ca="1">IFERROR(__xludf.DUMMYFUNCTION("""COMPUTED_VALUE"""),45001)</f>
        <v>45001</v>
      </c>
      <c r="F352" s="1" t="str">
        <f ca="1">IFERROR(__xludf.DUMMYFUNCTION("""COMPUTED_VALUE"""),"Lowe's Grove Middle School")</f>
        <v>Lowe's Grove Middle School</v>
      </c>
      <c r="G352" s="1">
        <f ca="1">IFERROR(__xludf.DUMMYFUNCTION("""COMPUTED_VALUE"""),0)</f>
        <v>0</v>
      </c>
      <c r="H352" s="1">
        <f ca="1">IFERROR(__xludf.DUMMYFUNCTION("""COMPUTED_VALUE"""),0)</f>
        <v>0</v>
      </c>
      <c r="I352" s="1">
        <f ca="1">IFERROR(__xludf.DUMMYFUNCTION("""COMPUTED_VALUE"""),0)</f>
        <v>0</v>
      </c>
      <c r="J352" s="1">
        <f ca="1">IFERROR(__xludf.DUMMYFUNCTION("""COMPUTED_VALUE"""),0)</f>
        <v>0</v>
      </c>
      <c r="K352" s="1" t="str">
        <f ca="1">IFERROR(__xludf.DUMMYFUNCTION("""COMPUTED_VALUE"""),"Spring")</f>
        <v>Spring</v>
      </c>
      <c r="L352" s="1" t="str">
        <f ca="1">IFERROR(__xludf.DUMMYFUNCTION("""COMPUTED_VALUE"""),"Durham")</f>
        <v>Durham</v>
      </c>
      <c r="M352" s="1" t="str">
        <f ca="1">IFERROR(__xludf.DUMMYFUNCTION("""COMPUTED_VALUE"""),"NC")</f>
        <v>NC</v>
      </c>
      <c r="N352" s="1" t="str">
        <f ca="1">IFERROR(__xludf.DUMMYFUNCTION("""COMPUTED_VALUE"""),"Middle")</f>
        <v>Middle</v>
      </c>
      <c r="O352" s="1" t="str">
        <f ca="1">IFERROR(__xludf.DUMMYFUNCTION("""COMPUTED_VALUE"""),"Inside School Building")</f>
        <v>Inside School Building</v>
      </c>
      <c r="P352" s="1" t="str">
        <f ca="1">IFERROR(__xludf.DUMMYFUNCTION("""COMPUTED_VALUE"""),"Inside School Building")</f>
        <v>Inside School Building</v>
      </c>
      <c r="Q352" s="1" t="str">
        <f ca="1">IFERROR(__xludf.DUMMYFUNCTION("""COMPUTED_VALUE"""),"Yes")</f>
        <v>Yes</v>
      </c>
      <c r="R352" s="1" t="str">
        <f ca="1">IFERROR(__xludf.DUMMYFUNCTION("""COMPUTED_VALUE"""),"Afternoon Classes")</f>
        <v>Afternoon Classes</v>
      </c>
      <c r="S352" s="5">
        <f ca="1">IFERROR(__xludf.DUMMYFUNCTION("""COMPUTED_VALUE"""),0.583333333333333)</f>
        <v>0.58333333333333304</v>
      </c>
      <c r="T352" s="1">
        <f ca="1">IFERROR(__xludf.DUMMYFUNCTION("""COMPUTED_VALUE"""),1)</f>
        <v>1</v>
      </c>
      <c r="U352" s="1" t="str">
        <f ca="1">IFERROR(__xludf.DUMMYFUNCTION("""COMPUTED_VALUE"""),"Student robbed classmate at gunpoint, arrested by SRO")</f>
        <v>Student robbed classmate at gunpoint, arrested by SRO</v>
      </c>
      <c r="V352" s="1" t="str">
        <f ca="1">IFERROR(__xludf.DUMMYFUNCTION("""COMPUTED_VALUE"""),"According to the Durham County Sheriff's Office, a gun was found on a 14-year-old who allegedly used it to rob another student. The investigation started just before 2:00 p.m. after the school resource officer received a tip about a possible armed robbery"&amp;" of another student on campus. The SRO found the student who still had the handgun with an extended magazine and items taken from the student who was robbed.")</f>
        <v>According to the Durham County Sheriff's Office, a gun was found on a 14-year-old who allegedly used it to rob another student. The investigation started just before 2:00 p.m. after the school resource officer received a tip about a possible armed robbery of another student on campus. The SRO found the student who still had the handgun with an extended magazine and items taken from the student who was robbed.</v>
      </c>
      <c r="W352" s="1" t="str">
        <f ca="1">IFERROR(__xludf.DUMMYFUNCTION("""COMPUTED_VALUE"""),"Illegal Activity")</f>
        <v>Illegal Activity</v>
      </c>
      <c r="X352" s="1" t="str">
        <f ca="1">IFERROR(__xludf.DUMMYFUNCTION("""COMPUTED_VALUE"""),"Victims Targeted")</f>
        <v>Victims Targeted</v>
      </c>
      <c r="Y352" s="1" t="str">
        <f ca="1">IFERROR(__xludf.DUMMYFUNCTION("""COMPUTED_VALUE"""),"No")</f>
        <v>No</v>
      </c>
      <c r="Z352" s="1"/>
      <c r="AA352" s="1" t="str">
        <f ca="1">IFERROR(__xludf.DUMMYFUNCTION("""COMPUTED_VALUE"""),"No")</f>
        <v>No</v>
      </c>
      <c r="AB352" s="1" t="str">
        <f ca="1">IFERROR(__xludf.DUMMYFUNCTION("""COMPUTED_VALUE"""),"No")</f>
        <v>No</v>
      </c>
      <c r="AC352" s="1" t="str">
        <f ca="1">IFERROR(__xludf.DUMMYFUNCTION("""COMPUTED_VALUE"""),"No")</f>
        <v>No</v>
      </c>
      <c r="AD352" s="1" t="str">
        <f ca="1">IFERROR(__xludf.DUMMYFUNCTION("""COMPUTED_VALUE"""),"No")</f>
        <v>No</v>
      </c>
      <c r="AE352" s="1" t="str">
        <f ca="1">IFERROR(__xludf.DUMMYFUNCTION("""COMPUTED_VALUE"""),"No")</f>
        <v>No</v>
      </c>
      <c r="AF352" s="1" t="str">
        <f ca="1">IFERROR(__xludf.DUMMYFUNCTION("""COMPUTED_VALUE"""),"No")</f>
        <v>No</v>
      </c>
      <c r="AG352" s="1" t="str">
        <f ca="1">IFERROR(__xludf.DUMMYFUNCTION("""COMPUTED_VALUE"""),"No")</f>
        <v>No</v>
      </c>
      <c r="AH352" s="1">
        <f ca="1">IFERROR(__xludf.DUMMYFUNCTION("""COMPUTED_VALUE"""),0)</f>
        <v>0</v>
      </c>
    </row>
    <row r="353" spans="1:34" ht="12.5">
      <c r="A353" s="1" t="str">
        <f ca="1">IFERROR(__xludf.DUMMYFUNCTION("""COMPUTED_VALUE"""),"20230316DCCOW")</f>
        <v>20230316DCCOW</v>
      </c>
      <c r="B353" s="1">
        <f ca="1">IFERROR(__xludf.DUMMYFUNCTION("""COMPUTED_VALUE"""),3)</f>
        <v>3</v>
      </c>
      <c r="C353" s="1">
        <f ca="1">IFERROR(__xludf.DUMMYFUNCTION("""COMPUTED_VALUE"""),16)</f>
        <v>16</v>
      </c>
      <c r="D353" s="1">
        <f ca="1">IFERROR(__xludf.DUMMYFUNCTION("""COMPUTED_VALUE"""),2023)</f>
        <v>2023</v>
      </c>
      <c r="E353" s="4">
        <f ca="1">IFERROR(__xludf.DUMMYFUNCTION("""COMPUTED_VALUE"""),45001)</f>
        <v>45001</v>
      </c>
      <c r="F353" s="1" t="str">
        <f ca="1">IFERROR(__xludf.DUMMYFUNCTION("""COMPUTED_VALUE"""),"Coolidge High School")</f>
        <v>Coolidge High School</v>
      </c>
      <c r="G353" s="1">
        <f ca="1">IFERROR(__xludf.DUMMYFUNCTION("""COMPUTED_VALUE"""),0)</f>
        <v>0</v>
      </c>
      <c r="H353" s="1">
        <f ca="1">IFERROR(__xludf.DUMMYFUNCTION("""COMPUTED_VALUE"""),0)</f>
        <v>0</v>
      </c>
      <c r="I353" s="1">
        <f ca="1">IFERROR(__xludf.DUMMYFUNCTION("""COMPUTED_VALUE"""),0)</f>
        <v>0</v>
      </c>
      <c r="J353" s="1">
        <f ca="1">IFERROR(__xludf.DUMMYFUNCTION("""COMPUTED_VALUE"""),0)</f>
        <v>0</v>
      </c>
      <c r="K353" s="1" t="str">
        <f ca="1">IFERROR(__xludf.DUMMYFUNCTION("""COMPUTED_VALUE"""),"Spring")</f>
        <v>Spring</v>
      </c>
      <c r="L353" s="1" t="str">
        <f ca="1">IFERROR(__xludf.DUMMYFUNCTION("""COMPUTED_VALUE"""),"Washington")</f>
        <v>Washington</v>
      </c>
      <c r="M353" s="1" t="str">
        <f ca="1">IFERROR(__xludf.DUMMYFUNCTION("""COMPUTED_VALUE"""),"DC")</f>
        <v>DC</v>
      </c>
      <c r="N353" s="1" t="str">
        <f ca="1">IFERROR(__xludf.DUMMYFUNCTION("""COMPUTED_VALUE"""),"High")</f>
        <v>High</v>
      </c>
      <c r="O353" s="1" t="str">
        <f ca="1">IFERROR(__xludf.DUMMYFUNCTION("""COMPUTED_VALUE"""),"Front of School")</f>
        <v>Front of School</v>
      </c>
      <c r="P353" s="1" t="str">
        <f ca="1">IFERROR(__xludf.DUMMYFUNCTION("""COMPUTED_VALUE"""),"Outside on School Property")</f>
        <v>Outside on School Property</v>
      </c>
      <c r="Q353" s="1" t="str">
        <f ca="1">IFERROR(__xludf.DUMMYFUNCTION("""COMPUTED_VALUE"""),"Yes")</f>
        <v>Yes</v>
      </c>
      <c r="R353" s="1" t="str">
        <f ca="1">IFERROR(__xludf.DUMMYFUNCTION("""COMPUTED_VALUE"""),"Morning Classes")</f>
        <v>Morning Classes</v>
      </c>
      <c r="S353" s="5">
        <f ca="1">IFERROR(__xludf.DUMMYFUNCTION("""COMPUTED_VALUE"""),0.416666666666666)</f>
        <v>0.41666666666666602</v>
      </c>
      <c r="T353" s="1">
        <f ca="1">IFERROR(__xludf.DUMMYFUNCTION("""COMPUTED_VALUE"""),1)</f>
        <v>1</v>
      </c>
      <c r="U353" s="1" t="str">
        <f ca="1">IFERROR(__xludf.DUMMYFUNCTION("""COMPUTED_VALUE"""),"Multiple shots fired during robbery at front door of school during morning classes, bullet struck the school")</f>
        <v>Multiple shots fired during robbery at front door of school during morning classes, bullet struck the school</v>
      </c>
      <c r="V353" s="1" t="str">
        <f ca="1">IFERROR(__xludf.DUMMYFUNCTION("""COMPUTED_VALUE"""),"Student was robbed at gunpoint near the front door of the school. The gun went off during the robbery and struck the school building. ""The [gunshot] was not directed at the school or the victim,” Heraud said. “The suspect may have negligently discharged "&amp;"the firearm as he was returning back to the vehicle."" School went on lockdown and shooter fled. Police recovered multiple shell casings and building was damaged.")</f>
        <v>Student was robbed at gunpoint near the front door of the school. The gun went off during the robbery and struck the school building. "The [gunshot] was not directed at the school or the victim,” Heraud said. “The suspect may have negligently discharged the firearm as he was returning back to the vehicle." School went on lockdown and shooter fled. Police recovered multiple shell casings and building was damaged.</v>
      </c>
      <c r="W353" s="1" t="str">
        <f ca="1">IFERROR(__xludf.DUMMYFUNCTION("""COMPUTED_VALUE"""),"Illegal Activity")</f>
        <v>Illegal Activity</v>
      </c>
      <c r="X353" s="1" t="str">
        <f ca="1">IFERROR(__xludf.DUMMYFUNCTION("""COMPUTED_VALUE"""),"Victims Targeted")</f>
        <v>Victims Targeted</v>
      </c>
      <c r="Y353" s="1" t="str">
        <f ca="1">IFERROR(__xludf.DUMMYFUNCTION("""COMPUTED_VALUE"""),"Yes")</f>
        <v>Yes</v>
      </c>
      <c r="Z353" s="1" t="str">
        <f ca="1">IFERROR(__xludf.DUMMYFUNCTION("""COMPUTED_VALUE"""),"Two teens")</f>
        <v>Two teens</v>
      </c>
      <c r="AA353" s="1" t="str">
        <f ca="1">IFERROR(__xludf.DUMMYFUNCTION("""COMPUTED_VALUE"""),"No")</f>
        <v>No</v>
      </c>
      <c r="AB353" s="1" t="str">
        <f ca="1">IFERROR(__xludf.DUMMYFUNCTION("""COMPUTED_VALUE"""),"No")</f>
        <v>No</v>
      </c>
      <c r="AC353" s="1" t="str">
        <f ca="1">IFERROR(__xludf.DUMMYFUNCTION("""COMPUTED_VALUE"""),"No")</f>
        <v>No</v>
      </c>
      <c r="AD353" s="1" t="str">
        <f ca="1">IFERROR(__xludf.DUMMYFUNCTION("""COMPUTED_VALUE"""),"No")</f>
        <v>No</v>
      </c>
      <c r="AE353" s="1" t="str">
        <f ca="1">IFERROR(__xludf.DUMMYFUNCTION("""COMPUTED_VALUE"""),"No")</f>
        <v>No</v>
      </c>
      <c r="AF353" s="1" t="str">
        <f ca="1">IFERROR(__xludf.DUMMYFUNCTION("""COMPUTED_VALUE"""),"No")</f>
        <v>No</v>
      </c>
      <c r="AG353" s="1" t="str">
        <f ca="1">IFERROR(__xludf.DUMMYFUNCTION("""COMPUTED_VALUE"""),"No")</f>
        <v>No</v>
      </c>
      <c r="AH353" s="1">
        <f ca="1">IFERROR(__xludf.DUMMYFUNCTION("""COMPUTED_VALUE"""),5)</f>
        <v>5</v>
      </c>
    </row>
    <row r="354" spans="1:34" ht="12.5">
      <c r="A354" s="1" t="str">
        <f ca="1">IFERROR(__xludf.DUMMYFUNCTION("""COMPUTED_VALUE"""),"20230315MICEW")</f>
        <v>20230315MICEW</v>
      </c>
      <c r="B354" s="1">
        <f ca="1">IFERROR(__xludf.DUMMYFUNCTION("""COMPUTED_VALUE"""),3)</f>
        <v>3</v>
      </c>
      <c r="C354" s="1">
        <f ca="1">IFERROR(__xludf.DUMMYFUNCTION("""COMPUTED_VALUE"""),15)</f>
        <v>15</v>
      </c>
      <c r="D354" s="1">
        <f ca="1">IFERROR(__xludf.DUMMYFUNCTION("""COMPUTED_VALUE"""),2023)</f>
        <v>2023</v>
      </c>
      <c r="E354" s="4">
        <f ca="1">IFERROR(__xludf.DUMMYFUNCTION("""COMPUTED_VALUE"""),45000)</f>
        <v>45000</v>
      </c>
      <c r="F354" s="1" t="str">
        <f ca="1">IFERROR(__xludf.DUMMYFUNCTION("""COMPUTED_VALUE"""),"Century Park Learning Center")</f>
        <v>Century Park Learning Center</v>
      </c>
      <c r="G354" s="1">
        <f ca="1">IFERROR(__xludf.DUMMYFUNCTION("""COMPUTED_VALUE"""),0)</f>
        <v>0</v>
      </c>
      <c r="H354" s="1">
        <f ca="1">IFERROR(__xludf.DUMMYFUNCTION("""COMPUTED_VALUE"""),0)</f>
        <v>0</v>
      </c>
      <c r="I354" s="1">
        <f ca="1">IFERROR(__xludf.DUMMYFUNCTION("""COMPUTED_VALUE"""),0)</f>
        <v>0</v>
      </c>
      <c r="J354" s="1">
        <f ca="1">IFERROR(__xludf.DUMMYFUNCTION("""COMPUTED_VALUE"""),0)</f>
        <v>0</v>
      </c>
      <c r="K354" s="1" t="str">
        <f ca="1">IFERROR(__xludf.DUMMYFUNCTION("""COMPUTED_VALUE"""),"Spring")</f>
        <v>Spring</v>
      </c>
      <c r="L354" s="1" t="str">
        <f ca="1">IFERROR(__xludf.DUMMYFUNCTION("""COMPUTED_VALUE"""),"Wyoming")</f>
        <v>Wyoming</v>
      </c>
      <c r="M354" s="1" t="str">
        <f ca="1">IFERROR(__xludf.DUMMYFUNCTION("""COMPUTED_VALUE"""),"MI")</f>
        <v>MI</v>
      </c>
      <c r="N354" s="1" t="str">
        <f ca="1">IFERROR(__xludf.DUMMYFUNCTION("""COMPUTED_VALUE"""),"Elementary")</f>
        <v>Elementary</v>
      </c>
      <c r="O354" s="1" t="str">
        <f ca="1">IFERROR(__xludf.DUMMYFUNCTION("""COMPUTED_VALUE"""),"Outside on School Property")</f>
        <v>Outside on School Property</v>
      </c>
      <c r="P354" s="1" t="str">
        <f ca="1">IFERROR(__xludf.DUMMYFUNCTION("""COMPUTED_VALUE"""),"Outside on School Property")</f>
        <v>Outside on School Property</v>
      </c>
      <c r="Q354" s="1" t="str">
        <f ca="1">IFERROR(__xludf.DUMMYFUNCTION("""COMPUTED_VALUE"""),"Yes")</f>
        <v>Yes</v>
      </c>
      <c r="R354" s="1" t="str">
        <f ca="1">IFERROR(__xludf.DUMMYFUNCTION("""COMPUTED_VALUE"""),"Dismissal")</f>
        <v>Dismissal</v>
      </c>
      <c r="S354" s="5">
        <f ca="1">IFERROR(__xludf.DUMMYFUNCTION("""COMPUTED_VALUE"""),0.652777777777777)</f>
        <v>0.65277777777777701</v>
      </c>
      <c r="T354" s="1">
        <f ca="1">IFERROR(__xludf.DUMMYFUNCTION("""COMPUTED_VALUE"""),1)</f>
        <v>1</v>
      </c>
      <c r="U354" s="1" t="str">
        <f ca="1">IFERROR(__xludf.DUMMYFUNCTION("""COMPUTED_VALUE"""),"Shots fired at dismissal")</f>
        <v>Shots fired at dismissal</v>
      </c>
      <c r="V354" s="1" t="str">
        <f ca="1">IFERROR(__xludf.DUMMYFUNCTION("""COMPUTED_VALUE"""),"Shots fired during dismissal. No injuries and shooter fled. Staff rushed students back inside and buses held in the parking lot. School closed the next day so staff could seek mental health resources.")</f>
        <v>Shots fired during dismissal. No injuries and shooter fled. Staff rushed students back inside and buses held in the parking lot. School closed the next day so staff could seek mental health resources.</v>
      </c>
      <c r="W354" s="1"/>
      <c r="X354" s="1"/>
      <c r="Y354" s="1" t="str">
        <f ca="1">IFERROR(__xludf.DUMMYFUNCTION("""COMPUTED_VALUE"""),"No")</f>
        <v>No</v>
      </c>
      <c r="Z354" s="1"/>
      <c r="AA354" s="1" t="str">
        <f ca="1">IFERROR(__xludf.DUMMYFUNCTION("""COMPUTED_VALUE"""),"No")</f>
        <v>No</v>
      </c>
      <c r="AB354" s="1" t="str">
        <f ca="1">IFERROR(__xludf.DUMMYFUNCTION("""COMPUTED_VALUE"""),"No")</f>
        <v>No</v>
      </c>
      <c r="AC354" s="1" t="str">
        <f ca="1">IFERROR(__xludf.DUMMYFUNCTION("""COMPUTED_VALUE"""),"No")</f>
        <v>No</v>
      </c>
      <c r="AD354" s="1" t="str">
        <f ca="1">IFERROR(__xludf.DUMMYFUNCTION("""COMPUTED_VALUE"""),"No")</f>
        <v>No</v>
      </c>
      <c r="AE354" s="1" t="str">
        <f ca="1">IFERROR(__xludf.DUMMYFUNCTION("""COMPUTED_VALUE"""),"No")</f>
        <v>No</v>
      </c>
      <c r="AF354" s="1" t="str">
        <f ca="1">IFERROR(__xludf.DUMMYFUNCTION("""COMPUTED_VALUE"""),"No")</f>
        <v>No</v>
      </c>
      <c r="AG354" s="1" t="str">
        <f ca="1">IFERROR(__xludf.DUMMYFUNCTION("""COMPUTED_VALUE"""),"No")</f>
        <v>No</v>
      </c>
      <c r="AH354" s="1">
        <f ca="1">IFERROR(__xludf.DUMMYFUNCTION("""COMPUTED_VALUE"""),10)</f>
        <v>10</v>
      </c>
    </row>
    <row r="355" spans="1:34" ht="12.5">
      <c r="A355" s="1" t="str">
        <f ca="1">IFERROR(__xludf.DUMMYFUNCTION("""COMPUTED_VALUE"""),"20230315COINB")</f>
        <v>20230315COINB</v>
      </c>
      <c r="B355" s="1">
        <f ca="1">IFERROR(__xludf.DUMMYFUNCTION("""COMPUTED_VALUE"""),3)</f>
        <v>3</v>
      </c>
      <c r="C355" s="1">
        <f ca="1">IFERROR(__xludf.DUMMYFUNCTION("""COMPUTED_VALUE"""),15)</f>
        <v>15</v>
      </c>
      <c r="D355" s="1">
        <f ca="1">IFERROR(__xludf.DUMMYFUNCTION("""COMPUTED_VALUE"""),2023)</f>
        <v>2023</v>
      </c>
      <c r="E355" s="4">
        <f ca="1">IFERROR(__xludf.DUMMYFUNCTION("""COMPUTED_VALUE"""),45000)</f>
        <v>45000</v>
      </c>
      <c r="F355" s="1" t="str">
        <f ca="1">IFERROR(__xludf.DUMMYFUNCTION("""COMPUTED_VALUE"""),"Innovation and Options Charter School")</f>
        <v>Innovation and Options Charter School</v>
      </c>
      <c r="G355" s="1">
        <f ca="1">IFERROR(__xludf.DUMMYFUNCTION("""COMPUTED_VALUE"""),0)</f>
        <v>0</v>
      </c>
      <c r="H355" s="1">
        <f ca="1">IFERROR(__xludf.DUMMYFUNCTION("""COMPUTED_VALUE"""),1)</f>
        <v>1</v>
      </c>
      <c r="I355" s="1">
        <f ca="1">IFERROR(__xludf.DUMMYFUNCTION("""COMPUTED_VALUE"""),1)</f>
        <v>1</v>
      </c>
      <c r="J355" s="1">
        <f ca="1">IFERROR(__xludf.DUMMYFUNCTION("""COMPUTED_VALUE"""),0)</f>
        <v>0</v>
      </c>
      <c r="K355" s="1" t="str">
        <f ca="1">IFERROR(__xludf.DUMMYFUNCTION("""COMPUTED_VALUE"""),"Spring")</f>
        <v>Spring</v>
      </c>
      <c r="L355" s="1" t="str">
        <f ca="1">IFERROR(__xludf.DUMMYFUNCTION("""COMPUTED_VALUE"""),"Brighton")</f>
        <v>Brighton</v>
      </c>
      <c r="M355" s="1" t="str">
        <f ca="1">IFERROR(__xludf.DUMMYFUNCTION("""COMPUTED_VALUE"""),"CO")</f>
        <v>CO</v>
      </c>
      <c r="N355" s="1" t="str">
        <f ca="1">IFERROR(__xludf.DUMMYFUNCTION("""COMPUTED_VALUE"""),"High")</f>
        <v>High</v>
      </c>
      <c r="O355" s="1" t="str">
        <f ca="1">IFERROR(__xludf.DUMMYFUNCTION("""COMPUTED_VALUE"""),"Outside on School Property")</f>
        <v>Outside on School Property</v>
      </c>
      <c r="P355" s="1" t="str">
        <f ca="1">IFERROR(__xludf.DUMMYFUNCTION("""COMPUTED_VALUE"""),"Outside on School Property")</f>
        <v>Outside on School Property</v>
      </c>
      <c r="Q355" s="1" t="str">
        <f ca="1">IFERROR(__xludf.DUMMYFUNCTION("""COMPUTED_VALUE"""),"Yes")</f>
        <v>Yes</v>
      </c>
      <c r="R355" s="1" t="str">
        <f ca="1">IFERROR(__xludf.DUMMYFUNCTION("""COMPUTED_VALUE"""),"Lunch")</f>
        <v>Lunch</v>
      </c>
      <c r="S355" s="5">
        <f ca="1">IFERROR(__xludf.DUMMYFUNCTION("""COMPUTED_VALUE"""),0.520833333333333)</f>
        <v>0.52083333333333304</v>
      </c>
      <c r="T355" s="1">
        <f ca="1">IFERROR(__xludf.DUMMYFUNCTION("""COMPUTED_VALUE"""),1)</f>
        <v>1</v>
      </c>
      <c r="U355" s="1" t="str">
        <f ca="1">IFERROR(__xludf.DUMMYFUNCTION("""COMPUTED_VALUE"""),"Shots fired and one student wounded during planned fight between students from multiple schools")</f>
        <v>Shots fired and one student wounded during planned fight between students from multiple schools</v>
      </c>
      <c r="V355" s="1" t="str">
        <f ca="1">IFERROR(__xludf.DUMMYFUNCTION("""COMPUTED_VALUE"""),"Teen was wounded during lunchtime fight between students from four different high schools. 10 schools went on lockdown. Police believed teen with gun had returned to Prairie View High. Shooting occured at the edge of the campus.")</f>
        <v>Teen was wounded during lunchtime fight between students from four different high schools. 10 schools went on lockdown. Police believed teen with gun had returned to Prairie View High. Shooting occured at the edge of the campus.</v>
      </c>
      <c r="W355" s="1" t="str">
        <f ca="1">IFERROR(__xludf.DUMMYFUNCTION("""COMPUTED_VALUE"""),"Escalation of Dispute")</f>
        <v>Escalation of Dispute</v>
      </c>
      <c r="X355" s="1" t="str">
        <f ca="1">IFERROR(__xludf.DUMMYFUNCTION("""COMPUTED_VALUE"""),"Victims Targeted")</f>
        <v>Victims Targeted</v>
      </c>
      <c r="Y355" s="1" t="str">
        <f ca="1">IFERROR(__xludf.DUMMYFUNCTION("""COMPUTED_VALUE"""),"Yes")</f>
        <v>Yes</v>
      </c>
      <c r="Z355" s="1" t="str">
        <f ca="1">IFERROR(__xludf.DUMMYFUNCTION("""COMPUTED_VALUE"""),"Large planned fight")</f>
        <v>Large planned fight</v>
      </c>
      <c r="AA355" s="1" t="str">
        <f ca="1">IFERROR(__xludf.DUMMYFUNCTION("""COMPUTED_VALUE"""),"No")</f>
        <v>No</v>
      </c>
      <c r="AB355" s="1" t="str">
        <f ca="1">IFERROR(__xludf.DUMMYFUNCTION("""COMPUTED_VALUE"""),"No")</f>
        <v>No</v>
      </c>
      <c r="AC355" s="1" t="str">
        <f ca="1">IFERROR(__xludf.DUMMYFUNCTION("""COMPUTED_VALUE"""),"No")</f>
        <v>No</v>
      </c>
      <c r="AD355" s="1" t="str">
        <f ca="1">IFERROR(__xludf.DUMMYFUNCTION("""COMPUTED_VALUE"""),"No")</f>
        <v>No</v>
      </c>
      <c r="AE355" s="1" t="str">
        <f ca="1">IFERROR(__xludf.DUMMYFUNCTION("""COMPUTED_VALUE"""),"No")</f>
        <v>No</v>
      </c>
      <c r="AF355" s="1"/>
      <c r="AG355" s="1" t="str">
        <f ca="1">IFERROR(__xludf.DUMMYFUNCTION("""COMPUTED_VALUE"""),"No")</f>
        <v>No</v>
      </c>
      <c r="AH355" s="1">
        <f ca="1">IFERROR(__xludf.DUMMYFUNCTION("""COMPUTED_VALUE"""),15)</f>
        <v>15</v>
      </c>
    </row>
    <row r="356" spans="1:34" ht="12.5">
      <c r="A356" s="1" t="str">
        <f ca="1">IFERROR(__xludf.DUMMYFUNCTION("""COMPUTED_VALUE"""),"20230315CALIG")</f>
        <v>20230315CALIG</v>
      </c>
      <c r="B356" s="1">
        <f ca="1">IFERROR(__xludf.DUMMYFUNCTION("""COMPUTED_VALUE"""),3)</f>
        <v>3</v>
      </c>
      <c r="C356" s="1">
        <f ca="1">IFERROR(__xludf.DUMMYFUNCTION("""COMPUTED_VALUE"""),15)</f>
        <v>15</v>
      </c>
      <c r="D356" s="1">
        <f ca="1">IFERROR(__xludf.DUMMYFUNCTION("""COMPUTED_VALUE"""),2023)</f>
        <v>2023</v>
      </c>
      <c r="E356" s="4">
        <f ca="1">IFERROR(__xludf.DUMMYFUNCTION("""COMPUTED_VALUE"""),45000)</f>
        <v>45000</v>
      </c>
      <c r="F356" s="1" t="str">
        <f ca="1">IFERROR(__xludf.DUMMYFUNCTION("""COMPUTED_VALUE"""),"Liberty Ranch High School")</f>
        <v>Liberty Ranch High School</v>
      </c>
      <c r="G356" s="1">
        <f ca="1">IFERROR(__xludf.DUMMYFUNCTION("""COMPUTED_VALUE"""),0)</f>
        <v>0</v>
      </c>
      <c r="H356" s="1">
        <f ca="1">IFERROR(__xludf.DUMMYFUNCTION("""COMPUTED_VALUE"""),2)</f>
        <v>2</v>
      </c>
      <c r="I356" s="1">
        <f ca="1">IFERROR(__xludf.DUMMYFUNCTION("""COMPUTED_VALUE"""),2)</f>
        <v>2</v>
      </c>
      <c r="J356" s="1">
        <f ca="1">IFERROR(__xludf.DUMMYFUNCTION("""COMPUTED_VALUE"""),0)</f>
        <v>0</v>
      </c>
      <c r="K356" s="1" t="str">
        <f ca="1">IFERROR(__xludf.DUMMYFUNCTION("""COMPUTED_VALUE"""),"Spring")</f>
        <v>Spring</v>
      </c>
      <c r="L356" s="1" t="str">
        <f ca="1">IFERROR(__xludf.DUMMYFUNCTION("""COMPUTED_VALUE"""),"Galt")</f>
        <v>Galt</v>
      </c>
      <c r="M356" s="1" t="str">
        <f ca="1">IFERROR(__xludf.DUMMYFUNCTION("""COMPUTED_VALUE"""),"CA")</f>
        <v>CA</v>
      </c>
      <c r="N356" s="1" t="str">
        <f ca="1">IFERROR(__xludf.DUMMYFUNCTION("""COMPUTED_VALUE"""),"High")</f>
        <v>High</v>
      </c>
      <c r="O356" s="1" t="str">
        <f ca="1">IFERROR(__xludf.DUMMYFUNCTION("""COMPUTED_VALUE"""),"Front of School")</f>
        <v>Front of School</v>
      </c>
      <c r="P356" s="1" t="str">
        <f ca="1">IFERROR(__xludf.DUMMYFUNCTION("""COMPUTED_VALUE"""),"Outside on School Property")</f>
        <v>Outside on School Property</v>
      </c>
      <c r="Q356" s="1" t="str">
        <f ca="1">IFERROR(__xludf.DUMMYFUNCTION("""COMPUTED_VALUE"""),"No")</f>
        <v>No</v>
      </c>
      <c r="R356" s="1" t="str">
        <f ca="1">IFERROR(__xludf.DUMMYFUNCTION("""COMPUTED_VALUE"""),"After School")</f>
        <v>After School</v>
      </c>
      <c r="S356" s="5">
        <f ca="1">IFERROR(__xludf.DUMMYFUNCTION("""COMPUTED_VALUE"""),0.729166666666666)</f>
        <v>0.72916666666666596</v>
      </c>
      <c r="T356" s="1">
        <f ca="1">IFERROR(__xludf.DUMMYFUNCTION("""COMPUTED_VALUE"""),1)</f>
        <v>1</v>
      </c>
      <c r="U356" s="1" t="str">
        <f ca="1">IFERROR(__xludf.DUMMYFUNCTION("""COMPUTED_VALUE"""),"Two teens shot in front of school")</f>
        <v>Two teens shot in front of school</v>
      </c>
      <c r="V356" s="1" t="str">
        <f ca="1">IFERROR(__xludf.DUMMYFUNCTION("""COMPUTED_VALUE"""),"Two teens shot during drive-by in front of the school, shots missed a third teen.  Liberty Ranch's stunt cheer practice, adult school, and several athletic teams returning to campus from out-of-town contests. Students and staff at all six of the district'"&amp;"s campuses were sent home when the incident happened.")</f>
        <v>Two teens shot during drive-by in front of the school, shots missed a third teen.  Liberty Ranch's stunt cheer practice, adult school, and several athletic teams returning to campus from out-of-town contests. Students and staff at all six of the district's campuses were sent home when the incident happened.</v>
      </c>
      <c r="W356" s="1" t="str">
        <f ca="1">IFERROR(__xludf.DUMMYFUNCTION("""COMPUTED_VALUE"""),"Drive-by Shooting")</f>
        <v>Drive-by Shooting</v>
      </c>
      <c r="X356" s="1" t="str">
        <f ca="1">IFERROR(__xludf.DUMMYFUNCTION("""COMPUTED_VALUE"""),"Victims Targeted")</f>
        <v>Victims Targeted</v>
      </c>
      <c r="Y356" s="1"/>
      <c r="Z356" s="1"/>
      <c r="AA356" s="1" t="str">
        <f ca="1">IFERROR(__xludf.DUMMYFUNCTION("""COMPUTED_VALUE"""),"No")</f>
        <v>No</v>
      </c>
      <c r="AB356" s="1" t="str">
        <f ca="1">IFERROR(__xludf.DUMMYFUNCTION("""COMPUTED_VALUE"""),"No")</f>
        <v>No</v>
      </c>
      <c r="AC356" s="1" t="str">
        <f ca="1">IFERROR(__xludf.DUMMYFUNCTION("""COMPUTED_VALUE"""),"No")</f>
        <v>No</v>
      </c>
      <c r="AD356" s="1" t="str">
        <f ca="1">IFERROR(__xludf.DUMMYFUNCTION("""COMPUTED_VALUE"""),"No")</f>
        <v>No</v>
      </c>
      <c r="AE356" s="1" t="str">
        <f ca="1">IFERROR(__xludf.DUMMYFUNCTION("""COMPUTED_VALUE"""),"No")</f>
        <v>No</v>
      </c>
      <c r="AF356" s="1"/>
      <c r="AG356" s="1" t="str">
        <f ca="1">IFERROR(__xludf.DUMMYFUNCTION("""COMPUTED_VALUE"""),"No")</f>
        <v>No</v>
      </c>
      <c r="AH356" s="1">
        <f ca="1">IFERROR(__xludf.DUMMYFUNCTION("""COMPUTED_VALUE"""),99)</f>
        <v>99</v>
      </c>
    </row>
    <row r="357" spans="1:34" ht="12.5">
      <c r="A357" s="1" t="str">
        <f ca="1">IFERROR(__xludf.DUMMYFUNCTION("""COMPUTED_VALUE"""),"20230314NYMAM")</f>
        <v>20230314NYMAM</v>
      </c>
      <c r="B357" s="1">
        <f ca="1">IFERROR(__xludf.DUMMYFUNCTION("""COMPUTED_VALUE"""),3)</f>
        <v>3</v>
      </c>
      <c r="C357" s="1">
        <f ca="1">IFERROR(__xludf.DUMMYFUNCTION("""COMPUTED_VALUE"""),14)</f>
        <v>14</v>
      </c>
      <c r="D357" s="1">
        <f ca="1">IFERROR(__xludf.DUMMYFUNCTION("""COMPUTED_VALUE"""),2023)</f>
        <v>2023</v>
      </c>
      <c r="E357" s="4">
        <f ca="1">IFERROR(__xludf.DUMMYFUNCTION("""COMPUTED_VALUE"""),44999)</f>
        <v>44999</v>
      </c>
      <c r="F357" s="1" t="str">
        <f ca="1">IFERROR(__xludf.DUMMYFUNCTION("""COMPUTED_VALUE"""),"Martin Luther King Jr. Educational Campus")</f>
        <v>Martin Luther King Jr. Educational Campus</v>
      </c>
      <c r="G357" s="1">
        <f ca="1">IFERROR(__xludf.DUMMYFUNCTION("""COMPUTED_VALUE"""),0)</f>
        <v>0</v>
      </c>
      <c r="H357" s="1">
        <f ca="1">IFERROR(__xludf.DUMMYFUNCTION("""COMPUTED_VALUE"""),1)</f>
        <v>1</v>
      </c>
      <c r="I357" s="1">
        <f ca="1">IFERROR(__xludf.DUMMYFUNCTION("""COMPUTED_VALUE"""),1)</f>
        <v>1</v>
      </c>
      <c r="J357" s="1">
        <f ca="1">IFERROR(__xludf.DUMMYFUNCTION("""COMPUTED_VALUE"""),0)</f>
        <v>0</v>
      </c>
      <c r="K357" s="1" t="str">
        <f ca="1">IFERROR(__xludf.DUMMYFUNCTION("""COMPUTED_VALUE"""),"Spring")</f>
        <v>Spring</v>
      </c>
      <c r="L357" s="1" t="str">
        <f ca="1">IFERROR(__xludf.DUMMYFUNCTION("""COMPUTED_VALUE"""),"New York")</f>
        <v>New York</v>
      </c>
      <c r="M357" s="1" t="str">
        <f ca="1">IFERROR(__xludf.DUMMYFUNCTION("""COMPUTED_VALUE"""),"NY")</f>
        <v>NY</v>
      </c>
      <c r="N357" s="1" t="str">
        <f ca="1">IFERROR(__xludf.DUMMYFUNCTION("""COMPUTED_VALUE"""),"High")</f>
        <v>High</v>
      </c>
      <c r="O357" s="1" t="str">
        <f ca="1">IFERROR(__xludf.DUMMYFUNCTION("""COMPUTED_VALUE"""),"Front of School")</f>
        <v>Front of School</v>
      </c>
      <c r="P357" s="1" t="str">
        <f ca="1">IFERROR(__xludf.DUMMYFUNCTION("""COMPUTED_VALUE"""),"Outside on School Property")</f>
        <v>Outside on School Property</v>
      </c>
      <c r="Q357" s="1" t="str">
        <f ca="1">IFERROR(__xludf.DUMMYFUNCTION("""COMPUTED_VALUE"""),"Yes")</f>
        <v>Yes</v>
      </c>
      <c r="R357" s="1" t="str">
        <f ca="1">IFERROR(__xludf.DUMMYFUNCTION("""COMPUTED_VALUE"""),"Morning Classes")</f>
        <v>Morning Classes</v>
      </c>
      <c r="S357" s="5">
        <f ca="1">IFERROR(__xludf.DUMMYFUNCTION("""COMPUTED_VALUE"""),0.409722222222222)</f>
        <v>0.40972222222222199</v>
      </c>
      <c r="T357" s="1">
        <f ca="1">IFERROR(__xludf.DUMMYFUNCTION("""COMPUTED_VALUE"""),1)</f>
        <v>1</v>
      </c>
      <c r="U357" s="1" t="str">
        <f ca="1">IFERROR(__xludf.DUMMYFUNCTION("""COMPUTED_VALUE"""),"Teen shot in front of school during morning classes")</f>
        <v>Teen shot in front of school during morning classes</v>
      </c>
      <c r="V357" s="1" t="str">
        <f ca="1">IFERROR(__xludf.DUMMYFUNCTION("""COMPUTED_VALUE"""),"A teenager was shot and injured outside a high school on the Upper West Side. The shooting happened on Tuesday at 9:50 a.m. in front of the Martin Luther King Jr. Educational Campus on Amsterdam Avenue at 66th Street. The victim was shot in the torso and "&amp;"taken into the school for treatment before he was rushed to a nearby hospital. The gunman was arrested a short distance away. He's refusing to talk to police, so the NYPD is working to figure out his background.")</f>
        <v>A teenager was shot and injured outside a high school on the Upper West Side. The shooting happened on Tuesday at 9:50 a.m. in front of the Martin Luther King Jr. Educational Campus on Amsterdam Avenue at 66th Street. The victim was shot in the torso and taken into the school for treatment before he was rushed to a nearby hospital. The gunman was arrested a short distance away. He's refusing to talk to police, so the NYPD is working to figure out his background.</v>
      </c>
      <c r="W357" s="1" t="str">
        <f ca="1">IFERROR(__xludf.DUMMYFUNCTION("""COMPUTED_VALUE"""),"Escalation of Dispute")</f>
        <v>Escalation of Dispute</v>
      </c>
      <c r="X357" s="1" t="str">
        <f ca="1">IFERROR(__xludf.DUMMYFUNCTION("""COMPUTED_VALUE"""),"Victims Targeted")</f>
        <v>Victims Targeted</v>
      </c>
      <c r="Y357" s="1" t="str">
        <f ca="1">IFERROR(__xludf.DUMMYFUNCTION("""COMPUTED_VALUE"""),"No")</f>
        <v>No</v>
      </c>
      <c r="Z357" s="1"/>
      <c r="AA357" s="1" t="str">
        <f ca="1">IFERROR(__xludf.DUMMYFUNCTION("""COMPUTED_VALUE"""),"No")</f>
        <v>No</v>
      </c>
      <c r="AB357" s="1" t="str">
        <f ca="1">IFERROR(__xludf.DUMMYFUNCTION("""COMPUTED_VALUE"""),"No")</f>
        <v>No</v>
      </c>
      <c r="AC357" s="1" t="str">
        <f ca="1">IFERROR(__xludf.DUMMYFUNCTION("""COMPUTED_VALUE"""),"No")</f>
        <v>No</v>
      </c>
      <c r="AD357" s="1" t="str">
        <f ca="1">IFERROR(__xludf.DUMMYFUNCTION("""COMPUTED_VALUE"""),"No")</f>
        <v>No</v>
      </c>
      <c r="AE357" s="1" t="str">
        <f ca="1">IFERROR(__xludf.DUMMYFUNCTION("""COMPUTED_VALUE"""),"No")</f>
        <v>No</v>
      </c>
      <c r="AF357" s="1" t="str">
        <f ca="1">IFERROR(__xludf.DUMMYFUNCTION("""COMPUTED_VALUE"""),"Yes")</f>
        <v>Yes</v>
      </c>
      <c r="AG357" s="1" t="str">
        <f ca="1">IFERROR(__xludf.DUMMYFUNCTION("""COMPUTED_VALUE"""),"No")</f>
        <v>No</v>
      </c>
      <c r="AH357" s="1">
        <f ca="1">IFERROR(__xludf.DUMMYFUNCTION("""COMPUTED_VALUE"""),3)</f>
        <v>3</v>
      </c>
    </row>
    <row r="358" spans="1:34" ht="12.5">
      <c r="A358" s="1" t="str">
        <f ca="1">IFERROR(__xludf.DUMMYFUNCTION("""COMPUTED_VALUE"""),"20230314NYHAN")</f>
        <v>20230314NYHAN</v>
      </c>
      <c r="B358" s="1">
        <f ca="1">IFERROR(__xludf.DUMMYFUNCTION("""COMPUTED_VALUE"""),3)</f>
        <v>3</v>
      </c>
      <c r="C358" s="1">
        <f ca="1">IFERROR(__xludf.DUMMYFUNCTION("""COMPUTED_VALUE"""),14)</f>
        <v>14</v>
      </c>
      <c r="D358" s="1">
        <f ca="1">IFERROR(__xludf.DUMMYFUNCTION("""COMPUTED_VALUE"""),2023)</f>
        <v>2023</v>
      </c>
      <c r="E358" s="4">
        <f ca="1">IFERROR(__xludf.DUMMYFUNCTION("""COMPUTED_VALUE"""),44999)</f>
        <v>44999</v>
      </c>
      <c r="F358" s="1" t="str">
        <f ca="1">IFERROR(__xludf.DUMMYFUNCTION("""COMPUTED_VALUE"""),"Harlem Renaissance High School")</f>
        <v>Harlem Renaissance High School</v>
      </c>
      <c r="G358" s="1">
        <f ca="1">IFERROR(__xludf.DUMMYFUNCTION("""COMPUTED_VALUE"""),0)</f>
        <v>0</v>
      </c>
      <c r="H358" s="1">
        <f ca="1">IFERROR(__xludf.DUMMYFUNCTION("""COMPUTED_VALUE"""),2)</f>
        <v>2</v>
      </c>
      <c r="I358" s="1">
        <f ca="1">IFERROR(__xludf.DUMMYFUNCTION("""COMPUTED_VALUE"""),2)</f>
        <v>2</v>
      </c>
      <c r="J358" s="1">
        <f ca="1">IFERROR(__xludf.DUMMYFUNCTION("""COMPUTED_VALUE"""),0)</f>
        <v>0</v>
      </c>
      <c r="K358" s="1" t="str">
        <f ca="1">IFERROR(__xludf.DUMMYFUNCTION("""COMPUTED_VALUE"""),"Spring")</f>
        <v>Spring</v>
      </c>
      <c r="L358" s="1" t="str">
        <f ca="1">IFERROR(__xludf.DUMMYFUNCTION("""COMPUTED_VALUE"""),"New York")</f>
        <v>New York</v>
      </c>
      <c r="M358" s="1" t="str">
        <f ca="1">IFERROR(__xludf.DUMMYFUNCTION("""COMPUTED_VALUE"""),"NY")</f>
        <v>NY</v>
      </c>
      <c r="N358" s="1" t="str">
        <f ca="1">IFERROR(__xludf.DUMMYFUNCTION("""COMPUTED_VALUE"""),"High")</f>
        <v>High</v>
      </c>
      <c r="O358" s="1" t="str">
        <f ca="1">IFERROR(__xludf.DUMMYFUNCTION("""COMPUTED_VALUE"""),"Front of School")</f>
        <v>Front of School</v>
      </c>
      <c r="P358" s="1" t="str">
        <f ca="1">IFERROR(__xludf.DUMMYFUNCTION("""COMPUTED_VALUE"""),"Outside on School Property")</f>
        <v>Outside on School Property</v>
      </c>
      <c r="Q358" s="1" t="str">
        <f ca="1">IFERROR(__xludf.DUMMYFUNCTION("""COMPUTED_VALUE"""),"Yes")</f>
        <v>Yes</v>
      </c>
      <c r="R358" s="1" t="str">
        <f ca="1">IFERROR(__xludf.DUMMYFUNCTION("""COMPUTED_VALUE"""),"Afternoon Classes")</f>
        <v>Afternoon Classes</v>
      </c>
      <c r="S358" s="5">
        <f ca="1">IFERROR(__xludf.DUMMYFUNCTION("""COMPUTED_VALUE"""),0.541666666666666)</f>
        <v>0.54166666666666596</v>
      </c>
      <c r="T358" s="1">
        <f ca="1">IFERROR(__xludf.DUMMYFUNCTION("""COMPUTED_VALUE"""),1)</f>
        <v>1</v>
      </c>
      <c r="U358" s="1" t="str">
        <f ca="1">IFERROR(__xludf.DUMMYFUNCTION("""COMPUTED_VALUE"""),"4 students were approached by group of teens when they left the school, shots fired during fight")</f>
        <v>4 students were approached by group of teens when they left the school, shots fired during fight</v>
      </c>
      <c r="V358" s="1" t="str">
        <f ca="1">IFERROR(__xludf.DUMMYFUNCTION("""COMPUTED_VALUE"""),"At around 1 p.m., four students leaving Renaissance High School got into a physical altercation with three men, police said. Shots rang out and a 16-year-old was hit once, so was a 27-year-old, who was an unintended target.")</f>
        <v>At around 1 p.m., four students leaving Renaissance High School got into a physical altercation with three men, police said. Shots rang out and a 16-year-old was hit once, so was a 27-year-old, who was an unintended target.</v>
      </c>
      <c r="W358" s="1" t="str">
        <f ca="1">IFERROR(__xludf.DUMMYFUNCTION("""COMPUTED_VALUE"""),"Escalation of Dispute")</f>
        <v>Escalation of Dispute</v>
      </c>
      <c r="X358" s="1" t="str">
        <f ca="1">IFERROR(__xludf.DUMMYFUNCTION("""COMPUTED_VALUE"""),"Both")</f>
        <v>Both</v>
      </c>
      <c r="Y358" s="1" t="str">
        <f ca="1">IFERROR(__xludf.DUMMYFUNCTION("""COMPUTED_VALUE"""),"Yes")</f>
        <v>Yes</v>
      </c>
      <c r="Z358" s="1" t="str">
        <f ca="1">IFERROR(__xludf.DUMMYFUNCTION("""COMPUTED_VALUE"""),"Group of teens")</f>
        <v>Group of teens</v>
      </c>
      <c r="AA358" s="1" t="str">
        <f ca="1">IFERROR(__xludf.DUMMYFUNCTION("""COMPUTED_VALUE"""),"No")</f>
        <v>No</v>
      </c>
      <c r="AB358" s="1" t="str">
        <f ca="1">IFERROR(__xludf.DUMMYFUNCTION("""COMPUTED_VALUE"""),"No")</f>
        <v>No</v>
      </c>
      <c r="AC358" s="1" t="str">
        <f ca="1">IFERROR(__xludf.DUMMYFUNCTION("""COMPUTED_VALUE"""),"No")</f>
        <v>No</v>
      </c>
      <c r="AD358" s="1" t="str">
        <f ca="1">IFERROR(__xludf.DUMMYFUNCTION("""COMPUTED_VALUE"""),"No")</f>
        <v>No</v>
      </c>
      <c r="AE358" s="1" t="str">
        <f ca="1">IFERROR(__xludf.DUMMYFUNCTION("""COMPUTED_VALUE"""),"No")</f>
        <v>No</v>
      </c>
      <c r="AF358" s="1" t="str">
        <f ca="1">IFERROR(__xludf.DUMMYFUNCTION("""COMPUTED_VALUE"""),"Yes")</f>
        <v>Yes</v>
      </c>
      <c r="AG358" s="1" t="str">
        <f ca="1">IFERROR(__xludf.DUMMYFUNCTION("""COMPUTED_VALUE"""),"No")</f>
        <v>No</v>
      </c>
      <c r="AH358" s="1">
        <f ca="1">IFERROR(__xludf.DUMMYFUNCTION("""COMPUTED_VALUE"""),99)</f>
        <v>99</v>
      </c>
    </row>
    <row r="359" spans="1:34" ht="12.5">
      <c r="A359" s="1" t="str">
        <f ca="1">IFERROR(__xludf.DUMMYFUNCTION("""COMPUTED_VALUE"""),"20230313NYPSN")</f>
        <v>20230313NYPSN</v>
      </c>
      <c r="B359" s="1">
        <f ca="1">IFERROR(__xludf.DUMMYFUNCTION("""COMPUTED_VALUE"""),3)</f>
        <v>3</v>
      </c>
      <c r="C359" s="1">
        <f ca="1">IFERROR(__xludf.DUMMYFUNCTION("""COMPUTED_VALUE"""),14)</f>
        <v>14</v>
      </c>
      <c r="D359" s="1">
        <f ca="1">IFERROR(__xludf.DUMMYFUNCTION("""COMPUTED_VALUE"""),2023)</f>
        <v>2023</v>
      </c>
      <c r="E359" s="4">
        <f ca="1">IFERROR(__xludf.DUMMYFUNCTION("""COMPUTED_VALUE"""),44999)</f>
        <v>44999</v>
      </c>
      <c r="F359" s="1" t="str">
        <f ca="1">IFERROR(__xludf.DUMMYFUNCTION("""COMPUTED_VALUE"""),"PS 57 James Weldon Johnson")</f>
        <v>PS 57 James Weldon Johnson</v>
      </c>
      <c r="G359" s="1">
        <f ca="1">IFERROR(__xludf.DUMMYFUNCTION("""COMPUTED_VALUE"""),0)</f>
        <v>0</v>
      </c>
      <c r="H359" s="1">
        <f ca="1">IFERROR(__xludf.DUMMYFUNCTION("""COMPUTED_VALUE"""),0)</f>
        <v>0</v>
      </c>
      <c r="I359" s="1">
        <f ca="1">IFERROR(__xludf.DUMMYFUNCTION("""COMPUTED_VALUE"""),0)</f>
        <v>0</v>
      </c>
      <c r="J359" s="1">
        <f ca="1">IFERROR(__xludf.DUMMYFUNCTION("""COMPUTED_VALUE"""),0)</f>
        <v>0</v>
      </c>
      <c r="K359" s="1" t="str">
        <f ca="1">IFERROR(__xludf.DUMMYFUNCTION("""COMPUTED_VALUE"""),"Spring")</f>
        <v>Spring</v>
      </c>
      <c r="L359" s="1" t="str">
        <f ca="1">IFERROR(__xludf.DUMMYFUNCTION("""COMPUTED_VALUE"""),"New York")</f>
        <v>New York</v>
      </c>
      <c r="M359" s="1" t="str">
        <f ca="1">IFERROR(__xludf.DUMMYFUNCTION("""COMPUTED_VALUE"""),"NY")</f>
        <v>NY</v>
      </c>
      <c r="N359" s="1" t="str">
        <f ca="1">IFERROR(__xludf.DUMMYFUNCTION("""COMPUTED_VALUE"""),"Middle")</f>
        <v>Middle</v>
      </c>
      <c r="O359" s="1" t="str">
        <f ca="1">IFERROR(__xludf.DUMMYFUNCTION("""COMPUTED_VALUE"""),"Front of School")</f>
        <v>Front of School</v>
      </c>
      <c r="P359" s="1" t="str">
        <f ca="1">IFERROR(__xludf.DUMMYFUNCTION("""COMPUTED_VALUE"""),"Outside on School Property")</f>
        <v>Outside on School Property</v>
      </c>
      <c r="Q359" s="1" t="str">
        <f ca="1">IFERROR(__xludf.DUMMYFUNCTION("""COMPUTED_VALUE"""),"Yes")</f>
        <v>Yes</v>
      </c>
      <c r="R359" s="1" t="str">
        <f ca="1">IFERROR(__xludf.DUMMYFUNCTION("""COMPUTED_VALUE"""),"Dismissal")</f>
        <v>Dismissal</v>
      </c>
      <c r="S359" s="5">
        <f ca="1">IFERROR(__xludf.DUMMYFUNCTION("""COMPUTED_VALUE"""),0.625)</f>
        <v>0.625</v>
      </c>
      <c r="T359" s="1">
        <f ca="1">IFERROR(__xludf.DUMMYFUNCTION("""COMPUTED_VALUE"""),1)</f>
        <v>1</v>
      </c>
      <c r="U359" s="1" t="str">
        <f ca="1">IFERROR(__xludf.DUMMYFUNCTION("""COMPUTED_VALUE"""),"Shots fired by group of teens")</f>
        <v>Shots fired by group of teens</v>
      </c>
      <c r="V359" s="1" t="str">
        <f ca="1">IFERROR(__xludf.DUMMYFUNCTION("""COMPUTED_VALUE"""),"4-5 shots fired by group of teens in front of school. Connected to two prior shootings at NYC schools earlier in the day related to a dispute between teens from rival housing projects.")</f>
        <v>4-5 shots fired by group of teens in front of school. Connected to two prior shootings at NYC schools earlier in the day related to a dispute between teens from rival housing projects.</v>
      </c>
      <c r="W359" s="1" t="str">
        <f ca="1">IFERROR(__xludf.DUMMYFUNCTION("""COMPUTED_VALUE"""),"Escalation of Dispute")</f>
        <v>Escalation of Dispute</v>
      </c>
      <c r="X359" s="1" t="str">
        <f ca="1">IFERROR(__xludf.DUMMYFUNCTION("""COMPUTED_VALUE"""),"Victims Targeted")</f>
        <v>Victims Targeted</v>
      </c>
      <c r="Y359" s="1" t="str">
        <f ca="1">IFERROR(__xludf.DUMMYFUNCTION("""COMPUTED_VALUE"""),"Yes")</f>
        <v>Yes</v>
      </c>
      <c r="Z359" s="1" t="str">
        <f ca="1">IFERROR(__xludf.DUMMYFUNCTION("""COMPUTED_VALUE"""),"Group of teens")</f>
        <v>Group of teens</v>
      </c>
      <c r="AA359" s="1" t="str">
        <f ca="1">IFERROR(__xludf.DUMMYFUNCTION("""COMPUTED_VALUE"""),"No")</f>
        <v>No</v>
      </c>
      <c r="AB359" s="1" t="str">
        <f ca="1">IFERROR(__xludf.DUMMYFUNCTION("""COMPUTED_VALUE"""),"No")</f>
        <v>No</v>
      </c>
      <c r="AC359" s="1" t="str">
        <f ca="1">IFERROR(__xludf.DUMMYFUNCTION("""COMPUTED_VALUE"""),"No")</f>
        <v>No</v>
      </c>
      <c r="AD359" s="1" t="str">
        <f ca="1">IFERROR(__xludf.DUMMYFUNCTION("""COMPUTED_VALUE"""),"No")</f>
        <v>No</v>
      </c>
      <c r="AE359" s="1" t="str">
        <f ca="1">IFERROR(__xludf.DUMMYFUNCTION("""COMPUTED_VALUE"""),"No")</f>
        <v>No</v>
      </c>
      <c r="AF359" s="1" t="str">
        <f ca="1">IFERROR(__xludf.DUMMYFUNCTION("""COMPUTED_VALUE"""),"Yes")</f>
        <v>Yes</v>
      </c>
      <c r="AG359" s="1" t="str">
        <f ca="1">IFERROR(__xludf.DUMMYFUNCTION("""COMPUTED_VALUE"""),"No")</f>
        <v>No</v>
      </c>
      <c r="AH359" s="1">
        <f ca="1">IFERROR(__xludf.DUMMYFUNCTION("""COMPUTED_VALUE"""),4)</f>
        <v>4</v>
      </c>
    </row>
    <row r="360" spans="1:34" ht="12.5">
      <c r="A360" s="1" t="str">
        <f ca="1">IFERROR(__xludf.DUMMYFUNCTION("""COMPUTED_VALUE"""),"20230309WIBAM")</f>
        <v>20230309WIBAM</v>
      </c>
      <c r="B360" s="1">
        <f ca="1">IFERROR(__xludf.DUMMYFUNCTION("""COMPUTED_VALUE"""),3)</f>
        <v>3</v>
      </c>
      <c r="C360" s="1">
        <f ca="1">IFERROR(__xludf.DUMMYFUNCTION("""COMPUTED_VALUE"""),9)</f>
        <v>9</v>
      </c>
      <c r="D360" s="1">
        <f ca="1">IFERROR(__xludf.DUMMYFUNCTION("""COMPUTED_VALUE"""),2023)</f>
        <v>2023</v>
      </c>
      <c r="E360" s="4">
        <f ca="1">IFERROR(__xludf.DUMMYFUNCTION("""COMPUTED_VALUE"""),44994)</f>
        <v>44994</v>
      </c>
      <c r="F360" s="1" t="str">
        <f ca="1">IFERROR(__xludf.DUMMYFUNCTION("""COMPUTED_VALUE"""),"Barack Obama School")</f>
        <v>Barack Obama School</v>
      </c>
      <c r="G360" s="1">
        <f ca="1">IFERROR(__xludf.DUMMYFUNCTION("""COMPUTED_VALUE"""),0)</f>
        <v>0</v>
      </c>
      <c r="H360" s="1">
        <f ca="1">IFERROR(__xludf.DUMMYFUNCTION("""COMPUTED_VALUE"""),0)</f>
        <v>0</v>
      </c>
      <c r="I360" s="1">
        <f ca="1">IFERROR(__xludf.DUMMYFUNCTION("""COMPUTED_VALUE"""),0)</f>
        <v>0</v>
      </c>
      <c r="J360" s="1">
        <f ca="1">IFERROR(__xludf.DUMMYFUNCTION("""COMPUTED_VALUE"""),0)</f>
        <v>0</v>
      </c>
      <c r="K360" s="1" t="str">
        <f ca="1">IFERROR(__xludf.DUMMYFUNCTION("""COMPUTED_VALUE"""),"Spring")</f>
        <v>Spring</v>
      </c>
      <c r="L360" s="1" t="str">
        <f ca="1">IFERROR(__xludf.DUMMYFUNCTION("""COMPUTED_VALUE"""),"Milwaukee")</f>
        <v>Milwaukee</v>
      </c>
      <c r="M360" s="1" t="str">
        <f ca="1">IFERROR(__xludf.DUMMYFUNCTION("""COMPUTED_VALUE"""),"WI")</f>
        <v>WI</v>
      </c>
      <c r="N360" s="1" t="str">
        <f ca="1">IFERROR(__xludf.DUMMYFUNCTION("""COMPUTED_VALUE"""),"High")</f>
        <v>High</v>
      </c>
      <c r="O360" s="1" t="str">
        <f ca="1">IFERROR(__xludf.DUMMYFUNCTION("""COMPUTED_VALUE"""),"Front of School (Bus)")</f>
        <v>Front of School (Bus)</v>
      </c>
      <c r="P360" s="1" t="str">
        <f ca="1">IFERROR(__xludf.DUMMYFUNCTION("""COMPUTED_VALUE"""),"Outside on School Property")</f>
        <v>Outside on School Property</v>
      </c>
      <c r="Q360" s="1" t="str">
        <f ca="1">IFERROR(__xludf.DUMMYFUNCTION("""COMPUTED_VALUE"""),"Yes")</f>
        <v>Yes</v>
      </c>
      <c r="R360" s="1" t="str">
        <f ca="1">IFERROR(__xludf.DUMMYFUNCTION("""COMPUTED_VALUE"""),"School Start")</f>
        <v>School Start</v>
      </c>
      <c r="S360" s="5">
        <f ca="1">IFERROR(__xludf.DUMMYFUNCTION("""COMPUTED_VALUE"""),0.333333333333333)</f>
        <v>0.33333333333333298</v>
      </c>
      <c r="T360" s="1">
        <f ca="1">IFERROR(__xludf.DUMMYFUNCTION("""COMPUTED_VALUE"""),1)</f>
        <v>1</v>
      </c>
      <c r="U360" s="1" t="str">
        <f ca="1">IFERROR(__xludf.DUMMYFUNCTION("""COMPUTED_VALUE"""),"Student pointed gun at other student then fired round into air during dispute")</f>
        <v>Student pointed gun at other student then fired round into air during dispute</v>
      </c>
      <c r="V360" s="1" t="str">
        <f ca="1">IFERROR(__xludf.DUMMYFUNCTION("""COMPUTED_VALUE"""),"According to the criminal complaint, police were dispatched to the grounds of Barack Obama School around 8 a.m on March 9 for the report of shots fired. Upon arrival, police learned that a student, later identified as Elijah McGhee, pointed a gun at other"&amp;" students while on the school bus and then discharged one round into the air after exiting the bus. A victim on scene told authorities that she had been riding the school bus when McGhee began to make fun of her friend. The victim stated that she confront"&amp;"ed McGhee, and they began to argue. At that time, the victim claims McGhee produced a firearm and pointed it at her and threatened to shoot her before pointing the gun at other students on the bus. The victim claims McGhee then slapped her in the face and"&amp;" pushed her down into her seat. When the bus arrived at school, McGhee allegedly fired one round into the air after exiting the bus. Surveillance footage showed McGhee discharged one round into the air while standing outside the bus. Multiple children wer"&amp;"e in the vicinity at the time. ")</f>
        <v xml:space="preserve">According to the criminal complaint, police were dispatched to the grounds of Barack Obama School around 8 a.m on March 9 for the report of shots fired. Upon arrival, police learned that a student, later identified as Elijah McGhee, pointed a gun at other students while on the school bus and then discharged one round into the air after exiting the bus. A victim on scene told authorities that she had been riding the school bus when McGhee began to make fun of her friend. The victim stated that she confronted McGhee, and they began to argue. At that time, the victim claims McGhee produced a firearm and pointed it at her and threatened to shoot her before pointing the gun at other students on the bus. The victim claims McGhee then slapped her in the face and pushed her down into her seat. When the bus arrived at school, McGhee allegedly fired one round into the air after exiting the bus. Surveillance footage showed McGhee discharged one round into the air while standing outside the bus. Multiple children were in the vicinity at the time. </v>
      </c>
      <c r="W360" s="1" t="str">
        <f ca="1">IFERROR(__xludf.DUMMYFUNCTION("""COMPUTED_VALUE"""),"Escalation of Dispute")</f>
        <v>Escalation of Dispute</v>
      </c>
      <c r="X360" s="1" t="str">
        <f ca="1">IFERROR(__xludf.DUMMYFUNCTION("""COMPUTED_VALUE"""),"Neither")</f>
        <v>Neither</v>
      </c>
      <c r="Y360" s="1" t="str">
        <f ca="1">IFERROR(__xludf.DUMMYFUNCTION("""COMPUTED_VALUE"""),"No")</f>
        <v>No</v>
      </c>
      <c r="Z360" s="1"/>
      <c r="AA360" s="1" t="str">
        <f ca="1">IFERROR(__xludf.DUMMYFUNCTION("""COMPUTED_VALUE"""),"No")</f>
        <v>No</v>
      </c>
      <c r="AB360" s="1" t="str">
        <f ca="1">IFERROR(__xludf.DUMMYFUNCTION("""COMPUTED_VALUE"""),"No")</f>
        <v>No</v>
      </c>
      <c r="AC360" s="1" t="str">
        <f ca="1">IFERROR(__xludf.DUMMYFUNCTION("""COMPUTED_VALUE"""),"No")</f>
        <v>No</v>
      </c>
      <c r="AD360" s="1" t="str">
        <f ca="1">IFERROR(__xludf.DUMMYFUNCTION("""COMPUTED_VALUE"""),"No")</f>
        <v>No</v>
      </c>
      <c r="AE360" s="1" t="str">
        <f ca="1">IFERROR(__xludf.DUMMYFUNCTION("""COMPUTED_VALUE"""),"No")</f>
        <v>No</v>
      </c>
      <c r="AF360" s="1" t="str">
        <f ca="1">IFERROR(__xludf.DUMMYFUNCTION("""COMPUTED_VALUE"""),"No")</f>
        <v>No</v>
      </c>
      <c r="AG360" s="1" t="str">
        <f ca="1">IFERROR(__xludf.DUMMYFUNCTION("""COMPUTED_VALUE"""),"No")</f>
        <v>No</v>
      </c>
      <c r="AH360" s="1">
        <f ca="1">IFERROR(__xludf.DUMMYFUNCTION("""COMPUTED_VALUE"""),1)</f>
        <v>1</v>
      </c>
    </row>
    <row r="361" spans="1:34" ht="12.5">
      <c r="A361" s="1" t="str">
        <f ca="1">IFERROR(__xludf.DUMMYFUNCTION("""COMPUTED_VALUE"""),"20230309OHMAM")</f>
        <v>20230309OHMAM</v>
      </c>
      <c r="B361" s="1">
        <f ca="1">IFERROR(__xludf.DUMMYFUNCTION("""COMPUTED_VALUE"""),3)</f>
        <v>3</v>
      </c>
      <c r="C361" s="1">
        <f ca="1">IFERROR(__xludf.DUMMYFUNCTION("""COMPUTED_VALUE"""),9)</f>
        <v>9</v>
      </c>
      <c r="D361" s="1">
        <f ca="1">IFERROR(__xludf.DUMMYFUNCTION("""COMPUTED_VALUE"""),2023)</f>
        <v>2023</v>
      </c>
      <c r="E361" s="4">
        <f ca="1">IFERROR(__xludf.DUMMYFUNCTION("""COMPUTED_VALUE"""),44994)</f>
        <v>44994</v>
      </c>
      <c r="F361" s="1" t="str">
        <f ca="1">IFERROR(__xludf.DUMMYFUNCTION("""COMPUTED_VALUE"""),"Maple Heights High School")</f>
        <v>Maple Heights High School</v>
      </c>
      <c r="G361" s="1">
        <f ca="1">IFERROR(__xludf.DUMMYFUNCTION("""COMPUTED_VALUE"""),0)</f>
        <v>0</v>
      </c>
      <c r="H361" s="1">
        <f ca="1">IFERROR(__xludf.DUMMYFUNCTION("""COMPUTED_VALUE"""),1)</f>
        <v>1</v>
      </c>
      <c r="I361" s="1">
        <f ca="1">IFERROR(__xludf.DUMMYFUNCTION("""COMPUTED_VALUE"""),1)</f>
        <v>1</v>
      </c>
      <c r="J361" s="1">
        <f ca="1">IFERROR(__xludf.DUMMYFUNCTION("""COMPUTED_VALUE"""),0)</f>
        <v>0</v>
      </c>
      <c r="K361" s="1" t="str">
        <f ca="1">IFERROR(__xludf.DUMMYFUNCTION("""COMPUTED_VALUE"""),"Spring")</f>
        <v>Spring</v>
      </c>
      <c r="L361" s="1" t="str">
        <f ca="1">IFERROR(__xludf.DUMMYFUNCTION("""COMPUTED_VALUE"""),"Maple Heights")</f>
        <v>Maple Heights</v>
      </c>
      <c r="M361" s="1" t="str">
        <f ca="1">IFERROR(__xludf.DUMMYFUNCTION("""COMPUTED_VALUE"""),"OH")</f>
        <v>OH</v>
      </c>
      <c r="N361" s="1" t="str">
        <f ca="1">IFERROR(__xludf.DUMMYFUNCTION("""COMPUTED_VALUE"""),"High")</f>
        <v>High</v>
      </c>
      <c r="O361" s="1" t="str">
        <f ca="1">IFERROR(__xludf.DUMMYFUNCTION("""COMPUTED_VALUE"""),"Parking Lot")</f>
        <v>Parking Lot</v>
      </c>
      <c r="P361" s="1" t="str">
        <f ca="1">IFERROR(__xludf.DUMMYFUNCTION("""COMPUTED_VALUE"""),"Outside on School Property")</f>
        <v>Outside on School Property</v>
      </c>
      <c r="Q361" s="1" t="str">
        <f ca="1">IFERROR(__xludf.DUMMYFUNCTION("""COMPUTED_VALUE"""),"Yes")</f>
        <v>Yes</v>
      </c>
      <c r="R361" s="1" t="str">
        <f ca="1">IFERROR(__xludf.DUMMYFUNCTION("""COMPUTED_VALUE"""),"Afternoon Classes")</f>
        <v>Afternoon Classes</v>
      </c>
      <c r="S361" s="5">
        <f ca="1">IFERROR(__xludf.DUMMYFUNCTION("""COMPUTED_VALUE"""),0.645833333333333)</f>
        <v>0.64583333333333304</v>
      </c>
      <c r="T361" s="1">
        <f ca="1">IFERROR(__xludf.DUMMYFUNCTION("""COMPUTED_VALUE"""),1)</f>
        <v>1</v>
      </c>
      <c r="U361" s="1" t="str">
        <f ca="1">IFERROR(__xludf.DUMMYFUNCTION("""COMPUTED_VALUE"""),"17-year-old shot near the school parking lot, school went on lockdown")</f>
        <v>17-year-old shot near the school parking lot, school went on lockdown</v>
      </c>
      <c r="V361" s="1" t="str">
        <f ca="1">IFERROR(__xludf.DUMMYFUNCTION("""COMPUTED_VALUE"""),"Multiple shots fired and 17-year-old wounded in or near the parking lot of the school. School went on lockdown for 50 minutes. Per school statement, the shooter and victim were not students.")</f>
        <v>Multiple shots fired and 17-year-old wounded in or near the parking lot of the school. School went on lockdown for 50 minutes. Per school statement, the shooter and victim were not students.</v>
      </c>
      <c r="W361" s="1"/>
      <c r="X361" s="1" t="str">
        <f ca="1">IFERROR(__xludf.DUMMYFUNCTION("""COMPUTED_VALUE"""),"Victims Targeted")</f>
        <v>Victims Targeted</v>
      </c>
      <c r="Y361" s="1" t="str">
        <f ca="1">IFERROR(__xludf.DUMMYFUNCTION("""COMPUTED_VALUE"""),"No")</f>
        <v>No</v>
      </c>
      <c r="Z361" s="1"/>
      <c r="AA361" s="1" t="str">
        <f ca="1">IFERROR(__xludf.DUMMYFUNCTION("""COMPUTED_VALUE"""),"No")</f>
        <v>No</v>
      </c>
      <c r="AB361" s="1" t="str">
        <f ca="1">IFERROR(__xludf.DUMMYFUNCTION("""COMPUTED_VALUE"""),"No")</f>
        <v>No</v>
      </c>
      <c r="AC361" s="1" t="str">
        <f ca="1">IFERROR(__xludf.DUMMYFUNCTION("""COMPUTED_VALUE"""),"No")</f>
        <v>No</v>
      </c>
      <c r="AD361" s="1" t="str">
        <f ca="1">IFERROR(__xludf.DUMMYFUNCTION("""COMPUTED_VALUE"""),"No")</f>
        <v>No</v>
      </c>
      <c r="AE361" s="1" t="str">
        <f ca="1">IFERROR(__xludf.DUMMYFUNCTION("""COMPUTED_VALUE"""),"No")</f>
        <v>No</v>
      </c>
      <c r="AF361" s="1"/>
      <c r="AG361" s="1" t="str">
        <f ca="1">IFERROR(__xludf.DUMMYFUNCTION("""COMPUTED_VALUE"""),"No")</f>
        <v>No</v>
      </c>
      <c r="AH361" s="1">
        <f ca="1">IFERROR(__xludf.DUMMYFUNCTION("""COMPUTED_VALUE"""),99)</f>
        <v>99</v>
      </c>
    </row>
    <row r="362" spans="1:34" ht="12.5">
      <c r="A362" s="1" t="str">
        <f ca="1">IFERROR(__xludf.DUMMYFUNCTION("""COMPUTED_VALUE"""),"20230308WVHIH")</f>
        <v>20230308WVHIH</v>
      </c>
      <c r="B362" s="1">
        <f ca="1">IFERROR(__xludf.DUMMYFUNCTION("""COMPUTED_VALUE"""),3)</f>
        <v>3</v>
      </c>
      <c r="C362" s="1">
        <f ca="1">IFERROR(__xludf.DUMMYFUNCTION("""COMPUTED_VALUE"""),8)</f>
        <v>8</v>
      </c>
      <c r="D362" s="1">
        <f ca="1">IFERROR(__xludf.DUMMYFUNCTION("""COMPUTED_VALUE"""),2023)</f>
        <v>2023</v>
      </c>
      <c r="E362" s="4">
        <f ca="1">IFERROR(__xludf.DUMMYFUNCTION("""COMPUTED_VALUE"""),44993)</f>
        <v>44993</v>
      </c>
      <c r="F362" s="1" t="str">
        <f ca="1">IFERROR(__xludf.DUMMYFUNCTION("""COMPUTED_VALUE"""),"Hinton Area Elementary School")</f>
        <v>Hinton Area Elementary School</v>
      </c>
      <c r="G362" s="1">
        <f ca="1">IFERROR(__xludf.DUMMYFUNCTION("""COMPUTED_VALUE"""),0)</f>
        <v>0</v>
      </c>
      <c r="H362" s="1">
        <f ca="1">IFERROR(__xludf.DUMMYFUNCTION("""COMPUTED_VALUE"""),0)</f>
        <v>0</v>
      </c>
      <c r="I362" s="1">
        <f ca="1">IFERROR(__xludf.DUMMYFUNCTION("""COMPUTED_VALUE"""),0)</f>
        <v>0</v>
      </c>
      <c r="J362" s="1">
        <f ca="1">IFERROR(__xludf.DUMMYFUNCTION("""COMPUTED_VALUE"""),0)</f>
        <v>0</v>
      </c>
      <c r="K362" s="1" t="str">
        <f ca="1">IFERROR(__xludf.DUMMYFUNCTION("""COMPUTED_VALUE"""),"Spring")</f>
        <v>Spring</v>
      </c>
      <c r="L362" s="1" t="str">
        <f ca="1">IFERROR(__xludf.DUMMYFUNCTION("""COMPUTED_VALUE"""),"Hinton")</f>
        <v>Hinton</v>
      </c>
      <c r="M362" s="1" t="str">
        <f ca="1">IFERROR(__xludf.DUMMYFUNCTION("""COMPUTED_VALUE"""),"WV")</f>
        <v>WV</v>
      </c>
      <c r="N362" s="1" t="str">
        <f ca="1">IFERROR(__xludf.DUMMYFUNCTION("""COMPUTED_VALUE"""),"Elementary")</f>
        <v>Elementary</v>
      </c>
      <c r="O362" s="1" t="str">
        <f ca="1">IFERROR(__xludf.DUMMYFUNCTION("""COMPUTED_VALUE"""),"Outside on School Property")</f>
        <v>Outside on School Property</v>
      </c>
      <c r="P362" s="1" t="str">
        <f ca="1">IFERROR(__xludf.DUMMYFUNCTION("""COMPUTED_VALUE"""),"Outside on School Property")</f>
        <v>Outside on School Property</v>
      </c>
      <c r="Q362" s="1" t="str">
        <f ca="1">IFERROR(__xludf.DUMMYFUNCTION("""COMPUTED_VALUE"""),"No")</f>
        <v>No</v>
      </c>
      <c r="R362" s="1" t="str">
        <f ca="1">IFERROR(__xludf.DUMMYFUNCTION("""COMPUTED_VALUE"""),"After School")</f>
        <v>After School</v>
      </c>
      <c r="S362" s="5">
        <f ca="1">IFERROR(__xludf.DUMMYFUNCTION("""COMPUTED_VALUE"""),0.683333333333333)</f>
        <v>0.68333333333333302</v>
      </c>
      <c r="T362" s="1">
        <f ca="1">IFERROR(__xludf.DUMMYFUNCTION("""COMPUTED_VALUE"""),1)</f>
        <v>1</v>
      </c>
      <c r="U362" s="1" t="str">
        <f ca="1">IFERROR(__xludf.DUMMYFUNCTION("""COMPUTED_VALUE"""),"23-year-old man fired shots outside school")</f>
        <v>23-year-old man fired shots outside school</v>
      </c>
      <c r="V362" s="1" t="str">
        <f ca="1">IFERROR(__xludf.DUMMYFUNCTION("""COMPUTED_VALUE"""),"23-year-old man fired shots outside school. Arrested by police. School was not targeted, shooting was related to illegal drugs.")</f>
        <v>23-year-old man fired shots outside school. Arrested by police. School was not targeted, shooting was related to illegal drugs.</v>
      </c>
      <c r="W362" s="1" t="str">
        <f ca="1">IFERROR(__xludf.DUMMYFUNCTION("""COMPUTED_VALUE"""),"Illegal Activity")</f>
        <v>Illegal Activity</v>
      </c>
      <c r="X362" s="1" t="str">
        <f ca="1">IFERROR(__xludf.DUMMYFUNCTION("""COMPUTED_VALUE"""),"Neither")</f>
        <v>Neither</v>
      </c>
      <c r="Y362" s="1" t="str">
        <f ca="1">IFERROR(__xludf.DUMMYFUNCTION("""COMPUTED_VALUE"""),"No")</f>
        <v>No</v>
      </c>
      <c r="Z362" s="1"/>
      <c r="AA362" s="1" t="str">
        <f ca="1">IFERROR(__xludf.DUMMYFUNCTION("""COMPUTED_VALUE"""),"No")</f>
        <v>No</v>
      </c>
      <c r="AB362" s="1" t="str">
        <f ca="1">IFERROR(__xludf.DUMMYFUNCTION("""COMPUTED_VALUE"""),"No")</f>
        <v>No</v>
      </c>
      <c r="AC362" s="1" t="str">
        <f ca="1">IFERROR(__xludf.DUMMYFUNCTION("""COMPUTED_VALUE"""),"No")</f>
        <v>No</v>
      </c>
      <c r="AD362" s="1" t="str">
        <f ca="1">IFERROR(__xludf.DUMMYFUNCTION("""COMPUTED_VALUE"""),"No")</f>
        <v>No</v>
      </c>
      <c r="AE362" s="1" t="str">
        <f ca="1">IFERROR(__xludf.DUMMYFUNCTION("""COMPUTED_VALUE"""),"No")</f>
        <v>No</v>
      </c>
      <c r="AF362" s="1" t="str">
        <f ca="1">IFERROR(__xludf.DUMMYFUNCTION("""COMPUTED_VALUE"""),"No")</f>
        <v>No</v>
      </c>
      <c r="AG362" s="1" t="str">
        <f ca="1">IFERROR(__xludf.DUMMYFUNCTION("""COMPUTED_VALUE"""),"No")</f>
        <v>No</v>
      </c>
      <c r="AH362" s="1">
        <f ca="1">IFERROR(__xludf.DUMMYFUNCTION("""COMPUTED_VALUE"""),99)</f>
        <v>99</v>
      </c>
    </row>
    <row r="363" spans="1:34" ht="12.5">
      <c r="A363" s="1" t="str">
        <f ca="1">IFERROR(__xludf.DUMMYFUNCTION("""COMPUTED_VALUE"""),"20230308PAHEP")</f>
        <v>20230308PAHEP</v>
      </c>
      <c r="B363" s="1">
        <f ca="1">IFERROR(__xludf.DUMMYFUNCTION("""COMPUTED_VALUE"""),3)</f>
        <v>3</v>
      </c>
      <c r="C363" s="1">
        <f ca="1">IFERROR(__xludf.DUMMYFUNCTION("""COMPUTED_VALUE"""),8)</f>
        <v>8</v>
      </c>
      <c r="D363" s="1">
        <f ca="1">IFERROR(__xludf.DUMMYFUNCTION("""COMPUTED_VALUE"""),2023)</f>
        <v>2023</v>
      </c>
      <c r="E363" s="4">
        <f ca="1">IFERROR(__xludf.DUMMYFUNCTION("""COMPUTED_VALUE"""),44993)</f>
        <v>44993</v>
      </c>
      <c r="F363" s="1" t="str">
        <f ca="1">IFERROR(__xludf.DUMMYFUNCTION("""COMPUTED_VALUE"""),"Heston Elementary School")</f>
        <v>Heston Elementary School</v>
      </c>
      <c r="G363" s="1">
        <f ca="1">IFERROR(__xludf.DUMMYFUNCTION("""COMPUTED_VALUE"""),0)</f>
        <v>0</v>
      </c>
      <c r="H363" s="1">
        <f ca="1">IFERROR(__xludf.DUMMYFUNCTION("""COMPUTED_VALUE"""),1)</f>
        <v>1</v>
      </c>
      <c r="I363" s="1">
        <f ca="1">IFERROR(__xludf.DUMMYFUNCTION("""COMPUTED_VALUE"""),1)</f>
        <v>1</v>
      </c>
      <c r="J363" s="1">
        <f ca="1">IFERROR(__xludf.DUMMYFUNCTION("""COMPUTED_VALUE"""),0)</f>
        <v>0</v>
      </c>
      <c r="K363" s="1" t="str">
        <f ca="1">IFERROR(__xludf.DUMMYFUNCTION("""COMPUTED_VALUE"""),"Spring")</f>
        <v>Spring</v>
      </c>
      <c r="L363" s="1" t="str">
        <f ca="1">IFERROR(__xludf.DUMMYFUNCTION("""COMPUTED_VALUE"""),"Philadelphia")</f>
        <v>Philadelphia</v>
      </c>
      <c r="M363" s="1" t="str">
        <f ca="1">IFERROR(__xludf.DUMMYFUNCTION("""COMPUTED_VALUE"""),"PA")</f>
        <v>PA</v>
      </c>
      <c r="N363" s="1" t="str">
        <f ca="1">IFERROR(__xludf.DUMMYFUNCTION("""COMPUTED_VALUE"""),"Elementary")</f>
        <v>Elementary</v>
      </c>
      <c r="O363" s="1" t="str">
        <f ca="1">IFERROR(__xludf.DUMMYFUNCTION("""COMPUTED_VALUE"""),"Front of School")</f>
        <v>Front of School</v>
      </c>
      <c r="P363" s="1" t="str">
        <f ca="1">IFERROR(__xludf.DUMMYFUNCTION("""COMPUTED_VALUE"""),"Outside on School Property")</f>
        <v>Outside on School Property</v>
      </c>
      <c r="Q363" s="1" t="str">
        <f ca="1">IFERROR(__xludf.DUMMYFUNCTION("""COMPUTED_VALUE"""),"Yes")</f>
        <v>Yes</v>
      </c>
      <c r="R363" s="1" t="str">
        <f ca="1">IFERROR(__xludf.DUMMYFUNCTION("""COMPUTED_VALUE"""),"Dismissal")</f>
        <v>Dismissal</v>
      </c>
      <c r="S363" s="5">
        <f ca="1">IFERROR(__xludf.DUMMYFUNCTION("""COMPUTED_VALUE"""),0.65625)</f>
        <v>0.65625</v>
      </c>
      <c r="T363" s="1">
        <f ca="1">IFERROR(__xludf.DUMMYFUNCTION("""COMPUTED_VALUE"""),1)</f>
        <v>1</v>
      </c>
      <c r="U363" s="1" t="str">
        <f ca="1">IFERROR(__xludf.DUMMYFUNCTION("""COMPUTED_VALUE"""),"10 shots fired outside, bullet went through office window with 3 staff members standing nearby")</f>
        <v>10 shots fired outside, bullet went through office window with 3 staff members standing nearby</v>
      </c>
      <c r="V363" s="1" t="str">
        <f ca="1">IFERROR(__xludf.DUMMYFUNCTION("""COMPUTED_VALUE"""),"A 21-year-old man was outside the Heston Elementary School along the 1600 block of North 54th Street around 3:45 p.m. when at least one gunman fired at least 10 shots, according to investigators. ""This is totally unacceptable to fire shots anywhere in th"&amp;"e city, especially so close to where school children are,"" Philadelphia School District spokesperson Monique Braxton said. The 21-year-old man was shot once in the thigh. He was taken to the hospital in stable condition. Bullets also went through the win"&amp;"dow of the school's main office, nearly striking the school secretary and two other employees who were inside. “She heard the bullets whiz by,"" Braxton said. ""That’s how close it was to her. And two other people were also standing in the office at that "&amp;"time.” 
The shooting occurred 45 minutes after dismissal, according to Braxton, though there were still children inside the building at the time. The school was placed on lockdown before it was later lifted as parents picked up their kids.")</f>
        <v>A 21-year-old man was outside the Heston Elementary School along the 1600 block of North 54th Street around 3:45 p.m. when at least one gunman fired at least 10 shots, according to investigators. "This is totally unacceptable to fire shots anywhere in the city, especially so close to where school children are," Philadelphia School District spokesperson Monique Braxton said. The 21-year-old man was shot once in the thigh. He was taken to the hospital in stable condition. Bullets also went through the window of the school's main office, nearly striking the school secretary and two other employees who were inside. “She heard the bullets whiz by," Braxton said. "That’s how close it was to her. And two other people were also standing in the office at that time.” 
The shooting occurred 45 minutes after dismissal, according to Braxton, though there were still children inside the building at the time. The school was placed on lockdown before it was later lifted as parents picked up their kids.</v>
      </c>
      <c r="W363" s="1"/>
      <c r="X363" s="1" t="str">
        <f ca="1">IFERROR(__xludf.DUMMYFUNCTION("""COMPUTED_VALUE"""),"Victims Targeted")</f>
        <v>Victims Targeted</v>
      </c>
      <c r="Y363" s="1" t="str">
        <f ca="1">IFERROR(__xludf.DUMMYFUNCTION("""COMPUTED_VALUE"""),"No")</f>
        <v>No</v>
      </c>
      <c r="Z363" s="1"/>
      <c r="AA363" s="1" t="str">
        <f ca="1">IFERROR(__xludf.DUMMYFUNCTION("""COMPUTED_VALUE"""),"No")</f>
        <v>No</v>
      </c>
      <c r="AB363" s="1" t="str">
        <f ca="1">IFERROR(__xludf.DUMMYFUNCTION("""COMPUTED_VALUE"""),"No")</f>
        <v>No</v>
      </c>
      <c r="AC363" s="1" t="str">
        <f ca="1">IFERROR(__xludf.DUMMYFUNCTION("""COMPUTED_VALUE"""),"No")</f>
        <v>No</v>
      </c>
      <c r="AD363" s="1" t="str">
        <f ca="1">IFERROR(__xludf.DUMMYFUNCTION("""COMPUTED_VALUE"""),"No")</f>
        <v>No</v>
      </c>
      <c r="AE363" s="1" t="str">
        <f ca="1">IFERROR(__xludf.DUMMYFUNCTION("""COMPUTED_VALUE"""),"No")</f>
        <v>No</v>
      </c>
      <c r="AF363" s="1"/>
      <c r="AG363" s="1" t="str">
        <f ca="1">IFERROR(__xludf.DUMMYFUNCTION("""COMPUTED_VALUE"""),"No")</f>
        <v>No</v>
      </c>
      <c r="AH363" s="1">
        <f ca="1">IFERROR(__xludf.DUMMYFUNCTION("""COMPUTED_VALUE"""),14)</f>
        <v>14</v>
      </c>
    </row>
    <row r="364" spans="1:34" ht="12.5">
      <c r="A364" s="1" t="str">
        <f ca="1">IFERROR(__xludf.DUMMYFUNCTION("""COMPUTED_VALUE"""),"20230307INTHI")</f>
        <v>20230307INTHI</v>
      </c>
      <c r="B364" s="1">
        <f ca="1">IFERROR(__xludf.DUMMYFUNCTION("""COMPUTED_VALUE"""),3)</f>
        <v>3</v>
      </c>
      <c r="C364" s="1">
        <f ca="1">IFERROR(__xludf.DUMMYFUNCTION("""COMPUTED_VALUE"""),7)</f>
        <v>7</v>
      </c>
      <c r="D364" s="1">
        <f ca="1">IFERROR(__xludf.DUMMYFUNCTION("""COMPUTED_VALUE"""),2023)</f>
        <v>2023</v>
      </c>
      <c r="E364" s="4">
        <f ca="1">IFERROR(__xludf.DUMMYFUNCTION("""COMPUTED_VALUE"""),44992)</f>
        <v>44992</v>
      </c>
      <c r="F364" s="1" t="str">
        <f ca="1">IFERROR(__xludf.DUMMYFUNCTION("""COMPUTED_VALUE"""),"Thomas Carr Howe High School")</f>
        <v>Thomas Carr Howe High School</v>
      </c>
      <c r="G364" s="1">
        <f ca="1">IFERROR(__xludf.DUMMYFUNCTION("""COMPUTED_VALUE"""),1)</f>
        <v>1</v>
      </c>
      <c r="H364" s="1">
        <f ca="1">IFERROR(__xludf.DUMMYFUNCTION("""COMPUTED_VALUE"""),0)</f>
        <v>0</v>
      </c>
      <c r="I364" s="1">
        <f ca="1">IFERROR(__xludf.DUMMYFUNCTION("""COMPUTED_VALUE"""),1)</f>
        <v>1</v>
      </c>
      <c r="J364" s="1">
        <f ca="1">IFERROR(__xludf.DUMMYFUNCTION("""COMPUTED_VALUE"""),0)</f>
        <v>0</v>
      </c>
      <c r="K364" s="1" t="str">
        <f ca="1">IFERROR(__xludf.DUMMYFUNCTION("""COMPUTED_VALUE"""),"Spring")</f>
        <v>Spring</v>
      </c>
      <c r="L364" s="1" t="str">
        <f ca="1">IFERROR(__xludf.DUMMYFUNCTION("""COMPUTED_VALUE"""),"Indianapolis")</f>
        <v>Indianapolis</v>
      </c>
      <c r="M364" s="1" t="str">
        <f ca="1">IFERROR(__xludf.DUMMYFUNCTION("""COMPUTED_VALUE"""),"IN")</f>
        <v>IN</v>
      </c>
      <c r="N364" s="1" t="str">
        <f ca="1">IFERROR(__xludf.DUMMYFUNCTION("""COMPUTED_VALUE"""),"High")</f>
        <v>High</v>
      </c>
      <c r="O364" s="1" t="str">
        <f ca="1">IFERROR(__xludf.DUMMYFUNCTION("""COMPUTED_VALUE"""),"Parking Lot")</f>
        <v>Parking Lot</v>
      </c>
      <c r="P364" s="1" t="str">
        <f ca="1">IFERROR(__xludf.DUMMYFUNCTION("""COMPUTED_VALUE"""),"Outside on School Property")</f>
        <v>Outside on School Property</v>
      </c>
      <c r="Q364" s="1" t="str">
        <f ca="1">IFERROR(__xludf.DUMMYFUNCTION("""COMPUTED_VALUE"""),"No")</f>
        <v>No</v>
      </c>
      <c r="R364" s="1" t="str">
        <f ca="1">IFERROR(__xludf.DUMMYFUNCTION("""COMPUTED_VALUE"""),"Sport Event")</f>
        <v>Sport Event</v>
      </c>
      <c r="S364" s="5">
        <f ca="1">IFERROR(__xludf.DUMMYFUNCTION("""COMPUTED_VALUE"""),0.840277777777777)</f>
        <v>0.84027777777777701</v>
      </c>
      <c r="T364" s="1">
        <f ca="1">IFERROR(__xludf.DUMMYFUNCTION("""COMPUTED_VALUE"""),1)</f>
        <v>1</v>
      </c>
      <c r="U364" s="1" t="str">
        <f ca="1">IFERROR(__xludf.DUMMYFUNCTION("""COMPUTED_VALUE"""),"19-year-old male fatally shot near door to gym during high school basketball game")</f>
        <v>19-year-old male fatally shot near door to gym during high school basketball game</v>
      </c>
      <c r="V364" s="1" t="str">
        <f ca="1">IFERROR(__xludf.DUMMYFUNCTION("""COMPUTED_VALUE"""),"Indianapolis Metropolitan Police Department crews were called around 8:10 p.m. to 4900 Julian Avenue, the address listed for Thomas Carr Howe High School, for a person shot. Upon arrival at the building, which is near the intersection of E. Washington Str"&amp;"eet and Emerson Avenue, IMPD crews found one person in the parking lot with a gunshot wound. That victim, who IMPD identified as a male, was taken to a local hospital where he later died from his injuries. Police did not release the age of the male victim"&amp;". IMPD PIO William Young said on scene that detectives have identified and are speaking with a person of interest regarding the shooting. Several bullet casings were found near the male victim in the school’s parking lot, IMPD said.")</f>
        <v>Indianapolis Metropolitan Police Department crews were called around 8:10 p.m. to 4900 Julian Avenue, the address listed for Thomas Carr Howe High School, for a person shot. Upon arrival at the building, which is near the intersection of E. Washington Street and Emerson Avenue, IMPD crews found one person in the parking lot with a gunshot wound. That victim, who IMPD identified as a male, was taken to a local hospital where he later died from his injuries. Police did not release the age of the male victim. IMPD PIO William Young said on scene that detectives have identified and are speaking with a person of interest regarding the shooting. Several bullet casings were found near the male victim in the school’s parking lot, IMPD said.</v>
      </c>
      <c r="W364" s="1"/>
      <c r="X364" s="1" t="str">
        <f ca="1">IFERROR(__xludf.DUMMYFUNCTION("""COMPUTED_VALUE"""),"Victims Targeted")</f>
        <v>Victims Targeted</v>
      </c>
      <c r="Y364" s="1"/>
      <c r="Z364" s="1"/>
      <c r="AA364" s="1" t="str">
        <f ca="1">IFERROR(__xludf.DUMMYFUNCTION("""COMPUTED_VALUE"""),"No")</f>
        <v>No</v>
      </c>
      <c r="AB364" s="1" t="str">
        <f ca="1">IFERROR(__xludf.DUMMYFUNCTION("""COMPUTED_VALUE"""),"No")</f>
        <v>No</v>
      </c>
      <c r="AC364" s="1" t="str">
        <f ca="1">IFERROR(__xludf.DUMMYFUNCTION("""COMPUTED_VALUE"""),"No")</f>
        <v>No</v>
      </c>
      <c r="AD364" s="1" t="str">
        <f ca="1">IFERROR(__xludf.DUMMYFUNCTION("""COMPUTED_VALUE"""),"No")</f>
        <v>No</v>
      </c>
      <c r="AE364" s="1" t="str">
        <f ca="1">IFERROR(__xludf.DUMMYFUNCTION("""COMPUTED_VALUE"""),"No")</f>
        <v>No</v>
      </c>
      <c r="AF364" s="1"/>
      <c r="AG364" s="1" t="str">
        <f ca="1">IFERROR(__xludf.DUMMYFUNCTION("""COMPUTED_VALUE"""),"No")</f>
        <v>No</v>
      </c>
      <c r="AH364" s="1">
        <f ca="1">IFERROR(__xludf.DUMMYFUNCTION("""COMPUTED_VALUE"""),99)</f>
        <v>99</v>
      </c>
    </row>
    <row r="365" spans="1:34" ht="12.5">
      <c r="A365" s="1" t="str">
        <f ca="1">IFERROR(__xludf.DUMMYFUNCTION("""COMPUTED_VALUE"""),"20230306TXPAA")</f>
        <v>20230306TXPAA</v>
      </c>
      <c r="B365" s="1">
        <f ca="1">IFERROR(__xludf.DUMMYFUNCTION("""COMPUTED_VALUE"""),3)</f>
        <v>3</v>
      </c>
      <c r="C365" s="1">
        <f ca="1">IFERROR(__xludf.DUMMYFUNCTION("""COMPUTED_VALUE"""),6)</f>
        <v>6</v>
      </c>
      <c r="D365" s="1">
        <f ca="1">IFERROR(__xludf.DUMMYFUNCTION("""COMPUTED_VALUE"""),2023)</f>
        <v>2023</v>
      </c>
      <c r="E365" s="4">
        <f ca="1">IFERROR(__xludf.DUMMYFUNCTION("""COMPUTED_VALUE"""),44991)</f>
        <v>44991</v>
      </c>
      <c r="F365" s="1" t="str">
        <f ca="1">IFERROR(__xludf.DUMMYFUNCTION("""COMPUTED_VALUE"""),"Palo Duro High School")</f>
        <v>Palo Duro High School</v>
      </c>
      <c r="G365" s="1">
        <f ca="1">IFERROR(__xludf.DUMMYFUNCTION("""COMPUTED_VALUE"""),0)</f>
        <v>0</v>
      </c>
      <c r="H365" s="1">
        <f ca="1">IFERROR(__xludf.DUMMYFUNCTION("""COMPUTED_VALUE"""),1)</f>
        <v>1</v>
      </c>
      <c r="I365" s="1">
        <f ca="1">IFERROR(__xludf.DUMMYFUNCTION("""COMPUTED_VALUE"""),1)</f>
        <v>1</v>
      </c>
      <c r="J365" s="1">
        <f ca="1">IFERROR(__xludf.DUMMYFUNCTION("""COMPUTED_VALUE"""),0)</f>
        <v>0</v>
      </c>
      <c r="K365" s="1" t="str">
        <f ca="1">IFERROR(__xludf.DUMMYFUNCTION("""COMPUTED_VALUE"""),"Spring")</f>
        <v>Spring</v>
      </c>
      <c r="L365" s="1" t="str">
        <f ca="1">IFERROR(__xludf.DUMMYFUNCTION("""COMPUTED_VALUE"""),"Amarillo")</f>
        <v>Amarillo</v>
      </c>
      <c r="M365" s="1" t="str">
        <f ca="1">IFERROR(__xludf.DUMMYFUNCTION("""COMPUTED_VALUE"""),"TX")</f>
        <v>TX</v>
      </c>
      <c r="N365" s="1" t="str">
        <f ca="1">IFERROR(__xludf.DUMMYFUNCTION("""COMPUTED_VALUE"""),"High")</f>
        <v>High</v>
      </c>
      <c r="O365" s="1" t="str">
        <f ca="1">IFERROR(__xludf.DUMMYFUNCTION("""COMPUTED_VALUE"""),"Basketball Court")</f>
        <v>Basketball Court</v>
      </c>
      <c r="P365" s="1" t="str">
        <f ca="1">IFERROR(__xludf.DUMMYFUNCTION("""COMPUTED_VALUE"""),"Outside on School Property")</f>
        <v>Outside on School Property</v>
      </c>
      <c r="Q365" s="1" t="str">
        <f ca="1">IFERROR(__xludf.DUMMYFUNCTION("""COMPUTED_VALUE"""),"Yes")</f>
        <v>Yes</v>
      </c>
      <c r="R365" s="1" t="str">
        <f ca="1">IFERROR(__xludf.DUMMYFUNCTION("""COMPUTED_VALUE"""),"Afternoon Classes")</f>
        <v>Afternoon Classes</v>
      </c>
      <c r="S365" s="5">
        <f ca="1">IFERROR(__xludf.DUMMYFUNCTION("""COMPUTED_VALUE"""),0.583333333333333)</f>
        <v>0.58333333333333304</v>
      </c>
      <c r="T365" s="1">
        <f ca="1">IFERROR(__xludf.DUMMYFUNCTION("""COMPUTED_VALUE"""),1)</f>
        <v>1</v>
      </c>
      <c r="U365" s="1" t="str">
        <f ca="1">IFERROR(__xludf.DUMMYFUNCTION("""COMPUTED_VALUE"""),"Student hit by stray bullet while on tennis court during afternoon classes")</f>
        <v>Student hit by stray bullet while on tennis court during afternoon classes</v>
      </c>
      <c r="V365" s="1" t="str">
        <f ca="1">IFERROR(__xludf.DUMMYFUNCTION("""COMPUTED_VALUE"""),"A Palo Duro High School student was hit by a stray bullet Monday afternoon. Amarillo police responded to the area of NE 24th Ave and N. Arthur Street around 2 p.m. after getting several 911 calls. ""We received several calls from different callers, all st"&amp;"ating there were numerous shots fired,"" said police. Police were also told a student on the tennis courts at Palo Duro High School had been shot in the hand. He was treated at the hospital for a non-life threatening injury.")</f>
        <v>A Palo Duro High School student was hit by a stray bullet Monday afternoon. Amarillo police responded to the area of NE 24th Ave and N. Arthur Street around 2 p.m. after getting several 911 calls. "We received several calls from different callers, all stating there were numerous shots fired," said police. Police were also told a student on the tennis courts at Palo Duro High School had been shot in the hand. He was treated at the hospital for a non-life threatening injury.</v>
      </c>
      <c r="W365" s="1" t="str">
        <f ca="1">IFERROR(__xludf.DUMMYFUNCTION("""COMPUTED_VALUE"""),"Drive-by Shooting")</f>
        <v>Drive-by Shooting</v>
      </c>
      <c r="X365" s="1" t="str">
        <f ca="1">IFERROR(__xludf.DUMMYFUNCTION("""COMPUTED_VALUE"""),"Random Shooting")</f>
        <v>Random Shooting</v>
      </c>
      <c r="Y365" s="1" t="str">
        <f ca="1">IFERROR(__xludf.DUMMYFUNCTION("""COMPUTED_VALUE"""),"No")</f>
        <v>No</v>
      </c>
      <c r="Z365" s="1"/>
      <c r="AA365" s="1" t="str">
        <f ca="1">IFERROR(__xludf.DUMMYFUNCTION("""COMPUTED_VALUE"""),"No")</f>
        <v>No</v>
      </c>
      <c r="AB365" s="1" t="str">
        <f ca="1">IFERROR(__xludf.DUMMYFUNCTION("""COMPUTED_VALUE"""),"No")</f>
        <v>No</v>
      </c>
      <c r="AC365" s="1" t="str">
        <f ca="1">IFERROR(__xludf.DUMMYFUNCTION("""COMPUTED_VALUE"""),"No")</f>
        <v>No</v>
      </c>
      <c r="AD365" s="1" t="str">
        <f ca="1">IFERROR(__xludf.DUMMYFUNCTION("""COMPUTED_VALUE"""),"No")</f>
        <v>No</v>
      </c>
      <c r="AE365" s="1" t="str">
        <f ca="1">IFERROR(__xludf.DUMMYFUNCTION("""COMPUTED_VALUE"""),"No")</f>
        <v>No</v>
      </c>
      <c r="AF365" s="1" t="str">
        <f ca="1">IFERROR(__xludf.DUMMYFUNCTION("""COMPUTED_VALUE"""),"No")</f>
        <v>No</v>
      </c>
      <c r="AG365" s="1" t="str">
        <f ca="1">IFERROR(__xludf.DUMMYFUNCTION("""COMPUTED_VALUE"""),"No")</f>
        <v>No</v>
      </c>
      <c r="AH365" s="1">
        <f ca="1">IFERROR(__xludf.DUMMYFUNCTION("""COMPUTED_VALUE"""),99)</f>
        <v>99</v>
      </c>
    </row>
    <row r="366" spans="1:34" ht="12.5">
      <c r="A366" s="1" t="str">
        <f ca="1">IFERROR(__xludf.DUMMYFUNCTION("""COMPUTED_VALUE"""),"20230306NYPAN")</f>
        <v>20230306NYPAN</v>
      </c>
      <c r="B366" s="1">
        <f ca="1">IFERROR(__xludf.DUMMYFUNCTION("""COMPUTED_VALUE"""),3)</f>
        <v>3</v>
      </c>
      <c r="C366" s="1">
        <f ca="1">IFERROR(__xludf.DUMMYFUNCTION("""COMPUTED_VALUE"""),6)</f>
        <v>6</v>
      </c>
      <c r="D366" s="1">
        <f ca="1">IFERROR(__xludf.DUMMYFUNCTION("""COMPUTED_VALUE"""),2023)</f>
        <v>2023</v>
      </c>
      <c r="E366" s="4">
        <f ca="1">IFERROR(__xludf.DUMMYFUNCTION("""COMPUTED_VALUE"""),44991)</f>
        <v>44991</v>
      </c>
      <c r="F366" s="1" t="str">
        <f ca="1">IFERROR(__xludf.DUMMYFUNCTION("""COMPUTED_VALUE"""),"Park West High School")</f>
        <v>Park West High School</v>
      </c>
      <c r="G366" s="1">
        <f ca="1">IFERROR(__xludf.DUMMYFUNCTION("""COMPUTED_VALUE"""),0)</f>
        <v>0</v>
      </c>
      <c r="H366" s="1">
        <f ca="1">IFERROR(__xludf.DUMMYFUNCTION("""COMPUTED_VALUE"""),1)</f>
        <v>1</v>
      </c>
      <c r="I366" s="1">
        <f ca="1">IFERROR(__xludf.DUMMYFUNCTION("""COMPUTED_VALUE"""),1)</f>
        <v>1</v>
      </c>
      <c r="J366" s="1">
        <f ca="1">IFERROR(__xludf.DUMMYFUNCTION("""COMPUTED_VALUE"""),0)</f>
        <v>0</v>
      </c>
      <c r="K366" s="1" t="str">
        <f ca="1">IFERROR(__xludf.DUMMYFUNCTION("""COMPUTED_VALUE"""),"Spring")</f>
        <v>Spring</v>
      </c>
      <c r="L366" s="1" t="str">
        <f ca="1">IFERROR(__xludf.DUMMYFUNCTION("""COMPUTED_VALUE"""),"New York")</f>
        <v>New York</v>
      </c>
      <c r="M366" s="1" t="str">
        <f ca="1">IFERROR(__xludf.DUMMYFUNCTION("""COMPUTED_VALUE"""),"NY")</f>
        <v>NY</v>
      </c>
      <c r="N366" s="1" t="str">
        <f ca="1">IFERROR(__xludf.DUMMYFUNCTION("""COMPUTED_VALUE"""),"High")</f>
        <v>High</v>
      </c>
      <c r="O366" s="1" t="str">
        <f ca="1">IFERROR(__xludf.DUMMYFUNCTION("""COMPUTED_VALUE"""),"Front of School")</f>
        <v>Front of School</v>
      </c>
      <c r="P366" s="1" t="str">
        <f ca="1">IFERROR(__xludf.DUMMYFUNCTION("""COMPUTED_VALUE"""),"Outside on School Property")</f>
        <v>Outside on School Property</v>
      </c>
      <c r="Q366" s="1" t="str">
        <f ca="1">IFERROR(__xludf.DUMMYFUNCTION("""COMPUTED_VALUE"""),"Yes")</f>
        <v>Yes</v>
      </c>
      <c r="R366" s="1" t="str">
        <f ca="1">IFERROR(__xludf.DUMMYFUNCTION("""COMPUTED_VALUE"""),"Dismissal")</f>
        <v>Dismissal</v>
      </c>
      <c r="S366" s="5">
        <f ca="1">IFERROR(__xludf.DUMMYFUNCTION("""COMPUTED_VALUE"""),0.625)</f>
        <v>0.625</v>
      </c>
      <c r="T366" s="1">
        <f ca="1">IFERROR(__xludf.DUMMYFUNCTION("""COMPUTED_VALUE"""),1)</f>
        <v>1</v>
      </c>
      <c r="U366" s="1" t="str">
        <f ca="1">IFERROR(__xludf.DUMMYFUNCTION("""COMPUTED_VALUE"""),"Student shot in the back at dismissal")</f>
        <v>Student shot in the back at dismissal</v>
      </c>
      <c r="V366" s="1" t="str">
        <f ca="1">IFERROR(__xludf.DUMMYFUNCTION("""COMPUTED_VALUE"""),"A 15-year-old boy was shot in the back near a Hell’s Kitchen high school Monday right after dismissal, although he didn’t go to a hospital for treatment until 10 hours later, cops said Tuesday. The teen — who has been “highly uncooperative” with cops — wa"&amp;"s shot near Park West High School at 534 W. 50th St. in Manhattan just after 3 p.m., police said.")</f>
        <v>A 15-year-old boy was shot in the back near a Hell’s Kitchen high school Monday right after dismissal, although he didn’t go to a hospital for treatment until 10 hours later, cops said Tuesday. The teen — who has been “highly uncooperative” with cops — was shot near Park West High School at 534 W. 50th St. in Manhattan just after 3 p.m., police said.</v>
      </c>
      <c r="W366" s="1"/>
      <c r="X366" s="1" t="str">
        <f ca="1">IFERROR(__xludf.DUMMYFUNCTION("""COMPUTED_VALUE"""),"Victims Targeted")</f>
        <v>Victims Targeted</v>
      </c>
      <c r="Y366" s="1"/>
      <c r="Z366" s="1"/>
      <c r="AA366" s="1" t="str">
        <f ca="1">IFERROR(__xludf.DUMMYFUNCTION("""COMPUTED_VALUE"""),"No")</f>
        <v>No</v>
      </c>
      <c r="AB366" s="1" t="str">
        <f ca="1">IFERROR(__xludf.DUMMYFUNCTION("""COMPUTED_VALUE"""),"No")</f>
        <v>No</v>
      </c>
      <c r="AC366" s="1" t="str">
        <f ca="1">IFERROR(__xludf.DUMMYFUNCTION("""COMPUTED_VALUE"""),"No")</f>
        <v>No</v>
      </c>
      <c r="AD366" s="1" t="str">
        <f ca="1">IFERROR(__xludf.DUMMYFUNCTION("""COMPUTED_VALUE"""),"No")</f>
        <v>No</v>
      </c>
      <c r="AE366" s="1" t="str">
        <f ca="1">IFERROR(__xludf.DUMMYFUNCTION("""COMPUTED_VALUE"""),"No")</f>
        <v>No</v>
      </c>
      <c r="AF366" s="1"/>
      <c r="AG366" s="1" t="str">
        <f ca="1">IFERROR(__xludf.DUMMYFUNCTION("""COMPUTED_VALUE"""),"No")</f>
        <v>No</v>
      </c>
      <c r="AH366" s="1">
        <f ca="1">IFERROR(__xludf.DUMMYFUNCTION("""COMPUTED_VALUE"""),1)</f>
        <v>1</v>
      </c>
    </row>
    <row r="367" spans="1:34" ht="12.5">
      <c r="A367" s="1" t="str">
        <f ca="1">IFERROR(__xludf.DUMMYFUNCTION("""COMPUTED_VALUE"""),"20230306MISTR")</f>
        <v>20230306MISTR</v>
      </c>
      <c r="B367" s="1">
        <f ca="1">IFERROR(__xludf.DUMMYFUNCTION("""COMPUTED_VALUE"""),3)</f>
        <v>3</v>
      </c>
      <c r="C367" s="1">
        <f ca="1">IFERROR(__xludf.DUMMYFUNCTION("""COMPUTED_VALUE"""),6)</f>
        <v>6</v>
      </c>
      <c r="D367" s="1">
        <f ca="1">IFERROR(__xludf.DUMMYFUNCTION("""COMPUTED_VALUE"""),2023)</f>
        <v>2023</v>
      </c>
      <c r="E367" s="4">
        <f ca="1">IFERROR(__xludf.DUMMYFUNCTION("""COMPUTED_VALUE"""),44991)</f>
        <v>44991</v>
      </c>
      <c r="F367" s="1" t="str">
        <f ca="1">IFERROR(__xludf.DUMMYFUNCTION("""COMPUTED_VALUE"""),"Steeland Elementary School")</f>
        <v>Steeland Elementary School</v>
      </c>
      <c r="G367" s="1">
        <f ca="1">IFERROR(__xludf.DUMMYFUNCTION("""COMPUTED_VALUE"""),0)</f>
        <v>0</v>
      </c>
      <c r="H367" s="1">
        <f ca="1">IFERROR(__xludf.DUMMYFUNCTION("""COMPUTED_VALUE"""),1)</f>
        <v>1</v>
      </c>
      <c r="I367" s="1">
        <f ca="1">IFERROR(__xludf.DUMMYFUNCTION("""COMPUTED_VALUE"""),1)</f>
        <v>1</v>
      </c>
      <c r="J367" s="1">
        <f ca="1">IFERROR(__xludf.DUMMYFUNCTION("""COMPUTED_VALUE"""),0)</f>
        <v>0</v>
      </c>
      <c r="K367" s="1" t="str">
        <f ca="1">IFERROR(__xludf.DUMMYFUNCTION("""COMPUTED_VALUE"""),"Spring")</f>
        <v>Spring</v>
      </c>
      <c r="L367" s="1" t="str">
        <f ca="1">IFERROR(__xludf.DUMMYFUNCTION("""COMPUTED_VALUE"""),"Roseville")</f>
        <v>Roseville</v>
      </c>
      <c r="M367" s="1" t="str">
        <f ca="1">IFERROR(__xludf.DUMMYFUNCTION("""COMPUTED_VALUE"""),"MI")</f>
        <v>MI</v>
      </c>
      <c r="N367" s="1" t="str">
        <f ca="1">IFERROR(__xludf.DUMMYFUNCTION("""COMPUTED_VALUE"""),"Elementary")</f>
        <v>Elementary</v>
      </c>
      <c r="O367" s="1" t="str">
        <f ca="1">IFERROR(__xludf.DUMMYFUNCTION("""COMPUTED_VALUE"""),"Front of School")</f>
        <v>Front of School</v>
      </c>
      <c r="P367" s="1" t="str">
        <f ca="1">IFERROR(__xludf.DUMMYFUNCTION("""COMPUTED_VALUE"""),"Outside on School Property")</f>
        <v>Outside on School Property</v>
      </c>
      <c r="Q367" s="1" t="str">
        <f ca="1">IFERROR(__xludf.DUMMYFUNCTION("""COMPUTED_VALUE"""),"Yes")</f>
        <v>Yes</v>
      </c>
      <c r="R367" s="1" t="str">
        <f ca="1">IFERROR(__xludf.DUMMYFUNCTION("""COMPUTED_VALUE"""),"Afternoon Classes")</f>
        <v>Afternoon Classes</v>
      </c>
      <c r="S367" s="5">
        <f ca="1">IFERROR(__xludf.DUMMYFUNCTION("""COMPUTED_VALUE"""),0.631944444444444)</f>
        <v>0.63194444444444398</v>
      </c>
      <c r="T367" s="1">
        <f ca="1">IFERROR(__xludf.DUMMYFUNCTION("""COMPUTED_VALUE"""),1)</f>
        <v>1</v>
      </c>
      <c r="U367" s="1" t="str">
        <f ca="1">IFERROR(__xludf.DUMMYFUNCTION("""COMPUTED_VALUE"""),"Expelled 13-year-old student was on campus, parent tried to stop teen from engaging students in altercations and was shot twice")</f>
        <v>Expelled 13-year-old student was on campus, parent tried to stop teen from engaging students in altercations and was shot twice</v>
      </c>
      <c r="V367" s="1" t="str">
        <f ca="1">IFERROR(__xludf.DUMMYFUNCTION("""COMPUTED_VALUE"""),"Suspended student was on campus, parent tried to stop teen from engaging students in altercations and was shot twice. Neighborning middle and elementary schools were both locked down. Shooter fled and was arrested. 13-year-old was given the gun by a 19-ye"&amp;"ar-old with two prior weapons charges.")</f>
        <v>Suspended student was on campus, parent tried to stop teen from engaging students in altercations and was shot twice. Neighborning middle and elementary schools were both locked down. Shooter fled and was arrested. 13-year-old was given the gun by a 19-year-old with two prior weapons charges.</v>
      </c>
      <c r="W367" s="1"/>
      <c r="X367" s="1" t="str">
        <f ca="1">IFERROR(__xludf.DUMMYFUNCTION("""COMPUTED_VALUE"""),"Victims Targeted")</f>
        <v>Victims Targeted</v>
      </c>
      <c r="Y367" s="1" t="str">
        <f ca="1">IFERROR(__xludf.DUMMYFUNCTION("""COMPUTED_VALUE"""),"No")</f>
        <v>No</v>
      </c>
      <c r="Z367" s="1"/>
      <c r="AA367" s="1" t="str">
        <f ca="1">IFERROR(__xludf.DUMMYFUNCTION("""COMPUTED_VALUE"""),"No")</f>
        <v>No</v>
      </c>
      <c r="AB367" s="1" t="str">
        <f ca="1">IFERROR(__xludf.DUMMYFUNCTION("""COMPUTED_VALUE"""),"No")</f>
        <v>No</v>
      </c>
      <c r="AC367" s="1" t="str">
        <f ca="1">IFERROR(__xludf.DUMMYFUNCTION("""COMPUTED_VALUE"""),"No")</f>
        <v>No</v>
      </c>
      <c r="AD367" s="1" t="str">
        <f ca="1">IFERROR(__xludf.DUMMYFUNCTION("""COMPUTED_VALUE"""),"No")</f>
        <v>No</v>
      </c>
      <c r="AE367" s="1" t="str">
        <f ca="1">IFERROR(__xludf.DUMMYFUNCTION("""COMPUTED_VALUE"""),"No")</f>
        <v>No</v>
      </c>
      <c r="AF367" s="1"/>
      <c r="AG367" s="1" t="str">
        <f ca="1">IFERROR(__xludf.DUMMYFUNCTION("""COMPUTED_VALUE"""),"No")</f>
        <v>No</v>
      </c>
      <c r="AH367" s="1">
        <f ca="1">IFERROR(__xludf.DUMMYFUNCTION("""COMPUTED_VALUE"""),99)</f>
        <v>99</v>
      </c>
    </row>
    <row r="368" spans="1:34" ht="12.5">
      <c r="A368" s="1" t="str">
        <f ca="1">IFERROR(__xludf.DUMMYFUNCTION("""COMPUTED_VALUE"""),"20230306MDPAB")</f>
        <v>20230306MDPAB</v>
      </c>
      <c r="B368" s="1">
        <f ca="1">IFERROR(__xludf.DUMMYFUNCTION("""COMPUTED_VALUE"""),3)</f>
        <v>3</v>
      </c>
      <c r="C368" s="1">
        <f ca="1">IFERROR(__xludf.DUMMYFUNCTION("""COMPUTED_VALUE"""),6)</f>
        <v>6</v>
      </c>
      <c r="D368" s="1">
        <f ca="1">IFERROR(__xludf.DUMMYFUNCTION("""COMPUTED_VALUE"""),2023)</f>
        <v>2023</v>
      </c>
      <c r="E368" s="4">
        <f ca="1">IFERROR(__xludf.DUMMYFUNCTION("""COMPUTED_VALUE"""),44991)</f>
        <v>44991</v>
      </c>
      <c r="F368" s="1" t="str">
        <f ca="1">IFERROR(__xludf.DUMMYFUNCTION("""COMPUTED_VALUE"""),"Patterson High School")</f>
        <v>Patterson High School</v>
      </c>
      <c r="G368" s="1">
        <f ca="1">IFERROR(__xludf.DUMMYFUNCTION("""COMPUTED_VALUE"""),1)</f>
        <v>1</v>
      </c>
      <c r="H368" s="1">
        <f ca="1">IFERROR(__xludf.DUMMYFUNCTION("""COMPUTED_VALUE"""),0)</f>
        <v>0</v>
      </c>
      <c r="I368" s="1">
        <f ca="1">IFERROR(__xludf.DUMMYFUNCTION("""COMPUTED_VALUE"""),1)</f>
        <v>1</v>
      </c>
      <c r="J368" s="1">
        <f ca="1">IFERROR(__xludf.DUMMYFUNCTION("""COMPUTED_VALUE"""),0)</f>
        <v>0</v>
      </c>
      <c r="K368" s="1" t="str">
        <f ca="1">IFERROR(__xludf.DUMMYFUNCTION("""COMPUTED_VALUE"""),"Spring")</f>
        <v>Spring</v>
      </c>
      <c r="L368" s="1" t="str">
        <f ca="1">IFERROR(__xludf.DUMMYFUNCTION("""COMPUTED_VALUE"""),"Baltimore")</f>
        <v>Baltimore</v>
      </c>
      <c r="M368" s="1" t="str">
        <f ca="1">IFERROR(__xludf.DUMMYFUNCTION("""COMPUTED_VALUE"""),"MD")</f>
        <v>MD</v>
      </c>
      <c r="N368" s="1" t="str">
        <f ca="1">IFERROR(__xludf.DUMMYFUNCTION("""COMPUTED_VALUE"""),"High")</f>
        <v>High</v>
      </c>
      <c r="O368" s="1" t="str">
        <f ca="1">IFERROR(__xludf.DUMMYFUNCTION("""COMPUTED_VALUE"""),"Parking Lot")</f>
        <v>Parking Lot</v>
      </c>
      <c r="P368" s="1" t="str">
        <f ca="1">IFERROR(__xludf.DUMMYFUNCTION("""COMPUTED_VALUE"""),"Outside on School Property")</f>
        <v>Outside on School Property</v>
      </c>
      <c r="Q368" s="1" t="str">
        <f ca="1">IFERROR(__xludf.DUMMYFUNCTION("""COMPUTED_VALUE"""),"Yes")</f>
        <v>Yes</v>
      </c>
      <c r="R368" s="1" t="str">
        <f ca="1">IFERROR(__xludf.DUMMYFUNCTION("""COMPUTED_VALUE"""),"Afternoon Classes")</f>
        <v>Afternoon Classes</v>
      </c>
      <c r="S368" s="5">
        <f ca="1">IFERROR(__xludf.DUMMYFUNCTION("""COMPUTED_VALUE"""),0.583333333333333)</f>
        <v>0.58333333333333304</v>
      </c>
      <c r="T368" s="1">
        <f ca="1">IFERROR(__xludf.DUMMYFUNCTION("""COMPUTED_VALUE"""),1)</f>
        <v>1</v>
      </c>
      <c r="U368" s="1" t="str">
        <f ca="1">IFERROR(__xludf.DUMMYFUNCTION("""COMPUTED_VALUE"""),"Student shot in the head during afternoon classes outside the building")</f>
        <v>Student shot in the head during afternoon classes outside the building</v>
      </c>
      <c r="V368" s="1" t="str">
        <f ca="1">IFERROR(__xludf.DUMMYFUNCTION("""COMPUTED_VALUE"""),"Student was fatally shot in the head near the track and baseball fields during afternoon classes. School went on lockdown and dismissal was delayed. Group of teens ran from the scene. Shooter fled and has not been identified.")</f>
        <v>Student was fatally shot in the head near the track and baseball fields during afternoon classes. School went on lockdown and dismissal was delayed. Group of teens ran from the scene. Shooter fled and has not been identified.</v>
      </c>
      <c r="W368" s="1" t="str">
        <f ca="1">IFERROR(__xludf.DUMMYFUNCTION("""COMPUTED_VALUE"""),"Escalation of Dispute")</f>
        <v>Escalation of Dispute</v>
      </c>
      <c r="X368" s="1" t="str">
        <f ca="1">IFERROR(__xludf.DUMMYFUNCTION("""COMPUTED_VALUE"""),"Victims Targeted")</f>
        <v>Victims Targeted</v>
      </c>
      <c r="Y368" s="1"/>
      <c r="Z368" s="1"/>
      <c r="AA368" s="1" t="str">
        <f ca="1">IFERROR(__xludf.DUMMYFUNCTION("""COMPUTED_VALUE"""),"No")</f>
        <v>No</v>
      </c>
      <c r="AB368" s="1" t="str">
        <f ca="1">IFERROR(__xludf.DUMMYFUNCTION("""COMPUTED_VALUE"""),"No")</f>
        <v>No</v>
      </c>
      <c r="AC368" s="1" t="str">
        <f ca="1">IFERROR(__xludf.DUMMYFUNCTION("""COMPUTED_VALUE"""),"No")</f>
        <v>No</v>
      </c>
      <c r="AD368" s="1" t="str">
        <f ca="1">IFERROR(__xludf.DUMMYFUNCTION("""COMPUTED_VALUE"""),"Yes")</f>
        <v>Yes</v>
      </c>
      <c r="AE368" s="1" t="str">
        <f ca="1">IFERROR(__xludf.DUMMYFUNCTION("""COMPUTED_VALUE"""),"No")</f>
        <v>No</v>
      </c>
      <c r="AF368" s="1"/>
      <c r="AG368" s="1" t="str">
        <f ca="1">IFERROR(__xludf.DUMMYFUNCTION("""COMPUTED_VALUE"""),"No")</f>
        <v>No</v>
      </c>
      <c r="AH368" s="1">
        <f ca="1">IFERROR(__xludf.DUMMYFUNCTION("""COMPUTED_VALUE"""),99)</f>
        <v>99</v>
      </c>
    </row>
    <row r="369" spans="1:34" ht="12.5">
      <c r="A369" s="1" t="str">
        <f ca="1">IFERROR(__xludf.DUMMYFUNCTION("""COMPUTED_VALUE"""),"20230306MDLEB")</f>
        <v>20230306MDLEB</v>
      </c>
      <c r="B369" s="1">
        <f ca="1">IFERROR(__xludf.DUMMYFUNCTION("""COMPUTED_VALUE"""),3)</f>
        <v>3</v>
      </c>
      <c r="C369" s="1">
        <f ca="1">IFERROR(__xludf.DUMMYFUNCTION("""COMPUTED_VALUE"""),6)</f>
        <v>6</v>
      </c>
      <c r="D369" s="1">
        <f ca="1">IFERROR(__xludf.DUMMYFUNCTION("""COMPUTED_VALUE"""),2023)</f>
        <v>2023</v>
      </c>
      <c r="E369" s="4">
        <f ca="1">IFERROR(__xludf.DUMMYFUNCTION("""COMPUTED_VALUE"""),44991)</f>
        <v>44991</v>
      </c>
      <c r="F369" s="1" t="str">
        <f ca="1">IFERROR(__xludf.DUMMYFUNCTION("""COMPUTED_VALUE"""),"Leith Walk Elementary\Middle School")</f>
        <v>Leith Walk Elementary\Middle School</v>
      </c>
      <c r="G369" s="1">
        <f ca="1">IFERROR(__xludf.DUMMYFUNCTION("""COMPUTED_VALUE"""),0)</f>
        <v>0</v>
      </c>
      <c r="H369" s="1">
        <f ca="1">IFERROR(__xludf.DUMMYFUNCTION("""COMPUTED_VALUE"""),0)</f>
        <v>0</v>
      </c>
      <c r="I369" s="1">
        <f ca="1">IFERROR(__xludf.DUMMYFUNCTION("""COMPUTED_VALUE"""),0)</f>
        <v>0</v>
      </c>
      <c r="J369" s="1">
        <f ca="1">IFERROR(__xludf.DUMMYFUNCTION("""COMPUTED_VALUE"""),0)</f>
        <v>0</v>
      </c>
      <c r="K369" s="1" t="str">
        <f ca="1">IFERROR(__xludf.DUMMYFUNCTION("""COMPUTED_VALUE"""),"Spring")</f>
        <v>Spring</v>
      </c>
      <c r="L369" s="1" t="str">
        <f ca="1">IFERROR(__xludf.DUMMYFUNCTION("""COMPUTED_VALUE"""),"Baltimore")</f>
        <v>Baltimore</v>
      </c>
      <c r="M369" s="1" t="str">
        <f ca="1">IFERROR(__xludf.DUMMYFUNCTION("""COMPUTED_VALUE"""),"MD")</f>
        <v>MD</v>
      </c>
      <c r="N369" s="1" t="str">
        <f ca="1">IFERROR(__xludf.DUMMYFUNCTION("""COMPUTED_VALUE"""),"K-8")</f>
        <v>K-8</v>
      </c>
      <c r="O369" s="1" t="str">
        <f ca="1">IFERROR(__xludf.DUMMYFUNCTION("""COMPUTED_VALUE"""),"Basketball Court")</f>
        <v>Basketball Court</v>
      </c>
      <c r="P369" s="1" t="str">
        <f ca="1">IFERROR(__xludf.DUMMYFUNCTION("""COMPUTED_VALUE"""),"Outside on School Property")</f>
        <v>Outside on School Property</v>
      </c>
      <c r="Q369" s="1" t="str">
        <f ca="1">IFERROR(__xludf.DUMMYFUNCTION("""COMPUTED_VALUE"""),"No")</f>
        <v>No</v>
      </c>
      <c r="R369" s="1" t="str">
        <f ca="1">IFERROR(__xludf.DUMMYFUNCTION("""COMPUTED_VALUE"""),"Sport Event")</f>
        <v>Sport Event</v>
      </c>
      <c r="S369" s="5">
        <f ca="1">IFERROR(__xludf.DUMMYFUNCTION("""COMPUTED_VALUE"""),0.701388888888888)</f>
        <v>0.70138888888888795</v>
      </c>
      <c r="T369" s="1">
        <f ca="1">IFERROR(__xludf.DUMMYFUNCTION("""COMPUTED_VALUE"""),1)</f>
        <v>1</v>
      </c>
      <c r="U369" s="1" t="str">
        <f ca="1">IFERROR(__xludf.DUMMYFUNCTION("""COMPUTED_VALUE"""),"Parent pointed gun at another parent during argument at youth basketball game")</f>
        <v>Parent pointed gun at another parent during argument at youth basketball game</v>
      </c>
      <c r="V369" s="1" t="str">
        <f ca="1">IFERROR(__xludf.DUMMYFUNCTION("""COMPUTED_VALUE"""),"Parent pointed gun at another parent during argument at youth basketball game. Police responded for reported shots fired but determine that no shots were fired.")</f>
        <v>Parent pointed gun at another parent during argument at youth basketball game. Police responded for reported shots fired but determine that no shots were fired.</v>
      </c>
      <c r="W369" s="1" t="str">
        <f ca="1">IFERROR(__xludf.DUMMYFUNCTION("""COMPUTED_VALUE"""),"Escalation of Dispute")</f>
        <v>Escalation of Dispute</v>
      </c>
      <c r="X369" s="1" t="str">
        <f ca="1">IFERROR(__xludf.DUMMYFUNCTION("""COMPUTED_VALUE"""),"Victims Targeted")</f>
        <v>Victims Targeted</v>
      </c>
      <c r="Y369" s="1" t="str">
        <f ca="1">IFERROR(__xludf.DUMMYFUNCTION("""COMPUTED_VALUE"""),"No")</f>
        <v>No</v>
      </c>
      <c r="Z369" s="1"/>
      <c r="AA369" s="1" t="str">
        <f ca="1">IFERROR(__xludf.DUMMYFUNCTION("""COMPUTED_VALUE"""),"No")</f>
        <v>No</v>
      </c>
      <c r="AB369" s="1" t="str">
        <f ca="1">IFERROR(__xludf.DUMMYFUNCTION("""COMPUTED_VALUE"""),"No")</f>
        <v>No</v>
      </c>
      <c r="AC369" s="1" t="str">
        <f ca="1">IFERROR(__xludf.DUMMYFUNCTION("""COMPUTED_VALUE"""),"No")</f>
        <v>No</v>
      </c>
      <c r="AD369" s="1" t="str">
        <f ca="1">IFERROR(__xludf.DUMMYFUNCTION("""COMPUTED_VALUE"""),"No")</f>
        <v>No</v>
      </c>
      <c r="AE369" s="1" t="str">
        <f ca="1">IFERROR(__xludf.DUMMYFUNCTION("""COMPUTED_VALUE"""),"No")</f>
        <v>No</v>
      </c>
      <c r="AF369" s="1" t="str">
        <f ca="1">IFERROR(__xludf.DUMMYFUNCTION("""COMPUTED_VALUE"""),"No")</f>
        <v>No</v>
      </c>
      <c r="AG369" s="1" t="str">
        <f ca="1">IFERROR(__xludf.DUMMYFUNCTION("""COMPUTED_VALUE"""),"No")</f>
        <v>No</v>
      </c>
      <c r="AH369" s="1">
        <f ca="1">IFERROR(__xludf.DUMMYFUNCTION("""COMPUTED_VALUE"""),0)</f>
        <v>0</v>
      </c>
    </row>
    <row r="370" spans="1:34" ht="12.5">
      <c r="A370" s="1" t="str">
        <f ca="1">IFERROR(__xludf.DUMMYFUNCTION("""COMPUTED_VALUE"""),"20230303MTGAL")</f>
        <v>20230303MTGAL</v>
      </c>
      <c r="B370" s="1">
        <f ca="1">IFERROR(__xludf.DUMMYFUNCTION("""COMPUTED_VALUE"""),3)</f>
        <v>3</v>
      </c>
      <c r="C370" s="1">
        <f ca="1">IFERROR(__xludf.DUMMYFUNCTION("""COMPUTED_VALUE"""),3)</f>
        <v>3</v>
      </c>
      <c r="D370" s="1">
        <f ca="1">IFERROR(__xludf.DUMMYFUNCTION("""COMPUTED_VALUE"""),2023)</f>
        <v>2023</v>
      </c>
      <c r="E370" s="4">
        <f ca="1">IFERROR(__xludf.DUMMYFUNCTION("""COMPUTED_VALUE"""),44988)</f>
        <v>44988</v>
      </c>
      <c r="F370" s="1" t="str">
        <f ca="1">IFERROR(__xludf.DUMMYFUNCTION("""COMPUTED_VALUE"""),"Garfield Elementary School")</f>
        <v>Garfield Elementary School</v>
      </c>
      <c r="G370" s="1">
        <f ca="1">IFERROR(__xludf.DUMMYFUNCTION("""COMPUTED_VALUE"""),0)</f>
        <v>0</v>
      </c>
      <c r="H370" s="1">
        <f ca="1">IFERROR(__xludf.DUMMYFUNCTION("""COMPUTED_VALUE"""),1)</f>
        <v>1</v>
      </c>
      <c r="I370" s="1">
        <f ca="1">IFERROR(__xludf.DUMMYFUNCTION("""COMPUTED_VALUE"""),1)</f>
        <v>1</v>
      </c>
      <c r="J370" s="1">
        <f ca="1">IFERROR(__xludf.DUMMYFUNCTION("""COMPUTED_VALUE"""),0)</f>
        <v>0</v>
      </c>
      <c r="K370" s="1" t="str">
        <f ca="1">IFERROR(__xludf.DUMMYFUNCTION("""COMPUTED_VALUE"""),"Spring")</f>
        <v>Spring</v>
      </c>
      <c r="L370" s="1" t="str">
        <f ca="1">IFERROR(__xludf.DUMMYFUNCTION("""COMPUTED_VALUE"""),"Lewistown")</f>
        <v>Lewistown</v>
      </c>
      <c r="M370" s="1" t="str">
        <f ca="1">IFERROR(__xludf.DUMMYFUNCTION("""COMPUTED_VALUE"""),"MT")</f>
        <v>MT</v>
      </c>
      <c r="N370" s="1" t="str">
        <f ca="1">IFERROR(__xludf.DUMMYFUNCTION("""COMPUTED_VALUE"""),"Elementary")</f>
        <v>Elementary</v>
      </c>
      <c r="O370" s="1" t="str">
        <f ca="1">IFERROR(__xludf.DUMMYFUNCTION("""COMPUTED_VALUE"""),"Playground")</f>
        <v>Playground</v>
      </c>
      <c r="P370" s="1" t="str">
        <f ca="1">IFERROR(__xludf.DUMMYFUNCTION("""COMPUTED_VALUE"""),"Outside on School Property")</f>
        <v>Outside on School Property</v>
      </c>
      <c r="Q370" s="1" t="str">
        <f ca="1">IFERROR(__xludf.DUMMYFUNCTION("""COMPUTED_VALUE"""),"Yes")</f>
        <v>Yes</v>
      </c>
      <c r="R370" s="1" t="str">
        <f ca="1">IFERROR(__xludf.DUMMYFUNCTION("""COMPUTED_VALUE"""),"Morning Classes")</f>
        <v>Morning Classes</v>
      </c>
      <c r="S370" s="5">
        <f ca="1">IFERROR(__xludf.DUMMYFUNCTION("""COMPUTED_VALUE"""),0.416666666666666)</f>
        <v>0.41666666666666602</v>
      </c>
      <c r="T370" s="1">
        <f ca="1">IFERROR(__xludf.DUMMYFUNCTION("""COMPUTED_VALUE"""),1)</f>
        <v>1</v>
      </c>
      <c r="U370" s="1" t="str">
        <f ca="1">IFERROR(__xludf.DUMMYFUNCTION("""COMPUTED_VALUE"""),"Two minors fired BB guns at students on the playground")</f>
        <v>Two minors fired BB guns at students on the playground</v>
      </c>
      <c r="V370" s="1" t="str">
        <f ca="1">IFERROR(__xludf.DUMMYFUNCTION("""COMPUTED_VALUE"""),"Two minors fired BB guns at students on the playground. Students ran inside and school went on lockdown. One staff member was injured. Both minors were arrested.")</f>
        <v>Two minors fired BB guns at students on the playground. Students ran inside and school went on lockdown. One staff member was injured. Both minors were arrested.</v>
      </c>
      <c r="W370" s="1"/>
      <c r="X370" s="1" t="str">
        <f ca="1">IFERROR(__xludf.DUMMYFUNCTION("""COMPUTED_VALUE"""),"Random Shooting")</f>
        <v>Random Shooting</v>
      </c>
      <c r="Y370" s="1" t="str">
        <f ca="1">IFERROR(__xludf.DUMMYFUNCTION("""COMPUTED_VALUE"""),"Yes")</f>
        <v>Yes</v>
      </c>
      <c r="Z370" s="1" t="str">
        <f ca="1">IFERROR(__xludf.DUMMYFUNCTION("""COMPUTED_VALUE"""),"2 minors")</f>
        <v>2 minors</v>
      </c>
      <c r="AA370" s="1" t="str">
        <f ca="1">IFERROR(__xludf.DUMMYFUNCTION("""COMPUTED_VALUE"""),"No")</f>
        <v>No</v>
      </c>
      <c r="AB370" s="1" t="str">
        <f ca="1">IFERROR(__xludf.DUMMYFUNCTION("""COMPUTED_VALUE"""),"No")</f>
        <v>No</v>
      </c>
      <c r="AC370" s="1" t="str">
        <f ca="1">IFERROR(__xludf.DUMMYFUNCTION("""COMPUTED_VALUE"""),"No")</f>
        <v>No</v>
      </c>
      <c r="AD370" s="1" t="str">
        <f ca="1">IFERROR(__xludf.DUMMYFUNCTION("""COMPUTED_VALUE"""),"No")</f>
        <v>No</v>
      </c>
      <c r="AE370" s="1" t="str">
        <f ca="1">IFERROR(__xludf.DUMMYFUNCTION("""COMPUTED_VALUE"""),"No")</f>
        <v>No</v>
      </c>
      <c r="AF370" s="1" t="str">
        <f ca="1">IFERROR(__xludf.DUMMYFUNCTION("""COMPUTED_VALUE"""),"No")</f>
        <v>No</v>
      </c>
      <c r="AG370" s="1" t="str">
        <f ca="1">IFERROR(__xludf.DUMMYFUNCTION("""COMPUTED_VALUE"""),"No")</f>
        <v>No</v>
      </c>
      <c r="AH370" s="1">
        <f ca="1">IFERROR(__xludf.DUMMYFUNCTION("""COMPUTED_VALUE"""),99)</f>
        <v>99</v>
      </c>
    </row>
    <row r="371" spans="1:34" ht="12.5">
      <c r="A371" s="1" t="str">
        <f ca="1">IFERROR(__xludf.DUMMYFUNCTION("""COMPUTED_VALUE"""),"20230301ILSAC")</f>
        <v>20230301ILSAC</v>
      </c>
      <c r="B371" s="1">
        <f ca="1">IFERROR(__xludf.DUMMYFUNCTION("""COMPUTED_VALUE"""),3)</f>
        <v>3</v>
      </c>
      <c r="C371" s="1">
        <f ca="1">IFERROR(__xludf.DUMMYFUNCTION("""COMPUTED_VALUE"""),1)</f>
        <v>1</v>
      </c>
      <c r="D371" s="1">
        <f ca="1">IFERROR(__xludf.DUMMYFUNCTION("""COMPUTED_VALUE"""),2023)</f>
        <v>2023</v>
      </c>
      <c r="E371" s="4">
        <f ca="1">IFERROR(__xludf.DUMMYFUNCTION("""COMPUTED_VALUE"""),44986)</f>
        <v>44986</v>
      </c>
      <c r="F371" s="1" t="str">
        <f ca="1">IFERROR(__xludf.DUMMYFUNCTION("""COMPUTED_VALUE"""),"Sawyer Elementary School")</f>
        <v>Sawyer Elementary School</v>
      </c>
      <c r="G371" s="1">
        <f ca="1">IFERROR(__xludf.DUMMYFUNCTION("""COMPUTED_VALUE"""),1)</f>
        <v>1</v>
      </c>
      <c r="H371" s="1">
        <f ca="1">IFERROR(__xludf.DUMMYFUNCTION("""COMPUTED_VALUE"""),0)</f>
        <v>0</v>
      </c>
      <c r="I371" s="1">
        <f ca="1">IFERROR(__xludf.DUMMYFUNCTION("""COMPUTED_VALUE"""),1)</f>
        <v>1</v>
      </c>
      <c r="J371" s="1">
        <f ca="1">IFERROR(__xludf.DUMMYFUNCTION("""COMPUTED_VALUE"""),0)</f>
        <v>0</v>
      </c>
      <c r="K371" s="1" t="str">
        <f ca="1">IFERROR(__xludf.DUMMYFUNCTION("""COMPUTED_VALUE"""),"Spring")</f>
        <v>Spring</v>
      </c>
      <c r="L371" s="1" t="str">
        <f ca="1">IFERROR(__xludf.DUMMYFUNCTION("""COMPUTED_VALUE"""),"Chicago")</f>
        <v>Chicago</v>
      </c>
      <c r="M371" s="1" t="str">
        <f ca="1">IFERROR(__xludf.DUMMYFUNCTION("""COMPUTED_VALUE"""),"IL")</f>
        <v>IL</v>
      </c>
      <c r="N371" s="1" t="str">
        <f ca="1">IFERROR(__xludf.DUMMYFUNCTION("""COMPUTED_VALUE"""),"Elementary")</f>
        <v>Elementary</v>
      </c>
      <c r="O371" s="1" t="str">
        <f ca="1">IFERROR(__xludf.DUMMYFUNCTION("""COMPUTED_VALUE"""),"Playground")</f>
        <v>Playground</v>
      </c>
      <c r="P371" s="1" t="str">
        <f ca="1">IFERROR(__xludf.DUMMYFUNCTION("""COMPUTED_VALUE"""),"Outside on School Property")</f>
        <v>Outside on School Property</v>
      </c>
      <c r="Q371" s="1" t="str">
        <f ca="1">IFERROR(__xludf.DUMMYFUNCTION("""COMPUTED_VALUE"""),"No")</f>
        <v>No</v>
      </c>
      <c r="R371" s="1" t="str">
        <f ca="1">IFERROR(__xludf.DUMMYFUNCTION("""COMPUTED_VALUE"""),"After School")</f>
        <v>After School</v>
      </c>
      <c r="S371" s="5">
        <f ca="1">IFERROR(__xludf.DUMMYFUNCTION("""COMPUTED_VALUE"""),0.697916666666666)</f>
        <v>0.69791666666666596</v>
      </c>
      <c r="T371" s="1">
        <f ca="1">IFERROR(__xludf.DUMMYFUNCTION("""COMPUTED_VALUE"""),1)</f>
        <v>1</v>
      </c>
      <c r="U371" s="1" t="str">
        <f ca="1">IFERROR(__xludf.DUMMYFUNCTION("""COMPUTED_VALUE"""),"Police officer and suspect shot next to school playground while kids were playing")</f>
        <v>Police officer and suspect shot next to school playground while kids were playing</v>
      </c>
      <c r="V371" s="1" t="str">
        <f ca="1">IFERROR(__xludf.DUMMYFUNCTION("""COMPUTED_VALUE"""),"Suspect fired shots at Chicago police officer who was chasing him down the street. Officer was struck and collapsed next to playground, suspect was also struck in collapsed in school parking lot next to playground. Children were using the playground when "&amp;"shots were fired and took cover behind the slides.")</f>
        <v>Suspect fired shots at Chicago police officer who was chasing him down the street. Officer was struck and collapsed next to playground, suspect was also struck in collapsed in school parking lot next to playground. Children were using the playground when shots were fired and took cover behind the slides.</v>
      </c>
      <c r="W371" s="1" t="str">
        <f ca="1">IFERROR(__xludf.DUMMYFUNCTION("""COMPUTED_VALUE"""),"Illegal Activity")</f>
        <v>Illegal Activity</v>
      </c>
      <c r="X371" s="1" t="str">
        <f ca="1">IFERROR(__xludf.DUMMYFUNCTION("""COMPUTED_VALUE"""),"Random Shooting")</f>
        <v>Random Shooting</v>
      </c>
      <c r="Y371" s="1" t="str">
        <f ca="1">IFERROR(__xludf.DUMMYFUNCTION("""COMPUTED_VALUE"""),"No")</f>
        <v>No</v>
      </c>
      <c r="Z371" s="1"/>
      <c r="AA371" s="1" t="str">
        <f ca="1">IFERROR(__xludf.DUMMYFUNCTION("""COMPUTED_VALUE"""),"No")</f>
        <v>No</v>
      </c>
      <c r="AB371" s="1" t="str">
        <f ca="1">IFERROR(__xludf.DUMMYFUNCTION("""COMPUTED_VALUE"""),"No")</f>
        <v>No</v>
      </c>
      <c r="AC371" s="1" t="str">
        <f ca="1">IFERROR(__xludf.DUMMYFUNCTION("""COMPUTED_VALUE"""),"Yes")</f>
        <v>Yes</v>
      </c>
      <c r="AD371" s="1" t="str">
        <f ca="1">IFERROR(__xludf.DUMMYFUNCTION("""COMPUTED_VALUE"""),"No")</f>
        <v>No</v>
      </c>
      <c r="AE371" s="1" t="str">
        <f ca="1">IFERROR(__xludf.DUMMYFUNCTION("""COMPUTED_VALUE"""),"No")</f>
        <v>No</v>
      </c>
      <c r="AF371" s="1" t="str">
        <f ca="1">IFERROR(__xludf.DUMMYFUNCTION("""COMPUTED_VALUE"""),"No")</f>
        <v>No</v>
      </c>
      <c r="AG371" s="1" t="str">
        <f ca="1">IFERROR(__xludf.DUMMYFUNCTION("""COMPUTED_VALUE"""),"No")</f>
        <v>No</v>
      </c>
      <c r="AH371" s="1">
        <f ca="1">IFERROR(__xludf.DUMMYFUNCTION("""COMPUTED_VALUE"""),99)</f>
        <v>99</v>
      </c>
    </row>
    <row r="372" spans="1:34" ht="12.5">
      <c r="A372" s="1" t="str">
        <f ca="1">IFERROR(__xludf.DUMMYFUNCTION("""COMPUTED_VALUE"""),"20230301ILMAM")</f>
        <v>20230301ILMAM</v>
      </c>
      <c r="B372" s="1">
        <f ca="1">IFERROR(__xludf.DUMMYFUNCTION("""COMPUTED_VALUE"""),3)</f>
        <v>3</v>
      </c>
      <c r="C372" s="1">
        <f ca="1">IFERROR(__xludf.DUMMYFUNCTION("""COMPUTED_VALUE"""),1)</f>
        <v>1</v>
      </c>
      <c r="D372" s="1">
        <f ca="1">IFERROR(__xludf.DUMMYFUNCTION("""COMPUTED_VALUE"""),2023)</f>
        <v>2023</v>
      </c>
      <c r="E372" s="4">
        <f ca="1">IFERROR(__xludf.DUMMYFUNCTION("""COMPUTED_VALUE"""),44986)</f>
        <v>44986</v>
      </c>
      <c r="F372" s="1" t="str">
        <f ca="1">IFERROR(__xludf.DUMMYFUNCTION("""COMPUTED_VALUE"""),"Marion Junior High School")</f>
        <v>Marion Junior High School</v>
      </c>
      <c r="G372" s="1">
        <f ca="1">IFERROR(__xludf.DUMMYFUNCTION("""COMPUTED_VALUE"""),0)</f>
        <v>0</v>
      </c>
      <c r="H372" s="1">
        <f ca="1">IFERROR(__xludf.DUMMYFUNCTION("""COMPUTED_VALUE"""),0)</f>
        <v>0</v>
      </c>
      <c r="I372" s="1">
        <f ca="1">IFERROR(__xludf.DUMMYFUNCTION("""COMPUTED_VALUE"""),0)</f>
        <v>0</v>
      </c>
      <c r="J372" s="1">
        <f ca="1">IFERROR(__xludf.DUMMYFUNCTION("""COMPUTED_VALUE"""),0)</f>
        <v>0</v>
      </c>
      <c r="K372" s="1" t="str">
        <f ca="1">IFERROR(__xludf.DUMMYFUNCTION("""COMPUTED_VALUE"""),"Spring")</f>
        <v>Spring</v>
      </c>
      <c r="L372" s="1" t="str">
        <f ca="1">IFERROR(__xludf.DUMMYFUNCTION("""COMPUTED_VALUE"""),"Marion")</f>
        <v>Marion</v>
      </c>
      <c r="M372" s="1" t="str">
        <f ca="1">IFERROR(__xludf.DUMMYFUNCTION("""COMPUTED_VALUE"""),"IL")</f>
        <v>IL</v>
      </c>
      <c r="N372" s="1" t="str">
        <f ca="1">IFERROR(__xludf.DUMMYFUNCTION("""COMPUTED_VALUE"""),"Middle")</f>
        <v>Middle</v>
      </c>
      <c r="O372" s="1" t="str">
        <f ca="1">IFERROR(__xludf.DUMMYFUNCTION("""COMPUTED_VALUE"""),"Football Field/Track")</f>
        <v>Football Field/Track</v>
      </c>
      <c r="P372" s="1" t="str">
        <f ca="1">IFERROR(__xludf.DUMMYFUNCTION("""COMPUTED_VALUE"""),"Outside on School Property")</f>
        <v>Outside on School Property</v>
      </c>
      <c r="Q372" s="1" t="str">
        <f ca="1">IFERROR(__xludf.DUMMYFUNCTION("""COMPUTED_VALUE"""),"Yes")</f>
        <v>Yes</v>
      </c>
      <c r="R372" s="1" t="str">
        <f ca="1">IFERROR(__xludf.DUMMYFUNCTION("""COMPUTED_VALUE"""),"Morning Classes")</f>
        <v>Morning Classes</v>
      </c>
      <c r="S372" s="5">
        <f ca="1">IFERROR(__xludf.DUMMYFUNCTION("""COMPUTED_VALUE"""),0.447916666666666)</f>
        <v>0.44791666666666602</v>
      </c>
      <c r="T372" s="1">
        <f ca="1">IFERROR(__xludf.DUMMYFUNCTION("""COMPUTED_VALUE"""),1)</f>
        <v>1</v>
      </c>
      <c r="U372" s="1" t="str">
        <f ca="1">IFERROR(__xludf.DUMMYFUNCTION("""COMPUTED_VALUE"""),"37 students were shot by 3 men with pellet guns while running on the track during gym class")</f>
        <v>37 students were shot by 3 men with pellet guns while running on the track during gym class</v>
      </c>
      <c r="V372" s="1" t="str">
        <f ca="1">IFERROR(__xludf.DUMMYFUNCTION("""COMPUTED_VALUE"""),"37 students were shot by 3 men with pellet guns while running on the track during gym class. All of the students were evaluated by the school nurse and did not have injuries. Three men detained at a nearby gas station and charged with 38 counts of aggrava"&amp;"ted battery. ")</f>
        <v xml:space="preserve">37 students were shot by 3 men with pellet guns while running on the track during gym class. All of the students were evaluated by the school nurse and did not have injuries. Three men detained at a nearby gas station and charged with 38 counts of aggravated battery. </v>
      </c>
      <c r="W372" s="1" t="str">
        <f ca="1">IFERROR(__xludf.DUMMYFUNCTION("""COMPUTED_VALUE"""),"Drive-by Shooting")</f>
        <v>Drive-by Shooting</v>
      </c>
      <c r="X372" s="1" t="str">
        <f ca="1">IFERROR(__xludf.DUMMYFUNCTION("""COMPUTED_VALUE"""),"Random Shooting")</f>
        <v>Random Shooting</v>
      </c>
      <c r="Y372" s="1" t="str">
        <f ca="1">IFERROR(__xludf.DUMMYFUNCTION("""COMPUTED_VALUE"""),"Yes")</f>
        <v>Yes</v>
      </c>
      <c r="Z372" s="1" t="str">
        <f ca="1">IFERROR(__xludf.DUMMYFUNCTION("""COMPUTED_VALUE"""),"3 men")</f>
        <v>3 men</v>
      </c>
      <c r="AA372" s="1" t="str">
        <f ca="1">IFERROR(__xludf.DUMMYFUNCTION("""COMPUTED_VALUE"""),"No")</f>
        <v>No</v>
      </c>
      <c r="AB372" s="1" t="str">
        <f ca="1">IFERROR(__xludf.DUMMYFUNCTION("""COMPUTED_VALUE"""),"No")</f>
        <v>No</v>
      </c>
      <c r="AC372" s="1" t="str">
        <f ca="1">IFERROR(__xludf.DUMMYFUNCTION("""COMPUTED_VALUE"""),"No")</f>
        <v>No</v>
      </c>
      <c r="AD372" s="1" t="str">
        <f ca="1">IFERROR(__xludf.DUMMYFUNCTION("""COMPUTED_VALUE"""),"No")</f>
        <v>No</v>
      </c>
      <c r="AE372" s="1" t="str">
        <f ca="1">IFERROR(__xludf.DUMMYFUNCTION("""COMPUTED_VALUE"""),"No")</f>
        <v>No</v>
      </c>
      <c r="AF372" s="1" t="str">
        <f ca="1">IFERROR(__xludf.DUMMYFUNCTION("""COMPUTED_VALUE"""),"No")</f>
        <v>No</v>
      </c>
      <c r="AG372" s="1" t="str">
        <f ca="1">IFERROR(__xludf.DUMMYFUNCTION("""COMPUTED_VALUE"""),"No")</f>
        <v>No</v>
      </c>
      <c r="AH372" s="1">
        <f ca="1">IFERROR(__xludf.DUMMYFUNCTION("""COMPUTED_VALUE"""),99)</f>
        <v>99</v>
      </c>
    </row>
    <row r="373" spans="1:34" ht="12.5">
      <c r="A373" s="1" t="str">
        <f ca="1">IFERROR(__xludf.DUMMYFUNCTION("""COMPUTED_VALUE"""),"20230301GASAS")</f>
        <v>20230301GASAS</v>
      </c>
      <c r="B373" s="1">
        <f ca="1">IFERROR(__xludf.DUMMYFUNCTION("""COMPUTED_VALUE"""),3)</f>
        <v>3</v>
      </c>
      <c r="C373" s="1">
        <f ca="1">IFERROR(__xludf.DUMMYFUNCTION("""COMPUTED_VALUE"""),1)</f>
        <v>1</v>
      </c>
      <c r="D373" s="1">
        <f ca="1">IFERROR(__xludf.DUMMYFUNCTION("""COMPUTED_VALUE"""),2023)</f>
        <v>2023</v>
      </c>
      <c r="E373" s="4">
        <f ca="1">IFERROR(__xludf.DUMMYFUNCTION("""COMPUTED_VALUE"""),44986)</f>
        <v>44986</v>
      </c>
      <c r="F373" s="1" t="str">
        <f ca="1">IFERROR(__xludf.DUMMYFUNCTION("""COMPUTED_VALUE"""),"Savannah High School")</f>
        <v>Savannah High School</v>
      </c>
      <c r="G373" s="1">
        <f ca="1">IFERROR(__xludf.DUMMYFUNCTION("""COMPUTED_VALUE"""),0)</f>
        <v>0</v>
      </c>
      <c r="H373" s="1">
        <f ca="1">IFERROR(__xludf.DUMMYFUNCTION("""COMPUTED_VALUE"""),1)</f>
        <v>1</v>
      </c>
      <c r="I373" s="1">
        <f ca="1">IFERROR(__xludf.DUMMYFUNCTION("""COMPUTED_VALUE"""),1)</f>
        <v>1</v>
      </c>
      <c r="J373" s="1">
        <f ca="1">IFERROR(__xludf.DUMMYFUNCTION("""COMPUTED_VALUE"""),0)</f>
        <v>0</v>
      </c>
      <c r="K373" s="1" t="str">
        <f ca="1">IFERROR(__xludf.DUMMYFUNCTION("""COMPUTED_VALUE"""),"Spring")</f>
        <v>Spring</v>
      </c>
      <c r="L373" s="1" t="str">
        <f ca="1">IFERROR(__xludf.DUMMYFUNCTION("""COMPUTED_VALUE"""),"Savannah")</f>
        <v>Savannah</v>
      </c>
      <c r="M373" s="1" t="str">
        <f ca="1">IFERROR(__xludf.DUMMYFUNCTION("""COMPUTED_VALUE"""),"GA")</f>
        <v>GA</v>
      </c>
      <c r="N373" s="1" t="str">
        <f ca="1">IFERROR(__xludf.DUMMYFUNCTION("""COMPUTED_VALUE"""),"High")</f>
        <v>High</v>
      </c>
      <c r="O373" s="1" t="str">
        <f ca="1">IFERROR(__xludf.DUMMYFUNCTION("""COMPUTED_VALUE"""),"Front of School")</f>
        <v>Front of School</v>
      </c>
      <c r="P373" s="1" t="str">
        <f ca="1">IFERROR(__xludf.DUMMYFUNCTION("""COMPUTED_VALUE"""),"Outside on School Property")</f>
        <v>Outside on School Property</v>
      </c>
      <c r="Q373" s="1" t="str">
        <f ca="1">IFERROR(__xludf.DUMMYFUNCTION("""COMPUTED_VALUE"""),"Yes")</f>
        <v>Yes</v>
      </c>
      <c r="R373" s="1" t="str">
        <f ca="1">IFERROR(__xludf.DUMMYFUNCTION("""COMPUTED_VALUE"""),"Dismissal")</f>
        <v>Dismissal</v>
      </c>
      <c r="S373" s="5">
        <f ca="1">IFERROR(__xludf.DUMMYFUNCTION("""COMPUTED_VALUE"""),0.611111111111111)</f>
        <v>0.61111111111111105</v>
      </c>
      <c r="T373" s="1">
        <f ca="1">IFERROR(__xludf.DUMMYFUNCTION("""COMPUTED_VALUE"""),1)</f>
        <v>1</v>
      </c>
      <c r="U373" s="1" t="str">
        <f ca="1">IFERROR(__xludf.DUMMYFUNCTION("""COMPUTED_VALUE"""),"Teen shot in front of school by another teen")</f>
        <v>Teen shot in front of school by another teen</v>
      </c>
      <c r="V373" s="1" t="str">
        <f ca="1">IFERROR(__xludf.DUMMYFUNCTION("""COMPUTED_VALUE"""),"15-year-old was shot in the leg in front of the school following a dispute with a non-student teen. 16-year-old fled and was arrested after a foot chase. Shot was fired from the apartments across the street from the school.")</f>
        <v>15-year-old was shot in the leg in front of the school following a dispute with a non-student teen. 16-year-old fled and was arrested after a foot chase. Shot was fired from the apartments across the street from the school.</v>
      </c>
      <c r="W373" s="1" t="str">
        <f ca="1">IFERROR(__xludf.DUMMYFUNCTION("""COMPUTED_VALUE"""),"Escalation of Dispute")</f>
        <v>Escalation of Dispute</v>
      </c>
      <c r="X373" s="1" t="str">
        <f ca="1">IFERROR(__xludf.DUMMYFUNCTION("""COMPUTED_VALUE"""),"Victims Targeted")</f>
        <v>Victims Targeted</v>
      </c>
      <c r="Y373" s="1" t="str">
        <f ca="1">IFERROR(__xludf.DUMMYFUNCTION("""COMPUTED_VALUE"""),"No")</f>
        <v>No</v>
      </c>
      <c r="Z373" s="1"/>
      <c r="AA373" s="1" t="str">
        <f ca="1">IFERROR(__xludf.DUMMYFUNCTION("""COMPUTED_VALUE"""),"No")</f>
        <v>No</v>
      </c>
      <c r="AB373" s="1" t="str">
        <f ca="1">IFERROR(__xludf.DUMMYFUNCTION("""COMPUTED_VALUE"""),"No")</f>
        <v>No</v>
      </c>
      <c r="AC373" s="1" t="str">
        <f ca="1">IFERROR(__xludf.DUMMYFUNCTION("""COMPUTED_VALUE"""),"No")</f>
        <v>No</v>
      </c>
      <c r="AD373" s="1" t="str">
        <f ca="1">IFERROR(__xludf.DUMMYFUNCTION("""COMPUTED_VALUE"""),"No")</f>
        <v>No</v>
      </c>
      <c r="AE373" s="1" t="str">
        <f ca="1">IFERROR(__xludf.DUMMYFUNCTION("""COMPUTED_VALUE"""),"No")</f>
        <v>No</v>
      </c>
      <c r="AF373" s="1"/>
      <c r="AG373" s="1" t="str">
        <f ca="1">IFERROR(__xludf.DUMMYFUNCTION("""COMPUTED_VALUE"""),"No")</f>
        <v>No</v>
      </c>
      <c r="AH373" s="1">
        <f ca="1">IFERROR(__xludf.DUMMYFUNCTION("""COMPUTED_VALUE"""),99)</f>
        <v>99</v>
      </c>
    </row>
    <row r="374" spans="1:34" ht="12.5">
      <c r="A374" s="1" t="str">
        <f ca="1">IFERROR(__xludf.DUMMYFUNCTION("""COMPUTED_VALUE"""),"20230301CONOP")</f>
        <v>20230301CONOP</v>
      </c>
      <c r="B374" s="1">
        <f ca="1">IFERROR(__xludf.DUMMYFUNCTION("""COMPUTED_VALUE"""),3)</f>
        <v>3</v>
      </c>
      <c r="C374" s="1">
        <f ca="1">IFERROR(__xludf.DUMMYFUNCTION("""COMPUTED_VALUE"""),1)</f>
        <v>1</v>
      </c>
      <c r="D374" s="1">
        <f ca="1">IFERROR(__xludf.DUMMYFUNCTION("""COMPUTED_VALUE"""),2023)</f>
        <v>2023</v>
      </c>
      <c r="E374" s="4">
        <f ca="1">IFERROR(__xludf.DUMMYFUNCTION("""COMPUTED_VALUE"""),44986)</f>
        <v>44986</v>
      </c>
      <c r="F374" s="1" t="str">
        <f ca="1">IFERROR(__xludf.DUMMYFUNCTION("""COMPUTED_VALUE"""),"North Mesa Elementary School")</f>
        <v>North Mesa Elementary School</v>
      </c>
      <c r="G374" s="1">
        <f ca="1">IFERROR(__xludf.DUMMYFUNCTION("""COMPUTED_VALUE"""),0)</f>
        <v>0</v>
      </c>
      <c r="H374" s="1">
        <f ca="1">IFERROR(__xludf.DUMMYFUNCTION("""COMPUTED_VALUE"""),0)</f>
        <v>0</v>
      </c>
      <c r="I374" s="1">
        <f ca="1">IFERROR(__xludf.DUMMYFUNCTION("""COMPUTED_VALUE"""),0)</f>
        <v>0</v>
      </c>
      <c r="J374" s="1">
        <f ca="1">IFERROR(__xludf.DUMMYFUNCTION("""COMPUTED_VALUE"""),1)</f>
        <v>1</v>
      </c>
      <c r="K374" s="1" t="str">
        <f ca="1">IFERROR(__xludf.DUMMYFUNCTION("""COMPUTED_VALUE"""),"Spring")</f>
        <v>Spring</v>
      </c>
      <c r="L374" s="1" t="str">
        <f ca="1">IFERROR(__xludf.DUMMYFUNCTION("""COMPUTED_VALUE"""),"Pueblo")</f>
        <v>Pueblo</v>
      </c>
      <c r="M374" s="1" t="str">
        <f ca="1">IFERROR(__xludf.DUMMYFUNCTION("""COMPUTED_VALUE"""),"CO")</f>
        <v>CO</v>
      </c>
      <c r="N374" s="1" t="str">
        <f ca="1">IFERROR(__xludf.DUMMYFUNCTION("""COMPUTED_VALUE"""),"Elementary")</f>
        <v>Elementary</v>
      </c>
      <c r="O374" s="1" t="str">
        <f ca="1">IFERROR(__xludf.DUMMYFUNCTION("""COMPUTED_VALUE"""),"Playground")</f>
        <v>Playground</v>
      </c>
      <c r="P374" s="1" t="str">
        <f ca="1">IFERROR(__xludf.DUMMYFUNCTION("""COMPUTED_VALUE"""),"Outside on School Property")</f>
        <v>Outside on School Property</v>
      </c>
      <c r="Q374" s="1" t="str">
        <f ca="1">IFERROR(__xludf.DUMMYFUNCTION("""COMPUTED_VALUE"""),"Yes")</f>
        <v>Yes</v>
      </c>
      <c r="R374" s="1" t="str">
        <f ca="1">IFERROR(__xludf.DUMMYFUNCTION("""COMPUTED_VALUE"""),"Dismissal")</f>
        <v>Dismissal</v>
      </c>
      <c r="S374" s="5">
        <f ca="1">IFERROR(__xludf.DUMMYFUNCTION("""COMPUTED_VALUE"""),0.645833333333333)</f>
        <v>0.64583333333333304</v>
      </c>
      <c r="T374" s="1">
        <f ca="1">IFERROR(__xludf.DUMMYFUNCTION("""COMPUTED_VALUE"""),1)</f>
        <v>1</v>
      </c>
      <c r="U374" s="1" t="str">
        <f ca="1">IFERROR(__xludf.DUMMYFUNCTION("""COMPUTED_VALUE"""),"Man fired shots at school playground from his backyard near the school, killed during standoff with police")</f>
        <v>Man fired shots at school playground from his backyard near the school, killed during standoff with police</v>
      </c>
      <c r="V374" s="1" t="str">
        <f ca="1">IFERROR(__xludf.DUMMYFUNCTION("""COMPUTED_VALUE"""),"Adult man fired shots at students on the school playground during dismissal. Student ran into the school and the building went on lockdown. Shooting resulted in a police standoff. Man was killed after firing shots at officers. Man was known to law enforce"&amp;"ment and frequently fired shots in his backyard.")</f>
        <v>Adult man fired shots at students on the school playground during dismissal. Student ran into the school and the building went on lockdown. Shooting resulted in a police standoff. Man was killed after firing shots at officers. Man was known to law enforcement and frequently fired shots in his backyard.</v>
      </c>
      <c r="W374" s="1" t="str">
        <f ca="1">IFERROR(__xludf.DUMMYFUNCTION("""COMPUTED_VALUE"""),"Hostage/Standoff")</f>
        <v>Hostage/Standoff</v>
      </c>
      <c r="X374" s="1" t="str">
        <f ca="1">IFERROR(__xludf.DUMMYFUNCTION("""COMPUTED_VALUE"""),"Random Shooting")</f>
        <v>Random Shooting</v>
      </c>
      <c r="Y374" s="1" t="str">
        <f ca="1">IFERROR(__xludf.DUMMYFUNCTION("""COMPUTED_VALUE"""),"No")</f>
        <v>No</v>
      </c>
      <c r="Z374" s="1"/>
      <c r="AA374" s="1" t="str">
        <f ca="1">IFERROR(__xludf.DUMMYFUNCTION("""COMPUTED_VALUE"""),"No")</f>
        <v>No</v>
      </c>
      <c r="AB374" s="1" t="str">
        <f ca="1">IFERROR(__xludf.DUMMYFUNCTION("""COMPUTED_VALUE"""),"Yes")</f>
        <v>Yes</v>
      </c>
      <c r="AC374" s="1" t="str">
        <f ca="1">IFERROR(__xludf.DUMMYFUNCTION("""COMPUTED_VALUE"""),"No")</f>
        <v>No</v>
      </c>
      <c r="AD374" s="1" t="str">
        <f ca="1">IFERROR(__xludf.DUMMYFUNCTION("""COMPUTED_VALUE"""),"No")</f>
        <v>No</v>
      </c>
      <c r="AE374" s="1" t="str">
        <f ca="1">IFERROR(__xludf.DUMMYFUNCTION("""COMPUTED_VALUE"""),"No")</f>
        <v>No</v>
      </c>
      <c r="AF374" s="1" t="str">
        <f ca="1">IFERROR(__xludf.DUMMYFUNCTION("""COMPUTED_VALUE"""),"No")</f>
        <v>No</v>
      </c>
      <c r="AG374" s="1" t="str">
        <f ca="1">IFERROR(__xludf.DUMMYFUNCTION("""COMPUTED_VALUE"""),"No")</f>
        <v>No</v>
      </c>
      <c r="AH374" s="1">
        <f ca="1">IFERROR(__xludf.DUMMYFUNCTION("""COMPUTED_VALUE"""),99)</f>
        <v>99</v>
      </c>
    </row>
    <row r="375" spans="1:34" ht="12.5">
      <c r="A375" s="1" t="str">
        <f ca="1">IFERROR(__xludf.DUMMYFUNCTION("""COMPUTED_VALUE"""),"20230227CAGAC")</f>
        <v>20230227CAGAC</v>
      </c>
      <c r="B375" s="1">
        <f ca="1">IFERROR(__xludf.DUMMYFUNCTION("""COMPUTED_VALUE"""),2)</f>
        <v>2</v>
      </c>
      <c r="C375" s="1">
        <f ca="1">IFERROR(__xludf.DUMMYFUNCTION("""COMPUTED_VALUE"""),27)</f>
        <v>27</v>
      </c>
      <c r="D375" s="1">
        <f ca="1">IFERROR(__xludf.DUMMYFUNCTION("""COMPUTED_VALUE"""),2023)</f>
        <v>2023</v>
      </c>
      <c r="E375" s="4">
        <f ca="1">IFERROR(__xludf.DUMMYFUNCTION("""COMPUTED_VALUE"""),44984)</f>
        <v>44984</v>
      </c>
      <c r="F375" s="1" t="str">
        <f ca="1">IFERROR(__xludf.DUMMYFUNCTION("""COMPUTED_VALUE"""),"Gahr High School")</f>
        <v>Gahr High School</v>
      </c>
      <c r="G375" s="1">
        <f ca="1">IFERROR(__xludf.DUMMYFUNCTION("""COMPUTED_VALUE"""),1)</f>
        <v>1</v>
      </c>
      <c r="H375" s="1">
        <f ca="1">IFERROR(__xludf.DUMMYFUNCTION("""COMPUTED_VALUE"""),0)</f>
        <v>0</v>
      </c>
      <c r="I375" s="1">
        <f ca="1">IFERROR(__xludf.DUMMYFUNCTION("""COMPUTED_VALUE"""),1)</f>
        <v>1</v>
      </c>
      <c r="J375" s="1">
        <f ca="1">IFERROR(__xludf.DUMMYFUNCTION("""COMPUTED_VALUE"""),0)</f>
        <v>0</v>
      </c>
      <c r="K375" s="1" t="str">
        <f ca="1">IFERROR(__xludf.DUMMYFUNCTION("""COMPUTED_VALUE"""),"Winter")</f>
        <v>Winter</v>
      </c>
      <c r="L375" s="1" t="str">
        <f ca="1">IFERROR(__xludf.DUMMYFUNCTION("""COMPUTED_VALUE"""),"Cerritos")</f>
        <v>Cerritos</v>
      </c>
      <c r="M375" s="1" t="str">
        <f ca="1">IFERROR(__xludf.DUMMYFUNCTION("""COMPUTED_VALUE"""),"CA")</f>
        <v>CA</v>
      </c>
      <c r="N375" s="1" t="str">
        <f ca="1">IFERROR(__xludf.DUMMYFUNCTION("""COMPUTED_VALUE"""),"High")</f>
        <v>High</v>
      </c>
      <c r="O375" s="1" t="str">
        <f ca="1">IFERROR(__xludf.DUMMYFUNCTION("""COMPUTED_VALUE"""),"Parking Lot")</f>
        <v>Parking Lot</v>
      </c>
      <c r="P375" s="1" t="str">
        <f ca="1">IFERROR(__xludf.DUMMYFUNCTION("""COMPUTED_VALUE"""),"Outside on School Property")</f>
        <v>Outside on School Property</v>
      </c>
      <c r="Q375" s="1" t="str">
        <f ca="1">IFERROR(__xludf.DUMMYFUNCTION("""COMPUTED_VALUE"""),"No")</f>
        <v>No</v>
      </c>
      <c r="R375" s="1" t="str">
        <f ca="1">IFERROR(__xludf.DUMMYFUNCTION("""COMPUTED_VALUE"""),"Night")</f>
        <v>Night</v>
      </c>
      <c r="S375" s="5">
        <f ca="1">IFERROR(__xludf.DUMMYFUNCTION("""COMPUTED_VALUE"""),0.0833333333333333)</f>
        <v>8.3333333333333301E-2</v>
      </c>
      <c r="T375" s="1">
        <f ca="1">IFERROR(__xludf.DUMMYFUNCTION("""COMPUTED_VALUE"""),1)</f>
        <v>1</v>
      </c>
      <c r="U375" s="1" t="str">
        <f ca="1">IFERROR(__xludf.DUMMYFUNCTION("""COMPUTED_VALUE"""),"Man fatally shot and died in school parking lot")</f>
        <v>Man fatally shot and died in school parking lot</v>
      </c>
      <c r="V375" s="1" t="str">
        <f ca="1">IFERROR(__xludf.DUMMYFUNCTION("""COMPUTED_VALUE"""),"Man was shot inside a vehicle and died in the school parking lot. Classes were cancelled due to the crime scene near the front of the school. Shooter fled.")</f>
        <v>Man was shot inside a vehicle and died in the school parking lot. Classes were cancelled due to the crime scene near the front of the school. Shooter fled.</v>
      </c>
      <c r="W375" s="1" t="str">
        <f ca="1">IFERROR(__xludf.DUMMYFUNCTION("""COMPUTED_VALUE"""),"Drive-by Shooting")</f>
        <v>Drive-by Shooting</v>
      </c>
      <c r="X375" s="1" t="str">
        <f ca="1">IFERROR(__xludf.DUMMYFUNCTION("""COMPUTED_VALUE"""),"Victims Targeted")</f>
        <v>Victims Targeted</v>
      </c>
      <c r="Y375" s="1"/>
      <c r="Z375" s="1"/>
      <c r="AA375" s="1" t="str">
        <f ca="1">IFERROR(__xludf.DUMMYFUNCTION("""COMPUTED_VALUE"""),"No")</f>
        <v>No</v>
      </c>
      <c r="AB375" s="1" t="str">
        <f ca="1">IFERROR(__xludf.DUMMYFUNCTION("""COMPUTED_VALUE"""),"No")</f>
        <v>No</v>
      </c>
      <c r="AC375" s="1" t="str">
        <f ca="1">IFERROR(__xludf.DUMMYFUNCTION("""COMPUTED_VALUE"""),"No")</f>
        <v>No</v>
      </c>
      <c r="AD375" s="1" t="str">
        <f ca="1">IFERROR(__xludf.DUMMYFUNCTION("""COMPUTED_VALUE"""),"No")</f>
        <v>No</v>
      </c>
      <c r="AE375" s="1" t="str">
        <f ca="1">IFERROR(__xludf.DUMMYFUNCTION("""COMPUTED_VALUE"""),"No")</f>
        <v>No</v>
      </c>
      <c r="AF375" s="1"/>
      <c r="AG375" s="1" t="str">
        <f ca="1">IFERROR(__xludf.DUMMYFUNCTION("""COMPUTED_VALUE"""),"No")</f>
        <v>No</v>
      </c>
      <c r="AH375" s="1">
        <f ca="1">IFERROR(__xludf.DUMMYFUNCTION("""COMPUTED_VALUE"""),99)</f>
        <v>99</v>
      </c>
    </row>
    <row r="376" spans="1:34" ht="12.5">
      <c r="A376" s="1" t="str">
        <f ca="1">IFERROR(__xludf.DUMMYFUNCTION("""COMPUTED_VALUE"""),"20230223OHWOC")</f>
        <v>20230223OHWOC</v>
      </c>
      <c r="B376" s="1">
        <f ca="1">IFERROR(__xludf.DUMMYFUNCTION("""COMPUTED_VALUE"""),2)</f>
        <v>2</v>
      </c>
      <c r="C376" s="1">
        <f ca="1">IFERROR(__xludf.DUMMYFUNCTION("""COMPUTED_VALUE"""),23)</f>
        <v>23</v>
      </c>
      <c r="D376" s="1">
        <f ca="1">IFERROR(__xludf.DUMMYFUNCTION("""COMPUTED_VALUE"""),2023)</f>
        <v>2023</v>
      </c>
      <c r="E376" s="4">
        <f ca="1">IFERROR(__xludf.DUMMYFUNCTION("""COMPUTED_VALUE"""),44980)</f>
        <v>44980</v>
      </c>
      <c r="F376" s="1" t="str">
        <f ca="1">IFERROR(__xludf.DUMMYFUNCTION("""COMPUTED_VALUE"""),"Woodward Career Technical High School")</f>
        <v>Woodward Career Technical High School</v>
      </c>
      <c r="G376" s="1">
        <f ca="1">IFERROR(__xludf.DUMMYFUNCTION("""COMPUTED_VALUE"""),0)</f>
        <v>0</v>
      </c>
      <c r="H376" s="1">
        <f ca="1">IFERROR(__xludf.DUMMYFUNCTION("""COMPUTED_VALUE"""),1)</f>
        <v>1</v>
      </c>
      <c r="I376" s="1">
        <f ca="1">IFERROR(__xludf.DUMMYFUNCTION("""COMPUTED_VALUE"""),1)</f>
        <v>1</v>
      </c>
      <c r="J376" s="1">
        <f ca="1">IFERROR(__xludf.DUMMYFUNCTION("""COMPUTED_VALUE"""),0)</f>
        <v>0</v>
      </c>
      <c r="K376" s="1" t="str">
        <f ca="1">IFERROR(__xludf.DUMMYFUNCTION("""COMPUTED_VALUE"""),"Winter")</f>
        <v>Winter</v>
      </c>
      <c r="L376" s="1" t="str">
        <f ca="1">IFERROR(__xludf.DUMMYFUNCTION("""COMPUTED_VALUE"""),"Cincinnati")</f>
        <v>Cincinnati</v>
      </c>
      <c r="M376" s="1" t="str">
        <f ca="1">IFERROR(__xludf.DUMMYFUNCTION("""COMPUTED_VALUE"""),"OH")</f>
        <v>OH</v>
      </c>
      <c r="N376" s="1" t="str">
        <f ca="1">IFERROR(__xludf.DUMMYFUNCTION("""COMPUTED_VALUE"""),"High")</f>
        <v>High</v>
      </c>
      <c r="O376" s="1" t="str">
        <f ca="1">IFERROR(__xludf.DUMMYFUNCTION("""COMPUTED_VALUE"""),"Inside School Building")</f>
        <v>Inside School Building</v>
      </c>
      <c r="P376" s="1" t="str">
        <f ca="1">IFERROR(__xludf.DUMMYFUNCTION("""COMPUTED_VALUE"""),"Inside School Building")</f>
        <v>Inside School Building</v>
      </c>
      <c r="Q376" s="1" t="str">
        <f ca="1">IFERROR(__xludf.DUMMYFUNCTION("""COMPUTED_VALUE"""),"Yes")</f>
        <v>Yes</v>
      </c>
      <c r="R376" s="1" t="str">
        <f ca="1">IFERROR(__xludf.DUMMYFUNCTION("""COMPUTED_VALUE"""),"After School")</f>
        <v>After School</v>
      </c>
      <c r="S376" s="5">
        <f ca="1">IFERROR(__xludf.DUMMYFUNCTION("""COMPUTED_VALUE"""),0.625)</f>
        <v>0.625</v>
      </c>
      <c r="T376" s="1">
        <f ca="1">IFERROR(__xludf.DUMMYFUNCTION("""COMPUTED_VALUE"""),1)</f>
        <v>1</v>
      </c>
      <c r="U376" s="1" t="str">
        <f ca="1">IFERROR(__xludf.DUMMYFUNCTION("""COMPUTED_VALUE"""),"Student was shot next to campus and ran into the school for help, transported in serious condition")</f>
        <v>Student was shot next to campus and ran into the school for help, transported in serious condition</v>
      </c>
      <c r="V376" s="1" t="str">
        <f ca="1">IFERROR(__xludf.DUMMYFUNCTION("""COMPUTED_VALUE"""),"Student was shot near the campus and ran back to the school for help. School was placed on lockdown, after school and evening activities were cancelled, and large police response to search the entire building for a shooter or weapon. Student transported i"&amp;"n serious condition. Extra police will patrol campus for the remainder of the week.")</f>
        <v>Student was shot near the campus and ran back to the school for help. School was placed on lockdown, after school and evening activities were cancelled, and large police response to search the entire building for a shooter or weapon. Student transported in serious condition. Extra police will patrol campus for the remainder of the week.</v>
      </c>
      <c r="W376" s="1"/>
      <c r="X376" s="1" t="str">
        <f ca="1">IFERROR(__xludf.DUMMYFUNCTION("""COMPUTED_VALUE"""),"Victims Targeted")</f>
        <v>Victims Targeted</v>
      </c>
      <c r="Y376" s="1"/>
      <c r="Z376" s="1"/>
      <c r="AA376" s="1" t="str">
        <f ca="1">IFERROR(__xludf.DUMMYFUNCTION("""COMPUTED_VALUE"""),"No")</f>
        <v>No</v>
      </c>
      <c r="AB376" s="1" t="str">
        <f ca="1">IFERROR(__xludf.DUMMYFUNCTION("""COMPUTED_VALUE"""),"No")</f>
        <v>No</v>
      </c>
      <c r="AC376" s="1" t="str">
        <f ca="1">IFERROR(__xludf.DUMMYFUNCTION("""COMPUTED_VALUE"""),"No")</f>
        <v>No</v>
      </c>
      <c r="AD376" s="1"/>
      <c r="AE376" s="1" t="str">
        <f ca="1">IFERROR(__xludf.DUMMYFUNCTION("""COMPUTED_VALUE"""),"No")</f>
        <v>No</v>
      </c>
      <c r="AF376" s="1"/>
      <c r="AG376" s="1" t="str">
        <f ca="1">IFERROR(__xludf.DUMMYFUNCTION("""COMPUTED_VALUE"""),"No")</f>
        <v>No</v>
      </c>
      <c r="AH376" s="1">
        <f ca="1">IFERROR(__xludf.DUMMYFUNCTION("""COMPUTED_VALUE"""),99)</f>
        <v>99</v>
      </c>
    </row>
    <row r="377" spans="1:34" ht="12.5">
      <c r="A377" s="1" t="str">
        <f ca="1">IFERROR(__xludf.DUMMYFUNCTION("""COMPUTED_VALUE"""),"20230222COESE")</f>
        <v>20230222COESE</v>
      </c>
      <c r="B377" s="1">
        <f ca="1">IFERROR(__xludf.DUMMYFUNCTION("""COMPUTED_VALUE"""),2)</f>
        <v>2</v>
      </c>
      <c r="C377" s="1">
        <f ca="1">IFERROR(__xludf.DUMMYFUNCTION("""COMPUTED_VALUE"""),22)</f>
        <v>22</v>
      </c>
      <c r="D377" s="1">
        <f ca="1">IFERROR(__xludf.DUMMYFUNCTION("""COMPUTED_VALUE"""),2023)</f>
        <v>2023</v>
      </c>
      <c r="E377" s="4">
        <f ca="1">IFERROR(__xludf.DUMMYFUNCTION("""COMPUTED_VALUE"""),44979)</f>
        <v>44979</v>
      </c>
      <c r="F377" s="1" t="str">
        <f ca="1">IFERROR(__xludf.DUMMYFUNCTION("""COMPUTED_VALUE"""),"Estes Park Elementary School")</f>
        <v>Estes Park Elementary School</v>
      </c>
      <c r="G377" s="1">
        <f ca="1">IFERROR(__xludf.DUMMYFUNCTION("""COMPUTED_VALUE"""),0)</f>
        <v>0</v>
      </c>
      <c r="H377" s="1">
        <f ca="1">IFERROR(__xludf.DUMMYFUNCTION("""COMPUTED_VALUE"""),0)</f>
        <v>0</v>
      </c>
      <c r="I377" s="1">
        <f ca="1">IFERROR(__xludf.DUMMYFUNCTION("""COMPUTED_VALUE"""),0)</f>
        <v>0</v>
      </c>
      <c r="J377" s="1">
        <f ca="1">IFERROR(__xludf.DUMMYFUNCTION("""COMPUTED_VALUE"""),0)</f>
        <v>0</v>
      </c>
      <c r="K377" s="1" t="str">
        <f ca="1">IFERROR(__xludf.DUMMYFUNCTION("""COMPUTED_VALUE"""),"Winter")</f>
        <v>Winter</v>
      </c>
      <c r="L377" s="1" t="str">
        <f ca="1">IFERROR(__xludf.DUMMYFUNCTION("""COMPUTED_VALUE"""),"Estes Park")</f>
        <v>Estes Park</v>
      </c>
      <c r="M377" s="1" t="str">
        <f ca="1">IFERROR(__xludf.DUMMYFUNCTION("""COMPUTED_VALUE"""),"CO")</f>
        <v>CO</v>
      </c>
      <c r="N377" s="1" t="str">
        <f ca="1">IFERROR(__xludf.DUMMYFUNCTION("""COMPUTED_VALUE"""),"Elementary")</f>
        <v>Elementary</v>
      </c>
      <c r="O377" s="1" t="str">
        <f ca="1">IFERROR(__xludf.DUMMYFUNCTION("""COMPUTED_VALUE"""),"Inside School Building")</f>
        <v>Inside School Building</v>
      </c>
      <c r="P377" s="1" t="str">
        <f ca="1">IFERROR(__xludf.DUMMYFUNCTION("""COMPUTED_VALUE"""),"Inside School Building")</f>
        <v>Inside School Building</v>
      </c>
      <c r="Q377" s="1" t="str">
        <f ca="1">IFERROR(__xludf.DUMMYFUNCTION("""COMPUTED_VALUE"""),"Yes")</f>
        <v>Yes</v>
      </c>
      <c r="R377" s="1" t="str">
        <f ca="1">IFERROR(__xludf.DUMMYFUNCTION("""COMPUTED_VALUE"""),"Morning Classes")</f>
        <v>Morning Classes</v>
      </c>
      <c r="S377" s="5">
        <f ca="1">IFERROR(__xludf.DUMMYFUNCTION("""COMPUTED_VALUE"""),0.390972222222222)</f>
        <v>0.390972222222222</v>
      </c>
      <c r="T377" s="1">
        <f ca="1">IFERROR(__xludf.DUMMYFUNCTION("""COMPUTED_VALUE"""),1)</f>
        <v>1</v>
      </c>
      <c r="U377" s="1" t="str">
        <f ca="1">IFERROR(__xludf.DUMMYFUNCTION("""COMPUTED_VALUE"""),"Officer fired round into floor during swatting response")</f>
        <v>Officer fired round into floor during swatting response</v>
      </c>
      <c r="V377" s="1" t="str">
        <f ca="1">IFERROR(__xludf.DUMMYFUNCTION("""COMPUTED_VALUE"""),"During its investigation at the Estes Park Schools, an Estes Park Police officer accidentally discharged one round into the floor at the Elementary School. No one was injured. Other officers were in the building to assist, including officers from the Nati"&amp;"onal Park Service and Larimer County Sheriff’s Office. There were no students or School District personnel present in the school at the time of the discharge. The Police Department is reviewing its response to this call and the subsequent accidental disch"&amp;"arge.")</f>
        <v>During its investigation at the Estes Park Schools, an Estes Park Police officer accidentally discharged one round into the floor at the Elementary School. No one was injured. Other officers were in the building to assist, including officers from the National Park Service and Larimer County Sheriff’s Office. There were no students or School District personnel present in the school at the time of the discharge. The Police Department is reviewing its response to this call and the subsequent accidental discharge.</v>
      </c>
      <c r="W377" s="1" t="str">
        <f ca="1">IFERROR(__xludf.DUMMYFUNCTION("""COMPUTED_VALUE"""),"Accidental")</f>
        <v>Accidental</v>
      </c>
      <c r="X377" s="1" t="str">
        <f ca="1">IFERROR(__xludf.DUMMYFUNCTION("""COMPUTED_VALUE"""),"Neither")</f>
        <v>Neither</v>
      </c>
      <c r="Y377" s="1" t="str">
        <f ca="1">IFERROR(__xludf.DUMMYFUNCTION("""COMPUTED_VALUE"""),"No")</f>
        <v>No</v>
      </c>
      <c r="Z377" s="1"/>
      <c r="AA377" s="1" t="str">
        <f ca="1">IFERROR(__xludf.DUMMYFUNCTION("""COMPUTED_VALUE"""),"No")</f>
        <v>No</v>
      </c>
      <c r="AB377" s="1" t="str">
        <f ca="1">IFERROR(__xludf.DUMMYFUNCTION("""COMPUTED_VALUE"""),"No")</f>
        <v>No</v>
      </c>
      <c r="AC377" s="1" t="str">
        <f ca="1">IFERROR(__xludf.DUMMYFUNCTION("""COMPUTED_VALUE"""),"Yes")</f>
        <v>Yes</v>
      </c>
      <c r="AD377" s="1" t="str">
        <f ca="1">IFERROR(__xludf.DUMMYFUNCTION("""COMPUTED_VALUE"""),"No")</f>
        <v>No</v>
      </c>
      <c r="AE377" s="1" t="str">
        <f ca="1">IFERROR(__xludf.DUMMYFUNCTION("""COMPUTED_VALUE"""),"No")</f>
        <v>No</v>
      </c>
      <c r="AF377" s="1" t="str">
        <f ca="1">IFERROR(__xludf.DUMMYFUNCTION("""COMPUTED_VALUE"""),"No")</f>
        <v>No</v>
      </c>
      <c r="AG377" s="1" t="str">
        <f ca="1">IFERROR(__xludf.DUMMYFUNCTION("""COMPUTED_VALUE"""),"No")</f>
        <v>No</v>
      </c>
      <c r="AH377" s="1">
        <f ca="1">IFERROR(__xludf.DUMMYFUNCTION("""COMPUTED_VALUE"""),1)</f>
        <v>1</v>
      </c>
    </row>
    <row r="378" spans="1:34" ht="12.5">
      <c r="A378" s="1" t="str">
        <f ca="1">IFERROR(__xludf.DUMMYFUNCTION("""COMPUTED_VALUE"""),"20230221LARUR")</f>
        <v>20230221LARUR</v>
      </c>
      <c r="B378" s="1">
        <f ca="1">IFERROR(__xludf.DUMMYFUNCTION("""COMPUTED_VALUE"""),2)</f>
        <v>2</v>
      </c>
      <c r="C378" s="1">
        <f ca="1">IFERROR(__xludf.DUMMYFUNCTION("""COMPUTED_VALUE"""),21)</f>
        <v>21</v>
      </c>
      <c r="D378" s="1">
        <f ca="1">IFERROR(__xludf.DUMMYFUNCTION("""COMPUTED_VALUE"""),2023)</f>
        <v>2023</v>
      </c>
      <c r="E378" s="4">
        <f ca="1">IFERROR(__xludf.DUMMYFUNCTION("""COMPUTED_VALUE"""),44978)</f>
        <v>44978</v>
      </c>
      <c r="F378" s="1" t="str">
        <f ca="1">IFERROR(__xludf.DUMMYFUNCTION("""COMPUTED_VALUE"""),"Ruston High School")</f>
        <v>Ruston High School</v>
      </c>
      <c r="G378" s="1">
        <f ca="1">IFERROR(__xludf.DUMMYFUNCTION("""COMPUTED_VALUE"""),0)</f>
        <v>0</v>
      </c>
      <c r="H378" s="1">
        <f ca="1">IFERROR(__xludf.DUMMYFUNCTION("""COMPUTED_VALUE"""),0)</f>
        <v>0</v>
      </c>
      <c r="I378" s="1">
        <f ca="1">IFERROR(__xludf.DUMMYFUNCTION("""COMPUTED_VALUE"""),0)</f>
        <v>0</v>
      </c>
      <c r="J378" s="1">
        <f ca="1">IFERROR(__xludf.DUMMYFUNCTION("""COMPUTED_VALUE"""),0)</f>
        <v>0</v>
      </c>
      <c r="K378" s="1" t="str">
        <f ca="1">IFERROR(__xludf.DUMMYFUNCTION("""COMPUTED_VALUE"""),"Winter")</f>
        <v>Winter</v>
      </c>
      <c r="L378" s="1" t="str">
        <f ca="1">IFERROR(__xludf.DUMMYFUNCTION("""COMPUTED_VALUE"""),"Ruston")</f>
        <v>Ruston</v>
      </c>
      <c r="M378" s="1" t="str">
        <f ca="1">IFERROR(__xludf.DUMMYFUNCTION("""COMPUTED_VALUE"""),"LA")</f>
        <v>LA</v>
      </c>
      <c r="N378" s="1" t="str">
        <f ca="1">IFERROR(__xludf.DUMMYFUNCTION("""COMPUTED_VALUE"""),"High")</f>
        <v>High</v>
      </c>
      <c r="O378" s="1" t="str">
        <f ca="1">IFERROR(__xludf.DUMMYFUNCTION("""COMPUTED_VALUE"""),"Field (General)")</f>
        <v>Field (General)</v>
      </c>
      <c r="P378" s="1" t="str">
        <f ca="1">IFERROR(__xludf.DUMMYFUNCTION("""COMPUTED_VALUE"""),"Outside on School Property")</f>
        <v>Outside on School Property</v>
      </c>
      <c r="Q378" s="1" t="str">
        <f ca="1">IFERROR(__xludf.DUMMYFUNCTION("""COMPUTED_VALUE"""),"No")</f>
        <v>No</v>
      </c>
      <c r="R378" s="1" t="str">
        <f ca="1">IFERROR(__xludf.DUMMYFUNCTION("""COMPUTED_VALUE"""),"Sport Event")</f>
        <v>Sport Event</v>
      </c>
      <c r="S378" s="5">
        <f ca="1">IFERROR(__xludf.DUMMYFUNCTION("""COMPUTED_VALUE"""),0.708333333333333)</f>
        <v>0.70833333333333304</v>
      </c>
      <c r="T378" s="1">
        <f ca="1">IFERROR(__xludf.DUMMYFUNCTION("""COMPUTED_VALUE"""),1)</f>
        <v>1</v>
      </c>
      <c r="U378" s="1" t="str">
        <f ca="1">IFERROR(__xludf.DUMMYFUNCTION("""COMPUTED_VALUE"""),"Bullet struck dugout during girls softball game")</f>
        <v>Bullet struck dugout during girls softball game</v>
      </c>
      <c r="V378" s="1" t="str">
        <f ca="1">IFERROR(__xludf.DUMMYFUNCTION("""COMPUTED_VALUE"""),"Bullet struck the dugout where high school softball players were sitting. Witnesses reported hearing gunshots off in the distance, then a bullet hit a dugout, authorities said. You can see where it cut through the plastic dugout barrier and struck a metal"&amp;" pole, stopping it from hitting any of the players.")</f>
        <v>Bullet struck the dugout where high school softball players were sitting. Witnesses reported hearing gunshots off in the distance, then a bullet hit a dugout, authorities said. You can see where it cut through the plastic dugout barrier and struck a metal pole, stopping it from hitting any of the players.</v>
      </c>
      <c r="W378" s="1" t="str">
        <f ca="1">IFERROR(__xludf.DUMMYFUNCTION("""COMPUTED_VALUE"""),"Accidental")</f>
        <v>Accidental</v>
      </c>
      <c r="X378" s="1" t="str">
        <f ca="1">IFERROR(__xludf.DUMMYFUNCTION("""COMPUTED_VALUE"""),"Neither")</f>
        <v>Neither</v>
      </c>
      <c r="Y378" s="1"/>
      <c r="Z378" s="1"/>
      <c r="AA378" s="1" t="str">
        <f ca="1">IFERROR(__xludf.DUMMYFUNCTION("""COMPUTED_VALUE"""),"No")</f>
        <v>No</v>
      </c>
      <c r="AB378" s="1" t="str">
        <f ca="1">IFERROR(__xludf.DUMMYFUNCTION("""COMPUTED_VALUE"""),"No")</f>
        <v>No</v>
      </c>
      <c r="AC378" s="1" t="str">
        <f ca="1">IFERROR(__xludf.DUMMYFUNCTION("""COMPUTED_VALUE"""),"No")</f>
        <v>No</v>
      </c>
      <c r="AD378" s="1" t="str">
        <f ca="1">IFERROR(__xludf.DUMMYFUNCTION("""COMPUTED_VALUE"""),"No")</f>
        <v>No</v>
      </c>
      <c r="AE378" s="1" t="str">
        <f ca="1">IFERROR(__xludf.DUMMYFUNCTION("""COMPUTED_VALUE"""),"No")</f>
        <v>No</v>
      </c>
      <c r="AF378" s="1" t="str">
        <f ca="1">IFERROR(__xludf.DUMMYFUNCTION("""COMPUTED_VALUE"""),"No")</f>
        <v>No</v>
      </c>
      <c r="AG378" s="1" t="str">
        <f ca="1">IFERROR(__xludf.DUMMYFUNCTION("""COMPUTED_VALUE"""),"No")</f>
        <v>No</v>
      </c>
      <c r="AH378" s="1">
        <f ca="1">IFERROR(__xludf.DUMMYFUNCTION("""COMPUTED_VALUE"""),99)</f>
        <v>99</v>
      </c>
    </row>
    <row r="379" spans="1:34" ht="12.5">
      <c r="A379" s="1" t="str">
        <f ca="1">IFERROR(__xludf.DUMMYFUNCTION("""COMPUTED_VALUE"""),"20230217NCERE")</f>
        <v>20230217NCERE</v>
      </c>
      <c r="B379" s="1">
        <f ca="1">IFERROR(__xludf.DUMMYFUNCTION("""COMPUTED_VALUE"""),2)</f>
        <v>2</v>
      </c>
      <c r="C379" s="1">
        <f ca="1">IFERROR(__xludf.DUMMYFUNCTION("""COMPUTED_VALUE"""),17)</f>
        <v>17</v>
      </c>
      <c r="D379" s="1">
        <f ca="1">IFERROR(__xludf.DUMMYFUNCTION("""COMPUTED_VALUE"""),2023)</f>
        <v>2023</v>
      </c>
      <c r="E379" s="4">
        <f ca="1">IFERROR(__xludf.DUMMYFUNCTION("""COMPUTED_VALUE"""),44974)</f>
        <v>44974</v>
      </c>
      <c r="F379" s="1" t="str">
        <f ca="1">IFERROR(__xludf.DUMMYFUNCTION("""COMPUTED_VALUE"""),"Erwin Elementary School")</f>
        <v>Erwin Elementary School</v>
      </c>
      <c r="G379" s="1">
        <f ca="1">IFERROR(__xludf.DUMMYFUNCTION("""COMPUTED_VALUE"""),0)</f>
        <v>0</v>
      </c>
      <c r="H379" s="1">
        <f ca="1">IFERROR(__xludf.DUMMYFUNCTION("""COMPUTED_VALUE"""),0)</f>
        <v>0</v>
      </c>
      <c r="I379" s="1">
        <f ca="1">IFERROR(__xludf.DUMMYFUNCTION("""COMPUTED_VALUE"""),0)</f>
        <v>0</v>
      </c>
      <c r="J379" s="1">
        <f ca="1">IFERROR(__xludf.DUMMYFUNCTION("""COMPUTED_VALUE"""),0)</f>
        <v>0</v>
      </c>
      <c r="K379" s="1" t="str">
        <f ca="1">IFERROR(__xludf.DUMMYFUNCTION("""COMPUTED_VALUE"""),"Winter")</f>
        <v>Winter</v>
      </c>
      <c r="L379" s="1" t="str">
        <f ca="1">IFERROR(__xludf.DUMMYFUNCTION("""COMPUTED_VALUE"""),"Erwin")</f>
        <v>Erwin</v>
      </c>
      <c r="M379" s="1" t="str">
        <f ca="1">IFERROR(__xludf.DUMMYFUNCTION("""COMPUTED_VALUE"""),"NC")</f>
        <v>NC</v>
      </c>
      <c r="N379" s="1" t="str">
        <f ca="1">IFERROR(__xludf.DUMMYFUNCTION("""COMPUTED_VALUE"""),"Elementary")</f>
        <v>Elementary</v>
      </c>
      <c r="O379" s="1" t="str">
        <f ca="1">IFERROR(__xludf.DUMMYFUNCTION("""COMPUTED_VALUE"""),"Bathroom")</f>
        <v>Bathroom</v>
      </c>
      <c r="P379" s="1" t="str">
        <f ca="1">IFERROR(__xludf.DUMMYFUNCTION("""COMPUTED_VALUE"""),"Outside on School Property")</f>
        <v>Outside on School Property</v>
      </c>
      <c r="Q379" s="1" t="str">
        <f ca="1">IFERROR(__xludf.DUMMYFUNCTION("""COMPUTED_VALUE"""),"Yes")</f>
        <v>Yes</v>
      </c>
      <c r="R379" s="1" t="str">
        <f ca="1">IFERROR(__xludf.DUMMYFUNCTION("""COMPUTED_VALUE"""),"Morning Classes")</f>
        <v>Morning Classes</v>
      </c>
      <c r="S379" s="5">
        <f ca="1">IFERROR(__xludf.DUMMYFUNCTION("""COMPUTED_VALUE"""),0.486111111111111)</f>
        <v>0.48611111111111099</v>
      </c>
      <c r="T379" s="1">
        <f ca="1">IFERROR(__xludf.DUMMYFUNCTION("""COMPUTED_VALUE"""),1)</f>
        <v>1</v>
      </c>
      <c r="U379" s="1" t="str">
        <f ca="1">IFERROR(__xludf.DUMMYFUNCTION("""COMPUTED_VALUE"""),"4th grade student pointed a loaded gun at another student in the bathroom, detained by SRO")</f>
        <v>4th grade student pointed a loaded gun at another student in the bathroom, detained by SRO</v>
      </c>
      <c r="V379" s="1" t="str">
        <f ca="1">IFERROR(__xludf.DUMMYFUNCTION("""COMPUTED_VALUE"""),"A loaded handgun was found on campus at Erwin Elementary School on Friday morning, according to the police chief. A school resource officer inside of Erwin Elementary School and other staff were told a fourth grader had a gun in their bag. The weapon was "&amp;"reported by other students after the student pointed it at another student in the bathroom. A loaded handgun was found in a fourth grade student’s backpack around 11:40 a.m. Friday morning, according to Police Chief Johnathan Johnson.")</f>
        <v>A loaded handgun was found on campus at Erwin Elementary School on Friday morning, according to the police chief. A school resource officer inside of Erwin Elementary School and other staff were told a fourth grader had a gun in their bag. The weapon was reported by other students after the student pointed it at another student in the bathroom. A loaded handgun was found in a fourth grade student’s backpack around 11:40 a.m. Friday morning, according to Police Chief Johnathan Johnson.</v>
      </c>
      <c r="W379" s="1"/>
      <c r="X379" s="1" t="str">
        <f ca="1">IFERROR(__xludf.DUMMYFUNCTION("""COMPUTED_VALUE"""),"Victims Targeted")</f>
        <v>Victims Targeted</v>
      </c>
      <c r="Y379" s="1" t="str">
        <f ca="1">IFERROR(__xludf.DUMMYFUNCTION("""COMPUTED_VALUE"""),"No")</f>
        <v>No</v>
      </c>
      <c r="Z379" s="1"/>
      <c r="AA379" s="1" t="str">
        <f ca="1">IFERROR(__xludf.DUMMYFUNCTION("""COMPUTED_VALUE"""),"No")</f>
        <v>No</v>
      </c>
      <c r="AB379" s="1" t="str">
        <f ca="1">IFERROR(__xludf.DUMMYFUNCTION("""COMPUTED_VALUE"""),"No")</f>
        <v>No</v>
      </c>
      <c r="AC379" s="1" t="str">
        <f ca="1">IFERROR(__xludf.DUMMYFUNCTION("""COMPUTED_VALUE"""),"No")</f>
        <v>No</v>
      </c>
      <c r="AD379" s="1"/>
      <c r="AE379" s="1" t="str">
        <f ca="1">IFERROR(__xludf.DUMMYFUNCTION("""COMPUTED_VALUE"""),"No")</f>
        <v>No</v>
      </c>
      <c r="AF379" s="1" t="str">
        <f ca="1">IFERROR(__xludf.DUMMYFUNCTION("""COMPUTED_VALUE"""),"No")</f>
        <v>No</v>
      </c>
      <c r="AG379" s="1" t="str">
        <f ca="1">IFERROR(__xludf.DUMMYFUNCTION("""COMPUTED_VALUE"""),"No")</f>
        <v>No</v>
      </c>
      <c r="AH379" s="1">
        <f ca="1">IFERROR(__xludf.DUMMYFUNCTION("""COMPUTED_VALUE"""),0)</f>
        <v>0</v>
      </c>
    </row>
    <row r="380" spans="1:34" ht="12.5">
      <c r="A380" s="1" t="str">
        <f ca="1">IFERROR(__xludf.DUMMYFUNCTION("""COMPUTED_VALUE"""),"20230217ILCAC")</f>
        <v>20230217ILCAC</v>
      </c>
      <c r="B380" s="1">
        <f ca="1">IFERROR(__xludf.DUMMYFUNCTION("""COMPUTED_VALUE"""),2)</f>
        <v>2</v>
      </c>
      <c r="C380" s="1">
        <f ca="1">IFERROR(__xludf.DUMMYFUNCTION("""COMPUTED_VALUE"""),17)</f>
        <v>17</v>
      </c>
      <c r="D380" s="1">
        <f ca="1">IFERROR(__xludf.DUMMYFUNCTION("""COMPUTED_VALUE"""),2023)</f>
        <v>2023</v>
      </c>
      <c r="E380" s="4">
        <f ca="1">IFERROR(__xludf.DUMMYFUNCTION("""COMPUTED_VALUE"""),44974)</f>
        <v>44974</v>
      </c>
      <c r="F380" s="1" t="str">
        <f ca="1">IFERROR(__xludf.DUMMYFUNCTION("""COMPUTED_VALUE"""),"Catalyst Circle Rock Charter School")</f>
        <v>Catalyst Circle Rock Charter School</v>
      </c>
      <c r="G380" s="1">
        <f ca="1">IFERROR(__xludf.DUMMYFUNCTION("""COMPUTED_VALUE"""),0)</f>
        <v>0</v>
      </c>
      <c r="H380" s="1">
        <f ca="1">IFERROR(__xludf.DUMMYFUNCTION("""COMPUTED_VALUE"""),1)</f>
        <v>1</v>
      </c>
      <c r="I380" s="1">
        <f ca="1">IFERROR(__xludf.DUMMYFUNCTION("""COMPUTED_VALUE"""),1)</f>
        <v>1</v>
      </c>
      <c r="J380" s="1">
        <f ca="1">IFERROR(__xludf.DUMMYFUNCTION("""COMPUTED_VALUE"""),0)</f>
        <v>0</v>
      </c>
      <c r="K380" s="1" t="str">
        <f ca="1">IFERROR(__xludf.DUMMYFUNCTION("""COMPUTED_VALUE"""),"Winter")</f>
        <v>Winter</v>
      </c>
      <c r="L380" s="1" t="str">
        <f ca="1">IFERROR(__xludf.DUMMYFUNCTION("""COMPUTED_VALUE"""),"Chicago")</f>
        <v>Chicago</v>
      </c>
      <c r="M380" s="1" t="str">
        <f ca="1">IFERROR(__xludf.DUMMYFUNCTION("""COMPUTED_VALUE"""),"IL")</f>
        <v>IL</v>
      </c>
      <c r="N380" s="1" t="str">
        <f ca="1">IFERROR(__xludf.DUMMYFUNCTION("""COMPUTED_VALUE"""),"K-12")</f>
        <v>K-12</v>
      </c>
      <c r="O380" s="1" t="str">
        <f ca="1">IFERROR(__xludf.DUMMYFUNCTION("""COMPUTED_VALUE"""),"Beside Building")</f>
        <v>Beside Building</v>
      </c>
      <c r="P380" s="1" t="str">
        <f ca="1">IFERROR(__xludf.DUMMYFUNCTION("""COMPUTED_VALUE"""),"Outside on School Property")</f>
        <v>Outside on School Property</v>
      </c>
      <c r="Q380" s="1" t="str">
        <f ca="1">IFERROR(__xludf.DUMMYFUNCTION("""COMPUTED_VALUE"""),"Yes")</f>
        <v>Yes</v>
      </c>
      <c r="R380" s="1" t="str">
        <f ca="1">IFERROR(__xludf.DUMMYFUNCTION("""COMPUTED_VALUE"""),"Dismissal")</f>
        <v>Dismissal</v>
      </c>
      <c r="S380" s="5">
        <f ca="1">IFERROR(__xludf.DUMMYFUNCTION("""COMPUTED_VALUE"""),0.679861111111111)</f>
        <v>0.67986111111111103</v>
      </c>
      <c r="T380" s="1">
        <f ca="1">IFERROR(__xludf.DUMMYFUNCTION("""COMPUTED_VALUE"""),1)</f>
        <v>1</v>
      </c>
      <c r="U380" s="1" t="str">
        <f ca="1">IFERROR(__xludf.DUMMYFUNCTION("""COMPUTED_VALUE"""),"Teenage girl shot beside school")</f>
        <v>Teenage girl shot beside school</v>
      </c>
      <c r="V380" s="1" t="str">
        <f ca="1">IFERROR(__xludf.DUMMYFUNCTION("""COMPUTED_VALUE""")," A 17-year-old girl was shot Friday afternoon outside of a charter school on Chicago's West Side, police said. The teen was shot in the leg when someone in a vehicle pulled up and fired shots at her as she walked along a sidewalk in the 5600-block of W. W"&amp;"ashington around 4:19 p.m., Chicago police said. The teen was taken to a local hospital in good condition, police said.")</f>
        <v xml:space="preserve"> A 17-year-old girl was shot Friday afternoon outside of a charter school on Chicago's West Side, police said. The teen was shot in the leg when someone in a vehicle pulled up and fired shots at her as she walked along a sidewalk in the 5600-block of W. Washington around 4:19 p.m., Chicago police said. The teen was taken to a local hospital in good condition, police said.</v>
      </c>
      <c r="W380" s="1" t="str">
        <f ca="1">IFERROR(__xludf.DUMMYFUNCTION("""COMPUTED_VALUE"""),"Drive-by Shooting")</f>
        <v>Drive-by Shooting</v>
      </c>
      <c r="X380" s="1" t="str">
        <f ca="1">IFERROR(__xludf.DUMMYFUNCTION("""COMPUTED_VALUE"""),"Victims Targeted")</f>
        <v>Victims Targeted</v>
      </c>
      <c r="Y380" s="1"/>
      <c r="Z380" s="1"/>
      <c r="AA380" s="1" t="str">
        <f ca="1">IFERROR(__xludf.DUMMYFUNCTION("""COMPUTED_VALUE"""),"No")</f>
        <v>No</v>
      </c>
      <c r="AB380" s="1" t="str">
        <f ca="1">IFERROR(__xludf.DUMMYFUNCTION("""COMPUTED_VALUE"""),"No")</f>
        <v>No</v>
      </c>
      <c r="AC380" s="1" t="str">
        <f ca="1">IFERROR(__xludf.DUMMYFUNCTION("""COMPUTED_VALUE"""),"No")</f>
        <v>No</v>
      </c>
      <c r="AD380" s="1" t="str">
        <f ca="1">IFERROR(__xludf.DUMMYFUNCTION("""COMPUTED_VALUE"""),"No")</f>
        <v>No</v>
      </c>
      <c r="AE380" s="1"/>
      <c r="AF380" s="1"/>
      <c r="AG380" s="1" t="str">
        <f ca="1">IFERROR(__xludf.DUMMYFUNCTION("""COMPUTED_VALUE"""),"No")</f>
        <v>No</v>
      </c>
      <c r="AH380" s="1">
        <f ca="1">IFERROR(__xludf.DUMMYFUNCTION("""COMPUTED_VALUE"""),99)</f>
        <v>99</v>
      </c>
    </row>
    <row r="381" spans="1:34" ht="12.5">
      <c r="A381" s="1" t="str">
        <f ca="1">IFERROR(__xludf.DUMMYFUNCTION("""COMPUTED_VALUE"""),"20230216TXGAG")</f>
        <v>20230216TXGAG</v>
      </c>
      <c r="B381" s="1">
        <f ca="1">IFERROR(__xludf.DUMMYFUNCTION("""COMPUTED_VALUE"""),2)</f>
        <v>2</v>
      </c>
      <c r="C381" s="1">
        <f ca="1">IFERROR(__xludf.DUMMYFUNCTION("""COMPUTED_VALUE"""),16)</f>
        <v>16</v>
      </c>
      <c r="D381" s="1">
        <f ca="1">IFERROR(__xludf.DUMMYFUNCTION("""COMPUTED_VALUE"""),2023)</f>
        <v>2023</v>
      </c>
      <c r="E381" s="4">
        <f ca="1">IFERROR(__xludf.DUMMYFUNCTION("""COMPUTED_VALUE"""),44973)</f>
        <v>44973</v>
      </c>
      <c r="F381" s="1" t="str">
        <f ca="1">IFERROR(__xludf.DUMMYFUNCTION("""COMPUTED_VALUE"""),"Galena Park High School")</f>
        <v>Galena Park High School</v>
      </c>
      <c r="G381" s="1">
        <f ca="1">IFERROR(__xludf.DUMMYFUNCTION("""COMPUTED_VALUE"""),1)</f>
        <v>1</v>
      </c>
      <c r="H381" s="1">
        <f ca="1">IFERROR(__xludf.DUMMYFUNCTION("""COMPUTED_VALUE"""),0)</f>
        <v>0</v>
      </c>
      <c r="I381" s="1">
        <f ca="1">IFERROR(__xludf.DUMMYFUNCTION("""COMPUTED_VALUE"""),1)</f>
        <v>1</v>
      </c>
      <c r="J381" s="1">
        <f ca="1">IFERROR(__xludf.DUMMYFUNCTION("""COMPUTED_VALUE"""),0)</f>
        <v>0</v>
      </c>
      <c r="K381" s="1" t="str">
        <f ca="1">IFERROR(__xludf.DUMMYFUNCTION("""COMPUTED_VALUE"""),"Winter")</f>
        <v>Winter</v>
      </c>
      <c r="L381" s="1" t="str">
        <f ca="1">IFERROR(__xludf.DUMMYFUNCTION("""COMPUTED_VALUE"""),"Galena Park")</f>
        <v>Galena Park</v>
      </c>
      <c r="M381" s="1" t="str">
        <f ca="1">IFERROR(__xludf.DUMMYFUNCTION("""COMPUTED_VALUE"""),"TX")</f>
        <v>TX</v>
      </c>
      <c r="N381" s="1" t="str">
        <f ca="1">IFERROR(__xludf.DUMMYFUNCTION("""COMPUTED_VALUE"""),"High")</f>
        <v>High</v>
      </c>
      <c r="O381" s="1" t="str">
        <f ca="1">IFERROR(__xludf.DUMMYFUNCTION("""COMPUTED_VALUE"""),"Parking Lot")</f>
        <v>Parking Lot</v>
      </c>
      <c r="P381" s="1" t="str">
        <f ca="1">IFERROR(__xludf.DUMMYFUNCTION("""COMPUTED_VALUE"""),"Outside on School Property")</f>
        <v>Outside on School Property</v>
      </c>
      <c r="Q381" s="1" t="str">
        <f ca="1">IFERROR(__xludf.DUMMYFUNCTION("""COMPUTED_VALUE"""),"No")</f>
        <v>No</v>
      </c>
      <c r="R381" s="1" t="str">
        <f ca="1">IFERROR(__xludf.DUMMYFUNCTION("""COMPUTED_VALUE"""),"Afternoon Classes")</f>
        <v>Afternoon Classes</v>
      </c>
      <c r="S381" s="5">
        <f ca="1">IFERROR(__xludf.DUMMYFUNCTION("""COMPUTED_VALUE"""),0.6875)</f>
        <v>0.6875</v>
      </c>
      <c r="T381" s="1">
        <f ca="1">IFERROR(__xludf.DUMMYFUNCTION("""COMPUTED_VALUE"""),1)</f>
        <v>1</v>
      </c>
      <c r="U381" s="1" t="str">
        <f ca="1">IFERROR(__xludf.DUMMYFUNCTION("""COMPUTED_VALUE"""),"Student fatally shot in school parking lot")</f>
        <v>Student fatally shot in school parking lot</v>
      </c>
      <c r="V381" s="1" t="str">
        <f ca="1">IFERROR(__xludf.DUMMYFUNCTION("""COMPUTED_VALUE"""),"17-year-old was shot multiple times in the school parking lot and died at the hospital. Police believe the shooting was drug related. 17-year-old arrested. Victim was a student at the school.")</f>
        <v>17-year-old was shot multiple times in the school parking lot and died at the hospital. Police believe the shooting was drug related. 17-year-old arrested. Victim was a student at the school.</v>
      </c>
      <c r="W381" s="1" t="str">
        <f ca="1">IFERROR(__xludf.DUMMYFUNCTION("""COMPUTED_VALUE"""),"Illegal Activity")</f>
        <v>Illegal Activity</v>
      </c>
      <c r="X381" s="1" t="str">
        <f ca="1">IFERROR(__xludf.DUMMYFUNCTION("""COMPUTED_VALUE"""),"Victims Targeted")</f>
        <v>Victims Targeted</v>
      </c>
      <c r="Y381" s="1" t="str">
        <f ca="1">IFERROR(__xludf.DUMMYFUNCTION("""COMPUTED_VALUE"""),"Yes")</f>
        <v>Yes</v>
      </c>
      <c r="Z381" s="1" t="str">
        <f ca="1">IFERROR(__xludf.DUMMYFUNCTION("""COMPUTED_VALUE"""),"Two teens fled")</f>
        <v>Two teens fled</v>
      </c>
      <c r="AA381" s="1" t="str">
        <f ca="1">IFERROR(__xludf.DUMMYFUNCTION("""COMPUTED_VALUE"""),"No")</f>
        <v>No</v>
      </c>
      <c r="AB381" s="1" t="str">
        <f ca="1">IFERROR(__xludf.DUMMYFUNCTION("""COMPUTED_VALUE"""),"No")</f>
        <v>No</v>
      </c>
      <c r="AC381" s="1" t="str">
        <f ca="1">IFERROR(__xludf.DUMMYFUNCTION("""COMPUTED_VALUE"""),"No")</f>
        <v>No</v>
      </c>
      <c r="AD381" s="1" t="str">
        <f ca="1">IFERROR(__xludf.DUMMYFUNCTION("""COMPUTED_VALUE"""),"No")</f>
        <v>No</v>
      </c>
      <c r="AE381" s="1" t="str">
        <f ca="1">IFERROR(__xludf.DUMMYFUNCTION("""COMPUTED_VALUE"""),"No")</f>
        <v>No</v>
      </c>
      <c r="AF381" s="1" t="str">
        <f ca="1">IFERROR(__xludf.DUMMYFUNCTION("""COMPUTED_VALUE"""),"No")</f>
        <v>No</v>
      </c>
      <c r="AG381" s="1" t="str">
        <f ca="1">IFERROR(__xludf.DUMMYFUNCTION("""COMPUTED_VALUE"""),"No")</f>
        <v>No</v>
      </c>
      <c r="AH381" s="1">
        <f ca="1">IFERROR(__xludf.DUMMYFUNCTION("""COMPUTED_VALUE"""),3)</f>
        <v>3</v>
      </c>
    </row>
    <row r="382" spans="1:34" ht="12.5">
      <c r="A382" s="1" t="str">
        <f ca="1">IFERROR(__xludf.DUMMYFUNCTION("""COMPUTED_VALUE"""),"20230215TXDAH")</f>
        <v>20230215TXDAH</v>
      </c>
      <c r="B382" s="1">
        <f ca="1">IFERROR(__xludf.DUMMYFUNCTION("""COMPUTED_VALUE"""),2)</f>
        <v>2</v>
      </c>
      <c r="C382" s="1">
        <f ca="1">IFERROR(__xludf.DUMMYFUNCTION("""COMPUTED_VALUE"""),15)</f>
        <v>15</v>
      </c>
      <c r="D382" s="1">
        <f ca="1">IFERROR(__xludf.DUMMYFUNCTION("""COMPUTED_VALUE"""),2023)</f>
        <v>2023</v>
      </c>
      <c r="E382" s="4">
        <f ca="1">IFERROR(__xludf.DUMMYFUNCTION("""COMPUTED_VALUE"""),44972)</f>
        <v>44972</v>
      </c>
      <c r="F382" s="1" t="str">
        <f ca="1">IFERROR(__xludf.DUMMYFUNCTION("""COMPUTED_VALUE"""),"Davis High School")</f>
        <v>Davis High School</v>
      </c>
      <c r="G382" s="1">
        <f ca="1">IFERROR(__xludf.DUMMYFUNCTION("""COMPUTED_VALUE"""),0)</f>
        <v>0</v>
      </c>
      <c r="H382" s="1">
        <f ca="1">IFERROR(__xludf.DUMMYFUNCTION("""COMPUTED_VALUE"""),0)</f>
        <v>0</v>
      </c>
      <c r="I382" s="1">
        <f ca="1">IFERROR(__xludf.DUMMYFUNCTION("""COMPUTED_VALUE"""),0)</f>
        <v>0</v>
      </c>
      <c r="J382" s="1">
        <f ca="1">IFERROR(__xludf.DUMMYFUNCTION("""COMPUTED_VALUE"""),0)</f>
        <v>0</v>
      </c>
      <c r="K382" s="1" t="str">
        <f ca="1">IFERROR(__xludf.DUMMYFUNCTION("""COMPUTED_VALUE"""),"Winter")</f>
        <v>Winter</v>
      </c>
      <c r="L382" s="1" t="str">
        <f ca="1">IFERROR(__xludf.DUMMYFUNCTION("""COMPUTED_VALUE"""),"Houston")</f>
        <v>Houston</v>
      </c>
      <c r="M382" s="1" t="str">
        <f ca="1">IFERROR(__xludf.DUMMYFUNCTION("""COMPUTED_VALUE"""),"TX")</f>
        <v>TX</v>
      </c>
      <c r="N382" s="1" t="str">
        <f ca="1">IFERROR(__xludf.DUMMYFUNCTION("""COMPUTED_VALUE"""),"High")</f>
        <v>High</v>
      </c>
      <c r="O382" s="1" t="str">
        <f ca="1">IFERROR(__xludf.DUMMYFUNCTION("""COMPUTED_VALUE"""),"Parking Lot")</f>
        <v>Parking Lot</v>
      </c>
      <c r="P382" s="1" t="str">
        <f ca="1">IFERROR(__xludf.DUMMYFUNCTION("""COMPUTED_VALUE"""),"Outside on School Property")</f>
        <v>Outside on School Property</v>
      </c>
      <c r="Q382" s="1" t="str">
        <f ca="1">IFERROR(__xludf.DUMMYFUNCTION("""COMPUTED_VALUE"""),"No")</f>
        <v>No</v>
      </c>
      <c r="R382" s="1" t="str">
        <f ca="1">IFERROR(__xludf.DUMMYFUNCTION("""COMPUTED_VALUE"""),"Sport Event")</f>
        <v>Sport Event</v>
      </c>
      <c r="S382" s="5">
        <f ca="1">IFERROR(__xludf.DUMMYFUNCTION("""COMPUTED_VALUE"""),0.864583333333333)</f>
        <v>0.86458333333333304</v>
      </c>
      <c r="T382" s="1">
        <f ca="1">IFERROR(__xludf.DUMMYFUNCTION("""COMPUTED_VALUE"""),1)</f>
        <v>1</v>
      </c>
      <c r="U382" s="1" t="str">
        <f ca="1">IFERROR(__xludf.DUMMYFUNCTION("""COMPUTED_VALUE"""),"Officer fired shots after someone pointed a gun at him during fight in the school parking lot after basketball game")</f>
        <v>Officer fired shots after someone pointed a gun at him during fight in the school parking lot after basketball game</v>
      </c>
      <c r="V382" s="1" t="str">
        <f ca="1">IFERROR(__xludf.DUMMYFUNCTION("""COMPUTED_VALUE"""),"An Aldine ISD police officer fired his gun after a suspect pointed a handgun at him in north Harris County. The incident happened around 8:45 p.m. Wednesday night at Davis High School, located on 12525 Ella Boulevard. According to the report, a fight brok"&amp;"e out in the parking lot. The AISD police officer fired one shot after a passenger in a black four-door sedan pointed a gun at him. The vehicle then fled the scene. It is unknown if anyone in the sedan was hit.")</f>
        <v>An Aldine ISD police officer fired his gun after a suspect pointed a handgun at him in north Harris County. The incident happened around 8:45 p.m. Wednesday night at Davis High School, located on 12525 Ella Boulevard. According to the report, a fight broke out in the parking lot. The AISD police officer fired one shot after a passenger in a black four-door sedan pointed a gun at him. The vehicle then fled the scene. It is unknown if anyone in the sedan was hit.</v>
      </c>
      <c r="W382" s="1" t="str">
        <f ca="1">IFERROR(__xludf.DUMMYFUNCTION("""COMPUTED_VALUE"""),"Escalation of Dispute")</f>
        <v>Escalation of Dispute</v>
      </c>
      <c r="X382" s="1" t="str">
        <f ca="1">IFERROR(__xludf.DUMMYFUNCTION("""COMPUTED_VALUE"""),"Both")</f>
        <v>Both</v>
      </c>
      <c r="Y382" s="1"/>
      <c r="Z382" s="1"/>
      <c r="AA382" s="1" t="str">
        <f ca="1">IFERROR(__xludf.DUMMYFUNCTION("""COMPUTED_VALUE"""),"No")</f>
        <v>No</v>
      </c>
      <c r="AB382" s="1" t="str">
        <f ca="1">IFERROR(__xludf.DUMMYFUNCTION("""COMPUTED_VALUE"""),"No")</f>
        <v>No</v>
      </c>
      <c r="AC382" s="1" t="str">
        <f ca="1">IFERROR(__xludf.DUMMYFUNCTION("""COMPUTED_VALUE"""),"No")</f>
        <v>No</v>
      </c>
      <c r="AD382" s="1"/>
      <c r="AE382" s="1" t="str">
        <f ca="1">IFERROR(__xludf.DUMMYFUNCTION("""COMPUTED_VALUE"""),"No")</f>
        <v>No</v>
      </c>
      <c r="AF382" s="1" t="str">
        <f ca="1">IFERROR(__xludf.DUMMYFUNCTION("""COMPUTED_VALUE"""),"No")</f>
        <v>No</v>
      </c>
      <c r="AG382" s="1" t="str">
        <f ca="1">IFERROR(__xludf.DUMMYFUNCTION("""COMPUTED_VALUE"""),"No")</f>
        <v>No</v>
      </c>
      <c r="AH382" s="1">
        <f ca="1">IFERROR(__xludf.DUMMYFUNCTION("""COMPUTED_VALUE"""),99)</f>
        <v>99</v>
      </c>
    </row>
    <row r="383" spans="1:34" ht="12.5">
      <c r="A383" s="1" t="str">
        <f ca="1">IFERROR(__xludf.DUMMYFUNCTION("""COMPUTED_VALUE"""),"20230215OHCOC")</f>
        <v>20230215OHCOC</v>
      </c>
      <c r="B383" s="1">
        <f ca="1">IFERROR(__xludf.DUMMYFUNCTION("""COMPUTED_VALUE"""),2)</f>
        <v>2</v>
      </c>
      <c r="C383" s="1">
        <f ca="1">IFERROR(__xludf.DUMMYFUNCTION("""COMPUTED_VALUE"""),15)</f>
        <v>15</v>
      </c>
      <c r="D383" s="1">
        <f ca="1">IFERROR(__xludf.DUMMYFUNCTION("""COMPUTED_VALUE"""),2023)</f>
        <v>2023</v>
      </c>
      <c r="E383" s="4">
        <f ca="1">IFERROR(__xludf.DUMMYFUNCTION("""COMPUTED_VALUE"""),44972)</f>
        <v>44972</v>
      </c>
      <c r="F383" s="1" t="str">
        <f ca="1">IFERROR(__xludf.DUMMYFUNCTION("""COMPUTED_VALUE"""),"Collinwood High School")</f>
        <v>Collinwood High School</v>
      </c>
      <c r="G383" s="1">
        <f ca="1">IFERROR(__xludf.DUMMYFUNCTION("""COMPUTED_VALUE"""),0)</f>
        <v>0</v>
      </c>
      <c r="H383" s="1">
        <f ca="1">IFERROR(__xludf.DUMMYFUNCTION("""COMPUTED_VALUE"""),0)</f>
        <v>0</v>
      </c>
      <c r="I383" s="1">
        <f ca="1">IFERROR(__xludf.DUMMYFUNCTION("""COMPUTED_VALUE"""),0)</f>
        <v>0</v>
      </c>
      <c r="J383" s="1">
        <f ca="1">IFERROR(__xludf.DUMMYFUNCTION("""COMPUTED_VALUE"""),0)</f>
        <v>0</v>
      </c>
      <c r="K383" s="1" t="str">
        <f ca="1">IFERROR(__xludf.DUMMYFUNCTION("""COMPUTED_VALUE"""),"Winter")</f>
        <v>Winter</v>
      </c>
      <c r="L383" s="1" t="str">
        <f ca="1">IFERROR(__xludf.DUMMYFUNCTION("""COMPUTED_VALUE"""),"Cleveland")</f>
        <v>Cleveland</v>
      </c>
      <c r="M383" s="1" t="str">
        <f ca="1">IFERROR(__xludf.DUMMYFUNCTION("""COMPUTED_VALUE"""),"OH")</f>
        <v>OH</v>
      </c>
      <c r="N383" s="1" t="str">
        <f ca="1">IFERROR(__xludf.DUMMYFUNCTION("""COMPUTED_VALUE"""),"High")</f>
        <v>High</v>
      </c>
      <c r="O383" s="1" t="str">
        <f ca="1">IFERROR(__xludf.DUMMYFUNCTION("""COMPUTED_VALUE"""),"Front of School")</f>
        <v>Front of School</v>
      </c>
      <c r="P383" s="1" t="str">
        <f ca="1">IFERROR(__xludf.DUMMYFUNCTION("""COMPUTED_VALUE"""),"Outside on School Property")</f>
        <v>Outside on School Property</v>
      </c>
      <c r="Q383" s="1" t="str">
        <f ca="1">IFERROR(__xludf.DUMMYFUNCTION("""COMPUTED_VALUE"""),"Yes")</f>
        <v>Yes</v>
      </c>
      <c r="R383" s="1" t="str">
        <f ca="1">IFERROR(__xludf.DUMMYFUNCTION("""COMPUTED_VALUE"""),"Morning Classes")</f>
        <v>Morning Classes</v>
      </c>
      <c r="S383" s="5">
        <f ca="1">IFERROR(__xludf.DUMMYFUNCTION("""COMPUTED_VALUE"""),0.416666666666666)</f>
        <v>0.41666666666666602</v>
      </c>
      <c r="T383" s="1">
        <f ca="1">IFERROR(__xludf.DUMMYFUNCTION("""COMPUTED_VALUE"""),1)</f>
        <v>1</v>
      </c>
      <c r="U383" s="1" t="str">
        <f ca="1">IFERROR(__xludf.DUMMYFUNCTION("""COMPUTED_VALUE"""),"Shots fired a student, student ran into school then building locked down")</f>
        <v>Shots fired a student, student ran into school then building locked down</v>
      </c>
      <c r="V383" s="1" t="str">
        <f ca="1">IFERROR(__xludf.DUMMYFUNCTION("""COMPUTED_VALUE"""),"A student may have been the target of shots fired outside of Collinwood High School in Cleveland Wednesday morning, the district confirmed. The student made it safely into the school, which was placed on lockdown while Cleveland Metropolitan School Distri"&amp;"ct Safety and Security officials and Cleveland Police officers responded, the district said.")</f>
        <v>A student may have been the target of shots fired outside of Collinwood High School in Cleveland Wednesday morning, the district confirmed. The student made it safely into the school, which was placed on lockdown while Cleveland Metropolitan School District Safety and Security officials and Cleveland Police officers responded, the district said.</v>
      </c>
      <c r="W383" s="1"/>
      <c r="X383" s="1" t="str">
        <f ca="1">IFERROR(__xludf.DUMMYFUNCTION("""COMPUTED_VALUE"""),"Victims Targeted")</f>
        <v>Victims Targeted</v>
      </c>
      <c r="Y383" s="1"/>
      <c r="Z383" s="1"/>
      <c r="AA383" s="1" t="str">
        <f ca="1">IFERROR(__xludf.DUMMYFUNCTION("""COMPUTED_VALUE"""),"No")</f>
        <v>No</v>
      </c>
      <c r="AB383" s="1" t="str">
        <f ca="1">IFERROR(__xludf.DUMMYFUNCTION("""COMPUTED_VALUE"""),"No")</f>
        <v>No</v>
      </c>
      <c r="AC383" s="1" t="str">
        <f ca="1">IFERROR(__xludf.DUMMYFUNCTION("""COMPUTED_VALUE"""),"No")</f>
        <v>No</v>
      </c>
      <c r="AD383" s="1"/>
      <c r="AE383" s="1" t="str">
        <f ca="1">IFERROR(__xludf.DUMMYFUNCTION("""COMPUTED_VALUE"""),"No")</f>
        <v>No</v>
      </c>
      <c r="AF383" s="1"/>
      <c r="AG383" s="1" t="str">
        <f ca="1">IFERROR(__xludf.DUMMYFUNCTION("""COMPUTED_VALUE"""),"No")</f>
        <v>No</v>
      </c>
      <c r="AH383" s="1">
        <f ca="1">IFERROR(__xludf.DUMMYFUNCTION("""COMPUTED_VALUE"""),99)</f>
        <v>99</v>
      </c>
    </row>
    <row r="384" spans="1:34" ht="12.5">
      <c r="A384" s="1" t="str">
        <f ca="1">IFERROR(__xludf.DUMMYFUNCTION("""COMPUTED_VALUE"""),"20230215MDWAB")</f>
        <v>20230215MDWAB</v>
      </c>
      <c r="B384" s="1">
        <f ca="1">IFERROR(__xludf.DUMMYFUNCTION("""COMPUTED_VALUE"""),2)</f>
        <v>2</v>
      </c>
      <c r="C384" s="1">
        <f ca="1">IFERROR(__xludf.DUMMYFUNCTION("""COMPUTED_VALUE"""),15)</f>
        <v>15</v>
      </c>
      <c r="D384" s="1">
        <f ca="1">IFERROR(__xludf.DUMMYFUNCTION("""COMPUTED_VALUE"""),2023)</f>
        <v>2023</v>
      </c>
      <c r="E384" s="4">
        <f ca="1">IFERROR(__xludf.DUMMYFUNCTION("""COMPUTED_VALUE"""),44972)</f>
        <v>44972</v>
      </c>
      <c r="F384" s="1" t="str">
        <f ca="1">IFERROR(__xludf.DUMMYFUNCTION("""COMPUTED_VALUE"""),"Walter P. Carter Elementary/Middle School")</f>
        <v>Walter P. Carter Elementary/Middle School</v>
      </c>
      <c r="G384" s="1">
        <f ca="1">IFERROR(__xludf.DUMMYFUNCTION("""COMPUTED_VALUE"""),0)</f>
        <v>0</v>
      </c>
      <c r="H384" s="1">
        <f ca="1">IFERROR(__xludf.DUMMYFUNCTION("""COMPUTED_VALUE"""),1)</f>
        <v>1</v>
      </c>
      <c r="I384" s="1">
        <f ca="1">IFERROR(__xludf.DUMMYFUNCTION("""COMPUTED_VALUE"""),1)</f>
        <v>1</v>
      </c>
      <c r="J384" s="1">
        <f ca="1">IFERROR(__xludf.DUMMYFUNCTION("""COMPUTED_VALUE"""),0)</f>
        <v>0</v>
      </c>
      <c r="K384" s="1" t="str">
        <f ca="1">IFERROR(__xludf.DUMMYFUNCTION("""COMPUTED_VALUE"""),"Winter")</f>
        <v>Winter</v>
      </c>
      <c r="L384" s="1" t="str">
        <f ca="1">IFERROR(__xludf.DUMMYFUNCTION("""COMPUTED_VALUE"""),"Baltimore")</f>
        <v>Baltimore</v>
      </c>
      <c r="M384" s="1" t="str">
        <f ca="1">IFERROR(__xludf.DUMMYFUNCTION("""COMPUTED_VALUE"""),"MD")</f>
        <v>MD</v>
      </c>
      <c r="N384" s="1" t="str">
        <f ca="1">IFERROR(__xludf.DUMMYFUNCTION("""COMPUTED_VALUE"""),"K-8")</f>
        <v>K-8</v>
      </c>
      <c r="O384" s="1" t="str">
        <f ca="1">IFERROR(__xludf.DUMMYFUNCTION("""COMPUTED_VALUE"""),"Front of School")</f>
        <v>Front of School</v>
      </c>
      <c r="P384" s="1" t="str">
        <f ca="1">IFERROR(__xludf.DUMMYFUNCTION("""COMPUTED_VALUE"""),"Outside on School Property")</f>
        <v>Outside on School Property</v>
      </c>
      <c r="Q384" s="1" t="str">
        <f ca="1">IFERROR(__xludf.DUMMYFUNCTION("""COMPUTED_VALUE"""),"Yes")</f>
        <v>Yes</v>
      </c>
      <c r="R384" s="1" t="str">
        <f ca="1">IFERROR(__xludf.DUMMYFUNCTION("""COMPUTED_VALUE"""),"Evening")</f>
        <v>Evening</v>
      </c>
      <c r="S384" s="5">
        <f ca="1">IFERROR(__xludf.DUMMYFUNCTION("""COMPUTED_VALUE"""),0.759027777777777)</f>
        <v>0.75902777777777697</v>
      </c>
      <c r="T384" s="1">
        <f ca="1">IFERROR(__xludf.DUMMYFUNCTION("""COMPUTED_VALUE"""),1)</f>
        <v>1</v>
      </c>
      <c r="U384" s="1" t="str">
        <f ca="1">IFERROR(__xludf.DUMMYFUNCTION("""COMPUTED_VALUE"""),"Teen shot in front of school during evening classes")</f>
        <v>Teen shot in front of school during evening classes</v>
      </c>
      <c r="V384" s="1" t="str">
        <f ca="1">IFERROR(__xludf.DUMMYFUNCTION("""COMPUTED_VALUE"""),"A 15-year-old Mervo student is in critical condition after being shot near Walter P. Carter Elementary/Middle School, according to officials during a press conference on Wednesday night. At around 6:13 p.m., a officer was flagged down by a citizen in the "&amp;"Govans area of North Baltimore. The person told the officer that there was an armed person at a nearby school, according to the department. Deputy Police commissioner Rich William says that a student was shot and aid was rendered to her on the scene by me"&amp;"dics. William says the teen girl has undergone surgery and is in critical condition.")</f>
        <v>A 15-year-old Mervo student is in critical condition after being shot near Walter P. Carter Elementary/Middle School, according to officials during a press conference on Wednesday night. At around 6:13 p.m., a officer was flagged down by a citizen in the Govans area of North Baltimore. The person told the officer that there was an armed person at a nearby school, according to the department. Deputy Police commissioner Rich William says that a student was shot and aid was rendered to her on the scene by medics. William says the teen girl has undergone surgery and is in critical condition.</v>
      </c>
      <c r="W384" s="1"/>
      <c r="X384" s="1"/>
      <c r="Y384" s="1"/>
      <c r="Z384" s="1"/>
      <c r="AA384" s="1" t="str">
        <f ca="1">IFERROR(__xludf.DUMMYFUNCTION("""COMPUTED_VALUE"""),"No")</f>
        <v>No</v>
      </c>
      <c r="AB384" s="1" t="str">
        <f ca="1">IFERROR(__xludf.DUMMYFUNCTION("""COMPUTED_VALUE"""),"No")</f>
        <v>No</v>
      </c>
      <c r="AC384" s="1" t="str">
        <f ca="1">IFERROR(__xludf.DUMMYFUNCTION("""COMPUTED_VALUE"""),"No")</f>
        <v>No</v>
      </c>
      <c r="AD384" s="1"/>
      <c r="AE384" s="1" t="str">
        <f ca="1">IFERROR(__xludf.DUMMYFUNCTION("""COMPUTED_VALUE"""),"No")</f>
        <v>No</v>
      </c>
      <c r="AF384" s="1"/>
      <c r="AG384" s="1" t="str">
        <f ca="1">IFERROR(__xludf.DUMMYFUNCTION("""COMPUTED_VALUE"""),"No")</f>
        <v>No</v>
      </c>
      <c r="AH384" s="1">
        <f ca="1">IFERROR(__xludf.DUMMYFUNCTION("""COMPUTED_VALUE"""),99)</f>
        <v>99</v>
      </c>
    </row>
    <row r="385" spans="1:34" ht="12.5">
      <c r="A385" s="1" t="str">
        <f ca="1">IFERROR(__xludf.DUMMYFUNCTION("""COMPUTED_VALUE"""),"20230214PAWEP")</f>
        <v>20230214PAWEP</v>
      </c>
      <c r="B385" s="1">
        <f ca="1">IFERROR(__xludf.DUMMYFUNCTION("""COMPUTED_VALUE"""),2)</f>
        <v>2</v>
      </c>
      <c r="C385" s="1">
        <f ca="1">IFERROR(__xludf.DUMMYFUNCTION("""COMPUTED_VALUE"""),14)</f>
        <v>14</v>
      </c>
      <c r="D385" s="1">
        <f ca="1">IFERROR(__xludf.DUMMYFUNCTION("""COMPUTED_VALUE"""),2023)</f>
        <v>2023</v>
      </c>
      <c r="E385" s="4">
        <f ca="1">IFERROR(__xludf.DUMMYFUNCTION("""COMPUTED_VALUE"""),44971)</f>
        <v>44971</v>
      </c>
      <c r="F385" s="1" t="str">
        <f ca="1">IFERROR(__xludf.DUMMYFUNCTION("""COMPUTED_VALUE"""),"Westinghouse Academy")</f>
        <v>Westinghouse Academy</v>
      </c>
      <c r="G385" s="1">
        <f ca="1">IFERROR(__xludf.DUMMYFUNCTION("""COMPUTED_VALUE"""),0)</f>
        <v>0</v>
      </c>
      <c r="H385" s="1">
        <f ca="1">IFERROR(__xludf.DUMMYFUNCTION("""COMPUTED_VALUE"""),4)</f>
        <v>4</v>
      </c>
      <c r="I385" s="1">
        <f ca="1">IFERROR(__xludf.DUMMYFUNCTION("""COMPUTED_VALUE"""),4)</f>
        <v>4</v>
      </c>
      <c r="J385" s="1">
        <f ca="1">IFERROR(__xludf.DUMMYFUNCTION("""COMPUTED_VALUE"""),0)</f>
        <v>0</v>
      </c>
      <c r="K385" s="1" t="str">
        <f ca="1">IFERROR(__xludf.DUMMYFUNCTION("""COMPUTED_VALUE"""),"Winter")</f>
        <v>Winter</v>
      </c>
      <c r="L385" s="1" t="str">
        <f ca="1">IFERROR(__xludf.DUMMYFUNCTION("""COMPUTED_VALUE"""),"Pittsburgh")</f>
        <v>Pittsburgh</v>
      </c>
      <c r="M385" s="1" t="str">
        <f ca="1">IFERROR(__xludf.DUMMYFUNCTION("""COMPUTED_VALUE"""),"PA")</f>
        <v>PA</v>
      </c>
      <c r="N385" s="1" t="str">
        <f ca="1">IFERROR(__xludf.DUMMYFUNCTION("""COMPUTED_VALUE"""),"6-12")</f>
        <v>6-12</v>
      </c>
      <c r="O385" s="1" t="str">
        <f ca="1">IFERROR(__xludf.DUMMYFUNCTION("""COMPUTED_VALUE"""),"Front of School")</f>
        <v>Front of School</v>
      </c>
      <c r="P385" s="1" t="str">
        <f ca="1">IFERROR(__xludf.DUMMYFUNCTION("""COMPUTED_VALUE"""),"Outside on School Property")</f>
        <v>Outside on School Property</v>
      </c>
      <c r="Q385" s="1" t="str">
        <f ca="1">IFERROR(__xludf.DUMMYFUNCTION("""COMPUTED_VALUE"""),"Yes")</f>
        <v>Yes</v>
      </c>
      <c r="R385" s="1" t="str">
        <f ca="1">IFERROR(__xludf.DUMMYFUNCTION("""COMPUTED_VALUE"""),"Dismissal")</f>
        <v>Dismissal</v>
      </c>
      <c r="S385" s="5">
        <f ca="1">IFERROR(__xludf.DUMMYFUNCTION("""COMPUTED_VALUE"""),0.59375)</f>
        <v>0.59375</v>
      </c>
      <c r="T385" s="1">
        <f ca="1">IFERROR(__xludf.DUMMYFUNCTION("""COMPUTED_VALUE"""),1)</f>
        <v>1</v>
      </c>
      <c r="U385" s="1" t="str">
        <f ca="1">IFERROR(__xludf.DUMMYFUNCTION("""COMPUTED_VALUE"""),"Four students shot in front of school at dismissal")</f>
        <v>Four students shot in front of school at dismissal</v>
      </c>
      <c r="V385" s="1" t="str">
        <f ca="1">IFERROR(__xludf.DUMMYFUNCTION("""COMPUTED_VALUE"""),"Four students were shot outside Westinghouse Academy 6-12 in Pittsburgh's Homewood neighborhood on Tuesday afternoon, police said. The shooting happened shortly after the 2:15 p.m. dismissal time for the school day. Three boys and a girl were taken to the"&amp;" hospital. ""All the students are stable, no life-threatening conditions,"" Cmdr. Stephen Vinansky said. ""All the students are accounted for."" Vinansky said police arrived just over a minute after receiving the alert and found three students inside the "&amp;"school with gunshot wounds. The fourth victim arrived at the hospital with a family member. Authorities said two of the male victims are 15 years old, one is 17 years old, and the female victim is 15 years old. The school was placed on lockdown as law enf"&amp;"orcement investigated.")</f>
        <v>Four students were shot outside Westinghouse Academy 6-12 in Pittsburgh's Homewood neighborhood on Tuesday afternoon, police said. The shooting happened shortly after the 2:15 p.m. dismissal time for the school day. Three boys and a girl were taken to the hospital. "All the students are stable, no life-threatening conditions," Cmdr. Stephen Vinansky said. "All the students are accounted for." Vinansky said police arrived just over a minute after receiving the alert and found three students inside the school with gunshot wounds. The fourth victim arrived at the hospital with a family member. Authorities said two of the male victims are 15 years old, one is 17 years old, and the female victim is 15 years old. The school was placed on lockdown as law enforcement investigated.</v>
      </c>
      <c r="W385" s="1"/>
      <c r="X385" s="1" t="str">
        <f ca="1">IFERROR(__xludf.DUMMYFUNCTION("""COMPUTED_VALUE"""),"Both")</f>
        <v>Both</v>
      </c>
      <c r="Y385" s="1"/>
      <c r="Z385" s="1"/>
      <c r="AA385" s="1" t="str">
        <f ca="1">IFERROR(__xludf.DUMMYFUNCTION("""COMPUTED_VALUE"""),"No")</f>
        <v>No</v>
      </c>
      <c r="AB385" s="1" t="str">
        <f ca="1">IFERROR(__xludf.DUMMYFUNCTION("""COMPUTED_VALUE"""),"No")</f>
        <v>No</v>
      </c>
      <c r="AC385" s="1" t="str">
        <f ca="1">IFERROR(__xludf.DUMMYFUNCTION("""COMPUTED_VALUE"""),"No")</f>
        <v>No</v>
      </c>
      <c r="AD385" s="1" t="str">
        <f ca="1">IFERROR(__xludf.DUMMYFUNCTION("""COMPUTED_VALUE"""),"No")</f>
        <v>No</v>
      </c>
      <c r="AE385" s="1" t="str">
        <f ca="1">IFERROR(__xludf.DUMMYFUNCTION("""COMPUTED_VALUE"""),"No")</f>
        <v>No</v>
      </c>
      <c r="AF385" s="1"/>
      <c r="AG385" s="1" t="str">
        <f ca="1">IFERROR(__xludf.DUMMYFUNCTION("""COMPUTED_VALUE"""),"No")</f>
        <v>No</v>
      </c>
      <c r="AH385" s="1">
        <f ca="1">IFERROR(__xludf.DUMMYFUNCTION("""COMPUTED_VALUE"""),10)</f>
        <v>10</v>
      </c>
    </row>
    <row r="386" spans="1:34" ht="12.5">
      <c r="A386" s="1" t="str">
        <f ca="1">IFERROR(__xludf.DUMMYFUNCTION("""COMPUTED_VALUE"""),"20230214GAMID")</f>
        <v>20230214GAMID</v>
      </c>
      <c r="B386" s="1">
        <f ca="1">IFERROR(__xludf.DUMMYFUNCTION("""COMPUTED_VALUE"""),2)</f>
        <v>2</v>
      </c>
      <c r="C386" s="1">
        <f ca="1">IFERROR(__xludf.DUMMYFUNCTION("""COMPUTED_VALUE"""),14)</f>
        <v>14</v>
      </c>
      <c r="D386" s="1">
        <f ca="1">IFERROR(__xludf.DUMMYFUNCTION("""COMPUTED_VALUE"""),2023)</f>
        <v>2023</v>
      </c>
      <c r="E386" s="4">
        <f ca="1">IFERROR(__xludf.DUMMYFUNCTION("""COMPUTED_VALUE"""),44971)</f>
        <v>44971</v>
      </c>
      <c r="F386" s="1" t="str">
        <f ca="1">IFERROR(__xludf.DUMMYFUNCTION("""COMPUTED_VALUE"""),"Miller Grove Middle School")</f>
        <v>Miller Grove Middle School</v>
      </c>
      <c r="G386" s="1">
        <f ca="1">IFERROR(__xludf.DUMMYFUNCTION("""COMPUTED_VALUE"""),0)</f>
        <v>0</v>
      </c>
      <c r="H386" s="1">
        <f ca="1">IFERROR(__xludf.DUMMYFUNCTION("""COMPUTED_VALUE"""),0)</f>
        <v>0</v>
      </c>
      <c r="I386" s="1">
        <f ca="1">IFERROR(__xludf.DUMMYFUNCTION("""COMPUTED_VALUE"""),0)</f>
        <v>0</v>
      </c>
      <c r="J386" s="1">
        <f ca="1">IFERROR(__xludf.DUMMYFUNCTION("""COMPUTED_VALUE"""),0)</f>
        <v>0</v>
      </c>
      <c r="K386" s="1" t="str">
        <f ca="1">IFERROR(__xludf.DUMMYFUNCTION("""COMPUTED_VALUE"""),"Winter")</f>
        <v>Winter</v>
      </c>
      <c r="L386" s="1" t="str">
        <f ca="1">IFERROR(__xludf.DUMMYFUNCTION("""COMPUTED_VALUE"""),"Decatur")</f>
        <v>Decatur</v>
      </c>
      <c r="M386" s="1" t="str">
        <f ca="1">IFERROR(__xludf.DUMMYFUNCTION("""COMPUTED_VALUE"""),"GA")</f>
        <v>GA</v>
      </c>
      <c r="N386" s="1" t="str">
        <f ca="1">IFERROR(__xludf.DUMMYFUNCTION("""COMPUTED_VALUE"""),"Middle")</f>
        <v>Middle</v>
      </c>
      <c r="O386" s="1" t="str">
        <f ca="1">IFERROR(__xludf.DUMMYFUNCTION("""COMPUTED_VALUE"""),"Classroom")</f>
        <v>Classroom</v>
      </c>
      <c r="P386" s="1" t="str">
        <f ca="1">IFERROR(__xludf.DUMMYFUNCTION("""COMPUTED_VALUE"""),"Inside School Building")</f>
        <v>Inside School Building</v>
      </c>
      <c r="Q386" s="1" t="str">
        <f ca="1">IFERROR(__xludf.DUMMYFUNCTION("""COMPUTED_VALUE"""),"Yes")</f>
        <v>Yes</v>
      </c>
      <c r="R386" s="1" t="str">
        <f ca="1">IFERROR(__xludf.DUMMYFUNCTION("""COMPUTED_VALUE"""),"Afternoon Classes")</f>
        <v>Afternoon Classes</v>
      </c>
      <c r="S386" s="5">
        <f ca="1">IFERROR(__xludf.DUMMYFUNCTION("""COMPUTED_VALUE"""),0.5625)</f>
        <v>0.5625</v>
      </c>
      <c r="T386" s="1">
        <f ca="1">IFERROR(__xludf.DUMMYFUNCTION("""COMPUTED_VALUE"""),1)</f>
        <v>1</v>
      </c>
      <c r="U386" s="1" t="str">
        <f ca="1">IFERROR(__xludf.DUMMYFUNCTION("""COMPUTED_VALUE"""),"Student fired shot inside a classroom")</f>
        <v>Student fired shot inside a classroom</v>
      </c>
      <c r="V386" s="1" t="str">
        <f ca="1">IFERROR(__xludf.DUMMYFUNCTION("""COMPUTED_VALUE"""),"Student fired a gun inside a classroom during bathroom break. Security guards quickly confiscated and secured the gun. No one was hurt. The student, who hasn’t been identified, now faces “district consequences” and possible criminal charges.")</f>
        <v>Student fired a gun inside a classroom during bathroom break. Security guards quickly confiscated and secured the gun. No one was hurt. The student, who hasn’t been identified, now faces “district consequences” and possible criminal charges.</v>
      </c>
      <c r="W386" s="1"/>
      <c r="X386" s="1"/>
      <c r="Y386" s="1"/>
      <c r="Z386" s="1"/>
      <c r="AA386" s="1" t="str">
        <f ca="1">IFERROR(__xludf.DUMMYFUNCTION("""COMPUTED_VALUE"""),"No")</f>
        <v>No</v>
      </c>
      <c r="AB386" s="1" t="str">
        <f ca="1">IFERROR(__xludf.DUMMYFUNCTION("""COMPUTED_VALUE"""),"No")</f>
        <v>No</v>
      </c>
      <c r="AC386" s="1" t="str">
        <f ca="1">IFERROR(__xludf.DUMMYFUNCTION("""COMPUTED_VALUE"""),"No")</f>
        <v>No</v>
      </c>
      <c r="AD386" s="1"/>
      <c r="AE386" s="1" t="str">
        <f ca="1">IFERROR(__xludf.DUMMYFUNCTION("""COMPUTED_VALUE"""),"No")</f>
        <v>No</v>
      </c>
      <c r="AF386" s="1" t="str">
        <f ca="1">IFERROR(__xludf.DUMMYFUNCTION("""COMPUTED_VALUE"""),"No")</f>
        <v>No</v>
      </c>
      <c r="AG386" s="1" t="str">
        <f ca="1">IFERROR(__xludf.DUMMYFUNCTION("""COMPUTED_VALUE"""),"No")</f>
        <v>No</v>
      </c>
      <c r="AH386" s="1">
        <f ca="1">IFERROR(__xludf.DUMMYFUNCTION("""COMPUTED_VALUE"""),1)</f>
        <v>1</v>
      </c>
    </row>
    <row r="387" spans="1:34" ht="12.5">
      <c r="A387" s="1" t="str">
        <f ca="1">IFERROR(__xludf.DUMMYFUNCTION("""COMPUTED_VALUE"""),"20230213TXDAD")</f>
        <v>20230213TXDAD</v>
      </c>
      <c r="B387" s="1">
        <f ca="1">IFERROR(__xludf.DUMMYFUNCTION("""COMPUTED_VALUE"""),2)</f>
        <v>2</v>
      </c>
      <c r="C387" s="1">
        <f ca="1">IFERROR(__xludf.DUMMYFUNCTION("""COMPUTED_VALUE"""),13)</f>
        <v>13</v>
      </c>
      <c r="D387" s="1">
        <f ca="1">IFERROR(__xludf.DUMMYFUNCTION("""COMPUTED_VALUE"""),2023)</f>
        <v>2023</v>
      </c>
      <c r="E387" s="4">
        <f ca="1">IFERROR(__xludf.DUMMYFUNCTION("""COMPUTED_VALUE"""),44970)</f>
        <v>44970</v>
      </c>
      <c r="F387" s="1" t="str">
        <f ca="1">IFERROR(__xludf.DUMMYFUNCTION("""COMPUTED_VALUE"""),"Dalhart Senior High School")</f>
        <v>Dalhart Senior High School</v>
      </c>
      <c r="G387" s="1">
        <f ca="1">IFERROR(__xludf.DUMMYFUNCTION("""COMPUTED_VALUE"""),1)</f>
        <v>1</v>
      </c>
      <c r="H387" s="1">
        <f ca="1">IFERROR(__xludf.DUMMYFUNCTION("""COMPUTED_VALUE"""),0)</f>
        <v>0</v>
      </c>
      <c r="I387" s="1">
        <f ca="1">IFERROR(__xludf.DUMMYFUNCTION("""COMPUTED_VALUE"""),1)</f>
        <v>1</v>
      </c>
      <c r="J387" s="1">
        <f ca="1">IFERROR(__xludf.DUMMYFUNCTION("""COMPUTED_VALUE"""),0)</f>
        <v>0</v>
      </c>
      <c r="K387" s="1" t="str">
        <f ca="1">IFERROR(__xludf.DUMMYFUNCTION("""COMPUTED_VALUE"""),"Winter")</f>
        <v>Winter</v>
      </c>
      <c r="L387" s="1" t="str">
        <f ca="1">IFERROR(__xludf.DUMMYFUNCTION("""COMPUTED_VALUE"""),"Dalhart")</f>
        <v>Dalhart</v>
      </c>
      <c r="M387" s="1" t="str">
        <f ca="1">IFERROR(__xludf.DUMMYFUNCTION("""COMPUTED_VALUE"""),"TX")</f>
        <v>TX</v>
      </c>
      <c r="N387" s="1" t="str">
        <f ca="1">IFERROR(__xludf.DUMMYFUNCTION("""COMPUTED_VALUE"""),"High")</f>
        <v>High</v>
      </c>
      <c r="O387" s="1" t="str">
        <f ca="1">IFERROR(__xludf.DUMMYFUNCTION("""COMPUTED_VALUE"""),"Parking Lot")</f>
        <v>Parking Lot</v>
      </c>
      <c r="P387" s="1" t="str">
        <f ca="1">IFERROR(__xludf.DUMMYFUNCTION("""COMPUTED_VALUE"""),"Outside on School Property")</f>
        <v>Outside on School Property</v>
      </c>
      <c r="Q387" s="1" t="str">
        <f ca="1">IFERROR(__xludf.DUMMYFUNCTION("""COMPUTED_VALUE"""),"Yes")</f>
        <v>Yes</v>
      </c>
      <c r="R387" s="1" t="str">
        <f ca="1">IFERROR(__xludf.DUMMYFUNCTION("""COMPUTED_VALUE"""),"Lunch")</f>
        <v>Lunch</v>
      </c>
      <c r="S387" s="5">
        <f ca="1">IFERROR(__xludf.DUMMYFUNCTION("""COMPUTED_VALUE"""),0.5)</f>
        <v>0.5</v>
      </c>
      <c r="T387" s="1">
        <f ca="1">IFERROR(__xludf.DUMMYFUNCTION("""COMPUTED_VALUE"""),1)</f>
        <v>1</v>
      </c>
      <c r="U387" s="1" t="str">
        <f ca="1">IFERROR(__xludf.DUMMYFUNCTION("""COMPUTED_VALUE"""),"Student killed during accidental shooting inside vehicle")</f>
        <v>Student killed during accidental shooting inside vehicle</v>
      </c>
      <c r="V387" s="1" t="str">
        <f ca="1">IFERROR(__xludf.DUMMYFUNCTION("""COMPUTED_VALUE"""),"On Feb. 13 at around noon, one student was injured after a firearm accidently discharged in a vehicle on a Dalhart ISD parking lot. A spokesperson for the Dalhart Independent School District said a child not enrolled at the district went to Dalhart High S"&amp;"chool to pick up three students for lunch. That’s when the gun went off. The school was placed on a brief lockdown again today, due to law enforcement activity in the area.")</f>
        <v>On Feb. 13 at around noon, one student was injured after a firearm accidently discharged in a vehicle on a Dalhart ISD parking lot. A spokesperson for the Dalhart Independent School District said a child not enrolled at the district went to Dalhart High School to pick up three students for lunch. That’s when the gun went off. The school was placed on a brief lockdown again today, due to law enforcement activity in the area.</v>
      </c>
      <c r="W387" s="1" t="str">
        <f ca="1">IFERROR(__xludf.DUMMYFUNCTION("""COMPUTED_VALUE"""),"Accidental")</f>
        <v>Accidental</v>
      </c>
      <c r="X387" s="1" t="str">
        <f ca="1">IFERROR(__xludf.DUMMYFUNCTION("""COMPUTED_VALUE"""),"Neither")</f>
        <v>Neither</v>
      </c>
      <c r="Y387" s="1"/>
      <c r="Z387" s="1"/>
      <c r="AA387" s="1" t="str">
        <f ca="1">IFERROR(__xludf.DUMMYFUNCTION("""COMPUTED_VALUE"""),"No")</f>
        <v>No</v>
      </c>
      <c r="AB387" s="1" t="str">
        <f ca="1">IFERROR(__xludf.DUMMYFUNCTION("""COMPUTED_VALUE"""),"No")</f>
        <v>No</v>
      </c>
      <c r="AC387" s="1" t="str">
        <f ca="1">IFERROR(__xludf.DUMMYFUNCTION("""COMPUTED_VALUE"""),"No")</f>
        <v>No</v>
      </c>
      <c r="AD387" s="1"/>
      <c r="AE387" s="1" t="str">
        <f ca="1">IFERROR(__xludf.DUMMYFUNCTION("""COMPUTED_VALUE"""),"No")</f>
        <v>No</v>
      </c>
      <c r="AF387" s="1" t="str">
        <f ca="1">IFERROR(__xludf.DUMMYFUNCTION("""COMPUTED_VALUE"""),"No")</f>
        <v>No</v>
      </c>
      <c r="AG387" s="1" t="str">
        <f ca="1">IFERROR(__xludf.DUMMYFUNCTION("""COMPUTED_VALUE"""),"No")</f>
        <v>No</v>
      </c>
      <c r="AH387" s="1">
        <f ca="1">IFERROR(__xludf.DUMMYFUNCTION("""COMPUTED_VALUE"""),1)</f>
        <v>1</v>
      </c>
    </row>
    <row r="388" spans="1:34" ht="12.5">
      <c r="A388" s="1" t="str">
        <f ca="1">IFERROR(__xludf.DUMMYFUNCTION("""COMPUTED_VALUE"""),"20230213COEMD")</f>
        <v>20230213COEMD</v>
      </c>
      <c r="B388" s="1">
        <f ca="1">IFERROR(__xludf.DUMMYFUNCTION("""COMPUTED_VALUE"""),2)</f>
        <v>2</v>
      </c>
      <c r="C388" s="1">
        <f ca="1">IFERROR(__xludf.DUMMYFUNCTION("""COMPUTED_VALUE"""),13)</f>
        <v>13</v>
      </c>
      <c r="D388" s="1">
        <f ca="1">IFERROR(__xludf.DUMMYFUNCTION("""COMPUTED_VALUE"""),2023)</f>
        <v>2023</v>
      </c>
      <c r="E388" s="4">
        <f ca="1">IFERROR(__xludf.DUMMYFUNCTION("""COMPUTED_VALUE"""),44970)</f>
        <v>44970</v>
      </c>
      <c r="F388" s="1" t="str">
        <f ca="1">IFERROR(__xludf.DUMMYFUNCTION("""COMPUTED_VALUE"""),"Emily Griffith High School")</f>
        <v>Emily Griffith High School</v>
      </c>
      <c r="G388" s="1">
        <f ca="1">IFERROR(__xludf.DUMMYFUNCTION("""COMPUTED_VALUE"""),0)</f>
        <v>0</v>
      </c>
      <c r="H388" s="1">
        <f ca="1">IFERROR(__xludf.DUMMYFUNCTION("""COMPUTED_VALUE"""),2)</f>
        <v>2</v>
      </c>
      <c r="I388" s="1">
        <f ca="1">IFERROR(__xludf.DUMMYFUNCTION("""COMPUTED_VALUE"""),2)</f>
        <v>2</v>
      </c>
      <c r="J388" s="1">
        <f ca="1">IFERROR(__xludf.DUMMYFUNCTION("""COMPUTED_VALUE"""),0)</f>
        <v>0</v>
      </c>
      <c r="K388" s="1" t="str">
        <f ca="1">IFERROR(__xludf.DUMMYFUNCTION("""COMPUTED_VALUE"""),"Winter")</f>
        <v>Winter</v>
      </c>
      <c r="L388" s="1" t="str">
        <f ca="1">IFERROR(__xludf.DUMMYFUNCTION("""COMPUTED_VALUE"""),"Denver")</f>
        <v>Denver</v>
      </c>
      <c r="M388" s="1" t="str">
        <f ca="1">IFERROR(__xludf.DUMMYFUNCTION("""COMPUTED_VALUE"""),"CO")</f>
        <v>CO</v>
      </c>
      <c r="N388" s="1" t="str">
        <f ca="1">IFERROR(__xludf.DUMMYFUNCTION("""COMPUTED_VALUE"""),"High")</f>
        <v>High</v>
      </c>
      <c r="O388" s="1" t="str">
        <f ca="1">IFERROR(__xludf.DUMMYFUNCTION("""COMPUTED_VALUE"""),"Parking Lot")</f>
        <v>Parking Lot</v>
      </c>
      <c r="P388" s="1" t="str">
        <f ca="1">IFERROR(__xludf.DUMMYFUNCTION("""COMPUTED_VALUE"""),"Outside on School Property")</f>
        <v>Outside on School Property</v>
      </c>
      <c r="Q388" s="1" t="str">
        <f ca="1">IFERROR(__xludf.DUMMYFUNCTION("""COMPUTED_VALUE"""),"Yes")</f>
        <v>Yes</v>
      </c>
      <c r="R388" s="1" t="str">
        <f ca="1">IFERROR(__xludf.DUMMYFUNCTION("""COMPUTED_VALUE"""),"Dismissal")</f>
        <v>Dismissal</v>
      </c>
      <c r="S388" s="5">
        <f ca="1">IFERROR(__xludf.DUMMYFUNCTION("""COMPUTED_VALUE"""),0.618055555555555)</f>
        <v>0.61805555555555503</v>
      </c>
      <c r="T388" s="1">
        <f ca="1">IFERROR(__xludf.DUMMYFUNCTION("""COMPUTED_VALUE"""),1)</f>
        <v>1</v>
      </c>
      <c r="U388" s="1" t="str">
        <f ca="1">IFERROR(__xludf.DUMMYFUNCTION("""COMPUTED_VALUE"""),"Student and adult man shot during confrontation outside of school")</f>
        <v>Student and adult man shot during confrontation outside of school</v>
      </c>
      <c r="V388" s="1" t="str">
        <f ca="1">IFERROR(__xludf.DUMMYFUNCTION("""COMPUTED_VALUE"""),"A group of students left the school and got into an argument outside near the parking lot. An 18-year-old student who had been carrying a gun all day at school fired multiple shots wounded a 17-year-old student and an adult man. The shooter fled and was l"&amp;"ater arrested.")</f>
        <v>A group of students left the school and got into an argument outside near the parking lot. An 18-year-old student who had been carrying a gun all day at school fired multiple shots wounded a 17-year-old student and an adult man. The shooter fled and was later arrested.</v>
      </c>
      <c r="W388" s="1" t="str">
        <f ca="1">IFERROR(__xludf.DUMMYFUNCTION("""COMPUTED_VALUE"""),"Escalation of Dispute")</f>
        <v>Escalation of Dispute</v>
      </c>
      <c r="X388" s="1" t="str">
        <f ca="1">IFERROR(__xludf.DUMMYFUNCTION("""COMPUTED_VALUE"""),"Both")</f>
        <v>Both</v>
      </c>
      <c r="Y388" s="1" t="str">
        <f ca="1">IFERROR(__xludf.DUMMYFUNCTION("""COMPUTED_VALUE"""),"No")</f>
        <v>No</v>
      </c>
      <c r="Z388" s="1"/>
      <c r="AA388" s="1" t="str">
        <f ca="1">IFERROR(__xludf.DUMMYFUNCTION("""COMPUTED_VALUE"""),"No")</f>
        <v>No</v>
      </c>
      <c r="AB388" s="1" t="str">
        <f ca="1">IFERROR(__xludf.DUMMYFUNCTION("""COMPUTED_VALUE"""),"No")</f>
        <v>No</v>
      </c>
      <c r="AC388" s="1" t="str">
        <f ca="1">IFERROR(__xludf.DUMMYFUNCTION("""COMPUTED_VALUE"""),"No")</f>
        <v>No</v>
      </c>
      <c r="AD388" s="1" t="str">
        <f ca="1">IFERROR(__xludf.DUMMYFUNCTION("""COMPUTED_VALUE"""),"No")</f>
        <v>No</v>
      </c>
      <c r="AE388" s="1" t="str">
        <f ca="1">IFERROR(__xludf.DUMMYFUNCTION("""COMPUTED_VALUE"""),"No")</f>
        <v>No</v>
      </c>
      <c r="AF388" s="1" t="str">
        <f ca="1">IFERROR(__xludf.DUMMYFUNCTION("""COMPUTED_VALUE"""),"No")</f>
        <v>No</v>
      </c>
      <c r="AG388" s="1" t="str">
        <f ca="1">IFERROR(__xludf.DUMMYFUNCTION("""COMPUTED_VALUE"""),"No")</f>
        <v>No</v>
      </c>
      <c r="AH388" s="1">
        <f ca="1">IFERROR(__xludf.DUMMYFUNCTION("""COMPUTED_VALUE"""),99)</f>
        <v>99</v>
      </c>
    </row>
    <row r="389" spans="1:34" ht="12.5">
      <c r="A389" s="1" t="str">
        <f ca="1">IFERROR(__xludf.DUMMYFUNCTION("""COMPUTED_VALUE"""),"20230213NYPSS")</f>
        <v>20230213NYPSS</v>
      </c>
      <c r="B389" s="1">
        <f ca="1">IFERROR(__xludf.DUMMYFUNCTION("""COMPUTED_VALUE"""),2)</f>
        <v>2</v>
      </c>
      <c r="C389" s="1">
        <f ca="1">IFERROR(__xludf.DUMMYFUNCTION("""COMPUTED_VALUE"""),13)</f>
        <v>13</v>
      </c>
      <c r="D389" s="1">
        <f ca="1">IFERROR(__xludf.DUMMYFUNCTION("""COMPUTED_VALUE"""),2023)</f>
        <v>2023</v>
      </c>
      <c r="E389" s="4">
        <f ca="1">IFERROR(__xludf.DUMMYFUNCTION("""COMPUTED_VALUE"""),44970)</f>
        <v>44970</v>
      </c>
      <c r="F389" s="1" t="str">
        <f ca="1">IFERROR(__xludf.DUMMYFUNCTION("""COMPUTED_VALUE"""),"PS 78")</f>
        <v>PS 78</v>
      </c>
      <c r="G389" s="1">
        <f ca="1">IFERROR(__xludf.DUMMYFUNCTION("""COMPUTED_VALUE"""),0)</f>
        <v>0</v>
      </c>
      <c r="H389" s="1">
        <f ca="1">IFERROR(__xludf.DUMMYFUNCTION("""COMPUTED_VALUE"""),0)</f>
        <v>0</v>
      </c>
      <c r="I389" s="1">
        <f ca="1">IFERROR(__xludf.DUMMYFUNCTION("""COMPUTED_VALUE"""),0)</f>
        <v>0</v>
      </c>
      <c r="J389" s="1">
        <f ca="1">IFERROR(__xludf.DUMMYFUNCTION("""COMPUTED_VALUE"""),0)</f>
        <v>0</v>
      </c>
      <c r="K389" s="1" t="str">
        <f ca="1">IFERROR(__xludf.DUMMYFUNCTION("""COMPUTED_VALUE"""),"Winter")</f>
        <v>Winter</v>
      </c>
      <c r="L389" s="1" t="str">
        <f ca="1">IFERROR(__xludf.DUMMYFUNCTION("""COMPUTED_VALUE"""),"Staten Island")</f>
        <v>Staten Island</v>
      </c>
      <c r="M389" s="1" t="str">
        <f ca="1">IFERROR(__xludf.DUMMYFUNCTION("""COMPUTED_VALUE"""),"NY")</f>
        <v>NY</v>
      </c>
      <c r="N389" s="1" t="str">
        <f ca="1">IFERROR(__xludf.DUMMYFUNCTION("""COMPUTED_VALUE"""),"Elementary")</f>
        <v>Elementary</v>
      </c>
      <c r="O389" s="1" t="str">
        <f ca="1">IFERROR(__xludf.DUMMYFUNCTION("""COMPUTED_VALUE"""),"Beside Building")</f>
        <v>Beside Building</v>
      </c>
      <c r="P389" s="1" t="str">
        <f ca="1">IFERROR(__xludf.DUMMYFUNCTION("""COMPUTED_VALUE"""),"Outside on School Property")</f>
        <v>Outside on School Property</v>
      </c>
      <c r="Q389" s="1" t="str">
        <f ca="1">IFERROR(__xludf.DUMMYFUNCTION("""COMPUTED_VALUE"""),"Yes")</f>
        <v>Yes</v>
      </c>
      <c r="R389" s="1" t="str">
        <f ca="1">IFERROR(__xludf.DUMMYFUNCTION("""COMPUTED_VALUE"""),"Lunch")</f>
        <v>Lunch</v>
      </c>
      <c r="S389" s="5">
        <f ca="1">IFERROR(__xludf.DUMMYFUNCTION("""COMPUTED_VALUE"""),0.524305555555555)</f>
        <v>0.52430555555555503</v>
      </c>
      <c r="T389" s="1">
        <f ca="1">IFERROR(__xludf.DUMMYFUNCTION("""COMPUTED_VALUE"""),1)</f>
        <v>1</v>
      </c>
      <c r="U389" s="1" t="str">
        <f ca="1">IFERROR(__xludf.DUMMYFUNCTION("""COMPUTED_VALUE"""),"Shots fired next to school during lunch, bullets broke windows of 2 school window in seperate classrooms")</f>
        <v>Shots fired next to school during lunch, bullets broke windows of 2 school window in seperate classrooms</v>
      </c>
      <c r="V389" s="1" t="str">
        <f ca="1">IFERROR(__xludf.DUMMYFUNCTION("""COMPUTED_VALUE"""),"Someone shot out the windows of two classrooms at a Staten Island elementary school. One of the targeted classrooms at PS 78 in Staten Island’s Clifton section had 10 adult students inside at the time, police said. No one was injured. The other classroom "&amp;"was unoccupied. ")</f>
        <v xml:space="preserve">Someone shot out the windows of two classrooms at a Staten Island elementary school. One of the targeted classrooms at PS 78 in Staten Island’s Clifton section had 10 adult students inside at the time, police said. No one was injured. The other classroom was unoccupied. </v>
      </c>
      <c r="W389" s="1"/>
      <c r="X389" s="1" t="str">
        <f ca="1">IFERROR(__xludf.DUMMYFUNCTION("""COMPUTED_VALUE"""),"Random Shooting")</f>
        <v>Random Shooting</v>
      </c>
      <c r="Y389" s="1"/>
      <c r="Z389" s="1"/>
      <c r="AA389" s="1" t="str">
        <f ca="1">IFERROR(__xludf.DUMMYFUNCTION("""COMPUTED_VALUE"""),"No")</f>
        <v>No</v>
      </c>
      <c r="AB389" s="1" t="str">
        <f ca="1">IFERROR(__xludf.DUMMYFUNCTION("""COMPUTED_VALUE"""),"No")</f>
        <v>No</v>
      </c>
      <c r="AC389" s="1" t="str">
        <f ca="1">IFERROR(__xludf.DUMMYFUNCTION("""COMPUTED_VALUE"""),"No")</f>
        <v>No</v>
      </c>
      <c r="AD389" s="1" t="str">
        <f ca="1">IFERROR(__xludf.DUMMYFUNCTION("""COMPUTED_VALUE"""),"No")</f>
        <v>No</v>
      </c>
      <c r="AE389" s="1" t="str">
        <f ca="1">IFERROR(__xludf.DUMMYFUNCTION("""COMPUTED_VALUE"""),"No")</f>
        <v>No</v>
      </c>
      <c r="AF389" s="1"/>
      <c r="AG389" s="1" t="str">
        <f ca="1">IFERROR(__xludf.DUMMYFUNCTION("""COMPUTED_VALUE"""),"No")</f>
        <v>No</v>
      </c>
      <c r="AH389" s="1">
        <f ca="1">IFERROR(__xludf.DUMMYFUNCTION("""COMPUTED_VALUE"""),99)</f>
        <v>99</v>
      </c>
    </row>
    <row r="390" spans="1:34" ht="12.5">
      <c r="A390" s="1" t="str">
        <f ca="1">IFERROR(__xludf.DUMMYFUNCTION("""COMPUTED_VALUE"""),"20230213COEAD")</f>
        <v>20230213COEAD</v>
      </c>
      <c r="B390" s="1">
        <f ca="1">IFERROR(__xludf.DUMMYFUNCTION("""COMPUTED_VALUE"""),2)</f>
        <v>2</v>
      </c>
      <c r="C390" s="1">
        <f ca="1">IFERROR(__xludf.DUMMYFUNCTION("""COMPUTED_VALUE"""),13)</f>
        <v>13</v>
      </c>
      <c r="D390" s="1">
        <f ca="1">IFERROR(__xludf.DUMMYFUNCTION("""COMPUTED_VALUE"""),2023)</f>
        <v>2023</v>
      </c>
      <c r="E390" s="4">
        <f ca="1">IFERROR(__xludf.DUMMYFUNCTION("""COMPUTED_VALUE"""),44970)</f>
        <v>44970</v>
      </c>
      <c r="F390" s="1" t="str">
        <f ca="1">IFERROR(__xludf.DUMMYFUNCTION("""COMPUTED_VALUE"""),"East High School")</f>
        <v>East High School</v>
      </c>
      <c r="G390" s="1">
        <f ca="1">IFERROR(__xludf.DUMMYFUNCTION("""COMPUTED_VALUE"""),0)</f>
        <v>0</v>
      </c>
      <c r="H390" s="1">
        <f ca="1">IFERROR(__xludf.DUMMYFUNCTION("""COMPUTED_VALUE"""),1)</f>
        <v>1</v>
      </c>
      <c r="I390" s="1">
        <f ca="1">IFERROR(__xludf.DUMMYFUNCTION("""COMPUTED_VALUE"""),1)</f>
        <v>1</v>
      </c>
      <c r="J390" s="1">
        <f ca="1">IFERROR(__xludf.DUMMYFUNCTION("""COMPUTED_VALUE"""),0)</f>
        <v>0</v>
      </c>
      <c r="K390" s="1" t="str">
        <f ca="1">IFERROR(__xludf.DUMMYFUNCTION("""COMPUTED_VALUE"""),"Winter")</f>
        <v>Winter</v>
      </c>
      <c r="L390" s="1" t="str">
        <f ca="1">IFERROR(__xludf.DUMMYFUNCTION("""COMPUTED_VALUE"""),"Denver")</f>
        <v>Denver</v>
      </c>
      <c r="M390" s="1" t="str">
        <f ca="1">IFERROR(__xludf.DUMMYFUNCTION("""COMPUTED_VALUE"""),"CO")</f>
        <v>CO</v>
      </c>
      <c r="N390" s="1" t="str">
        <f ca="1">IFERROR(__xludf.DUMMYFUNCTION("""COMPUTED_VALUE"""),"High")</f>
        <v>High</v>
      </c>
      <c r="O390" s="1" t="str">
        <f ca="1">IFERROR(__xludf.DUMMYFUNCTION("""COMPUTED_VALUE"""),"Parking Lot")</f>
        <v>Parking Lot</v>
      </c>
      <c r="P390" s="1" t="str">
        <f ca="1">IFERROR(__xludf.DUMMYFUNCTION("""COMPUTED_VALUE"""),"Outside on School Property")</f>
        <v>Outside on School Property</v>
      </c>
      <c r="Q390" s="1" t="str">
        <f ca="1">IFERROR(__xludf.DUMMYFUNCTION("""COMPUTED_VALUE"""),"Yes")</f>
        <v>Yes</v>
      </c>
      <c r="R390" s="1" t="str">
        <f ca="1">IFERROR(__xludf.DUMMYFUNCTION("""COMPUTED_VALUE"""),"Afternoon Classes")</f>
        <v>Afternoon Classes</v>
      </c>
      <c r="S390" s="5">
        <f ca="1">IFERROR(__xludf.DUMMYFUNCTION("""COMPUTED_VALUE"""),0.604166666666666)</f>
        <v>0.60416666666666596</v>
      </c>
      <c r="T390" s="1">
        <f ca="1">IFERROR(__xludf.DUMMYFUNCTION("""COMPUTED_VALUE"""),1)</f>
        <v>1</v>
      </c>
      <c r="U390" s="1" t="str">
        <f ca="1">IFERROR(__xludf.DUMMYFUNCTION("""COMPUTED_VALUE"""),"Student shot in front of school, school locked down")</f>
        <v>Student shot in front of school, school locked down</v>
      </c>
      <c r="V390" s="1" t="str">
        <f ca="1">IFERROR(__xludf.DUMMYFUNCTION("""COMPUTED_VALUE"""),"16-year-old student was shot outside of the school. Two teens from another Denver school were arrested. School went on lockdown, dismissed late, and classes were cancelled the following day.")</f>
        <v>16-year-old student was shot outside of the school. Two teens from another Denver school were arrested. School went on lockdown, dismissed late, and classes were cancelled the following day.</v>
      </c>
      <c r="W390" s="1"/>
      <c r="X390" s="1" t="str">
        <f ca="1">IFERROR(__xludf.DUMMYFUNCTION("""COMPUTED_VALUE"""),"Victims Targeted")</f>
        <v>Victims Targeted</v>
      </c>
      <c r="Y390" s="1" t="str">
        <f ca="1">IFERROR(__xludf.DUMMYFUNCTION("""COMPUTED_VALUE"""),"Yes")</f>
        <v>Yes</v>
      </c>
      <c r="Z390" s="1" t="str">
        <f ca="1">IFERROR(__xludf.DUMMYFUNCTION("""COMPUTED_VALUE"""),"Two teens arrested")</f>
        <v>Two teens arrested</v>
      </c>
      <c r="AA390" s="1" t="str">
        <f ca="1">IFERROR(__xludf.DUMMYFUNCTION("""COMPUTED_VALUE"""),"No")</f>
        <v>No</v>
      </c>
      <c r="AB390" s="1" t="str">
        <f ca="1">IFERROR(__xludf.DUMMYFUNCTION("""COMPUTED_VALUE"""),"No")</f>
        <v>No</v>
      </c>
      <c r="AC390" s="1" t="str">
        <f ca="1">IFERROR(__xludf.DUMMYFUNCTION("""COMPUTED_VALUE"""),"No")</f>
        <v>No</v>
      </c>
      <c r="AD390" s="1" t="str">
        <f ca="1">IFERROR(__xludf.DUMMYFUNCTION("""COMPUTED_VALUE"""),"No")</f>
        <v>No</v>
      </c>
      <c r="AE390" s="1" t="str">
        <f ca="1">IFERROR(__xludf.DUMMYFUNCTION("""COMPUTED_VALUE"""),"No")</f>
        <v>No</v>
      </c>
      <c r="AF390" s="1"/>
      <c r="AG390" s="1" t="str">
        <f ca="1">IFERROR(__xludf.DUMMYFUNCTION("""COMPUTED_VALUE"""),"No")</f>
        <v>No</v>
      </c>
      <c r="AH390" s="1">
        <f ca="1">IFERROR(__xludf.DUMMYFUNCTION("""COMPUTED_VALUE"""),99)</f>
        <v>99</v>
      </c>
    </row>
    <row r="391" spans="1:34" ht="12.5">
      <c r="A391" s="1" t="str">
        <f ca="1">IFERROR(__xludf.DUMMYFUNCTION("""COMPUTED_VALUE"""),"20230210CAHEF")</f>
        <v>20230210CAHEF</v>
      </c>
      <c r="B391" s="1">
        <f ca="1">IFERROR(__xludf.DUMMYFUNCTION("""COMPUTED_VALUE"""),2)</f>
        <v>2</v>
      </c>
      <c r="C391" s="1">
        <f ca="1">IFERROR(__xludf.DUMMYFUNCTION("""COMPUTED_VALUE"""),10)</f>
        <v>10</v>
      </c>
      <c r="D391" s="1">
        <f ca="1">IFERROR(__xludf.DUMMYFUNCTION("""COMPUTED_VALUE"""),2023)</f>
        <v>2023</v>
      </c>
      <c r="E391" s="4">
        <f ca="1">IFERROR(__xludf.DUMMYFUNCTION("""COMPUTED_VALUE"""),44967)</f>
        <v>44967</v>
      </c>
      <c r="F391" s="1" t="str">
        <f ca="1">IFERROR(__xludf.DUMMYFUNCTION("""COMPUTED_VALUE"""),"Heaton Elementary School")</f>
        <v>Heaton Elementary School</v>
      </c>
      <c r="G391" s="1">
        <f ca="1">IFERROR(__xludf.DUMMYFUNCTION("""COMPUTED_VALUE"""),0)</f>
        <v>0</v>
      </c>
      <c r="H391" s="1">
        <f ca="1">IFERROR(__xludf.DUMMYFUNCTION("""COMPUTED_VALUE"""),1)</f>
        <v>1</v>
      </c>
      <c r="I391" s="1">
        <f ca="1">IFERROR(__xludf.DUMMYFUNCTION("""COMPUTED_VALUE"""),1)</f>
        <v>1</v>
      </c>
      <c r="J391" s="1">
        <f ca="1">IFERROR(__xludf.DUMMYFUNCTION("""COMPUTED_VALUE"""),0)</f>
        <v>0</v>
      </c>
      <c r="K391" s="1" t="str">
        <f ca="1">IFERROR(__xludf.DUMMYFUNCTION("""COMPUTED_VALUE"""),"Winter")</f>
        <v>Winter</v>
      </c>
      <c r="L391" s="1" t="str">
        <f ca="1">IFERROR(__xludf.DUMMYFUNCTION("""COMPUTED_VALUE"""),"Fresno")</f>
        <v>Fresno</v>
      </c>
      <c r="M391" s="1" t="str">
        <f ca="1">IFERROR(__xludf.DUMMYFUNCTION("""COMPUTED_VALUE"""),"CA")</f>
        <v>CA</v>
      </c>
      <c r="N391" s="1" t="str">
        <f ca="1">IFERROR(__xludf.DUMMYFUNCTION("""COMPUTED_VALUE"""),"Elementary")</f>
        <v>Elementary</v>
      </c>
      <c r="O391" s="1" t="str">
        <f ca="1">IFERROR(__xludf.DUMMYFUNCTION("""COMPUTED_VALUE"""),"School Bus")</f>
        <v>School Bus</v>
      </c>
      <c r="P391" s="1" t="str">
        <f ca="1">IFERROR(__xludf.DUMMYFUNCTION("""COMPUTED_VALUE"""),"School Bus")</f>
        <v>School Bus</v>
      </c>
      <c r="Q391" s="1" t="str">
        <f ca="1">IFERROR(__xludf.DUMMYFUNCTION("""COMPUTED_VALUE"""),"Yes")</f>
        <v>Yes</v>
      </c>
      <c r="R391" s="1" t="str">
        <f ca="1">IFERROR(__xludf.DUMMYFUNCTION("""COMPUTED_VALUE"""),"Dismissal")</f>
        <v>Dismissal</v>
      </c>
      <c r="S391" s="5">
        <f ca="1">IFERROR(__xludf.DUMMYFUNCTION("""COMPUTED_VALUE"""),0.635416666666666)</f>
        <v>0.63541666666666596</v>
      </c>
      <c r="T391" s="1">
        <f ca="1">IFERROR(__xludf.DUMMYFUNCTION("""COMPUTED_VALUE"""),1)</f>
        <v>1</v>
      </c>
      <c r="U391" s="1" t="str">
        <f ca="1">IFERROR(__xludf.DUMMYFUNCTION("""COMPUTED_VALUE"""),"Student shot school bus driver when bus stopped to drop off students")</f>
        <v>Student shot school bus driver when bus stopped to drop off students</v>
      </c>
      <c r="V391" s="1" t="str">
        <f ca="1">IFERROR(__xludf.DUMMYFUNCTION("""COMPUTED_VALUE"""),"The incident happened at 3:15 p.m. at Vassar and Glenn avenues, just west of the major intersection of Clinton and Blackstone avenues, Fresno Police Sgt. Diana Trueba Vega said. She said when the bus driver opened the door to let students out, a juvenile "&amp;"who normally rides her bus and was waiting at the stop shot her with an airsoft gun. The driver was struck in the leg.")</f>
        <v>The incident happened at 3:15 p.m. at Vassar and Glenn avenues, just west of the major intersection of Clinton and Blackstone avenues, Fresno Police Sgt. Diana Trueba Vega said. She said when the bus driver opened the door to let students out, a juvenile who normally rides her bus and was waiting at the stop shot her with an airsoft gun. The driver was struck in the leg.</v>
      </c>
      <c r="W391" s="1"/>
      <c r="X391" s="1" t="str">
        <f ca="1">IFERROR(__xludf.DUMMYFUNCTION("""COMPUTED_VALUE"""),"Victims Targeted")</f>
        <v>Victims Targeted</v>
      </c>
      <c r="Y391" s="1" t="str">
        <f ca="1">IFERROR(__xludf.DUMMYFUNCTION("""COMPUTED_VALUE"""),"No")</f>
        <v>No</v>
      </c>
      <c r="Z391" s="1"/>
      <c r="AA391" s="1" t="str">
        <f ca="1">IFERROR(__xludf.DUMMYFUNCTION("""COMPUTED_VALUE"""),"No")</f>
        <v>No</v>
      </c>
      <c r="AB391" s="1" t="str">
        <f ca="1">IFERROR(__xludf.DUMMYFUNCTION("""COMPUTED_VALUE"""),"No")</f>
        <v>No</v>
      </c>
      <c r="AC391" s="1" t="str">
        <f ca="1">IFERROR(__xludf.DUMMYFUNCTION("""COMPUTED_VALUE"""),"No")</f>
        <v>No</v>
      </c>
      <c r="AD391" s="1"/>
      <c r="AE391" s="1" t="str">
        <f ca="1">IFERROR(__xludf.DUMMYFUNCTION("""COMPUTED_VALUE"""),"No")</f>
        <v>No</v>
      </c>
      <c r="AF391" s="1"/>
      <c r="AG391" s="1" t="str">
        <f ca="1">IFERROR(__xludf.DUMMYFUNCTION("""COMPUTED_VALUE"""),"No")</f>
        <v>No</v>
      </c>
      <c r="AH391" s="1">
        <f ca="1">IFERROR(__xludf.DUMMYFUNCTION("""COMPUTED_VALUE"""),1)</f>
        <v>1</v>
      </c>
    </row>
    <row r="392" spans="1:34" ht="12.5">
      <c r="A392" s="1" t="str">
        <f ca="1">IFERROR(__xludf.DUMMYFUNCTION("""COMPUTED_VALUE"""),"20230208NYWIB")</f>
        <v>20230208NYWIB</v>
      </c>
      <c r="B392" s="1">
        <f ca="1">IFERROR(__xludf.DUMMYFUNCTION("""COMPUTED_VALUE"""),2)</f>
        <v>2</v>
      </c>
      <c r="C392" s="1">
        <f ca="1">IFERROR(__xludf.DUMMYFUNCTION("""COMPUTED_VALUE"""),8)</f>
        <v>8</v>
      </c>
      <c r="D392" s="1">
        <f ca="1">IFERROR(__xludf.DUMMYFUNCTION("""COMPUTED_VALUE"""),2023)</f>
        <v>2023</v>
      </c>
      <c r="E392" s="4">
        <f ca="1">IFERROR(__xludf.DUMMYFUNCTION("""COMPUTED_VALUE"""),44965)</f>
        <v>44965</v>
      </c>
      <c r="F392" s="1" t="str">
        <f ca="1">IFERROR(__xludf.DUMMYFUNCTION("""COMPUTED_VALUE"""),"Williamsburg Charter High School")</f>
        <v>Williamsburg Charter High School</v>
      </c>
      <c r="G392" s="1">
        <f ca="1">IFERROR(__xludf.DUMMYFUNCTION("""COMPUTED_VALUE"""),0)</f>
        <v>0</v>
      </c>
      <c r="H392" s="1">
        <f ca="1">IFERROR(__xludf.DUMMYFUNCTION("""COMPUTED_VALUE"""),3)</f>
        <v>3</v>
      </c>
      <c r="I392" s="1">
        <f ca="1">IFERROR(__xludf.DUMMYFUNCTION("""COMPUTED_VALUE"""),3)</f>
        <v>3</v>
      </c>
      <c r="J392" s="1">
        <f ca="1">IFERROR(__xludf.DUMMYFUNCTION("""COMPUTED_VALUE"""),0)</f>
        <v>0</v>
      </c>
      <c r="K392" s="1" t="str">
        <f ca="1">IFERROR(__xludf.DUMMYFUNCTION("""COMPUTED_VALUE"""),"Winter")</f>
        <v>Winter</v>
      </c>
      <c r="L392" s="1" t="str">
        <f ca="1">IFERROR(__xludf.DUMMYFUNCTION("""COMPUTED_VALUE"""),"Brooklyn")</f>
        <v>Brooklyn</v>
      </c>
      <c r="M392" s="1" t="str">
        <f ca="1">IFERROR(__xludf.DUMMYFUNCTION("""COMPUTED_VALUE"""),"NY")</f>
        <v>NY</v>
      </c>
      <c r="N392" s="1" t="str">
        <f ca="1">IFERROR(__xludf.DUMMYFUNCTION("""COMPUTED_VALUE"""),"High")</f>
        <v>High</v>
      </c>
      <c r="O392" s="1" t="str">
        <f ca="1">IFERROR(__xludf.DUMMYFUNCTION("""COMPUTED_VALUE"""),"Front of School")</f>
        <v>Front of School</v>
      </c>
      <c r="P392" s="1" t="str">
        <f ca="1">IFERROR(__xludf.DUMMYFUNCTION("""COMPUTED_VALUE"""),"Outside on School Property")</f>
        <v>Outside on School Property</v>
      </c>
      <c r="Q392" s="1" t="str">
        <f ca="1">IFERROR(__xludf.DUMMYFUNCTION("""COMPUTED_VALUE"""),"Yes")</f>
        <v>Yes</v>
      </c>
      <c r="R392" s="1" t="str">
        <f ca="1">IFERROR(__xludf.DUMMYFUNCTION("""COMPUTED_VALUE"""),"Dismissal")</f>
        <v>Dismissal</v>
      </c>
      <c r="S392" s="5">
        <f ca="1">IFERROR(__xludf.DUMMYFUNCTION("""COMPUTED_VALUE"""),0.59375)</f>
        <v>0.59375</v>
      </c>
      <c r="T392" s="1">
        <f ca="1">IFERROR(__xludf.DUMMYFUNCTION("""COMPUTED_VALUE"""),1)</f>
        <v>1</v>
      </c>
      <c r="U392" s="1" t="str">
        <f ca="1">IFERROR(__xludf.DUMMYFUNCTION("""COMPUTED_VALUE"""),"Three wounded when shots were fired near the front door at dismissal.")</f>
        <v>Three wounded when shots were fired near the front door at dismissal.</v>
      </c>
      <c r="V392" s="1" t="str">
        <f ca="1">IFERROR(__xludf.DUMMYFUNCTION("""COMPUTED_VALUE"""),"Police say a 15-year-old girl was shot in the back, a 17-year-old boy was shot in the thigh, and a 37-year-old man was grazed in the neck by a gunshot. All three victims were conscious at the time they were taken to the hospital. Police are looking for a "&amp;"school-age black male")</f>
        <v>Police say a 15-year-old girl was shot in the back, a 17-year-old boy was shot in the thigh, and a 37-year-old man was grazed in the neck by a gunshot. All three victims were conscious at the time they were taken to the hospital. Police are looking for a school-age black male</v>
      </c>
      <c r="W392" s="1" t="str">
        <f ca="1">IFERROR(__xludf.DUMMYFUNCTION("""COMPUTED_VALUE"""),"Escalation of Dispute")</f>
        <v>Escalation of Dispute</v>
      </c>
      <c r="X392" s="1" t="str">
        <f ca="1">IFERROR(__xludf.DUMMYFUNCTION("""COMPUTED_VALUE"""),"Both")</f>
        <v>Both</v>
      </c>
      <c r="Y392" s="1"/>
      <c r="Z392" s="1"/>
      <c r="AA392" s="1" t="str">
        <f ca="1">IFERROR(__xludf.DUMMYFUNCTION("""COMPUTED_VALUE"""),"No")</f>
        <v>No</v>
      </c>
      <c r="AB392" s="1" t="str">
        <f ca="1">IFERROR(__xludf.DUMMYFUNCTION("""COMPUTED_VALUE"""),"No")</f>
        <v>No</v>
      </c>
      <c r="AC392" s="1" t="str">
        <f ca="1">IFERROR(__xludf.DUMMYFUNCTION("""COMPUTED_VALUE"""),"No")</f>
        <v>No</v>
      </c>
      <c r="AD392" s="1" t="str">
        <f ca="1">IFERROR(__xludf.DUMMYFUNCTION("""COMPUTED_VALUE"""),"No")</f>
        <v>No</v>
      </c>
      <c r="AE392" s="1" t="str">
        <f ca="1">IFERROR(__xludf.DUMMYFUNCTION("""COMPUTED_VALUE"""),"No")</f>
        <v>No</v>
      </c>
      <c r="AF392" s="1"/>
      <c r="AG392" s="1" t="str">
        <f ca="1">IFERROR(__xludf.DUMMYFUNCTION("""COMPUTED_VALUE"""),"No")</f>
        <v>No</v>
      </c>
      <c r="AH392" s="1">
        <f ca="1">IFERROR(__xludf.DUMMYFUNCTION("""COMPUTED_VALUE"""),99)</f>
        <v>99</v>
      </c>
    </row>
    <row r="393" spans="1:34" ht="12.5">
      <c r="A393" s="1" t="str">
        <f ca="1">IFERROR(__xludf.DUMMYFUNCTION("""COMPUTED_VALUE"""),"20230206FLMIM")</f>
        <v>20230206FLMIM</v>
      </c>
      <c r="B393" s="1">
        <f ca="1">IFERROR(__xludf.DUMMYFUNCTION("""COMPUTED_VALUE"""),2)</f>
        <v>2</v>
      </c>
      <c r="C393" s="1">
        <f ca="1">IFERROR(__xludf.DUMMYFUNCTION("""COMPUTED_VALUE"""),6)</f>
        <v>6</v>
      </c>
      <c r="D393" s="1">
        <f ca="1">IFERROR(__xludf.DUMMYFUNCTION("""COMPUTED_VALUE"""),2023)</f>
        <v>2023</v>
      </c>
      <c r="E393" s="4">
        <f ca="1">IFERROR(__xludf.DUMMYFUNCTION("""COMPUTED_VALUE"""),44963)</f>
        <v>44963</v>
      </c>
      <c r="F393" s="1" t="str">
        <f ca="1">IFERROR(__xludf.DUMMYFUNCTION("""COMPUTED_VALUE"""),"Miami Norland Senior High School")</f>
        <v>Miami Norland Senior High School</v>
      </c>
      <c r="G393" s="1">
        <f ca="1">IFERROR(__xludf.DUMMYFUNCTION("""COMPUTED_VALUE"""),0)</f>
        <v>0</v>
      </c>
      <c r="H393" s="1">
        <f ca="1">IFERROR(__xludf.DUMMYFUNCTION("""COMPUTED_VALUE"""),1)</f>
        <v>1</v>
      </c>
      <c r="I393" s="1">
        <f ca="1">IFERROR(__xludf.DUMMYFUNCTION("""COMPUTED_VALUE"""),1)</f>
        <v>1</v>
      </c>
      <c r="J393" s="1">
        <f ca="1">IFERROR(__xludf.DUMMYFUNCTION("""COMPUTED_VALUE"""),0)</f>
        <v>0</v>
      </c>
      <c r="K393" s="1" t="str">
        <f ca="1">IFERROR(__xludf.DUMMYFUNCTION("""COMPUTED_VALUE"""),"Winter")</f>
        <v>Winter</v>
      </c>
      <c r="L393" s="1" t="str">
        <f ca="1">IFERROR(__xludf.DUMMYFUNCTION("""COMPUTED_VALUE"""),"Miami Gardens")</f>
        <v>Miami Gardens</v>
      </c>
      <c r="M393" s="1" t="str">
        <f ca="1">IFERROR(__xludf.DUMMYFUNCTION("""COMPUTED_VALUE"""),"FL")</f>
        <v>FL</v>
      </c>
      <c r="N393" s="1" t="str">
        <f ca="1">IFERROR(__xludf.DUMMYFUNCTION("""COMPUTED_VALUE"""),"High")</f>
        <v>High</v>
      </c>
      <c r="O393" s="1" t="str">
        <f ca="1">IFERROR(__xludf.DUMMYFUNCTION("""COMPUTED_VALUE"""),"Parking Lot")</f>
        <v>Parking Lot</v>
      </c>
      <c r="P393" s="1" t="str">
        <f ca="1">IFERROR(__xludf.DUMMYFUNCTION("""COMPUTED_VALUE"""),"Outside on School Property")</f>
        <v>Outside on School Property</v>
      </c>
      <c r="Q393" s="1" t="str">
        <f ca="1">IFERROR(__xludf.DUMMYFUNCTION("""COMPUTED_VALUE"""),"Yes")</f>
        <v>Yes</v>
      </c>
      <c r="R393" s="1" t="str">
        <f ca="1">IFERROR(__xludf.DUMMYFUNCTION("""COMPUTED_VALUE"""),"Dismissal")</f>
        <v>Dismissal</v>
      </c>
      <c r="S393" s="5">
        <f ca="1">IFERROR(__xludf.DUMMYFUNCTION("""COMPUTED_VALUE"""),0.666666666666666)</f>
        <v>0.66666666666666596</v>
      </c>
      <c r="T393" s="1">
        <f ca="1">IFERROR(__xludf.DUMMYFUNCTION("""COMPUTED_VALUE"""),1)</f>
        <v>1</v>
      </c>
      <c r="U393" s="1" t="str">
        <f ca="1">IFERROR(__xludf.DUMMYFUNCTION("""COMPUTED_VALUE"""),"Student shot following fight outside school")</f>
        <v>Student shot following fight outside school</v>
      </c>
      <c r="V393" s="1" t="str">
        <f ca="1">IFERROR(__xludf.DUMMYFUNCTION("""COMPUTED_VALUE"""),"18-year-old student shot following a fight next to the school building. Student walked away from the argument and then was shot in the arm and leg, airlifted to hospital. School went on lockdown for 1 hour. Shooter fled.")</f>
        <v>18-year-old student shot following a fight next to the school building. Student walked away from the argument and then was shot in the arm and leg, airlifted to hospital. School went on lockdown for 1 hour. Shooter fled.</v>
      </c>
      <c r="W393" s="1" t="str">
        <f ca="1">IFERROR(__xludf.DUMMYFUNCTION("""COMPUTED_VALUE"""),"Escalation of Dispute")</f>
        <v>Escalation of Dispute</v>
      </c>
      <c r="X393" s="1" t="str">
        <f ca="1">IFERROR(__xludf.DUMMYFUNCTION("""COMPUTED_VALUE"""),"Victims Targeted")</f>
        <v>Victims Targeted</v>
      </c>
      <c r="Y393" s="1"/>
      <c r="Z393" s="1"/>
      <c r="AA393" s="1" t="str">
        <f ca="1">IFERROR(__xludf.DUMMYFUNCTION("""COMPUTED_VALUE"""),"No")</f>
        <v>No</v>
      </c>
      <c r="AB393" s="1" t="str">
        <f ca="1">IFERROR(__xludf.DUMMYFUNCTION("""COMPUTED_VALUE"""),"No")</f>
        <v>No</v>
      </c>
      <c r="AC393" s="1" t="str">
        <f ca="1">IFERROR(__xludf.DUMMYFUNCTION("""COMPUTED_VALUE"""),"No")</f>
        <v>No</v>
      </c>
      <c r="AD393" s="1"/>
      <c r="AE393" s="1" t="str">
        <f ca="1">IFERROR(__xludf.DUMMYFUNCTION("""COMPUTED_VALUE"""),"No")</f>
        <v>No</v>
      </c>
      <c r="AF393" s="1"/>
      <c r="AG393" s="1" t="str">
        <f ca="1">IFERROR(__xludf.DUMMYFUNCTION("""COMPUTED_VALUE"""),"No")</f>
        <v>No</v>
      </c>
      <c r="AH393" s="1">
        <f ca="1">IFERROR(__xludf.DUMMYFUNCTION("""COMPUTED_VALUE"""),3)</f>
        <v>3</v>
      </c>
    </row>
    <row r="394" spans="1:34" ht="12.5">
      <c r="A394" s="1" t="str">
        <f ca="1">IFERROR(__xludf.DUMMYFUNCTION("""COMPUTED_VALUE"""),"20230206DEAPM")</f>
        <v>20230206DEAPM</v>
      </c>
      <c r="B394" s="1">
        <f ca="1">IFERROR(__xludf.DUMMYFUNCTION("""COMPUTED_VALUE"""),2)</f>
        <v>2</v>
      </c>
      <c r="C394" s="1">
        <f ca="1">IFERROR(__xludf.DUMMYFUNCTION("""COMPUTED_VALUE"""),6)</f>
        <v>6</v>
      </c>
      <c r="D394" s="1">
        <f ca="1">IFERROR(__xludf.DUMMYFUNCTION("""COMPUTED_VALUE"""),2023)</f>
        <v>2023</v>
      </c>
      <c r="E394" s="4">
        <f ca="1">IFERROR(__xludf.DUMMYFUNCTION("""COMPUTED_VALUE"""),44963)</f>
        <v>44963</v>
      </c>
      <c r="F394" s="1" t="str">
        <f ca="1">IFERROR(__xludf.DUMMYFUNCTION("""COMPUTED_VALUE"""),"Appoquinimink High School")</f>
        <v>Appoquinimink High School</v>
      </c>
      <c r="G394" s="1">
        <f ca="1">IFERROR(__xludf.DUMMYFUNCTION("""COMPUTED_VALUE"""),0)</f>
        <v>0</v>
      </c>
      <c r="H394" s="1">
        <f ca="1">IFERROR(__xludf.DUMMYFUNCTION("""COMPUTED_VALUE"""),0)</f>
        <v>0</v>
      </c>
      <c r="I394" s="1">
        <f ca="1">IFERROR(__xludf.DUMMYFUNCTION("""COMPUTED_VALUE"""),0)</f>
        <v>0</v>
      </c>
      <c r="J394" s="1">
        <f ca="1">IFERROR(__xludf.DUMMYFUNCTION("""COMPUTED_VALUE"""),0)</f>
        <v>0</v>
      </c>
      <c r="K394" s="1" t="str">
        <f ca="1">IFERROR(__xludf.DUMMYFUNCTION("""COMPUTED_VALUE"""),"Winter")</f>
        <v>Winter</v>
      </c>
      <c r="L394" s="1" t="str">
        <f ca="1">IFERROR(__xludf.DUMMYFUNCTION("""COMPUTED_VALUE"""),"Middletown")</f>
        <v>Middletown</v>
      </c>
      <c r="M394" s="1" t="str">
        <f ca="1">IFERROR(__xludf.DUMMYFUNCTION("""COMPUTED_VALUE"""),"DE")</f>
        <v>DE</v>
      </c>
      <c r="N394" s="1" t="str">
        <f ca="1">IFERROR(__xludf.DUMMYFUNCTION("""COMPUTED_VALUE"""),"High")</f>
        <v>High</v>
      </c>
      <c r="O394" s="1" t="str">
        <f ca="1">IFERROR(__xludf.DUMMYFUNCTION("""COMPUTED_VALUE"""),"Hallway")</f>
        <v>Hallway</v>
      </c>
      <c r="P394" s="1" t="str">
        <f ca="1">IFERROR(__xludf.DUMMYFUNCTION("""COMPUTED_VALUE"""),"Inside School Building")</f>
        <v>Inside School Building</v>
      </c>
      <c r="Q394" s="1" t="str">
        <f ca="1">IFERROR(__xludf.DUMMYFUNCTION("""COMPUTED_VALUE"""),"No")</f>
        <v>No</v>
      </c>
      <c r="R394" s="1" t="str">
        <f ca="1">IFERROR(__xludf.DUMMYFUNCTION("""COMPUTED_VALUE"""),"Sport Event")</f>
        <v>Sport Event</v>
      </c>
      <c r="S394" s="5">
        <f ca="1">IFERROR(__xludf.DUMMYFUNCTION("""COMPUTED_VALUE"""),0.802083333333333)</f>
        <v>0.80208333333333304</v>
      </c>
      <c r="T394" s="1">
        <f ca="1">IFERROR(__xludf.DUMMYFUNCTION("""COMPUTED_VALUE"""),1)</f>
        <v>1</v>
      </c>
      <c r="U394" s="1" t="str">
        <f ca="1">IFERROR(__xludf.DUMMYFUNCTION("""COMPUTED_VALUE"""),"Shots fired during fight in hallway near gym during basketball game")</f>
        <v>Shots fired during fight in hallway near gym during basketball game</v>
      </c>
      <c r="V394" s="1" t="str">
        <f ca="1">IFERROR(__xludf.DUMMYFUNCTION("""COMPUTED_VALUE"""),"Delaware State Police said they are investigating a shooting during Monday night's Appoquinimink High School Boys Basketball game. The game was stopped at 4:01 to go in the fourth quarter when the livestream video showed officials walking onto the west en"&amp;"d of the court, with players from Tri-State Christian swiftly moving in the opposite direction away from the court and their benches in the direction of the main parking lot. The video, which did not include audio, was quickly made private on the school's"&amp;" YouTube channel. In a statement sent to Appoquinimink families late Monday night, Superintendent Matt Burrows said there was a fight in the hallway outside the the gym near the boys bathroom. Burrows said the incident ended, when a gun was discovered on "&amp;"the floor, with his characterization saying ""police are investigating reports that the gun may have discharged."" Delaware State Police said there are no known gunshot victims or injuries, but no suspect was taken into custody.")</f>
        <v>Delaware State Police said they are investigating a shooting during Monday night's Appoquinimink High School Boys Basketball game. The game was stopped at 4:01 to go in the fourth quarter when the livestream video showed officials walking onto the west end of the court, with players from Tri-State Christian swiftly moving in the opposite direction away from the court and their benches in the direction of the main parking lot. The video, which did not include audio, was quickly made private on the school's YouTube channel. In a statement sent to Appoquinimink families late Monday night, Superintendent Matt Burrows said there was a fight in the hallway outside the the gym near the boys bathroom. Burrows said the incident ended, when a gun was discovered on the floor, with his characterization saying "police are investigating reports that the gun may have discharged." Delaware State Police said there are no known gunshot victims or injuries, but no suspect was taken into custody.</v>
      </c>
      <c r="W394" s="1" t="str">
        <f ca="1">IFERROR(__xludf.DUMMYFUNCTION("""COMPUTED_VALUE"""),"Escalation of Dispute")</f>
        <v>Escalation of Dispute</v>
      </c>
      <c r="X394" s="1" t="str">
        <f ca="1">IFERROR(__xludf.DUMMYFUNCTION("""COMPUTED_VALUE"""),"Victims Targeted")</f>
        <v>Victims Targeted</v>
      </c>
      <c r="Y394" s="1"/>
      <c r="Z394" s="1"/>
      <c r="AA394" s="1" t="str">
        <f ca="1">IFERROR(__xludf.DUMMYFUNCTION("""COMPUTED_VALUE"""),"No")</f>
        <v>No</v>
      </c>
      <c r="AB394" s="1" t="str">
        <f ca="1">IFERROR(__xludf.DUMMYFUNCTION("""COMPUTED_VALUE"""),"No")</f>
        <v>No</v>
      </c>
      <c r="AC394" s="1" t="str">
        <f ca="1">IFERROR(__xludf.DUMMYFUNCTION("""COMPUTED_VALUE"""),"No")</f>
        <v>No</v>
      </c>
      <c r="AD394" s="1"/>
      <c r="AE394" s="1" t="str">
        <f ca="1">IFERROR(__xludf.DUMMYFUNCTION("""COMPUTED_VALUE"""),"No")</f>
        <v>No</v>
      </c>
      <c r="AF394" s="1"/>
      <c r="AG394" s="1" t="str">
        <f ca="1">IFERROR(__xludf.DUMMYFUNCTION("""COMPUTED_VALUE"""),"No")</f>
        <v>No</v>
      </c>
      <c r="AH394" s="1">
        <f ca="1">IFERROR(__xludf.DUMMYFUNCTION("""COMPUTED_VALUE"""),1)</f>
        <v>1</v>
      </c>
    </row>
    <row r="395" spans="1:34" ht="12.5">
      <c r="A395" s="1" t="str">
        <f ca="1">IFERROR(__xludf.DUMMYFUNCTION("""COMPUTED_VALUE"""),"20230206ARKIF")</f>
        <v>20230206ARKIF</v>
      </c>
      <c r="B395" s="1">
        <f ca="1">IFERROR(__xludf.DUMMYFUNCTION("""COMPUTED_VALUE"""),2)</f>
        <v>2</v>
      </c>
      <c r="C395" s="1">
        <f ca="1">IFERROR(__xludf.DUMMYFUNCTION("""COMPUTED_VALUE"""),6)</f>
        <v>6</v>
      </c>
      <c r="D395" s="1">
        <f ca="1">IFERROR(__xludf.DUMMYFUNCTION("""COMPUTED_VALUE"""),2023)</f>
        <v>2023</v>
      </c>
      <c r="E395" s="4">
        <f ca="1">IFERROR(__xludf.DUMMYFUNCTION("""COMPUTED_VALUE"""),44963)</f>
        <v>44963</v>
      </c>
      <c r="F395" s="1" t="str">
        <f ca="1">IFERROR(__xludf.DUMMYFUNCTION("""COMPUTED_VALUE"""),"Kimmons Middle School")</f>
        <v>Kimmons Middle School</v>
      </c>
      <c r="G395" s="1">
        <f ca="1">IFERROR(__xludf.DUMMYFUNCTION("""COMPUTED_VALUE"""),0)</f>
        <v>0</v>
      </c>
      <c r="H395" s="1">
        <f ca="1">IFERROR(__xludf.DUMMYFUNCTION("""COMPUTED_VALUE"""),0)</f>
        <v>0</v>
      </c>
      <c r="I395" s="1">
        <f ca="1">IFERROR(__xludf.DUMMYFUNCTION("""COMPUTED_VALUE"""),0)</f>
        <v>0</v>
      </c>
      <c r="J395" s="1">
        <f ca="1">IFERROR(__xludf.DUMMYFUNCTION("""COMPUTED_VALUE"""),0)</f>
        <v>0</v>
      </c>
      <c r="K395" s="1" t="str">
        <f ca="1">IFERROR(__xludf.DUMMYFUNCTION("""COMPUTED_VALUE"""),"Winter")</f>
        <v>Winter</v>
      </c>
      <c r="L395" s="1" t="str">
        <f ca="1">IFERROR(__xludf.DUMMYFUNCTION("""COMPUTED_VALUE"""),"Fort Smith")</f>
        <v>Fort Smith</v>
      </c>
      <c r="M395" s="1" t="str">
        <f ca="1">IFERROR(__xludf.DUMMYFUNCTION("""COMPUTED_VALUE"""),"AR")</f>
        <v>AR</v>
      </c>
      <c r="N395" s="1" t="str">
        <f ca="1">IFERROR(__xludf.DUMMYFUNCTION("""COMPUTED_VALUE"""),"Middle")</f>
        <v>Middle</v>
      </c>
      <c r="O395" s="1" t="str">
        <f ca="1">IFERROR(__xludf.DUMMYFUNCTION("""COMPUTED_VALUE"""),"Gym")</f>
        <v>Gym</v>
      </c>
      <c r="P395" s="1" t="str">
        <f ca="1">IFERROR(__xludf.DUMMYFUNCTION("""COMPUTED_VALUE"""),"Inside School Building")</f>
        <v>Inside School Building</v>
      </c>
      <c r="Q395" s="1" t="str">
        <f ca="1">IFERROR(__xludf.DUMMYFUNCTION("""COMPUTED_VALUE"""),"No")</f>
        <v>No</v>
      </c>
      <c r="R395" s="1" t="str">
        <f ca="1">IFERROR(__xludf.DUMMYFUNCTION("""COMPUTED_VALUE"""),"Sport Event")</f>
        <v>Sport Event</v>
      </c>
      <c r="S395" s="5">
        <f ca="1">IFERROR(__xludf.DUMMYFUNCTION("""COMPUTED_VALUE"""),0.791666666666666)</f>
        <v>0.79166666666666596</v>
      </c>
      <c r="T395" s="1">
        <f ca="1">IFERROR(__xludf.DUMMYFUNCTION("""COMPUTED_VALUE"""),1)</f>
        <v>1</v>
      </c>
      <c r="U395" s="1" t="str">
        <f ca="1">IFERROR(__xludf.DUMMYFUNCTION("""COMPUTED_VALUE"""),"Teen pointed gun at two students during basketball game, school locked down")</f>
        <v>Teen pointed gun at two students during basketball game, school locked down</v>
      </c>
      <c r="V395" s="1" t="str">
        <f ca="1">IFERROR(__xludf.DUMMYFUNCTION("""COMPUTED_VALUE"""),"14-year-old boy pointed a gun at two people and spoke a threat before running away. Officials said no shots were fired, and no one was hurt, according to the release. The boy was taken into custody on a warrant for aggravated assault and terroristic threa"&amp;"tening, the release stated. School resource officer locked down the gym and the game was canceled as a result.")</f>
        <v>14-year-old boy pointed a gun at two people and spoke a threat before running away. Officials said no shots were fired, and no one was hurt, according to the release. The boy was taken into custody on a warrant for aggravated assault and terroristic threatening, the release stated. School resource officer locked down the gym and the game was canceled as a result.</v>
      </c>
      <c r="W395" s="1" t="str">
        <f ca="1">IFERROR(__xludf.DUMMYFUNCTION("""COMPUTED_VALUE"""),"Escalation of Dispute")</f>
        <v>Escalation of Dispute</v>
      </c>
      <c r="X395" s="1" t="str">
        <f ca="1">IFERROR(__xludf.DUMMYFUNCTION("""COMPUTED_VALUE"""),"Victims Targeted")</f>
        <v>Victims Targeted</v>
      </c>
      <c r="Y395" s="1" t="str">
        <f ca="1">IFERROR(__xludf.DUMMYFUNCTION("""COMPUTED_VALUE"""),"No")</f>
        <v>No</v>
      </c>
      <c r="Z395" s="1"/>
      <c r="AA395" s="1" t="str">
        <f ca="1">IFERROR(__xludf.DUMMYFUNCTION("""COMPUTED_VALUE"""),"No")</f>
        <v>No</v>
      </c>
      <c r="AB395" s="1" t="str">
        <f ca="1">IFERROR(__xludf.DUMMYFUNCTION("""COMPUTED_VALUE"""),"No")</f>
        <v>No</v>
      </c>
      <c r="AC395" s="1" t="str">
        <f ca="1">IFERROR(__xludf.DUMMYFUNCTION("""COMPUTED_VALUE"""),"No")</f>
        <v>No</v>
      </c>
      <c r="AD395" s="1"/>
      <c r="AE395" s="1" t="str">
        <f ca="1">IFERROR(__xludf.DUMMYFUNCTION("""COMPUTED_VALUE"""),"No")</f>
        <v>No</v>
      </c>
      <c r="AF395" s="1"/>
      <c r="AG395" s="1" t="str">
        <f ca="1">IFERROR(__xludf.DUMMYFUNCTION("""COMPUTED_VALUE"""),"No")</f>
        <v>No</v>
      </c>
      <c r="AH395" s="1">
        <f ca="1">IFERROR(__xludf.DUMMYFUNCTION("""COMPUTED_VALUE"""),0)</f>
        <v>0</v>
      </c>
    </row>
    <row r="396" spans="1:34" ht="12.5">
      <c r="A396" s="1" t="str">
        <f ca="1">IFERROR(__xludf.DUMMYFUNCTION("""COMPUTED_VALUE"""),"20230202UTPAS")</f>
        <v>20230202UTPAS</v>
      </c>
      <c r="B396" s="1">
        <f ca="1">IFERROR(__xludf.DUMMYFUNCTION("""COMPUTED_VALUE"""),2)</f>
        <v>2</v>
      </c>
      <c r="C396" s="1">
        <f ca="1">IFERROR(__xludf.DUMMYFUNCTION("""COMPUTED_VALUE"""),2)</f>
        <v>2</v>
      </c>
      <c r="D396" s="1">
        <f ca="1">IFERROR(__xludf.DUMMYFUNCTION("""COMPUTED_VALUE"""),2023)</f>
        <v>2023</v>
      </c>
      <c r="E396" s="4">
        <f ca="1">IFERROR(__xludf.DUMMYFUNCTION("""COMPUTED_VALUE"""),44959)</f>
        <v>44959</v>
      </c>
      <c r="F396" s="1" t="str">
        <f ca="1">IFERROR(__xludf.DUMMYFUNCTION("""COMPUTED_VALUE"""),"Paradise Canyon Elementary")</f>
        <v>Paradise Canyon Elementary</v>
      </c>
      <c r="G396" s="1">
        <f ca="1">IFERROR(__xludf.DUMMYFUNCTION("""COMPUTED_VALUE"""),0)</f>
        <v>0</v>
      </c>
      <c r="H396" s="1">
        <f ca="1">IFERROR(__xludf.DUMMYFUNCTION("""COMPUTED_VALUE"""),0)</f>
        <v>0</v>
      </c>
      <c r="I396" s="1">
        <f ca="1">IFERROR(__xludf.DUMMYFUNCTION("""COMPUTED_VALUE"""),0)</f>
        <v>0</v>
      </c>
      <c r="J396" s="1">
        <f ca="1">IFERROR(__xludf.DUMMYFUNCTION("""COMPUTED_VALUE"""),0)</f>
        <v>0</v>
      </c>
      <c r="K396" s="1" t="str">
        <f ca="1">IFERROR(__xludf.DUMMYFUNCTION("""COMPUTED_VALUE"""),"Winter")</f>
        <v>Winter</v>
      </c>
      <c r="L396" s="1" t="str">
        <f ca="1">IFERROR(__xludf.DUMMYFUNCTION("""COMPUTED_VALUE"""),"St. George")</f>
        <v>St. George</v>
      </c>
      <c r="M396" s="1" t="str">
        <f ca="1">IFERROR(__xludf.DUMMYFUNCTION("""COMPUTED_VALUE"""),"UT")</f>
        <v>UT</v>
      </c>
      <c r="N396" s="1" t="str">
        <f ca="1">IFERROR(__xludf.DUMMYFUNCTION("""COMPUTED_VALUE"""),"Elementary")</f>
        <v>Elementary</v>
      </c>
      <c r="O396" s="1" t="str">
        <f ca="1">IFERROR(__xludf.DUMMYFUNCTION("""COMPUTED_VALUE"""),"Basketball Court")</f>
        <v>Basketball Court</v>
      </c>
      <c r="P396" s="1" t="str">
        <f ca="1">IFERROR(__xludf.DUMMYFUNCTION("""COMPUTED_VALUE"""),"Outside on School Property")</f>
        <v>Outside on School Property</v>
      </c>
      <c r="Q396" s="1" t="str">
        <f ca="1">IFERROR(__xludf.DUMMYFUNCTION("""COMPUTED_VALUE"""),"No")</f>
        <v>No</v>
      </c>
      <c r="R396" s="1" t="str">
        <f ca="1">IFERROR(__xludf.DUMMYFUNCTION("""COMPUTED_VALUE"""),"Evening")</f>
        <v>Evening</v>
      </c>
      <c r="S396" s="5">
        <f ca="1">IFERROR(__xludf.DUMMYFUNCTION("""COMPUTED_VALUE"""),0.770833333333333)</f>
        <v>0.77083333333333304</v>
      </c>
      <c r="T396" s="1">
        <f ca="1">IFERROR(__xludf.DUMMYFUNCTION("""COMPUTED_VALUE"""),1)</f>
        <v>1</v>
      </c>
      <c r="U396" s="1" t="str">
        <f ca="1">IFERROR(__xludf.DUMMYFUNCTION("""COMPUTED_VALUE"""),"Teen fired shot during fight at basketball game")</f>
        <v>Teen fired shot during fight at basketball game</v>
      </c>
      <c r="V396" s="1" t="str">
        <f ca="1">IFERROR(__xludf.DUMMYFUNCTION("""COMPUTED_VALUE"""),"“An officer reviewed video surveillance from the school and observed a group playing basketball at the basketball court,” Toledo’s charging documents say. “Another group is seen entering school property and approaching the group playing basketball. A figh"&amp;"t between the two groups takes place, however no one firing a gun could be seen in this video. “As officers followed up with witnesses they learned a cell phone video had been taken of the fight which shows a male producing a handgun and shooting it in th"&amp;"e air during the fight. This case was then forwarded to the gang unit for follow up.”")</f>
        <v>“An officer reviewed video surveillance from the school and observed a group playing basketball at the basketball court,” Toledo’s charging documents say. “Another group is seen entering school property and approaching the group playing basketball. A fight between the two groups takes place, however no one firing a gun could be seen in this video. “As officers followed up with witnesses they learned a cell phone video had been taken of the fight which shows a male producing a handgun and shooting it in the air during the fight. This case was then forwarded to the gang unit for follow up.”</v>
      </c>
      <c r="W396" s="1" t="str">
        <f ca="1">IFERROR(__xludf.DUMMYFUNCTION("""COMPUTED_VALUE"""),"Escalation of Dispute")</f>
        <v>Escalation of Dispute</v>
      </c>
      <c r="X396" s="1" t="str">
        <f ca="1">IFERROR(__xludf.DUMMYFUNCTION("""COMPUTED_VALUE"""),"Neither")</f>
        <v>Neither</v>
      </c>
      <c r="Y396" s="1" t="str">
        <f ca="1">IFERROR(__xludf.DUMMYFUNCTION("""COMPUTED_VALUE"""),"No")</f>
        <v>No</v>
      </c>
      <c r="Z396" s="1"/>
      <c r="AA396" s="1" t="str">
        <f ca="1">IFERROR(__xludf.DUMMYFUNCTION("""COMPUTED_VALUE"""),"No")</f>
        <v>No</v>
      </c>
      <c r="AB396" s="1" t="str">
        <f ca="1">IFERROR(__xludf.DUMMYFUNCTION("""COMPUTED_VALUE"""),"No")</f>
        <v>No</v>
      </c>
      <c r="AC396" s="1" t="str">
        <f ca="1">IFERROR(__xludf.DUMMYFUNCTION("""COMPUTED_VALUE"""),"No")</f>
        <v>No</v>
      </c>
      <c r="AD396" s="1" t="str">
        <f ca="1">IFERROR(__xludf.DUMMYFUNCTION("""COMPUTED_VALUE"""),"No")</f>
        <v>No</v>
      </c>
      <c r="AE396" s="1" t="str">
        <f ca="1">IFERROR(__xludf.DUMMYFUNCTION("""COMPUTED_VALUE"""),"No")</f>
        <v>No</v>
      </c>
      <c r="AF396" s="1" t="str">
        <f ca="1">IFERROR(__xludf.DUMMYFUNCTION("""COMPUTED_VALUE"""),"Yes")</f>
        <v>Yes</v>
      </c>
      <c r="AG396" s="1" t="str">
        <f ca="1">IFERROR(__xludf.DUMMYFUNCTION("""COMPUTED_VALUE"""),"No")</f>
        <v>No</v>
      </c>
      <c r="AH396" s="1">
        <f ca="1">IFERROR(__xludf.DUMMYFUNCTION("""COMPUTED_VALUE"""),99)</f>
        <v>99</v>
      </c>
    </row>
    <row r="397" spans="1:34" ht="12.5">
      <c r="A397" s="1" t="str">
        <f ca="1">IFERROR(__xludf.DUMMYFUNCTION("""COMPUTED_VALUE"""),"20230202OHRIP")</f>
        <v>20230202OHRIP</v>
      </c>
      <c r="B397" s="1">
        <f ca="1">IFERROR(__xludf.DUMMYFUNCTION("""COMPUTED_VALUE"""),2)</f>
        <v>2</v>
      </c>
      <c r="C397" s="1">
        <f ca="1">IFERROR(__xludf.DUMMYFUNCTION("""COMPUTED_VALUE"""),2)</f>
        <v>2</v>
      </c>
      <c r="D397" s="1">
        <f ca="1">IFERROR(__xludf.DUMMYFUNCTION("""COMPUTED_VALUE"""),2023)</f>
        <v>2023</v>
      </c>
      <c r="E397" s="4">
        <f ca="1">IFERROR(__xludf.DUMMYFUNCTION("""COMPUTED_VALUE"""),44959)</f>
        <v>44959</v>
      </c>
      <c r="F397" s="1" t="str">
        <f ca="1">IFERROR(__xludf.DUMMYFUNCTION("""COMPUTED_VALUE"""),"Ridgeview Junior High School ")</f>
        <v xml:space="preserve">Ridgeview Junior High School </v>
      </c>
      <c r="G397" s="1">
        <f ca="1">IFERROR(__xludf.DUMMYFUNCTION("""COMPUTED_VALUE"""),0)</f>
        <v>0</v>
      </c>
      <c r="H397" s="1">
        <f ca="1">IFERROR(__xludf.DUMMYFUNCTION("""COMPUTED_VALUE"""),0)</f>
        <v>0</v>
      </c>
      <c r="I397" s="1">
        <f ca="1">IFERROR(__xludf.DUMMYFUNCTION("""COMPUTED_VALUE"""),0)</f>
        <v>0</v>
      </c>
      <c r="J397" s="1">
        <f ca="1">IFERROR(__xludf.DUMMYFUNCTION("""COMPUTED_VALUE"""),1)</f>
        <v>1</v>
      </c>
      <c r="K397" s="1" t="str">
        <f ca="1">IFERROR(__xludf.DUMMYFUNCTION("""COMPUTED_VALUE"""),"Winter")</f>
        <v>Winter</v>
      </c>
      <c r="L397" s="1" t="str">
        <f ca="1">IFERROR(__xludf.DUMMYFUNCTION("""COMPUTED_VALUE"""),"Pickerington")</f>
        <v>Pickerington</v>
      </c>
      <c r="M397" s="1" t="str">
        <f ca="1">IFERROR(__xludf.DUMMYFUNCTION("""COMPUTED_VALUE"""),"OH")</f>
        <v>OH</v>
      </c>
      <c r="N397" s="1" t="str">
        <f ca="1">IFERROR(__xludf.DUMMYFUNCTION("""COMPUTED_VALUE"""),"Middle")</f>
        <v>Middle</v>
      </c>
      <c r="O397" s="1" t="str">
        <f ca="1">IFERROR(__xludf.DUMMYFUNCTION("""COMPUTED_VALUE"""),"Office")</f>
        <v>Office</v>
      </c>
      <c r="P397" s="1" t="str">
        <f ca="1">IFERROR(__xludf.DUMMYFUNCTION("""COMPUTED_VALUE"""),"Inside School Building")</f>
        <v>Inside School Building</v>
      </c>
      <c r="Q397" s="1" t="str">
        <f ca="1">IFERROR(__xludf.DUMMYFUNCTION("""COMPUTED_VALUE"""),"Yes")</f>
        <v>Yes</v>
      </c>
      <c r="R397" s="1" t="str">
        <f ca="1">IFERROR(__xludf.DUMMYFUNCTION("""COMPUTED_VALUE"""),"Morning Classes")</f>
        <v>Morning Classes</v>
      </c>
      <c r="S397" s="5">
        <f ca="1">IFERROR(__xludf.DUMMYFUNCTION("""COMPUTED_VALUE"""),0.416666666666666)</f>
        <v>0.41666666666666602</v>
      </c>
      <c r="T397" s="1">
        <f ca="1">IFERROR(__xludf.DUMMYFUNCTION("""COMPUTED_VALUE"""),1)</f>
        <v>1</v>
      </c>
      <c r="U397" s="1" t="str">
        <f ca="1">IFERROR(__xludf.DUMMYFUNCTION("""COMPUTED_VALUE"""),"Parent fatally shot self in school office")</f>
        <v>Parent fatally shot self in school office</v>
      </c>
      <c r="V397" s="1" t="str">
        <f ca="1">IFERROR(__xludf.DUMMYFUNCTION("""COMPUTED_VALUE"""),"A school resource officer and detective were quickly dispatched to the school for a student’s mother and stepfather having a prior incident off campus. The responding detective went into the office to speak with the stepfather and the two had a brief conv"&amp;"ersation before the man produced a handgun and took his own life. The child and mother were not in the room, but were in the vicinity. No one else was injured in the incident. School went on lockdown, evacuated to the nearby high school, and classes were "&amp;"cancelled the next day.")</f>
        <v>A school resource officer and detective were quickly dispatched to the school for a student’s mother and stepfather having a prior incident off campus. The responding detective went into the office to speak with the stepfather and the two had a brief conversation before the man produced a handgun and took his own life. The child and mother were not in the room, but were in the vicinity. No one else was injured in the incident. School went on lockdown, evacuated to the nearby high school, and classes were cancelled the next day.</v>
      </c>
      <c r="W397" s="1" t="str">
        <f ca="1">IFERROR(__xludf.DUMMYFUNCTION("""COMPUTED_VALUE"""),"Suicide/Attempted")</f>
        <v>Suicide/Attempted</v>
      </c>
      <c r="X397" s="1" t="str">
        <f ca="1">IFERROR(__xludf.DUMMYFUNCTION("""COMPUTED_VALUE"""),"Victims Targeted")</f>
        <v>Victims Targeted</v>
      </c>
      <c r="Y397" s="1" t="str">
        <f ca="1">IFERROR(__xludf.DUMMYFUNCTION("""COMPUTED_VALUE"""),"No")</f>
        <v>No</v>
      </c>
      <c r="Z397" s="1"/>
      <c r="AA397" s="1" t="str">
        <f ca="1">IFERROR(__xludf.DUMMYFUNCTION("""COMPUTED_VALUE"""),"No")</f>
        <v>No</v>
      </c>
      <c r="AB397" s="1" t="str">
        <f ca="1">IFERROR(__xludf.DUMMYFUNCTION("""COMPUTED_VALUE"""),"No")</f>
        <v>No</v>
      </c>
      <c r="AC397" s="1" t="str">
        <f ca="1">IFERROR(__xludf.DUMMYFUNCTION("""COMPUTED_VALUE"""),"No")</f>
        <v>No</v>
      </c>
      <c r="AD397" s="1" t="str">
        <f ca="1">IFERROR(__xludf.DUMMYFUNCTION("""COMPUTED_VALUE"""),"No")</f>
        <v>No</v>
      </c>
      <c r="AE397" s="1"/>
      <c r="AF397" s="1" t="str">
        <f ca="1">IFERROR(__xludf.DUMMYFUNCTION("""COMPUTED_VALUE"""),"No")</f>
        <v>No</v>
      </c>
      <c r="AG397" s="1" t="str">
        <f ca="1">IFERROR(__xludf.DUMMYFUNCTION("""COMPUTED_VALUE"""),"No")</f>
        <v>No</v>
      </c>
      <c r="AH397" s="1">
        <f ca="1">IFERROR(__xludf.DUMMYFUNCTION("""COMPUTED_VALUE"""),1)</f>
        <v>1</v>
      </c>
    </row>
    <row r="398" spans="1:34" ht="12.5">
      <c r="A398" s="1" t="str">
        <f ca="1">IFERROR(__xludf.DUMMYFUNCTION("""COMPUTED_VALUE"""),"20230131OKGEG")</f>
        <v>20230131OKGEG</v>
      </c>
      <c r="B398" s="1">
        <f ca="1">IFERROR(__xludf.DUMMYFUNCTION("""COMPUTED_VALUE"""),1)</f>
        <v>1</v>
      </c>
      <c r="C398" s="1">
        <f ca="1">IFERROR(__xludf.DUMMYFUNCTION("""COMPUTED_VALUE"""),31)</f>
        <v>31</v>
      </c>
      <c r="D398" s="1">
        <f ca="1">IFERROR(__xludf.DUMMYFUNCTION("""COMPUTED_VALUE"""),2023)</f>
        <v>2023</v>
      </c>
      <c r="E398" s="4">
        <f ca="1">IFERROR(__xludf.DUMMYFUNCTION("""COMPUTED_VALUE"""),44957)</f>
        <v>44957</v>
      </c>
      <c r="F398" s="1" t="str">
        <f ca="1">IFERROR(__xludf.DUMMYFUNCTION("""COMPUTED_VALUE"""),"Geary Elementary School")</f>
        <v>Geary Elementary School</v>
      </c>
      <c r="G398" s="1">
        <f ca="1">IFERROR(__xludf.DUMMYFUNCTION("""COMPUTED_VALUE"""),0)</f>
        <v>0</v>
      </c>
      <c r="H398" s="1">
        <f ca="1">IFERROR(__xludf.DUMMYFUNCTION("""COMPUTED_VALUE"""),0)</f>
        <v>0</v>
      </c>
      <c r="I398" s="1">
        <f ca="1">IFERROR(__xludf.DUMMYFUNCTION("""COMPUTED_VALUE"""),0)</f>
        <v>0</v>
      </c>
      <c r="J398" s="1">
        <f ca="1">IFERROR(__xludf.DUMMYFUNCTION("""COMPUTED_VALUE"""),0)</f>
        <v>0</v>
      </c>
      <c r="K398" s="1" t="str">
        <f ca="1">IFERROR(__xludf.DUMMYFUNCTION("""COMPUTED_VALUE"""),"Winter")</f>
        <v>Winter</v>
      </c>
      <c r="L398" s="1" t="str">
        <f ca="1">IFERROR(__xludf.DUMMYFUNCTION("""COMPUTED_VALUE"""),"Geary")</f>
        <v>Geary</v>
      </c>
      <c r="M398" s="1" t="str">
        <f ca="1">IFERROR(__xludf.DUMMYFUNCTION("""COMPUTED_VALUE"""),"OK")</f>
        <v>OK</v>
      </c>
      <c r="N398" s="1" t="str">
        <f ca="1">IFERROR(__xludf.DUMMYFUNCTION("""COMPUTED_VALUE"""),"Elementary")</f>
        <v>Elementary</v>
      </c>
      <c r="O398" s="1" t="str">
        <f ca="1">IFERROR(__xludf.DUMMYFUNCTION("""COMPUTED_VALUE"""),"Parking Lot")</f>
        <v>Parking Lot</v>
      </c>
      <c r="P398" s="1" t="str">
        <f ca="1">IFERROR(__xludf.DUMMYFUNCTION("""COMPUTED_VALUE"""),"Outside on School Property")</f>
        <v>Outside on School Property</v>
      </c>
      <c r="Q398" s="1" t="str">
        <f ca="1">IFERROR(__xludf.DUMMYFUNCTION("""COMPUTED_VALUE"""),"Yes")</f>
        <v>Yes</v>
      </c>
      <c r="R398" s="1" t="str">
        <f ca="1">IFERROR(__xludf.DUMMYFUNCTION("""COMPUTED_VALUE"""),"Dismissal")</f>
        <v>Dismissal</v>
      </c>
      <c r="S398" s="5">
        <f ca="1">IFERROR(__xludf.DUMMYFUNCTION("""COMPUTED_VALUE"""),0.625)</f>
        <v>0.625</v>
      </c>
      <c r="T398" s="1">
        <f ca="1">IFERROR(__xludf.DUMMYFUNCTION("""COMPUTED_VALUE"""),1)</f>
        <v>1</v>
      </c>
      <c r="U398" s="1" t="str">
        <f ca="1">IFERROR(__xludf.DUMMYFUNCTION("""COMPUTED_VALUE"""),"Parent fired shot while moving rifle in back seat of car, bullet struck teacher's car in school parking lot")</f>
        <v>Parent fired shot while moving rifle in back seat of car, bullet struck teacher's car in school parking lot</v>
      </c>
      <c r="V398" s="1" t="str">
        <f ca="1">IFERROR(__xludf.DUMMYFUNCTION("""COMPUTED_VALUE"""),"Parent fired shot while moving loaded rifle in back seat of car, bullet struck teacher's car in school parking lot. No injuries. Parent may face charges for reckless conduct with a firearm. ")</f>
        <v xml:space="preserve">Parent fired shot while moving loaded rifle in back seat of car, bullet struck teacher's car in school parking lot. No injuries. Parent may face charges for reckless conduct with a firearm. </v>
      </c>
      <c r="W398" s="1" t="str">
        <f ca="1">IFERROR(__xludf.DUMMYFUNCTION("""COMPUTED_VALUE"""),"Accidental")</f>
        <v>Accidental</v>
      </c>
      <c r="X398" s="1" t="str">
        <f ca="1">IFERROR(__xludf.DUMMYFUNCTION("""COMPUTED_VALUE"""),"Neither")</f>
        <v>Neither</v>
      </c>
      <c r="Y398" s="1" t="str">
        <f ca="1">IFERROR(__xludf.DUMMYFUNCTION("""COMPUTED_VALUE"""),"No")</f>
        <v>No</v>
      </c>
      <c r="Z398" s="1"/>
      <c r="AA398" s="1" t="str">
        <f ca="1">IFERROR(__xludf.DUMMYFUNCTION("""COMPUTED_VALUE"""),"No")</f>
        <v>No</v>
      </c>
      <c r="AB398" s="1" t="str">
        <f ca="1">IFERROR(__xludf.DUMMYFUNCTION("""COMPUTED_VALUE"""),"No")</f>
        <v>No</v>
      </c>
      <c r="AC398" s="1" t="str">
        <f ca="1">IFERROR(__xludf.DUMMYFUNCTION("""COMPUTED_VALUE"""),"No")</f>
        <v>No</v>
      </c>
      <c r="AD398" s="1" t="str">
        <f ca="1">IFERROR(__xludf.DUMMYFUNCTION("""COMPUTED_VALUE"""),"No")</f>
        <v>No</v>
      </c>
      <c r="AE398" s="1" t="str">
        <f ca="1">IFERROR(__xludf.DUMMYFUNCTION("""COMPUTED_VALUE"""),"No")</f>
        <v>No</v>
      </c>
      <c r="AF398" s="1" t="str">
        <f ca="1">IFERROR(__xludf.DUMMYFUNCTION("""COMPUTED_VALUE"""),"No")</f>
        <v>No</v>
      </c>
      <c r="AG398" s="1" t="str">
        <f ca="1">IFERROR(__xludf.DUMMYFUNCTION("""COMPUTED_VALUE"""),"No")</f>
        <v>No</v>
      </c>
      <c r="AH398" s="1">
        <f ca="1">IFERROR(__xludf.DUMMYFUNCTION("""COMPUTED_VALUE"""),2)</f>
        <v>2</v>
      </c>
    </row>
    <row r="399" spans="1:34" ht="12.5">
      <c r="A399" s="1" t="str">
        <f ca="1">IFERROR(__xludf.DUMMYFUNCTION("""COMPUTED_VALUE"""),"20230131ILZIZ")</f>
        <v>20230131ILZIZ</v>
      </c>
      <c r="B399" s="1">
        <f ca="1">IFERROR(__xludf.DUMMYFUNCTION("""COMPUTED_VALUE"""),1)</f>
        <v>1</v>
      </c>
      <c r="C399" s="1">
        <f ca="1">IFERROR(__xludf.DUMMYFUNCTION("""COMPUTED_VALUE"""),31)</f>
        <v>31</v>
      </c>
      <c r="D399" s="1">
        <f ca="1">IFERROR(__xludf.DUMMYFUNCTION("""COMPUTED_VALUE"""),2023)</f>
        <v>2023</v>
      </c>
      <c r="E399" s="4">
        <f ca="1">IFERROR(__xludf.DUMMYFUNCTION("""COMPUTED_VALUE"""),44957)</f>
        <v>44957</v>
      </c>
      <c r="F399" s="1" t="str">
        <f ca="1">IFERROR(__xludf.DUMMYFUNCTION("""COMPUTED_VALUE"""),"Zion-Benton Township High School")</f>
        <v>Zion-Benton Township High School</v>
      </c>
      <c r="G399" s="1">
        <f ca="1">IFERROR(__xludf.DUMMYFUNCTION("""COMPUTED_VALUE"""),0)</f>
        <v>0</v>
      </c>
      <c r="H399" s="1">
        <f ca="1">IFERROR(__xludf.DUMMYFUNCTION("""COMPUTED_VALUE"""),0)</f>
        <v>0</v>
      </c>
      <c r="I399" s="1">
        <f ca="1">IFERROR(__xludf.DUMMYFUNCTION("""COMPUTED_VALUE"""),0)</f>
        <v>0</v>
      </c>
      <c r="J399" s="1">
        <f ca="1">IFERROR(__xludf.DUMMYFUNCTION("""COMPUTED_VALUE"""),0)</f>
        <v>0</v>
      </c>
      <c r="K399" s="1" t="str">
        <f ca="1">IFERROR(__xludf.DUMMYFUNCTION("""COMPUTED_VALUE"""),"Winter")</f>
        <v>Winter</v>
      </c>
      <c r="L399" s="1" t="str">
        <f ca="1">IFERROR(__xludf.DUMMYFUNCTION("""COMPUTED_VALUE"""),"Zion")</f>
        <v>Zion</v>
      </c>
      <c r="M399" s="1" t="str">
        <f ca="1">IFERROR(__xludf.DUMMYFUNCTION("""COMPUTED_VALUE"""),"IL")</f>
        <v>IL</v>
      </c>
      <c r="N399" s="1" t="str">
        <f ca="1">IFERROR(__xludf.DUMMYFUNCTION("""COMPUTED_VALUE"""),"High")</f>
        <v>High</v>
      </c>
      <c r="O399" s="1" t="str">
        <f ca="1">IFERROR(__xludf.DUMMYFUNCTION("""COMPUTED_VALUE"""),"Parking Lot")</f>
        <v>Parking Lot</v>
      </c>
      <c r="P399" s="1" t="str">
        <f ca="1">IFERROR(__xludf.DUMMYFUNCTION("""COMPUTED_VALUE"""),"Outside on School Property")</f>
        <v>Outside on School Property</v>
      </c>
      <c r="Q399" s="1" t="str">
        <f ca="1">IFERROR(__xludf.DUMMYFUNCTION("""COMPUTED_VALUE"""),"No")</f>
        <v>No</v>
      </c>
      <c r="R399" s="1" t="str">
        <f ca="1">IFERROR(__xludf.DUMMYFUNCTION("""COMPUTED_VALUE"""),"Sport Event")</f>
        <v>Sport Event</v>
      </c>
      <c r="S399" s="5">
        <f ca="1">IFERROR(__xludf.DUMMYFUNCTION("""COMPUTED_VALUE"""),0.854166666666666)</f>
        <v>0.85416666666666596</v>
      </c>
      <c r="T399" s="1">
        <f ca="1">IFERROR(__xludf.DUMMYFUNCTION("""COMPUTED_VALUE"""),1)</f>
        <v>1</v>
      </c>
      <c r="U399" s="1" t="str">
        <f ca="1">IFERROR(__xludf.DUMMYFUNCTION("""COMPUTED_VALUE"""),"Shots fired in parking lot during basketball game")</f>
        <v>Shots fired in parking lot during basketball game</v>
      </c>
      <c r="V399" s="1" t="str">
        <f ca="1">IFERROR(__xludf.DUMMYFUNCTION("""COMPUTED_VALUE"""),"Zion police detectives said three people arrived in a silver vehicle at Zion-Benton Township High School to attend a basketball game on Jan. 31. They attended the game until halftime when they returned to their car but did not leave the parking lot. As th"&amp;"e game ended and spectators were leaving the gym, the front passenger of the silver vehicle, a 17-year-old boy, got out and started shooting, police said. The teen appeared to be targeting specific people in a group with surveillance video showing him ope"&amp;"n fire at someone less than 10 feet away, police said. No one was struck by the gunfire and the shooter returned to the silver car and they sped away. Shooter had escaped from juvenile detention facility in December.")</f>
        <v>Zion police detectives said three people arrived in a silver vehicle at Zion-Benton Township High School to attend a basketball game on Jan. 31. They attended the game until halftime when they returned to their car but did not leave the parking lot. As the game ended and spectators were leaving the gym, the front passenger of the silver vehicle, a 17-year-old boy, got out and started shooting, police said. The teen appeared to be targeting specific people in a group with surveillance video showing him open fire at someone less than 10 feet away, police said. No one was struck by the gunfire and the shooter returned to the silver car and they sped away. Shooter had escaped from juvenile detention facility in December.</v>
      </c>
      <c r="W399" s="1" t="str">
        <f ca="1">IFERROR(__xludf.DUMMYFUNCTION("""COMPUTED_VALUE"""),"Escalation of Dispute")</f>
        <v>Escalation of Dispute</v>
      </c>
      <c r="X399" s="1" t="str">
        <f ca="1">IFERROR(__xludf.DUMMYFUNCTION("""COMPUTED_VALUE"""),"Victims Targeted")</f>
        <v>Victims Targeted</v>
      </c>
      <c r="Y399" s="1" t="str">
        <f ca="1">IFERROR(__xludf.DUMMYFUNCTION("""COMPUTED_VALUE"""),"No")</f>
        <v>No</v>
      </c>
      <c r="Z399" s="1"/>
      <c r="AA399" s="1" t="str">
        <f ca="1">IFERROR(__xludf.DUMMYFUNCTION("""COMPUTED_VALUE"""),"No")</f>
        <v>No</v>
      </c>
      <c r="AB399" s="1" t="str">
        <f ca="1">IFERROR(__xludf.DUMMYFUNCTION("""COMPUTED_VALUE"""),"No")</f>
        <v>No</v>
      </c>
      <c r="AC399" s="1" t="str">
        <f ca="1">IFERROR(__xludf.DUMMYFUNCTION("""COMPUTED_VALUE"""),"No")</f>
        <v>No</v>
      </c>
      <c r="AD399" s="1" t="str">
        <f ca="1">IFERROR(__xludf.DUMMYFUNCTION("""COMPUTED_VALUE"""),"No")</f>
        <v>No</v>
      </c>
      <c r="AE399" s="1" t="str">
        <f ca="1">IFERROR(__xludf.DUMMYFUNCTION("""COMPUTED_VALUE"""),"No")</f>
        <v>No</v>
      </c>
      <c r="AF399" s="1"/>
      <c r="AG399" s="1" t="str">
        <f ca="1">IFERROR(__xludf.DUMMYFUNCTION("""COMPUTED_VALUE"""),"No")</f>
        <v>No</v>
      </c>
      <c r="AH399" s="1">
        <f ca="1">IFERROR(__xludf.DUMMYFUNCTION("""COMPUTED_VALUE"""),99)</f>
        <v>99</v>
      </c>
    </row>
    <row r="400" spans="1:34" ht="12.5">
      <c r="A400" s="1" t="str">
        <f ca="1">IFERROR(__xludf.DUMMYFUNCTION("""COMPUTED_VALUE"""),"20230130DCCOW")</f>
        <v>20230130DCCOW</v>
      </c>
      <c r="B400" s="1">
        <f ca="1">IFERROR(__xludf.DUMMYFUNCTION("""COMPUTED_VALUE"""),1)</f>
        <v>1</v>
      </c>
      <c r="C400" s="1">
        <f ca="1">IFERROR(__xludf.DUMMYFUNCTION("""COMPUTED_VALUE"""),30)</f>
        <v>30</v>
      </c>
      <c r="D400" s="1">
        <f ca="1">IFERROR(__xludf.DUMMYFUNCTION("""COMPUTED_VALUE"""),2023)</f>
        <v>2023</v>
      </c>
      <c r="E400" s="4">
        <f ca="1">IFERROR(__xludf.DUMMYFUNCTION("""COMPUTED_VALUE"""),44956)</f>
        <v>44956</v>
      </c>
      <c r="F400" s="1" t="str">
        <f ca="1">IFERROR(__xludf.DUMMYFUNCTION("""COMPUTED_VALUE"""),"Coolidge High School")</f>
        <v>Coolidge High School</v>
      </c>
      <c r="G400" s="1">
        <f ca="1">IFERROR(__xludf.DUMMYFUNCTION("""COMPUTED_VALUE"""),1)</f>
        <v>1</v>
      </c>
      <c r="H400" s="1">
        <f ca="1">IFERROR(__xludf.DUMMYFUNCTION("""COMPUTED_VALUE"""),0)</f>
        <v>0</v>
      </c>
      <c r="I400" s="1">
        <f ca="1">IFERROR(__xludf.DUMMYFUNCTION("""COMPUTED_VALUE"""),1)</f>
        <v>1</v>
      </c>
      <c r="J400" s="1">
        <f ca="1">IFERROR(__xludf.DUMMYFUNCTION("""COMPUTED_VALUE"""),0)</f>
        <v>0</v>
      </c>
      <c r="K400" s="1" t="str">
        <f ca="1">IFERROR(__xludf.DUMMYFUNCTION("""COMPUTED_VALUE"""),"Winter")</f>
        <v>Winter</v>
      </c>
      <c r="L400" s="1" t="str">
        <f ca="1">IFERROR(__xludf.DUMMYFUNCTION("""COMPUTED_VALUE"""),"Washington")</f>
        <v>Washington</v>
      </c>
      <c r="M400" s="1" t="str">
        <f ca="1">IFERROR(__xludf.DUMMYFUNCTION("""COMPUTED_VALUE"""),"DC")</f>
        <v>DC</v>
      </c>
      <c r="N400" s="1" t="str">
        <f ca="1">IFERROR(__xludf.DUMMYFUNCTION("""COMPUTED_VALUE"""),"High")</f>
        <v>High</v>
      </c>
      <c r="O400" s="1" t="str">
        <f ca="1">IFERROR(__xludf.DUMMYFUNCTION("""COMPUTED_VALUE"""),"Front of School")</f>
        <v>Front of School</v>
      </c>
      <c r="P400" s="1" t="str">
        <f ca="1">IFERROR(__xludf.DUMMYFUNCTION("""COMPUTED_VALUE"""),"Outside on School Property")</f>
        <v>Outside on School Property</v>
      </c>
      <c r="Q400" s="1" t="str">
        <f ca="1">IFERROR(__xludf.DUMMYFUNCTION("""COMPUTED_VALUE"""),"Yes")</f>
        <v>Yes</v>
      </c>
      <c r="R400" s="1" t="str">
        <f ca="1">IFERROR(__xludf.DUMMYFUNCTION("""COMPUTED_VALUE"""),"Afternoon Classes")</f>
        <v>Afternoon Classes</v>
      </c>
      <c r="S400" s="5">
        <f ca="1">IFERROR(__xludf.DUMMYFUNCTION("""COMPUTED_VALUE"""),0.625)</f>
        <v>0.625</v>
      </c>
      <c r="T400" s="1">
        <f ca="1">IFERROR(__xludf.DUMMYFUNCTION("""COMPUTED_VALUE"""),1)</f>
        <v>1</v>
      </c>
      <c r="U400" s="1" t="str">
        <f ca="1">IFERROR(__xludf.DUMMYFUNCTION("""COMPUTED_VALUE"""),"Safe Passage worker shot in front of school at dismissal")</f>
        <v>Safe Passage worker shot in front of school at dismissal</v>
      </c>
      <c r="V400" s="1" t="str">
        <f ca="1">IFERROR(__xludf.DUMMYFUNCTION("""COMPUTED_VALUE"""),"Adult Safe Passage worker shot in the head during dismissal in front of the school. Transported to hospital in critical condition. High school and two nearby schools went on lockdown.")</f>
        <v>Adult Safe Passage worker shot in the head during dismissal in front of the school. Transported to hospital in critical condition. High school and two nearby schools went on lockdown.</v>
      </c>
      <c r="W400" s="1" t="str">
        <f ca="1">IFERROR(__xludf.DUMMYFUNCTION("""COMPUTED_VALUE"""),"Escalation of Dispute")</f>
        <v>Escalation of Dispute</v>
      </c>
      <c r="X400" s="1"/>
      <c r="Y400" s="1"/>
      <c r="Z400" s="1"/>
      <c r="AA400" s="1" t="str">
        <f ca="1">IFERROR(__xludf.DUMMYFUNCTION("""COMPUTED_VALUE"""),"No")</f>
        <v>No</v>
      </c>
      <c r="AB400" s="1" t="str">
        <f ca="1">IFERROR(__xludf.DUMMYFUNCTION("""COMPUTED_VALUE"""),"No")</f>
        <v>No</v>
      </c>
      <c r="AC400" s="1" t="str">
        <f ca="1">IFERROR(__xludf.DUMMYFUNCTION("""COMPUTED_VALUE"""),"No")</f>
        <v>No</v>
      </c>
      <c r="AD400" s="1" t="str">
        <f ca="1">IFERROR(__xludf.DUMMYFUNCTION("""COMPUTED_VALUE"""),"No")</f>
        <v>No</v>
      </c>
      <c r="AE400" s="1" t="str">
        <f ca="1">IFERROR(__xludf.DUMMYFUNCTION("""COMPUTED_VALUE"""),"No")</f>
        <v>No</v>
      </c>
      <c r="AF400" s="1"/>
      <c r="AG400" s="1" t="str">
        <f ca="1">IFERROR(__xludf.DUMMYFUNCTION("""COMPUTED_VALUE"""),"No")</f>
        <v>No</v>
      </c>
      <c r="AH400" s="1">
        <f ca="1">IFERROR(__xludf.DUMMYFUNCTION("""COMPUTED_VALUE"""),99)</f>
        <v>99</v>
      </c>
    </row>
    <row r="401" spans="1:34" ht="12.5">
      <c r="A401" s="1" t="str">
        <f ca="1">IFERROR(__xludf.DUMMYFUNCTION("""COMPUTED_VALUE"""),"20230130AZGIY")</f>
        <v>20230130AZGIY</v>
      </c>
      <c r="B401" s="1">
        <f ca="1">IFERROR(__xludf.DUMMYFUNCTION("""COMPUTED_VALUE"""),1)</f>
        <v>1</v>
      </c>
      <c r="C401" s="1">
        <f ca="1">IFERROR(__xludf.DUMMYFUNCTION("""COMPUTED_VALUE"""),30)</f>
        <v>30</v>
      </c>
      <c r="D401" s="1">
        <f ca="1">IFERROR(__xludf.DUMMYFUNCTION("""COMPUTED_VALUE"""),2023)</f>
        <v>2023</v>
      </c>
      <c r="E401" s="4">
        <f ca="1">IFERROR(__xludf.DUMMYFUNCTION("""COMPUTED_VALUE"""),44956)</f>
        <v>44956</v>
      </c>
      <c r="F401" s="1" t="str">
        <f ca="1">IFERROR(__xludf.DUMMYFUNCTION("""COMPUTED_VALUE"""),"Gila Ridge High School")</f>
        <v>Gila Ridge High School</v>
      </c>
      <c r="G401" s="1">
        <f ca="1">IFERROR(__xludf.DUMMYFUNCTION("""COMPUTED_VALUE"""),0)</f>
        <v>0</v>
      </c>
      <c r="H401" s="1">
        <f ca="1">IFERROR(__xludf.DUMMYFUNCTION("""COMPUTED_VALUE"""),2)</f>
        <v>2</v>
      </c>
      <c r="I401" s="1">
        <f ca="1">IFERROR(__xludf.DUMMYFUNCTION("""COMPUTED_VALUE"""),2)</f>
        <v>2</v>
      </c>
      <c r="J401" s="1">
        <f ca="1">IFERROR(__xludf.DUMMYFUNCTION("""COMPUTED_VALUE"""),0)</f>
        <v>0</v>
      </c>
      <c r="K401" s="1" t="str">
        <f ca="1">IFERROR(__xludf.DUMMYFUNCTION("""COMPUTED_VALUE"""),"Winter")</f>
        <v>Winter</v>
      </c>
      <c r="L401" s="1" t="str">
        <f ca="1">IFERROR(__xludf.DUMMYFUNCTION("""COMPUTED_VALUE"""),"Yuma")</f>
        <v>Yuma</v>
      </c>
      <c r="M401" s="1" t="str">
        <f ca="1">IFERROR(__xludf.DUMMYFUNCTION("""COMPUTED_VALUE"""),"AZ")</f>
        <v>AZ</v>
      </c>
      <c r="N401" s="1" t="str">
        <f ca="1">IFERROR(__xludf.DUMMYFUNCTION("""COMPUTED_VALUE"""),"High")</f>
        <v>High</v>
      </c>
      <c r="O401" s="1" t="str">
        <f ca="1">IFERROR(__xludf.DUMMYFUNCTION("""COMPUTED_VALUE"""),"Parking Lot")</f>
        <v>Parking Lot</v>
      </c>
      <c r="P401" s="1" t="str">
        <f ca="1">IFERROR(__xludf.DUMMYFUNCTION("""COMPUTED_VALUE"""),"Outside on School Property")</f>
        <v>Outside on School Property</v>
      </c>
      <c r="Q401" s="1" t="str">
        <f ca="1">IFERROR(__xludf.DUMMYFUNCTION("""COMPUTED_VALUE"""),"Yes")</f>
        <v>Yes</v>
      </c>
      <c r="R401" s="1" t="str">
        <f ca="1">IFERROR(__xludf.DUMMYFUNCTION("""COMPUTED_VALUE"""),"Morning Classes")</f>
        <v>Morning Classes</v>
      </c>
      <c r="S401" s="5">
        <f ca="1">IFERROR(__xludf.DUMMYFUNCTION("""COMPUTED_VALUE"""),0.354166666666666)</f>
        <v>0.35416666666666602</v>
      </c>
      <c r="T401" s="1">
        <f ca="1">IFERROR(__xludf.DUMMYFUNCTION("""COMPUTED_VALUE"""),1)</f>
        <v>1</v>
      </c>
      <c r="U401" s="1" t="str">
        <f ca="1">IFERROR(__xludf.DUMMYFUNCTION("""COMPUTED_VALUE"""),"Shots fired during fight in parking lot")</f>
        <v>Shots fired during fight in parking lot</v>
      </c>
      <c r="V401" s="1" t="str">
        <f ca="1">IFERROR(__xludf.DUMMYFUNCTION("""COMPUTED_VALUE"""),"Police say a teen boy is in custody after shots were fired in the parking lot of a high school in Yuma Monday morning. Yuma officers were called to the reports of shots being fired outside Gila Ridge High School on 24th Street near Araby Road just before "&amp;"8:30 a.m. When they arrived, the 16-year-old suspect had already ran away and left. Police say two students were hurt from a fight, and they weren’t shot.")</f>
        <v>Police say a teen boy is in custody after shots were fired in the parking lot of a high school in Yuma Monday morning. Yuma officers were called to the reports of shots being fired outside Gila Ridge High School on 24th Street near Araby Road just before 8:30 a.m. When they arrived, the 16-year-old suspect had already ran away and left. Police say two students were hurt from a fight, and they weren’t shot.</v>
      </c>
      <c r="W401" s="1" t="str">
        <f ca="1">IFERROR(__xludf.DUMMYFUNCTION("""COMPUTED_VALUE"""),"Escalation of Dispute")</f>
        <v>Escalation of Dispute</v>
      </c>
      <c r="X401" s="1" t="str">
        <f ca="1">IFERROR(__xludf.DUMMYFUNCTION("""COMPUTED_VALUE"""),"Victims Targeted")</f>
        <v>Victims Targeted</v>
      </c>
      <c r="Y401" s="1"/>
      <c r="Z401" s="1"/>
      <c r="AA401" s="1" t="str">
        <f ca="1">IFERROR(__xludf.DUMMYFUNCTION("""COMPUTED_VALUE"""),"No")</f>
        <v>No</v>
      </c>
      <c r="AB401" s="1" t="str">
        <f ca="1">IFERROR(__xludf.DUMMYFUNCTION("""COMPUTED_VALUE"""),"No")</f>
        <v>No</v>
      </c>
      <c r="AC401" s="1" t="str">
        <f ca="1">IFERROR(__xludf.DUMMYFUNCTION("""COMPUTED_VALUE"""),"No")</f>
        <v>No</v>
      </c>
      <c r="AD401" s="1"/>
      <c r="AE401" s="1" t="str">
        <f ca="1">IFERROR(__xludf.DUMMYFUNCTION("""COMPUTED_VALUE"""),"No")</f>
        <v>No</v>
      </c>
      <c r="AF401" s="1"/>
      <c r="AG401" s="1" t="str">
        <f ca="1">IFERROR(__xludf.DUMMYFUNCTION("""COMPUTED_VALUE"""),"No")</f>
        <v>No</v>
      </c>
      <c r="AH401" s="1">
        <f ca="1">IFERROR(__xludf.DUMMYFUNCTION("""COMPUTED_VALUE"""),99)</f>
        <v>99</v>
      </c>
    </row>
    <row r="402" spans="1:34" ht="12.5">
      <c r="A402" s="1" t="str">
        <f ca="1">IFERROR(__xludf.DUMMYFUNCTION("""COMPUTED_VALUE"""),"20230130ALHOM")</f>
        <v>20230130ALHOM</v>
      </c>
      <c r="B402" s="1">
        <f ca="1">IFERROR(__xludf.DUMMYFUNCTION("""COMPUTED_VALUE"""),1)</f>
        <v>1</v>
      </c>
      <c r="C402" s="1">
        <f ca="1">IFERROR(__xludf.DUMMYFUNCTION("""COMPUTED_VALUE"""),30)</f>
        <v>30</v>
      </c>
      <c r="D402" s="1">
        <f ca="1">IFERROR(__xludf.DUMMYFUNCTION("""COMPUTED_VALUE"""),2023)</f>
        <v>2023</v>
      </c>
      <c r="E402" s="4">
        <f ca="1">IFERROR(__xludf.DUMMYFUNCTION("""COMPUTED_VALUE"""),44956)</f>
        <v>44956</v>
      </c>
      <c r="F402" s="1" t="str">
        <f ca="1">IFERROR(__xludf.DUMMYFUNCTION("""COMPUTED_VALUE"""),"Holloway Elementary School")</f>
        <v>Holloway Elementary School</v>
      </c>
      <c r="G402" s="1">
        <f ca="1">IFERROR(__xludf.DUMMYFUNCTION("""COMPUTED_VALUE"""),0)</f>
        <v>0</v>
      </c>
      <c r="H402" s="1">
        <f ca="1">IFERROR(__xludf.DUMMYFUNCTION("""COMPUTED_VALUE"""),0)</f>
        <v>0</v>
      </c>
      <c r="I402" s="1">
        <f ca="1">IFERROR(__xludf.DUMMYFUNCTION("""COMPUTED_VALUE"""),0)</f>
        <v>0</v>
      </c>
      <c r="J402" s="1">
        <f ca="1">IFERROR(__xludf.DUMMYFUNCTION("""COMPUTED_VALUE"""),0)</f>
        <v>0</v>
      </c>
      <c r="K402" s="1" t="str">
        <f ca="1">IFERROR(__xludf.DUMMYFUNCTION("""COMPUTED_VALUE"""),"Winter")</f>
        <v>Winter</v>
      </c>
      <c r="L402" s="1" t="str">
        <f ca="1">IFERROR(__xludf.DUMMYFUNCTION("""COMPUTED_VALUE"""),"Mobile")</f>
        <v>Mobile</v>
      </c>
      <c r="M402" s="1" t="str">
        <f ca="1">IFERROR(__xludf.DUMMYFUNCTION("""COMPUTED_VALUE"""),"AL")</f>
        <v>AL</v>
      </c>
      <c r="N402" s="1" t="str">
        <f ca="1">IFERROR(__xludf.DUMMYFUNCTION("""COMPUTED_VALUE"""),"Elementary")</f>
        <v>Elementary</v>
      </c>
      <c r="O402" s="1" t="str">
        <f ca="1">IFERROR(__xludf.DUMMYFUNCTION("""COMPUTED_VALUE"""),"Parking Lot")</f>
        <v>Parking Lot</v>
      </c>
      <c r="P402" s="1" t="str">
        <f ca="1">IFERROR(__xludf.DUMMYFUNCTION("""COMPUTED_VALUE"""),"Outside on School Property")</f>
        <v>Outside on School Property</v>
      </c>
      <c r="Q402" s="1" t="str">
        <f ca="1">IFERROR(__xludf.DUMMYFUNCTION("""COMPUTED_VALUE"""),"Yes")</f>
        <v>Yes</v>
      </c>
      <c r="R402" s="1" t="str">
        <f ca="1">IFERROR(__xludf.DUMMYFUNCTION("""COMPUTED_VALUE"""),"Afternoon Classes")</f>
        <v>Afternoon Classes</v>
      </c>
      <c r="S402" s="5">
        <f ca="1">IFERROR(__xludf.DUMMYFUNCTION("""COMPUTED_VALUE"""),0.5625)</f>
        <v>0.5625</v>
      </c>
      <c r="T402" s="1">
        <f ca="1">IFERROR(__xludf.DUMMYFUNCTION("""COMPUTED_VALUE"""),1)</f>
        <v>1</v>
      </c>
      <c r="U402" s="1" t="str">
        <f ca="1">IFERROR(__xludf.DUMMYFUNCTION("""COMPUTED_VALUE"""),"Vehicle in school parking lot struck by bullet, school went on lockdown")</f>
        <v>Vehicle in school parking lot struck by bullet, school went on lockdown</v>
      </c>
      <c r="V402" s="1" t="str">
        <f ca="1">IFERROR(__xludf.DUMMYFUNCTION("""COMPUTED_VALUE"""),"Shots fired 100 yards from the school struck vehicle in the parking lot. Staff heard shots and put the school on lockdown for 90 minutes while police investigated. Five other vehicles near the school were also struck by bullets.")</f>
        <v>Shots fired 100 yards from the school struck vehicle in the parking lot. Staff heard shots and put the school on lockdown for 90 minutes while police investigated. Five other vehicles near the school were also struck by bullets.</v>
      </c>
      <c r="W402" s="1" t="str">
        <f ca="1">IFERROR(__xludf.DUMMYFUNCTION("""COMPUTED_VALUE"""),"Drive-by Shooting")</f>
        <v>Drive-by Shooting</v>
      </c>
      <c r="X402" s="1"/>
      <c r="Y402" s="1"/>
      <c r="Z402" s="1"/>
      <c r="AA402" s="1" t="str">
        <f ca="1">IFERROR(__xludf.DUMMYFUNCTION("""COMPUTED_VALUE"""),"No")</f>
        <v>No</v>
      </c>
      <c r="AB402" s="1" t="str">
        <f ca="1">IFERROR(__xludf.DUMMYFUNCTION("""COMPUTED_VALUE"""),"No")</f>
        <v>No</v>
      </c>
      <c r="AC402" s="1" t="str">
        <f ca="1">IFERROR(__xludf.DUMMYFUNCTION("""COMPUTED_VALUE"""),"No")</f>
        <v>No</v>
      </c>
      <c r="AD402" s="1" t="str">
        <f ca="1">IFERROR(__xludf.DUMMYFUNCTION("""COMPUTED_VALUE"""),"No")</f>
        <v>No</v>
      </c>
      <c r="AE402" s="1" t="str">
        <f ca="1">IFERROR(__xludf.DUMMYFUNCTION("""COMPUTED_VALUE"""),"No")</f>
        <v>No</v>
      </c>
      <c r="AF402" s="1"/>
      <c r="AG402" s="1" t="str">
        <f ca="1">IFERROR(__xludf.DUMMYFUNCTION("""COMPUTED_VALUE"""),"No")</f>
        <v>No</v>
      </c>
      <c r="AH402" s="1">
        <f ca="1">IFERROR(__xludf.DUMMYFUNCTION("""COMPUTED_VALUE"""),99)</f>
        <v>99</v>
      </c>
    </row>
    <row r="403" spans="1:34" ht="12.5">
      <c r="A403" s="1" t="str">
        <f ca="1">IFERROR(__xludf.DUMMYFUNCTION("""COMPUTED_VALUE"""),"20230128MOGLS")</f>
        <v>20230128MOGLS</v>
      </c>
      <c r="B403" s="1">
        <f ca="1">IFERROR(__xludf.DUMMYFUNCTION("""COMPUTED_VALUE"""),1)</f>
        <v>1</v>
      </c>
      <c r="C403" s="1">
        <f ca="1">IFERROR(__xludf.DUMMYFUNCTION("""COMPUTED_VALUE"""),28)</f>
        <v>28</v>
      </c>
      <c r="D403" s="1">
        <f ca="1">IFERROR(__xludf.DUMMYFUNCTION("""COMPUTED_VALUE"""),2023)</f>
        <v>2023</v>
      </c>
      <c r="E403" s="4">
        <f ca="1">IFERROR(__xludf.DUMMYFUNCTION("""COMPUTED_VALUE"""),44954)</f>
        <v>44954</v>
      </c>
      <c r="F403" s="1" t="str">
        <f ca="1">IFERROR(__xludf.DUMMYFUNCTION("""COMPUTED_VALUE"""),"Glendale High School")</f>
        <v>Glendale High School</v>
      </c>
      <c r="G403" s="1">
        <f ca="1">IFERROR(__xludf.DUMMYFUNCTION("""COMPUTED_VALUE"""),0)</f>
        <v>0</v>
      </c>
      <c r="H403" s="1">
        <f ca="1">IFERROR(__xludf.DUMMYFUNCTION("""COMPUTED_VALUE"""),1)</f>
        <v>1</v>
      </c>
      <c r="I403" s="1">
        <f ca="1">IFERROR(__xludf.DUMMYFUNCTION("""COMPUTED_VALUE"""),1)</f>
        <v>1</v>
      </c>
      <c r="J403" s="1">
        <f ca="1">IFERROR(__xludf.DUMMYFUNCTION("""COMPUTED_VALUE"""),0)</f>
        <v>0</v>
      </c>
      <c r="K403" s="1" t="str">
        <f ca="1">IFERROR(__xludf.DUMMYFUNCTION("""COMPUTED_VALUE"""),"Winter")</f>
        <v>Winter</v>
      </c>
      <c r="L403" s="1" t="str">
        <f ca="1">IFERROR(__xludf.DUMMYFUNCTION("""COMPUTED_VALUE"""),"Springfield")</f>
        <v>Springfield</v>
      </c>
      <c r="M403" s="1" t="str">
        <f ca="1">IFERROR(__xludf.DUMMYFUNCTION("""COMPUTED_VALUE"""),"MO")</f>
        <v>MO</v>
      </c>
      <c r="N403" s="1" t="str">
        <f ca="1">IFERROR(__xludf.DUMMYFUNCTION("""COMPUTED_VALUE"""),"High")</f>
        <v>High</v>
      </c>
      <c r="O403" s="1" t="str">
        <f ca="1">IFERROR(__xludf.DUMMYFUNCTION("""COMPUTED_VALUE"""),"Parking Lot")</f>
        <v>Parking Lot</v>
      </c>
      <c r="P403" s="1" t="str">
        <f ca="1">IFERROR(__xludf.DUMMYFUNCTION("""COMPUTED_VALUE"""),"Outside on School Property")</f>
        <v>Outside on School Property</v>
      </c>
      <c r="Q403" s="1" t="str">
        <f ca="1">IFERROR(__xludf.DUMMYFUNCTION("""COMPUTED_VALUE"""),"No")</f>
        <v>No</v>
      </c>
      <c r="R403" s="1" t="str">
        <f ca="1">IFERROR(__xludf.DUMMYFUNCTION("""COMPUTED_VALUE"""),"Sport Event")</f>
        <v>Sport Event</v>
      </c>
      <c r="S403" s="5">
        <f ca="1">IFERROR(__xludf.DUMMYFUNCTION("""COMPUTED_VALUE"""),0.791666666666666)</f>
        <v>0.79166666666666596</v>
      </c>
      <c r="T403" s="1">
        <f ca="1">IFERROR(__xludf.DUMMYFUNCTION("""COMPUTED_VALUE"""),1)</f>
        <v>1</v>
      </c>
      <c r="U403" s="1" t="str">
        <f ca="1">IFERROR(__xludf.DUMMYFUNCTION("""COMPUTED_VALUE"""),"Shots fired in parking lot during debate team event")</f>
        <v>Shots fired in parking lot during debate team event</v>
      </c>
      <c r="V403" s="1" t="str">
        <f ca="1">IFERROR(__xludf.DUMMYFUNCTION("""COMPUTED_VALUE"""),"Adult man was wounded when 15 shots were fired in the school parking lot during debate team event. School went on lockdown. Police discovered vehicle with multiple bullet holes and more than six thousand dollars in counterfeit bills inside.")</f>
        <v>Adult man was wounded when 15 shots were fired in the school parking lot during debate team event. School went on lockdown. Police discovered vehicle with multiple bullet holes and more than six thousand dollars in counterfeit bills inside.</v>
      </c>
      <c r="W403" s="1" t="str">
        <f ca="1">IFERROR(__xludf.DUMMYFUNCTION("""COMPUTED_VALUE"""),"Illegal Activity")</f>
        <v>Illegal Activity</v>
      </c>
      <c r="X403" s="1" t="str">
        <f ca="1">IFERROR(__xludf.DUMMYFUNCTION("""COMPUTED_VALUE"""),"Victims Targeted")</f>
        <v>Victims Targeted</v>
      </c>
      <c r="Y403" s="1"/>
      <c r="Z403" s="1"/>
      <c r="AA403" s="1" t="str">
        <f ca="1">IFERROR(__xludf.DUMMYFUNCTION("""COMPUTED_VALUE"""),"No")</f>
        <v>No</v>
      </c>
      <c r="AB403" s="1" t="str">
        <f ca="1">IFERROR(__xludf.DUMMYFUNCTION("""COMPUTED_VALUE"""),"No")</f>
        <v>No</v>
      </c>
      <c r="AC403" s="1" t="str">
        <f ca="1">IFERROR(__xludf.DUMMYFUNCTION("""COMPUTED_VALUE"""),"No")</f>
        <v>No</v>
      </c>
      <c r="AD403" s="1" t="str">
        <f ca="1">IFERROR(__xludf.DUMMYFUNCTION("""COMPUTED_VALUE"""),"No")</f>
        <v>No</v>
      </c>
      <c r="AE403" s="1" t="str">
        <f ca="1">IFERROR(__xludf.DUMMYFUNCTION("""COMPUTED_VALUE"""),"No")</f>
        <v>No</v>
      </c>
      <c r="AF403" s="1"/>
      <c r="AG403" s="1" t="str">
        <f ca="1">IFERROR(__xludf.DUMMYFUNCTION("""COMPUTED_VALUE"""),"No")</f>
        <v>No</v>
      </c>
      <c r="AH403" s="1">
        <f ca="1">IFERROR(__xludf.DUMMYFUNCTION("""COMPUTED_VALUE"""),15)</f>
        <v>15</v>
      </c>
    </row>
    <row r="404" spans="1:34" ht="12.5">
      <c r="A404" s="1" t="str">
        <f ca="1">IFERROR(__xludf.DUMMYFUNCTION("""COMPUTED_VALUE"""),"20230127NJHOW")</f>
        <v>20230127NJHOW</v>
      </c>
      <c r="B404" s="1">
        <f ca="1">IFERROR(__xludf.DUMMYFUNCTION("""COMPUTED_VALUE"""),1)</f>
        <v>1</v>
      </c>
      <c r="C404" s="1">
        <f ca="1">IFERROR(__xludf.DUMMYFUNCTION("""COMPUTED_VALUE"""),27)</f>
        <v>27</v>
      </c>
      <c r="D404" s="1">
        <f ca="1">IFERROR(__xludf.DUMMYFUNCTION("""COMPUTED_VALUE"""),2023)</f>
        <v>2023</v>
      </c>
      <c r="E404" s="4">
        <f ca="1">IFERROR(__xludf.DUMMYFUNCTION("""COMPUTED_VALUE"""),44953)</f>
        <v>44953</v>
      </c>
      <c r="F404" s="1" t="str">
        <f ca="1">IFERROR(__xludf.DUMMYFUNCTION("""COMPUTED_VALUE"""),"Holly Glen Elementary School")</f>
        <v>Holly Glen Elementary School</v>
      </c>
      <c r="G404" s="1">
        <f ca="1">IFERROR(__xludf.DUMMYFUNCTION("""COMPUTED_VALUE"""),0)</f>
        <v>0</v>
      </c>
      <c r="H404" s="1">
        <f ca="1">IFERROR(__xludf.DUMMYFUNCTION("""COMPUTED_VALUE"""),0)</f>
        <v>0</v>
      </c>
      <c r="I404" s="1">
        <f ca="1">IFERROR(__xludf.DUMMYFUNCTION("""COMPUTED_VALUE"""),0)</f>
        <v>0</v>
      </c>
      <c r="J404" s="1">
        <f ca="1">IFERROR(__xludf.DUMMYFUNCTION("""COMPUTED_VALUE"""),0)</f>
        <v>0</v>
      </c>
      <c r="K404" s="1" t="str">
        <f ca="1">IFERROR(__xludf.DUMMYFUNCTION("""COMPUTED_VALUE"""),"Winter")</f>
        <v>Winter</v>
      </c>
      <c r="L404" s="1" t="str">
        <f ca="1">IFERROR(__xludf.DUMMYFUNCTION("""COMPUTED_VALUE"""),"Williamstown")</f>
        <v>Williamstown</v>
      </c>
      <c r="M404" s="1" t="str">
        <f ca="1">IFERROR(__xludf.DUMMYFUNCTION("""COMPUTED_VALUE"""),"NJ")</f>
        <v>NJ</v>
      </c>
      <c r="N404" s="1" t="str">
        <f ca="1">IFERROR(__xludf.DUMMYFUNCTION("""COMPUTED_VALUE"""),"Elementary")</f>
        <v>Elementary</v>
      </c>
      <c r="O404" s="1" t="str">
        <f ca="1">IFERROR(__xludf.DUMMYFUNCTION("""COMPUTED_VALUE"""),"Outside on School Property")</f>
        <v>Outside on School Property</v>
      </c>
      <c r="P404" s="1" t="str">
        <f ca="1">IFERROR(__xludf.DUMMYFUNCTION("""COMPUTED_VALUE"""),"Outside on School Property")</f>
        <v>Outside on School Property</v>
      </c>
      <c r="Q404" s="1" t="str">
        <f ca="1">IFERROR(__xludf.DUMMYFUNCTION("""COMPUTED_VALUE"""),"No")</f>
        <v>No</v>
      </c>
      <c r="R404" s="1" t="str">
        <f ca="1">IFERROR(__xludf.DUMMYFUNCTION("""COMPUTED_VALUE"""),"After School")</f>
        <v>After School</v>
      </c>
      <c r="S404" s="5">
        <f ca="1">IFERROR(__xludf.DUMMYFUNCTION("""COMPUTED_VALUE"""),0.666666666666666)</f>
        <v>0.66666666666666596</v>
      </c>
      <c r="T404" s="1">
        <f ca="1">IFERROR(__xludf.DUMMYFUNCTION("""COMPUTED_VALUE"""),1)</f>
        <v>1</v>
      </c>
      <c r="U404" s="1" t="str">
        <f ca="1">IFERROR(__xludf.DUMMYFUNCTION("""COMPUTED_VALUE"""),"Teen fired flare gun at teen during fight")</f>
        <v>Teen fired flare gun at teen during fight</v>
      </c>
      <c r="V404" s="1" t="str">
        <f ca="1">IFERROR(__xludf.DUMMYFUNCTION("""COMPUTED_VALUE"""),"Officers responded to the school for a report of two juveniles that were fighting. During the altercation, one juvenile brandished a flare gun and fired the gun at the other juvenile, then fled. The flare did not hit the other teen. The juvenile who fired"&amp;" the flare gun was located and taken into custody. He has been charged with aggravated assault, possession of a weapon on school grounds, and other weapon-related offenses. Police say at no time were any students in danger and the two teens are not studen"&amp;"ts at Holly Glen Elementary School.")</f>
        <v>Officers responded to the school for a report of two juveniles that were fighting. During the altercation, one juvenile brandished a flare gun and fired the gun at the other juvenile, then fled. The flare did not hit the other teen. The juvenile who fired the flare gun was located and taken into custody. He has been charged with aggravated assault, possession of a weapon on school grounds, and other weapon-related offenses. Police say at no time were any students in danger and the two teens are not students at Holly Glen Elementary School.</v>
      </c>
      <c r="W404" s="1" t="str">
        <f ca="1">IFERROR(__xludf.DUMMYFUNCTION("""COMPUTED_VALUE"""),"Escalation of Dispute")</f>
        <v>Escalation of Dispute</v>
      </c>
      <c r="X404" s="1" t="str">
        <f ca="1">IFERROR(__xludf.DUMMYFUNCTION("""COMPUTED_VALUE"""),"Victims Targeted")</f>
        <v>Victims Targeted</v>
      </c>
      <c r="Y404" s="1" t="str">
        <f ca="1">IFERROR(__xludf.DUMMYFUNCTION("""COMPUTED_VALUE"""),"No")</f>
        <v>No</v>
      </c>
      <c r="Z404" s="1"/>
      <c r="AA404" s="1" t="str">
        <f ca="1">IFERROR(__xludf.DUMMYFUNCTION("""COMPUTED_VALUE"""),"No")</f>
        <v>No</v>
      </c>
      <c r="AB404" s="1" t="str">
        <f ca="1">IFERROR(__xludf.DUMMYFUNCTION("""COMPUTED_VALUE"""),"No")</f>
        <v>No</v>
      </c>
      <c r="AC404" s="1" t="str">
        <f ca="1">IFERROR(__xludf.DUMMYFUNCTION("""COMPUTED_VALUE"""),"No")</f>
        <v>No</v>
      </c>
      <c r="AD404" s="1"/>
      <c r="AE404" s="1" t="str">
        <f ca="1">IFERROR(__xludf.DUMMYFUNCTION("""COMPUTED_VALUE"""),"No")</f>
        <v>No</v>
      </c>
      <c r="AF404" s="1" t="str">
        <f ca="1">IFERROR(__xludf.DUMMYFUNCTION("""COMPUTED_VALUE"""),"No")</f>
        <v>No</v>
      </c>
      <c r="AG404" s="1" t="str">
        <f ca="1">IFERROR(__xludf.DUMMYFUNCTION("""COMPUTED_VALUE"""),"No")</f>
        <v>No</v>
      </c>
      <c r="AH404" s="1">
        <f ca="1">IFERROR(__xludf.DUMMYFUNCTION("""COMPUTED_VALUE"""),1)</f>
        <v>1</v>
      </c>
    </row>
    <row r="405" spans="1:34" ht="12.5">
      <c r="A405" s="1" t="str">
        <f ca="1">IFERROR(__xludf.DUMMYFUNCTION("""COMPUTED_VALUE"""),"20230126UTTAT")</f>
        <v>20230126UTTAT</v>
      </c>
      <c r="B405" s="1">
        <f ca="1">IFERROR(__xludf.DUMMYFUNCTION("""COMPUTED_VALUE"""),1)</f>
        <v>1</v>
      </c>
      <c r="C405" s="1">
        <f ca="1">IFERROR(__xludf.DUMMYFUNCTION("""COMPUTED_VALUE"""),26)</f>
        <v>26</v>
      </c>
      <c r="D405" s="1">
        <f ca="1">IFERROR(__xludf.DUMMYFUNCTION("""COMPUTED_VALUE"""),2023)</f>
        <v>2023</v>
      </c>
      <c r="E405" s="4">
        <f ca="1">IFERROR(__xludf.DUMMYFUNCTION("""COMPUTED_VALUE"""),44952)</f>
        <v>44952</v>
      </c>
      <c r="F405" s="1" t="str">
        <f ca="1">IFERROR(__xludf.DUMMYFUNCTION("""COMPUTED_VALUE"""),"Taylorsville High School")</f>
        <v>Taylorsville High School</v>
      </c>
      <c r="G405" s="1">
        <f ca="1">IFERROR(__xludf.DUMMYFUNCTION("""COMPUTED_VALUE"""),0)</f>
        <v>0</v>
      </c>
      <c r="H405" s="1">
        <f ca="1">IFERROR(__xludf.DUMMYFUNCTION("""COMPUTED_VALUE"""),0)</f>
        <v>0</v>
      </c>
      <c r="I405" s="1">
        <f ca="1">IFERROR(__xludf.DUMMYFUNCTION("""COMPUTED_VALUE"""),0)</f>
        <v>0</v>
      </c>
      <c r="J405" s="1">
        <f ca="1">IFERROR(__xludf.DUMMYFUNCTION("""COMPUTED_VALUE"""),0)</f>
        <v>0</v>
      </c>
      <c r="K405" s="1" t="str">
        <f ca="1">IFERROR(__xludf.DUMMYFUNCTION("""COMPUTED_VALUE"""),"Winter")</f>
        <v>Winter</v>
      </c>
      <c r="L405" s="1" t="str">
        <f ca="1">IFERROR(__xludf.DUMMYFUNCTION("""COMPUTED_VALUE"""),"Taylorsville")</f>
        <v>Taylorsville</v>
      </c>
      <c r="M405" s="1" t="str">
        <f ca="1">IFERROR(__xludf.DUMMYFUNCTION("""COMPUTED_VALUE"""),"UT")</f>
        <v>UT</v>
      </c>
      <c r="N405" s="1" t="str">
        <f ca="1">IFERROR(__xludf.DUMMYFUNCTION("""COMPUTED_VALUE"""),"High")</f>
        <v>High</v>
      </c>
      <c r="O405" s="1" t="str">
        <f ca="1">IFERROR(__xludf.DUMMYFUNCTION("""COMPUTED_VALUE"""),"Parking Lot")</f>
        <v>Parking Lot</v>
      </c>
      <c r="P405" s="1" t="str">
        <f ca="1">IFERROR(__xludf.DUMMYFUNCTION("""COMPUTED_VALUE"""),"Outside on School Property")</f>
        <v>Outside on School Property</v>
      </c>
      <c r="Q405" s="1" t="str">
        <f ca="1">IFERROR(__xludf.DUMMYFUNCTION("""COMPUTED_VALUE"""),"Yes")</f>
        <v>Yes</v>
      </c>
      <c r="R405" s="1" t="str">
        <f ca="1">IFERROR(__xludf.DUMMYFUNCTION("""COMPUTED_VALUE"""),"Lunch")</f>
        <v>Lunch</v>
      </c>
      <c r="S405" s="5">
        <f ca="1">IFERROR(__xludf.DUMMYFUNCTION("""COMPUTED_VALUE"""),0.520833333333333)</f>
        <v>0.52083333333333304</v>
      </c>
      <c r="T405" s="1">
        <f ca="1">IFERROR(__xludf.DUMMYFUNCTION("""COMPUTED_VALUE"""),1)</f>
        <v>1</v>
      </c>
      <c r="U405" s="1" t="str">
        <f ca="1">IFERROR(__xludf.DUMMYFUNCTION("""COMPUTED_VALUE"""),"Shot fired during fight between 6 students")</f>
        <v>Shot fired during fight between 6 students</v>
      </c>
      <c r="V405" s="1" t="str">
        <f ca="1">IFERROR(__xludf.DUMMYFUNCTION("""COMPUTED_VALUE"""),"Shot fired in parking lot during fight between 6 students. Shooter fled and other students involved ran back into the school. 2 hour lockdown.")</f>
        <v>Shot fired in parking lot during fight between 6 students. Shooter fled and other students involved ran back into the school. 2 hour lockdown.</v>
      </c>
      <c r="W405" s="1" t="str">
        <f ca="1">IFERROR(__xludf.DUMMYFUNCTION("""COMPUTED_VALUE"""),"Escalation of Dispute")</f>
        <v>Escalation of Dispute</v>
      </c>
      <c r="X405" s="1" t="str">
        <f ca="1">IFERROR(__xludf.DUMMYFUNCTION("""COMPUTED_VALUE"""),"Victims Targeted")</f>
        <v>Victims Targeted</v>
      </c>
      <c r="Y405" s="1"/>
      <c r="Z405" s="1"/>
      <c r="AA405" s="1" t="str">
        <f ca="1">IFERROR(__xludf.DUMMYFUNCTION("""COMPUTED_VALUE"""),"No")</f>
        <v>No</v>
      </c>
      <c r="AB405" s="1" t="str">
        <f ca="1">IFERROR(__xludf.DUMMYFUNCTION("""COMPUTED_VALUE"""),"No")</f>
        <v>No</v>
      </c>
      <c r="AC405" s="1" t="str">
        <f ca="1">IFERROR(__xludf.DUMMYFUNCTION("""COMPUTED_VALUE"""),"No")</f>
        <v>No</v>
      </c>
      <c r="AD405" s="1"/>
      <c r="AE405" s="1" t="str">
        <f ca="1">IFERROR(__xludf.DUMMYFUNCTION("""COMPUTED_VALUE"""),"No")</f>
        <v>No</v>
      </c>
      <c r="AF405" s="1"/>
      <c r="AG405" s="1" t="str">
        <f ca="1">IFERROR(__xludf.DUMMYFUNCTION("""COMPUTED_VALUE"""),"No")</f>
        <v>No</v>
      </c>
      <c r="AH405" s="1">
        <f ca="1">IFERROR(__xludf.DUMMYFUNCTION("""COMPUTED_VALUE"""),1)</f>
        <v>1</v>
      </c>
    </row>
    <row r="406" spans="1:34" ht="12.5">
      <c r="A406" s="1" t="str">
        <f ca="1">IFERROR(__xludf.DUMMYFUNCTION("""COMPUTED_VALUE"""),"20230125OHTOT")</f>
        <v>20230125OHTOT</v>
      </c>
      <c r="B406" s="1">
        <f ca="1">IFERROR(__xludf.DUMMYFUNCTION("""COMPUTED_VALUE"""),1)</f>
        <v>1</v>
      </c>
      <c r="C406" s="1">
        <f ca="1">IFERROR(__xludf.DUMMYFUNCTION("""COMPUTED_VALUE"""),25)</f>
        <v>25</v>
      </c>
      <c r="D406" s="1">
        <f ca="1">IFERROR(__xludf.DUMMYFUNCTION("""COMPUTED_VALUE"""),2023)</f>
        <v>2023</v>
      </c>
      <c r="E406" s="4">
        <f ca="1">IFERROR(__xludf.DUMMYFUNCTION("""COMPUTED_VALUE"""),44951)</f>
        <v>44951</v>
      </c>
      <c r="F406" s="1" t="str">
        <f ca="1">IFERROR(__xludf.DUMMYFUNCTION("""COMPUTED_VALUE"""),"Toledo Public Schools Bus")</f>
        <v>Toledo Public Schools Bus</v>
      </c>
      <c r="G406" s="1">
        <f ca="1">IFERROR(__xludf.DUMMYFUNCTION("""COMPUTED_VALUE"""),0)</f>
        <v>0</v>
      </c>
      <c r="H406" s="1">
        <f ca="1">IFERROR(__xludf.DUMMYFUNCTION("""COMPUTED_VALUE"""),0)</f>
        <v>0</v>
      </c>
      <c r="I406" s="1">
        <f ca="1">IFERROR(__xludf.DUMMYFUNCTION("""COMPUTED_VALUE"""),0)</f>
        <v>0</v>
      </c>
      <c r="J406" s="1">
        <f ca="1">IFERROR(__xludf.DUMMYFUNCTION("""COMPUTED_VALUE"""),0)</f>
        <v>0</v>
      </c>
      <c r="K406" s="1" t="str">
        <f ca="1">IFERROR(__xludf.DUMMYFUNCTION("""COMPUTED_VALUE"""),"Winter")</f>
        <v>Winter</v>
      </c>
      <c r="L406" s="1" t="str">
        <f ca="1">IFERROR(__xludf.DUMMYFUNCTION("""COMPUTED_VALUE"""),"Toledo")</f>
        <v>Toledo</v>
      </c>
      <c r="M406" s="1" t="str">
        <f ca="1">IFERROR(__xludf.DUMMYFUNCTION("""COMPUTED_VALUE"""),"OH")</f>
        <v>OH</v>
      </c>
      <c r="N406" s="1" t="str">
        <f ca="1">IFERROR(__xludf.DUMMYFUNCTION("""COMPUTED_VALUE"""),"Other")</f>
        <v>Other</v>
      </c>
      <c r="O406" s="1" t="str">
        <f ca="1">IFERROR(__xludf.DUMMYFUNCTION("""COMPUTED_VALUE"""),"School Bus")</f>
        <v>School Bus</v>
      </c>
      <c r="P406" s="1" t="str">
        <f ca="1">IFERROR(__xludf.DUMMYFUNCTION("""COMPUTED_VALUE"""),"School Bus")</f>
        <v>School Bus</v>
      </c>
      <c r="Q406" s="1" t="str">
        <f ca="1">IFERROR(__xludf.DUMMYFUNCTION("""COMPUTED_VALUE"""),"Yes")</f>
        <v>Yes</v>
      </c>
      <c r="R406" s="1" t="str">
        <f ca="1">IFERROR(__xludf.DUMMYFUNCTION("""COMPUTED_VALUE"""),"Dismissal")</f>
        <v>Dismissal</v>
      </c>
      <c r="S406" s="5">
        <f ca="1">IFERROR(__xludf.DUMMYFUNCTION("""COMPUTED_VALUE"""),0.666666666666666)</f>
        <v>0.66666666666666596</v>
      </c>
      <c r="T406" s="1">
        <f ca="1">IFERROR(__xludf.DUMMYFUNCTION("""COMPUTED_VALUE"""),1)</f>
        <v>1</v>
      </c>
      <c r="U406" s="1" t="str">
        <f ca="1">IFERROR(__xludf.DUMMYFUNCTION("""COMPUTED_VALUE"""),"School bus struck by bullets taking students home")</f>
        <v>School bus struck by bullets taking students home</v>
      </c>
      <c r="V406" s="1" t="str">
        <f ca="1">IFERROR(__xludf.DUMMYFUNCTION("""COMPUTED_VALUE"""),"46 shots were fired in the area of a school bus taking students home. Bullets stuck the bus. Students and driver were not injured.")</f>
        <v>46 shots were fired in the area of a school bus taking students home. Bullets stuck the bus. Students and driver were not injured.</v>
      </c>
      <c r="W406" s="1" t="str">
        <f ca="1">IFERROR(__xludf.DUMMYFUNCTION("""COMPUTED_VALUE"""),"Drive-by Shooting")</f>
        <v>Drive-by Shooting</v>
      </c>
      <c r="X406" s="1" t="str">
        <f ca="1">IFERROR(__xludf.DUMMYFUNCTION("""COMPUTED_VALUE"""),"Both")</f>
        <v>Both</v>
      </c>
      <c r="Y406" s="1"/>
      <c r="Z406" s="1"/>
      <c r="AA406" s="1" t="str">
        <f ca="1">IFERROR(__xludf.DUMMYFUNCTION("""COMPUTED_VALUE"""),"No")</f>
        <v>No</v>
      </c>
      <c r="AB406" s="1" t="str">
        <f ca="1">IFERROR(__xludf.DUMMYFUNCTION("""COMPUTED_VALUE"""),"No")</f>
        <v>No</v>
      </c>
      <c r="AC406" s="1" t="str">
        <f ca="1">IFERROR(__xludf.DUMMYFUNCTION("""COMPUTED_VALUE"""),"No")</f>
        <v>No</v>
      </c>
      <c r="AD406" s="1" t="str">
        <f ca="1">IFERROR(__xludf.DUMMYFUNCTION("""COMPUTED_VALUE"""),"No")</f>
        <v>No</v>
      </c>
      <c r="AE406" s="1" t="str">
        <f ca="1">IFERROR(__xludf.DUMMYFUNCTION("""COMPUTED_VALUE"""),"No")</f>
        <v>No</v>
      </c>
      <c r="AF406" s="1"/>
      <c r="AG406" s="1" t="str">
        <f ca="1">IFERROR(__xludf.DUMMYFUNCTION("""COMPUTED_VALUE"""),"No")</f>
        <v>No</v>
      </c>
      <c r="AH406" s="1">
        <f ca="1">IFERROR(__xludf.DUMMYFUNCTION("""COMPUTED_VALUE"""),46)</f>
        <v>46</v>
      </c>
    </row>
    <row r="407" spans="1:34" ht="12.5">
      <c r="A407" s="1" t="str">
        <f ca="1">IFERROR(__xludf.DUMMYFUNCTION("""COMPUTED_VALUE"""),"20230124MOTHK")</f>
        <v>20230124MOTHK</v>
      </c>
      <c r="B407" s="1">
        <f ca="1">IFERROR(__xludf.DUMMYFUNCTION("""COMPUTED_VALUE"""),1)</f>
        <v>1</v>
      </c>
      <c r="C407" s="1">
        <f ca="1">IFERROR(__xludf.DUMMYFUNCTION("""COMPUTED_VALUE"""),24)</f>
        <v>24</v>
      </c>
      <c r="D407" s="1">
        <f ca="1">IFERROR(__xludf.DUMMYFUNCTION("""COMPUTED_VALUE"""),2023)</f>
        <v>2023</v>
      </c>
      <c r="E407" s="4">
        <f ca="1">IFERROR(__xludf.DUMMYFUNCTION("""COMPUTED_VALUE"""),44950)</f>
        <v>44950</v>
      </c>
      <c r="F407" s="1" t="str">
        <f ca="1">IFERROR(__xludf.DUMMYFUNCTION("""COMPUTED_VALUE"""),"The Plaza Academy")</f>
        <v>The Plaza Academy</v>
      </c>
      <c r="G407" s="1">
        <f ca="1">IFERROR(__xludf.DUMMYFUNCTION("""COMPUTED_VALUE"""),0)</f>
        <v>0</v>
      </c>
      <c r="H407" s="1">
        <f ca="1">IFERROR(__xludf.DUMMYFUNCTION("""COMPUTED_VALUE"""),1)</f>
        <v>1</v>
      </c>
      <c r="I407" s="1">
        <f ca="1">IFERROR(__xludf.DUMMYFUNCTION("""COMPUTED_VALUE"""),1)</f>
        <v>1</v>
      </c>
      <c r="J407" s="1">
        <f ca="1">IFERROR(__xludf.DUMMYFUNCTION("""COMPUTED_VALUE"""),0)</f>
        <v>0</v>
      </c>
      <c r="K407" s="1" t="str">
        <f ca="1">IFERROR(__xludf.DUMMYFUNCTION("""COMPUTED_VALUE"""),"Winter")</f>
        <v>Winter</v>
      </c>
      <c r="L407" s="1" t="str">
        <f ca="1">IFERROR(__xludf.DUMMYFUNCTION("""COMPUTED_VALUE"""),"Kansas City")</f>
        <v>Kansas City</v>
      </c>
      <c r="M407" s="1" t="str">
        <f ca="1">IFERROR(__xludf.DUMMYFUNCTION("""COMPUTED_VALUE"""),"MO")</f>
        <v>MO</v>
      </c>
      <c r="N407" s="1" t="str">
        <f ca="1">IFERROR(__xludf.DUMMYFUNCTION("""COMPUTED_VALUE"""),"High")</f>
        <v>High</v>
      </c>
      <c r="O407" s="1" t="str">
        <f ca="1">IFERROR(__xludf.DUMMYFUNCTION("""COMPUTED_VALUE"""),"Beside Building")</f>
        <v>Beside Building</v>
      </c>
      <c r="P407" s="1" t="str">
        <f ca="1">IFERROR(__xludf.DUMMYFUNCTION("""COMPUTED_VALUE"""),"Outside on School Property")</f>
        <v>Outside on School Property</v>
      </c>
      <c r="Q407" s="1" t="str">
        <f ca="1">IFERROR(__xludf.DUMMYFUNCTION("""COMPUTED_VALUE"""),"Yes")</f>
        <v>Yes</v>
      </c>
      <c r="R407" s="1" t="str">
        <f ca="1">IFERROR(__xludf.DUMMYFUNCTION("""COMPUTED_VALUE"""),"Afternoon Classes")</f>
        <v>Afternoon Classes</v>
      </c>
      <c r="S407" s="5">
        <f ca="1">IFERROR(__xludf.DUMMYFUNCTION("""COMPUTED_VALUE"""),0.520833333333333)</f>
        <v>0.52083333333333304</v>
      </c>
      <c r="T407" s="1">
        <f ca="1">IFERROR(__xludf.DUMMYFUNCTION("""COMPUTED_VALUE"""),1)</f>
        <v>1</v>
      </c>
      <c r="U407" s="1" t="str">
        <f ca="1">IFERROR(__xludf.DUMMYFUNCTION("""COMPUTED_VALUE"""),"School employee shot by backdoor")</f>
        <v>School employee shot by backdoor</v>
      </c>
      <c r="V407" s="1" t="str">
        <f ca="1">IFERROR(__xludf.DUMMYFUNCTION("""COMPUTED_VALUE"""),"Kansas City police say officers found a paraprofessional with gunshot injuries near an alternative high school. Officers responded to The Plaza Academy near West 39th Terrace and Broadway Boulevard in Kansas City’s Midtown area. The shooting happened arou"&amp;"nd 12:30 p.m. Tuesday. The school’s executive director Ward Worley said someone drove by on Washington Street and shot the employee near the back entrance to the building. Worley said he doesn’t know if the shooting was random or if the gunman targeted th"&amp;"e victim. School went on lockdown and classes were cancelled for remainder of the day.")</f>
        <v>Kansas City police say officers found a paraprofessional with gunshot injuries near an alternative high school. Officers responded to The Plaza Academy near West 39th Terrace and Broadway Boulevard in Kansas City’s Midtown area. The shooting happened around 12:30 p.m. Tuesday. The school’s executive director Ward Worley said someone drove by on Washington Street and shot the employee near the back entrance to the building. Worley said he doesn’t know if the shooting was random or if the gunman targeted the victim. School went on lockdown and classes were cancelled for remainder of the day.</v>
      </c>
      <c r="W407" s="1" t="str">
        <f ca="1">IFERROR(__xludf.DUMMYFUNCTION("""COMPUTED_VALUE"""),"Drive-by Shooting")</f>
        <v>Drive-by Shooting</v>
      </c>
      <c r="X407" s="1"/>
      <c r="Y407" s="1"/>
      <c r="Z407" s="1"/>
      <c r="AA407" s="1" t="str">
        <f ca="1">IFERROR(__xludf.DUMMYFUNCTION("""COMPUTED_VALUE"""),"No")</f>
        <v>No</v>
      </c>
      <c r="AB407" s="1" t="str">
        <f ca="1">IFERROR(__xludf.DUMMYFUNCTION("""COMPUTED_VALUE"""),"No")</f>
        <v>No</v>
      </c>
      <c r="AC407" s="1" t="str">
        <f ca="1">IFERROR(__xludf.DUMMYFUNCTION("""COMPUTED_VALUE"""),"No")</f>
        <v>No</v>
      </c>
      <c r="AD407" s="1" t="str">
        <f ca="1">IFERROR(__xludf.DUMMYFUNCTION("""COMPUTED_VALUE"""),"No")</f>
        <v>No</v>
      </c>
      <c r="AE407" s="1" t="str">
        <f ca="1">IFERROR(__xludf.DUMMYFUNCTION("""COMPUTED_VALUE"""),"No")</f>
        <v>No</v>
      </c>
      <c r="AF407" s="1"/>
      <c r="AG407" s="1" t="str">
        <f ca="1">IFERROR(__xludf.DUMMYFUNCTION("""COMPUTED_VALUE"""),"No")</f>
        <v>No</v>
      </c>
      <c r="AH407" s="1"/>
    </row>
    <row r="408" spans="1:34" ht="12.5">
      <c r="A408" s="1" t="str">
        <f ca="1">IFERROR(__xludf.DUMMYFUNCTION("""COMPUTED_VALUE"""),"20230123TXABA")</f>
        <v>20230123TXABA</v>
      </c>
      <c r="B408" s="1">
        <f ca="1">IFERROR(__xludf.DUMMYFUNCTION("""COMPUTED_VALUE"""),1)</f>
        <v>1</v>
      </c>
      <c r="C408" s="1">
        <f ca="1">IFERROR(__xludf.DUMMYFUNCTION("""COMPUTED_VALUE"""),23)</f>
        <v>23</v>
      </c>
      <c r="D408" s="1">
        <f ca="1">IFERROR(__xludf.DUMMYFUNCTION("""COMPUTED_VALUE"""),2023)</f>
        <v>2023</v>
      </c>
      <c r="E408" s="4">
        <f ca="1">IFERROR(__xludf.DUMMYFUNCTION("""COMPUTED_VALUE"""),44949)</f>
        <v>44949</v>
      </c>
      <c r="F408" s="1" t="str">
        <f ca="1">IFERROR(__xludf.DUMMYFUNCTION("""COMPUTED_VALUE"""),"Abilene Independent School District Bus")</f>
        <v>Abilene Independent School District Bus</v>
      </c>
      <c r="G408" s="1">
        <f ca="1">IFERROR(__xludf.DUMMYFUNCTION("""COMPUTED_VALUE"""),0)</f>
        <v>0</v>
      </c>
      <c r="H408" s="1">
        <f ca="1">IFERROR(__xludf.DUMMYFUNCTION("""COMPUTED_VALUE"""),2)</f>
        <v>2</v>
      </c>
      <c r="I408" s="1">
        <f ca="1">IFERROR(__xludf.DUMMYFUNCTION("""COMPUTED_VALUE"""),2)</f>
        <v>2</v>
      </c>
      <c r="J408" s="1">
        <f ca="1">IFERROR(__xludf.DUMMYFUNCTION("""COMPUTED_VALUE"""),0)</f>
        <v>0</v>
      </c>
      <c r="K408" s="1" t="str">
        <f ca="1">IFERROR(__xludf.DUMMYFUNCTION("""COMPUTED_VALUE"""),"Winter")</f>
        <v>Winter</v>
      </c>
      <c r="L408" s="1" t="str">
        <f ca="1">IFERROR(__xludf.DUMMYFUNCTION("""COMPUTED_VALUE"""),"Abilene")</f>
        <v>Abilene</v>
      </c>
      <c r="M408" s="1" t="str">
        <f ca="1">IFERROR(__xludf.DUMMYFUNCTION("""COMPUTED_VALUE"""),"TX")</f>
        <v>TX</v>
      </c>
      <c r="N408" s="1" t="str">
        <f ca="1">IFERROR(__xludf.DUMMYFUNCTION("""COMPUTED_VALUE"""),"Other")</f>
        <v>Other</v>
      </c>
      <c r="O408" s="1" t="str">
        <f ca="1">IFERROR(__xludf.DUMMYFUNCTION("""COMPUTED_VALUE"""),"School Bus")</f>
        <v>School Bus</v>
      </c>
      <c r="P408" s="1" t="str">
        <f ca="1">IFERROR(__xludf.DUMMYFUNCTION("""COMPUTED_VALUE"""),"School Bus")</f>
        <v>School Bus</v>
      </c>
      <c r="Q408" s="1" t="str">
        <f ca="1">IFERROR(__xludf.DUMMYFUNCTION("""COMPUTED_VALUE"""),"Yes")</f>
        <v>Yes</v>
      </c>
      <c r="R408" s="1" t="str">
        <f ca="1">IFERROR(__xludf.DUMMYFUNCTION("""COMPUTED_VALUE"""),"Dismissal")</f>
        <v>Dismissal</v>
      </c>
      <c r="S408" s="5">
        <f ca="1">IFERROR(__xludf.DUMMYFUNCTION("""COMPUTED_VALUE"""),0.666666666666666)</f>
        <v>0.66666666666666596</v>
      </c>
      <c r="T408" s="1">
        <f ca="1">IFERROR(__xludf.DUMMYFUNCTION("""COMPUTED_VALUE"""),1)</f>
        <v>1</v>
      </c>
      <c r="U408" s="1" t="str">
        <f ca="1">IFERROR(__xludf.DUMMYFUNCTION("""COMPUTED_VALUE"""),"Abilene school bus was shot with a pellet or BB gun resulting in one student on board being hit by some type of projectile and one student cut by glass")</f>
        <v>Abilene school bus was shot with a pellet or BB gun resulting in one student on board being hit by some type of projectile and one student cut by glass</v>
      </c>
      <c r="V408" s="1" t="str">
        <f ca="1">IFERROR(__xludf.DUMMYFUNCTION("""COMPUTED_VALUE"""),"Abilene school bus was shot with a pellet or BB gun resulting in one student on board being hit by some type of projectile and one student cut by glass")</f>
        <v>Abilene school bus was shot with a pellet or BB gun resulting in one student on board being hit by some type of projectile and one student cut by glass</v>
      </c>
      <c r="W408" s="1"/>
      <c r="X408" s="1" t="str">
        <f ca="1">IFERROR(__xludf.DUMMYFUNCTION("""COMPUTED_VALUE"""),"Random Shooting")</f>
        <v>Random Shooting</v>
      </c>
      <c r="Y408" s="1"/>
      <c r="Z408" s="1"/>
      <c r="AA408" s="1" t="str">
        <f ca="1">IFERROR(__xludf.DUMMYFUNCTION("""COMPUTED_VALUE"""),"No")</f>
        <v>No</v>
      </c>
      <c r="AB408" s="1" t="str">
        <f ca="1">IFERROR(__xludf.DUMMYFUNCTION("""COMPUTED_VALUE"""),"No")</f>
        <v>No</v>
      </c>
      <c r="AC408" s="1" t="str">
        <f ca="1">IFERROR(__xludf.DUMMYFUNCTION("""COMPUTED_VALUE"""),"No")</f>
        <v>No</v>
      </c>
      <c r="AD408" s="1"/>
      <c r="AE408" s="1" t="str">
        <f ca="1">IFERROR(__xludf.DUMMYFUNCTION("""COMPUTED_VALUE"""),"No")</f>
        <v>No</v>
      </c>
      <c r="AF408" s="1" t="str">
        <f ca="1">IFERROR(__xludf.DUMMYFUNCTION("""COMPUTED_VALUE"""),"No")</f>
        <v>No</v>
      </c>
      <c r="AG408" s="1" t="str">
        <f ca="1">IFERROR(__xludf.DUMMYFUNCTION("""COMPUTED_VALUE"""),"No")</f>
        <v>No</v>
      </c>
      <c r="AH408" s="1">
        <f ca="1">IFERROR(__xludf.DUMMYFUNCTION("""COMPUTED_VALUE"""),99)</f>
        <v>99</v>
      </c>
    </row>
    <row r="409" spans="1:34" ht="12.5">
      <c r="A409" s="1" t="str">
        <f ca="1">IFERROR(__xludf.DUMMYFUNCTION("""COMPUTED_VALUE"""),"20230123IASTD")</f>
        <v>20230123IASTD</v>
      </c>
      <c r="B409" s="1">
        <f ca="1">IFERROR(__xludf.DUMMYFUNCTION("""COMPUTED_VALUE"""),1)</f>
        <v>1</v>
      </c>
      <c r="C409" s="1">
        <f ca="1">IFERROR(__xludf.DUMMYFUNCTION("""COMPUTED_VALUE"""),23)</f>
        <v>23</v>
      </c>
      <c r="D409" s="1">
        <f ca="1">IFERROR(__xludf.DUMMYFUNCTION("""COMPUTED_VALUE"""),2023)</f>
        <v>2023</v>
      </c>
      <c r="E409" s="4">
        <f ca="1">IFERROR(__xludf.DUMMYFUNCTION("""COMPUTED_VALUE"""),44949)</f>
        <v>44949</v>
      </c>
      <c r="F409" s="1" t="str">
        <f ca="1">IFERROR(__xludf.DUMMYFUNCTION("""COMPUTED_VALUE"""),"Starts Right Here Charter School")</f>
        <v>Starts Right Here Charter School</v>
      </c>
      <c r="G409" s="1">
        <f ca="1">IFERROR(__xludf.DUMMYFUNCTION("""COMPUTED_VALUE"""),2)</f>
        <v>2</v>
      </c>
      <c r="H409" s="1">
        <f ca="1">IFERROR(__xludf.DUMMYFUNCTION("""COMPUTED_VALUE"""),1)</f>
        <v>1</v>
      </c>
      <c r="I409" s="1">
        <f ca="1">IFERROR(__xludf.DUMMYFUNCTION("""COMPUTED_VALUE"""),3)</f>
        <v>3</v>
      </c>
      <c r="J409" s="1">
        <f ca="1">IFERROR(__xludf.DUMMYFUNCTION("""COMPUTED_VALUE"""),0)</f>
        <v>0</v>
      </c>
      <c r="K409" s="1" t="str">
        <f ca="1">IFERROR(__xludf.DUMMYFUNCTION("""COMPUTED_VALUE"""),"Winter")</f>
        <v>Winter</v>
      </c>
      <c r="L409" s="1" t="str">
        <f ca="1">IFERROR(__xludf.DUMMYFUNCTION("""COMPUTED_VALUE"""),"Des Moines")</f>
        <v>Des Moines</v>
      </c>
      <c r="M409" s="1" t="str">
        <f ca="1">IFERROR(__xludf.DUMMYFUNCTION("""COMPUTED_VALUE"""),"IA")</f>
        <v>IA</v>
      </c>
      <c r="N409" s="1" t="str">
        <f ca="1">IFERROR(__xludf.DUMMYFUNCTION("""COMPUTED_VALUE"""),"High")</f>
        <v>High</v>
      </c>
      <c r="O409" s="1" t="str">
        <f ca="1">IFERROR(__xludf.DUMMYFUNCTION("""COMPUTED_VALUE"""),"Hallway")</f>
        <v>Hallway</v>
      </c>
      <c r="P409" s="1" t="str">
        <f ca="1">IFERROR(__xludf.DUMMYFUNCTION("""COMPUTED_VALUE"""),"Inside School Building")</f>
        <v>Inside School Building</v>
      </c>
      <c r="Q409" s="1" t="str">
        <f ca="1">IFERROR(__xludf.DUMMYFUNCTION("""COMPUTED_VALUE"""),"Yes")</f>
        <v>Yes</v>
      </c>
      <c r="R409" s="1" t="str">
        <f ca="1">IFERROR(__xludf.DUMMYFUNCTION("""COMPUTED_VALUE"""),"Afternoon Classes")</f>
        <v>Afternoon Classes</v>
      </c>
      <c r="S409" s="5">
        <f ca="1">IFERROR(__xludf.DUMMYFUNCTION("""COMPUTED_VALUE"""),0.536805555555555)</f>
        <v>0.53680555555555498</v>
      </c>
      <c r="T409" s="1">
        <f ca="1">IFERROR(__xludf.DUMMYFUNCTION("""COMPUTED_VALUE"""),1)</f>
        <v>1</v>
      </c>
      <c r="U409" s="1" t="str">
        <f ca="1">IFERROR(__xludf.DUMMYFUNCTION("""COMPUTED_VALUE"""),"Two students fatally shot and staff member wounded")</f>
        <v>Two students fatally shot and staff member wounded</v>
      </c>
      <c r="V409" s="1" t="str">
        <f ca="1">IFERROR(__xludf.DUMMYFUNCTION("""COMPUTED_VALUE"""),"Police charged 18-year-old Des Moines resident Preston Walls with two counts of first-degree murder, attempted murder and criminal gang participation. Parizek said in a news release that Walls was allegedly armed with a 9mm handgun with an extended ammuni"&amp;"tion magazine at Starts Right Here. Holmes attempted to escort him out of the building when Walls allegedly started shooting at the teenagers. ""Walls, and both deceased victims, are known gang members, belonging to opposing gangs, and evidence indicates "&amp;"that that these crimes were committed as a result of an ongoing gang dispute,"" Parizek said in the release. He did not elaborate on the evidence that links the shootings to rival gangs.")</f>
        <v>Police charged 18-year-old Des Moines resident Preston Walls with two counts of first-degree murder, attempted murder and criminal gang participation. Parizek said in a news release that Walls was allegedly armed with a 9mm handgun with an extended ammunition magazine at Starts Right Here. Holmes attempted to escort him out of the building when Walls allegedly started shooting at the teenagers. "Walls, and both deceased victims, are known gang members, belonging to opposing gangs, and evidence indicates that that these crimes were committed as a result of an ongoing gang dispute," Parizek said in the release. He did not elaborate on the evidence that links the shootings to rival gangs.</v>
      </c>
      <c r="W409" s="1" t="str">
        <f ca="1">IFERROR(__xludf.DUMMYFUNCTION("""COMPUTED_VALUE"""),"Escalation of Dispute")</f>
        <v>Escalation of Dispute</v>
      </c>
      <c r="X409" s="1" t="str">
        <f ca="1">IFERROR(__xludf.DUMMYFUNCTION("""COMPUTED_VALUE"""),"Both")</f>
        <v>Both</v>
      </c>
      <c r="Y409" s="1" t="str">
        <f ca="1">IFERROR(__xludf.DUMMYFUNCTION("""COMPUTED_VALUE"""),"Yes")</f>
        <v>Yes</v>
      </c>
      <c r="Z409" s="1" t="str">
        <f ca="1">IFERROR(__xludf.DUMMYFUNCTION("""COMPUTED_VALUE"""),"Three arrested after police chase")</f>
        <v>Three arrested after police chase</v>
      </c>
      <c r="AA409" s="1" t="str">
        <f ca="1">IFERROR(__xludf.DUMMYFUNCTION("""COMPUTED_VALUE"""),"No")</f>
        <v>No</v>
      </c>
      <c r="AB409" s="1" t="str">
        <f ca="1">IFERROR(__xludf.DUMMYFUNCTION("""COMPUTED_VALUE"""),"No")</f>
        <v>No</v>
      </c>
      <c r="AC409" s="1" t="str">
        <f ca="1">IFERROR(__xludf.DUMMYFUNCTION("""COMPUTED_VALUE"""),"No")</f>
        <v>No</v>
      </c>
      <c r="AD409" s="1" t="str">
        <f ca="1">IFERROR(__xludf.DUMMYFUNCTION("""COMPUTED_VALUE"""),"No")</f>
        <v>No</v>
      </c>
      <c r="AE409" s="1" t="str">
        <f ca="1">IFERROR(__xludf.DUMMYFUNCTION("""COMPUTED_VALUE"""),"No")</f>
        <v>No</v>
      </c>
      <c r="AF409" s="1" t="str">
        <f ca="1">IFERROR(__xludf.DUMMYFUNCTION("""COMPUTED_VALUE"""),"Yes")</f>
        <v>Yes</v>
      </c>
      <c r="AG409" s="1" t="str">
        <f ca="1">IFERROR(__xludf.DUMMYFUNCTION("""COMPUTED_VALUE"""),"No")</f>
        <v>No</v>
      </c>
      <c r="AH409" s="1">
        <f ca="1">IFERROR(__xludf.DUMMYFUNCTION("""COMPUTED_VALUE"""),99)</f>
        <v>99</v>
      </c>
    </row>
    <row r="410" spans="1:34" ht="12.5">
      <c r="A410" s="1" t="str">
        <f ca="1">IFERROR(__xludf.DUMMYFUNCTION("""COMPUTED_VALUE"""),"20230122WAMOT")</f>
        <v>20230122WAMOT</v>
      </c>
      <c r="B410" s="1">
        <f ca="1">IFERROR(__xludf.DUMMYFUNCTION("""COMPUTED_VALUE"""),1)</f>
        <v>1</v>
      </c>
      <c r="C410" s="1">
        <f ca="1">IFERROR(__xludf.DUMMYFUNCTION("""COMPUTED_VALUE"""),22)</f>
        <v>22</v>
      </c>
      <c r="D410" s="1">
        <f ca="1">IFERROR(__xludf.DUMMYFUNCTION("""COMPUTED_VALUE"""),2023)</f>
        <v>2023</v>
      </c>
      <c r="E410" s="4">
        <f ca="1">IFERROR(__xludf.DUMMYFUNCTION("""COMPUTED_VALUE"""),44948)</f>
        <v>44948</v>
      </c>
      <c r="F410" s="1" t="str">
        <f ca="1">IFERROR(__xludf.DUMMYFUNCTION("""COMPUTED_VALUE"""),"Mount Tahoma High School")</f>
        <v>Mount Tahoma High School</v>
      </c>
      <c r="G410" s="1">
        <f ca="1">IFERROR(__xludf.DUMMYFUNCTION("""COMPUTED_VALUE"""),0)</f>
        <v>0</v>
      </c>
      <c r="H410" s="1">
        <f ca="1">IFERROR(__xludf.DUMMYFUNCTION("""COMPUTED_VALUE"""),2)</f>
        <v>2</v>
      </c>
      <c r="I410" s="1">
        <f ca="1">IFERROR(__xludf.DUMMYFUNCTION("""COMPUTED_VALUE"""),2)</f>
        <v>2</v>
      </c>
      <c r="J410" s="1">
        <f ca="1">IFERROR(__xludf.DUMMYFUNCTION("""COMPUTED_VALUE"""),0)</f>
        <v>0</v>
      </c>
      <c r="K410" s="1" t="str">
        <f ca="1">IFERROR(__xludf.DUMMYFUNCTION("""COMPUTED_VALUE"""),"Winter")</f>
        <v>Winter</v>
      </c>
      <c r="L410" s="1" t="str">
        <f ca="1">IFERROR(__xludf.DUMMYFUNCTION("""COMPUTED_VALUE"""),"Tacoma")</f>
        <v>Tacoma</v>
      </c>
      <c r="M410" s="1" t="str">
        <f ca="1">IFERROR(__xludf.DUMMYFUNCTION("""COMPUTED_VALUE"""),"WA")</f>
        <v>WA</v>
      </c>
      <c r="N410" s="1" t="str">
        <f ca="1">IFERROR(__xludf.DUMMYFUNCTION("""COMPUTED_VALUE"""),"High")</f>
        <v>High</v>
      </c>
      <c r="O410" s="1" t="str">
        <f ca="1">IFERROR(__xludf.DUMMYFUNCTION("""COMPUTED_VALUE"""),"Parking Lot")</f>
        <v>Parking Lot</v>
      </c>
      <c r="P410" s="1" t="str">
        <f ca="1">IFERROR(__xludf.DUMMYFUNCTION("""COMPUTED_VALUE"""),"Outside on School Property")</f>
        <v>Outside on School Property</v>
      </c>
      <c r="Q410" s="1" t="str">
        <f ca="1">IFERROR(__xludf.DUMMYFUNCTION("""COMPUTED_VALUE"""),"No")</f>
        <v>No</v>
      </c>
      <c r="R410" s="1" t="str">
        <f ca="1">IFERROR(__xludf.DUMMYFUNCTION("""COMPUTED_VALUE"""),"Night")</f>
        <v>Night</v>
      </c>
      <c r="S410" s="5">
        <f ca="1">IFERROR(__xludf.DUMMYFUNCTION("""COMPUTED_VALUE"""),0.895833333333333)</f>
        <v>0.89583333333333304</v>
      </c>
      <c r="T410" s="1">
        <f ca="1">IFERROR(__xludf.DUMMYFUNCTION("""COMPUTED_VALUE"""),1)</f>
        <v>1</v>
      </c>
      <c r="U410" s="1" t="str">
        <f ca="1">IFERROR(__xludf.DUMMYFUNCTION("""COMPUTED_VALUE"""),"Two men shot during argument in school parking lot")</f>
        <v>Two men shot during argument in school parking lot</v>
      </c>
      <c r="V410" s="1" t="str">
        <f ca="1">IFERROR(__xludf.DUMMYFUNCTION("""COMPUTED_VALUE"""),"Two men are being treated for injuries after they were shot in the parking lot of Mount Tahoma High School in Tacoma Sunday night. According to the Lakewood Police Department (LPD), two men with gunshot wounds showed up at St. Clare Hospital in Lakewood a"&amp;"round 9:30 p.m. Sunday. The men told Lakewood police they were in the parking lot of Mount Tahoma High School when they were confronted by two people and shot.")</f>
        <v>Two men are being treated for injuries after they were shot in the parking lot of Mount Tahoma High School in Tacoma Sunday night. According to the Lakewood Police Department (LPD), two men with gunshot wounds showed up at St. Clare Hospital in Lakewood around 9:30 p.m. Sunday. The men told Lakewood police they were in the parking lot of Mount Tahoma High School when they were confronted by two people and shot.</v>
      </c>
      <c r="W410" s="1" t="str">
        <f ca="1">IFERROR(__xludf.DUMMYFUNCTION("""COMPUTED_VALUE"""),"Escalation of Dispute")</f>
        <v>Escalation of Dispute</v>
      </c>
      <c r="X410" s="1" t="str">
        <f ca="1">IFERROR(__xludf.DUMMYFUNCTION("""COMPUTED_VALUE"""),"Victims Targeted")</f>
        <v>Victims Targeted</v>
      </c>
      <c r="Y410" s="1"/>
      <c r="Z410" s="1"/>
      <c r="AA410" s="1" t="str">
        <f ca="1">IFERROR(__xludf.DUMMYFUNCTION("""COMPUTED_VALUE"""),"No")</f>
        <v>No</v>
      </c>
      <c r="AB410" s="1" t="str">
        <f ca="1">IFERROR(__xludf.DUMMYFUNCTION("""COMPUTED_VALUE"""),"No")</f>
        <v>No</v>
      </c>
      <c r="AC410" s="1" t="str">
        <f ca="1">IFERROR(__xludf.DUMMYFUNCTION("""COMPUTED_VALUE"""),"No")</f>
        <v>No</v>
      </c>
      <c r="AD410" s="1" t="str">
        <f ca="1">IFERROR(__xludf.DUMMYFUNCTION("""COMPUTED_VALUE"""),"No")</f>
        <v>No</v>
      </c>
      <c r="AE410" s="1" t="str">
        <f ca="1">IFERROR(__xludf.DUMMYFUNCTION("""COMPUTED_VALUE"""),"No")</f>
        <v>No</v>
      </c>
      <c r="AF410" s="1"/>
      <c r="AG410" s="1" t="str">
        <f ca="1">IFERROR(__xludf.DUMMYFUNCTION("""COMPUTED_VALUE"""),"No")</f>
        <v>No</v>
      </c>
      <c r="AH410" s="1">
        <f ca="1">IFERROR(__xludf.DUMMYFUNCTION("""COMPUTED_VALUE"""),99)</f>
        <v>99</v>
      </c>
    </row>
    <row r="411" spans="1:34" ht="12.5">
      <c r="A411" s="1" t="str">
        <f ca="1">IFERROR(__xludf.DUMMYFUNCTION("""COMPUTED_VALUE"""),"20230121FLGLB")</f>
        <v>20230121FLGLB</v>
      </c>
      <c r="B411" s="1">
        <f ca="1">IFERROR(__xludf.DUMMYFUNCTION("""COMPUTED_VALUE"""),1)</f>
        <v>1</v>
      </c>
      <c r="C411" s="1">
        <f ca="1">IFERROR(__xludf.DUMMYFUNCTION("""COMPUTED_VALUE"""),21)</f>
        <v>21</v>
      </c>
      <c r="D411" s="1">
        <f ca="1">IFERROR(__xludf.DUMMYFUNCTION("""COMPUTED_VALUE"""),2023)</f>
        <v>2023</v>
      </c>
      <c r="E411" s="4">
        <f ca="1">IFERROR(__xludf.DUMMYFUNCTION("""COMPUTED_VALUE"""),44947)</f>
        <v>44947</v>
      </c>
      <c r="F411" s="1" t="str">
        <f ca="1">IFERROR(__xludf.DUMMYFUNCTION("""COMPUTED_VALUE"""),"Glades Central High School")</f>
        <v>Glades Central High School</v>
      </c>
      <c r="G411" s="1">
        <f ca="1">IFERROR(__xludf.DUMMYFUNCTION("""COMPUTED_VALUE"""),0)</f>
        <v>0</v>
      </c>
      <c r="H411" s="1">
        <f ca="1">IFERROR(__xludf.DUMMYFUNCTION("""COMPUTED_VALUE"""),0)</f>
        <v>0</v>
      </c>
      <c r="I411" s="1">
        <f ca="1">IFERROR(__xludf.DUMMYFUNCTION("""COMPUTED_VALUE"""),0)</f>
        <v>0</v>
      </c>
      <c r="J411" s="1">
        <f ca="1">IFERROR(__xludf.DUMMYFUNCTION("""COMPUTED_VALUE"""),0)</f>
        <v>0</v>
      </c>
      <c r="K411" s="1" t="str">
        <f ca="1">IFERROR(__xludf.DUMMYFUNCTION("""COMPUTED_VALUE"""),"Winter")</f>
        <v>Winter</v>
      </c>
      <c r="L411" s="1" t="str">
        <f ca="1">IFERROR(__xludf.DUMMYFUNCTION("""COMPUTED_VALUE"""),"Belle Glade")</f>
        <v>Belle Glade</v>
      </c>
      <c r="M411" s="1" t="str">
        <f ca="1">IFERROR(__xludf.DUMMYFUNCTION("""COMPUTED_VALUE"""),"FL")</f>
        <v>FL</v>
      </c>
      <c r="N411" s="1" t="str">
        <f ca="1">IFERROR(__xludf.DUMMYFUNCTION("""COMPUTED_VALUE"""),"High")</f>
        <v>High</v>
      </c>
      <c r="O411" s="1" t="str">
        <f ca="1">IFERROR(__xludf.DUMMYFUNCTION("""COMPUTED_VALUE"""),"Outside on School Property")</f>
        <v>Outside on School Property</v>
      </c>
      <c r="P411" s="1" t="str">
        <f ca="1">IFERROR(__xludf.DUMMYFUNCTION("""COMPUTED_VALUE"""),"Outside on School Property")</f>
        <v>Outside on School Property</v>
      </c>
      <c r="Q411" s="1"/>
      <c r="R411" s="1"/>
      <c r="S411" s="1"/>
      <c r="T411" s="1">
        <f ca="1">IFERROR(__xludf.DUMMYFUNCTION("""COMPUTED_VALUE"""),1)</f>
        <v>1</v>
      </c>
      <c r="U411" s="1" t="str">
        <f ca="1">IFERROR(__xludf.DUMMYFUNCTION("""COMPUTED_VALUE"""),"Shots fired outside, man with gun ran into school")</f>
        <v>Shots fired outside, man with gun ran into school</v>
      </c>
      <c r="V411" s="1" t="str">
        <f ca="1">IFERROR(__xludf.DUMMYFUNCTION("""COMPUTED_VALUE"""),"According to the Palm Beach County Sheriff's Office, on Jan. 21, they received reports of shots fired near Glades Central High School. A PBSO Aviation Unit saw a man running, jump the fence, and enter the high school. Arrested and charged with trespassing"&amp;" on school property with a firearm.")</f>
        <v>According to the Palm Beach County Sheriff's Office, on Jan. 21, they received reports of shots fired near Glades Central High School. A PBSO Aviation Unit saw a man running, jump the fence, and enter the high school. Arrested and charged with trespassing on school property with a firearm.</v>
      </c>
      <c r="W411" s="1"/>
      <c r="X411" s="1"/>
      <c r="Y411" s="1" t="str">
        <f ca="1">IFERROR(__xludf.DUMMYFUNCTION("""COMPUTED_VALUE"""),"No")</f>
        <v>No</v>
      </c>
      <c r="Z411" s="1"/>
      <c r="AA411" s="1" t="str">
        <f ca="1">IFERROR(__xludf.DUMMYFUNCTION("""COMPUTED_VALUE"""),"No")</f>
        <v>No</v>
      </c>
      <c r="AB411" s="1" t="str">
        <f ca="1">IFERROR(__xludf.DUMMYFUNCTION("""COMPUTED_VALUE"""),"No")</f>
        <v>No</v>
      </c>
      <c r="AC411" s="1" t="str">
        <f ca="1">IFERROR(__xludf.DUMMYFUNCTION("""COMPUTED_VALUE"""),"No")</f>
        <v>No</v>
      </c>
      <c r="AD411" s="1" t="str">
        <f ca="1">IFERROR(__xludf.DUMMYFUNCTION("""COMPUTED_VALUE"""),"No")</f>
        <v>No</v>
      </c>
      <c r="AE411" s="1" t="str">
        <f ca="1">IFERROR(__xludf.DUMMYFUNCTION("""COMPUTED_VALUE"""),"No")</f>
        <v>No</v>
      </c>
      <c r="AF411" s="1"/>
      <c r="AG411" s="1" t="str">
        <f ca="1">IFERROR(__xludf.DUMMYFUNCTION("""COMPUTED_VALUE"""),"No")</f>
        <v>No</v>
      </c>
      <c r="AH411" s="1">
        <f ca="1">IFERROR(__xludf.DUMMYFUNCTION("""COMPUTED_VALUE"""),99)</f>
        <v>99</v>
      </c>
    </row>
    <row r="412" spans="1:34" ht="12.5">
      <c r="A412" s="1" t="str">
        <f ca="1">IFERROR(__xludf.DUMMYFUNCTION("""COMPUTED_VALUE"""),"20230120MNWAS")</f>
        <v>20230120MNWAS</v>
      </c>
      <c r="B412" s="1">
        <f ca="1">IFERROR(__xludf.DUMMYFUNCTION("""COMPUTED_VALUE"""),1)</f>
        <v>1</v>
      </c>
      <c r="C412" s="1">
        <f ca="1">IFERROR(__xludf.DUMMYFUNCTION("""COMPUTED_VALUE"""),20)</f>
        <v>20</v>
      </c>
      <c r="D412" s="1">
        <f ca="1">IFERROR(__xludf.DUMMYFUNCTION("""COMPUTED_VALUE"""),2023)</f>
        <v>2023</v>
      </c>
      <c r="E412" s="4">
        <f ca="1">IFERROR(__xludf.DUMMYFUNCTION("""COMPUTED_VALUE"""),44946)</f>
        <v>44946</v>
      </c>
      <c r="F412" s="1" t="str">
        <f ca="1">IFERROR(__xludf.DUMMYFUNCTION("""COMPUTED_VALUE"""),"Washington Technology Magnet School")</f>
        <v>Washington Technology Magnet School</v>
      </c>
      <c r="G412" s="1">
        <f ca="1">IFERROR(__xludf.DUMMYFUNCTION("""COMPUTED_VALUE"""),0)</f>
        <v>0</v>
      </c>
      <c r="H412" s="1">
        <f ca="1">IFERROR(__xludf.DUMMYFUNCTION("""COMPUTED_VALUE"""),1)</f>
        <v>1</v>
      </c>
      <c r="I412" s="1">
        <f ca="1">IFERROR(__xludf.DUMMYFUNCTION("""COMPUTED_VALUE"""),1)</f>
        <v>1</v>
      </c>
      <c r="J412" s="1">
        <f ca="1">IFERROR(__xludf.DUMMYFUNCTION("""COMPUTED_VALUE"""),0)</f>
        <v>0</v>
      </c>
      <c r="K412" s="1" t="str">
        <f ca="1">IFERROR(__xludf.DUMMYFUNCTION("""COMPUTED_VALUE"""),"Winter")</f>
        <v>Winter</v>
      </c>
      <c r="L412" s="1" t="str">
        <f ca="1">IFERROR(__xludf.DUMMYFUNCTION("""COMPUTED_VALUE"""),"Saint Paul")</f>
        <v>Saint Paul</v>
      </c>
      <c r="M412" s="1" t="str">
        <f ca="1">IFERROR(__xludf.DUMMYFUNCTION("""COMPUTED_VALUE"""),"MN")</f>
        <v>MN</v>
      </c>
      <c r="N412" s="1" t="str">
        <f ca="1">IFERROR(__xludf.DUMMYFUNCTION("""COMPUTED_VALUE"""),"6-12")</f>
        <v>6-12</v>
      </c>
      <c r="O412" s="1" t="str">
        <f ca="1">IFERROR(__xludf.DUMMYFUNCTION("""COMPUTED_VALUE"""),"Front of School")</f>
        <v>Front of School</v>
      </c>
      <c r="P412" s="1" t="str">
        <f ca="1">IFERROR(__xludf.DUMMYFUNCTION("""COMPUTED_VALUE"""),"Outside on School Property")</f>
        <v>Outside on School Property</v>
      </c>
      <c r="Q412" s="1" t="str">
        <f ca="1">IFERROR(__xludf.DUMMYFUNCTION("""COMPUTED_VALUE"""),"Yes")</f>
        <v>Yes</v>
      </c>
      <c r="R412" s="1" t="str">
        <f ca="1">IFERROR(__xludf.DUMMYFUNCTION("""COMPUTED_VALUE"""),"Dismissal")</f>
        <v>Dismissal</v>
      </c>
      <c r="S412" s="5">
        <f ca="1">IFERROR(__xludf.DUMMYFUNCTION("""COMPUTED_VALUE"""),0.638888888888888)</f>
        <v>0.63888888888888795</v>
      </c>
      <c r="T412" s="1">
        <f ca="1">IFERROR(__xludf.DUMMYFUNCTION("""COMPUTED_VALUE"""),1)</f>
        <v>1</v>
      </c>
      <c r="U412" s="1" t="str">
        <f ca="1">IFERROR(__xludf.DUMMYFUNCTION("""COMPUTED_VALUE"""),"Female staff member shot during fight at dismissal. On July 25, Eh Doh Soe, 19, who was charged in connection with the January drive-by shooting outside the Washington Technology Magnet School on Rice Street in St. Paul and with another drive-by shooting "&amp;"less than a week later, allegedly told authorities that he was involved in a string of shootings following the one at the school.")</f>
        <v>Female staff member shot during fight at dismissal. On July 25, Eh Doh Soe, 19, who was charged in connection with the January drive-by shooting outside the Washington Technology Magnet School on Rice Street in St. Paul and with another drive-by shooting less than a week later, allegedly told authorities that he was involved in a string of shootings following the one at the school.</v>
      </c>
      <c r="V412" s="1" t="str">
        <f ca="1">IFERROR(__xludf.DUMMYFUNCTION("""COMPUTED_VALUE"""),"A staff member at a St. Paul magnet school was grazed in the ear by a shot fired near school grounds Friday following a dispute between two groups of teens. The St. Paul Police Department says the shots were fired near Washington Technology Magnet School "&amp;"just before 3:30 p.m. following a fight between two groups of teens. Officials say school staff stepped in and made one of the groups leave the property. As the group was leaving the area, shots were fired from the vehicle, grazing one staff member in the"&amp;" ear. The staff member was treated at the scene and released. Police say no arrests have been made. Shooter was arrested in October 2023.")</f>
        <v>A staff member at a St. Paul magnet school was grazed in the ear by a shot fired near school grounds Friday following a dispute between two groups of teens. The St. Paul Police Department says the shots were fired near Washington Technology Magnet School just before 3:30 p.m. following a fight between two groups of teens. Officials say school staff stepped in and made one of the groups leave the property. As the group was leaving the area, shots were fired from the vehicle, grazing one staff member in the ear. The staff member was treated at the scene and released. Police say no arrests have been made. Shooter was arrested in October 2023.</v>
      </c>
      <c r="W412" s="1" t="str">
        <f ca="1">IFERROR(__xludf.DUMMYFUNCTION("""COMPUTED_VALUE"""),"Escalation of Dispute")</f>
        <v>Escalation of Dispute</v>
      </c>
      <c r="X412" s="1" t="str">
        <f ca="1">IFERROR(__xludf.DUMMYFUNCTION("""COMPUTED_VALUE"""),"Both")</f>
        <v>Both</v>
      </c>
      <c r="Y412" s="1" t="str">
        <f ca="1">IFERROR(__xludf.DUMMYFUNCTION("""COMPUTED_VALUE"""),"Yes")</f>
        <v>Yes</v>
      </c>
      <c r="Z412" s="1"/>
      <c r="AA412" s="1" t="str">
        <f ca="1">IFERROR(__xludf.DUMMYFUNCTION("""COMPUTED_VALUE"""),"No")</f>
        <v>No</v>
      </c>
      <c r="AB412" s="1" t="str">
        <f ca="1">IFERROR(__xludf.DUMMYFUNCTION("""COMPUTED_VALUE"""),"No")</f>
        <v>No</v>
      </c>
      <c r="AC412" s="1" t="str">
        <f ca="1">IFERROR(__xludf.DUMMYFUNCTION("""COMPUTED_VALUE"""),"No")</f>
        <v>No</v>
      </c>
      <c r="AD412" s="1"/>
      <c r="AE412" s="1" t="str">
        <f ca="1">IFERROR(__xludf.DUMMYFUNCTION("""COMPUTED_VALUE"""),"No")</f>
        <v>No</v>
      </c>
      <c r="AF412" s="1"/>
      <c r="AG412" s="1" t="str">
        <f ca="1">IFERROR(__xludf.DUMMYFUNCTION("""COMPUTED_VALUE"""),"No")</f>
        <v>No</v>
      </c>
      <c r="AH412" s="1">
        <f ca="1">IFERROR(__xludf.DUMMYFUNCTION("""COMPUTED_VALUE"""),99)</f>
        <v>99</v>
      </c>
    </row>
    <row r="413" spans="1:34" ht="12.5">
      <c r="A413" s="1" t="str">
        <f ca="1">IFERROR(__xludf.DUMMYFUNCTION("""COMPUTED_VALUE"""),"20230119NYEAB")</f>
        <v>20230119NYEAB</v>
      </c>
      <c r="B413" s="1">
        <f ca="1">IFERROR(__xludf.DUMMYFUNCTION("""COMPUTED_VALUE"""),1)</f>
        <v>1</v>
      </c>
      <c r="C413" s="1">
        <f ca="1">IFERROR(__xludf.DUMMYFUNCTION("""COMPUTED_VALUE"""),19)</f>
        <v>19</v>
      </c>
      <c r="D413" s="1">
        <f ca="1">IFERROR(__xludf.DUMMYFUNCTION("""COMPUTED_VALUE"""),2023)</f>
        <v>2023</v>
      </c>
      <c r="E413" s="4">
        <f ca="1">IFERROR(__xludf.DUMMYFUNCTION("""COMPUTED_VALUE"""),44945)</f>
        <v>44945</v>
      </c>
      <c r="F413" s="1" t="str">
        <f ca="1">IFERROR(__xludf.DUMMYFUNCTION("""COMPUTED_VALUE"""),"Eagle Academy Charter")</f>
        <v>Eagle Academy Charter</v>
      </c>
      <c r="G413" s="1">
        <f ca="1">IFERROR(__xludf.DUMMYFUNCTION("""COMPUTED_VALUE"""),0)</f>
        <v>0</v>
      </c>
      <c r="H413" s="1">
        <f ca="1">IFERROR(__xludf.DUMMYFUNCTION("""COMPUTED_VALUE"""),1)</f>
        <v>1</v>
      </c>
      <c r="I413" s="1">
        <f ca="1">IFERROR(__xludf.DUMMYFUNCTION("""COMPUTED_VALUE"""),1)</f>
        <v>1</v>
      </c>
      <c r="J413" s="1">
        <f ca="1">IFERROR(__xludf.DUMMYFUNCTION("""COMPUTED_VALUE"""),0)</f>
        <v>0</v>
      </c>
      <c r="K413" s="1" t="str">
        <f ca="1">IFERROR(__xludf.DUMMYFUNCTION("""COMPUTED_VALUE"""),"Winter")</f>
        <v>Winter</v>
      </c>
      <c r="L413" s="1" t="str">
        <f ca="1">IFERROR(__xludf.DUMMYFUNCTION("""COMPUTED_VALUE"""),"Brooklyn")</f>
        <v>Brooklyn</v>
      </c>
      <c r="M413" s="1" t="str">
        <f ca="1">IFERROR(__xludf.DUMMYFUNCTION("""COMPUTED_VALUE"""),"NY")</f>
        <v>NY</v>
      </c>
      <c r="N413" s="1" t="str">
        <f ca="1">IFERROR(__xludf.DUMMYFUNCTION("""COMPUTED_VALUE"""),"High")</f>
        <v>High</v>
      </c>
      <c r="O413" s="1" t="str">
        <f ca="1">IFERROR(__xludf.DUMMYFUNCTION("""COMPUTED_VALUE"""),"Front of School")</f>
        <v>Front of School</v>
      </c>
      <c r="P413" s="1" t="str">
        <f ca="1">IFERROR(__xludf.DUMMYFUNCTION("""COMPUTED_VALUE"""),"Outside on School Property")</f>
        <v>Outside on School Property</v>
      </c>
      <c r="Q413" s="1" t="str">
        <f ca="1">IFERROR(__xludf.DUMMYFUNCTION("""COMPUTED_VALUE"""),"No")</f>
        <v>No</v>
      </c>
      <c r="R413" s="1" t="str">
        <f ca="1">IFERROR(__xludf.DUMMYFUNCTION("""COMPUTED_VALUE"""),"Sport Event")</f>
        <v>Sport Event</v>
      </c>
      <c r="S413" s="5">
        <f ca="1">IFERROR(__xludf.DUMMYFUNCTION("""COMPUTED_VALUE"""),0.868055555555555)</f>
        <v>0.86805555555555503</v>
      </c>
      <c r="T413" s="1">
        <f ca="1">IFERROR(__xludf.DUMMYFUNCTION("""COMPUTED_VALUE"""),1)</f>
        <v>1</v>
      </c>
      <c r="U413" s="1" t="str">
        <f ca="1">IFERROR(__xludf.DUMMYFUNCTION("""COMPUTED_VALUE"""),"Student shot leaving basketball game")</f>
        <v>Student shot leaving basketball game</v>
      </c>
      <c r="V413" s="1" t="str">
        <f ca="1">IFERROR(__xludf.DUMMYFUNCTION("""COMPUTED_VALUE"""),"15-year-old student was shot by a 17-year-old during a dispute leaving the high school basketball game. Shooter was taken into custody at the scene.")</f>
        <v>15-year-old student was shot by a 17-year-old during a dispute leaving the high school basketball game. Shooter was taken into custody at the scene.</v>
      </c>
      <c r="W413" s="1" t="str">
        <f ca="1">IFERROR(__xludf.DUMMYFUNCTION("""COMPUTED_VALUE"""),"Escalation of Dispute")</f>
        <v>Escalation of Dispute</v>
      </c>
      <c r="X413" s="1" t="str">
        <f ca="1">IFERROR(__xludf.DUMMYFUNCTION("""COMPUTED_VALUE"""),"Victims Targeted")</f>
        <v>Victims Targeted</v>
      </c>
      <c r="Y413" s="1" t="str">
        <f ca="1">IFERROR(__xludf.DUMMYFUNCTION("""COMPUTED_VALUE"""),"No")</f>
        <v>No</v>
      </c>
      <c r="Z413" s="1"/>
      <c r="AA413" s="1" t="str">
        <f ca="1">IFERROR(__xludf.DUMMYFUNCTION("""COMPUTED_VALUE"""),"No")</f>
        <v>No</v>
      </c>
      <c r="AB413" s="1" t="str">
        <f ca="1">IFERROR(__xludf.DUMMYFUNCTION("""COMPUTED_VALUE"""),"No")</f>
        <v>No</v>
      </c>
      <c r="AC413" s="1" t="str">
        <f ca="1">IFERROR(__xludf.DUMMYFUNCTION("""COMPUTED_VALUE"""),"No")</f>
        <v>No</v>
      </c>
      <c r="AD413" s="1"/>
      <c r="AE413" s="1" t="str">
        <f ca="1">IFERROR(__xludf.DUMMYFUNCTION("""COMPUTED_VALUE"""),"No")</f>
        <v>No</v>
      </c>
      <c r="AF413" s="1"/>
      <c r="AG413" s="1" t="str">
        <f ca="1">IFERROR(__xludf.DUMMYFUNCTION("""COMPUTED_VALUE"""),"No")</f>
        <v>No</v>
      </c>
      <c r="AH413" s="1">
        <f ca="1">IFERROR(__xludf.DUMMYFUNCTION("""COMPUTED_VALUE"""),99)</f>
        <v>99</v>
      </c>
    </row>
    <row r="414" spans="1:34" ht="12.5">
      <c r="A414" s="1" t="str">
        <f ca="1">IFERROR(__xludf.DUMMYFUNCTION("""COMPUTED_VALUE"""),"20230118OKDED")</f>
        <v>20230118OKDED</v>
      </c>
      <c r="B414" s="1">
        <f ca="1">IFERROR(__xludf.DUMMYFUNCTION("""COMPUTED_VALUE"""),1)</f>
        <v>1</v>
      </c>
      <c r="C414" s="1">
        <f ca="1">IFERROR(__xludf.DUMMYFUNCTION("""COMPUTED_VALUE"""),18)</f>
        <v>18</v>
      </c>
      <c r="D414" s="1">
        <f ca="1">IFERROR(__xludf.DUMMYFUNCTION("""COMPUTED_VALUE"""),2023)</f>
        <v>2023</v>
      </c>
      <c r="E414" s="4">
        <f ca="1">IFERROR(__xludf.DUMMYFUNCTION("""COMPUTED_VALUE"""),44944)</f>
        <v>44944</v>
      </c>
      <c r="F414" s="1" t="str">
        <f ca="1">IFERROR(__xludf.DUMMYFUNCTION("""COMPUTED_VALUE"""),"Del City High School")</f>
        <v>Del City High School</v>
      </c>
      <c r="G414" s="1">
        <f ca="1">IFERROR(__xludf.DUMMYFUNCTION("""COMPUTED_VALUE"""),0)</f>
        <v>0</v>
      </c>
      <c r="H414" s="1">
        <f ca="1">IFERROR(__xludf.DUMMYFUNCTION("""COMPUTED_VALUE"""),1)</f>
        <v>1</v>
      </c>
      <c r="I414" s="1">
        <f ca="1">IFERROR(__xludf.DUMMYFUNCTION("""COMPUTED_VALUE"""),1)</f>
        <v>1</v>
      </c>
      <c r="J414" s="1">
        <f ca="1">IFERROR(__xludf.DUMMYFUNCTION("""COMPUTED_VALUE"""),0)</f>
        <v>0</v>
      </c>
      <c r="K414" s="1" t="str">
        <f ca="1">IFERROR(__xludf.DUMMYFUNCTION("""COMPUTED_VALUE"""),"Winter")</f>
        <v>Winter</v>
      </c>
      <c r="L414" s="1" t="str">
        <f ca="1">IFERROR(__xludf.DUMMYFUNCTION("""COMPUTED_VALUE"""),"Del City")</f>
        <v>Del City</v>
      </c>
      <c r="M414" s="1" t="str">
        <f ca="1">IFERROR(__xludf.DUMMYFUNCTION("""COMPUTED_VALUE"""),"OK")</f>
        <v>OK</v>
      </c>
      <c r="N414" s="1" t="str">
        <f ca="1">IFERROR(__xludf.DUMMYFUNCTION("""COMPUTED_VALUE"""),"High")</f>
        <v>High</v>
      </c>
      <c r="O414" s="1" t="str">
        <f ca="1">IFERROR(__xludf.DUMMYFUNCTION("""COMPUTED_VALUE"""),"Gym")</f>
        <v>Gym</v>
      </c>
      <c r="P414" s="1" t="str">
        <f ca="1">IFERROR(__xludf.DUMMYFUNCTION("""COMPUTED_VALUE"""),"Inside School Building")</f>
        <v>Inside School Building</v>
      </c>
      <c r="Q414" s="1" t="str">
        <f ca="1">IFERROR(__xludf.DUMMYFUNCTION("""COMPUTED_VALUE"""),"No")</f>
        <v>No</v>
      </c>
      <c r="R414" s="1" t="str">
        <f ca="1">IFERROR(__xludf.DUMMYFUNCTION("""COMPUTED_VALUE"""),"Sport Event")</f>
        <v>Sport Event</v>
      </c>
      <c r="S414" s="5">
        <f ca="1">IFERROR(__xludf.DUMMYFUNCTION("""COMPUTED_VALUE"""),0.8125)</f>
        <v>0.8125</v>
      </c>
      <c r="T414" s="1">
        <f ca="1">IFERROR(__xludf.DUMMYFUNCTION("""COMPUTED_VALUE"""),1)</f>
        <v>1</v>
      </c>
      <c r="U414" s="1" t="str">
        <f ca="1">IFERROR(__xludf.DUMMYFUNCTION("""COMPUTED_VALUE"""),"Shots fired in gym during basketball game")</f>
        <v>Shots fired in gym during basketball game</v>
      </c>
      <c r="V414" s="1" t="str">
        <f ca="1">IFERROR(__xludf.DUMMYFUNCTION("""COMPUTED_VALUE"""),"Multiple shots fired inside the gym at the end of a varsity basketball game. One injured. Shooter fled and was arrested. Hundreds of people were inside the gym when shots were fired.")</f>
        <v>Multiple shots fired inside the gym at the end of a varsity basketball game. One injured. Shooter fled and was arrested. Hundreds of people were inside the gym when shots were fired.</v>
      </c>
      <c r="W414" s="1"/>
      <c r="X414" s="1"/>
      <c r="Y414" s="1"/>
      <c r="Z414" s="1"/>
      <c r="AA414" s="1" t="str">
        <f ca="1">IFERROR(__xludf.DUMMYFUNCTION("""COMPUTED_VALUE"""),"No")</f>
        <v>No</v>
      </c>
      <c r="AB414" s="1" t="str">
        <f ca="1">IFERROR(__xludf.DUMMYFUNCTION("""COMPUTED_VALUE"""),"No")</f>
        <v>No</v>
      </c>
      <c r="AC414" s="1" t="str">
        <f ca="1">IFERROR(__xludf.DUMMYFUNCTION("""COMPUTED_VALUE"""),"No")</f>
        <v>No</v>
      </c>
      <c r="AD414" s="1" t="str">
        <f ca="1">IFERROR(__xludf.DUMMYFUNCTION("""COMPUTED_VALUE"""),"No")</f>
        <v>No</v>
      </c>
      <c r="AE414" s="1" t="str">
        <f ca="1">IFERROR(__xludf.DUMMYFUNCTION("""COMPUTED_VALUE"""),"No")</f>
        <v>No</v>
      </c>
      <c r="AF414" s="1"/>
      <c r="AG414" s="1" t="str">
        <f ca="1">IFERROR(__xludf.DUMMYFUNCTION("""COMPUTED_VALUE"""),"No")</f>
        <v>No</v>
      </c>
      <c r="AH414" s="1">
        <f ca="1">IFERROR(__xludf.DUMMYFUNCTION("""COMPUTED_VALUE"""),4)</f>
        <v>4</v>
      </c>
    </row>
    <row r="415" spans="1:34" ht="12.5">
      <c r="A415" s="1" t="str">
        <f ca="1">IFERROR(__xludf.DUMMYFUNCTION("""COMPUTED_VALUE"""),"20230118NYCAQ")</f>
        <v>20230118NYCAQ</v>
      </c>
      <c r="B415" s="1">
        <f ca="1">IFERROR(__xludf.DUMMYFUNCTION("""COMPUTED_VALUE"""),1)</f>
        <v>1</v>
      </c>
      <c r="C415" s="1">
        <f ca="1">IFERROR(__xludf.DUMMYFUNCTION("""COMPUTED_VALUE"""),18)</f>
        <v>18</v>
      </c>
      <c r="D415" s="1">
        <f ca="1">IFERROR(__xludf.DUMMYFUNCTION("""COMPUTED_VALUE"""),2023)</f>
        <v>2023</v>
      </c>
      <c r="E415" s="4">
        <f ca="1">IFERROR(__xludf.DUMMYFUNCTION("""COMPUTED_VALUE"""),44944)</f>
        <v>44944</v>
      </c>
      <c r="F415" s="1" t="str">
        <f ca="1">IFERROR(__xludf.DUMMYFUNCTION("""COMPUTED_VALUE"""),"Q492 Campus Magnet High School")</f>
        <v>Q492 Campus Magnet High School</v>
      </c>
      <c r="G415" s="1">
        <f ca="1">IFERROR(__xludf.DUMMYFUNCTION("""COMPUTED_VALUE"""),0)</f>
        <v>0</v>
      </c>
      <c r="H415" s="1">
        <f ca="1">IFERROR(__xludf.DUMMYFUNCTION("""COMPUTED_VALUE"""),2)</f>
        <v>2</v>
      </c>
      <c r="I415" s="1">
        <f ca="1">IFERROR(__xludf.DUMMYFUNCTION("""COMPUTED_VALUE"""),2)</f>
        <v>2</v>
      </c>
      <c r="J415" s="1">
        <f ca="1">IFERROR(__xludf.DUMMYFUNCTION("""COMPUTED_VALUE"""),0)</f>
        <v>0</v>
      </c>
      <c r="K415" s="1" t="str">
        <f ca="1">IFERROR(__xludf.DUMMYFUNCTION("""COMPUTED_VALUE"""),"Winter")</f>
        <v>Winter</v>
      </c>
      <c r="L415" s="1" t="str">
        <f ca="1">IFERROR(__xludf.DUMMYFUNCTION("""COMPUTED_VALUE"""),"Queens")</f>
        <v>Queens</v>
      </c>
      <c r="M415" s="1" t="str">
        <f ca="1">IFERROR(__xludf.DUMMYFUNCTION("""COMPUTED_VALUE"""),"NY")</f>
        <v>NY</v>
      </c>
      <c r="N415" s="1" t="str">
        <f ca="1">IFERROR(__xludf.DUMMYFUNCTION("""COMPUTED_VALUE"""),"High")</f>
        <v>High</v>
      </c>
      <c r="O415" s="1" t="str">
        <f ca="1">IFERROR(__xludf.DUMMYFUNCTION("""COMPUTED_VALUE"""),"Front of School")</f>
        <v>Front of School</v>
      </c>
      <c r="P415" s="1" t="str">
        <f ca="1">IFERROR(__xludf.DUMMYFUNCTION("""COMPUTED_VALUE"""),"Outside on School Property")</f>
        <v>Outside on School Property</v>
      </c>
      <c r="Q415" s="1" t="str">
        <f ca="1">IFERROR(__xludf.DUMMYFUNCTION("""COMPUTED_VALUE"""),"Yes")</f>
        <v>Yes</v>
      </c>
      <c r="R415" s="1" t="str">
        <f ca="1">IFERROR(__xludf.DUMMYFUNCTION("""COMPUTED_VALUE"""),"Dismissal")</f>
        <v>Dismissal</v>
      </c>
      <c r="S415" s="5">
        <f ca="1">IFERROR(__xludf.DUMMYFUNCTION("""COMPUTED_VALUE"""),0.701388888888888)</f>
        <v>0.70138888888888795</v>
      </c>
      <c r="T415" s="1">
        <f ca="1">IFERROR(__xludf.DUMMYFUNCTION("""COMPUTED_VALUE"""),1)</f>
        <v>1</v>
      </c>
      <c r="U415" s="1" t="str">
        <f ca="1">IFERROR(__xludf.DUMMYFUNCTION("""COMPUTED_VALUE"""),"Teen shot two students during fight at dismissal")</f>
        <v>Teen shot two students during fight at dismissal</v>
      </c>
      <c r="V415" s="1" t="str">
        <f ca="1">IFERROR(__xludf.DUMMYFUNCTION("""COMPUTED_VALUE"""),"Two teenagers were shot during a large fight near a Queens high school Wednesday — and a 13-year-old boy was taken into custody after the mayhem, police and sources said. A 16-year-old girl was shot in the ankle and a 14-year-old boy suffered a gunshot wo"&amp;"und to the leg around 4:50 p.m. outside of Campus Magnet High School in Cambria Heights, where they are both students , according to police and sources. Sources said police saw the 13-year-old drop a gun as he tried to run away from the scene. The weapon "&amp;"was recovered by cops and the boy was taken into custody for questioning, police and sources said.")</f>
        <v>Two teenagers were shot during a large fight near a Queens high school Wednesday — and a 13-year-old boy was taken into custody after the mayhem, police and sources said. A 16-year-old girl was shot in the ankle and a 14-year-old boy suffered a gunshot wound to the leg around 4:50 p.m. outside of Campus Magnet High School in Cambria Heights, where they are both students , according to police and sources. Sources said police saw the 13-year-old drop a gun as he tried to run away from the scene. The weapon was recovered by cops and the boy was taken into custody for questioning, police and sources said.</v>
      </c>
      <c r="W415" s="1" t="str">
        <f ca="1">IFERROR(__xludf.DUMMYFUNCTION("""COMPUTED_VALUE"""),"Escalation of Dispute")</f>
        <v>Escalation of Dispute</v>
      </c>
      <c r="X415" s="1" t="str">
        <f ca="1">IFERROR(__xludf.DUMMYFUNCTION("""COMPUTED_VALUE"""),"Both")</f>
        <v>Both</v>
      </c>
      <c r="Y415" s="1"/>
      <c r="Z415" s="1"/>
      <c r="AA415" s="1" t="str">
        <f ca="1">IFERROR(__xludf.DUMMYFUNCTION("""COMPUTED_VALUE"""),"No")</f>
        <v>No</v>
      </c>
      <c r="AB415" s="1" t="str">
        <f ca="1">IFERROR(__xludf.DUMMYFUNCTION("""COMPUTED_VALUE"""),"No")</f>
        <v>No</v>
      </c>
      <c r="AC415" s="1" t="str">
        <f ca="1">IFERROR(__xludf.DUMMYFUNCTION("""COMPUTED_VALUE"""),"No")</f>
        <v>No</v>
      </c>
      <c r="AD415" s="1" t="str">
        <f ca="1">IFERROR(__xludf.DUMMYFUNCTION("""COMPUTED_VALUE"""),"No")</f>
        <v>No</v>
      </c>
      <c r="AE415" s="1" t="str">
        <f ca="1">IFERROR(__xludf.DUMMYFUNCTION("""COMPUTED_VALUE"""),"No")</f>
        <v>No</v>
      </c>
      <c r="AF415" s="1"/>
      <c r="AG415" s="1" t="str">
        <f ca="1">IFERROR(__xludf.DUMMYFUNCTION("""COMPUTED_VALUE"""),"No")</f>
        <v>No</v>
      </c>
      <c r="AH415" s="1">
        <f ca="1">IFERROR(__xludf.DUMMYFUNCTION("""COMPUTED_VALUE"""),99)</f>
        <v>99</v>
      </c>
    </row>
    <row r="416" spans="1:34" ht="12.5">
      <c r="A416" s="1" t="str">
        <f ca="1">IFERROR(__xludf.DUMMYFUNCTION("""COMPUTED_VALUE"""),"20230117FLMAB")</f>
        <v>20230117FLMAB</v>
      </c>
      <c r="B416" s="1">
        <f ca="1">IFERROR(__xludf.DUMMYFUNCTION("""COMPUTED_VALUE"""),1)</f>
        <v>1</v>
      </c>
      <c r="C416" s="1">
        <f ca="1">IFERROR(__xludf.DUMMYFUNCTION("""COMPUTED_VALUE"""),17)</f>
        <v>17</v>
      </c>
      <c r="D416" s="1">
        <f ca="1">IFERROR(__xludf.DUMMYFUNCTION("""COMPUTED_VALUE"""),2023)</f>
        <v>2023</v>
      </c>
      <c r="E416" s="4">
        <f ca="1">IFERROR(__xludf.DUMMYFUNCTION("""COMPUTED_VALUE"""),44943)</f>
        <v>44943</v>
      </c>
      <c r="F416" s="1" t="str">
        <f ca="1">IFERROR(__xludf.DUMMYFUNCTION("""COMPUTED_VALUE"""),"Mantatee County School Bus")</f>
        <v>Mantatee County School Bus</v>
      </c>
      <c r="G416" s="1">
        <f ca="1">IFERROR(__xludf.DUMMYFUNCTION("""COMPUTED_VALUE"""),0)</f>
        <v>0</v>
      </c>
      <c r="H416" s="1">
        <f ca="1">IFERROR(__xludf.DUMMYFUNCTION("""COMPUTED_VALUE"""),0)</f>
        <v>0</v>
      </c>
      <c r="I416" s="1">
        <f ca="1">IFERROR(__xludf.DUMMYFUNCTION("""COMPUTED_VALUE"""),0)</f>
        <v>0</v>
      </c>
      <c r="J416" s="1">
        <f ca="1">IFERROR(__xludf.DUMMYFUNCTION("""COMPUTED_VALUE"""),0)</f>
        <v>0</v>
      </c>
      <c r="K416" s="1" t="str">
        <f ca="1">IFERROR(__xludf.DUMMYFUNCTION("""COMPUTED_VALUE"""),"Winter")</f>
        <v>Winter</v>
      </c>
      <c r="L416" s="1" t="str">
        <f ca="1">IFERROR(__xludf.DUMMYFUNCTION("""COMPUTED_VALUE"""),"Bradenton")</f>
        <v>Bradenton</v>
      </c>
      <c r="M416" s="1" t="str">
        <f ca="1">IFERROR(__xludf.DUMMYFUNCTION("""COMPUTED_VALUE"""),"FL")</f>
        <v>FL</v>
      </c>
      <c r="N416" s="1" t="str">
        <f ca="1">IFERROR(__xludf.DUMMYFUNCTION("""COMPUTED_VALUE"""),"Other")</f>
        <v>Other</v>
      </c>
      <c r="O416" s="1" t="str">
        <f ca="1">IFERROR(__xludf.DUMMYFUNCTION("""COMPUTED_VALUE"""),"School Bus")</f>
        <v>School Bus</v>
      </c>
      <c r="P416" s="1" t="str">
        <f ca="1">IFERROR(__xludf.DUMMYFUNCTION("""COMPUTED_VALUE"""),"School Bus")</f>
        <v>School Bus</v>
      </c>
      <c r="Q416" s="1" t="str">
        <f ca="1">IFERROR(__xludf.DUMMYFUNCTION("""COMPUTED_VALUE"""),"Yes")</f>
        <v>Yes</v>
      </c>
      <c r="R416" s="1" t="str">
        <f ca="1">IFERROR(__xludf.DUMMYFUNCTION("""COMPUTED_VALUE"""),"Afternoon Classes")</f>
        <v>Afternoon Classes</v>
      </c>
      <c r="S416" s="5">
        <f ca="1">IFERROR(__xludf.DUMMYFUNCTION("""COMPUTED_VALUE"""),0.552083333333333)</f>
        <v>0.55208333333333304</v>
      </c>
      <c r="T416" s="1">
        <f ca="1">IFERROR(__xludf.DUMMYFUNCTION("""COMPUTED_VALUE"""),1)</f>
        <v>1</v>
      </c>
      <c r="U416" s="1" t="str">
        <f ca="1">IFERROR(__xludf.DUMMYFUNCTION("""COMPUTED_VALUE"""),"Two minors shot moving school buses with BB guns")</f>
        <v>Two minors shot moving school buses with BB guns</v>
      </c>
      <c r="V416" s="1" t="str">
        <f ca="1">IFERROR(__xludf.DUMMYFUNCTION("""COMPUTED_VALUE"""),"Two minors are in custody after Bradenton police said two school buses in Manatee County were shot at with what appeared to be BB gun pellets on Tuesday. In an update Wednesday, police said an 11-year-old and 17-year-old would be charged with second-degre"&amp;"e felonies in connection to the shooting. The shooting happened Tuesday as a bus traveling on 9th Avenue East near 27th Street East was hit twice on its right side at around 1:15 p.m. Both shots penetrated the bus's windows, the Bradenton Police Departmen"&amp;"t said in a news release. A separate BB gun shooting happened just before 4:40 p.m. near the same area but to a second bus. Police were also able to recover two rifle-style BB guns and a pistol-style BB gun used in the shooting after locating the two mino"&amp;"rs, the department said.")</f>
        <v>Two minors are in custody after Bradenton police said two school buses in Manatee County were shot at with what appeared to be BB gun pellets on Tuesday. In an update Wednesday, police said an 11-year-old and 17-year-old would be charged with second-degree felonies in connection to the shooting. The shooting happened Tuesday as a bus traveling on 9th Avenue East near 27th Street East was hit twice on its right side at around 1:15 p.m. Both shots penetrated the bus's windows, the Bradenton Police Department said in a news release. A separate BB gun shooting happened just before 4:40 p.m. near the same area but to a second bus. Police were also able to recover two rifle-style BB guns and a pistol-style BB gun used in the shooting after locating the two minors, the department said.</v>
      </c>
      <c r="W416" s="1" t="str">
        <f ca="1">IFERROR(__xludf.DUMMYFUNCTION("""COMPUTED_VALUE"""),"Intentional Property Damage")</f>
        <v>Intentional Property Damage</v>
      </c>
      <c r="X416" s="1" t="str">
        <f ca="1">IFERROR(__xludf.DUMMYFUNCTION("""COMPUTED_VALUE"""),"Neither")</f>
        <v>Neither</v>
      </c>
      <c r="Y416" s="1" t="str">
        <f ca="1">IFERROR(__xludf.DUMMYFUNCTION("""COMPUTED_VALUE"""),"Yes")</f>
        <v>Yes</v>
      </c>
      <c r="Z416" s="1" t="str">
        <f ca="1">IFERROR(__xludf.DUMMYFUNCTION("""COMPUTED_VALUE"""),"Two minors")</f>
        <v>Two minors</v>
      </c>
      <c r="AA416" s="1" t="str">
        <f ca="1">IFERROR(__xludf.DUMMYFUNCTION("""COMPUTED_VALUE"""),"No")</f>
        <v>No</v>
      </c>
      <c r="AB416" s="1" t="str">
        <f ca="1">IFERROR(__xludf.DUMMYFUNCTION("""COMPUTED_VALUE"""),"No")</f>
        <v>No</v>
      </c>
      <c r="AC416" s="1" t="str">
        <f ca="1">IFERROR(__xludf.DUMMYFUNCTION("""COMPUTED_VALUE"""),"No")</f>
        <v>No</v>
      </c>
      <c r="AD416" s="1" t="str">
        <f ca="1">IFERROR(__xludf.DUMMYFUNCTION("""COMPUTED_VALUE"""),"No")</f>
        <v>No</v>
      </c>
      <c r="AE416" s="1" t="str">
        <f ca="1">IFERROR(__xludf.DUMMYFUNCTION("""COMPUTED_VALUE"""),"No")</f>
        <v>No</v>
      </c>
      <c r="AF416" s="1" t="str">
        <f ca="1">IFERROR(__xludf.DUMMYFUNCTION("""COMPUTED_VALUE"""),"No")</f>
        <v>No</v>
      </c>
      <c r="AG416" s="1" t="str">
        <f ca="1">IFERROR(__xludf.DUMMYFUNCTION("""COMPUTED_VALUE"""),"No")</f>
        <v>No</v>
      </c>
      <c r="AH416" s="1">
        <f ca="1">IFERROR(__xludf.DUMMYFUNCTION("""COMPUTED_VALUE"""),99)</f>
        <v>99</v>
      </c>
    </row>
    <row r="417" spans="1:34" ht="12.5">
      <c r="A417" s="1" t="str">
        <f ca="1">IFERROR(__xludf.DUMMYFUNCTION("""COMPUTED_VALUE"""),"20230111VTSPV")</f>
        <v>20230111VTSPV</v>
      </c>
      <c r="B417" s="1">
        <f ca="1">IFERROR(__xludf.DUMMYFUNCTION("""COMPUTED_VALUE"""),1)</f>
        <v>1</v>
      </c>
      <c r="C417" s="1">
        <f ca="1">IFERROR(__xludf.DUMMYFUNCTION("""COMPUTED_VALUE"""),11)</f>
        <v>11</v>
      </c>
      <c r="D417" s="1">
        <f ca="1">IFERROR(__xludf.DUMMYFUNCTION("""COMPUTED_VALUE"""),2023)</f>
        <v>2023</v>
      </c>
      <c r="E417" s="4">
        <f ca="1">IFERROR(__xludf.DUMMYFUNCTION("""COMPUTED_VALUE"""),44937)</f>
        <v>44937</v>
      </c>
      <c r="F417" s="1" t="str">
        <f ca="1">IFERROR(__xludf.DUMMYFUNCTION("""COMPUTED_VALUE"""),"Spaulding High School")</f>
        <v>Spaulding High School</v>
      </c>
      <c r="G417" s="1">
        <f ca="1">IFERROR(__xludf.DUMMYFUNCTION("""COMPUTED_VALUE"""),0)</f>
        <v>0</v>
      </c>
      <c r="H417" s="1">
        <f ca="1">IFERROR(__xludf.DUMMYFUNCTION("""COMPUTED_VALUE"""),1)</f>
        <v>1</v>
      </c>
      <c r="I417" s="1">
        <f ca="1">IFERROR(__xludf.DUMMYFUNCTION("""COMPUTED_VALUE"""),1)</f>
        <v>1</v>
      </c>
      <c r="J417" s="1">
        <f ca="1">IFERROR(__xludf.DUMMYFUNCTION("""COMPUTED_VALUE"""),0)</f>
        <v>0</v>
      </c>
      <c r="K417" s="1" t="str">
        <f ca="1">IFERROR(__xludf.DUMMYFUNCTION("""COMPUTED_VALUE"""),"Winter")</f>
        <v>Winter</v>
      </c>
      <c r="L417" s="1" t="str">
        <f ca="1">IFERROR(__xludf.DUMMYFUNCTION("""COMPUTED_VALUE"""),"Barre")</f>
        <v>Barre</v>
      </c>
      <c r="M417" s="1" t="str">
        <f ca="1">IFERROR(__xludf.DUMMYFUNCTION("""COMPUTED_VALUE"""),"VT")</f>
        <v>VT</v>
      </c>
      <c r="N417" s="1" t="str">
        <f ca="1">IFERROR(__xludf.DUMMYFUNCTION("""COMPUTED_VALUE"""),"High")</f>
        <v>High</v>
      </c>
      <c r="O417" s="1" t="str">
        <f ca="1">IFERROR(__xludf.DUMMYFUNCTION("""COMPUTED_VALUE"""),"Outside on School Property")</f>
        <v>Outside on School Property</v>
      </c>
      <c r="P417" s="1" t="str">
        <f ca="1">IFERROR(__xludf.DUMMYFUNCTION("""COMPUTED_VALUE"""),"Outside on School Property")</f>
        <v>Outside on School Property</v>
      </c>
      <c r="Q417" s="1" t="str">
        <f ca="1">IFERROR(__xludf.DUMMYFUNCTION("""COMPUTED_VALUE"""),"Yes")</f>
        <v>Yes</v>
      </c>
      <c r="R417" s="1" t="str">
        <f ca="1">IFERROR(__xludf.DUMMYFUNCTION("""COMPUTED_VALUE"""),"Dismissal")</f>
        <v>Dismissal</v>
      </c>
      <c r="S417" s="5">
        <f ca="1">IFERROR(__xludf.DUMMYFUNCTION("""COMPUTED_VALUE"""),0.611111111111111)</f>
        <v>0.61111111111111105</v>
      </c>
      <c r="T417" s="1">
        <f ca="1">IFERROR(__xludf.DUMMYFUNCTION("""COMPUTED_VALUE"""),1)</f>
        <v>1</v>
      </c>
      <c r="U417" s="1" t="str">
        <f ca="1">IFERROR(__xludf.DUMMYFUNCTION("""COMPUTED_VALUE"""),"Teacher shot with pellet gun at dismissal")</f>
        <v>Teacher shot with pellet gun at dismissal</v>
      </c>
      <c r="V417" s="1" t="str">
        <f ca="1">IFERROR(__xludf.DUMMYFUNCTION("""COMPUTED_VALUE"""),"Teacher shot with pellet gun at dismissal causing minor injuries. Two freshmen students arrested.")</f>
        <v>Teacher shot with pellet gun at dismissal causing minor injuries. Two freshmen students arrested.</v>
      </c>
      <c r="W417" s="1"/>
      <c r="X417" s="1" t="str">
        <f ca="1">IFERROR(__xludf.DUMMYFUNCTION("""COMPUTED_VALUE"""),"Victims Targeted")</f>
        <v>Victims Targeted</v>
      </c>
      <c r="Y417" s="1" t="str">
        <f ca="1">IFERROR(__xludf.DUMMYFUNCTION("""COMPUTED_VALUE"""),"Yes")</f>
        <v>Yes</v>
      </c>
      <c r="Z417" s="1"/>
      <c r="AA417" s="1" t="str">
        <f ca="1">IFERROR(__xludf.DUMMYFUNCTION("""COMPUTED_VALUE"""),"No")</f>
        <v>No</v>
      </c>
      <c r="AB417" s="1" t="str">
        <f ca="1">IFERROR(__xludf.DUMMYFUNCTION("""COMPUTED_VALUE"""),"No")</f>
        <v>No</v>
      </c>
      <c r="AC417" s="1" t="str">
        <f ca="1">IFERROR(__xludf.DUMMYFUNCTION("""COMPUTED_VALUE"""),"No")</f>
        <v>No</v>
      </c>
      <c r="AD417" s="1" t="str">
        <f ca="1">IFERROR(__xludf.DUMMYFUNCTION("""COMPUTED_VALUE"""),"No")</f>
        <v>No</v>
      </c>
      <c r="AE417" s="1" t="str">
        <f ca="1">IFERROR(__xludf.DUMMYFUNCTION("""COMPUTED_VALUE"""),"No")</f>
        <v>No</v>
      </c>
      <c r="AF417" s="1" t="str">
        <f ca="1">IFERROR(__xludf.DUMMYFUNCTION("""COMPUTED_VALUE"""),"No")</f>
        <v>No</v>
      </c>
      <c r="AG417" s="1" t="str">
        <f ca="1">IFERROR(__xludf.DUMMYFUNCTION("""COMPUTED_VALUE"""),"No")</f>
        <v>No</v>
      </c>
      <c r="AH417" s="1">
        <f ca="1">IFERROR(__xludf.DUMMYFUNCTION("""COMPUTED_VALUE"""),1)</f>
        <v>1</v>
      </c>
    </row>
    <row r="418" spans="1:34" ht="12.5">
      <c r="A418" s="1" t="str">
        <f ca="1">IFERROR(__xludf.DUMMYFUNCTION("""COMPUTED_VALUE"""),"20230111VALAP")</f>
        <v>20230111VALAP</v>
      </c>
      <c r="B418" s="1">
        <f ca="1">IFERROR(__xludf.DUMMYFUNCTION("""COMPUTED_VALUE"""),1)</f>
        <v>1</v>
      </c>
      <c r="C418" s="1">
        <f ca="1">IFERROR(__xludf.DUMMYFUNCTION("""COMPUTED_VALUE"""),11)</f>
        <v>11</v>
      </c>
      <c r="D418" s="1">
        <f ca="1">IFERROR(__xludf.DUMMYFUNCTION("""COMPUTED_VALUE"""),2023)</f>
        <v>2023</v>
      </c>
      <c r="E418" s="4">
        <f ca="1">IFERROR(__xludf.DUMMYFUNCTION("""COMPUTED_VALUE"""),44937)</f>
        <v>44937</v>
      </c>
      <c r="F418" s="1" t="str">
        <f ca="1">IFERROR(__xludf.DUMMYFUNCTION("""COMPUTED_VALUE"""),"Lakeview Elementary School")</f>
        <v>Lakeview Elementary School</v>
      </c>
      <c r="G418" s="1">
        <f ca="1">IFERROR(__xludf.DUMMYFUNCTION("""COMPUTED_VALUE"""),0)</f>
        <v>0</v>
      </c>
      <c r="H418" s="1">
        <f ca="1">IFERROR(__xludf.DUMMYFUNCTION("""COMPUTED_VALUE"""),0)</f>
        <v>0</v>
      </c>
      <c r="I418" s="1">
        <f ca="1">IFERROR(__xludf.DUMMYFUNCTION("""COMPUTED_VALUE"""),0)</f>
        <v>0</v>
      </c>
      <c r="J418" s="1">
        <f ca="1">IFERROR(__xludf.DUMMYFUNCTION("""COMPUTED_VALUE"""),0)</f>
        <v>0</v>
      </c>
      <c r="K418" s="1" t="str">
        <f ca="1">IFERROR(__xludf.DUMMYFUNCTION("""COMPUTED_VALUE"""),"Winter")</f>
        <v>Winter</v>
      </c>
      <c r="L418" s="1" t="str">
        <f ca="1">IFERROR(__xludf.DUMMYFUNCTION("""COMPUTED_VALUE"""),"Portsmouth")</f>
        <v>Portsmouth</v>
      </c>
      <c r="M418" s="1" t="str">
        <f ca="1">IFERROR(__xludf.DUMMYFUNCTION("""COMPUTED_VALUE"""),"VA")</f>
        <v>VA</v>
      </c>
      <c r="N418" s="1" t="str">
        <f ca="1">IFERROR(__xludf.DUMMYFUNCTION("""COMPUTED_VALUE"""),"Elementary")</f>
        <v>Elementary</v>
      </c>
      <c r="O418" s="1" t="str">
        <f ca="1">IFERROR(__xludf.DUMMYFUNCTION("""COMPUTED_VALUE"""),"Outside on School Property")</f>
        <v>Outside on School Property</v>
      </c>
      <c r="P418" s="1" t="str">
        <f ca="1">IFERROR(__xludf.DUMMYFUNCTION("""COMPUTED_VALUE"""),"Outside on School Property")</f>
        <v>Outside on School Property</v>
      </c>
      <c r="Q418" s="1" t="str">
        <f ca="1">IFERROR(__xludf.DUMMYFUNCTION("""COMPUTED_VALUE"""),"Yes")</f>
        <v>Yes</v>
      </c>
      <c r="R418" s="1" t="str">
        <f ca="1">IFERROR(__xludf.DUMMYFUNCTION("""COMPUTED_VALUE"""),"Morning Classes")</f>
        <v>Morning Classes</v>
      </c>
      <c r="S418" s="5">
        <f ca="1">IFERROR(__xludf.DUMMYFUNCTION("""COMPUTED_VALUE"""),0.444444444444444)</f>
        <v>0.44444444444444398</v>
      </c>
      <c r="T418" s="1">
        <f ca="1">IFERROR(__xludf.DUMMYFUNCTION("""COMPUTED_VALUE"""),1)</f>
        <v>1</v>
      </c>
      <c r="U418" s="1" t="str">
        <f ca="1">IFERROR(__xludf.DUMMYFUNCTION("""COMPUTED_VALUE"""),"Shots fired behind school building, school went on lockdown")</f>
        <v>Shots fired behind school building, school went on lockdown</v>
      </c>
      <c r="V418" s="1" t="str">
        <f ca="1">IFERROR(__xludf.DUMMYFUNCTION("""COMPUTED_VALUE"""),"Shots fired behind school building, school went on lockdown")</f>
        <v>Shots fired behind school building, school went on lockdown</v>
      </c>
      <c r="W418" s="1"/>
      <c r="X418" s="1"/>
      <c r="Y418" s="1"/>
      <c r="Z418" s="1"/>
      <c r="AA418" s="1" t="str">
        <f ca="1">IFERROR(__xludf.DUMMYFUNCTION("""COMPUTED_VALUE"""),"No")</f>
        <v>No</v>
      </c>
      <c r="AB418" s="1" t="str">
        <f ca="1">IFERROR(__xludf.DUMMYFUNCTION("""COMPUTED_VALUE"""),"No")</f>
        <v>No</v>
      </c>
      <c r="AC418" s="1" t="str">
        <f ca="1">IFERROR(__xludf.DUMMYFUNCTION("""COMPUTED_VALUE"""),"No")</f>
        <v>No</v>
      </c>
      <c r="AD418" s="1" t="str">
        <f ca="1">IFERROR(__xludf.DUMMYFUNCTION("""COMPUTED_VALUE"""),"No")</f>
        <v>No</v>
      </c>
      <c r="AE418" s="1" t="str">
        <f ca="1">IFERROR(__xludf.DUMMYFUNCTION("""COMPUTED_VALUE"""),"No")</f>
        <v>No</v>
      </c>
      <c r="AF418" s="1"/>
      <c r="AG418" s="1" t="str">
        <f ca="1">IFERROR(__xludf.DUMMYFUNCTION("""COMPUTED_VALUE"""),"No")</f>
        <v>No</v>
      </c>
      <c r="AH418" s="1">
        <f ca="1">IFERROR(__xludf.DUMMYFUNCTION("""COMPUTED_VALUE"""),99)</f>
        <v>99</v>
      </c>
    </row>
    <row r="419" spans="1:34" ht="12.5">
      <c r="A419" s="1" t="str">
        <f ca="1">IFERROR(__xludf.DUMMYFUNCTION("""COMPUTED_VALUE"""),"20230110UTWES")</f>
        <v>20230110UTWES</v>
      </c>
      <c r="B419" s="1">
        <f ca="1">IFERROR(__xludf.DUMMYFUNCTION("""COMPUTED_VALUE"""),1)</f>
        <v>1</v>
      </c>
      <c r="C419" s="1">
        <f ca="1">IFERROR(__xludf.DUMMYFUNCTION("""COMPUTED_VALUE"""),10)</f>
        <v>10</v>
      </c>
      <c r="D419" s="1">
        <f ca="1">IFERROR(__xludf.DUMMYFUNCTION("""COMPUTED_VALUE"""),2023)</f>
        <v>2023</v>
      </c>
      <c r="E419" s="4">
        <f ca="1">IFERROR(__xludf.DUMMYFUNCTION("""COMPUTED_VALUE"""),44936)</f>
        <v>44936</v>
      </c>
      <c r="F419" s="1" t="str">
        <f ca="1">IFERROR(__xludf.DUMMYFUNCTION("""COMPUTED_VALUE"""),"Westlake High School (bus)")</f>
        <v>Westlake High School (bus)</v>
      </c>
      <c r="G419" s="1">
        <f ca="1">IFERROR(__xludf.DUMMYFUNCTION("""COMPUTED_VALUE"""),0)</f>
        <v>0</v>
      </c>
      <c r="H419" s="1">
        <f ca="1">IFERROR(__xludf.DUMMYFUNCTION("""COMPUTED_VALUE"""),1)</f>
        <v>1</v>
      </c>
      <c r="I419" s="1">
        <f ca="1">IFERROR(__xludf.DUMMYFUNCTION("""COMPUTED_VALUE"""),1)</f>
        <v>1</v>
      </c>
      <c r="J419" s="1">
        <f ca="1">IFERROR(__xludf.DUMMYFUNCTION("""COMPUTED_VALUE"""),0)</f>
        <v>0</v>
      </c>
      <c r="K419" s="1" t="str">
        <f ca="1">IFERROR(__xludf.DUMMYFUNCTION("""COMPUTED_VALUE"""),"Winter")</f>
        <v>Winter</v>
      </c>
      <c r="L419" s="1" t="str">
        <f ca="1">IFERROR(__xludf.DUMMYFUNCTION("""COMPUTED_VALUE"""),"Saratoga Springs")</f>
        <v>Saratoga Springs</v>
      </c>
      <c r="M419" s="1" t="str">
        <f ca="1">IFERROR(__xludf.DUMMYFUNCTION("""COMPUTED_VALUE"""),"UT")</f>
        <v>UT</v>
      </c>
      <c r="N419" s="1" t="str">
        <f ca="1">IFERROR(__xludf.DUMMYFUNCTION("""COMPUTED_VALUE"""),"High")</f>
        <v>High</v>
      </c>
      <c r="O419" s="1" t="str">
        <f ca="1">IFERROR(__xludf.DUMMYFUNCTION("""COMPUTED_VALUE"""),"School Bus")</f>
        <v>School Bus</v>
      </c>
      <c r="P419" s="1" t="str">
        <f ca="1">IFERROR(__xludf.DUMMYFUNCTION("""COMPUTED_VALUE"""),"School Bus")</f>
        <v>School Bus</v>
      </c>
      <c r="Q419" s="1" t="str">
        <f ca="1">IFERROR(__xludf.DUMMYFUNCTION("""COMPUTED_VALUE"""),"No")</f>
        <v>No</v>
      </c>
      <c r="R419" s="1" t="str">
        <f ca="1">IFERROR(__xludf.DUMMYFUNCTION("""COMPUTED_VALUE"""),"Sport Event")</f>
        <v>Sport Event</v>
      </c>
      <c r="S419" s="5">
        <f ca="1">IFERROR(__xludf.DUMMYFUNCTION("""COMPUTED_VALUE"""),0.875)</f>
        <v>0.875</v>
      </c>
      <c r="T419" s="1">
        <f ca="1">IFERROR(__xludf.DUMMYFUNCTION("""COMPUTED_VALUE"""),1)</f>
        <v>1</v>
      </c>
      <c r="U419" s="1" t="str">
        <f ca="1">IFERROR(__xludf.DUMMYFUNCTION("""COMPUTED_VALUE"""),"Shots fired at wrestling team on school bus, one student injured")</f>
        <v>Shots fired at wrestling team on school bus, one student injured</v>
      </c>
      <c r="V419" s="1" t="str">
        <f ca="1">IFERROR(__xludf.DUMMYFUNCTION("""COMPUTED_VALUE"""),"The Westlake High School girls wrestling team was on Interstate 15 between American Fork and Lindon around 9 p.m. Tuesday when a white pickup truck pulled alongside and fired several rounds of a pellet or airsoft gun at the bus. The rounds damaged multipl"&amp;"e windows in the bus and one student received minor injuries, according to a statement from the Alpine School District.")</f>
        <v>The Westlake High School girls wrestling team was on Interstate 15 between American Fork and Lindon around 9 p.m. Tuesday when a white pickup truck pulled alongside and fired several rounds of a pellet or airsoft gun at the bus. The rounds damaged multiple windows in the bus and one student received minor injuries, according to a statement from the Alpine School District.</v>
      </c>
      <c r="W419" s="1" t="str">
        <f ca="1">IFERROR(__xludf.DUMMYFUNCTION("""COMPUTED_VALUE"""),"Drive-by Shooting")</f>
        <v>Drive-by Shooting</v>
      </c>
      <c r="X419" s="1" t="str">
        <f ca="1">IFERROR(__xludf.DUMMYFUNCTION("""COMPUTED_VALUE"""),"Random Shooting")</f>
        <v>Random Shooting</v>
      </c>
      <c r="Y419" s="1"/>
      <c r="Z419" s="1"/>
      <c r="AA419" s="1" t="str">
        <f ca="1">IFERROR(__xludf.DUMMYFUNCTION("""COMPUTED_VALUE"""),"No")</f>
        <v>No</v>
      </c>
      <c r="AB419" s="1" t="str">
        <f ca="1">IFERROR(__xludf.DUMMYFUNCTION("""COMPUTED_VALUE"""),"No")</f>
        <v>No</v>
      </c>
      <c r="AC419" s="1" t="str">
        <f ca="1">IFERROR(__xludf.DUMMYFUNCTION("""COMPUTED_VALUE"""),"No")</f>
        <v>No</v>
      </c>
      <c r="AD419" s="1" t="str">
        <f ca="1">IFERROR(__xludf.DUMMYFUNCTION("""COMPUTED_VALUE"""),"No")</f>
        <v>No</v>
      </c>
      <c r="AE419" s="1" t="str">
        <f ca="1">IFERROR(__xludf.DUMMYFUNCTION("""COMPUTED_VALUE"""),"No")</f>
        <v>No</v>
      </c>
      <c r="AF419" s="1" t="str">
        <f ca="1">IFERROR(__xludf.DUMMYFUNCTION("""COMPUTED_VALUE"""),"No")</f>
        <v>No</v>
      </c>
      <c r="AG419" s="1" t="str">
        <f ca="1">IFERROR(__xludf.DUMMYFUNCTION("""COMPUTED_VALUE"""),"No")</f>
        <v>No</v>
      </c>
      <c r="AH419" s="1">
        <f ca="1">IFERROR(__xludf.DUMMYFUNCTION("""COMPUTED_VALUE"""),99)</f>
        <v>99</v>
      </c>
    </row>
    <row r="420" spans="1:34" ht="12.5">
      <c r="A420" s="1" t="str">
        <f ca="1">IFERROR(__xludf.DUMMYFUNCTION("""COMPUTED_VALUE"""),"20230110OHJOC")</f>
        <v>20230110OHJOC</v>
      </c>
      <c r="B420" s="1">
        <f ca="1">IFERROR(__xludf.DUMMYFUNCTION("""COMPUTED_VALUE"""),1)</f>
        <v>1</v>
      </c>
      <c r="C420" s="1">
        <f ca="1">IFERROR(__xludf.DUMMYFUNCTION("""COMPUTED_VALUE"""),10)</f>
        <v>10</v>
      </c>
      <c r="D420" s="1">
        <f ca="1">IFERROR(__xludf.DUMMYFUNCTION("""COMPUTED_VALUE"""),2023)</f>
        <v>2023</v>
      </c>
      <c r="E420" s="4">
        <f ca="1">IFERROR(__xludf.DUMMYFUNCTION("""COMPUTED_VALUE"""),44936)</f>
        <v>44936</v>
      </c>
      <c r="F420" s="1" t="str">
        <f ca="1">IFERROR(__xludf.DUMMYFUNCTION("""COMPUTED_VALUE"""),"John Adams High School")</f>
        <v>John Adams High School</v>
      </c>
      <c r="G420" s="1">
        <f ca="1">IFERROR(__xludf.DUMMYFUNCTION("""COMPUTED_VALUE"""),1)</f>
        <v>1</v>
      </c>
      <c r="H420" s="1">
        <f ca="1">IFERROR(__xludf.DUMMYFUNCTION("""COMPUTED_VALUE"""),0)</f>
        <v>0</v>
      </c>
      <c r="I420" s="1">
        <f ca="1">IFERROR(__xludf.DUMMYFUNCTION("""COMPUTED_VALUE"""),1)</f>
        <v>1</v>
      </c>
      <c r="J420" s="1">
        <f ca="1">IFERROR(__xludf.DUMMYFUNCTION("""COMPUTED_VALUE"""),0)</f>
        <v>0</v>
      </c>
      <c r="K420" s="1" t="str">
        <f ca="1">IFERROR(__xludf.DUMMYFUNCTION("""COMPUTED_VALUE"""),"Winter")</f>
        <v>Winter</v>
      </c>
      <c r="L420" s="1" t="str">
        <f ca="1">IFERROR(__xludf.DUMMYFUNCTION("""COMPUTED_VALUE"""),"Cleveland")</f>
        <v>Cleveland</v>
      </c>
      <c r="M420" s="1" t="str">
        <f ca="1">IFERROR(__xludf.DUMMYFUNCTION("""COMPUTED_VALUE"""),"OH")</f>
        <v>OH</v>
      </c>
      <c r="N420" s="1" t="str">
        <f ca="1">IFERROR(__xludf.DUMMYFUNCTION("""COMPUTED_VALUE"""),"High")</f>
        <v>High</v>
      </c>
      <c r="O420" s="1" t="str">
        <f ca="1">IFERROR(__xludf.DUMMYFUNCTION("""COMPUTED_VALUE"""),"Front of School")</f>
        <v>Front of School</v>
      </c>
      <c r="P420" s="1" t="str">
        <f ca="1">IFERROR(__xludf.DUMMYFUNCTION("""COMPUTED_VALUE"""),"Outside on School Property")</f>
        <v>Outside on School Property</v>
      </c>
      <c r="Q420" s="1" t="str">
        <f ca="1">IFERROR(__xludf.DUMMYFUNCTION("""COMPUTED_VALUE"""),"Yes")</f>
        <v>Yes</v>
      </c>
      <c r="R420" s="1" t="str">
        <f ca="1">IFERROR(__xludf.DUMMYFUNCTION("""COMPUTED_VALUE"""),"Dismissal")</f>
        <v>Dismissal</v>
      </c>
      <c r="S420" s="5">
        <f ca="1">IFERROR(__xludf.DUMMYFUNCTION("""COMPUTED_VALUE"""),0.625)</f>
        <v>0.625</v>
      </c>
      <c r="T420" s="1">
        <f ca="1">IFERROR(__xludf.DUMMYFUNCTION("""COMPUTED_VALUE"""),1)</f>
        <v>1</v>
      </c>
      <c r="U420" s="1" t="str">
        <f ca="1">IFERROR(__xludf.DUMMYFUNCTION("""COMPUTED_VALUE"""),"Student fatally shot at dismissal waiting for bus")</f>
        <v>Student fatally shot at dismissal waiting for bus</v>
      </c>
      <c r="V420" s="1" t="str">
        <f ca="1">IFERROR(__xludf.DUMMYFUNCTION("""COMPUTED_VALUE"""),"18-year-old student was fatally shot at the bus stop in front of the school at dismissal. ")</f>
        <v xml:space="preserve">18-year-old student was fatally shot at the bus stop in front of the school at dismissal. </v>
      </c>
      <c r="W420" s="1"/>
      <c r="X420" s="1"/>
      <c r="Y420" s="1"/>
      <c r="Z420" s="1"/>
      <c r="AA420" s="1" t="str">
        <f ca="1">IFERROR(__xludf.DUMMYFUNCTION("""COMPUTED_VALUE"""),"No")</f>
        <v>No</v>
      </c>
      <c r="AB420" s="1" t="str">
        <f ca="1">IFERROR(__xludf.DUMMYFUNCTION("""COMPUTED_VALUE"""),"No")</f>
        <v>No</v>
      </c>
      <c r="AC420" s="1" t="str">
        <f ca="1">IFERROR(__xludf.DUMMYFUNCTION("""COMPUTED_VALUE"""),"No")</f>
        <v>No</v>
      </c>
      <c r="AD420" s="1"/>
      <c r="AE420" s="1" t="str">
        <f ca="1">IFERROR(__xludf.DUMMYFUNCTION("""COMPUTED_VALUE"""),"No")</f>
        <v>No</v>
      </c>
      <c r="AF420" s="1"/>
      <c r="AG420" s="1" t="str">
        <f ca="1">IFERROR(__xludf.DUMMYFUNCTION("""COMPUTED_VALUE"""),"No")</f>
        <v>No</v>
      </c>
      <c r="AH420" s="1">
        <f ca="1">IFERROR(__xludf.DUMMYFUNCTION("""COMPUTED_VALUE"""),99)</f>
        <v>99</v>
      </c>
    </row>
    <row r="421" spans="1:34" ht="12.5">
      <c r="A421" s="1" t="str">
        <f ca="1">IFERROR(__xludf.DUMMYFUNCTION("""COMPUTED_VALUE"""),"20230110LABON")</f>
        <v>20230110LABON</v>
      </c>
      <c r="B421" s="1">
        <f ca="1">IFERROR(__xludf.DUMMYFUNCTION("""COMPUTED_VALUE"""),1)</f>
        <v>1</v>
      </c>
      <c r="C421" s="1">
        <f ca="1">IFERROR(__xludf.DUMMYFUNCTION("""COMPUTED_VALUE"""),10)</f>
        <v>10</v>
      </c>
      <c r="D421" s="1">
        <f ca="1">IFERROR(__xludf.DUMMYFUNCTION("""COMPUTED_VALUE"""),2023)</f>
        <v>2023</v>
      </c>
      <c r="E421" s="4">
        <f ca="1">IFERROR(__xludf.DUMMYFUNCTION("""COMPUTED_VALUE"""),44936)</f>
        <v>44936</v>
      </c>
      <c r="F421" s="1" t="str">
        <f ca="1">IFERROR(__xludf.DUMMYFUNCTION("""COMPUTED_VALUE"""),"Booker T. Washington High School")</f>
        <v>Booker T. Washington High School</v>
      </c>
      <c r="G421" s="1">
        <f ca="1">IFERROR(__xludf.DUMMYFUNCTION("""COMPUTED_VALUE"""),0)</f>
        <v>0</v>
      </c>
      <c r="H421" s="1">
        <f ca="1">IFERROR(__xludf.DUMMYFUNCTION("""COMPUTED_VALUE"""),1)</f>
        <v>1</v>
      </c>
      <c r="I421" s="1">
        <f ca="1">IFERROR(__xludf.DUMMYFUNCTION("""COMPUTED_VALUE"""),1)</f>
        <v>1</v>
      </c>
      <c r="J421" s="1">
        <f ca="1">IFERROR(__xludf.DUMMYFUNCTION("""COMPUTED_VALUE"""),0)</f>
        <v>0</v>
      </c>
      <c r="K421" s="1" t="str">
        <f ca="1">IFERROR(__xludf.DUMMYFUNCTION("""COMPUTED_VALUE"""),"Winter")</f>
        <v>Winter</v>
      </c>
      <c r="L421" s="1" t="str">
        <f ca="1">IFERROR(__xludf.DUMMYFUNCTION("""COMPUTED_VALUE"""),"New Orleans")</f>
        <v>New Orleans</v>
      </c>
      <c r="M421" s="1" t="str">
        <f ca="1">IFERROR(__xludf.DUMMYFUNCTION("""COMPUTED_VALUE"""),"LA")</f>
        <v>LA</v>
      </c>
      <c r="N421" s="1" t="str">
        <f ca="1">IFERROR(__xludf.DUMMYFUNCTION("""COMPUTED_VALUE"""),"High")</f>
        <v>High</v>
      </c>
      <c r="O421" s="1" t="str">
        <f ca="1">IFERROR(__xludf.DUMMYFUNCTION("""COMPUTED_VALUE"""),"Front of School")</f>
        <v>Front of School</v>
      </c>
      <c r="P421" s="1" t="str">
        <f ca="1">IFERROR(__xludf.DUMMYFUNCTION("""COMPUTED_VALUE"""),"Outside on School Property")</f>
        <v>Outside on School Property</v>
      </c>
      <c r="Q421" s="1" t="str">
        <f ca="1">IFERROR(__xludf.DUMMYFUNCTION("""COMPUTED_VALUE"""),"Yes")</f>
        <v>Yes</v>
      </c>
      <c r="R421" s="1" t="str">
        <f ca="1">IFERROR(__xludf.DUMMYFUNCTION("""COMPUTED_VALUE"""),"Dismissal")</f>
        <v>Dismissal</v>
      </c>
      <c r="S421" s="5">
        <f ca="1">IFERROR(__xludf.DUMMYFUNCTION("""COMPUTED_VALUE"""),0.645833333333333)</f>
        <v>0.64583333333333304</v>
      </c>
      <c r="T421" s="1">
        <f ca="1">IFERROR(__xludf.DUMMYFUNCTION("""COMPUTED_VALUE"""),1)</f>
        <v>1</v>
      </c>
      <c r="U421" s="1" t="str">
        <f ca="1">IFERROR(__xludf.DUMMYFUNCTION("""COMPUTED_VALUE"""),"Student shot at dismissal during drive-by")</f>
        <v>Student shot at dismissal during drive-by</v>
      </c>
      <c r="V421" s="1" t="str">
        <f ca="1">IFERROR(__xludf.DUMMYFUNCTION("""COMPUTED_VALUE"""),"Police say the shooting happened around 3:30 p.m. and identified the victim as a 16-year-old boy. NOPD says he was shot in the leg. Shots fired from a vehicle. The shooting happened outside of the school during dismissal. The school was placed on lockdown"&amp;", which has since been lifted.")</f>
        <v>Police say the shooting happened around 3:30 p.m. and identified the victim as a 16-year-old boy. NOPD says he was shot in the leg. Shots fired from a vehicle. The shooting happened outside of the school during dismissal. The school was placed on lockdown, which has since been lifted.</v>
      </c>
      <c r="W421" s="1" t="str">
        <f ca="1">IFERROR(__xludf.DUMMYFUNCTION("""COMPUTED_VALUE"""),"Drive-by Shooting")</f>
        <v>Drive-by Shooting</v>
      </c>
      <c r="X421" s="1"/>
      <c r="Y421" s="1"/>
      <c r="Z421" s="1"/>
      <c r="AA421" s="1" t="str">
        <f ca="1">IFERROR(__xludf.DUMMYFUNCTION("""COMPUTED_VALUE"""),"No")</f>
        <v>No</v>
      </c>
      <c r="AB421" s="1" t="str">
        <f ca="1">IFERROR(__xludf.DUMMYFUNCTION("""COMPUTED_VALUE"""),"No")</f>
        <v>No</v>
      </c>
      <c r="AC421" s="1" t="str">
        <f ca="1">IFERROR(__xludf.DUMMYFUNCTION("""COMPUTED_VALUE"""),"No")</f>
        <v>No</v>
      </c>
      <c r="AD421" s="1" t="str">
        <f ca="1">IFERROR(__xludf.DUMMYFUNCTION("""COMPUTED_VALUE"""),"No")</f>
        <v>No</v>
      </c>
      <c r="AE421" s="1" t="str">
        <f ca="1">IFERROR(__xludf.DUMMYFUNCTION("""COMPUTED_VALUE"""),"No")</f>
        <v>No</v>
      </c>
      <c r="AF421" s="1"/>
      <c r="AG421" s="1" t="str">
        <f ca="1">IFERROR(__xludf.DUMMYFUNCTION("""COMPUTED_VALUE"""),"No")</f>
        <v>No</v>
      </c>
      <c r="AH421" s="1">
        <f ca="1">IFERROR(__xludf.DUMMYFUNCTION("""COMPUTED_VALUE"""),99)</f>
        <v>99</v>
      </c>
    </row>
    <row r="422" spans="1:34" ht="12.5">
      <c r="A422" s="1" t="str">
        <f ca="1">IFERROR(__xludf.DUMMYFUNCTION("""COMPUTED_VALUE"""),"20230110KYSAS")</f>
        <v>20230110KYSAS</v>
      </c>
      <c r="B422" s="1">
        <f ca="1">IFERROR(__xludf.DUMMYFUNCTION("""COMPUTED_VALUE"""),1)</f>
        <v>1</v>
      </c>
      <c r="C422" s="1">
        <f ca="1">IFERROR(__xludf.DUMMYFUNCTION("""COMPUTED_VALUE"""),10)</f>
        <v>10</v>
      </c>
      <c r="D422" s="1">
        <f ca="1">IFERROR(__xludf.DUMMYFUNCTION("""COMPUTED_VALUE"""),2023)</f>
        <v>2023</v>
      </c>
      <c r="E422" s="4">
        <f ca="1">IFERROR(__xludf.DUMMYFUNCTION("""COMPUTED_VALUE"""),44936)</f>
        <v>44936</v>
      </c>
      <c r="F422" s="1" t="str">
        <f ca="1">IFERROR(__xludf.DUMMYFUNCTION("""COMPUTED_VALUE"""),"Stanford Elementary School")</f>
        <v>Stanford Elementary School</v>
      </c>
      <c r="G422" s="1">
        <f ca="1">IFERROR(__xludf.DUMMYFUNCTION("""COMPUTED_VALUE"""),0)</f>
        <v>0</v>
      </c>
      <c r="H422" s="1">
        <f ca="1">IFERROR(__xludf.DUMMYFUNCTION("""COMPUTED_VALUE"""),0)</f>
        <v>0</v>
      </c>
      <c r="I422" s="1">
        <f ca="1">IFERROR(__xludf.DUMMYFUNCTION("""COMPUTED_VALUE"""),1)</f>
        <v>1</v>
      </c>
      <c r="J422" s="1">
        <f ca="1">IFERROR(__xludf.DUMMYFUNCTION("""COMPUTED_VALUE"""),0)</f>
        <v>0</v>
      </c>
      <c r="K422" s="1" t="str">
        <f ca="1">IFERROR(__xludf.DUMMYFUNCTION("""COMPUTED_VALUE"""),"Winter")</f>
        <v>Winter</v>
      </c>
      <c r="L422" s="1" t="str">
        <f ca="1">IFERROR(__xludf.DUMMYFUNCTION("""COMPUTED_VALUE"""),"Stanford")</f>
        <v>Stanford</v>
      </c>
      <c r="M422" s="1" t="str">
        <f ca="1">IFERROR(__xludf.DUMMYFUNCTION("""COMPUTED_VALUE"""),"KY")</f>
        <v>KY</v>
      </c>
      <c r="N422" s="1" t="str">
        <f ca="1">IFERROR(__xludf.DUMMYFUNCTION("""COMPUTED_VALUE"""),"Elementary")</f>
        <v>Elementary</v>
      </c>
      <c r="O422" s="1" t="str">
        <f ca="1">IFERROR(__xludf.DUMMYFUNCTION("""COMPUTED_VALUE"""),"Office")</f>
        <v>Office</v>
      </c>
      <c r="P422" s="1" t="str">
        <f ca="1">IFERROR(__xludf.DUMMYFUNCTION("""COMPUTED_VALUE"""),"Inside School Building")</f>
        <v>Inside School Building</v>
      </c>
      <c r="Q422" s="1" t="str">
        <f ca="1">IFERROR(__xludf.DUMMYFUNCTION("""COMPUTED_VALUE"""),"No")</f>
        <v>No</v>
      </c>
      <c r="R422" s="1" t="str">
        <f ca="1">IFERROR(__xludf.DUMMYFUNCTION("""COMPUTED_VALUE"""),"Night")</f>
        <v>Night</v>
      </c>
      <c r="S422" s="5">
        <f ca="1">IFERROR(__xludf.DUMMYFUNCTION("""COMPUTED_VALUE"""),0.958333333333333)</f>
        <v>0.95833333333333304</v>
      </c>
      <c r="T422" s="1">
        <f ca="1">IFERROR(__xludf.DUMMYFUNCTION("""COMPUTED_VALUE"""),1)</f>
        <v>1</v>
      </c>
      <c r="U422" s="1" t="str">
        <f ca="1">IFERROR(__xludf.DUMMYFUNCTION("""COMPUTED_VALUE"""),"Staff member shot themselves in breakroom and then fled the building")</f>
        <v>Staff member shot themselves in breakroom and then fled the building</v>
      </c>
      <c r="V422" s="1" t="str">
        <f ca="1">IFERROR(__xludf.DUMMYFUNCTION("""COMPUTED_VALUE"""),"Police say the incident happened at around 11:00 p.m. Tuesday while the staff member was working second-shift maintenance at the school. The staff member then exited the building and left the premises. Law enforcement officers were called to the school We"&amp;"dnesday after staff discovered what appeared to be blood leading from a staff break room out to the parking lot. Officers cleared the school building Wednesday morning before children began normal activities for the day as a precaution. The school was dee"&amp;"med safe and there was no threat to the safety of the students or staff in regard to this incident, according to Stanford Police.")</f>
        <v>Police say the incident happened at around 11:00 p.m. Tuesday while the staff member was working second-shift maintenance at the school. The staff member then exited the building and left the premises. Law enforcement officers were called to the school Wednesday after staff discovered what appeared to be blood leading from a staff break room out to the parking lot. Officers cleared the school building Wednesday morning before children began normal activities for the day as a precaution. The school was deemed safe and there was no threat to the safety of the students or staff in regard to this incident, according to Stanford Police.</v>
      </c>
      <c r="W422" s="1" t="str">
        <f ca="1">IFERROR(__xludf.DUMMYFUNCTION("""COMPUTED_VALUE"""),"Accidental")</f>
        <v>Accidental</v>
      </c>
      <c r="X422" s="1" t="str">
        <f ca="1">IFERROR(__xludf.DUMMYFUNCTION("""COMPUTED_VALUE"""),"Neither")</f>
        <v>Neither</v>
      </c>
      <c r="Y422" s="1" t="str">
        <f ca="1">IFERROR(__xludf.DUMMYFUNCTION("""COMPUTED_VALUE"""),"No")</f>
        <v>No</v>
      </c>
      <c r="Z422" s="1"/>
      <c r="AA422" s="1" t="str">
        <f ca="1">IFERROR(__xludf.DUMMYFUNCTION("""COMPUTED_VALUE"""),"No")</f>
        <v>No</v>
      </c>
      <c r="AB422" s="1" t="str">
        <f ca="1">IFERROR(__xludf.DUMMYFUNCTION("""COMPUTED_VALUE"""),"No")</f>
        <v>No</v>
      </c>
      <c r="AC422" s="1" t="str">
        <f ca="1">IFERROR(__xludf.DUMMYFUNCTION("""COMPUTED_VALUE"""),"No")</f>
        <v>No</v>
      </c>
      <c r="AD422" s="1" t="str">
        <f ca="1">IFERROR(__xludf.DUMMYFUNCTION("""COMPUTED_VALUE"""),"No")</f>
        <v>No</v>
      </c>
      <c r="AE422" s="1" t="str">
        <f ca="1">IFERROR(__xludf.DUMMYFUNCTION("""COMPUTED_VALUE"""),"No")</f>
        <v>No</v>
      </c>
      <c r="AF422" s="1" t="str">
        <f ca="1">IFERROR(__xludf.DUMMYFUNCTION("""COMPUTED_VALUE"""),"No")</f>
        <v>No</v>
      </c>
      <c r="AG422" s="1" t="str">
        <f ca="1">IFERROR(__xludf.DUMMYFUNCTION("""COMPUTED_VALUE"""),"No")</f>
        <v>No</v>
      </c>
      <c r="AH422" s="1">
        <f ca="1">IFERROR(__xludf.DUMMYFUNCTION("""COMPUTED_VALUE"""),1)</f>
        <v>1</v>
      </c>
    </row>
    <row r="423" spans="1:34" ht="12.5">
      <c r="A423" s="1" t="str">
        <f ca="1">IFERROR(__xludf.DUMMYFUNCTION("""COMPUTED_VALUE"""),"20230110DEWIN")</f>
        <v>20230110DEWIN</v>
      </c>
      <c r="B423" s="1">
        <f ca="1">IFERROR(__xludf.DUMMYFUNCTION("""COMPUTED_VALUE"""),1)</f>
        <v>1</v>
      </c>
      <c r="C423" s="1">
        <f ca="1">IFERROR(__xludf.DUMMYFUNCTION("""COMPUTED_VALUE"""),10)</f>
        <v>10</v>
      </c>
      <c r="D423" s="1">
        <f ca="1">IFERROR(__xludf.DUMMYFUNCTION("""COMPUTED_VALUE"""),2023)</f>
        <v>2023</v>
      </c>
      <c r="E423" s="4">
        <f ca="1">IFERROR(__xludf.DUMMYFUNCTION("""COMPUTED_VALUE"""),44936)</f>
        <v>44936</v>
      </c>
      <c r="F423" s="1" t="str">
        <f ca="1">IFERROR(__xludf.DUMMYFUNCTION("""COMPUTED_VALUE"""),"William Penn High School")</f>
        <v>William Penn High School</v>
      </c>
      <c r="G423" s="1">
        <f ca="1">IFERROR(__xludf.DUMMYFUNCTION("""COMPUTED_VALUE"""),0)</f>
        <v>0</v>
      </c>
      <c r="H423" s="1">
        <f ca="1">IFERROR(__xludf.DUMMYFUNCTION("""COMPUTED_VALUE"""),0)</f>
        <v>0</v>
      </c>
      <c r="I423" s="1">
        <f ca="1">IFERROR(__xludf.DUMMYFUNCTION("""COMPUTED_VALUE"""),0)</f>
        <v>0</v>
      </c>
      <c r="J423" s="1">
        <f ca="1">IFERROR(__xludf.DUMMYFUNCTION("""COMPUTED_VALUE"""),0)</f>
        <v>0</v>
      </c>
      <c r="K423" s="1" t="str">
        <f ca="1">IFERROR(__xludf.DUMMYFUNCTION("""COMPUTED_VALUE"""),"Winter")</f>
        <v>Winter</v>
      </c>
      <c r="L423" s="1" t="str">
        <f ca="1">IFERROR(__xludf.DUMMYFUNCTION("""COMPUTED_VALUE"""),"New Castle")</f>
        <v>New Castle</v>
      </c>
      <c r="M423" s="1" t="str">
        <f ca="1">IFERROR(__xludf.DUMMYFUNCTION("""COMPUTED_VALUE"""),"DE")</f>
        <v>DE</v>
      </c>
      <c r="N423" s="1" t="str">
        <f ca="1">IFERROR(__xludf.DUMMYFUNCTION("""COMPUTED_VALUE"""),"High")</f>
        <v>High</v>
      </c>
      <c r="O423" s="1" t="str">
        <f ca="1">IFERROR(__xludf.DUMMYFUNCTION("""COMPUTED_VALUE"""),"Bathroom")</f>
        <v>Bathroom</v>
      </c>
      <c r="P423" s="1" t="str">
        <f ca="1">IFERROR(__xludf.DUMMYFUNCTION("""COMPUTED_VALUE"""),"Inside School Building")</f>
        <v>Inside School Building</v>
      </c>
      <c r="Q423" s="1" t="str">
        <f ca="1">IFERROR(__xludf.DUMMYFUNCTION("""COMPUTED_VALUE"""),"Yes")</f>
        <v>Yes</v>
      </c>
      <c r="R423" s="1" t="str">
        <f ca="1">IFERROR(__xludf.DUMMYFUNCTION("""COMPUTED_VALUE"""),"Morning Classes")</f>
        <v>Morning Classes</v>
      </c>
      <c r="S423" s="5">
        <f ca="1">IFERROR(__xludf.DUMMYFUNCTION("""COMPUTED_VALUE"""),0.486111111111111)</f>
        <v>0.48611111111111099</v>
      </c>
      <c r="T423" s="1">
        <f ca="1">IFERROR(__xludf.DUMMYFUNCTION("""COMPUTED_VALUE"""),1)</f>
        <v>1</v>
      </c>
      <c r="U423" s="1" t="str">
        <f ca="1">IFERROR(__xludf.DUMMYFUNCTION("""COMPUTED_VALUE"""),"Student fired handgun in bathroom and then fled")</f>
        <v>Student fired handgun in bathroom and then fled</v>
      </c>
      <c r="V423" s="1" t="str">
        <f ca="1">IFERROR(__xludf.DUMMYFUNCTION("""COMPUTED_VALUE"""),"According to police, a school resource officer was alerted to a potential gunshot inside a second-floor restroom. The resource officer found signs that a round struck the interior of the restroom, police say. State police say further investigation reveale"&amp;"d a suspect ran from the back of the school towards the football stadium. The school was placed on lockdown for about an hour while investigators searched the building. Investigators canvassing the area discovered a Glock handgun outside the school. No in"&amp;"juries were reported.")</f>
        <v>According to police, a school resource officer was alerted to a potential gunshot inside a second-floor restroom. The resource officer found signs that a round struck the interior of the restroom, police say. State police say further investigation revealed a suspect ran from the back of the school towards the football stadium. The school was placed on lockdown for about an hour while investigators searched the building. Investigators canvassing the area discovered a Glock handgun outside the school. No injuries were reported.</v>
      </c>
      <c r="W423" s="1"/>
      <c r="X423" s="1"/>
      <c r="Y423" s="1"/>
      <c r="Z423" s="1"/>
      <c r="AA423" s="1" t="str">
        <f ca="1">IFERROR(__xludf.DUMMYFUNCTION("""COMPUTED_VALUE"""),"No")</f>
        <v>No</v>
      </c>
      <c r="AB423" s="1" t="str">
        <f ca="1">IFERROR(__xludf.DUMMYFUNCTION("""COMPUTED_VALUE"""),"No")</f>
        <v>No</v>
      </c>
      <c r="AC423" s="1" t="str">
        <f ca="1">IFERROR(__xludf.DUMMYFUNCTION("""COMPUTED_VALUE"""),"No")</f>
        <v>No</v>
      </c>
      <c r="AD423" s="1"/>
      <c r="AE423" s="1" t="str">
        <f ca="1">IFERROR(__xludf.DUMMYFUNCTION("""COMPUTED_VALUE"""),"No")</f>
        <v>No</v>
      </c>
      <c r="AF423" s="1"/>
      <c r="AG423" s="1" t="str">
        <f ca="1">IFERROR(__xludf.DUMMYFUNCTION("""COMPUTED_VALUE"""),"No")</f>
        <v>No</v>
      </c>
      <c r="AH423" s="1">
        <f ca="1">IFERROR(__xludf.DUMMYFUNCTION("""COMPUTED_VALUE"""),1)</f>
        <v>1</v>
      </c>
    </row>
    <row r="424" spans="1:34" ht="12.5">
      <c r="A424" s="1" t="str">
        <f ca="1">IFERROR(__xludf.DUMMYFUNCTION("""COMPUTED_VALUE"""),"20230109VAPRW")</f>
        <v>20230109VAPRW</v>
      </c>
      <c r="B424" s="1">
        <f ca="1">IFERROR(__xludf.DUMMYFUNCTION("""COMPUTED_VALUE"""),1)</f>
        <v>1</v>
      </c>
      <c r="C424" s="1">
        <f ca="1">IFERROR(__xludf.DUMMYFUNCTION("""COMPUTED_VALUE"""),9)</f>
        <v>9</v>
      </c>
      <c r="D424" s="1">
        <f ca="1">IFERROR(__xludf.DUMMYFUNCTION("""COMPUTED_VALUE"""),2023)</f>
        <v>2023</v>
      </c>
      <c r="E424" s="4">
        <f ca="1">IFERROR(__xludf.DUMMYFUNCTION("""COMPUTED_VALUE"""),44935)</f>
        <v>44935</v>
      </c>
      <c r="F424" s="1" t="str">
        <f ca="1">IFERROR(__xludf.DUMMYFUNCTION("""COMPUTED_VALUE"""),"Prince Williams County School Bus")</f>
        <v>Prince Williams County School Bus</v>
      </c>
      <c r="G424" s="1">
        <f ca="1">IFERROR(__xludf.DUMMYFUNCTION("""COMPUTED_VALUE"""),0)</f>
        <v>0</v>
      </c>
      <c r="H424" s="1">
        <f ca="1">IFERROR(__xludf.DUMMYFUNCTION("""COMPUTED_VALUE"""),0)</f>
        <v>0</v>
      </c>
      <c r="I424" s="1">
        <f ca="1">IFERROR(__xludf.DUMMYFUNCTION("""COMPUTED_VALUE"""),0)</f>
        <v>0</v>
      </c>
      <c r="J424" s="1">
        <f ca="1">IFERROR(__xludf.DUMMYFUNCTION("""COMPUTED_VALUE"""),0)</f>
        <v>0</v>
      </c>
      <c r="K424" s="1" t="str">
        <f ca="1">IFERROR(__xludf.DUMMYFUNCTION("""COMPUTED_VALUE"""),"Winter")</f>
        <v>Winter</v>
      </c>
      <c r="L424" s="1" t="str">
        <f ca="1">IFERROR(__xludf.DUMMYFUNCTION("""COMPUTED_VALUE"""),"Woodbridge")</f>
        <v>Woodbridge</v>
      </c>
      <c r="M424" s="1" t="str">
        <f ca="1">IFERROR(__xludf.DUMMYFUNCTION("""COMPUTED_VALUE"""),"VA")</f>
        <v>VA</v>
      </c>
      <c r="N424" s="1" t="str">
        <f ca="1">IFERROR(__xludf.DUMMYFUNCTION("""COMPUTED_VALUE"""),"Other")</f>
        <v>Other</v>
      </c>
      <c r="O424" s="1" t="str">
        <f ca="1">IFERROR(__xludf.DUMMYFUNCTION("""COMPUTED_VALUE"""),"School Bus")</f>
        <v>School Bus</v>
      </c>
      <c r="P424" s="1" t="str">
        <f ca="1">IFERROR(__xludf.DUMMYFUNCTION("""COMPUTED_VALUE"""),"School Bus")</f>
        <v>School Bus</v>
      </c>
      <c r="Q424" s="1" t="str">
        <f ca="1">IFERROR(__xludf.DUMMYFUNCTION("""COMPUTED_VALUE"""),"Yes")</f>
        <v>Yes</v>
      </c>
      <c r="R424" s="1" t="str">
        <f ca="1">IFERROR(__xludf.DUMMYFUNCTION("""COMPUTED_VALUE"""),"Dismissal")</f>
        <v>Dismissal</v>
      </c>
      <c r="S424" s="5">
        <f ca="1">IFERROR(__xludf.DUMMYFUNCTION("""COMPUTED_VALUE"""),0.661111111111111)</f>
        <v>0.66111111111111098</v>
      </c>
      <c r="T424" s="1">
        <f ca="1">IFERROR(__xludf.DUMMYFUNCTION("""COMPUTED_VALUE"""),1)</f>
        <v>1</v>
      </c>
      <c r="U424" s="1" t="str">
        <f ca="1">IFERROR(__xludf.DUMMYFUNCTION("""COMPUTED_VALUE"""),"Man fired pellet gun at school bus")</f>
        <v>Man fired pellet gun at school bus</v>
      </c>
      <c r="V424" s="1" t="str">
        <f ca="1">IFERROR(__xludf.DUMMYFUNCTION("""COMPUTED_VALUE"""),"On Monday, January 9, at 3:52 p.m., officers responded to the area of Rollingwood Dr. and Jenny Dr. in Woodbridge to investigate the report of projectiles fired at an occupied school bus. While responding to the area, officers observed a gel-pellet gun on"&amp;" the ground near two males who matched the description provided to police. The males were detained without incident, and the gel-pellet gun was secured by officers. The investigation revealed one of the males, identified as the accused, fired multiple gel"&amp;"-based projectiles, striking the school bus before walking away. At the time of the incident, the school bus was occupied by one student and the bus driver, neither of whom was injured. No other injuries or property damage were reported. During the invest"&amp;"igation, the accused was also found in possession of suspected marijuana. Yazid Abdul Withrow Thomas, 18, is charged with shooting missiles at an occupied vehicle, brandishing a firearm, and possessing marijuana by a person under 21.")</f>
        <v>On Monday, January 9, at 3:52 p.m., officers responded to the area of Rollingwood Dr. and Jenny Dr. in Woodbridge to investigate the report of projectiles fired at an occupied school bus. While responding to the area, officers observed a gel-pellet gun on the ground near two males who matched the description provided to police. The males were detained without incident, and the gel-pellet gun was secured by officers. The investigation revealed one of the males, identified as the accused, fired multiple gel-based projectiles, striking the school bus before walking away. At the time of the incident, the school bus was occupied by one student and the bus driver, neither of whom was injured. No other injuries or property damage were reported. During the investigation, the accused was also found in possession of suspected marijuana. Yazid Abdul Withrow Thomas, 18, is charged with shooting missiles at an occupied vehicle, brandishing a firearm, and possessing marijuana by a person under 21.</v>
      </c>
      <c r="W424" s="1" t="str">
        <f ca="1">IFERROR(__xludf.DUMMYFUNCTION("""COMPUTED_VALUE"""),"Intentional Property Damage")</f>
        <v>Intentional Property Damage</v>
      </c>
      <c r="X424" s="1"/>
      <c r="Y424" s="1" t="str">
        <f ca="1">IFERROR(__xludf.DUMMYFUNCTION("""COMPUTED_VALUE"""),"No")</f>
        <v>No</v>
      </c>
      <c r="Z424" s="1"/>
      <c r="AA424" s="1" t="str">
        <f ca="1">IFERROR(__xludf.DUMMYFUNCTION("""COMPUTED_VALUE"""),"No")</f>
        <v>No</v>
      </c>
      <c r="AB424" s="1" t="str">
        <f ca="1">IFERROR(__xludf.DUMMYFUNCTION("""COMPUTED_VALUE"""),"No")</f>
        <v>No</v>
      </c>
      <c r="AC424" s="1" t="str">
        <f ca="1">IFERROR(__xludf.DUMMYFUNCTION("""COMPUTED_VALUE"""),"No")</f>
        <v>No</v>
      </c>
      <c r="AD424" s="1" t="str">
        <f ca="1">IFERROR(__xludf.DUMMYFUNCTION("""COMPUTED_VALUE"""),"No")</f>
        <v>No</v>
      </c>
      <c r="AE424" s="1" t="str">
        <f ca="1">IFERROR(__xludf.DUMMYFUNCTION("""COMPUTED_VALUE"""),"No")</f>
        <v>No</v>
      </c>
      <c r="AF424" s="1"/>
      <c r="AG424" s="1" t="str">
        <f ca="1">IFERROR(__xludf.DUMMYFUNCTION("""COMPUTED_VALUE"""),"No")</f>
        <v>No</v>
      </c>
      <c r="AH424" s="1">
        <f ca="1">IFERROR(__xludf.DUMMYFUNCTION("""COMPUTED_VALUE"""),99)</f>
        <v>99</v>
      </c>
    </row>
    <row r="425" spans="1:34" ht="12.5">
      <c r="A425" s="1" t="str">
        <f ca="1">IFERROR(__xludf.DUMMYFUNCTION("""COMPUTED_VALUE"""),"20230107ORFRP")</f>
        <v>20230107ORFRP</v>
      </c>
      <c r="B425" s="1">
        <f ca="1">IFERROR(__xludf.DUMMYFUNCTION("""COMPUTED_VALUE"""),1)</f>
        <v>1</v>
      </c>
      <c r="C425" s="1">
        <f ca="1">IFERROR(__xludf.DUMMYFUNCTION("""COMPUTED_VALUE"""),7)</f>
        <v>7</v>
      </c>
      <c r="D425" s="1">
        <f ca="1">IFERROR(__xludf.DUMMYFUNCTION("""COMPUTED_VALUE"""),2023)</f>
        <v>2023</v>
      </c>
      <c r="E425" s="4">
        <f ca="1">IFERROR(__xludf.DUMMYFUNCTION("""COMPUTED_VALUE"""),44933)</f>
        <v>44933</v>
      </c>
      <c r="F425" s="1" t="str">
        <f ca="1">IFERROR(__xludf.DUMMYFUNCTION("""COMPUTED_VALUE"""),"Franklin High School")</f>
        <v>Franklin High School</v>
      </c>
      <c r="G425" s="1">
        <f ca="1">IFERROR(__xludf.DUMMYFUNCTION("""COMPUTED_VALUE"""),0)</f>
        <v>0</v>
      </c>
      <c r="H425" s="1">
        <f ca="1">IFERROR(__xludf.DUMMYFUNCTION("""COMPUTED_VALUE"""),1)</f>
        <v>1</v>
      </c>
      <c r="I425" s="1">
        <f ca="1">IFERROR(__xludf.DUMMYFUNCTION("""COMPUTED_VALUE"""),1)</f>
        <v>1</v>
      </c>
      <c r="J425" s="1">
        <f ca="1">IFERROR(__xludf.DUMMYFUNCTION("""COMPUTED_VALUE"""),0)</f>
        <v>0</v>
      </c>
      <c r="K425" s="1" t="str">
        <f ca="1">IFERROR(__xludf.DUMMYFUNCTION("""COMPUTED_VALUE"""),"Winter")</f>
        <v>Winter</v>
      </c>
      <c r="L425" s="1" t="str">
        <f ca="1">IFERROR(__xludf.DUMMYFUNCTION("""COMPUTED_VALUE"""),"Portland")</f>
        <v>Portland</v>
      </c>
      <c r="M425" s="1" t="str">
        <f ca="1">IFERROR(__xludf.DUMMYFUNCTION("""COMPUTED_VALUE"""),"OR")</f>
        <v>OR</v>
      </c>
      <c r="N425" s="1" t="str">
        <f ca="1">IFERROR(__xludf.DUMMYFUNCTION("""COMPUTED_VALUE"""),"High")</f>
        <v>High</v>
      </c>
      <c r="O425" s="1" t="str">
        <f ca="1">IFERROR(__xludf.DUMMYFUNCTION("""COMPUTED_VALUE"""),"Parking Lot")</f>
        <v>Parking Lot</v>
      </c>
      <c r="P425" s="1" t="str">
        <f ca="1">IFERROR(__xludf.DUMMYFUNCTION("""COMPUTED_VALUE"""),"Outside on School Property")</f>
        <v>Outside on School Property</v>
      </c>
      <c r="Q425" s="1" t="str">
        <f ca="1">IFERROR(__xludf.DUMMYFUNCTION("""COMPUTED_VALUE"""),"No")</f>
        <v>No</v>
      </c>
      <c r="R425" s="1" t="str">
        <f ca="1">IFERROR(__xludf.DUMMYFUNCTION("""COMPUTED_VALUE"""),"Sport Event")</f>
        <v>Sport Event</v>
      </c>
      <c r="S425" s="5">
        <f ca="1">IFERROR(__xludf.DUMMYFUNCTION("""COMPUTED_VALUE"""),0.819444444444444)</f>
        <v>0.81944444444444398</v>
      </c>
      <c r="T425" s="1">
        <f ca="1">IFERROR(__xludf.DUMMYFUNCTION("""COMPUTED_VALUE"""),1)</f>
        <v>1</v>
      </c>
      <c r="U425" s="1" t="str">
        <f ca="1">IFERROR(__xludf.DUMMYFUNCTION("""COMPUTED_VALUE"""),"Teen shot in parking lot during high school basketball game")</f>
        <v>Teen shot in parking lot during high school basketball game</v>
      </c>
      <c r="V425" s="1" t="str">
        <f ca="1">IFERROR(__xludf.DUMMYFUNCTION("""COMPUTED_VALUE"""),"Gunfire in the parking lot at Franklin High School left one person with a minor injury, one person detained and forced the cancellation of a basketball game Saturday night. The incident happened around 7:40 p.m. as Cleveland High was playing Roosevelt Hig"&amp;"h at the school, 5405 SE Woodward. A Portland officer assigned to Franklin High heard the shots, called for help and began to look into the shooting. One player with Roosevelt High School who spoke with KOIN 6 News said he was on the court when the chaos "&amp;"broke out. He didn’t hear the gunshots but said he took off as soon as he saw the stampede of fans fleeing. “I was on the court and all I heard was my coaches telling me to run and then we ran outside onto the field and some of our gear got messed up. And"&amp;" we were told the game was supposed to continue but it ended up being postponed,” he said. “I don’t want to play here again.”")</f>
        <v>Gunfire in the parking lot at Franklin High School left one person with a minor injury, one person detained and forced the cancellation of a basketball game Saturday night. The incident happened around 7:40 p.m. as Cleveland High was playing Roosevelt High at the school, 5405 SE Woodward. A Portland officer assigned to Franklin High heard the shots, called for help and began to look into the shooting. One player with Roosevelt High School who spoke with KOIN 6 News said he was on the court when the chaos broke out. He didn’t hear the gunshots but said he took off as soon as he saw the stampede of fans fleeing. “I was on the court and all I heard was my coaches telling me to run and then we ran outside onto the field and some of our gear got messed up. And we were told the game was supposed to continue but it ended up being postponed,” he said. “I don’t want to play here again.”</v>
      </c>
      <c r="W425" s="1"/>
      <c r="X425" s="1" t="str">
        <f ca="1">IFERROR(__xludf.DUMMYFUNCTION("""COMPUTED_VALUE"""),"Victims Targeted")</f>
        <v>Victims Targeted</v>
      </c>
      <c r="Y425" s="1" t="str">
        <f ca="1">IFERROR(__xludf.DUMMYFUNCTION("""COMPUTED_VALUE"""),"No")</f>
        <v>No</v>
      </c>
      <c r="Z425" s="1"/>
      <c r="AA425" s="1" t="str">
        <f ca="1">IFERROR(__xludf.DUMMYFUNCTION("""COMPUTED_VALUE"""),"No")</f>
        <v>No</v>
      </c>
      <c r="AB425" s="1" t="str">
        <f ca="1">IFERROR(__xludf.DUMMYFUNCTION("""COMPUTED_VALUE"""),"No")</f>
        <v>No</v>
      </c>
      <c r="AC425" s="1" t="str">
        <f ca="1">IFERROR(__xludf.DUMMYFUNCTION("""COMPUTED_VALUE"""),"No")</f>
        <v>No</v>
      </c>
      <c r="AD425" s="1" t="str">
        <f ca="1">IFERROR(__xludf.DUMMYFUNCTION("""COMPUTED_VALUE"""),"No")</f>
        <v>No</v>
      </c>
      <c r="AE425" s="1" t="str">
        <f ca="1">IFERROR(__xludf.DUMMYFUNCTION("""COMPUTED_VALUE"""),"No")</f>
        <v>No</v>
      </c>
      <c r="AF425" s="1"/>
      <c r="AG425" s="1" t="str">
        <f ca="1">IFERROR(__xludf.DUMMYFUNCTION("""COMPUTED_VALUE"""),"No")</f>
        <v>No</v>
      </c>
      <c r="AH425" s="1">
        <f ca="1">IFERROR(__xludf.DUMMYFUNCTION("""COMPUTED_VALUE"""),99)</f>
        <v>99</v>
      </c>
    </row>
    <row r="426" spans="1:34" ht="12.5">
      <c r="A426" s="1" t="str">
        <f ca="1">IFERROR(__xludf.DUMMYFUNCTION("""COMPUTED_VALUE"""),"20230106VARIN")</f>
        <v>20230106VARIN</v>
      </c>
      <c r="B426" s="1">
        <f ca="1">IFERROR(__xludf.DUMMYFUNCTION("""COMPUTED_VALUE"""),1)</f>
        <v>1</v>
      </c>
      <c r="C426" s="1">
        <f ca="1">IFERROR(__xludf.DUMMYFUNCTION("""COMPUTED_VALUE"""),6)</f>
        <v>6</v>
      </c>
      <c r="D426" s="1">
        <f ca="1">IFERROR(__xludf.DUMMYFUNCTION("""COMPUTED_VALUE"""),2023)</f>
        <v>2023</v>
      </c>
      <c r="E426" s="4">
        <f ca="1">IFERROR(__xludf.DUMMYFUNCTION("""COMPUTED_VALUE"""),44932)</f>
        <v>44932</v>
      </c>
      <c r="F426" s="1" t="str">
        <f ca="1">IFERROR(__xludf.DUMMYFUNCTION("""COMPUTED_VALUE"""),"Richneck Elementary School")</f>
        <v>Richneck Elementary School</v>
      </c>
      <c r="G426" s="1">
        <f ca="1">IFERROR(__xludf.DUMMYFUNCTION("""COMPUTED_VALUE"""),0)</f>
        <v>0</v>
      </c>
      <c r="H426" s="1">
        <f ca="1">IFERROR(__xludf.DUMMYFUNCTION("""COMPUTED_VALUE"""),1)</f>
        <v>1</v>
      </c>
      <c r="I426" s="1">
        <f ca="1">IFERROR(__xludf.DUMMYFUNCTION("""COMPUTED_VALUE"""),1)</f>
        <v>1</v>
      </c>
      <c r="J426" s="1">
        <f ca="1">IFERROR(__xludf.DUMMYFUNCTION("""COMPUTED_VALUE"""),0)</f>
        <v>0</v>
      </c>
      <c r="K426" s="1" t="str">
        <f ca="1">IFERROR(__xludf.DUMMYFUNCTION("""COMPUTED_VALUE"""),"Winter")</f>
        <v>Winter</v>
      </c>
      <c r="L426" s="1" t="str">
        <f ca="1">IFERROR(__xludf.DUMMYFUNCTION("""COMPUTED_VALUE"""),"Newport News")</f>
        <v>Newport News</v>
      </c>
      <c r="M426" s="1" t="str">
        <f ca="1">IFERROR(__xludf.DUMMYFUNCTION("""COMPUTED_VALUE"""),"VA")</f>
        <v>VA</v>
      </c>
      <c r="N426" s="1" t="str">
        <f ca="1">IFERROR(__xludf.DUMMYFUNCTION("""COMPUTED_VALUE"""),"Elementary")</f>
        <v>Elementary</v>
      </c>
      <c r="O426" s="1" t="str">
        <f ca="1">IFERROR(__xludf.DUMMYFUNCTION("""COMPUTED_VALUE"""),"Classroom")</f>
        <v>Classroom</v>
      </c>
      <c r="P426" s="1" t="str">
        <f ca="1">IFERROR(__xludf.DUMMYFUNCTION("""COMPUTED_VALUE"""),"Inside School Building")</f>
        <v>Inside School Building</v>
      </c>
      <c r="Q426" s="1" t="str">
        <f ca="1">IFERROR(__xludf.DUMMYFUNCTION("""COMPUTED_VALUE"""),"Yes")</f>
        <v>Yes</v>
      </c>
      <c r="R426" s="1" t="str">
        <f ca="1">IFERROR(__xludf.DUMMYFUNCTION("""COMPUTED_VALUE"""),"Afternoon Classes")</f>
        <v>Afternoon Classes</v>
      </c>
      <c r="S426" s="5">
        <f ca="1">IFERROR(__xludf.DUMMYFUNCTION("""COMPUTED_VALUE"""),0.583333333333333)</f>
        <v>0.58333333333333304</v>
      </c>
      <c r="T426" s="1">
        <f ca="1">IFERROR(__xludf.DUMMYFUNCTION("""COMPUTED_VALUE"""),1)</f>
        <v>1</v>
      </c>
      <c r="U426" s="1" t="str">
        <f ca="1">IFERROR(__xludf.DUMMYFUNCTION("""COMPUTED_VALUE"""),"6-year-old student shot teacher inside classroom")</f>
        <v>6-year-old student shot teacher inside classroom</v>
      </c>
      <c r="V426" s="1" t="str">
        <f ca="1">IFERROR(__xludf.DUMMYFUNCTION("""COMPUTED_VALUE"""),"6-year-old student shot teacher inside classroom. Mother was sentenced in December 2023 to 5 years in prison for child neglect.")</f>
        <v>6-year-old student shot teacher inside classroom. Mother was sentenced in December 2023 to 5 years in prison for child neglect.</v>
      </c>
      <c r="W426" s="1"/>
      <c r="X426" s="1" t="str">
        <f ca="1">IFERROR(__xludf.DUMMYFUNCTION("""COMPUTED_VALUE"""),"Victims Targeted")</f>
        <v>Victims Targeted</v>
      </c>
      <c r="Y426" s="1" t="str">
        <f ca="1">IFERROR(__xludf.DUMMYFUNCTION("""COMPUTED_VALUE"""),"No")</f>
        <v>No</v>
      </c>
      <c r="Z426" s="1"/>
      <c r="AA426" s="1" t="str">
        <f ca="1">IFERROR(__xludf.DUMMYFUNCTION("""COMPUTED_VALUE"""),"No")</f>
        <v>No</v>
      </c>
      <c r="AB426" s="1" t="str">
        <f ca="1">IFERROR(__xludf.DUMMYFUNCTION("""COMPUTED_VALUE"""),"No")</f>
        <v>No</v>
      </c>
      <c r="AC426" s="1" t="str">
        <f ca="1">IFERROR(__xludf.DUMMYFUNCTION("""COMPUTED_VALUE"""),"No")</f>
        <v>No</v>
      </c>
      <c r="AD426" s="1" t="str">
        <f ca="1">IFERROR(__xludf.DUMMYFUNCTION("""COMPUTED_VALUE"""),"No")</f>
        <v>No</v>
      </c>
      <c r="AE426" s="1" t="str">
        <f ca="1">IFERROR(__xludf.DUMMYFUNCTION("""COMPUTED_VALUE"""),"No")</f>
        <v>No</v>
      </c>
      <c r="AF426" s="1" t="str">
        <f ca="1">IFERROR(__xludf.DUMMYFUNCTION("""COMPUTED_VALUE"""),"No")</f>
        <v>No</v>
      </c>
      <c r="AG426" s="1"/>
      <c r="AH426" s="1"/>
    </row>
    <row r="427" spans="1:34" ht="12.5">
      <c r="A427" s="1" t="str">
        <f ca="1">IFERROR(__xludf.DUMMYFUNCTION("""COMPUTED_VALUE"""),"20230106MIOAD")</f>
        <v>20230106MIOAD</v>
      </c>
      <c r="B427" s="1">
        <f ca="1">IFERROR(__xludf.DUMMYFUNCTION("""COMPUTED_VALUE"""),1)</f>
        <v>1</v>
      </c>
      <c r="C427" s="1">
        <f ca="1">IFERROR(__xludf.DUMMYFUNCTION("""COMPUTED_VALUE"""),6)</f>
        <v>6</v>
      </c>
      <c r="D427" s="1">
        <f ca="1">IFERROR(__xludf.DUMMYFUNCTION("""COMPUTED_VALUE"""),2023)</f>
        <v>2023</v>
      </c>
      <c r="E427" s="4">
        <f ca="1">IFERROR(__xludf.DUMMYFUNCTION("""COMPUTED_VALUE"""),44932)</f>
        <v>44932</v>
      </c>
      <c r="F427" s="1" t="str">
        <f ca="1">IFERROR(__xludf.DUMMYFUNCTION("""COMPUTED_VALUE"""),"Oak Park High School")</f>
        <v>Oak Park High School</v>
      </c>
      <c r="G427" s="1">
        <f ca="1">IFERROR(__xludf.DUMMYFUNCTION("""COMPUTED_VALUE"""),0)</f>
        <v>0</v>
      </c>
      <c r="H427" s="1">
        <f ca="1">IFERROR(__xludf.DUMMYFUNCTION("""COMPUTED_VALUE"""),1)</f>
        <v>1</v>
      </c>
      <c r="I427" s="1">
        <f ca="1">IFERROR(__xludf.DUMMYFUNCTION("""COMPUTED_VALUE"""),1)</f>
        <v>1</v>
      </c>
      <c r="J427" s="1">
        <f ca="1">IFERROR(__xludf.DUMMYFUNCTION("""COMPUTED_VALUE"""),0)</f>
        <v>0</v>
      </c>
      <c r="K427" s="1" t="str">
        <f ca="1">IFERROR(__xludf.DUMMYFUNCTION("""COMPUTED_VALUE"""),"Winter")</f>
        <v>Winter</v>
      </c>
      <c r="L427" s="1" t="str">
        <f ca="1">IFERROR(__xludf.DUMMYFUNCTION("""COMPUTED_VALUE"""),"Detroit")</f>
        <v>Detroit</v>
      </c>
      <c r="M427" s="1" t="str">
        <f ca="1">IFERROR(__xludf.DUMMYFUNCTION("""COMPUTED_VALUE"""),"MI")</f>
        <v>MI</v>
      </c>
      <c r="N427" s="1" t="str">
        <f ca="1">IFERROR(__xludf.DUMMYFUNCTION("""COMPUTED_VALUE"""),"High")</f>
        <v>High</v>
      </c>
      <c r="O427" s="1" t="str">
        <f ca="1">IFERROR(__xludf.DUMMYFUNCTION("""COMPUTED_VALUE"""),"Beside Building")</f>
        <v>Beside Building</v>
      </c>
      <c r="P427" s="1" t="str">
        <f ca="1">IFERROR(__xludf.DUMMYFUNCTION("""COMPUTED_VALUE"""),"Outside on School Property")</f>
        <v>Outside on School Property</v>
      </c>
      <c r="Q427" s="1" t="str">
        <f ca="1">IFERROR(__xludf.DUMMYFUNCTION("""COMPUTED_VALUE"""),"No")</f>
        <v>No</v>
      </c>
      <c r="R427" s="1" t="str">
        <f ca="1">IFERROR(__xludf.DUMMYFUNCTION("""COMPUTED_VALUE"""),"Sport Event")</f>
        <v>Sport Event</v>
      </c>
      <c r="S427" s="5">
        <f ca="1">IFERROR(__xludf.DUMMYFUNCTION("""COMPUTED_VALUE"""),0.881944444444444)</f>
        <v>0.88194444444444398</v>
      </c>
      <c r="T427" s="1">
        <f ca="1">IFERROR(__xludf.DUMMYFUNCTION("""COMPUTED_VALUE"""),1)</f>
        <v>1</v>
      </c>
      <c r="U427" s="1" t="str">
        <f ca="1">IFERROR(__xludf.DUMMYFUNCTION("""COMPUTED_VALUE"""),"Teen shot outside high school basketball game")</f>
        <v>Teen shot outside high school basketball game</v>
      </c>
      <c r="V427" s="1" t="str">
        <f ca="1">IFERROR(__xludf.DUMMYFUNCTION("""COMPUTED_VALUE"""),"At 9:10 pm on Friday, Jan. 6, police received several 911 calls from Oak Park High School regarding reports of shots fired in the area following an Oak Park High School varsity basketball game. Oak Park officers responded and located an Oak Park Schools s"&amp;"tudent who had been shot multiple times.  The student was transported to an area hospital for treatment and is currently in stable condition, police said. Following the incident, Oak Park officers located the suspect and recovered a handgun. Police say th"&amp;"e shooting stemmed from an attempted robbery of a gold chain.")</f>
        <v>At 9:10 pm on Friday, Jan. 6, police received several 911 calls from Oak Park High School regarding reports of shots fired in the area following an Oak Park High School varsity basketball game. Oak Park officers responded and located an Oak Park Schools student who had been shot multiple times.  The student was transported to an area hospital for treatment and is currently in stable condition, police said. Following the incident, Oak Park officers located the suspect and recovered a handgun. Police say the shooting stemmed from an attempted robbery of a gold chain.</v>
      </c>
      <c r="W427" s="1" t="str">
        <f ca="1">IFERROR(__xludf.DUMMYFUNCTION("""COMPUTED_VALUE"""),"Illegal Activity")</f>
        <v>Illegal Activity</v>
      </c>
      <c r="X427" s="1" t="str">
        <f ca="1">IFERROR(__xludf.DUMMYFUNCTION("""COMPUTED_VALUE"""),"Victims Targeted")</f>
        <v>Victims Targeted</v>
      </c>
      <c r="Y427" s="1"/>
      <c r="Z427" s="1"/>
      <c r="AA427" s="1" t="str">
        <f ca="1">IFERROR(__xludf.DUMMYFUNCTION("""COMPUTED_VALUE"""),"No")</f>
        <v>No</v>
      </c>
      <c r="AB427" s="1" t="str">
        <f ca="1">IFERROR(__xludf.DUMMYFUNCTION("""COMPUTED_VALUE"""),"No")</f>
        <v>No</v>
      </c>
      <c r="AC427" s="1" t="str">
        <f ca="1">IFERROR(__xludf.DUMMYFUNCTION("""COMPUTED_VALUE"""),"No")</f>
        <v>No</v>
      </c>
      <c r="AD427" s="1" t="str">
        <f ca="1">IFERROR(__xludf.DUMMYFUNCTION("""COMPUTED_VALUE"""),"No")</f>
        <v>No</v>
      </c>
      <c r="AE427" s="1" t="str">
        <f ca="1">IFERROR(__xludf.DUMMYFUNCTION("""COMPUTED_VALUE"""),"No")</f>
        <v>No</v>
      </c>
      <c r="AF427" s="1"/>
      <c r="AG427" s="1" t="str">
        <f ca="1">IFERROR(__xludf.DUMMYFUNCTION("""COMPUTED_VALUE"""),"No")</f>
        <v>No</v>
      </c>
      <c r="AH427" s="1">
        <f ca="1">IFERROR(__xludf.DUMMYFUNCTION("""COMPUTED_VALUE"""),99)</f>
        <v>99</v>
      </c>
    </row>
    <row r="428" spans="1:34" ht="12.5">
      <c r="A428" s="1" t="str">
        <f ca="1">IFERROR(__xludf.DUMMYFUNCTION("""COMPUTED_VALUE"""),"20230106MDBEB")</f>
        <v>20230106MDBEB</v>
      </c>
      <c r="B428" s="1">
        <f ca="1">IFERROR(__xludf.DUMMYFUNCTION("""COMPUTED_VALUE"""),1)</f>
        <v>1</v>
      </c>
      <c r="C428" s="1">
        <f ca="1">IFERROR(__xludf.DUMMYFUNCTION("""COMPUTED_VALUE"""),6)</f>
        <v>6</v>
      </c>
      <c r="D428" s="1">
        <f ca="1">IFERROR(__xludf.DUMMYFUNCTION("""COMPUTED_VALUE"""),2023)</f>
        <v>2023</v>
      </c>
      <c r="E428" s="4">
        <f ca="1">IFERROR(__xludf.DUMMYFUNCTION("""COMPUTED_VALUE"""),44932)</f>
        <v>44932</v>
      </c>
      <c r="F428" s="1" t="str">
        <f ca="1">IFERROR(__xludf.DUMMYFUNCTION("""COMPUTED_VALUE"""),"Benjamin Franklin High School")</f>
        <v>Benjamin Franklin High School</v>
      </c>
      <c r="G428" s="1">
        <f ca="1">IFERROR(__xludf.DUMMYFUNCTION("""COMPUTED_VALUE"""),0)</f>
        <v>0</v>
      </c>
      <c r="H428" s="1">
        <f ca="1">IFERROR(__xludf.DUMMYFUNCTION("""COMPUTED_VALUE"""),2)</f>
        <v>2</v>
      </c>
      <c r="I428" s="1">
        <f ca="1">IFERROR(__xludf.DUMMYFUNCTION("""COMPUTED_VALUE"""),2)</f>
        <v>2</v>
      </c>
      <c r="J428" s="1">
        <f ca="1">IFERROR(__xludf.DUMMYFUNCTION("""COMPUTED_VALUE"""),0)</f>
        <v>0</v>
      </c>
      <c r="K428" s="1" t="str">
        <f ca="1">IFERROR(__xludf.DUMMYFUNCTION("""COMPUTED_VALUE"""),"Winter")</f>
        <v>Winter</v>
      </c>
      <c r="L428" s="1" t="str">
        <f ca="1">IFERROR(__xludf.DUMMYFUNCTION("""COMPUTED_VALUE"""),"Baltimore")</f>
        <v>Baltimore</v>
      </c>
      <c r="M428" s="1" t="str">
        <f ca="1">IFERROR(__xludf.DUMMYFUNCTION("""COMPUTED_VALUE"""),"MD")</f>
        <v>MD</v>
      </c>
      <c r="N428" s="1" t="str">
        <f ca="1">IFERROR(__xludf.DUMMYFUNCTION("""COMPUTED_VALUE"""),"High")</f>
        <v>High</v>
      </c>
      <c r="O428" s="1" t="str">
        <f ca="1">IFERROR(__xludf.DUMMYFUNCTION("""COMPUTED_VALUE"""),"Front of School")</f>
        <v>Front of School</v>
      </c>
      <c r="P428" s="1" t="str">
        <f ca="1">IFERROR(__xludf.DUMMYFUNCTION("""COMPUTED_VALUE"""),"Outside on School Property")</f>
        <v>Outside on School Property</v>
      </c>
      <c r="Q428" s="1" t="str">
        <f ca="1">IFERROR(__xludf.DUMMYFUNCTION("""COMPUTED_VALUE"""),"Yes")</f>
        <v>Yes</v>
      </c>
      <c r="R428" s="1" t="str">
        <f ca="1">IFERROR(__xludf.DUMMYFUNCTION("""COMPUTED_VALUE"""),"Dismissal")</f>
        <v>Dismissal</v>
      </c>
      <c r="S428" s="5">
        <f ca="1">IFERROR(__xludf.DUMMYFUNCTION("""COMPUTED_VALUE"""),0.588194444444444)</f>
        <v>0.58819444444444402</v>
      </c>
      <c r="T428" s="1">
        <f ca="1">IFERROR(__xludf.DUMMYFUNCTION("""COMPUTED_VALUE"""),1)</f>
        <v>1</v>
      </c>
      <c r="U428" s="1" t="str">
        <f ca="1">IFERROR(__xludf.DUMMYFUNCTION("""COMPUTED_VALUE"""),"Two teens shot in front of school during dismissal")</f>
        <v>Two teens shot in front of school during dismissal</v>
      </c>
      <c r="V428" s="1" t="str">
        <f ca="1">IFERROR(__xludf.DUMMYFUNCTION("""COMPUTED_VALUE"""),"City police said officers were called around 2:07 p.m. to the 1100 block of Cambria Street, across the street from Benjamin Franklin High School. Investigators said the victims were standing with a group of people when someone approached, the rest of the "&amp;"group fled and the two victims were shot. 15-year-old girl was shot in the back and a 16-year-old boy was shot in the ankle. Both were taken to a hospital with non-life-threatening injuries.")</f>
        <v>City police said officers were called around 2:07 p.m. to the 1100 block of Cambria Street, across the street from Benjamin Franklin High School. Investigators said the victims were standing with a group of people when someone approached, the rest of the group fled and the two victims were shot. 15-year-old girl was shot in the back and a 16-year-old boy was shot in the ankle. Both were taken to a hospital with non-life-threatening injuries.</v>
      </c>
      <c r="W428" s="1" t="str">
        <f ca="1">IFERROR(__xludf.DUMMYFUNCTION("""COMPUTED_VALUE"""),"Escalation of Dispute")</f>
        <v>Escalation of Dispute</v>
      </c>
      <c r="X428" s="1" t="str">
        <f ca="1">IFERROR(__xludf.DUMMYFUNCTION("""COMPUTED_VALUE"""),"Both")</f>
        <v>Both</v>
      </c>
      <c r="Y428" s="1" t="str">
        <f ca="1">IFERROR(__xludf.DUMMYFUNCTION("""COMPUTED_VALUE"""),"Yes")</f>
        <v>Yes</v>
      </c>
      <c r="Z428" s="1" t="str">
        <f ca="1">IFERROR(__xludf.DUMMYFUNCTION("""COMPUTED_VALUE"""),"Two teens charged")</f>
        <v>Two teens charged</v>
      </c>
      <c r="AA428" s="1" t="str">
        <f ca="1">IFERROR(__xludf.DUMMYFUNCTION("""COMPUTED_VALUE"""),"No")</f>
        <v>No</v>
      </c>
      <c r="AB428" s="1" t="str">
        <f ca="1">IFERROR(__xludf.DUMMYFUNCTION("""COMPUTED_VALUE"""),"No")</f>
        <v>No</v>
      </c>
      <c r="AC428" s="1" t="str">
        <f ca="1">IFERROR(__xludf.DUMMYFUNCTION("""COMPUTED_VALUE"""),"No")</f>
        <v>No</v>
      </c>
      <c r="AD428" s="1" t="str">
        <f ca="1">IFERROR(__xludf.DUMMYFUNCTION("""COMPUTED_VALUE"""),"No")</f>
        <v>No</v>
      </c>
      <c r="AE428" s="1" t="str">
        <f ca="1">IFERROR(__xludf.DUMMYFUNCTION("""COMPUTED_VALUE"""),"No")</f>
        <v>No</v>
      </c>
      <c r="AF428" s="1"/>
      <c r="AG428" s="1" t="str">
        <f ca="1">IFERROR(__xludf.DUMMYFUNCTION("""COMPUTED_VALUE"""),"No")</f>
        <v>No</v>
      </c>
      <c r="AH428" s="1">
        <f ca="1">IFERROR(__xludf.DUMMYFUNCTION("""COMPUTED_VALUE"""),99)</f>
        <v>99</v>
      </c>
    </row>
    <row r="429" spans="1:34" ht="12.5">
      <c r="A429" s="1" t="str">
        <f ca="1">IFERROR(__xludf.DUMMYFUNCTION("""COMPUTED_VALUE"""),"20230106FLWEA")</f>
        <v>20230106FLWEA</v>
      </c>
      <c r="B429" s="1">
        <f ca="1">IFERROR(__xludf.DUMMYFUNCTION("""COMPUTED_VALUE"""),1)</f>
        <v>1</v>
      </c>
      <c r="C429" s="1">
        <f ca="1">IFERROR(__xludf.DUMMYFUNCTION("""COMPUTED_VALUE"""),6)</f>
        <v>6</v>
      </c>
      <c r="D429" s="1">
        <f ca="1">IFERROR(__xludf.DUMMYFUNCTION("""COMPUTED_VALUE"""),2023)</f>
        <v>2023</v>
      </c>
      <c r="E429" s="4">
        <f ca="1">IFERROR(__xludf.DUMMYFUNCTION("""COMPUTED_VALUE"""),44933)</f>
        <v>44933</v>
      </c>
      <c r="F429" s="1" t="str">
        <f ca="1">IFERROR(__xludf.DUMMYFUNCTION("""COMPUTED_VALUE"""),"Wekiva High School")</f>
        <v>Wekiva High School</v>
      </c>
      <c r="G429" s="1">
        <f ca="1">IFERROR(__xludf.DUMMYFUNCTION("""COMPUTED_VALUE"""),0)</f>
        <v>0</v>
      </c>
      <c r="H429" s="1">
        <f ca="1">IFERROR(__xludf.DUMMYFUNCTION("""COMPUTED_VALUE"""),1)</f>
        <v>1</v>
      </c>
      <c r="I429" s="1">
        <f ca="1">IFERROR(__xludf.DUMMYFUNCTION("""COMPUTED_VALUE"""),1)</f>
        <v>1</v>
      </c>
      <c r="J429" s="1">
        <f ca="1">IFERROR(__xludf.DUMMYFUNCTION("""COMPUTED_VALUE"""),0)</f>
        <v>0</v>
      </c>
      <c r="K429" s="1" t="str">
        <f ca="1">IFERROR(__xludf.DUMMYFUNCTION("""COMPUTED_VALUE"""),"Winter")</f>
        <v>Winter</v>
      </c>
      <c r="L429" s="1" t="str">
        <f ca="1">IFERROR(__xludf.DUMMYFUNCTION("""COMPUTED_VALUE"""),"Apopka")</f>
        <v>Apopka</v>
      </c>
      <c r="M429" s="1" t="str">
        <f ca="1">IFERROR(__xludf.DUMMYFUNCTION("""COMPUTED_VALUE"""),"FL")</f>
        <v>FL</v>
      </c>
      <c r="N429" s="1" t="str">
        <f ca="1">IFERROR(__xludf.DUMMYFUNCTION("""COMPUTED_VALUE"""),"High")</f>
        <v>High</v>
      </c>
      <c r="O429" s="1" t="str">
        <f ca="1">IFERROR(__xludf.DUMMYFUNCTION("""COMPUTED_VALUE"""),"Parking Lot")</f>
        <v>Parking Lot</v>
      </c>
      <c r="P429" s="1" t="str">
        <f ca="1">IFERROR(__xludf.DUMMYFUNCTION("""COMPUTED_VALUE"""),"Outside on School Property")</f>
        <v>Outside on School Property</v>
      </c>
      <c r="Q429" s="1" t="str">
        <f ca="1">IFERROR(__xludf.DUMMYFUNCTION("""COMPUTED_VALUE"""),"No")</f>
        <v>No</v>
      </c>
      <c r="R429" s="1" t="str">
        <f ca="1">IFERROR(__xludf.DUMMYFUNCTION("""COMPUTED_VALUE"""),"Sport Event")</f>
        <v>Sport Event</v>
      </c>
      <c r="S429" s="5">
        <f ca="1">IFERROR(__xludf.DUMMYFUNCTION("""COMPUTED_VALUE"""),0.875)</f>
        <v>0.875</v>
      </c>
      <c r="T429" s="1">
        <f ca="1">IFERROR(__xludf.DUMMYFUNCTION("""COMPUTED_VALUE"""),1)</f>
        <v>1</v>
      </c>
      <c r="U429" s="1" t="str">
        <f ca="1">IFERROR(__xludf.DUMMYFUNCTION("""COMPUTED_VALUE"""),"Teen shot leaving gym during high school basketball game")</f>
        <v>Teen shot leaving gym during high school basketball game</v>
      </c>
      <c r="V429" s="1" t="str">
        <f ca="1">IFERROR(__xludf.DUMMYFUNCTION("""COMPUTED_VALUE"""),"Deputies said the teenage boy was caught in the crossfire in the parking lot, and was taken to the hospital. Shooting was targeted, the student who was shot was a bystander and not the target.")</f>
        <v>Deputies said the teenage boy was caught in the crossfire in the parking lot, and was taken to the hospital. Shooting was targeted, the student who was shot was a bystander and not the target.</v>
      </c>
      <c r="W429" s="1" t="str">
        <f ca="1">IFERROR(__xludf.DUMMYFUNCTION("""COMPUTED_VALUE"""),"Escalation of Dispute")</f>
        <v>Escalation of Dispute</v>
      </c>
      <c r="X429" s="1" t="str">
        <f ca="1">IFERROR(__xludf.DUMMYFUNCTION("""COMPUTED_VALUE"""),"Both")</f>
        <v>Both</v>
      </c>
      <c r="Y429" s="1"/>
      <c r="Z429" s="1"/>
      <c r="AA429" s="1" t="str">
        <f ca="1">IFERROR(__xludf.DUMMYFUNCTION("""COMPUTED_VALUE"""),"No")</f>
        <v>No</v>
      </c>
      <c r="AB429" s="1" t="str">
        <f ca="1">IFERROR(__xludf.DUMMYFUNCTION("""COMPUTED_VALUE"""),"No")</f>
        <v>No</v>
      </c>
      <c r="AC429" s="1" t="str">
        <f ca="1">IFERROR(__xludf.DUMMYFUNCTION("""COMPUTED_VALUE"""),"No")</f>
        <v>No</v>
      </c>
      <c r="AD429" s="1" t="str">
        <f ca="1">IFERROR(__xludf.DUMMYFUNCTION("""COMPUTED_VALUE"""),"No")</f>
        <v>No</v>
      </c>
      <c r="AE429" s="1" t="str">
        <f ca="1">IFERROR(__xludf.DUMMYFUNCTION("""COMPUTED_VALUE"""),"No")</f>
        <v>No</v>
      </c>
      <c r="AF429" s="1"/>
      <c r="AG429" s="1" t="str">
        <f ca="1">IFERROR(__xludf.DUMMYFUNCTION("""COMPUTED_VALUE"""),"No")</f>
        <v>No</v>
      </c>
      <c r="AH429" s="1">
        <f ca="1">IFERROR(__xludf.DUMMYFUNCTION("""COMPUTED_VALUE"""),99)</f>
        <v>99</v>
      </c>
    </row>
    <row r="430" spans="1:34" ht="12.5">
      <c r="A430" s="1" t="str">
        <f ca="1">IFERROR(__xludf.DUMMYFUNCTION("""COMPUTED_VALUE"""),"20230105OHBEC")</f>
        <v>20230105OHBEC</v>
      </c>
      <c r="B430" s="1">
        <f ca="1">IFERROR(__xludf.DUMMYFUNCTION("""COMPUTED_VALUE"""),1)</f>
        <v>1</v>
      </c>
      <c r="C430" s="1">
        <f ca="1">IFERROR(__xludf.DUMMYFUNCTION("""COMPUTED_VALUE"""),5)</f>
        <v>5</v>
      </c>
      <c r="D430" s="1">
        <f ca="1">IFERROR(__xludf.DUMMYFUNCTION("""COMPUTED_VALUE"""),2023)</f>
        <v>2023</v>
      </c>
      <c r="E430" s="4">
        <f ca="1">IFERROR(__xludf.DUMMYFUNCTION("""COMPUTED_VALUE"""),44931)</f>
        <v>44931</v>
      </c>
      <c r="F430" s="1" t="str">
        <f ca="1">IFERROR(__xludf.DUMMYFUNCTION("""COMPUTED_VALUE"""),"Beechcroft High School")</f>
        <v>Beechcroft High School</v>
      </c>
      <c r="G430" s="1">
        <f ca="1">IFERROR(__xludf.DUMMYFUNCTION("""COMPUTED_VALUE"""),0)</f>
        <v>0</v>
      </c>
      <c r="H430" s="1">
        <f ca="1">IFERROR(__xludf.DUMMYFUNCTION("""COMPUTED_VALUE"""),0)</f>
        <v>0</v>
      </c>
      <c r="I430" s="1">
        <f ca="1">IFERROR(__xludf.DUMMYFUNCTION("""COMPUTED_VALUE"""),0)</f>
        <v>0</v>
      </c>
      <c r="J430" s="1">
        <f ca="1">IFERROR(__xludf.DUMMYFUNCTION("""COMPUTED_VALUE"""),0)</f>
        <v>0</v>
      </c>
      <c r="K430" s="1" t="str">
        <f ca="1">IFERROR(__xludf.DUMMYFUNCTION("""COMPUTED_VALUE"""),"Winter")</f>
        <v>Winter</v>
      </c>
      <c r="L430" s="1" t="str">
        <f ca="1">IFERROR(__xludf.DUMMYFUNCTION("""COMPUTED_VALUE"""),"Columbus")</f>
        <v>Columbus</v>
      </c>
      <c r="M430" s="1" t="str">
        <f ca="1">IFERROR(__xludf.DUMMYFUNCTION("""COMPUTED_VALUE"""),"OH")</f>
        <v>OH</v>
      </c>
      <c r="N430" s="1" t="str">
        <f ca="1">IFERROR(__xludf.DUMMYFUNCTION("""COMPUTED_VALUE"""),"High")</f>
        <v>High</v>
      </c>
      <c r="O430" s="1" t="str">
        <f ca="1">IFERROR(__xludf.DUMMYFUNCTION("""COMPUTED_VALUE"""),"Beside Building")</f>
        <v>Beside Building</v>
      </c>
      <c r="P430" s="1" t="str">
        <f ca="1">IFERROR(__xludf.DUMMYFUNCTION("""COMPUTED_VALUE"""),"Outside on School Property")</f>
        <v>Outside on School Property</v>
      </c>
      <c r="Q430" s="1" t="str">
        <f ca="1">IFERROR(__xludf.DUMMYFUNCTION("""COMPUTED_VALUE"""),"Yes")</f>
        <v>Yes</v>
      </c>
      <c r="R430" s="1" t="str">
        <f ca="1">IFERROR(__xludf.DUMMYFUNCTION("""COMPUTED_VALUE"""),"Morning Classes")</f>
        <v>Morning Classes</v>
      </c>
      <c r="S430" s="5">
        <f ca="1">IFERROR(__xludf.DUMMYFUNCTION("""COMPUTED_VALUE"""),0.479166666666666)</f>
        <v>0.47916666666666602</v>
      </c>
      <c r="T430" s="1">
        <f ca="1">IFERROR(__xludf.DUMMYFUNCTION("""COMPUTED_VALUE"""),1)</f>
        <v>1</v>
      </c>
      <c r="U430" s="1" t="str">
        <f ca="1">IFERROR(__xludf.DUMMYFUNCTION("""COMPUTED_VALUE"""),"Teen fired shots that struck school building")</f>
        <v>Teen fired shots that struck school building</v>
      </c>
      <c r="V430" s="1" t="str">
        <f ca="1">IFERROR(__xludf.DUMMYFUNCTION("""COMPUTED_VALUE"""),"Police said they have arrested a 15-year-old boy in connection with a shooting at Beechcroft High School while teachers and staff were in the building. CPD said Friday a juvenile was charged with carrying concealed weapons and improperly discharging a fir"&amp;"earm into a habitation. Teachers said they heard gunfire around 11:30 a.m. and the school was put on lockdown. Detectives said bullets hit the North side of the building but did not penetrate the walls.")</f>
        <v>Police said they have arrested a 15-year-old boy in connection with a shooting at Beechcroft High School while teachers and staff were in the building. CPD said Friday a juvenile was charged with carrying concealed weapons and improperly discharging a firearm into a habitation. Teachers said they heard gunfire around 11:30 a.m. and the school was put on lockdown. Detectives said bullets hit the North side of the building but did not penetrate the walls.</v>
      </c>
      <c r="W430" s="1"/>
      <c r="X430" s="1"/>
      <c r="Y430" s="1" t="str">
        <f ca="1">IFERROR(__xludf.DUMMYFUNCTION("""COMPUTED_VALUE"""),"No")</f>
        <v>No</v>
      </c>
      <c r="Z430" s="1"/>
      <c r="AA430" s="1" t="str">
        <f ca="1">IFERROR(__xludf.DUMMYFUNCTION("""COMPUTED_VALUE"""),"No")</f>
        <v>No</v>
      </c>
      <c r="AB430" s="1" t="str">
        <f ca="1">IFERROR(__xludf.DUMMYFUNCTION("""COMPUTED_VALUE"""),"No")</f>
        <v>No</v>
      </c>
      <c r="AC430" s="1" t="str">
        <f ca="1">IFERROR(__xludf.DUMMYFUNCTION("""COMPUTED_VALUE"""),"No")</f>
        <v>No</v>
      </c>
      <c r="AD430" s="1" t="str">
        <f ca="1">IFERROR(__xludf.DUMMYFUNCTION("""COMPUTED_VALUE"""),"No")</f>
        <v>No</v>
      </c>
      <c r="AE430" s="1" t="str">
        <f ca="1">IFERROR(__xludf.DUMMYFUNCTION("""COMPUTED_VALUE"""),"No")</f>
        <v>No</v>
      </c>
      <c r="AF430" s="1"/>
      <c r="AG430" s="1" t="str">
        <f ca="1">IFERROR(__xludf.DUMMYFUNCTION("""COMPUTED_VALUE"""),"No")</f>
        <v>No</v>
      </c>
      <c r="AH430" s="1">
        <f ca="1">IFERROR(__xludf.DUMMYFUNCTION("""COMPUTED_VALUE"""),99)</f>
        <v>99</v>
      </c>
    </row>
    <row r="431" spans="1:34" ht="12.5">
      <c r="A431" s="1" t="str">
        <f ca="1">IFERROR(__xludf.DUMMYFUNCTION("""COMPUTED_VALUE"""),"20230105NYFRR")</f>
        <v>20230105NYFRR</v>
      </c>
      <c r="B431" s="1">
        <f ca="1">IFERROR(__xludf.DUMMYFUNCTION("""COMPUTED_VALUE"""),1)</f>
        <v>1</v>
      </c>
      <c r="C431" s="1">
        <f ca="1">IFERROR(__xludf.DUMMYFUNCTION("""COMPUTED_VALUE"""),5)</f>
        <v>5</v>
      </c>
      <c r="D431" s="1">
        <f ca="1">IFERROR(__xludf.DUMMYFUNCTION("""COMPUTED_VALUE"""),2023)</f>
        <v>2023</v>
      </c>
      <c r="E431" s="4">
        <f ca="1">IFERROR(__xludf.DUMMYFUNCTION("""COMPUTED_VALUE"""),44931)</f>
        <v>44931</v>
      </c>
      <c r="F431" s="1" t="str">
        <f ca="1">IFERROR(__xludf.DUMMYFUNCTION("""COMPUTED_VALUE"""),"Franklin High School")</f>
        <v>Franklin High School</v>
      </c>
      <c r="G431" s="1">
        <f ca="1">IFERROR(__xludf.DUMMYFUNCTION("""COMPUTED_VALUE"""),0)</f>
        <v>0</v>
      </c>
      <c r="H431" s="1">
        <f ca="1">IFERROR(__xludf.DUMMYFUNCTION("""COMPUTED_VALUE"""),0)</f>
        <v>0</v>
      </c>
      <c r="I431" s="1">
        <f ca="1">IFERROR(__xludf.DUMMYFUNCTION("""COMPUTED_VALUE"""),0)</f>
        <v>0</v>
      </c>
      <c r="J431" s="1">
        <f ca="1">IFERROR(__xludf.DUMMYFUNCTION("""COMPUTED_VALUE"""),0)</f>
        <v>0</v>
      </c>
      <c r="K431" s="1" t="str">
        <f ca="1">IFERROR(__xludf.DUMMYFUNCTION("""COMPUTED_VALUE"""),"Winter")</f>
        <v>Winter</v>
      </c>
      <c r="L431" s="1" t="str">
        <f ca="1">IFERROR(__xludf.DUMMYFUNCTION("""COMPUTED_VALUE"""),"Rochester")</f>
        <v>Rochester</v>
      </c>
      <c r="M431" s="1" t="str">
        <f ca="1">IFERROR(__xludf.DUMMYFUNCTION("""COMPUTED_VALUE"""),"NY")</f>
        <v>NY</v>
      </c>
      <c r="N431" s="1" t="str">
        <f ca="1">IFERROR(__xludf.DUMMYFUNCTION("""COMPUTED_VALUE"""),"High")</f>
        <v>High</v>
      </c>
      <c r="O431" s="1" t="str">
        <f ca="1">IFERROR(__xludf.DUMMYFUNCTION("""COMPUTED_VALUE"""),"Front of School")</f>
        <v>Front of School</v>
      </c>
      <c r="P431" s="1" t="str">
        <f ca="1">IFERROR(__xludf.DUMMYFUNCTION("""COMPUTED_VALUE"""),"Outside on School Property")</f>
        <v>Outside on School Property</v>
      </c>
      <c r="Q431" s="1" t="str">
        <f ca="1">IFERROR(__xludf.DUMMYFUNCTION("""COMPUTED_VALUE"""),"Yes")</f>
        <v>Yes</v>
      </c>
      <c r="R431" s="1" t="str">
        <f ca="1">IFERROR(__xludf.DUMMYFUNCTION("""COMPUTED_VALUE"""),"Morning Classes")</f>
        <v>Morning Classes</v>
      </c>
      <c r="S431" s="5">
        <f ca="1">IFERROR(__xludf.DUMMYFUNCTION("""COMPUTED_VALUE"""),0.354166666666666)</f>
        <v>0.35416666666666602</v>
      </c>
      <c r="T431" s="1">
        <f ca="1">IFERROR(__xludf.DUMMYFUNCTION("""COMPUTED_VALUE"""),1)</f>
        <v>1</v>
      </c>
      <c r="U431" s="1" t="str">
        <f ca="1">IFERROR(__xludf.DUMMYFUNCTION("""COMPUTED_VALUE"""),"Student chased and shot at near front door to school")</f>
        <v>Student chased and shot at near front door to school</v>
      </c>
      <c r="V431" s="1" t="str">
        <f ca="1">IFERROR(__xludf.DUMMYFUNCTION("""COMPUTED_VALUE"""),"Franklin High School was placed on lockout Thursday morning after a student was shot at outside of the school, according to the Rochester Police Department. No one was struck or injured. Police said the situation started a few blocks away from the school "&amp;"on Norton St., but ultimately ended up on school property near the front steps. The district said the suspect ultimately got out of a car, and shot at the 16 yr-old student and two other students were on the premises. All of the shots missed.")</f>
        <v>Franklin High School was placed on lockout Thursday morning after a student was shot at outside of the school, according to the Rochester Police Department. No one was struck or injured. Police said the situation started a few blocks away from the school on Norton St., but ultimately ended up on school property near the front steps. The district said the suspect ultimately got out of a car, and shot at the 16 yr-old student and two other students were on the premises. All of the shots missed.</v>
      </c>
      <c r="W431" s="1"/>
      <c r="X431" s="1" t="str">
        <f ca="1">IFERROR(__xludf.DUMMYFUNCTION("""COMPUTED_VALUE"""),"Victims Targeted")</f>
        <v>Victims Targeted</v>
      </c>
      <c r="Y431" s="1" t="str">
        <f ca="1">IFERROR(__xludf.DUMMYFUNCTION("""COMPUTED_VALUE"""),"Yes")</f>
        <v>Yes</v>
      </c>
      <c r="Z431" s="1"/>
      <c r="AA431" s="1" t="str">
        <f ca="1">IFERROR(__xludf.DUMMYFUNCTION("""COMPUTED_VALUE"""),"No")</f>
        <v>No</v>
      </c>
      <c r="AB431" s="1" t="str">
        <f ca="1">IFERROR(__xludf.DUMMYFUNCTION("""COMPUTED_VALUE"""),"No")</f>
        <v>No</v>
      </c>
      <c r="AC431" s="1" t="str">
        <f ca="1">IFERROR(__xludf.DUMMYFUNCTION("""COMPUTED_VALUE"""),"No")</f>
        <v>No</v>
      </c>
      <c r="AD431" s="1" t="str">
        <f ca="1">IFERROR(__xludf.DUMMYFUNCTION("""COMPUTED_VALUE"""),"No")</f>
        <v>No</v>
      </c>
      <c r="AE431" s="1" t="str">
        <f ca="1">IFERROR(__xludf.DUMMYFUNCTION("""COMPUTED_VALUE"""),"No")</f>
        <v>No</v>
      </c>
      <c r="AF431" s="1"/>
      <c r="AG431" s="1" t="str">
        <f ca="1">IFERROR(__xludf.DUMMYFUNCTION("""COMPUTED_VALUE"""),"No")</f>
        <v>No</v>
      </c>
      <c r="AH431" s="1">
        <f ca="1">IFERROR(__xludf.DUMMYFUNCTION("""COMPUTED_VALUE"""),99)</f>
        <v>99</v>
      </c>
    </row>
    <row r="432" spans="1:34" ht="12.5">
      <c r="A432" s="1" t="str">
        <f ca="1">IFERROR(__xludf.DUMMYFUNCTION("""COMPUTED_VALUE"""),"20230104MITRD")</f>
        <v>20230104MITRD</v>
      </c>
      <c r="B432" s="1">
        <f ca="1">IFERROR(__xludf.DUMMYFUNCTION("""COMPUTED_VALUE"""),1)</f>
        <v>1</v>
      </c>
      <c r="C432" s="1">
        <f ca="1">IFERROR(__xludf.DUMMYFUNCTION("""COMPUTED_VALUE"""),4)</f>
        <v>4</v>
      </c>
      <c r="D432" s="1">
        <f ca="1">IFERROR(__xludf.DUMMYFUNCTION("""COMPUTED_VALUE"""),2023)</f>
        <v>2023</v>
      </c>
      <c r="E432" s="4">
        <f ca="1">IFERROR(__xludf.DUMMYFUNCTION("""COMPUTED_VALUE"""),44930)</f>
        <v>44930</v>
      </c>
      <c r="F432" s="1" t="str">
        <f ca="1">IFERROR(__xludf.DUMMYFUNCTION("""COMPUTED_VALUE"""),"Trix Academy")</f>
        <v>Trix Academy</v>
      </c>
      <c r="G432" s="1">
        <f ca="1">IFERROR(__xludf.DUMMYFUNCTION("""COMPUTED_VALUE"""),1)</f>
        <v>1</v>
      </c>
      <c r="H432" s="1">
        <f ca="1">IFERROR(__xludf.DUMMYFUNCTION("""COMPUTED_VALUE"""),0)</f>
        <v>0</v>
      </c>
      <c r="I432" s="1">
        <f ca="1">IFERROR(__xludf.DUMMYFUNCTION("""COMPUTED_VALUE"""),1)</f>
        <v>1</v>
      </c>
      <c r="J432" s="1">
        <f ca="1">IFERROR(__xludf.DUMMYFUNCTION("""COMPUTED_VALUE"""),0)</f>
        <v>0</v>
      </c>
      <c r="K432" s="1" t="str">
        <f ca="1">IFERROR(__xludf.DUMMYFUNCTION("""COMPUTED_VALUE"""),"Winter")</f>
        <v>Winter</v>
      </c>
      <c r="L432" s="1" t="str">
        <f ca="1">IFERROR(__xludf.DUMMYFUNCTION("""COMPUTED_VALUE"""),"Detroit")</f>
        <v>Detroit</v>
      </c>
      <c r="M432" s="1" t="str">
        <f ca="1">IFERROR(__xludf.DUMMYFUNCTION("""COMPUTED_VALUE"""),"MI")</f>
        <v>MI</v>
      </c>
      <c r="N432" s="1" t="str">
        <f ca="1">IFERROR(__xludf.DUMMYFUNCTION("""COMPUTED_VALUE"""),"K-8")</f>
        <v>K-8</v>
      </c>
      <c r="O432" s="1" t="str">
        <f ca="1">IFERROR(__xludf.DUMMYFUNCTION("""COMPUTED_VALUE"""),"Beside Building")</f>
        <v>Beside Building</v>
      </c>
      <c r="P432" s="1" t="str">
        <f ca="1">IFERROR(__xludf.DUMMYFUNCTION("""COMPUTED_VALUE"""),"Outside on School Property")</f>
        <v>Outside on School Property</v>
      </c>
      <c r="Q432" s="1" t="str">
        <f ca="1">IFERROR(__xludf.DUMMYFUNCTION("""COMPUTED_VALUE"""),"No")</f>
        <v>No</v>
      </c>
      <c r="R432" s="1" t="str">
        <f ca="1">IFERROR(__xludf.DUMMYFUNCTION("""COMPUTED_VALUE"""),"Not a School Day")</f>
        <v>Not a School Day</v>
      </c>
      <c r="S432" s="5">
        <f ca="1">IFERROR(__xludf.DUMMYFUNCTION("""COMPUTED_VALUE"""),0.354166666666666)</f>
        <v>0.35416666666666602</v>
      </c>
      <c r="T432" s="1">
        <f ca="1">IFERROR(__xludf.DUMMYFUNCTION("""COMPUTED_VALUE"""),1)</f>
        <v>1</v>
      </c>
      <c r="U432" s="1" t="str">
        <f ca="1">IFERROR(__xludf.DUMMYFUNCTION("""COMPUTED_VALUE"""),"Man shot multiple times next to classroom window")</f>
        <v>Man shot multiple times next to classroom window</v>
      </c>
      <c r="V432" s="1" t="str">
        <f ca="1">IFERROR(__xludf.DUMMYFUNCTION("""COMPUTED_VALUE"""),"A man was killed in a shooting around 8:30 a.m. Wednesday morning and his body was found on the property of a school in Detroit. Police rushed to the Trix Academy after their ShotSpotter system detected gunfire outside the school. When they arrived, the s"&amp;"uspect or suspects were gone but police located a man’s body in a grassy area outside of the school. School was not in session at the time of the shooting. Many shell casings have been located in the street and police have placed at least 40 evidence mark"&amp;"ers in the area. Police said between 20 to 25 shots were fired. Detroit police Commander Ryan Conner said ShotSpotter was able to bring officers right to the area where the shooting happened.")</f>
        <v>A man was killed in a shooting around 8:30 a.m. Wednesday morning and his body was found on the property of a school in Detroit. Police rushed to the Trix Academy after their ShotSpotter system detected gunfire outside the school. When they arrived, the suspect or suspects were gone but police located a man’s body in a grassy area outside of the school. School was not in session at the time of the shooting. Many shell casings have been located in the street and police have placed at least 40 evidence markers in the area. Police said between 20 to 25 shots were fired. Detroit police Commander Ryan Conner said ShotSpotter was able to bring officers right to the area where the shooting happened.</v>
      </c>
      <c r="W432" s="1"/>
      <c r="X432" s="1" t="str">
        <f ca="1">IFERROR(__xludf.DUMMYFUNCTION("""COMPUTED_VALUE"""),"Victims Targeted")</f>
        <v>Victims Targeted</v>
      </c>
      <c r="Y432" s="1"/>
      <c r="Z432" s="1"/>
      <c r="AA432" s="1" t="str">
        <f ca="1">IFERROR(__xludf.DUMMYFUNCTION("""COMPUTED_VALUE"""),"No")</f>
        <v>No</v>
      </c>
      <c r="AB432" s="1" t="str">
        <f ca="1">IFERROR(__xludf.DUMMYFUNCTION("""COMPUTED_VALUE"""),"No")</f>
        <v>No</v>
      </c>
      <c r="AC432" s="1" t="str">
        <f ca="1">IFERROR(__xludf.DUMMYFUNCTION("""COMPUTED_VALUE"""),"No")</f>
        <v>No</v>
      </c>
      <c r="AD432" s="1" t="str">
        <f ca="1">IFERROR(__xludf.DUMMYFUNCTION("""COMPUTED_VALUE"""),"No")</f>
        <v>No</v>
      </c>
      <c r="AE432" s="1" t="str">
        <f ca="1">IFERROR(__xludf.DUMMYFUNCTION("""COMPUTED_VALUE"""),"No")</f>
        <v>No</v>
      </c>
      <c r="AF432" s="1"/>
      <c r="AG432" s="1" t="str">
        <f ca="1">IFERROR(__xludf.DUMMYFUNCTION("""COMPUTED_VALUE"""),"No")</f>
        <v>No</v>
      </c>
      <c r="AH432" s="1">
        <f ca="1">IFERROR(__xludf.DUMMYFUNCTION("""COMPUTED_VALUE"""),30)</f>
        <v>30</v>
      </c>
    </row>
    <row r="433" spans="1:34" ht="12.5">
      <c r="A433" s="1" t="str">
        <f ca="1">IFERROR(__xludf.DUMMYFUNCTION("""COMPUTED_VALUE"""),"20221221CTNEN")</f>
        <v>20221221CTNEN</v>
      </c>
      <c r="B433" s="1">
        <f ca="1">IFERROR(__xludf.DUMMYFUNCTION("""COMPUTED_VALUE"""),12)</f>
        <v>12</v>
      </c>
      <c r="C433" s="1">
        <f ca="1">IFERROR(__xludf.DUMMYFUNCTION("""COMPUTED_VALUE"""),21)</f>
        <v>21</v>
      </c>
      <c r="D433" s="1">
        <f ca="1">IFERROR(__xludf.DUMMYFUNCTION("""COMPUTED_VALUE"""),2022)</f>
        <v>2022</v>
      </c>
      <c r="E433" s="4">
        <f ca="1">IFERROR(__xludf.DUMMYFUNCTION("""COMPUTED_VALUE"""),44916)</f>
        <v>44916</v>
      </c>
      <c r="F433" s="1" t="str">
        <f ca="1">IFERROR(__xludf.DUMMYFUNCTION("""COMPUTED_VALUE"""),"New Haven Public Schools")</f>
        <v>New Haven Public Schools</v>
      </c>
      <c r="G433" s="1">
        <f ca="1">IFERROR(__xludf.DUMMYFUNCTION("""COMPUTED_VALUE"""),0)</f>
        <v>0</v>
      </c>
      <c r="H433" s="1">
        <f ca="1">IFERROR(__xludf.DUMMYFUNCTION("""COMPUTED_VALUE"""),0)</f>
        <v>0</v>
      </c>
      <c r="I433" s="1">
        <f ca="1">IFERROR(__xludf.DUMMYFUNCTION("""COMPUTED_VALUE"""),0)</f>
        <v>0</v>
      </c>
      <c r="J433" s="1">
        <f ca="1">IFERROR(__xludf.DUMMYFUNCTION("""COMPUTED_VALUE"""),0)</f>
        <v>0</v>
      </c>
      <c r="K433" s="1" t="str">
        <f ca="1">IFERROR(__xludf.DUMMYFUNCTION("""COMPUTED_VALUE"""),"Winter")</f>
        <v>Winter</v>
      </c>
      <c r="L433" s="1" t="str">
        <f ca="1">IFERROR(__xludf.DUMMYFUNCTION("""COMPUTED_VALUE"""),"New Haven")</f>
        <v>New Haven</v>
      </c>
      <c r="M433" s="1" t="str">
        <f ca="1">IFERROR(__xludf.DUMMYFUNCTION("""COMPUTED_VALUE"""),"CT")</f>
        <v>CT</v>
      </c>
      <c r="N433" s="1" t="str">
        <f ca="1">IFERROR(__xludf.DUMMYFUNCTION("""COMPUTED_VALUE"""),"Elementary")</f>
        <v>Elementary</v>
      </c>
      <c r="O433" s="1" t="str">
        <f ca="1">IFERROR(__xludf.DUMMYFUNCTION("""COMPUTED_VALUE"""),"School Bus")</f>
        <v>School Bus</v>
      </c>
      <c r="P433" s="1" t="str">
        <f ca="1">IFERROR(__xludf.DUMMYFUNCTION("""COMPUTED_VALUE"""),"School Bus")</f>
        <v>School Bus</v>
      </c>
      <c r="Q433" s="1" t="str">
        <f ca="1">IFERROR(__xludf.DUMMYFUNCTION("""COMPUTED_VALUE"""),"Yes")</f>
        <v>Yes</v>
      </c>
      <c r="R433" s="1" t="str">
        <f ca="1">IFERROR(__xludf.DUMMYFUNCTION("""COMPUTED_VALUE"""),"Dismissal")</f>
        <v>Dismissal</v>
      </c>
      <c r="S433" s="5">
        <f ca="1">IFERROR(__xludf.DUMMYFUNCTION("""COMPUTED_VALUE"""),0.614583333333333)</f>
        <v>0.61458333333333304</v>
      </c>
      <c r="T433" s="1">
        <f ca="1">IFERROR(__xludf.DUMMYFUNCTION("""COMPUTED_VALUE"""),1)</f>
        <v>1</v>
      </c>
      <c r="U433" s="1" t="str">
        <f ca="1">IFERROR(__xludf.DUMMYFUNCTION("""COMPUTED_VALUE"""),"School bus struck by bullet at dismissal")</f>
        <v>School bus struck by bullet at dismissal</v>
      </c>
      <c r="V433" s="1" t="str">
        <f ca="1">IFERROR(__xludf.DUMMYFUNCTION("""COMPUTED_VALUE"""),"The bus was driving on Lamberton around 2:45 p.m. Wednesday when the bus driver heard gunshots ring out and felt something strike the bus. No injuries. Bullet struck the side where a student was seated")</f>
        <v>The bus was driving on Lamberton around 2:45 p.m. Wednesday when the bus driver heard gunshots ring out and felt something strike the bus. No injuries. Bullet struck the side where a student was seated</v>
      </c>
      <c r="W433" s="1"/>
      <c r="X433" s="1" t="str">
        <f ca="1">IFERROR(__xludf.DUMMYFUNCTION("""COMPUTED_VALUE"""),"Neither")</f>
        <v>Neither</v>
      </c>
      <c r="Y433" s="1" t="str">
        <f ca="1">IFERROR(__xludf.DUMMYFUNCTION("""COMPUTED_VALUE"""),"No")</f>
        <v>No</v>
      </c>
      <c r="Z433" s="1"/>
      <c r="AA433" s="1" t="str">
        <f ca="1">IFERROR(__xludf.DUMMYFUNCTION("""COMPUTED_VALUE"""),"No")</f>
        <v>No</v>
      </c>
      <c r="AB433" s="1" t="str">
        <f ca="1">IFERROR(__xludf.DUMMYFUNCTION("""COMPUTED_VALUE"""),"No")</f>
        <v>No</v>
      </c>
      <c r="AC433" s="1" t="str">
        <f ca="1">IFERROR(__xludf.DUMMYFUNCTION("""COMPUTED_VALUE"""),"No")</f>
        <v>No</v>
      </c>
      <c r="AD433" s="1" t="str">
        <f ca="1">IFERROR(__xludf.DUMMYFUNCTION("""COMPUTED_VALUE"""),"No")</f>
        <v>No</v>
      </c>
      <c r="AE433" s="1" t="str">
        <f ca="1">IFERROR(__xludf.DUMMYFUNCTION("""COMPUTED_VALUE"""),"No")</f>
        <v>No</v>
      </c>
      <c r="AF433" s="1" t="str">
        <f ca="1">IFERROR(__xludf.DUMMYFUNCTION("""COMPUTED_VALUE"""),"No")</f>
        <v>No</v>
      </c>
      <c r="AG433" s="1" t="str">
        <f ca="1">IFERROR(__xludf.DUMMYFUNCTION("""COMPUTED_VALUE"""),"No")</f>
        <v>No</v>
      </c>
      <c r="AH433" s="1">
        <f ca="1">IFERROR(__xludf.DUMMYFUNCTION("""COMPUTED_VALUE"""),1)</f>
        <v>1</v>
      </c>
    </row>
    <row r="434" spans="1:34" ht="12.5">
      <c r="A434" s="1" t="str">
        <f ca="1">IFERROR(__xludf.DUMMYFUNCTION("""COMPUTED_VALUE"""),"20221221CAWOW")</f>
        <v>20221221CAWOW</v>
      </c>
      <c r="B434" s="1">
        <f ca="1">IFERROR(__xludf.DUMMYFUNCTION("""COMPUTED_VALUE"""),12)</f>
        <v>12</v>
      </c>
      <c r="C434" s="1">
        <f ca="1">IFERROR(__xludf.DUMMYFUNCTION("""COMPUTED_VALUE"""),21)</f>
        <v>21</v>
      </c>
      <c r="D434" s="1">
        <f ca="1">IFERROR(__xludf.DUMMYFUNCTION("""COMPUTED_VALUE"""),2022)</f>
        <v>2022</v>
      </c>
      <c r="E434" s="4">
        <f ca="1">IFERROR(__xludf.DUMMYFUNCTION("""COMPUTED_VALUE"""),44916)</f>
        <v>44916</v>
      </c>
      <c r="F434" s="1" t="str">
        <f ca="1">IFERROR(__xludf.DUMMYFUNCTION("""COMPUTED_VALUE"""),"Woodland Christian School")</f>
        <v>Woodland Christian School</v>
      </c>
      <c r="G434" s="1">
        <f ca="1">IFERROR(__xludf.DUMMYFUNCTION("""COMPUTED_VALUE"""),0)</f>
        <v>0</v>
      </c>
      <c r="H434" s="1">
        <f ca="1">IFERROR(__xludf.DUMMYFUNCTION("""COMPUTED_VALUE"""),0)</f>
        <v>0</v>
      </c>
      <c r="I434" s="1">
        <f ca="1">IFERROR(__xludf.DUMMYFUNCTION("""COMPUTED_VALUE"""),0)</f>
        <v>0</v>
      </c>
      <c r="J434" s="1">
        <f ca="1">IFERROR(__xludf.DUMMYFUNCTION("""COMPUTED_VALUE"""),0)</f>
        <v>0</v>
      </c>
      <c r="K434" s="1" t="str">
        <f ca="1">IFERROR(__xludf.DUMMYFUNCTION("""COMPUTED_VALUE"""),"Winter")</f>
        <v>Winter</v>
      </c>
      <c r="L434" s="1" t="str">
        <f ca="1">IFERROR(__xludf.DUMMYFUNCTION("""COMPUTED_VALUE"""),"Woodland")</f>
        <v>Woodland</v>
      </c>
      <c r="M434" s="1" t="str">
        <f ca="1">IFERROR(__xludf.DUMMYFUNCTION("""COMPUTED_VALUE"""),"CA")</f>
        <v>CA</v>
      </c>
      <c r="N434" s="1" t="str">
        <f ca="1">IFERROR(__xludf.DUMMYFUNCTION("""COMPUTED_VALUE"""),"K-12")</f>
        <v>K-12</v>
      </c>
      <c r="O434" s="1" t="str">
        <f ca="1">IFERROR(__xludf.DUMMYFUNCTION("""COMPUTED_VALUE"""),"Front of School")</f>
        <v>Front of School</v>
      </c>
      <c r="P434" s="1" t="str">
        <f ca="1">IFERROR(__xludf.DUMMYFUNCTION("""COMPUTED_VALUE"""),"Outside on School Property")</f>
        <v>Outside on School Property</v>
      </c>
      <c r="Q434" s="1" t="str">
        <f ca="1">IFERROR(__xludf.DUMMYFUNCTION("""COMPUTED_VALUE"""),"No")</f>
        <v>No</v>
      </c>
      <c r="R434" s="1" t="str">
        <f ca="1">IFERROR(__xludf.DUMMYFUNCTION("""COMPUTED_VALUE"""),"Night")</f>
        <v>Night</v>
      </c>
      <c r="S434" s="5">
        <f ca="1">IFERROR(__xludf.DUMMYFUNCTION("""COMPUTED_VALUE"""),0.00347222222222222)</f>
        <v>3.4722222222222199E-3</v>
      </c>
      <c r="T434" s="1">
        <f ca="1">IFERROR(__xludf.DUMMYFUNCTION("""COMPUTED_VALUE"""),1)</f>
        <v>1</v>
      </c>
      <c r="U434" s="1" t="str">
        <f ca="1">IFERROR(__xludf.DUMMYFUNCTION("""COMPUTED_VALUE"""),"Shots fired after vehicle crashed into school gate during car chase")</f>
        <v>Shots fired after vehicle crashed into school gate during car chase</v>
      </c>
      <c r="V434" s="1" t="str">
        <f ca="1">IFERROR(__xludf.DUMMYFUNCTION("""COMPUTED_VALUE"""),"Officers responded shortly after midnight Wednesday to multiple reports of shots being fired in the area of Woodland Christian School in the 1700 block of Matmor Road, arriving to discover the shooting stemmed from the car chase that began at East Gibson "&amp;"Road and County Road 102, according to a Woodland Police Department Facebook post. During the chase, one of the vehicles crashed into the south gates of the school campus. One person sustained injuries from jumping over a fence on campus but was not shot."&amp;" ")</f>
        <v xml:space="preserve">Officers responded shortly after midnight Wednesday to multiple reports of shots being fired in the area of Woodland Christian School in the 1700 block of Matmor Road, arriving to discover the shooting stemmed from the car chase that began at East Gibson Road and County Road 102, according to a Woodland Police Department Facebook post. During the chase, one of the vehicles crashed into the south gates of the school campus. One person sustained injuries from jumping over a fence on campus but was not shot. </v>
      </c>
      <c r="W434" s="1" t="str">
        <f ca="1">IFERROR(__xludf.DUMMYFUNCTION("""COMPUTED_VALUE"""),"Illegal Activity")</f>
        <v>Illegal Activity</v>
      </c>
      <c r="X434" s="1" t="str">
        <f ca="1">IFERROR(__xludf.DUMMYFUNCTION("""COMPUTED_VALUE"""),"Random Shooting")</f>
        <v>Random Shooting</v>
      </c>
      <c r="Y434" s="1" t="str">
        <f ca="1">IFERROR(__xludf.DUMMYFUNCTION("""COMPUTED_VALUE"""),"Yes")</f>
        <v>Yes</v>
      </c>
      <c r="Z434" s="1"/>
      <c r="AA434" s="1" t="str">
        <f ca="1">IFERROR(__xludf.DUMMYFUNCTION("""COMPUTED_VALUE"""),"No")</f>
        <v>No</v>
      </c>
      <c r="AB434" s="1" t="str">
        <f ca="1">IFERROR(__xludf.DUMMYFUNCTION("""COMPUTED_VALUE"""),"No")</f>
        <v>No</v>
      </c>
      <c r="AC434" s="1" t="str">
        <f ca="1">IFERROR(__xludf.DUMMYFUNCTION("""COMPUTED_VALUE"""),"No")</f>
        <v>No</v>
      </c>
      <c r="AD434" s="1" t="str">
        <f ca="1">IFERROR(__xludf.DUMMYFUNCTION("""COMPUTED_VALUE"""),"No")</f>
        <v>No</v>
      </c>
      <c r="AE434" s="1" t="str">
        <f ca="1">IFERROR(__xludf.DUMMYFUNCTION("""COMPUTED_VALUE"""),"No")</f>
        <v>No</v>
      </c>
      <c r="AF434" s="1"/>
      <c r="AG434" s="1" t="str">
        <f ca="1">IFERROR(__xludf.DUMMYFUNCTION("""COMPUTED_VALUE"""),"No")</f>
        <v>No</v>
      </c>
      <c r="AH434" s="1">
        <f ca="1">IFERROR(__xludf.DUMMYFUNCTION("""COMPUTED_VALUE"""),99)</f>
        <v>99</v>
      </c>
    </row>
    <row r="435" spans="1:34" ht="12.5">
      <c r="A435" s="1" t="str">
        <f ca="1">IFERROR(__xludf.DUMMYFUNCTION("""COMPUTED_VALUE"""),"20221216ILBEC")</f>
        <v>20221216ILBEC</v>
      </c>
      <c r="B435" s="1">
        <f ca="1">IFERROR(__xludf.DUMMYFUNCTION("""COMPUTED_VALUE"""),12)</f>
        <v>12</v>
      </c>
      <c r="C435" s="1">
        <f ca="1">IFERROR(__xludf.DUMMYFUNCTION("""COMPUTED_VALUE"""),16)</f>
        <v>16</v>
      </c>
      <c r="D435" s="1">
        <f ca="1">IFERROR(__xludf.DUMMYFUNCTION("""COMPUTED_VALUE"""),2022)</f>
        <v>2022</v>
      </c>
      <c r="E435" s="4">
        <f ca="1">IFERROR(__xludf.DUMMYFUNCTION("""COMPUTED_VALUE"""),44911)</f>
        <v>44911</v>
      </c>
      <c r="F435" s="1" t="str">
        <f ca="1">IFERROR(__xludf.DUMMYFUNCTION("""COMPUTED_VALUE"""),"Benito Juarez High School")</f>
        <v>Benito Juarez High School</v>
      </c>
      <c r="G435" s="1">
        <f ca="1">IFERROR(__xludf.DUMMYFUNCTION("""COMPUTED_VALUE"""),2)</f>
        <v>2</v>
      </c>
      <c r="H435" s="1">
        <f ca="1">IFERROR(__xludf.DUMMYFUNCTION("""COMPUTED_VALUE"""),2)</f>
        <v>2</v>
      </c>
      <c r="I435" s="1">
        <f ca="1">IFERROR(__xludf.DUMMYFUNCTION("""COMPUTED_VALUE"""),4)</f>
        <v>4</v>
      </c>
      <c r="J435" s="1">
        <f ca="1">IFERROR(__xludf.DUMMYFUNCTION("""COMPUTED_VALUE"""),0)</f>
        <v>0</v>
      </c>
      <c r="K435" s="1" t="str">
        <f ca="1">IFERROR(__xludf.DUMMYFUNCTION("""COMPUTED_VALUE"""),"Winter")</f>
        <v>Winter</v>
      </c>
      <c r="L435" s="1" t="str">
        <f ca="1">IFERROR(__xludf.DUMMYFUNCTION("""COMPUTED_VALUE"""),"Chicago")</f>
        <v>Chicago</v>
      </c>
      <c r="M435" s="1" t="str">
        <f ca="1">IFERROR(__xludf.DUMMYFUNCTION("""COMPUTED_VALUE"""),"IL")</f>
        <v>IL</v>
      </c>
      <c r="N435" s="1" t="str">
        <f ca="1">IFERROR(__xludf.DUMMYFUNCTION("""COMPUTED_VALUE"""),"High")</f>
        <v>High</v>
      </c>
      <c r="O435" s="1" t="str">
        <f ca="1">IFERROR(__xludf.DUMMYFUNCTION("""COMPUTED_VALUE"""),"Front of School")</f>
        <v>Front of School</v>
      </c>
      <c r="P435" s="1" t="str">
        <f ca="1">IFERROR(__xludf.DUMMYFUNCTION("""COMPUTED_VALUE"""),"Outside on School Property")</f>
        <v>Outside on School Property</v>
      </c>
      <c r="Q435" s="1" t="str">
        <f ca="1">IFERROR(__xludf.DUMMYFUNCTION("""COMPUTED_VALUE"""),"Yes")</f>
        <v>Yes</v>
      </c>
      <c r="R435" s="1" t="str">
        <f ca="1">IFERROR(__xludf.DUMMYFUNCTION("""COMPUTED_VALUE"""),"Dismissal")</f>
        <v>Dismissal</v>
      </c>
      <c r="S435" s="5">
        <f ca="1">IFERROR(__xludf.DUMMYFUNCTION("""COMPUTED_VALUE"""),0.614583333333333)</f>
        <v>0.61458333333333304</v>
      </c>
      <c r="T435" s="1">
        <f ca="1">IFERROR(__xludf.DUMMYFUNCTION("""COMPUTED_VALUE"""),1)</f>
        <v>1</v>
      </c>
      <c r="U435" s="1" t="str">
        <f ca="1">IFERROR(__xludf.DUMMYFUNCTION("""COMPUTED_VALUE"""),"4 students shot at dismissal, shooter fled")</f>
        <v>4 students shot at dismissal, shooter fled</v>
      </c>
      <c r="V435" s="1" t="str">
        <f ca="1">IFERROR(__xludf.DUMMYFUNCTION("""COMPUTED_VALUE"""),"Four teens were shot, two fatally, Friday afternoon outside Benito Juarez High School in Pilsen, officials said. About 2:45 p.m., someone fired shots outside the school, 2150 S. Laflin St., as classes were letting out for the day. Three boys and one girl "&amp;"were hit outside the school, and all four were taken to Stroger Hospital, fire department officials said. Two boys, ages 14 and 15, both were shot in the head and died at the hospital, police said. A 15-year-old boy was wounded in his thigh and shoulder, "&amp;"and a 15-year-old girl was grazed in her thigh, police said. Both teens were hospitalized in good condition, police said.")</f>
        <v>Four teens were shot, two fatally, Friday afternoon outside Benito Juarez High School in Pilsen, officials said. About 2:45 p.m., someone fired shots outside the school, 2150 S. Laflin St., as classes were letting out for the day. Three boys and one girl were hit outside the school, and all four were taken to Stroger Hospital, fire department officials said. Two boys, ages 14 and 15, both were shot in the head and died at the hospital, police said. A 15-year-old boy was wounded in his thigh and shoulder, and a 15-year-old girl was grazed in her thigh, police said. Both teens were hospitalized in good condition, police said.</v>
      </c>
      <c r="W435" s="1" t="str">
        <f ca="1">IFERROR(__xludf.DUMMYFUNCTION("""COMPUTED_VALUE"""),"Escalation of Dispute")</f>
        <v>Escalation of Dispute</v>
      </c>
      <c r="X435" s="1" t="str">
        <f ca="1">IFERROR(__xludf.DUMMYFUNCTION("""COMPUTED_VALUE"""),"Both")</f>
        <v>Both</v>
      </c>
      <c r="Y435" s="1" t="str">
        <f ca="1">IFERROR(__xludf.DUMMYFUNCTION("""COMPUTED_VALUE"""),"No")</f>
        <v>No</v>
      </c>
      <c r="Z435" s="1"/>
      <c r="AA435" s="1" t="str">
        <f ca="1">IFERROR(__xludf.DUMMYFUNCTION("""COMPUTED_VALUE"""),"No")</f>
        <v>No</v>
      </c>
      <c r="AB435" s="1" t="str">
        <f ca="1">IFERROR(__xludf.DUMMYFUNCTION("""COMPUTED_VALUE"""),"No")</f>
        <v>No</v>
      </c>
      <c r="AC435" s="1" t="str">
        <f ca="1">IFERROR(__xludf.DUMMYFUNCTION("""COMPUTED_VALUE"""),"No")</f>
        <v>No</v>
      </c>
      <c r="AD435" s="1"/>
      <c r="AE435" s="1" t="str">
        <f ca="1">IFERROR(__xludf.DUMMYFUNCTION("""COMPUTED_VALUE"""),"No")</f>
        <v>No</v>
      </c>
      <c r="AF435" s="1"/>
      <c r="AG435" s="1" t="str">
        <f ca="1">IFERROR(__xludf.DUMMYFUNCTION("""COMPUTED_VALUE"""),"No")</f>
        <v>No</v>
      </c>
      <c r="AH435" s="1">
        <f ca="1">IFERROR(__xludf.DUMMYFUNCTION("""COMPUTED_VALUE"""),8)</f>
        <v>8</v>
      </c>
    </row>
    <row r="436" spans="1:34" ht="12.5">
      <c r="A436" s="1" t="str">
        <f ca="1">IFERROR(__xludf.DUMMYFUNCTION("""COMPUTED_VALUE"""),"20221214OHLIC")</f>
        <v>20221214OHLIC</v>
      </c>
      <c r="B436" s="1">
        <f ca="1">IFERROR(__xludf.DUMMYFUNCTION("""COMPUTED_VALUE"""),12)</f>
        <v>12</v>
      </c>
      <c r="C436" s="1">
        <f ca="1">IFERROR(__xludf.DUMMYFUNCTION("""COMPUTED_VALUE"""),14)</f>
        <v>14</v>
      </c>
      <c r="D436" s="1">
        <f ca="1">IFERROR(__xludf.DUMMYFUNCTION("""COMPUTED_VALUE"""),2022)</f>
        <v>2022</v>
      </c>
      <c r="E436" s="4">
        <f ca="1">IFERROR(__xludf.DUMMYFUNCTION("""COMPUTED_VALUE"""),44909)</f>
        <v>44909</v>
      </c>
      <c r="F436" s="1" t="str">
        <f ca="1">IFERROR(__xludf.DUMMYFUNCTION("""COMPUTED_VALUE"""),"Linden-McKinley STEM Academy")</f>
        <v>Linden-McKinley STEM Academy</v>
      </c>
      <c r="G436" s="1">
        <f ca="1">IFERROR(__xludf.DUMMYFUNCTION("""COMPUTED_VALUE"""),0)</f>
        <v>0</v>
      </c>
      <c r="H436" s="1">
        <f ca="1">IFERROR(__xludf.DUMMYFUNCTION("""COMPUTED_VALUE"""),0)</f>
        <v>0</v>
      </c>
      <c r="I436" s="1">
        <f ca="1">IFERROR(__xludf.DUMMYFUNCTION("""COMPUTED_VALUE"""),0)</f>
        <v>0</v>
      </c>
      <c r="J436" s="1">
        <f ca="1">IFERROR(__xludf.DUMMYFUNCTION("""COMPUTED_VALUE"""),0)</f>
        <v>0</v>
      </c>
      <c r="K436" s="1" t="str">
        <f ca="1">IFERROR(__xludf.DUMMYFUNCTION("""COMPUTED_VALUE"""),"Winter")</f>
        <v>Winter</v>
      </c>
      <c r="L436" s="1" t="str">
        <f ca="1">IFERROR(__xludf.DUMMYFUNCTION("""COMPUTED_VALUE"""),"Columbus")</f>
        <v>Columbus</v>
      </c>
      <c r="M436" s="1" t="str">
        <f ca="1">IFERROR(__xludf.DUMMYFUNCTION("""COMPUTED_VALUE"""),"OH")</f>
        <v>OH</v>
      </c>
      <c r="N436" s="1" t="str">
        <f ca="1">IFERROR(__xludf.DUMMYFUNCTION("""COMPUTED_VALUE"""),"High")</f>
        <v>High</v>
      </c>
      <c r="O436" s="1" t="str">
        <f ca="1">IFERROR(__xludf.DUMMYFUNCTION("""COMPUTED_VALUE"""),"Outside on School Property")</f>
        <v>Outside on School Property</v>
      </c>
      <c r="P436" s="1" t="str">
        <f ca="1">IFERROR(__xludf.DUMMYFUNCTION("""COMPUTED_VALUE"""),"Outside on School Property")</f>
        <v>Outside on School Property</v>
      </c>
      <c r="Q436" s="1" t="str">
        <f ca="1">IFERROR(__xludf.DUMMYFUNCTION("""COMPUTED_VALUE"""),"Yes")</f>
        <v>Yes</v>
      </c>
      <c r="R436" s="1" t="str">
        <f ca="1">IFERROR(__xludf.DUMMYFUNCTION("""COMPUTED_VALUE"""),"Dismissal")</f>
        <v>Dismissal</v>
      </c>
      <c r="S436" s="5">
        <f ca="1">IFERROR(__xludf.DUMMYFUNCTION("""COMPUTED_VALUE"""),0.611111111111111)</f>
        <v>0.61111111111111105</v>
      </c>
      <c r="T436" s="1">
        <f ca="1">IFERROR(__xludf.DUMMYFUNCTION("""COMPUTED_VALUE"""),1)</f>
        <v>1</v>
      </c>
      <c r="U436" s="1" t="str">
        <f ca="1">IFERROR(__xludf.DUMMYFUNCTION("""COMPUTED_VALUE"""),"Shots fired outside school")</f>
        <v>Shots fired outside school</v>
      </c>
      <c r="V436" s="1" t="str">
        <f ca="1">IFERROR(__xludf.DUMMYFUNCTION("""COMPUTED_VALUE"""),"Shots fired outside the school. No injuries. 90 minutes prior to the shooting, police detained another student on campus with a loaded 9mm handgun.")</f>
        <v>Shots fired outside the school. No injuries. 90 minutes prior to the shooting, police detained another student on campus with a loaded 9mm handgun.</v>
      </c>
      <c r="W436" s="1"/>
      <c r="X436" s="1"/>
      <c r="Y436" s="1"/>
      <c r="Z436" s="1"/>
      <c r="AA436" s="1" t="str">
        <f ca="1">IFERROR(__xludf.DUMMYFUNCTION("""COMPUTED_VALUE"""),"No")</f>
        <v>No</v>
      </c>
      <c r="AB436" s="1" t="str">
        <f ca="1">IFERROR(__xludf.DUMMYFUNCTION("""COMPUTED_VALUE"""),"No")</f>
        <v>No</v>
      </c>
      <c r="AC436" s="1" t="str">
        <f ca="1">IFERROR(__xludf.DUMMYFUNCTION("""COMPUTED_VALUE"""),"No")</f>
        <v>No</v>
      </c>
      <c r="AD436" s="1"/>
      <c r="AE436" s="1" t="str">
        <f ca="1">IFERROR(__xludf.DUMMYFUNCTION("""COMPUTED_VALUE"""),"No")</f>
        <v>No</v>
      </c>
      <c r="AF436" s="1"/>
      <c r="AG436" s="1" t="str">
        <f ca="1">IFERROR(__xludf.DUMMYFUNCTION("""COMPUTED_VALUE"""),"No")</f>
        <v>No</v>
      </c>
      <c r="AH436" s="1">
        <f ca="1">IFERROR(__xludf.DUMMYFUNCTION("""COMPUTED_VALUE"""),99)</f>
        <v>99</v>
      </c>
    </row>
    <row r="437" spans="1:34" ht="12.5">
      <c r="A437" s="1" t="str">
        <f ca="1">IFERROR(__xludf.DUMMYFUNCTION("""COMPUTED_VALUE"""),"20221212ORGRP")</f>
        <v>20221212ORGRP</v>
      </c>
      <c r="B437" s="1">
        <f ca="1">IFERROR(__xludf.DUMMYFUNCTION("""COMPUTED_VALUE"""),12)</f>
        <v>12</v>
      </c>
      <c r="C437" s="1">
        <f ca="1">IFERROR(__xludf.DUMMYFUNCTION("""COMPUTED_VALUE"""),12)</f>
        <v>12</v>
      </c>
      <c r="D437" s="1">
        <f ca="1">IFERROR(__xludf.DUMMYFUNCTION("""COMPUTED_VALUE"""),2022)</f>
        <v>2022</v>
      </c>
      <c r="E437" s="4">
        <f ca="1">IFERROR(__xludf.DUMMYFUNCTION("""COMPUTED_VALUE"""),44907)</f>
        <v>44907</v>
      </c>
      <c r="F437" s="1" t="str">
        <f ca="1">IFERROR(__xludf.DUMMYFUNCTION("""COMPUTED_VALUE"""),"Grover Cleveland High School")</f>
        <v>Grover Cleveland High School</v>
      </c>
      <c r="G437" s="1">
        <f ca="1">IFERROR(__xludf.DUMMYFUNCTION("""COMPUTED_VALUE"""),0)</f>
        <v>0</v>
      </c>
      <c r="H437" s="1">
        <f ca="1">IFERROR(__xludf.DUMMYFUNCTION("""COMPUTED_VALUE"""),1)</f>
        <v>1</v>
      </c>
      <c r="I437" s="1">
        <f ca="1">IFERROR(__xludf.DUMMYFUNCTION("""COMPUTED_VALUE"""),1)</f>
        <v>1</v>
      </c>
      <c r="J437" s="1">
        <f ca="1">IFERROR(__xludf.DUMMYFUNCTION("""COMPUTED_VALUE"""),0)</f>
        <v>0</v>
      </c>
      <c r="K437" s="1" t="str">
        <f ca="1">IFERROR(__xludf.DUMMYFUNCTION("""COMPUTED_VALUE"""),"Winter")</f>
        <v>Winter</v>
      </c>
      <c r="L437" s="1" t="str">
        <f ca="1">IFERROR(__xludf.DUMMYFUNCTION("""COMPUTED_VALUE"""),"Portland")</f>
        <v>Portland</v>
      </c>
      <c r="M437" s="1" t="str">
        <f ca="1">IFERROR(__xludf.DUMMYFUNCTION("""COMPUTED_VALUE"""),"OR")</f>
        <v>OR</v>
      </c>
      <c r="N437" s="1" t="str">
        <f ca="1">IFERROR(__xludf.DUMMYFUNCTION("""COMPUTED_VALUE"""),"High")</f>
        <v>High</v>
      </c>
      <c r="O437" s="1" t="str">
        <f ca="1">IFERROR(__xludf.DUMMYFUNCTION("""COMPUTED_VALUE"""),"Beside Building")</f>
        <v>Beside Building</v>
      </c>
      <c r="P437" s="1" t="str">
        <f ca="1">IFERROR(__xludf.DUMMYFUNCTION("""COMPUTED_VALUE"""),"Outside on School Property")</f>
        <v>Outside on School Property</v>
      </c>
      <c r="Q437" s="1" t="str">
        <f ca="1">IFERROR(__xludf.DUMMYFUNCTION("""COMPUTED_VALUE"""),"Yes")</f>
        <v>Yes</v>
      </c>
      <c r="R437" s="1" t="str">
        <f ca="1">IFERROR(__xludf.DUMMYFUNCTION("""COMPUTED_VALUE"""),"Morning Classes")</f>
        <v>Morning Classes</v>
      </c>
      <c r="S437" s="5">
        <f ca="1">IFERROR(__xludf.DUMMYFUNCTION("""COMPUTED_VALUE"""),0.520833333333333)</f>
        <v>0.52083333333333304</v>
      </c>
      <c r="T437" s="1">
        <f ca="1">IFERROR(__xludf.DUMMYFUNCTION("""COMPUTED_VALUE"""),1)</f>
        <v>1</v>
      </c>
      <c r="U437" s="1" t="str">
        <f ca="1">IFERROR(__xludf.DUMMYFUNCTION("""COMPUTED_VALUE"""),"Student shot outside of school during morning classes")</f>
        <v>Student shot outside of school during morning classes</v>
      </c>
      <c r="V437" s="1" t="str">
        <f ca="1">IFERROR(__xludf.DUMMYFUNCTION("""COMPUTED_VALUE"""),"The shooting was reported at about 12:30 p.m. outside the school on Powell Boulevard at Southeast 26th Avenue, but police said the gunfire happened ""partially on school grounds."" Witnesses say two vehicles may have been involved, but neither driver stay"&amp;"ed at the scene after the shooting. The school went into an immediate lockdown. There were no other injuries reported.")</f>
        <v>The shooting was reported at about 12:30 p.m. outside the school on Powell Boulevard at Southeast 26th Avenue, but police said the gunfire happened "partially on school grounds." Witnesses say two vehicles may have been involved, but neither driver stayed at the scene after the shooting. The school went into an immediate lockdown. There were no other injuries reported.</v>
      </c>
      <c r="W437" s="1"/>
      <c r="X437" s="1" t="str">
        <f ca="1">IFERROR(__xludf.DUMMYFUNCTION("""COMPUTED_VALUE"""),"Victims Targeted")</f>
        <v>Victims Targeted</v>
      </c>
      <c r="Y437" s="1"/>
      <c r="Z437" s="1"/>
      <c r="AA437" s="1" t="str">
        <f ca="1">IFERROR(__xludf.DUMMYFUNCTION("""COMPUTED_VALUE"""),"No")</f>
        <v>No</v>
      </c>
      <c r="AB437" s="1" t="str">
        <f ca="1">IFERROR(__xludf.DUMMYFUNCTION("""COMPUTED_VALUE"""),"No")</f>
        <v>No</v>
      </c>
      <c r="AC437" s="1" t="str">
        <f ca="1">IFERROR(__xludf.DUMMYFUNCTION("""COMPUTED_VALUE"""),"No")</f>
        <v>No</v>
      </c>
      <c r="AD437" s="1" t="str">
        <f ca="1">IFERROR(__xludf.DUMMYFUNCTION("""COMPUTED_VALUE"""),"No")</f>
        <v>No</v>
      </c>
      <c r="AE437" s="1" t="str">
        <f ca="1">IFERROR(__xludf.DUMMYFUNCTION("""COMPUTED_VALUE"""),"No")</f>
        <v>No</v>
      </c>
      <c r="AF437" s="1"/>
      <c r="AG437" s="1" t="str">
        <f ca="1">IFERROR(__xludf.DUMMYFUNCTION("""COMPUTED_VALUE"""),"No")</f>
        <v>No</v>
      </c>
      <c r="AH437" s="1">
        <f ca="1">IFERROR(__xludf.DUMMYFUNCTION("""COMPUTED_VALUE"""),99)</f>
        <v>99</v>
      </c>
    </row>
    <row r="438" spans="1:34" ht="12.5">
      <c r="A438" s="1" t="str">
        <f ca="1">IFERROR(__xludf.DUMMYFUNCTION("""COMPUTED_VALUE"""),"20221210TNBRC")</f>
        <v>20221210TNBRC</v>
      </c>
      <c r="B438" s="1">
        <f ca="1">IFERROR(__xludf.DUMMYFUNCTION("""COMPUTED_VALUE"""),12)</f>
        <v>12</v>
      </c>
      <c r="C438" s="1">
        <f ca="1">IFERROR(__xludf.DUMMYFUNCTION("""COMPUTED_VALUE"""),10)</f>
        <v>10</v>
      </c>
      <c r="D438" s="1">
        <f ca="1">IFERROR(__xludf.DUMMYFUNCTION("""COMPUTED_VALUE"""),2022)</f>
        <v>2022</v>
      </c>
      <c r="E438" s="4">
        <f ca="1">IFERROR(__xludf.DUMMYFUNCTION("""COMPUTED_VALUE"""),44905)</f>
        <v>44905</v>
      </c>
      <c r="F438" s="1" t="str">
        <f ca="1">IFERROR(__xludf.DUMMYFUNCTION("""COMPUTED_VALUE"""),"Brainerd High School")</f>
        <v>Brainerd High School</v>
      </c>
      <c r="G438" s="1">
        <f ca="1">IFERROR(__xludf.DUMMYFUNCTION("""COMPUTED_VALUE"""),0)</f>
        <v>0</v>
      </c>
      <c r="H438" s="1">
        <f ca="1">IFERROR(__xludf.DUMMYFUNCTION("""COMPUTED_VALUE"""),0)</f>
        <v>0</v>
      </c>
      <c r="I438" s="1">
        <f ca="1">IFERROR(__xludf.DUMMYFUNCTION("""COMPUTED_VALUE"""),0)</f>
        <v>0</v>
      </c>
      <c r="J438" s="1">
        <f ca="1">IFERROR(__xludf.DUMMYFUNCTION("""COMPUTED_VALUE"""),0)</f>
        <v>0</v>
      </c>
      <c r="K438" s="1" t="str">
        <f ca="1">IFERROR(__xludf.DUMMYFUNCTION("""COMPUTED_VALUE"""),"Winter")</f>
        <v>Winter</v>
      </c>
      <c r="L438" s="1" t="str">
        <f ca="1">IFERROR(__xludf.DUMMYFUNCTION("""COMPUTED_VALUE"""),"Chattanooga")</f>
        <v>Chattanooga</v>
      </c>
      <c r="M438" s="1" t="str">
        <f ca="1">IFERROR(__xludf.DUMMYFUNCTION("""COMPUTED_VALUE"""),"TN")</f>
        <v>TN</v>
      </c>
      <c r="N438" s="1" t="str">
        <f ca="1">IFERROR(__xludf.DUMMYFUNCTION("""COMPUTED_VALUE"""),"High")</f>
        <v>High</v>
      </c>
      <c r="O438" s="1" t="str">
        <f ca="1">IFERROR(__xludf.DUMMYFUNCTION("""COMPUTED_VALUE"""),"Parking Lot")</f>
        <v>Parking Lot</v>
      </c>
      <c r="P438" s="1" t="str">
        <f ca="1">IFERROR(__xludf.DUMMYFUNCTION("""COMPUTED_VALUE"""),"Outside on School Property")</f>
        <v>Outside on School Property</v>
      </c>
      <c r="Q438" s="1" t="str">
        <f ca="1">IFERROR(__xludf.DUMMYFUNCTION("""COMPUTED_VALUE"""),"No")</f>
        <v>No</v>
      </c>
      <c r="R438" s="1" t="str">
        <f ca="1">IFERROR(__xludf.DUMMYFUNCTION("""COMPUTED_VALUE"""),"Sport Event")</f>
        <v>Sport Event</v>
      </c>
      <c r="S438" s="5">
        <f ca="1">IFERROR(__xludf.DUMMYFUNCTION("""COMPUTED_VALUE"""),0.78125)</f>
        <v>0.78125</v>
      </c>
      <c r="T438" s="1">
        <f ca="1">IFERROR(__xludf.DUMMYFUNCTION("""COMPUTED_VALUE"""),1)</f>
        <v>1</v>
      </c>
      <c r="U438" s="1" t="str">
        <f ca="1">IFERROR(__xludf.DUMMYFUNCTION("""COMPUTED_VALUE"""),"Multiple shots fired in parking lot, shooter fled")</f>
        <v>Multiple shots fired in parking lot, shooter fled</v>
      </c>
      <c r="V438" s="1" t="str">
        <f ca="1">IFERROR(__xludf.DUMMYFUNCTION("""COMPUTED_VALUE"""),"Multiple shots fired in parking lot following varsity basketball game. Police found shell casings and damaged vehicles. Shooter fled.")</f>
        <v>Multiple shots fired in parking lot following varsity basketball game. Police found shell casings and damaged vehicles. Shooter fled.</v>
      </c>
      <c r="W438" s="1"/>
      <c r="X438" s="1"/>
      <c r="Y438" s="1"/>
      <c r="Z438" s="1"/>
      <c r="AA438" s="1" t="str">
        <f ca="1">IFERROR(__xludf.DUMMYFUNCTION("""COMPUTED_VALUE"""),"No")</f>
        <v>No</v>
      </c>
      <c r="AB438" s="1" t="str">
        <f ca="1">IFERROR(__xludf.DUMMYFUNCTION("""COMPUTED_VALUE"""),"No")</f>
        <v>No</v>
      </c>
      <c r="AC438" s="1" t="str">
        <f ca="1">IFERROR(__xludf.DUMMYFUNCTION("""COMPUTED_VALUE"""),"No")</f>
        <v>No</v>
      </c>
      <c r="AD438" s="1"/>
      <c r="AE438" s="1" t="str">
        <f ca="1">IFERROR(__xludf.DUMMYFUNCTION("""COMPUTED_VALUE"""),"No")</f>
        <v>No</v>
      </c>
      <c r="AF438" s="1"/>
      <c r="AG438" s="1" t="str">
        <f ca="1">IFERROR(__xludf.DUMMYFUNCTION("""COMPUTED_VALUE"""),"No")</f>
        <v>No</v>
      </c>
      <c r="AH438" s="1">
        <f ca="1">IFERROR(__xludf.DUMMYFUNCTION("""COMPUTED_VALUE"""),99)</f>
        <v>99</v>
      </c>
    </row>
    <row r="439" spans="1:34" ht="12.5">
      <c r="A439" s="1" t="str">
        <f ca="1">IFERROR(__xludf.DUMMYFUNCTION("""COMPUTED_VALUE"""),"20221209PAMEP")</f>
        <v>20221209PAMEP</v>
      </c>
      <c r="B439" s="1">
        <f ca="1">IFERROR(__xludf.DUMMYFUNCTION("""COMPUTED_VALUE"""),12)</f>
        <v>12</v>
      </c>
      <c r="C439" s="1">
        <f ca="1">IFERROR(__xludf.DUMMYFUNCTION("""COMPUTED_VALUE"""),9)</f>
        <v>9</v>
      </c>
      <c r="D439" s="1">
        <f ca="1">IFERROR(__xludf.DUMMYFUNCTION("""COMPUTED_VALUE"""),2022)</f>
        <v>2022</v>
      </c>
      <c r="E439" s="4">
        <f ca="1">IFERROR(__xludf.DUMMYFUNCTION("""COMPUTED_VALUE"""),44904)</f>
        <v>44904</v>
      </c>
      <c r="F439" s="1" t="str">
        <f ca="1">IFERROR(__xludf.DUMMYFUNCTION("""COMPUTED_VALUE"""),"Memphis Street Academy Charter School")</f>
        <v>Memphis Street Academy Charter School</v>
      </c>
      <c r="G439" s="1">
        <f ca="1">IFERROR(__xludf.DUMMYFUNCTION("""COMPUTED_VALUE"""),1)</f>
        <v>1</v>
      </c>
      <c r="H439" s="1">
        <f ca="1">IFERROR(__xludf.DUMMYFUNCTION("""COMPUTED_VALUE"""),0)</f>
        <v>0</v>
      </c>
      <c r="I439" s="1">
        <f ca="1">IFERROR(__xludf.DUMMYFUNCTION("""COMPUTED_VALUE"""),1)</f>
        <v>1</v>
      </c>
      <c r="J439" s="1">
        <f ca="1">IFERROR(__xludf.DUMMYFUNCTION("""COMPUTED_VALUE"""),0)</f>
        <v>0</v>
      </c>
      <c r="K439" s="1" t="str">
        <f ca="1">IFERROR(__xludf.DUMMYFUNCTION("""COMPUTED_VALUE"""),"Winter")</f>
        <v>Winter</v>
      </c>
      <c r="L439" s="1" t="str">
        <f ca="1">IFERROR(__xludf.DUMMYFUNCTION("""COMPUTED_VALUE"""),"Philadelphia")</f>
        <v>Philadelphia</v>
      </c>
      <c r="M439" s="1" t="str">
        <f ca="1">IFERROR(__xludf.DUMMYFUNCTION("""COMPUTED_VALUE"""),"PA")</f>
        <v>PA</v>
      </c>
      <c r="N439" s="1" t="str">
        <f ca="1">IFERROR(__xludf.DUMMYFUNCTION("""COMPUTED_VALUE"""),"High")</f>
        <v>High</v>
      </c>
      <c r="O439" s="1" t="str">
        <f ca="1">IFERROR(__xludf.DUMMYFUNCTION("""COMPUTED_VALUE"""),"Beside Building")</f>
        <v>Beside Building</v>
      </c>
      <c r="P439" s="1" t="str">
        <f ca="1">IFERROR(__xludf.DUMMYFUNCTION("""COMPUTED_VALUE"""),"Outside on School Property")</f>
        <v>Outside on School Property</v>
      </c>
      <c r="Q439" s="1" t="str">
        <f ca="1">IFERROR(__xludf.DUMMYFUNCTION("""COMPUTED_VALUE"""),"No")</f>
        <v>No</v>
      </c>
      <c r="R439" s="1" t="str">
        <f ca="1">IFERROR(__xludf.DUMMYFUNCTION("""COMPUTED_VALUE"""),"Night")</f>
        <v>Night</v>
      </c>
      <c r="S439" s="5">
        <f ca="1">IFERROR(__xludf.DUMMYFUNCTION("""COMPUTED_VALUE"""),0.979166666666666)</f>
        <v>0.97916666666666596</v>
      </c>
      <c r="T439" s="1">
        <f ca="1">IFERROR(__xludf.DUMMYFUNCTION("""COMPUTED_VALUE"""),1)</f>
        <v>1</v>
      </c>
      <c r="U439" s="1" t="str">
        <f ca="1">IFERROR(__xludf.DUMMYFUNCTION("""COMPUTED_VALUE"""),"Adult man fatally shot next to school")</f>
        <v>Adult man fatally shot next to school</v>
      </c>
      <c r="V439" s="1" t="str">
        <f ca="1">IFERROR(__xludf.DUMMYFUNCTION("""COMPUTED_VALUE"""),"Philadelphia Police are investigating after a man was shot and killed outside a school in Port Richmond. It happened around 11:30 p.m. Friday near the Memphis Street Academy Charter School in the 2900 block of Memphis Street. Investigators say the 31-year"&amp;"-old man was shot eight times and then climbed into the passenger seat of a car.")</f>
        <v>Philadelphia Police are investigating after a man was shot and killed outside a school in Port Richmond. It happened around 11:30 p.m. Friday near the Memphis Street Academy Charter School in the 2900 block of Memphis Street. Investigators say the 31-year-old man was shot eight times and then climbed into the passenger seat of a car.</v>
      </c>
      <c r="W439" s="1"/>
      <c r="X439" s="1" t="str">
        <f ca="1">IFERROR(__xludf.DUMMYFUNCTION("""COMPUTED_VALUE"""),"Victims Targeted")</f>
        <v>Victims Targeted</v>
      </c>
      <c r="Y439" s="1"/>
      <c r="Z439" s="1"/>
      <c r="AA439" s="1" t="str">
        <f ca="1">IFERROR(__xludf.DUMMYFUNCTION("""COMPUTED_VALUE"""),"No")</f>
        <v>No</v>
      </c>
      <c r="AB439" s="1" t="str">
        <f ca="1">IFERROR(__xludf.DUMMYFUNCTION("""COMPUTED_VALUE"""),"No")</f>
        <v>No</v>
      </c>
      <c r="AC439" s="1" t="str">
        <f ca="1">IFERROR(__xludf.DUMMYFUNCTION("""COMPUTED_VALUE"""),"No")</f>
        <v>No</v>
      </c>
      <c r="AD439" s="1" t="str">
        <f ca="1">IFERROR(__xludf.DUMMYFUNCTION("""COMPUTED_VALUE"""),"No")</f>
        <v>No</v>
      </c>
      <c r="AE439" s="1" t="str">
        <f ca="1">IFERROR(__xludf.DUMMYFUNCTION("""COMPUTED_VALUE"""),"No")</f>
        <v>No</v>
      </c>
      <c r="AF439" s="1"/>
      <c r="AG439" s="1" t="str">
        <f ca="1">IFERROR(__xludf.DUMMYFUNCTION("""COMPUTED_VALUE"""),"No")</f>
        <v>No</v>
      </c>
      <c r="AH439" s="1">
        <f ca="1">IFERROR(__xludf.DUMMYFUNCTION("""COMPUTED_VALUE"""),6)</f>
        <v>6</v>
      </c>
    </row>
    <row r="440" spans="1:34" ht="12.5">
      <c r="A440" s="1" t="str">
        <f ca="1">IFERROR(__xludf.DUMMYFUNCTION("""COMPUTED_VALUE"""),"20221209OHMED")</f>
        <v>20221209OHMED</v>
      </c>
      <c r="B440" s="1">
        <f ca="1">IFERROR(__xludf.DUMMYFUNCTION("""COMPUTED_VALUE"""),12)</f>
        <v>12</v>
      </c>
      <c r="C440" s="1">
        <f ca="1">IFERROR(__xludf.DUMMYFUNCTION("""COMPUTED_VALUE"""),9)</f>
        <v>9</v>
      </c>
      <c r="D440" s="1">
        <f ca="1">IFERROR(__xludf.DUMMYFUNCTION("""COMPUTED_VALUE"""),2022)</f>
        <v>2022</v>
      </c>
      <c r="E440" s="4">
        <f ca="1">IFERROR(__xludf.DUMMYFUNCTION("""COMPUTED_VALUE"""),44904)</f>
        <v>44904</v>
      </c>
      <c r="F440" s="1" t="str">
        <f ca="1">IFERROR(__xludf.DUMMYFUNCTION("""COMPUTED_VALUE"""),"Meadowdale High School")</f>
        <v>Meadowdale High School</v>
      </c>
      <c r="G440" s="1">
        <f ca="1">IFERROR(__xludf.DUMMYFUNCTION("""COMPUTED_VALUE"""),0)</f>
        <v>0</v>
      </c>
      <c r="H440" s="1">
        <f ca="1">IFERROR(__xludf.DUMMYFUNCTION("""COMPUTED_VALUE"""),0)</f>
        <v>0</v>
      </c>
      <c r="I440" s="1">
        <f ca="1">IFERROR(__xludf.DUMMYFUNCTION("""COMPUTED_VALUE"""),0)</f>
        <v>0</v>
      </c>
      <c r="J440" s="1">
        <f ca="1">IFERROR(__xludf.DUMMYFUNCTION("""COMPUTED_VALUE"""),0)</f>
        <v>0</v>
      </c>
      <c r="K440" s="1" t="str">
        <f ca="1">IFERROR(__xludf.DUMMYFUNCTION("""COMPUTED_VALUE"""),"Winter")</f>
        <v>Winter</v>
      </c>
      <c r="L440" s="1" t="str">
        <f ca="1">IFERROR(__xludf.DUMMYFUNCTION("""COMPUTED_VALUE"""),"Dayton")</f>
        <v>Dayton</v>
      </c>
      <c r="M440" s="1" t="str">
        <f ca="1">IFERROR(__xludf.DUMMYFUNCTION("""COMPUTED_VALUE"""),"OH")</f>
        <v>OH</v>
      </c>
      <c r="N440" s="1" t="str">
        <f ca="1">IFERROR(__xludf.DUMMYFUNCTION("""COMPUTED_VALUE"""),"High")</f>
        <v>High</v>
      </c>
      <c r="O440" s="1" t="str">
        <f ca="1">IFERROR(__xludf.DUMMYFUNCTION("""COMPUTED_VALUE"""),"Parking Lot")</f>
        <v>Parking Lot</v>
      </c>
      <c r="P440" s="1" t="str">
        <f ca="1">IFERROR(__xludf.DUMMYFUNCTION("""COMPUTED_VALUE"""),"Outside on School Property")</f>
        <v>Outside on School Property</v>
      </c>
      <c r="Q440" s="1" t="str">
        <f ca="1">IFERROR(__xludf.DUMMYFUNCTION("""COMPUTED_VALUE"""),"No")</f>
        <v>No</v>
      </c>
      <c r="R440" s="1" t="str">
        <f ca="1">IFERROR(__xludf.DUMMYFUNCTION("""COMPUTED_VALUE"""),"Sport Event")</f>
        <v>Sport Event</v>
      </c>
      <c r="S440" s="5">
        <f ca="1">IFERROR(__xludf.DUMMYFUNCTION("""COMPUTED_VALUE"""),0.909722222222222)</f>
        <v>0.90972222222222199</v>
      </c>
      <c r="T440" s="1">
        <f ca="1">IFERROR(__xludf.DUMMYFUNCTION("""COMPUTED_VALUE"""),1)</f>
        <v>1</v>
      </c>
      <c r="U440" s="1" t="str">
        <f ca="1">IFERROR(__xludf.DUMMYFUNCTION("""COMPUTED_VALUE"""),"Shots fired during fight after varsity basketball game")</f>
        <v>Shots fired during fight after varsity basketball game</v>
      </c>
      <c r="V440" s="1" t="str">
        <f ca="1">IFERROR(__xludf.DUMMYFUNCTION("""COMPUTED_VALUE"""),"5 shots were fired during a large fight between rival fans following the varsity basketball game. No injuries. Shooter fled before police arrived.")</f>
        <v>5 shots were fired during a large fight between rival fans following the varsity basketball game. No injuries. Shooter fled before police arrived.</v>
      </c>
      <c r="W440" s="1" t="str">
        <f ca="1">IFERROR(__xludf.DUMMYFUNCTION("""COMPUTED_VALUE"""),"Escalation of Dispute")</f>
        <v>Escalation of Dispute</v>
      </c>
      <c r="X440" s="1" t="str">
        <f ca="1">IFERROR(__xludf.DUMMYFUNCTION("""COMPUTED_VALUE"""),"Both")</f>
        <v>Both</v>
      </c>
      <c r="Y440" s="1" t="str">
        <f ca="1">IFERROR(__xludf.DUMMYFUNCTION("""COMPUTED_VALUE"""),"No")</f>
        <v>No</v>
      </c>
      <c r="Z440" s="1"/>
      <c r="AA440" s="1" t="str">
        <f ca="1">IFERROR(__xludf.DUMMYFUNCTION("""COMPUTED_VALUE"""),"No")</f>
        <v>No</v>
      </c>
      <c r="AB440" s="1" t="str">
        <f ca="1">IFERROR(__xludf.DUMMYFUNCTION("""COMPUTED_VALUE"""),"No")</f>
        <v>No</v>
      </c>
      <c r="AC440" s="1" t="str">
        <f ca="1">IFERROR(__xludf.DUMMYFUNCTION("""COMPUTED_VALUE"""),"No")</f>
        <v>No</v>
      </c>
      <c r="AD440" s="1" t="str">
        <f ca="1">IFERROR(__xludf.DUMMYFUNCTION("""COMPUTED_VALUE"""),"No")</f>
        <v>No</v>
      </c>
      <c r="AE440" s="1" t="str">
        <f ca="1">IFERROR(__xludf.DUMMYFUNCTION("""COMPUTED_VALUE"""),"No")</f>
        <v>No</v>
      </c>
      <c r="AF440" s="1"/>
      <c r="AG440" s="1" t="str">
        <f ca="1">IFERROR(__xludf.DUMMYFUNCTION("""COMPUTED_VALUE"""),"No")</f>
        <v>No</v>
      </c>
      <c r="AH440" s="1">
        <f ca="1">IFERROR(__xludf.DUMMYFUNCTION("""COMPUTED_VALUE"""),5)</f>
        <v>5</v>
      </c>
    </row>
    <row r="441" spans="1:34" ht="12.5">
      <c r="A441" s="1" t="str">
        <f ca="1">IFERROR(__xludf.DUMMYFUNCTION("""COMPUTED_VALUE"""),"20221208NCFUG")</f>
        <v>20221208NCFUG</v>
      </c>
      <c r="B441" s="1">
        <f ca="1">IFERROR(__xludf.DUMMYFUNCTION("""COMPUTED_VALUE"""),12)</f>
        <v>12</v>
      </c>
      <c r="C441" s="1">
        <f ca="1">IFERROR(__xludf.DUMMYFUNCTION("""COMPUTED_VALUE"""),8)</f>
        <v>8</v>
      </c>
      <c r="D441" s="1">
        <f ca="1">IFERROR(__xludf.DUMMYFUNCTION("""COMPUTED_VALUE"""),2022)</f>
        <v>2022</v>
      </c>
      <c r="E441" s="4">
        <f ca="1">IFERROR(__xludf.DUMMYFUNCTION("""COMPUTED_VALUE"""),44903)</f>
        <v>44903</v>
      </c>
      <c r="F441" s="1" t="str">
        <f ca="1">IFERROR(__xludf.DUMMYFUNCTION("""COMPUTED_VALUE"""),"Fuquay-Varina Middle School")</f>
        <v>Fuquay-Varina Middle School</v>
      </c>
      <c r="G441" s="1">
        <f ca="1">IFERROR(__xludf.DUMMYFUNCTION("""COMPUTED_VALUE"""),0)</f>
        <v>0</v>
      </c>
      <c r="H441" s="1">
        <f ca="1">IFERROR(__xludf.DUMMYFUNCTION("""COMPUTED_VALUE"""),0)</f>
        <v>0</v>
      </c>
      <c r="I441" s="1">
        <f ca="1">IFERROR(__xludf.DUMMYFUNCTION("""COMPUTED_VALUE"""),0)</f>
        <v>0</v>
      </c>
      <c r="J441" s="1">
        <f ca="1">IFERROR(__xludf.DUMMYFUNCTION("""COMPUTED_VALUE"""),0)</f>
        <v>0</v>
      </c>
      <c r="K441" s="1" t="str">
        <f ca="1">IFERROR(__xludf.DUMMYFUNCTION("""COMPUTED_VALUE"""),"Winter")</f>
        <v>Winter</v>
      </c>
      <c r="L441" s="1" t="str">
        <f ca="1">IFERROR(__xludf.DUMMYFUNCTION("""COMPUTED_VALUE"""),"Fuquay-Varina")</f>
        <v>Fuquay-Varina</v>
      </c>
      <c r="M441" s="1" t="str">
        <f ca="1">IFERROR(__xludf.DUMMYFUNCTION("""COMPUTED_VALUE"""),"NC")</f>
        <v>NC</v>
      </c>
      <c r="N441" s="1" t="str">
        <f ca="1">IFERROR(__xludf.DUMMYFUNCTION("""COMPUTED_VALUE"""),"Middle")</f>
        <v>Middle</v>
      </c>
      <c r="O441" s="1" t="str">
        <f ca="1">IFERROR(__xludf.DUMMYFUNCTION("""COMPUTED_VALUE"""),"Classroom")</f>
        <v>Classroom</v>
      </c>
      <c r="P441" s="1" t="str">
        <f ca="1">IFERROR(__xludf.DUMMYFUNCTION("""COMPUTED_VALUE"""),"Inside School Building")</f>
        <v>Inside School Building</v>
      </c>
      <c r="Q441" s="1" t="str">
        <f ca="1">IFERROR(__xludf.DUMMYFUNCTION("""COMPUTED_VALUE"""),"Yes")</f>
        <v>Yes</v>
      </c>
      <c r="R441" s="1" t="str">
        <f ca="1">IFERROR(__xludf.DUMMYFUNCTION("""COMPUTED_VALUE"""),"Morning Classes")</f>
        <v>Morning Classes</v>
      </c>
      <c r="S441" s="5">
        <f ca="1">IFERROR(__xludf.DUMMYFUNCTION("""COMPUTED_VALUE"""),0.335416666666666)</f>
        <v>0.33541666666666597</v>
      </c>
      <c r="T441" s="1">
        <f ca="1">IFERROR(__xludf.DUMMYFUNCTION("""COMPUTED_VALUE"""),1)</f>
        <v>1</v>
      </c>
      <c r="U441" s="1" t="str">
        <f ca="1">IFERROR(__xludf.DUMMYFUNCTION("""COMPUTED_VALUE"""),"Student fired gun while talking it out of backpack in classroom, struck window")</f>
        <v>Student fired gun while talking it out of backpack in classroom, struck window</v>
      </c>
      <c r="V441" s="1" t="str">
        <f ca="1">IFERROR(__xludf.DUMMYFUNCTION("""COMPUTED_VALUE"""),"At 8:03 a.m. Fuquay-Varina Police Department received a call for service reference to an incident at Fuquay-Varina Middle School. Student pulled gun from backpack and fired round that struck classroom window. Teacher told him to give her the gun. Assistan"&amp;"t principal assisted with taking away the gun and unloading it. Other students were in the classroom. The school was placed on lockdown until students could be safely released to arriving parents.
After firing shot, student told teacher he hated the scho"&amp;"ol and everyone in it. She told him to give her the gun and he surrendered.")</f>
        <v>At 8:03 a.m. Fuquay-Varina Police Department received a call for service reference to an incident at Fuquay-Varina Middle School. Student pulled gun from backpack and fired round that struck classroom window. Teacher told him to give her the gun. Assistant principal assisted with taking away the gun and unloading it. Other students were in the classroom. The school was placed on lockdown until students could be safely released to arriving parents.
After firing shot, student told teacher he hated the school and everyone in it. She told him to give her the gun and he surrendered.</v>
      </c>
      <c r="W441" s="1" t="str">
        <f ca="1">IFERROR(__xludf.DUMMYFUNCTION("""COMPUTED_VALUE"""),"Indiscriminate Shooting")</f>
        <v>Indiscriminate Shooting</v>
      </c>
      <c r="X441" s="1"/>
      <c r="Y441" s="1" t="str">
        <f ca="1">IFERROR(__xludf.DUMMYFUNCTION("""COMPUTED_VALUE"""),"No")</f>
        <v>No</v>
      </c>
      <c r="Z441" s="1"/>
      <c r="AA441" s="1" t="str">
        <f ca="1">IFERROR(__xludf.DUMMYFUNCTION("""COMPUTED_VALUE"""),"No")</f>
        <v>No</v>
      </c>
      <c r="AB441" s="1" t="str">
        <f ca="1">IFERROR(__xludf.DUMMYFUNCTION("""COMPUTED_VALUE"""),"No")</f>
        <v>No</v>
      </c>
      <c r="AC441" s="1" t="str">
        <f ca="1">IFERROR(__xludf.DUMMYFUNCTION("""COMPUTED_VALUE"""),"No")</f>
        <v>No</v>
      </c>
      <c r="AD441" s="1"/>
      <c r="AE441" s="1" t="str">
        <f ca="1">IFERROR(__xludf.DUMMYFUNCTION("""COMPUTED_VALUE"""),"No")</f>
        <v>No</v>
      </c>
      <c r="AF441" s="1"/>
      <c r="AG441" s="1" t="str">
        <f ca="1">IFERROR(__xludf.DUMMYFUNCTION("""COMPUTED_VALUE"""),"Yes")</f>
        <v>Yes</v>
      </c>
      <c r="AH441" s="1">
        <f ca="1">IFERROR(__xludf.DUMMYFUNCTION("""COMPUTED_VALUE"""),1)</f>
        <v>1</v>
      </c>
    </row>
    <row r="442" spans="1:34" ht="12.5">
      <c r="A442" s="1" t="str">
        <f ca="1">IFERROR(__xludf.DUMMYFUNCTION("""COMPUTED_VALUE"""),"20221208MDSUD")</f>
        <v>20221208MDSUD</v>
      </c>
      <c r="B442" s="1">
        <f ca="1">IFERROR(__xludf.DUMMYFUNCTION("""COMPUTED_VALUE"""),12)</f>
        <v>12</v>
      </c>
      <c r="C442" s="1">
        <f ca="1">IFERROR(__xludf.DUMMYFUNCTION("""COMPUTED_VALUE"""),8)</f>
        <v>8</v>
      </c>
      <c r="D442" s="1">
        <f ca="1">IFERROR(__xludf.DUMMYFUNCTION("""COMPUTED_VALUE"""),2022)</f>
        <v>2022</v>
      </c>
      <c r="E442" s="4">
        <f ca="1">IFERROR(__xludf.DUMMYFUNCTION("""COMPUTED_VALUE"""),44903)</f>
        <v>44903</v>
      </c>
      <c r="F442" s="1" t="str">
        <f ca="1">IFERROR(__xludf.DUMMYFUNCTION("""COMPUTED_VALUE"""),"Suitland High School")</f>
        <v>Suitland High School</v>
      </c>
      <c r="G442" s="1">
        <f ca="1">IFERROR(__xludf.DUMMYFUNCTION("""COMPUTED_VALUE"""),0)</f>
        <v>0</v>
      </c>
      <c r="H442" s="1">
        <f ca="1">IFERROR(__xludf.DUMMYFUNCTION("""COMPUTED_VALUE"""),1)</f>
        <v>1</v>
      </c>
      <c r="I442" s="1">
        <f ca="1">IFERROR(__xludf.DUMMYFUNCTION("""COMPUTED_VALUE"""),1)</f>
        <v>1</v>
      </c>
      <c r="J442" s="1">
        <f ca="1">IFERROR(__xludf.DUMMYFUNCTION("""COMPUTED_VALUE"""),0)</f>
        <v>0</v>
      </c>
      <c r="K442" s="1" t="str">
        <f ca="1">IFERROR(__xludf.DUMMYFUNCTION("""COMPUTED_VALUE"""),"Winter")</f>
        <v>Winter</v>
      </c>
      <c r="L442" s="1" t="str">
        <f ca="1">IFERROR(__xludf.DUMMYFUNCTION("""COMPUTED_VALUE"""),"District Heights")</f>
        <v>District Heights</v>
      </c>
      <c r="M442" s="1" t="str">
        <f ca="1">IFERROR(__xludf.DUMMYFUNCTION("""COMPUTED_VALUE"""),"MD")</f>
        <v>MD</v>
      </c>
      <c r="N442" s="1" t="str">
        <f ca="1">IFERROR(__xludf.DUMMYFUNCTION("""COMPUTED_VALUE"""),"High")</f>
        <v>High</v>
      </c>
      <c r="O442" s="1" t="str">
        <f ca="1">IFERROR(__xludf.DUMMYFUNCTION("""COMPUTED_VALUE"""),"Football Field/Track")</f>
        <v>Football Field/Track</v>
      </c>
      <c r="P442" s="1" t="str">
        <f ca="1">IFERROR(__xludf.DUMMYFUNCTION("""COMPUTED_VALUE"""),"Outside on School Property")</f>
        <v>Outside on School Property</v>
      </c>
      <c r="Q442" s="1" t="str">
        <f ca="1">IFERROR(__xludf.DUMMYFUNCTION("""COMPUTED_VALUE"""),"Yes")</f>
        <v>Yes</v>
      </c>
      <c r="R442" s="1" t="str">
        <f ca="1">IFERROR(__xludf.DUMMYFUNCTION("""COMPUTED_VALUE"""),"Morning Classes")</f>
        <v>Morning Classes</v>
      </c>
      <c r="S442" s="5">
        <f ca="1">IFERROR(__xludf.DUMMYFUNCTION("""COMPUTED_VALUE"""),0.416666666666666)</f>
        <v>0.41666666666666602</v>
      </c>
      <c r="T442" s="1">
        <f ca="1">IFERROR(__xludf.DUMMYFUNCTION("""COMPUTED_VALUE"""),1)</f>
        <v>1</v>
      </c>
      <c r="U442" s="1" t="str">
        <f ca="1">IFERROR(__xludf.DUMMYFUNCTION("""COMPUTED_VALUE"""),"Student shot outside school during fight")</f>
        <v>Student shot outside school during fight</v>
      </c>
      <c r="V442" s="1" t="str">
        <f ca="1">IFERROR(__xludf.DUMMYFUNCTION("""COMPUTED_VALUE"""),"Just after 10 a.m., the ninth-grade student was shot during a ""physical altercation"" outside the school building, PGCPS said. Several other students witnessed the shooting, then fled the area (some ran back into the school building), the school system s"&amp;"aid. School resource officers on campus at the time of the shooting provided emergency care to the ninth grader, who was the only victim, PGCPS said. That student was hospitalized in stable condition, though the severity of their injuries was not immediat"&amp;"ely shared.")</f>
        <v>Just after 10 a.m., the ninth-grade student was shot during a "physical altercation" outside the school building, PGCPS said. Several other students witnessed the shooting, then fled the area (some ran back into the school building), the school system said. School resource officers on campus at the time of the shooting provided emergency care to the ninth grader, who was the only victim, PGCPS said. That student was hospitalized in stable condition, though the severity of their injuries was not immediately shared.</v>
      </c>
      <c r="W442" s="1" t="str">
        <f ca="1">IFERROR(__xludf.DUMMYFUNCTION("""COMPUTED_VALUE"""),"Escalation of Dispute")</f>
        <v>Escalation of Dispute</v>
      </c>
      <c r="X442" s="1" t="str">
        <f ca="1">IFERROR(__xludf.DUMMYFUNCTION("""COMPUTED_VALUE"""),"Victims Targeted")</f>
        <v>Victims Targeted</v>
      </c>
      <c r="Y442" s="1" t="str">
        <f ca="1">IFERROR(__xludf.DUMMYFUNCTION("""COMPUTED_VALUE"""),"Yes")</f>
        <v>Yes</v>
      </c>
      <c r="Z442" s="1" t="str">
        <f ca="1">IFERROR(__xludf.DUMMYFUNCTION("""COMPUTED_VALUE"""),"Multiple teens fled")</f>
        <v>Multiple teens fled</v>
      </c>
      <c r="AA442" s="1" t="str">
        <f ca="1">IFERROR(__xludf.DUMMYFUNCTION("""COMPUTED_VALUE"""),"No")</f>
        <v>No</v>
      </c>
      <c r="AB442" s="1" t="str">
        <f ca="1">IFERROR(__xludf.DUMMYFUNCTION("""COMPUTED_VALUE"""),"No")</f>
        <v>No</v>
      </c>
      <c r="AC442" s="1" t="str">
        <f ca="1">IFERROR(__xludf.DUMMYFUNCTION("""COMPUTED_VALUE"""),"No")</f>
        <v>No</v>
      </c>
      <c r="AD442" s="1"/>
      <c r="AE442" s="1" t="str">
        <f ca="1">IFERROR(__xludf.DUMMYFUNCTION("""COMPUTED_VALUE"""),"No")</f>
        <v>No</v>
      </c>
      <c r="AF442" s="1"/>
      <c r="AG442" s="1" t="str">
        <f ca="1">IFERROR(__xludf.DUMMYFUNCTION("""COMPUTED_VALUE"""),"No")</f>
        <v>No</v>
      </c>
      <c r="AH442" s="1">
        <f ca="1">IFERROR(__xludf.DUMMYFUNCTION("""COMPUTED_VALUE"""),99)</f>
        <v>99</v>
      </c>
    </row>
    <row r="443" spans="1:34" ht="12.5">
      <c r="A443" s="1" t="str">
        <f ca="1">IFERROR(__xludf.DUMMYFUNCTION("""COMPUTED_VALUE"""),"20221206MOCOS")</f>
        <v>20221206MOCOS</v>
      </c>
      <c r="B443" s="1">
        <f ca="1">IFERROR(__xludf.DUMMYFUNCTION("""COMPUTED_VALUE"""),12)</f>
        <v>12</v>
      </c>
      <c r="C443" s="1">
        <f ca="1">IFERROR(__xludf.DUMMYFUNCTION("""COMPUTED_VALUE"""),6)</f>
        <v>6</v>
      </c>
      <c r="D443" s="1">
        <f ca="1">IFERROR(__xludf.DUMMYFUNCTION("""COMPUTED_VALUE"""),2022)</f>
        <v>2022</v>
      </c>
      <c r="E443" s="4">
        <f ca="1">IFERROR(__xludf.DUMMYFUNCTION("""COMPUTED_VALUE"""),44901)</f>
        <v>44901</v>
      </c>
      <c r="F443" s="1" t="str">
        <f ca="1">IFERROR(__xludf.DUMMYFUNCTION("""COMPUTED_VALUE"""),"Confluence Preparatory Academy")</f>
        <v>Confluence Preparatory Academy</v>
      </c>
      <c r="G443" s="1">
        <f ca="1">IFERROR(__xludf.DUMMYFUNCTION("""COMPUTED_VALUE"""),0)</f>
        <v>0</v>
      </c>
      <c r="H443" s="1">
        <f ca="1">IFERROR(__xludf.DUMMYFUNCTION("""COMPUTED_VALUE"""),0)</f>
        <v>0</v>
      </c>
      <c r="I443" s="1">
        <f ca="1">IFERROR(__xludf.DUMMYFUNCTION("""COMPUTED_VALUE"""),0)</f>
        <v>0</v>
      </c>
      <c r="J443" s="1">
        <f ca="1">IFERROR(__xludf.DUMMYFUNCTION("""COMPUTED_VALUE"""),0)</f>
        <v>0</v>
      </c>
      <c r="K443" s="1" t="str">
        <f ca="1">IFERROR(__xludf.DUMMYFUNCTION("""COMPUTED_VALUE"""),"Winter")</f>
        <v>Winter</v>
      </c>
      <c r="L443" s="1" t="str">
        <f ca="1">IFERROR(__xludf.DUMMYFUNCTION("""COMPUTED_VALUE"""),"St. Louis")</f>
        <v>St. Louis</v>
      </c>
      <c r="M443" s="1" t="str">
        <f ca="1">IFERROR(__xludf.DUMMYFUNCTION("""COMPUTED_VALUE"""),"MO")</f>
        <v>MO</v>
      </c>
      <c r="N443" s="1" t="str">
        <f ca="1">IFERROR(__xludf.DUMMYFUNCTION("""COMPUTED_VALUE"""),"High")</f>
        <v>High</v>
      </c>
      <c r="O443" s="1" t="str">
        <f ca="1">IFERROR(__xludf.DUMMYFUNCTION("""COMPUTED_VALUE"""),"Front of School")</f>
        <v>Front of School</v>
      </c>
      <c r="P443" s="1" t="str">
        <f ca="1">IFERROR(__xludf.DUMMYFUNCTION("""COMPUTED_VALUE"""),"Outside on School Property")</f>
        <v>Outside on School Property</v>
      </c>
      <c r="Q443" s="1" t="str">
        <f ca="1">IFERROR(__xludf.DUMMYFUNCTION("""COMPUTED_VALUE"""),"Yes")</f>
        <v>Yes</v>
      </c>
      <c r="R443" s="1" t="str">
        <f ca="1">IFERROR(__xludf.DUMMYFUNCTION("""COMPUTED_VALUE"""),"Afternoon Classes")</f>
        <v>Afternoon Classes</v>
      </c>
      <c r="S443" s="5">
        <f ca="1">IFERROR(__xludf.DUMMYFUNCTION("""COMPUTED_VALUE"""),0.673611111111111)</f>
        <v>0.67361111111111105</v>
      </c>
      <c r="T443" s="1">
        <f ca="1">IFERROR(__xludf.DUMMYFUNCTION("""COMPUTED_VALUE"""),1)</f>
        <v>1</v>
      </c>
      <c r="U443" s="1" t="str">
        <f ca="1">IFERROR(__xludf.DUMMYFUNCTION("""COMPUTED_VALUE"""),"Adult woman fired shot at 2 students while being escorted away by school security")</f>
        <v>Adult woman fired shot at 2 students while being escorted away by school security</v>
      </c>
      <c r="V443" s="1" t="str">
        <f ca="1">IFERROR(__xludf.DUMMYFUNCTION("""COMPUTED_VALUE"""),"20-year-old woman started a fight with a 17-year-old student. A spokesperson with Confluence Academy said there ""appeared to be a conversation"" between two students in front of the school and two women in a car. As school security was escorting the woma"&amp;"n back onto the sidewalk, she pulled out a gun and shot at the student. The woman holding the gun was struck in the hand, according to a spokesperson with Confluence Academy. The school was placed on a soft lockdown as a precaution.")</f>
        <v>20-year-old woman started a fight with a 17-year-old student. A spokesperson with Confluence Academy said there "appeared to be a conversation" between two students in front of the school and two women in a car. As school security was escorting the woman back onto the sidewalk, she pulled out a gun and shot at the student. The woman holding the gun was struck in the hand, according to a spokesperson with Confluence Academy. The school was placed on a soft lockdown as a precaution.</v>
      </c>
      <c r="W443" s="1" t="str">
        <f ca="1">IFERROR(__xludf.DUMMYFUNCTION("""COMPUTED_VALUE"""),"Escalation of Dispute")</f>
        <v>Escalation of Dispute</v>
      </c>
      <c r="X443" s="1" t="str">
        <f ca="1">IFERROR(__xludf.DUMMYFUNCTION("""COMPUTED_VALUE"""),"Victims Targeted")</f>
        <v>Victims Targeted</v>
      </c>
      <c r="Y443" s="1" t="str">
        <f ca="1">IFERROR(__xludf.DUMMYFUNCTION("""COMPUTED_VALUE"""),"No")</f>
        <v>No</v>
      </c>
      <c r="Z443" s="1"/>
      <c r="AA443" s="1" t="str">
        <f ca="1">IFERROR(__xludf.DUMMYFUNCTION("""COMPUTED_VALUE"""),"No")</f>
        <v>No</v>
      </c>
      <c r="AB443" s="1" t="str">
        <f ca="1">IFERROR(__xludf.DUMMYFUNCTION("""COMPUTED_VALUE"""),"No")</f>
        <v>No</v>
      </c>
      <c r="AC443" s="1" t="str">
        <f ca="1">IFERROR(__xludf.DUMMYFUNCTION("""COMPUTED_VALUE"""),"No")</f>
        <v>No</v>
      </c>
      <c r="AD443" s="1" t="str">
        <f ca="1">IFERROR(__xludf.DUMMYFUNCTION("""COMPUTED_VALUE"""),"No")</f>
        <v>No</v>
      </c>
      <c r="AE443" s="1" t="str">
        <f ca="1">IFERROR(__xludf.DUMMYFUNCTION("""COMPUTED_VALUE"""),"No")</f>
        <v>No</v>
      </c>
      <c r="AF443" s="1" t="str">
        <f ca="1">IFERROR(__xludf.DUMMYFUNCTION("""COMPUTED_VALUE"""),"No")</f>
        <v>No</v>
      </c>
      <c r="AG443" s="1" t="str">
        <f ca="1">IFERROR(__xludf.DUMMYFUNCTION("""COMPUTED_VALUE"""),"No")</f>
        <v>No</v>
      </c>
      <c r="AH443" s="1">
        <f ca="1">IFERROR(__xludf.DUMMYFUNCTION("""COMPUTED_VALUE"""),99)</f>
        <v>99</v>
      </c>
    </row>
    <row r="444" spans="1:34" ht="12.5">
      <c r="A444" s="1" t="str">
        <f ca="1">IFERROR(__xludf.DUMMYFUNCTION("""COMPUTED_VALUE"""),"20221206MDHAH")</f>
        <v>20221206MDHAH</v>
      </c>
      <c r="B444" s="1">
        <f ca="1">IFERROR(__xludf.DUMMYFUNCTION("""COMPUTED_VALUE"""),12)</f>
        <v>12</v>
      </c>
      <c r="C444" s="1">
        <f ca="1">IFERROR(__xludf.DUMMYFUNCTION("""COMPUTED_VALUE"""),6)</f>
        <v>6</v>
      </c>
      <c r="D444" s="1">
        <f ca="1">IFERROR(__xludf.DUMMYFUNCTION("""COMPUTED_VALUE"""),2022)</f>
        <v>2022</v>
      </c>
      <c r="E444" s="4">
        <f ca="1">IFERROR(__xludf.DUMMYFUNCTION("""COMPUTED_VALUE"""),44901)</f>
        <v>44901</v>
      </c>
      <c r="F444" s="1" t="str">
        <f ca="1">IFERROR(__xludf.DUMMYFUNCTION("""COMPUTED_VALUE"""),"Hagerstown Public School Bus")</f>
        <v>Hagerstown Public School Bus</v>
      </c>
      <c r="G444" s="1">
        <f ca="1">IFERROR(__xludf.DUMMYFUNCTION("""COMPUTED_VALUE"""),0)</f>
        <v>0</v>
      </c>
      <c r="H444" s="1">
        <f ca="1">IFERROR(__xludf.DUMMYFUNCTION("""COMPUTED_VALUE"""),0)</f>
        <v>0</v>
      </c>
      <c r="I444" s="1">
        <f ca="1">IFERROR(__xludf.DUMMYFUNCTION("""COMPUTED_VALUE"""),0)</f>
        <v>0</v>
      </c>
      <c r="J444" s="1">
        <f ca="1">IFERROR(__xludf.DUMMYFUNCTION("""COMPUTED_VALUE"""),0)</f>
        <v>0</v>
      </c>
      <c r="K444" s="1" t="str">
        <f ca="1">IFERROR(__xludf.DUMMYFUNCTION("""COMPUTED_VALUE"""),"Winter")</f>
        <v>Winter</v>
      </c>
      <c r="L444" s="1" t="str">
        <f ca="1">IFERROR(__xludf.DUMMYFUNCTION("""COMPUTED_VALUE"""),"Hagerstown")</f>
        <v>Hagerstown</v>
      </c>
      <c r="M444" s="1" t="str">
        <f ca="1">IFERROR(__xludf.DUMMYFUNCTION("""COMPUTED_VALUE"""),"MD")</f>
        <v>MD</v>
      </c>
      <c r="N444" s="1" t="str">
        <f ca="1">IFERROR(__xludf.DUMMYFUNCTION("""COMPUTED_VALUE"""),"Elementary")</f>
        <v>Elementary</v>
      </c>
      <c r="O444" s="1" t="str">
        <f ca="1">IFERROR(__xludf.DUMMYFUNCTION("""COMPUTED_VALUE"""),"School Bus")</f>
        <v>School Bus</v>
      </c>
      <c r="P444" s="1" t="str">
        <f ca="1">IFERROR(__xludf.DUMMYFUNCTION("""COMPUTED_VALUE"""),"School Bus")</f>
        <v>School Bus</v>
      </c>
      <c r="Q444" s="1" t="str">
        <f ca="1">IFERROR(__xludf.DUMMYFUNCTION("""COMPUTED_VALUE"""),"Yes")</f>
        <v>Yes</v>
      </c>
      <c r="R444" s="1" t="str">
        <f ca="1">IFERROR(__xludf.DUMMYFUNCTION("""COMPUTED_VALUE"""),"Dismissal")</f>
        <v>Dismissal</v>
      </c>
      <c r="S444" s="5">
        <f ca="1">IFERROR(__xludf.DUMMYFUNCTION("""COMPUTED_VALUE"""),0.631944444444444)</f>
        <v>0.63194444444444398</v>
      </c>
      <c r="T444" s="1">
        <f ca="1">IFERROR(__xludf.DUMMYFUNCTION("""COMPUTED_VALUE"""),1)</f>
        <v>1</v>
      </c>
      <c r="U444" s="1" t="str">
        <f ca="1">IFERROR(__xludf.DUMMYFUNCTION("""COMPUTED_VALUE"""),"School bus window shot by BB while driving students home")</f>
        <v>School bus window shot by BB while driving students home</v>
      </c>
      <c r="V444" s="1" t="str">
        <f ca="1">IFERROR(__xludf.DUMMYFUNCTION("""COMPUTED_VALUE"""),"School bus window was broken by BB gun while driving students home. 7 students were on the bus. No injuries. Two teens arrested the following week.")</f>
        <v>School bus window was broken by BB gun while driving students home. 7 students were on the bus. No injuries. Two teens arrested the following week.</v>
      </c>
      <c r="W444" s="1" t="str">
        <f ca="1">IFERROR(__xludf.DUMMYFUNCTION("""COMPUTED_VALUE"""),"Intentional Property Damage")</f>
        <v>Intentional Property Damage</v>
      </c>
      <c r="X444" s="1"/>
      <c r="Y444" s="1" t="str">
        <f ca="1">IFERROR(__xludf.DUMMYFUNCTION("""COMPUTED_VALUE"""),"Yes")</f>
        <v>Yes</v>
      </c>
      <c r="Z444" s="1" t="str">
        <f ca="1">IFERROR(__xludf.DUMMYFUNCTION("""COMPUTED_VALUE"""),"Two teens")</f>
        <v>Two teens</v>
      </c>
      <c r="AA444" s="1" t="str">
        <f ca="1">IFERROR(__xludf.DUMMYFUNCTION("""COMPUTED_VALUE"""),"No")</f>
        <v>No</v>
      </c>
      <c r="AB444" s="1" t="str">
        <f ca="1">IFERROR(__xludf.DUMMYFUNCTION("""COMPUTED_VALUE"""),"No")</f>
        <v>No</v>
      </c>
      <c r="AC444" s="1" t="str">
        <f ca="1">IFERROR(__xludf.DUMMYFUNCTION("""COMPUTED_VALUE"""),"No")</f>
        <v>No</v>
      </c>
      <c r="AD444" s="1" t="str">
        <f ca="1">IFERROR(__xludf.DUMMYFUNCTION("""COMPUTED_VALUE"""),"No")</f>
        <v>No</v>
      </c>
      <c r="AE444" s="1" t="str">
        <f ca="1">IFERROR(__xludf.DUMMYFUNCTION("""COMPUTED_VALUE"""),"No")</f>
        <v>No</v>
      </c>
      <c r="AF444" s="1" t="str">
        <f ca="1">IFERROR(__xludf.DUMMYFUNCTION("""COMPUTED_VALUE"""),"No")</f>
        <v>No</v>
      </c>
      <c r="AG444" s="1" t="str">
        <f ca="1">IFERROR(__xludf.DUMMYFUNCTION("""COMPUTED_VALUE"""),"No")</f>
        <v>No</v>
      </c>
      <c r="AH444" s="1">
        <f ca="1">IFERROR(__xludf.DUMMYFUNCTION("""COMPUTED_VALUE"""),1)</f>
        <v>1</v>
      </c>
    </row>
    <row r="445" spans="1:34" ht="12.5">
      <c r="A445" s="1" t="str">
        <f ca="1">IFERROR(__xludf.DUMMYFUNCTION("""COMPUTED_VALUE"""),"20221206INSUW")</f>
        <v>20221206INSUW</v>
      </c>
      <c r="B445" s="1">
        <f ca="1">IFERROR(__xludf.DUMMYFUNCTION("""COMPUTED_VALUE"""),12)</f>
        <v>12</v>
      </c>
      <c r="C445" s="1">
        <f ca="1">IFERROR(__xludf.DUMMYFUNCTION("""COMPUTED_VALUE"""),6)</f>
        <v>6</v>
      </c>
      <c r="D445" s="1">
        <f ca="1">IFERROR(__xludf.DUMMYFUNCTION("""COMPUTED_VALUE"""),2022)</f>
        <v>2022</v>
      </c>
      <c r="E445" s="4">
        <f ca="1">IFERROR(__xludf.DUMMYFUNCTION("""COMPUTED_VALUE"""),44901)</f>
        <v>44901</v>
      </c>
      <c r="F445" s="1" t="str">
        <f ca="1">IFERROR(__xludf.DUMMYFUNCTION("""COMPUTED_VALUE"""),"Sugar Creek Consolidated Elementary School")</f>
        <v>Sugar Creek Consolidated Elementary School</v>
      </c>
      <c r="G445" s="1">
        <f ca="1">IFERROR(__xludf.DUMMYFUNCTION("""COMPUTED_VALUE"""),0)</f>
        <v>0</v>
      </c>
      <c r="H445" s="1">
        <f ca="1">IFERROR(__xludf.DUMMYFUNCTION("""COMPUTED_VALUE"""),0)</f>
        <v>0</v>
      </c>
      <c r="I445" s="1">
        <f ca="1">IFERROR(__xludf.DUMMYFUNCTION("""COMPUTED_VALUE"""),0)</f>
        <v>0</v>
      </c>
      <c r="J445" s="1">
        <f ca="1">IFERROR(__xludf.DUMMYFUNCTION("""COMPUTED_VALUE"""),0)</f>
        <v>0</v>
      </c>
      <c r="K445" s="1" t="str">
        <f ca="1">IFERROR(__xludf.DUMMYFUNCTION("""COMPUTED_VALUE"""),"Winter")</f>
        <v>Winter</v>
      </c>
      <c r="L445" s="1" t="str">
        <f ca="1">IFERROR(__xludf.DUMMYFUNCTION("""COMPUTED_VALUE"""),"West Terre Haute")</f>
        <v>West Terre Haute</v>
      </c>
      <c r="M445" s="1" t="str">
        <f ca="1">IFERROR(__xludf.DUMMYFUNCTION("""COMPUTED_VALUE"""),"IN")</f>
        <v>IN</v>
      </c>
      <c r="N445" s="1" t="str">
        <f ca="1">IFERROR(__xludf.DUMMYFUNCTION("""COMPUTED_VALUE"""),"Elementary")</f>
        <v>Elementary</v>
      </c>
      <c r="O445" s="1" t="str">
        <f ca="1">IFERROR(__xludf.DUMMYFUNCTION("""COMPUTED_VALUE"""),"Field (General)")</f>
        <v>Field (General)</v>
      </c>
      <c r="P445" s="1" t="str">
        <f ca="1">IFERROR(__xludf.DUMMYFUNCTION("""COMPUTED_VALUE"""),"Outside on School Property")</f>
        <v>Outside on School Property</v>
      </c>
      <c r="Q445" s="1" t="str">
        <f ca="1">IFERROR(__xludf.DUMMYFUNCTION("""COMPUTED_VALUE"""),"Yes")</f>
        <v>Yes</v>
      </c>
      <c r="R445" s="1" t="str">
        <f ca="1">IFERROR(__xludf.DUMMYFUNCTION("""COMPUTED_VALUE"""),"Afternoon Classes")</f>
        <v>Afternoon Classes</v>
      </c>
      <c r="S445" s="5">
        <f ca="1">IFERROR(__xludf.DUMMYFUNCTION("""COMPUTED_VALUE"""),0.583333333333333)</f>
        <v>0.58333333333333304</v>
      </c>
      <c r="T445" s="1">
        <f ca="1">IFERROR(__xludf.DUMMYFUNCTION("""COMPUTED_VALUE"""),1)</f>
        <v>1</v>
      </c>
      <c r="U445" s="1" t="str">
        <f ca="1">IFERROR(__xludf.DUMMYFUNCTION("""COMPUTED_VALUE"""),"Student fired shot in school field while SRO and Principal were searching for him")</f>
        <v>Student fired shot in school field while SRO and Principal were searching for him</v>
      </c>
      <c r="V445" s="1" t="str">
        <f ca="1">IFERROR(__xludf.DUMMYFUNCTION("""COMPUTED_VALUE"""),"12:45 p.m., a male student left the school building. Shortly after that the school resource officer and director of safety began to search the premises for the child, eventually finding him in a field to the west of the school. When the officer found the "&amp;"student he was armed with a gun. The type of weapon has not been released. Fell said during the search the officer reported hearing sounds of gunfire. The officer was able to detain the child without injury or anyone being hurt. Fell said the initial inve"&amp;"stigation leads them to believe the child entered a house near the school and retrieved the firearm. Fell clarified that they do not believe the child lived at the house where the gun was retrieved. Fell added that once the student was in custody, the sch"&amp;"ool was able to release students to their parents.")</f>
        <v>12:45 p.m., a male student left the school building. Shortly after that the school resource officer and director of safety began to search the premises for the child, eventually finding him in a field to the west of the school. When the officer found the student he was armed with a gun. The type of weapon has not been released. Fell said during the search the officer reported hearing sounds of gunfire. The officer was able to detain the child without injury or anyone being hurt. Fell said the initial investigation leads them to believe the child entered a house near the school and retrieved the firearm. Fell clarified that they do not believe the child lived at the house where the gun was retrieved. Fell added that once the student was in custody, the school was able to release students to their parents.</v>
      </c>
      <c r="W445" s="1"/>
      <c r="X445" s="1"/>
      <c r="Y445" s="1" t="str">
        <f ca="1">IFERROR(__xludf.DUMMYFUNCTION("""COMPUTED_VALUE"""),"No")</f>
        <v>No</v>
      </c>
      <c r="Z445" s="1"/>
      <c r="AA445" s="1" t="str">
        <f ca="1">IFERROR(__xludf.DUMMYFUNCTION("""COMPUTED_VALUE"""),"No")</f>
        <v>No</v>
      </c>
      <c r="AB445" s="1" t="str">
        <f ca="1">IFERROR(__xludf.DUMMYFUNCTION("""COMPUTED_VALUE"""),"No")</f>
        <v>No</v>
      </c>
      <c r="AC445" s="1" t="str">
        <f ca="1">IFERROR(__xludf.DUMMYFUNCTION("""COMPUTED_VALUE"""),"No")</f>
        <v>No</v>
      </c>
      <c r="AD445" s="1"/>
      <c r="AE445" s="1" t="str">
        <f ca="1">IFERROR(__xludf.DUMMYFUNCTION("""COMPUTED_VALUE"""),"No")</f>
        <v>No</v>
      </c>
      <c r="AF445" s="1" t="str">
        <f ca="1">IFERROR(__xludf.DUMMYFUNCTION("""COMPUTED_VALUE"""),"No")</f>
        <v>No</v>
      </c>
      <c r="AG445" s="1"/>
      <c r="AH445" s="1">
        <f ca="1">IFERROR(__xludf.DUMMYFUNCTION("""COMPUTED_VALUE"""),99)</f>
        <v>99</v>
      </c>
    </row>
    <row r="446" spans="1:34" ht="12.5">
      <c r="A446" s="1" t="str">
        <f ca="1">IFERROR(__xludf.DUMMYFUNCTION("""COMPUTED_VALUE"""),"20221206ILMIC")</f>
        <v>20221206ILMIC</v>
      </c>
      <c r="B446" s="1">
        <f ca="1">IFERROR(__xludf.DUMMYFUNCTION("""COMPUTED_VALUE"""),12)</f>
        <v>12</v>
      </c>
      <c r="C446" s="1">
        <f ca="1">IFERROR(__xludf.DUMMYFUNCTION("""COMPUTED_VALUE"""),6)</f>
        <v>6</v>
      </c>
      <c r="D446" s="1">
        <f ca="1">IFERROR(__xludf.DUMMYFUNCTION("""COMPUTED_VALUE"""),2022)</f>
        <v>2022</v>
      </c>
      <c r="E446" s="4">
        <f ca="1">IFERROR(__xludf.DUMMYFUNCTION("""COMPUTED_VALUE"""),44901)</f>
        <v>44901</v>
      </c>
      <c r="F446" s="1" t="str">
        <f ca="1">IFERROR(__xludf.DUMMYFUNCTION("""COMPUTED_VALUE"""),"Michele Clark Magnet High School")</f>
        <v>Michele Clark Magnet High School</v>
      </c>
      <c r="G446" s="1">
        <f ca="1">IFERROR(__xludf.DUMMYFUNCTION("""COMPUTED_VALUE"""),1)</f>
        <v>1</v>
      </c>
      <c r="H446" s="1">
        <f ca="1">IFERROR(__xludf.DUMMYFUNCTION("""COMPUTED_VALUE"""),0)</f>
        <v>0</v>
      </c>
      <c r="I446" s="1">
        <f ca="1">IFERROR(__xludf.DUMMYFUNCTION("""COMPUTED_VALUE"""),1)</f>
        <v>1</v>
      </c>
      <c r="J446" s="1">
        <f ca="1">IFERROR(__xludf.DUMMYFUNCTION("""COMPUTED_VALUE"""),0)</f>
        <v>0</v>
      </c>
      <c r="K446" s="1" t="str">
        <f ca="1">IFERROR(__xludf.DUMMYFUNCTION("""COMPUTED_VALUE"""),"Winter")</f>
        <v>Winter</v>
      </c>
      <c r="L446" s="1" t="str">
        <f ca="1">IFERROR(__xludf.DUMMYFUNCTION("""COMPUTED_VALUE"""),"Chicago")</f>
        <v>Chicago</v>
      </c>
      <c r="M446" s="1" t="str">
        <f ca="1">IFERROR(__xludf.DUMMYFUNCTION("""COMPUTED_VALUE"""),"IL")</f>
        <v>IL</v>
      </c>
      <c r="N446" s="1" t="str">
        <f ca="1">IFERROR(__xludf.DUMMYFUNCTION("""COMPUTED_VALUE"""),"High")</f>
        <v>High</v>
      </c>
      <c r="O446" s="1" t="str">
        <f ca="1">IFERROR(__xludf.DUMMYFUNCTION("""COMPUTED_VALUE"""),"Front of School")</f>
        <v>Front of School</v>
      </c>
      <c r="P446" s="1" t="str">
        <f ca="1">IFERROR(__xludf.DUMMYFUNCTION("""COMPUTED_VALUE"""),"Outside on School Property")</f>
        <v>Outside on School Property</v>
      </c>
      <c r="Q446" s="1" t="str">
        <f ca="1">IFERROR(__xludf.DUMMYFUNCTION("""COMPUTED_VALUE"""),"Yes")</f>
        <v>Yes</v>
      </c>
      <c r="R446" s="1" t="str">
        <f ca="1">IFERROR(__xludf.DUMMYFUNCTION("""COMPUTED_VALUE"""),"Dismissal")</f>
        <v>Dismissal</v>
      </c>
      <c r="S446" s="5">
        <f ca="1">IFERROR(__xludf.DUMMYFUNCTION("""COMPUTED_VALUE"""),0.636111111111111)</f>
        <v>0.63611111111111096</v>
      </c>
      <c r="T446" s="1">
        <f ca="1">IFERROR(__xludf.DUMMYFUNCTION("""COMPUTED_VALUE"""),1)</f>
        <v>1</v>
      </c>
      <c r="U446" s="1" t="str">
        <f ca="1">IFERROR(__xludf.DUMMYFUNCTION("""COMPUTED_VALUE"""),"Student fatally shot at dismissal leaving school")</f>
        <v>Student fatally shot at dismissal leaving school</v>
      </c>
      <c r="V446" s="1" t="str">
        <f ca="1">IFERROR(__xludf.DUMMYFUNCTION("""COMPUTED_VALUE"""),"Multiple shots fired in front of the school at dismissal. Unclear if 16-year-old male student killed was bystander or target. Shooter fled.")</f>
        <v>Multiple shots fired in front of the school at dismissal. Unclear if 16-year-old male student killed was bystander or target. Shooter fled.</v>
      </c>
      <c r="W446" s="1"/>
      <c r="X446" s="1"/>
      <c r="Y446" s="1" t="str">
        <f ca="1">IFERROR(__xludf.DUMMYFUNCTION("""COMPUTED_VALUE"""),"No")</f>
        <v>No</v>
      </c>
      <c r="Z446" s="1"/>
      <c r="AA446" s="1" t="str">
        <f ca="1">IFERROR(__xludf.DUMMYFUNCTION("""COMPUTED_VALUE"""),"No")</f>
        <v>No</v>
      </c>
      <c r="AB446" s="1" t="str">
        <f ca="1">IFERROR(__xludf.DUMMYFUNCTION("""COMPUTED_VALUE"""),"No")</f>
        <v>No</v>
      </c>
      <c r="AC446" s="1" t="str">
        <f ca="1">IFERROR(__xludf.DUMMYFUNCTION("""COMPUTED_VALUE"""),"No")</f>
        <v>No</v>
      </c>
      <c r="AD446" s="1" t="str">
        <f ca="1">IFERROR(__xludf.DUMMYFUNCTION("""COMPUTED_VALUE"""),"No")</f>
        <v>No</v>
      </c>
      <c r="AE446" s="1" t="str">
        <f ca="1">IFERROR(__xludf.DUMMYFUNCTION("""COMPUTED_VALUE"""),"No")</f>
        <v>No</v>
      </c>
      <c r="AF446" s="1"/>
      <c r="AG446" s="1" t="str">
        <f ca="1">IFERROR(__xludf.DUMMYFUNCTION("""COMPUTED_VALUE"""),"No")</f>
        <v>No</v>
      </c>
      <c r="AH446" s="1">
        <f ca="1">IFERROR(__xludf.DUMMYFUNCTION("""COMPUTED_VALUE"""),99)</f>
        <v>99</v>
      </c>
    </row>
    <row r="447" spans="1:34" ht="12.5">
      <c r="A447" s="1" t="str">
        <f ca="1">IFERROR(__xludf.DUMMYFUNCTION("""COMPUTED_VALUE"""),"20221206ALLEM")</f>
        <v>20221206ALLEM</v>
      </c>
      <c r="B447" s="1">
        <f ca="1">IFERROR(__xludf.DUMMYFUNCTION("""COMPUTED_VALUE"""),12)</f>
        <v>12</v>
      </c>
      <c r="C447" s="1">
        <f ca="1">IFERROR(__xludf.DUMMYFUNCTION("""COMPUTED_VALUE"""),6)</f>
        <v>6</v>
      </c>
      <c r="D447" s="1">
        <f ca="1">IFERROR(__xludf.DUMMYFUNCTION("""COMPUTED_VALUE"""),2022)</f>
        <v>2022</v>
      </c>
      <c r="E447" s="4">
        <f ca="1">IFERROR(__xludf.DUMMYFUNCTION("""COMPUTED_VALUE"""),44901)</f>
        <v>44901</v>
      </c>
      <c r="F447" s="1" t="str">
        <f ca="1">IFERROR(__xludf.DUMMYFUNCTION("""COMPUTED_VALUE"""),"Robert E Lee High School")</f>
        <v>Robert E Lee High School</v>
      </c>
      <c r="G447" s="1">
        <f ca="1">IFERROR(__xludf.DUMMYFUNCTION("""COMPUTED_VALUE"""),0)</f>
        <v>0</v>
      </c>
      <c r="H447" s="1">
        <f ca="1">IFERROR(__xludf.DUMMYFUNCTION("""COMPUTED_VALUE"""),0)</f>
        <v>0</v>
      </c>
      <c r="I447" s="1">
        <f ca="1">IFERROR(__xludf.DUMMYFUNCTION("""COMPUTED_VALUE"""),0)</f>
        <v>0</v>
      </c>
      <c r="J447" s="1">
        <f ca="1">IFERROR(__xludf.DUMMYFUNCTION("""COMPUTED_VALUE"""),0)</f>
        <v>0</v>
      </c>
      <c r="K447" s="1" t="str">
        <f ca="1">IFERROR(__xludf.DUMMYFUNCTION("""COMPUTED_VALUE"""),"Winter")</f>
        <v>Winter</v>
      </c>
      <c r="L447" s="1" t="str">
        <f ca="1">IFERROR(__xludf.DUMMYFUNCTION("""COMPUTED_VALUE"""),"Montgomery")</f>
        <v>Montgomery</v>
      </c>
      <c r="M447" s="1" t="str">
        <f ca="1">IFERROR(__xludf.DUMMYFUNCTION("""COMPUTED_VALUE"""),"AL")</f>
        <v>AL</v>
      </c>
      <c r="N447" s="1" t="str">
        <f ca="1">IFERROR(__xludf.DUMMYFUNCTION("""COMPUTED_VALUE"""),"High")</f>
        <v>High</v>
      </c>
      <c r="O447" s="1" t="str">
        <f ca="1">IFERROR(__xludf.DUMMYFUNCTION("""COMPUTED_VALUE"""),"Front of School")</f>
        <v>Front of School</v>
      </c>
      <c r="P447" s="1" t="str">
        <f ca="1">IFERROR(__xludf.DUMMYFUNCTION("""COMPUTED_VALUE"""),"Outside on School Property")</f>
        <v>Outside on School Property</v>
      </c>
      <c r="Q447" s="1" t="str">
        <f ca="1">IFERROR(__xludf.DUMMYFUNCTION("""COMPUTED_VALUE"""),"Yes")</f>
        <v>Yes</v>
      </c>
      <c r="R447" s="1" t="str">
        <f ca="1">IFERROR(__xludf.DUMMYFUNCTION("""COMPUTED_VALUE"""),"Dismissal")</f>
        <v>Dismissal</v>
      </c>
      <c r="S447" s="5">
        <f ca="1">IFERROR(__xludf.DUMMYFUNCTION("""COMPUTED_VALUE"""),0.625)</f>
        <v>0.625</v>
      </c>
      <c r="T447" s="1">
        <f ca="1">IFERROR(__xludf.DUMMYFUNCTION("""COMPUTED_VALUE"""),1)</f>
        <v>1</v>
      </c>
      <c r="U447" s="1" t="str">
        <f ca="1">IFERROR(__xludf.DUMMYFUNCTION("""COMPUTED_VALUE"""),"Shots fired at dismissal")</f>
        <v>Shots fired at dismissal</v>
      </c>
      <c r="V447" s="1" t="str">
        <f ca="1">IFERROR(__xludf.DUMMYFUNCTION("""COMPUTED_VALUE"""),"Shots fired at dismissal. Shooter fled. Police detained three people.")</f>
        <v>Shots fired at dismissal. Shooter fled. Police detained three people.</v>
      </c>
      <c r="W447" s="1"/>
      <c r="X447" s="1"/>
      <c r="Y447" s="1" t="str">
        <f ca="1">IFERROR(__xludf.DUMMYFUNCTION("""COMPUTED_VALUE"""),"No")</f>
        <v>No</v>
      </c>
      <c r="Z447" s="1"/>
      <c r="AA447" s="1" t="str">
        <f ca="1">IFERROR(__xludf.DUMMYFUNCTION("""COMPUTED_VALUE"""),"No")</f>
        <v>No</v>
      </c>
      <c r="AB447" s="1" t="str">
        <f ca="1">IFERROR(__xludf.DUMMYFUNCTION("""COMPUTED_VALUE"""),"No")</f>
        <v>No</v>
      </c>
      <c r="AC447" s="1" t="str">
        <f ca="1">IFERROR(__xludf.DUMMYFUNCTION("""COMPUTED_VALUE"""),"No")</f>
        <v>No</v>
      </c>
      <c r="AD447" s="1"/>
      <c r="AE447" s="1"/>
      <c r="AF447" s="1"/>
      <c r="AG447" s="1" t="str">
        <f ca="1">IFERROR(__xludf.DUMMYFUNCTION("""COMPUTED_VALUE"""),"No")</f>
        <v>No</v>
      </c>
      <c r="AH447" s="1">
        <f ca="1">IFERROR(__xludf.DUMMYFUNCTION("""COMPUTED_VALUE"""),99)</f>
        <v>99</v>
      </c>
    </row>
    <row r="448" spans="1:34" ht="12.5">
      <c r="A448" s="1" t="str">
        <f ca="1">IFERROR(__xludf.DUMMYFUNCTION("""COMPUTED_VALUE"""),"20221205TNFRM")</f>
        <v>20221205TNFRM</v>
      </c>
      <c r="B448" s="1">
        <f ca="1">IFERROR(__xludf.DUMMYFUNCTION("""COMPUTED_VALUE"""),12)</f>
        <v>12</v>
      </c>
      <c r="C448" s="1">
        <f ca="1">IFERROR(__xludf.DUMMYFUNCTION("""COMPUTED_VALUE"""),5)</f>
        <v>5</v>
      </c>
      <c r="D448" s="1">
        <f ca="1">IFERROR(__xludf.DUMMYFUNCTION("""COMPUTED_VALUE"""),2022)</f>
        <v>2022</v>
      </c>
      <c r="E448" s="4">
        <f ca="1">IFERROR(__xludf.DUMMYFUNCTION("""COMPUTED_VALUE"""),44900)</f>
        <v>44900</v>
      </c>
      <c r="F448" s="1" t="str">
        <f ca="1">IFERROR(__xludf.DUMMYFUNCTION("""COMPUTED_VALUE"""),"Freedom Prep High School")</f>
        <v>Freedom Prep High School</v>
      </c>
      <c r="G448" s="1">
        <f ca="1">IFERROR(__xludf.DUMMYFUNCTION("""COMPUTED_VALUE"""),0)</f>
        <v>0</v>
      </c>
      <c r="H448" s="1">
        <f ca="1">IFERROR(__xludf.DUMMYFUNCTION("""COMPUTED_VALUE"""),1)</f>
        <v>1</v>
      </c>
      <c r="I448" s="1">
        <f ca="1">IFERROR(__xludf.DUMMYFUNCTION("""COMPUTED_VALUE"""),1)</f>
        <v>1</v>
      </c>
      <c r="J448" s="1">
        <f ca="1">IFERROR(__xludf.DUMMYFUNCTION("""COMPUTED_VALUE"""),0)</f>
        <v>0</v>
      </c>
      <c r="K448" s="1" t="str">
        <f ca="1">IFERROR(__xludf.DUMMYFUNCTION("""COMPUTED_VALUE"""),"Winter")</f>
        <v>Winter</v>
      </c>
      <c r="L448" s="1" t="str">
        <f ca="1">IFERROR(__xludf.DUMMYFUNCTION("""COMPUTED_VALUE"""),"Memphis")</f>
        <v>Memphis</v>
      </c>
      <c r="M448" s="1" t="str">
        <f ca="1">IFERROR(__xludf.DUMMYFUNCTION("""COMPUTED_VALUE"""),"TN")</f>
        <v>TN</v>
      </c>
      <c r="N448" s="1" t="str">
        <f ca="1">IFERROR(__xludf.DUMMYFUNCTION("""COMPUTED_VALUE"""),"High")</f>
        <v>High</v>
      </c>
      <c r="O448" s="1" t="str">
        <f ca="1">IFERROR(__xludf.DUMMYFUNCTION("""COMPUTED_VALUE"""),"Inside School Building")</f>
        <v>Inside School Building</v>
      </c>
      <c r="P448" s="1" t="str">
        <f ca="1">IFERROR(__xludf.DUMMYFUNCTION("""COMPUTED_VALUE"""),"Inside School Building")</f>
        <v>Inside School Building</v>
      </c>
      <c r="Q448" s="1" t="str">
        <f ca="1">IFERROR(__xludf.DUMMYFUNCTION("""COMPUTED_VALUE"""),"Yes")</f>
        <v>Yes</v>
      </c>
      <c r="R448" s="1" t="str">
        <f ca="1">IFERROR(__xludf.DUMMYFUNCTION("""COMPUTED_VALUE"""),"Lunch")</f>
        <v>Lunch</v>
      </c>
      <c r="S448" s="5">
        <f ca="1">IFERROR(__xludf.DUMMYFUNCTION("""COMPUTED_VALUE"""),0.520833333333333)</f>
        <v>0.52083333333333304</v>
      </c>
      <c r="T448" s="1">
        <f ca="1">IFERROR(__xludf.DUMMYFUNCTION("""COMPUTED_VALUE"""),1)</f>
        <v>1</v>
      </c>
      <c r="U448" s="1" t="str">
        <f ca="1">IFERROR(__xludf.DUMMYFUNCTION("""COMPUTED_VALUE"""),"Student shot inside school")</f>
        <v>Student shot inside school</v>
      </c>
      <c r="V448" s="1" t="str">
        <f ca="1">IFERROR(__xludf.DUMMYFUNCTION("""COMPUTED_VALUE"""),"A child was rushed to the hospital after a gunshot went off at a Memphis school, according to the Memphis Police Department (MPD). MPD said a 15-year-old boy was injured in a shooting at Freedom Prep Charter School around 12:30 p.m. He was taken to Le Bon"&amp;"heur Children’s Hospital in non-critical condition, police said. MPD said it’s still unclear what led to that gunshot, but, after interviewing that 15-year-old and several witnesses, police believe the gunfire may have been accidental. The school was brie"&amp;"fly placed on lockdown but police determined that no unauthorized person was on campus and no additional threats were located, leading to the school being dismissed at its normal time. 15-year-old student arrested the following day.")</f>
        <v>A child was rushed to the hospital after a gunshot went off at a Memphis school, according to the Memphis Police Department (MPD). MPD said a 15-year-old boy was injured in a shooting at Freedom Prep Charter School around 12:30 p.m. He was taken to Le Bonheur Children’s Hospital in non-critical condition, police said. MPD said it’s still unclear what led to that gunshot, but, after interviewing that 15-year-old and several witnesses, police believe the gunfire may have been accidental. The school was briefly placed on lockdown but police determined that no unauthorized person was on campus and no additional threats were located, leading to the school being dismissed at its normal time. 15-year-old student arrested the following day.</v>
      </c>
      <c r="W448" s="1" t="str">
        <f ca="1">IFERROR(__xludf.DUMMYFUNCTION("""COMPUTED_VALUE"""),"Accidental")</f>
        <v>Accidental</v>
      </c>
      <c r="X448" s="1"/>
      <c r="Y448" s="1"/>
      <c r="Z448" s="1"/>
      <c r="AA448" s="1" t="str">
        <f ca="1">IFERROR(__xludf.DUMMYFUNCTION("""COMPUTED_VALUE"""),"No")</f>
        <v>No</v>
      </c>
      <c r="AB448" s="1" t="str">
        <f ca="1">IFERROR(__xludf.DUMMYFUNCTION("""COMPUTED_VALUE"""),"No")</f>
        <v>No</v>
      </c>
      <c r="AC448" s="1" t="str">
        <f ca="1">IFERROR(__xludf.DUMMYFUNCTION("""COMPUTED_VALUE"""),"No")</f>
        <v>No</v>
      </c>
      <c r="AD448" s="1"/>
      <c r="AE448" s="1" t="str">
        <f ca="1">IFERROR(__xludf.DUMMYFUNCTION("""COMPUTED_VALUE"""),"No")</f>
        <v>No</v>
      </c>
      <c r="AF448" s="1"/>
      <c r="AG448" s="1" t="str">
        <f ca="1">IFERROR(__xludf.DUMMYFUNCTION("""COMPUTED_VALUE"""),"No")</f>
        <v>No</v>
      </c>
      <c r="AH448" s="1">
        <f ca="1">IFERROR(__xludf.DUMMYFUNCTION("""COMPUTED_VALUE"""),1)</f>
        <v>1</v>
      </c>
    </row>
    <row r="449" spans="1:34" ht="12.5">
      <c r="A449" s="1" t="str">
        <f ca="1">IFERROR(__xludf.DUMMYFUNCTION("""COMPUTED_VALUE"""),"20221203WISOM")</f>
        <v>20221203WISOM</v>
      </c>
      <c r="B449" s="1">
        <f ca="1">IFERROR(__xludf.DUMMYFUNCTION("""COMPUTED_VALUE"""),12)</f>
        <v>12</v>
      </c>
      <c r="C449" s="1">
        <f ca="1">IFERROR(__xludf.DUMMYFUNCTION("""COMPUTED_VALUE"""),3)</f>
        <v>3</v>
      </c>
      <c r="D449" s="1">
        <f ca="1">IFERROR(__xludf.DUMMYFUNCTION("""COMPUTED_VALUE"""),2022)</f>
        <v>2022</v>
      </c>
      <c r="E449" s="4">
        <f ca="1">IFERROR(__xludf.DUMMYFUNCTION("""COMPUTED_VALUE"""),44898)</f>
        <v>44898</v>
      </c>
      <c r="F449" s="1" t="str">
        <f ca="1">IFERROR(__xludf.DUMMYFUNCTION("""COMPUTED_VALUE"""),"South Division High School")</f>
        <v>South Division High School</v>
      </c>
      <c r="G449" s="1">
        <f ca="1">IFERROR(__xludf.DUMMYFUNCTION("""COMPUTED_VALUE"""),1)</f>
        <v>1</v>
      </c>
      <c r="H449" s="1">
        <f ca="1">IFERROR(__xludf.DUMMYFUNCTION("""COMPUTED_VALUE"""),0)</f>
        <v>0</v>
      </c>
      <c r="I449" s="1">
        <f ca="1">IFERROR(__xludf.DUMMYFUNCTION("""COMPUTED_VALUE"""),1)</f>
        <v>1</v>
      </c>
      <c r="J449" s="1">
        <f ca="1">IFERROR(__xludf.DUMMYFUNCTION("""COMPUTED_VALUE"""),0)</f>
        <v>0</v>
      </c>
      <c r="K449" s="1" t="str">
        <f ca="1">IFERROR(__xludf.DUMMYFUNCTION("""COMPUTED_VALUE"""),"Winter")</f>
        <v>Winter</v>
      </c>
      <c r="L449" s="1" t="str">
        <f ca="1">IFERROR(__xludf.DUMMYFUNCTION("""COMPUTED_VALUE"""),"Milwaukee")</f>
        <v>Milwaukee</v>
      </c>
      <c r="M449" s="1" t="str">
        <f ca="1">IFERROR(__xludf.DUMMYFUNCTION("""COMPUTED_VALUE"""),"WI")</f>
        <v>WI</v>
      </c>
      <c r="N449" s="1" t="str">
        <f ca="1">IFERROR(__xludf.DUMMYFUNCTION("""COMPUTED_VALUE"""),"High")</f>
        <v>High</v>
      </c>
      <c r="O449" s="1" t="str">
        <f ca="1">IFERROR(__xludf.DUMMYFUNCTION("""COMPUTED_VALUE"""),"Parking Lot")</f>
        <v>Parking Lot</v>
      </c>
      <c r="P449" s="1" t="str">
        <f ca="1">IFERROR(__xludf.DUMMYFUNCTION("""COMPUTED_VALUE"""),"Outside on School Property")</f>
        <v>Outside on School Property</v>
      </c>
      <c r="Q449" s="1" t="str">
        <f ca="1">IFERROR(__xludf.DUMMYFUNCTION("""COMPUTED_VALUE"""),"No")</f>
        <v>No</v>
      </c>
      <c r="R449" s="1" t="str">
        <f ca="1">IFERROR(__xludf.DUMMYFUNCTION("""COMPUTED_VALUE"""),"Sport Event")</f>
        <v>Sport Event</v>
      </c>
      <c r="S449" s="5">
        <f ca="1">IFERROR(__xludf.DUMMYFUNCTION("""COMPUTED_VALUE"""),0.895833333333333)</f>
        <v>0.89583333333333304</v>
      </c>
      <c r="T449" s="1">
        <f ca="1">IFERROR(__xludf.DUMMYFUNCTION("""COMPUTED_VALUE"""),1)</f>
        <v>1</v>
      </c>
      <c r="U449" s="1" t="str">
        <f ca="1">IFERROR(__xludf.DUMMYFUNCTION("""COMPUTED_VALUE"""),"Teen fatally shot leaving basketball game")</f>
        <v>Teen fatally shot leaving basketball game</v>
      </c>
      <c r="V449" s="1" t="str">
        <f ca="1">IFERROR(__xludf.DUMMYFUNCTION("""COMPUTED_VALUE"""),"16-year-old fatally shot seven times leaving a high school basketball game. Shot in the parking lot next to the school. Shooter fled and arrested on Dec 28 based on witness statements and CCTV.")</f>
        <v>16-year-old fatally shot seven times leaving a high school basketball game. Shot in the parking lot next to the school. Shooter fled and arrested on Dec 28 based on witness statements and CCTV.</v>
      </c>
      <c r="W449" s="1" t="str">
        <f ca="1">IFERROR(__xludf.DUMMYFUNCTION("""COMPUTED_VALUE"""),"Escalation of Dispute")</f>
        <v>Escalation of Dispute</v>
      </c>
      <c r="X449" s="1" t="str">
        <f ca="1">IFERROR(__xludf.DUMMYFUNCTION("""COMPUTED_VALUE"""),"Victims Targeted")</f>
        <v>Victims Targeted</v>
      </c>
      <c r="Y449" s="1"/>
      <c r="Z449" s="1"/>
      <c r="AA449" s="1" t="str">
        <f ca="1">IFERROR(__xludf.DUMMYFUNCTION("""COMPUTED_VALUE"""),"No")</f>
        <v>No</v>
      </c>
      <c r="AB449" s="1" t="str">
        <f ca="1">IFERROR(__xludf.DUMMYFUNCTION("""COMPUTED_VALUE"""),"No")</f>
        <v>No</v>
      </c>
      <c r="AC449" s="1" t="str">
        <f ca="1">IFERROR(__xludf.DUMMYFUNCTION("""COMPUTED_VALUE"""),"No")</f>
        <v>No</v>
      </c>
      <c r="AD449" s="1" t="str">
        <f ca="1">IFERROR(__xludf.DUMMYFUNCTION("""COMPUTED_VALUE"""),"No")</f>
        <v>No</v>
      </c>
      <c r="AE449" s="1" t="str">
        <f ca="1">IFERROR(__xludf.DUMMYFUNCTION("""COMPUTED_VALUE"""),"No")</f>
        <v>No</v>
      </c>
      <c r="AF449" s="1"/>
      <c r="AG449" s="1" t="str">
        <f ca="1">IFERROR(__xludf.DUMMYFUNCTION("""COMPUTED_VALUE"""),"No")</f>
        <v>No</v>
      </c>
      <c r="AH449" s="1">
        <f ca="1">IFERROR(__xludf.DUMMYFUNCTION("""COMPUTED_VALUE"""),7)</f>
        <v>7</v>
      </c>
    </row>
    <row r="450" spans="1:34" ht="12.5">
      <c r="A450" s="1" t="str">
        <f ca="1">IFERROR(__xludf.DUMMYFUNCTION("""COMPUTED_VALUE"""),"20221202DEDEW")</f>
        <v>20221202DEDEW</v>
      </c>
      <c r="B450" s="1">
        <f ca="1">IFERROR(__xludf.DUMMYFUNCTION("""COMPUTED_VALUE"""),12)</f>
        <v>12</v>
      </c>
      <c r="C450" s="1">
        <f ca="1">IFERROR(__xludf.DUMMYFUNCTION("""COMPUTED_VALUE"""),2)</f>
        <v>2</v>
      </c>
      <c r="D450" s="1">
        <f ca="1">IFERROR(__xludf.DUMMYFUNCTION("""COMPUTED_VALUE"""),2022)</f>
        <v>2022</v>
      </c>
      <c r="E450" s="4">
        <f ca="1">IFERROR(__xludf.DUMMYFUNCTION("""COMPUTED_VALUE"""),44897)</f>
        <v>44897</v>
      </c>
      <c r="F450" s="1" t="str">
        <f ca="1">IFERROR(__xludf.DUMMYFUNCTION("""COMPUTED_VALUE"""),"Delcastle Technical High School")</f>
        <v>Delcastle Technical High School</v>
      </c>
      <c r="G450" s="1">
        <f ca="1">IFERROR(__xludf.DUMMYFUNCTION("""COMPUTED_VALUE"""),0)</f>
        <v>0</v>
      </c>
      <c r="H450" s="1">
        <f ca="1">IFERROR(__xludf.DUMMYFUNCTION("""COMPUTED_VALUE"""),0)</f>
        <v>0</v>
      </c>
      <c r="I450" s="1">
        <f ca="1">IFERROR(__xludf.DUMMYFUNCTION("""COMPUTED_VALUE"""),0)</f>
        <v>0</v>
      </c>
      <c r="J450" s="1">
        <f ca="1">IFERROR(__xludf.DUMMYFUNCTION("""COMPUTED_VALUE"""),0)</f>
        <v>0</v>
      </c>
      <c r="K450" s="1" t="str">
        <f ca="1">IFERROR(__xludf.DUMMYFUNCTION("""COMPUTED_VALUE"""),"Winter")</f>
        <v>Winter</v>
      </c>
      <c r="L450" s="1" t="str">
        <f ca="1">IFERROR(__xludf.DUMMYFUNCTION("""COMPUTED_VALUE"""),"Wilmington")</f>
        <v>Wilmington</v>
      </c>
      <c r="M450" s="1" t="str">
        <f ca="1">IFERROR(__xludf.DUMMYFUNCTION("""COMPUTED_VALUE"""),"DE")</f>
        <v>DE</v>
      </c>
      <c r="N450" s="1" t="str">
        <f ca="1">IFERROR(__xludf.DUMMYFUNCTION("""COMPUTED_VALUE"""),"High")</f>
        <v>High</v>
      </c>
      <c r="O450" s="1" t="str">
        <f ca="1">IFERROR(__xludf.DUMMYFUNCTION("""COMPUTED_VALUE"""),"School Bus")</f>
        <v>School Bus</v>
      </c>
      <c r="P450" s="1" t="str">
        <f ca="1">IFERROR(__xludf.DUMMYFUNCTION("""COMPUTED_VALUE"""),"School Bus")</f>
        <v>School Bus</v>
      </c>
      <c r="Q450" s="1" t="str">
        <f ca="1">IFERROR(__xludf.DUMMYFUNCTION("""COMPUTED_VALUE"""),"Yes")</f>
        <v>Yes</v>
      </c>
      <c r="R450" s="1" t="str">
        <f ca="1">IFERROR(__xludf.DUMMYFUNCTION("""COMPUTED_VALUE"""),"School Start")</f>
        <v>School Start</v>
      </c>
      <c r="S450" s="5">
        <f ca="1">IFERROR(__xludf.DUMMYFUNCTION("""COMPUTED_VALUE"""),0.3125)</f>
        <v>0.3125</v>
      </c>
      <c r="T450" s="1">
        <f ca="1">IFERROR(__xludf.DUMMYFUNCTION("""COMPUTED_VALUE"""),1)</f>
        <v>1</v>
      </c>
      <c r="U450" s="1" t="str">
        <f ca="1">IFERROR(__xludf.DUMMYFUNCTION("""COMPUTED_VALUE"""),"3 bullets stuck school bus with 36 students aboard")</f>
        <v>3 bullets stuck school bus with 36 students aboard</v>
      </c>
      <c r="V450" s="1" t="str">
        <f ca="1">IFERROR(__xludf.DUMMYFUNCTION("""COMPUTED_VALUE"""),"It all began when officers responded to the area of Route 141 and East Market Street around 7:30 a.m. for a report of a suspicious person with a gun. That person fled and gunfire erupted. A bus carrying 36 DelCastle Technical High School students was hit "&amp;"by bullets. The bus was at a stop sign, ready to make a right turn, when the shots were fired. Three bullets hit the bus, with one penetrating and lodging in the bus driver's armrest. The bus driver drove away from the shooting scene calmly and safely.")</f>
        <v>It all began when officers responded to the area of Route 141 and East Market Street around 7:30 a.m. for a report of a suspicious person with a gun. That person fled and gunfire erupted. A bus carrying 36 DelCastle Technical High School students was hit by bullets. The bus was at a stop sign, ready to make a right turn, when the shots were fired. Three bullets hit the bus, with one penetrating and lodging in the bus driver's armrest. The bus driver drove away from the shooting scene calmly and safely.</v>
      </c>
      <c r="W450" s="1" t="str">
        <f ca="1">IFERROR(__xludf.DUMMYFUNCTION("""COMPUTED_VALUE"""),"Drive-by Shooting")</f>
        <v>Drive-by Shooting</v>
      </c>
      <c r="X450" s="1" t="str">
        <f ca="1">IFERROR(__xludf.DUMMYFUNCTION("""COMPUTED_VALUE"""),"Both")</f>
        <v>Both</v>
      </c>
      <c r="Y450" s="1" t="str">
        <f ca="1">IFERROR(__xludf.DUMMYFUNCTION("""COMPUTED_VALUE"""),"No")</f>
        <v>No</v>
      </c>
      <c r="Z450" s="1"/>
      <c r="AA450" s="1" t="str">
        <f ca="1">IFERROR(__xludf.DUMMYFUNCTION("""COMPUTED_VALUE"""),"No")</f>
        <v>No</v>
      </c>
      <c r="AB450" s="1" t="str">
        <f ca="1">IFERROR(__xludf.DUMMYFUNCTION("""COMPUTED_VALUE"""),"No")</f>
        <v>No</v>
      </c>
      <c r="AC450" s="1" t="str">
        <f ca="1">IFERROR(__xludf.DUMMYFUNCTION("""COMPUTED_VALUE"""),"No")</f>
        <v>No</v>
      </c>
      <c r="AD450" s="1" t="str">
        <f ca="1">IFERROR(__xludf.DUMMYFUNCTION("""COMPUTED_VALUE"""),"No")</f>
        <v>No</v>
      </c>
      <c r="AE450" s="1" t="str">
        <f ca="1">IFERROR(__xludf.DUMMYFUNCTION("""COMPUTED_VALUE"""),"No")</f>
        <v>No</v>
      </c>
      <c r="AF450" s="1"/>
      <c r="AG450" s="1" t="str">
        <f ca="1">IFERROR(__xludf.DUMMYFUNCTION("""COMPUTED_VALUE"""),"No")</f>
        <v>No</v>
      </c>
      <c r="AH450" s="1">
        <f ca="1">IFERROR(__xludf.DUMMYFUNCTION("""COMPUTED_VALUE"""),99)</f>
        <v>99</v>
      </c>
    </row>
    <row r="451" spans="1:34" ht="12.5">
      <c r="A451" s="1" t="str">
        <f ca="1">IFERROR(__xludf.DUMMYFUNCTION("""COMPUTED_VALUE"""),"20221122MISTS")</f>
        <v>20221122MISTS</v>
      </c>
      <c r="B451" s="1">
        <f ca="1">IFERROR(__xludf.DUMMYFUNCTION("""COMPUTED_VALUE"""),11)</f>
        <v>11</v>
      </c>
      <c r="C451" s="1">
        <f ca="1">IFERROR(__xludf.DUMMYFUNCTION("""COMPUTED_VALUE"""),18)</f>
        <v>18</v>
      </c>
      <c r="D451" s="1">
        <f ca="1">IFERROR(__xludf.DUMMYFUNCTION("""COMPUTED_VALUE"""),2022)</f>
        <v>2022</v>
      </c>
      <c r="E451" s="4">
        <f ca="1">IFERROR(__xludf.DUMMYFUNCTION("""COMPUTED_VALUE"""),44883)</f>
        <v>44883</v>
      </c>
      <c r="F451" s="1" t="str">
        <f ca="1">IFERROR(__xludf.DUMMYFUNCTION("""COMPUTED_VALUE"""),"Standish-Sterling Central School Bus")</f>
        <v>Standish-Sterling Central School Bus</v>
      </c>
      <c r="G451" s="1">
        <f ca="1">IFERROR(__xludf.DUMMYFUNCTION("""COMPUTED_VALUE"""),0)</f>
        <v>0</v>
      </c>
      <c r="H451" s="1">
        <f ca="1">IFERROR(__xludf.DUMMYFUNCTION("""COMPUTED_VALUE"""),0)</f>
        <v>0</v>
      </c>
      <c r="I451" s="1">
        <f ca="1">IFERROR(__xludf.DUMMYFUNCTION("""COMPUTED_VALUE"""),0)</f>
        <v>0</v>
      </c>
      <c r="J451" s="1">
        <f ca="1">IFERROR(__xludf.DUMMYFUNCTION("""COMPUTED_VALUE"""),0)</f>
        <v>0</v>
      </c>
      <c r="K451" s="1" t="str">
        <f ca="1">IFERROR(__xludf.DUMMYFUNCTION("""COMPUTED_VALUE"""),"Fall")</f>
        <v>Fall</v>
      </c>
      <c r="L451" s="1" t="str">
        <f ca="1">IFERROR(__xludf.DUMMYFUNCTION("""COMPUTED_VALUE"""),"Standish")</f>
        <v>Standish</v>
      </c>
      <c r="M451" s="1" t="str">
        <f ca="1">IFERROR(__xludf.DUMMYFUNCTION("""COMPUTED_VALUE"""),"MI")</f>
        <v>MI</v>
      </c>
      <c r="N451" s="1" t="str">
        <f ca="1">IFERROR(__xludf.DUMMYFUNCTION("""COMPUTED_VALUE"""),"Other")</f>
        <v>Other</v>
      </c>
      <c r="O451" s="1" t="str">
        <f ca="1">IFERROR(__xludf.DUMMYFUNCTION("""COMPUTED_VALUE"""),"School Bus")</f>
        <v>School Bus</v>
      </c>
      <c r="P451" s="1" t="str">
        <f ca="1">IFERROR(__xludf.DUMMYFUNCTION("""COMPUTED_VALUE"""),"School Bus")</f>
        <v>School Bus</v>
      </c>
      <c r="Q451" s="1" t="str">
        <f ca="1">IFERROR(__xludf.DUMMYFUNCTION("""COMPUTED_VALUE"""),"Yes")</f>
        <v>Yes</v>
      </c>
      <c r="R451" s="1" t="str">
        <f ca="1">IFERROR(__xludf.DUMMYFUNCTION("""COMPUTED_VALUE"""),"Dismissal")</f>
        <v>Dismissal</v>
      </c>
      <c r="S451" s="5">
        <f ca="1">IFERROR(__xludf.DUMMYFUNCTION("""COMPUTED_VALUE"""),0.666666666666666)</f>
        <v>0.66666666666666596</v>
      </c>
      <c r="T451" s="1">
        <f ca="1">IFERROR(__xludf.DUMMYFUNCTION("""COMPUTED_VALUE"""),1)</f>
        <v>1</v>
      </c>
      <c r="U451" s="1" t="str">
        <f ca="1">IFERROR(__xludf.DUMMYFUNCTION("""COMPUTED_VALUE"""),"Bullet struck school window of occupied bus")</f>
        <v>Bullet struck school window of occupied bus</v>
      </c>
      <c r="V451" s="1" t="str">
        <f ca="1">IFERROR(__xludf.DUMMYFUNCTION("""COMPUTED_VALUE"""),"The bus driver heard a noise but wasn't sure what it was.  He finished the route, returned to the bus garage and that's when he noticed the bullet holes in the windows. A picture of the Standish-Sterling school bus shows a bullet hole in the window of the"&amp;" last seat on the bus. There were only two students on the bus at the time when it's believed the gunshot hit the bus late Friday afternoon.  The students were not hit. ""A window that had both an entrance and an exit from what they believed was a bullet "&amp;"and after further investigation, we believe also it was a bullet,"" says Arenac County Undersheriff Don McIntyre.")</f>
        <v>The bus driver heard a noise but wasn't sure what it was.  He finished the route, returned to the bus garage and that's when he noticed the bullet holes in the windows. A picture of the Standish-Sterling school bus shows a bullet hole in the window of the last seat on the bus. There were only two students on the bus at the time when it's believed the gunshot hit the bus late Friday afternoon.  The students were not hit. "A window that had both an entrance and an exit from what they believed was a bullet and after further investigation, we believe also it was a bullet," says Arenac County Undersheriff Don McIntyre.</v>
      </c>
      <c r="W451" s="1" t="str">
        <f ca="1">IFERROR(__xludf.DUMMYFUNCTION("""COMPUTED_VALUE"""),"Accidental")</f>
        <v>Accidental</v>
      </c>
      <c r="X451" s="1" t="str">
        <f ca="1">IFERROR(__xludf.DUMMYFUNCTION("""COMPUTED_VALUE"""),"Neither")</f>
        <v>Neither</v>
      </c>
      <c r="Y451" s="1" t="str">
        <f ca="1">IFERROR(__xludf.DUMMYFUNCTION("""COMPUTED_VALUE"""),"No")</f>
        <v>No</v>
      </c>
      <c r="Z451" s="1"/>
      <c r="AA451" s="1" t="str">
        <f ca="1">IFERROR(__xludf.DUMMYFUNCTION("""COMPUTED_VALUE"""),"No")</f>
        <v>No</v>
      </c>
      <c r="AB451" s="1" t="str">
        <f ca="1">IFERROR(__xludf.DUMMYFUNCTION("""COMPUTED_VALUE"""),"No")</f>
        <v>No</v>
      </c>
      <c r="AC451" s="1" t="str">
        <f ca="1">IFERROR(__xludf.DUMMYFUNCTION("""COMPUTED_VALUE"""),"No")</f>
        <v>No</v>
      </c>
      <c r="AD451" s="1" t="str">
        <f ca="1">IFERROR(__xludf.DUMMYFUNCTION("""COMPUTED_VALUE"""),"No")</f>
        <v>No</v>
      </c>
      <c r="AE451" s="1" t="str">
        <f ca="1">IFERROR(__xludf.DUMMYFUNCTION("""COMPUTED_VALUE"""),"No")</f>
        <v>No</v>
      </c>
      <c r="AF451" s="1"/>
      <c r="AG451" s="1" t="str">
        <f ca="1">IFERROR(__xludf.DUMMYFUNCTION("""COMPUTED_VALUE"""),"No")</f>
        <v>No</v>
      </c>
      <c r="AH451" s="1">
        <f ca="1">IFERROR(__xludf.DUMMYFUNCTION("""COMPUTED_VALUE"""),1)</f>
        <v>1</v>
      </c>
    </row>
    <row r="452" spans="1:34" ht="12.5">
      <c r="A452" s="1" t="str">
        <f ca="1">IFERROR(__xludf.DUMMYFUNCTION("""COMPUTED_VALUE"""),"20221121MIHED")</f>
        <v>20221121MIHED</v>
      </c>
      <c r="B452" s="1">
        <f ca="1">IFERROR(__xludf.DUMMYFUNCTION("""COMPUTED_VALUE"""),11)</f>
        <v>11</v>
      </c>
      <c r="C452" s="1">
        <f ca="1">IFERROR(__xludf.DUMMYFUNCTION("""COMPUTED_VALUE"""),21)</f>
        <v>21</v>
      </c>
      <c r="D452" s="1">
        <f ca="1">IFERROR(__xludf.DUMMYFUNCTION("""COMPUTED_VALUE"""),2022)</f>
        <v>2022</v>
      </c>
      <c r="E452" s="4">
        <f ca="1">IFERROR(__xludf.DUMMYFUNCTION("""COMPUTED_VALUE"""),44886)</f>
        <v>44886</v>
      </c>
      <c r="F452" s="1" t="str">
        <f ca="1">IFERROR(__xludf.DUMMYFUNCTION("""COMPUTED_VALUE"""),"Henry Ford High School")</f>
        <v>Henry Ford High School</v>
      </c>
      <c r="G452" s="1">
        <f ca="1">IFERROR(__xludf.DUMMYFUNCTION("""COMPUTED_VALUE"""),0)</f>
        <v>0</v>
      </c>
      <c r="H452" s="1">
        <f ca="1">IFERROR(__xludf.DUMMYFUNCTION("""COMPUTED_VALUE"""),2)</f>
        <v>2</v>
      </c>
      <c r="I452" s="1">
        <f ca="1">IFERROR(__xludf.DUMMYFUNCTION("""COMPUTED_VALUE"""),2)</f>
        <v>2</v>
      </c>
      <c r="J452" s="1">
        <f ca="1">IFERROR(__xludf.DUMMYFUNCTION("""COMPUTED_VALUE"""),0)</f>
        <v>0</v>
      </c>
      <c r="K452" s="1" t="str">
        <f ca="1">IFERROR(__xludf.DUMMYFUNCTION("""COMPUTED_VALUE"""),"Fall")</f>
        <v>Fall</v>
      </c>
      <c r="L452" s="1" t="str">
        <f ca="1">IFERROR(__xludf.DUMMYFUNCTION("""COMPUTED_VALUE"""),"Detroit")</f>
        <v>Detroit</v>
      </c>
      <c r="M452" s="1" t="str">
        <f ca="1">IFERROR(__xludf.DUMMYFUNCTION("""COMPUTED_VALUE"""),"MI")</f>
        <v>MI</v>
      </c>
      <c r="N452" s="1" t="str">
        <f ca="1">IFERROR(__xludf.DUMMYFUNCTION("""COMPUTED_VALUE"""),"High")</f>
        <v>High</v>
      </c>
      <c r="O452" s="1" t="str">
        <f ca="1">IFERROR(__xludf.DUMMYFUNCTION("""COMPUTED_VALUE"""),"Front of School")</f>
        <v>Front of School</v>
      </c>
      <c r="P452" s="1" t="str">
        <f ca="1">IFERROR(__xludf.DUMMYFUNCTION("""COMPUTED_VALUE"""),"Outside on School Property")</f>
        <v>Outside on School Property</v>
      </c>
      <c r="Q452" s="1" t="str">
        <f ca="1">IFERROR(__xludf.DUMMYFUNCTION("""COMPUTED_VALUE"""),"Yes")</f>
        <v>Yes</v>
      </c>
      <c r="R452" s="1" t="str">
        <f ca="1">IFERROR(__xludf.DUMMYFUNCTION("""COMPUTED_VALUE"""),"Dismissal")</f>
        <v>Dismissal</v>
      </c>
      <c r="S452" s="5">
        <f ca="1">IFERROR(__xludf.DUMMYFUNCTION("""COMPUTED_VALUE"""),0.652777777777777)</f>
        <v>0.65277777777777701</v>
      </c>
      <c r="T452" s="1">
        <f ca="1">IFERROR(__xludf.DUMMYFUNCTION("""COMPUTED_VALUE"""),1)</f>
        <v>1</v>
      </c>
      <c r="U452" s="1" t="str">
        <f ca="1">IFERROR(__xludf.DUMMYFUNCTION("""COMPUTED_VALUE"""),"Two students wounded during targeted shooting at dismissal")</f>
        <v>Two students wounded during targeted shooting at dismissal</v>
      </c>
      <c r="V452" s="1" t="str">
        <f ca="1">IFERROR(__xludf.DUMMYFUNCTION("""COMPUTED_VALUE"""),"SUV with three teen shooters circled school multiple times at dismissal. Shooters got out and fired multiple shots at two male students, both were struck twice. Detroit school police officer was outside the building and heard the shots. Shooter got back i"&amp;"nto vehicle and fled the scene. 16-year-old arrested and charged as an adult on December 6.")</f>
        <v>SUV with three teen shooters circled school multiple times at dismissal. Shooters got out and fired multiple shots at two male students, both were struck twice. Detroit school police officer was outside the building and heard the shots. Shooter got back into vehicle and fled the scene. 16-year-old arrested and charged as an adult on December 6.</v>
      </c>
      <c r="W452" s="1" t="str">
        <f ca="1">IFERROR(__xludf.DUMMYFUNCTION("""COMPUTED_VALUE"""),"Escalation of Dispute")</f>
        <v>Escalation of Dispute</v>
      </c>
      <c r="X452" s="1" t="str">
        <f ca="1">IFERROR(__xludf.DUMMYFUNCTION("""COMPUTED_VALUE"""),"Victims Targeted")</f>
        <v>Victims Targeted</v>
      </c>
      <c r="Y452" s="1" t="str">
        <f ca="1">IFERROR(__xludf.DUMMYFUNCTION("""COMPUTED_VALUE"""),"Yes")</f>
        <v>Yes</v>
      </c>
      <c r="Z452" s="1" t="str">
        <f ca="1">IFERROR(__xludf.DUMMYFUNCTION("""COMPUTED_VALUE"""),"Three shooters")</f>
        <v>Three shooters</v>
      </c>
      <c r="AA452" s="1" t="str">
        <f ca="1">IFERROR(__xludf.DUMMYFUNCTION("""COMPUTED_VALUE"""),"No")</f>
        <v>No</v>
      </c>
      <c r="AB452" s="1" t="str">
        <f ca="1">IFERROR(__xludf.DUMMYFUNCTION("""COMPUTED_VALUE"""),"No")</f>
        <v>No</v>
      </c>
      <c r="AC452" s="1" t="str">
        <f ca="1">IFERROR(__xludf.DUMMYFUNCTION("""COMPUTED_VALUE"""),"No")</f>
        <v>No</v>
      </c>
      <c r="AD452" s="1" t="str">
        <f ca="1">IFERROR(__xludf.DUMMYFUNCTION("""COMPUTED_VALUE"""),"No")</f>
        <v>No</v>
      </c>
      <c r="AE452" s="1" t="str">
        <f ca="1">IFERROR(__xludf.DUMMYFUNCTION("""COMPUTED_VALUE"""),"No")</f>
        <v>No</v>
      </c>
      <c r="AF452" s="1"/>
      <c r="AG452" s="1" t="str">
        <f ca="1">IFERROR(__xludf.DUMMYFUNCTION("""COMPUTED_VALUE"""),"No")</f>
        <v>No</v>
      </c>
      <c r="AH452" s="1">
        <f ca="1">IFERROR(__xludf.DUMMYFUNCTION("""COMPUTED_VALUE"""),99)</f>
        <v>99</v>
      </c>
    </row>
    <row r="453" spans="1:34" ht="12.5">
      <c r="A453" s="1" t="str">
        <f ca="1">IFERROR(__xludf.DUMMYFUNCTION("""COMPUTED_VALUE"""),"20221118NYROS")</f>
        <v>20221118NYROS</v>
      </c>
      <c r="B453" s="1">
        <f ca="1">IFERROR(__xludf.DUMMYFUNCTION("""COMPUTED_VALUE"""),11)</f>
        <v>11</v>
      </c>
      <c r="C453" s="1">
        <f ca="1">IFERROR(__xludf.DUMMYFUNCTION("""COMPUTED_VALUE"""),18)</f>
        <v>18</v>
      </c>
      <c r="D453" s="1">
        <f ca="1">IFERROR(__xludf.DUMMYFUNCTION("""COMPUTED_VALUE"""),2022)</f>
        <v>2022</v>
      </c>
      <c r="E453" s="4">
        <f ca="1">IFERROR(__xludf.DUMMYFUNCTION("""COMPUTED_VALUE"""),44883)</f>
        <v>44883</v>
      </c>
      <c r="F453" s="1" t="str">
        <f ca="1">IFERROR(__xludf.DUMMYFUNCTION("""COMPUTED_VALUE"""),"Roberts Elementary School")</f>
        <v>Roberts Elementary School</v>
      </c>
      <c r="G453" s="1">
        <f ca="1">IFERROR(__xludf.DUMMYFUNCTION("""COMPUTED_VALUE"""),0)</f>
        <v>0</v>
      </c>
      <c r="H453" s="1">
        <f ca="1">IFERROR(__xludf.DUMMYFUNCTION("""COMPUTED_VALUE"""),0)</f>
        <v>0</v>
      </c>
      <c r="I453" s="1">
        <f ca="1">IFERROR(__xludf.DUMMYFUNCTION("""COMPUTED_VALUE"""),0)</f>
        <v>0</v>
      </c>
      <c r="J453" s="1">
        <f ca="1">IFERROR(__xludf.DUMMYFUNCTION("""COMPUTED_VALUE"""),0)</f>
        <v>0</v>
      </c>
      <c r="K453" s="1" t="str">
        <f ca="1">IFERROR(__xludf.DUMMYFUNCTION("""COMPUTED_VALUE"""),"Fall")</f>
        <v>Fall</v>
      </c>
      <c r="L453" s="1" t="str">
        <f ca="1">IFERROR(__xludf.DUMMYFUNCTION("""COMPUTED_VALUE"""),"Syracuse")</f>
        <v>Syracuse</v>
      </c>
      <c r="M453" s="1" t="str">
        <f ca="1">IFERROR(__xludf.DUMMYFUNCTION("""COMPUTED_VALUE"""),"NY")</f>
        <v>NY</v>
      </c>
      <c r="N453" s="1" t="str">
        <f ca="1">IFERROR(__xludf.DUMMYFUNCTION("""COMPUTED_VALUE"""),"Elementary")</f>
        <v>Elementary</v>
      </c>
      <c r="O453" s="1" t="str">
        <f ca="1">IFERROR(__xludf.DUMMYFUNCTION("""COMPUTED_VALUE"""),"Parking Lot")</f>
        <v>Parking Lot</v>
      </c>
      <c r="P453" s="1" t="str">
        <f ca="1">IFERROR(__xludf.DUMMYFUNCTION("""COMPUTED_VALUE"""),"Outside on School Property")</f>
        <v>Outside on School Property</v>
      </c>
      <c r="Q453" s="1" t="str">
        <f ca="1">IFERROR(__xludf.DUMMYFUNCTION("""COMPUTED_VALUE"""),"Yes")</f>
        <v>Yes</v>
      </c>
      <c r="R453" s="1" t="str">
        <f ca="1">IFERROR(__xludf.DUMMYFUNCTION("""COMPUTED_VALUE"""),"Afternoon Classes")</f>
        <v>Afternoon Classes</v>
      </c>
      <c r="S453" s="5">
        <f ca="1">IFERROR(__xludf.DUMMYFUNCTION("""COMPUTED_VALUE"""),0.583333333333333)</f>
        <v>0.58333333333333304</v>
      </c>
      <c r="T453" s="1">
        <f ca="1">IFERROR(__xludf.DUMMYFUNCTION("""COMPUTED_VALUE"""),1)</f>
        <v>1</v>
      </c>
      <c r="U453" s="1" t="str">
        <f ca="1">IFERROR(__xludf.DUMMYFUNCTION("""COMPUTED_VALUE"""),"Multiple shots fired in parking lot, shooter fled")</f>
        <v>Multiple shots fired in parking lot, shooter fled</v>
      </c>
      <c r="V453" s="1" t="str">
        <f ca="1">IFERROR(__xludf.DUMMYFUNCTION("""COMPUTED_VALUE"""),"Just after 2 p.m. on Friday, November 18, many shell casings were found in the parking lot of the elementary school, which is part of the Syracuse City School District. Police say nobody was hurt and there have been no arrests.")</f>
        <v>Just after 2 p.m. on Friday, November 18, many shell casings were found in the parking lot of the elementary school, which is part of the Syracuse City School District. Police say nobody was hurt and there have been no arrests.</v>
      </c>
      <c r="W453" s="1"/>
      <c r="X453" s="1"/>
      <c r="Y453" s="1"/>
      <c r="Z453" s="1"/>
      <c r="AA453" s="1" t="str">
        <f ca="1">IFERROR(__xludf.DUMMYFUNCTION("""COMPUTED_VALUE"""),"No")</f>
        <v>No</v>
      </c>
      <c r="AB453" s="1" t="str">
        <f ca="1">IFERROR(__xludf.DUMMYFUNCTION("""COMPUTED_VALUE"""),"No")</f>
        <v>No</v>
      </c>
      <c r="AC453" s="1" t="str">
        <f ca="1">IFERROR(__xludf.DUMMYFUNCTION("""COMPUTED_VALUE"""),"No")</f>
        <v>No</v>
      </c>
      <c r="AD453" s="1" t="str">
        <f ca="1">IFERROR(__xludf.DUMMYFUNCTION("""COMPUTED_VALUE"""),"No")</f>
        <v>No</v>
      </c>
      <c r="AE453" s="1" t="str">
        <f ca="1">IFERROR(__xludf.DUMMYFUNCTION("""COMPUTED_VALUE"""),"No")</f>
        <v>No</v>
      </c>
      <c r="AF453" s="1"/>
      <c r="AG453" s="1" t="str">
        <f ca="1">IFERROR(__xludf.DUMMYFUNCTION("""COMPUTED_VALUE"""),"No")</f>
        <v>No</v>
      </c>
      <c r="AH453" s="1">
        <f ca="1">IFERROR(__xludf.DUMMYFUNCTION("""COMPUTED_VALUE"""),99)</f>
        <v>99</v>
      </c>
    </row>
    <row r="454" spans="1:34" ht="12.5">
      <c r="A454" s="1" t="str">
        <f ca="1">IFERROR(__xludf.DUMMYFUNCTION("""COMPUTED_VALUE"""),"20221118DCJAW")</f>
        <v>20221118DCJAW</v>
      </c>
      <c r="B454" s="1">
        <f ca="1">IFERROR(__xludf.DUMMYFUNCTION("""COMPUTED_VALUE"""),11)</f>
        <v>11</v>
      </c>
      <c r="C454" s="1">
        <f ca="1">IFERROR(__xludf.DUMMYFUNCTION("""COMPUTED_VALUE"""),18)</f>
        <v>18</v>
      </c>
      <c r="D454" s="1">
        <f ca="1">IFERROR(__xludf.DUMMYFUNCTION("""COMPUTED_VALUE"""),2022)</f>
        <v>2022</v>
      </c>
      <c r="E454" s="4">
        <f ca="1">IFERROR(__xludf.DUMMYFUNCTION("""COMPUTED_VALUE"""),44883)</f>
        <v>44883</v>
      </c>
      <c r="F454" s="1" t="str">
        <f ca="1">IFERROR(__xludf.DUMMYFUNCTION("""COMPUTED_VALUE"""),"Jackson Reed High School")</f>
        <v>Jackson Reed High School</v>
      </c>
      <c r="G454" s="1">
        <f ca="1">IFERROR(__xludf.DUMMYFUNCTION("""COMPUTED_VALUE"""),0)</f>
        <v>0</v>
      </c>
      <c r="H454" s="1">
        <f ca="1">IFERROR(__xludf.DUMMYFUNCTION("""COMPUTED_VALUE"""),0)</f>
        <v>0</v>
      </c>
      <c r="I454" s="1">
        <f ca="1">IFERROR(__xludf.DUMMYFUNCTION("""COMPUTED_VALUE"""),0)</f>
        <v>0</v>
      </c>
      <c r="J454" s="1">
        <f ca="1">IFERROR(__xludf.DUMMYFUNCTION("""COMPUTED_VALUE"""),0)</f>
        <v>0</v>
      </c>
      <c r="K454" s="1" t="str">
        <f ca="1">IFERROR(__xludf.DUMMYFUNCTION("""COMPUTED_VALUE"""),"Fall")</f>
        <v>Fall</v>
      </c>
      <c r="L454" s="1" t="str">
        <f ca="1">IFERROR(__xludf.DUMMYFUNCTION("""COMPUTED_VALUE"""),"Washington")</f>
        <v>Washington</v>
      </c>
      <c r="M454" s="1" t="str">
        <f ca="1">IFERROR(__xludf.DUMMYFUNCTION("""COMPUTED_VALUE"""),"DC")</f>
        <v>DC</v>
      </c>
      <c r="N454" s="1" t="str">
        <f ca="1">IFERROR(__xludf.DUMMYFUNCTION("""COMPUTED_VALUE"""),"High")</f>
        <v>High</v>
      </c>
      <c r="O454" s="1" t="str">
        <f ca="1">IFERROR(__xludf.DUMMYFUNCTION("""COMPUTED_VALUE"""),"Front of School")</f>
        <v>Front of School</v>
      </c>
      <c r="P454" s="1" t="str">
        <f ca="1">IFERROR(__xludf.DUMMYFUNCTION("""COMPUTED_VALUE"""),"Outside on School Property")</f>
        <v>Outside on School Property</v>
      </c>
      <c r="Q454" s="1" t="str">
        <f ca="1">IFERROR(__xludf.DUMMYFUNCTION("""COMPUTED_VALUE"""),"Yes")</f>
        <v>Yes</v>
      </c>
      <c r="R454" s="1" t="str">
        <f ca="1">IFERROR(__xludf.DUMMYFUNCTION("""COMPUTED_VALUE"""),"Afternoon Classes")</f>
        <v>Afternoon Classes</v>
      </c>
      <c r="S454" s="5">
        <f ca="1">IFERROR(__xludf.DUMMYFUNCTION("""COMPUTED_VALUE"""),0.614583333333333)</f>
        <v>0.61458333333333304</v>
      </c>
      <c r="T454" s="1">
        <f ca="1">IFERROR(__xludf.DUMMYFUNCTION("""COMPUTED_VALUE"""),1)</f>
        <v>1</v>
      </c>
      <c r="U454" s="1" t="str">
        <f ca="1">IFERROR(__xludf.DUMMYFUNCTION("""COMPUTED_VALUE"""),"Shots fired in front of the school, shooter fled in vehicle")</f>
        <v>Shots fired in front of the school, shooter fled in vehicle</v>
      </c>
      <c r="V454" s="1" t="str">
        <f ca="1">IFERROR(__xludf.DUMMYFUNCTION("""COMPUTED_VALUE"""),"At least 13 shots fired in front of the school. Shooter got into vehicle and fled. School placed on lockdown for 1.5 hours. No injuries.")</f>
        <v>At least 13 shots fired in front of the school. Shooter got into vehicle and fled. School placed on lockdown for 1.5 hours. No injuries.</v>
      </c>
      <c r="W454" s="1"/>
      <c r="X454" s="1"/>
      <c r="Y454" s="1" t="str">
        <f ca="1">IFERROR(__xludf.DUMMYFUNCTION("""COMPUTED_VALUE"""),"Yes")</f>
        <v>Yes</v>
      </c>
      <c r="Z454" s="1" t="str">
        <f ca="1">IFERROR(__xludf.DUMMYFUNCTION("""COMPUTED_VALUE"""),"Multiple people in escape vehicle")</f>
        <v>Multiple people in escape vehicle</v>
      </c>
      <c r="AA454" s="1" t="str">
        <f ca="1">IFERROR(__xludf.DUMMYFUNCTION("""COMPUTED_VALUE"""),"No")</f>
        <v>No</v>
      </c>
      <c r="AB454" s="1" t="str">
        <f ca="1">IFERROR(__xludf.DUMMYFUNCTION("""COMPUTED_VALUE"""),"No")</f>
        <v>No</v>
      </c>
      <c r="AC454" s="1" t="str">
        <f ca="1">IFERROR(__xludf.DUMMYFUNCTION("""COMPUTED_VALUE"""),"No")</f>
        <v>No</v>
      </c>
      <c r="AD454" s="1" t="str">
        <f ca="1">IFERROR(__xludf.DUMMYFUNCTION("""COMPUTED_VALUE"""),"No")</f>
        <v>No</v>
      </c>
      <c r="AE454" s="1" t="str">
        <f ca="1">IFERROR(__xludf.DUMMYFUNCTION("""COMPUTED_VALUE"""),"No")</f>
        <v>No</v>
      </c>
      <c r="AF454" s="1"/>
      <c r="AG454" s="1" t="str">
        <f ca="1">IFERROR(__xludf.DUMMYFUNCTION("""COMPUTED_VALUE"""),"No")</f>
        <v>No</v>
      </c>
      <c r="AH454" s="1">
        <f ca="1">IFERROR(__xludf.DUMMYFUNCTION("""COMPUTED_VALUE"""),13)</f>
        <v>13</v>
      </c>
    </row>
    <row r="455" spans="1:34" ht="12.5">
      <c r="A455" s="1" t="str">
        <f ca="1">IFERROR(__xludf.DUMMYFUNCTION("""COMPUTED_VALUE"""),"20221117CAEAL")</f>
        <v>20221117CAEAL</v>
      </c>
      <c r="B455" s="1">
        <f ca="1">IFERROR(__xludf.DUMMYFUNCTION("""COMPUTED_VALUE"""),11)</f>
        <v>11</v>
      </c>
      <c r="C455" s="1">
        <f ca="1">IFERROR(__xludf.DUMMYFUNCTION("""COMPUTED_VALUE"""),17)</f>
        <v>17</v>
      </c>
      <c r="D455" s="1">
        <f ca="1">IFERROR(__xludf.DUMMYFUNCTION("""COMPUTED_VALUE"""),2022)</f>
        <v>2022</v>
      </c>
      <c r="E455" s="4">
        <f ca="1">IFERROR(__xludf.DUMMYFUNCTION("""COMPUTED_VALUE"""),44882)</f>
        <v>44882</v>
      </c>
      <c r="F455" s="1" t="str">
        <f ca="1">IFERROR(__xludf.DUMMYFUNCTION("""COMPUTED_VALUE"""),"Eagle Rock High School")</f>
        <v>Eagle Rock High School</v>
      </c>
      <c r="G455" s="1">
        <f ca="1">IFERROR(__xludf.DUMMYFUNCTION("""COMPUTED_VALUE"""),0)</f>
        <v>0</v>
      </c>
      <c r="H455" s="1">
        <f ca="1">IFERROR(__xludf.DUMMYFUNCTION("""COMPUTED_VALUE"""),0)</f>
        <v>0</v>
      </c>
      <c r="I455" s="1">
        <f ca="1">IFERROR(__xludf.DUMMYFUNCTION("""COMPUTED_VALUE"""),0)</f>
        <v>0</v>
      </c>
      <c r="J455" s="1">
        <f ca="1">IFERROR(__xludf.DUMMYFUNCTION("""COMPUTED_VALUE"""),0)</f>
        <v>0</v>
      </c>
      <c r="K455" s="1" t="str">
        <f ca="1">IFERROR(__xludf.DUMMYFUNCTION("""COMPUTED_VALUE"""),"Fall")</f>
        <v>Fall</v>
      </c>
      <c r="L455" s="1" t="str">
        <f ca="1">IFERROR(__xludf.DUMMYFUNCTION("""COMPUTED_VALUE"""),"Los Angeles")</f>
        <v>Los Angeles</v>
      </c>
      <c r="M455" s="1" t="str">
        <f ca="1">IFERROR(__xludf.DUMMYFUNCTION("""COMPUTED_VALUE"""),"CA")</f>
        <v>CA</v>
      </c>
      <c r="N455" s="1" t="str">
        <f ca="1">IFERROR(__xludf.DUMMYFUNCTION("""COMPUTED_VALUE"""),"High")</f>
        <v>High</v>
      </c>
      <c r="O455" s="1" t="str">
        <f ca="1">IFERROR(__xludf.DUMMYFUNCTION("""COMPUTED_VALUE"""),"Field (General)")</f>
        <v>Field (General)</v>
      </c>
      <c r="P455" s="1" t="str">
        <f ca="1">IFERROR(__xludf.DUMMYFUNCTION("""COMPUTED_VALUE"""),"Outside on School Property")</f>
        <v>Outside on School Property</v>
      </c>
      <c r="Q455" s="1" t="str">
        <f ca="1">IFERROR(__xludf.DUMMYFUNCTION("""COMPUTED_VALUE"""),"No")</f>
        <v>No</v>
      </c>
      <c r="R455" s="1" t="str">
        <f ca="1">IFERROR(__xludf.DUMMYFUNCTION("""COMPUTED_VALUE"""),"After School")</f>
        <v>After School</v>
      </c>
      <c r="S455" s="5">
        <f ca="1">IFERROR(__xludf.DUMMYFUNCTION("""COMPUTED_VALUE"""),0.665972222222222)</f>
        <v>0.66597222222222197</v>
      </c>
      <c r="T455" s="1">
        <f ca="1">IFERROR(__xludf.DUMMYFUNCTION("""COMPUTED_VALUE"""),1)</f>
        <v>1</v>
      </c>
      <c r="U455" s="1" t="str">
        <f ca="1">IFERROR(__xludf.DUMMYFUNCTION("""COMPUTED_VALUE"""),"Multiple shots fired near school athletic fields and pool during sports practice")</f>
        <v>Multiple shots fired near school athletic fields and pool during sports practice</v>
      </c>
      <c r="V455" s="1" t="str">
        <f ca="1">IFERROR(__xludf.DUMMYFUNCTION("""COMPUTED_VALUE"""),"During the water polo practice on that day (that these reporters were attending), a group of about twenty teenagers and several younger children walk up to the amphitheater behind the Yosemite pool, on the side of the pool closest to the woods. An initial"&amp;" volley of four shots is heard, seeming to have been fired at the far end of the Yosemite park baseball courts, near the street. A brief pause of about fifteen seconds elapses. A secondary volley of three shots is heard, seeming to have been fired from th"&amp;"e amphitheater behind Yosemite pool. Diego Lopez, the lifeguard on tower at the pool, blows a whistle, signaling the water polo team to evacuate the pool and take cover in the locker room. At the same time, the same twenty children from earlier run – as i"&amp;"f from something in the amphitheater – down the left (school) side of the pool. ERHS officially goes on lockdown at about 3:59 pm, and are told that ""this is not a drill,"" in an intercom message from Principal Steinorth. 911 is called around 4:00 pm. He"&amp;"licopters are heard first, overhead, from inside the locker room. No injuries. Shooter fled.")</f>
        <v>During the water polo practice on that day (that these reporters were attending), a group of about twenty teenagers and several younger children walk up to the amphitheater behind the Yosemite pool, on the side of the pool closest to the woods. An initial volley of four shots is heard, seeming to have been fired at the far end of the Yosemite park baseball courts, near the street. A brief pause of about fifteen seconds elapses. A secondary volley of three shots is heard, seeming to have been fired from the amphitheater behind Yosemite pool. Diego Lopez, the lifeguard on tower at the pool, blows a whistle, signaling the water polo team to evacuate the pool and take cover in the locker room. At the same time, the same twenty children from earlier run – as if from something in the amphitheater – down the left (school) side of the pool. ERHS officially goes on lockdown at about 3:59 pm, and are told that "this is not a drill," in an intercom message from Principal Steinorth. 911 is called around 4:00 pm. Helicopters are heard first, overhead, from inside the locker room. No injuries. Shooter fled.</v>
      </c>
      <c r="W455" s="1"/>
      <c r="X455" s="1"/>
      <c r="Y455" s="1"/>
      <c r="Z455" s="1"/>
      <c r="AA455" s="1" t="str">
        <f ca="1">IFERROR(__xludf.DUMMYFUNCTION("""COMPUTED_VALUE"""),"No")</f>
        <v>No</v>
      </c>
      <c r="AB455" s="1" t="str">
        <f ca="1">IFERROR(__xludf.DUMMYFUNCTION("""COMPUTED_VALUE"""),"No")</f>
        <v>No</v>
      </c>
      <c r="AC455" s="1" t="str">
        <f ca="1">IFERROR(__xludf.DUMMYFUNCTION("""COMPUTED_VALUE"""),"No")</f>
        <v>No</v>
      </c>
      <c r="AD455" s="1" t="str">
        <f ca="1">IFERROR(__xludf.DUMMYFUNCTION("""COMPUTED_VALUE"""),"No")</f>
        <v>No</v>
      </c>
      <c r="AE455" s="1" t="str">
        <f ca="1">IFERROR(__xludf.DUMMYFUNCTION("""COMPUTED_VALUE"""),"No")</f>
        <v>No</v>
      </c>
      <c r="AF455" s="1"/>
      <c r="AG455" s="1" t="str">
        <f ca="1">IFERROR(__xludf.DUMMYFUNCTION("""COMPUTED_VALUE"""),"No")</f>
        <v>No</v>
      </c>
      <c r="AH455" s="1">
        <f ca="1">IFERROR(__xludf.DUMMYFUNCTION("""COMPUTED_VALUE"""),8)</f>
        <v>8</v>
      </c>
    </row>
    <row r="456" spans="1:34" ht="12.5">
      <c r="A456" s="1" t="str">
        <f ca="1">IFERROR(__xludf.DUMMYFUNCTION("""COMPUTED_VALUE"""),"20221117INSOC")</f>
        <v>20221117INSOC</v>
      </c>
      <c r="B456" s="1">
        <f ca="1">IFERROR(__xludf.DUMMYFUNCTION("""COMPUTED_VALUE"""),11)</f>
        <v>11</v>
      </c>
      <c r="C456" s="1">
        <f ca="1">IFERROR(__xludf.DUMMYFUNCTION("""COMPUTED_VALUE"""),17)</f>
        <v>17</v>
      </c>
      <c r="D456" s="1">
        <f ca="1">IFERROR(__xludf.DUMMYFUNCTION("""COMPUTED_VALUE"""),2022)</f>
        <v>2022</v>
      </c>
      <c r="E456" s="4">
        <f ca="1">IFERROR(__xludf.DUMMYFUNCTION("""COMPUTED_VALUE"""),44882)</f>
        <v>44882</v>
      </c>
      <c r="F456" s="1" t="str">
        <f ca="1">IFERROR(__xludf.DUMMYFUNCTION("""COMPUTED_VALUE"""),"South Vermillion High School")</f>
        <v>South Vermillion High School</v>
      </c>
      <c r="G456" s="1">
        <f ca="1">IFERROR(__xludf.DUMMYFUNCTION("""COMPUTED_VALUE"""),0)</f>
        <v>0</v>
      </c>
      <c r="H456" s="1">
        <f ca="1">IFERROR(__xludf.DUMMYFUNCTION("""COMPUTED_VALUE"""),1)</f>
        <v>1</v>
      </c>
      <c r="I456" s="1">
        <f ca="1">IFERROR(__xludf.DUMMYFUNCTION("""COMPUTED_VALUE"""),1)</f>
        <v>1</v>
      </c>
      <c r="J456" s="1">
        <f ca="1">IFERROR(__xludf.DUMMYFUNCTION("""COMPUTED_VALUE"""),0)</f>
        <v>0</v>
      </c>
      <c r="K456" s="1" t="str">
        <f ca="1">IFERROR(__xludf.DUMMYFUNCTION("""COMPUTED_VALUE"""),"Fall")</f>
        <v>Fall</v>
      </c>
      <c r="L456" s="1" t="str">
        <f ca="1">IFERROR(__xludf.DUMMYFUNCTION("""COMPUTED_VALUE"""),"Clinton")</f>
        <v>Clinton</v>
      </c>
      <c r="M456" s="1" t="str">
        <f ca="1">IFERROR(__xludf.DUMMYFUNCTION("""COMPUTED_VALUE"""),"IN")</f>
        <v>IN</v>
      </c>
      <c r="N456" s="1" t="str">
        <f ca="1">IFERROR(__xludf.DUMMYFUNCTION("""COMPUTED_VALUE"""),"High")</f>
        <v>High</v>
      </c>
      <c r="O456" s="1" t="str">
        <f ca="1">IFERROR(__xludf.DUMMYFUNCTION("""COMPUTED_VALUE"""),"Classroom")</f>
        <v>Classroom</v>
      </c>
      <c r="P456" s="1" t="str">
        <f ca="1">IFERROR(__xludf.DUMMYFUNCTION("""COMPUTED_VALUE"""),"Inside School Building")</f>
        <v>Inside School Building</v>
      </c>
      <c r="Q456" s="1" t="str">
        <f ca="1">IFERROR(__xludf.DUMMYFUNCTION("""COMPUTED_VALUE"""),"Yes")</f>
        <v>Yes</v>
      </c>
      <c r="R456" s="1" t="str">
        <f ca="1">IFERROR(__xludf.DUMMYFUNCTION("""COMPUTED_VALUE"""),"Morning Classes")</f>
        <v>Morning Classes</v>
      </c>
      <c r="S456" s="5">
        <f ca="1">IFERROR(__xludf.DUMMYFUNCTION("""COMPUTED_VALUE"""),0.399305555555555)</f>
        <v>0.39930555555555503</v>
      </c>
      <c r="T456" s="1">
        <f ca="1">IFERROR(__xludf.DUMMYFUNCTION("""COMPUTED_VALUE"""),1)</f>
        <v>1</v>
      </c>
      <c r="U456" s="1" t="str">
        <f ca="1">IFERROR(__xludf.DUMMYFUNCTION("""COMPUTED_VALUE"""),"Officer fired gun during training scenario wounding student")</f>
        <v>Officer fired gun during training scenario wounding student</v>
      </c>
      <c r="V456" s="1" t="str">
        <f ca="1">IFERROR(__xludf.DUMMYFUNCTION("""COMPUTED_VALUE"""),"A high school student in Indiana was shot in class Thursday when a police officer's gun accidentally fired during a drill. Indiana State Police said at 9:35 a.m., 19-year veteran Vermillion County, Indiana Sheriff's Deputy Tim DisPennett was teaching a la"&amp;"w enforcement class at South Vermillion High School – located in Clinton, Indiana about 90 miles west of Indianapolis. During the class, DisPennett's gun accidentally went off and a student was struck, state police said. The student was rushed to a hospit"&amp;"al near Terre Haute with non-life-threatening injuries.")</f>
        <v>A high school student in Indiana was shot in class Thursday when a police officer's gun accidentally fired during a drill. Indiana State Police said at 9:35 a.m., 19-year veteran Vermillion County, Indiana Sheriff's Deputy Tim DisPennett was teaching a law enforcement class at South Vermillion High School – located in Clinton, Indiana about 90 miles west of Indianapolis. During the class, DisPennett's gun accidentally went off and a student was struck, state police said. The student was rushed to a hospital near Terre Haute with non-life-threatening injuries.</v>
      </c>
      <c r="W456" s="1" t="str">
        <f ca="1">IFERROR(__xludf.DUMMYFUNCTION("""COMPUTED_VALUE"""),"Accidental")</f>
        <v>Accidental</v>
      </c>
      <c r="X456" s="1" t="str">
        <f ca="1">IFERROR(__xludf.DUMMYFUNCTION("""COMPUTED_VALUE"""),"Neither")</f>
        <v>Neither</v>
      </c>
      <c r="Y456" s="1" t="str">
        <f ca="1">IFERROR(__xludf.DUMMYFUNCTION("""COMPUTED_VALUE"""),"No")</f>
        <v>No</v>
      </c>
      <c r="Z456" s="1"/>
      <c r="AA456" s="1" t="str">
        <f ca="1">IFERROR(__xludf.DUMMYFUNCTION("""COMPUTED_VALUE"""),"No")</f>
        <v>No</v>
      </c>
      <c r="AB456" s="1" t="str">
        <f ca="1">IFERROR(__xludf.DUMMYFUNCTION("""COMPUTED_VALUE"""),"No")</f>
        <v>No</v>
      </c>
      <c r="AC456" s="1" t="str">
        <f ca="1">IFERROR(__xludf.DUMMYFUNCTION("""COMPUTED_VALUE"""),"Yes")</f>
        <v>Yes</v>
      </c>
      <c r="AD456" s="1" t="str">
        <f ca="1">IFERROR(__xludf.DUMMYFUNCTION("""COMPUTED_VALUE"""),"No")</f>
        <v>No</v>
      </c>
      <c r="AE456" s="1" t="str">
        <f ca="1">IFERROR(__xludf.DUMMYFUNCTION("""COMPUTED_VALUE"""),"No")</f>
        <v>No</v>
      </c>
      <c r="AF456" s="1" t="str">
        <f ca="1">IFERROR(__xludf.DUMMYFUNCTION("""COMPUTED_VALUE"""),"No")</f>
        <v>No</v>
      </c>
      <c r="AG456" s="1" t="str">
        <f ca="1">IFERROR(__xludf.DUMMYFUNCTION("""COMPUTED_VALUE"""),"No")</f>
        <v>No</v>
      </c>
      <c r="AH456" s="1">
        <f ca="1">IFERROR(__xludf.DUMMYFUNCTION("""COMPUTED_VALUE"""),1)</f>
        <v>1</v>
      </c>
    </row>
    <row r="457" spans="1:34" ht="12.5">
      <c r="A457" s="1" t="str">
        <f ca="1">IFERROR(__xludf.DUMMYFUNCTION("""COMPUTED_VALUE"""),"20221116ORMCM")</f>
        <v>20221116ORMCM</v>
      </c>
      <c r="B457" s="1">
        <f ca="1">IFERROR(__xludf.DUMMYFUNCTION("""COMPUTED_VALUE"""),11)</f>
        <v>11</v>
      </c>
      <c r="C457" s="1">
        <f ca="1">IFERROR(__xludf.DUMMYFUNCTION("""COMPUTED_VALUE"""),16)</f>
        <v>16</v>
      </c>
      <c r="D457" s="1">
        <f ca="1">IFERROR(__xludf.DUMMYFUNCTION("""COMPUTED_VALUE"""),2022)</f>
        <v>2022</v>
      </c>
      <c r="E457" s="4">
        <f ca="1">IFERROR(__xludf.DUMMYFUNCTION("""COMPUTED_VALUE"""),44881)</f>
        <v>44881</v>
      </c>
      <c r="F457" s="1" t="str">
        <f ca="1">IFERROR(__xludf.DUMMYFUNCTION("""COMPUTED_VALUE"""),"McMinnville High School")</f>
        <v>McMinnville High School</v>
      </c>
      <c r="G457" s="1">
        <f ca="1">IFERROR(__xludf.DUMMYFUNCTION("""COMPUTED_VALUE"""),0)</f>
        <v>0</v>
      </c>
      <c r="H457" s="1">
        <f ca="1">IFERROR(__xludf.DUMMYFUNCTION("""COMPUTED_VALUE"""),0)</f>
        <v>0</v>
      </c>
      <c r="I457" s="1">
        <f ca="1">IFERROR(__xludf.DUMMYFUNCTION("""COMPUTED_VALUE"""),0)</f>
        <v>0</v>
      </c>
      <c r="J457" s="1">
        <f ca="1">IFERROR(__xludf.DUMMYFUNCTION("""COMPUTED_VALUE"""),0)</f>
        <v>0</v>
      </c>
      <c r="K457" s="1" t="str">
        <f ca="1">IFERROR(__xludf.DUMMYFUNCTION("""COMPUTED_VALUE"""),"Fall")</f>
        <v>Fall</v>
      </c>
      <c r="L457" s="1" t="str">
        <f ca="1">IFERROR(__xludf.DUMMYFUNCTION("""COMPUTED_VALUE"""),"McMinnville")</f>
        <v>McMinnville</v>
      </c>
      <c r="M457" s="1" t="str">
        <f ca="1">IFERROR(__xludf.DUMMYFUNCTION("""COMPUTED_VALUE"""),"OR")</f>
        <v>OR</v>
      </c>
      <c r="N457" s="1" t="str">
        <f ca="1">IFERROR(__xludf.DUMMYFUNCTION("""COMPUTED_VALUE"""),"High")</f>
        <v>High</v>
      </c>
      <c r="O457" s="1" t="str">
        <f ca="1">IFERROR(__xludf.DUMMYFUNCTION("""COMPUTED_VALUE"""),"Front of School")</f>
        <v>Front of School</v>
      </c>
      <c r="P457" s="1" t="str">
        <f ca="1">IFERROR(__xludf.DUMMYFUNCTION("""COMPUTED_VALUE"""),"Outside on School Property")</f>
        <v>Outside on School Property</v>
      </c>
      <c r="Q457" s="1" t="str">
        <f ca="1">IFERROR(__xludf.DUMMYFUNCTION("""COMPUTED_VALUE"""),"No")</f>
        <v>No</v>
      </c>
      <c r="R457" s="1" t="str">
        <f ca="1">IFERROR(__xludf.DUMMYFUNCTION("""COMPUTED_VALUE"""),"Before School")</f>
        <v>Before School</v>
      </c>
      <c r="S457" s="5">
        <f ca="1">IFERROR(__xludf.DUMMYFUNCTION("""COMPUTED_VALUE"""),0.25)</f>
        <v>0.25</v>
      </c>
      <c r="T457" s="1">
        <f ca="1">IFERROR(__xludf.DUMMYFUNCTION("""COMPUTED_VALUE"""),1)</f>
        <v>1</v>
      </c>
      <c r="U457" s="1" t="str">
        <f ca="1">IFERROR(__xludf.DUMMYFUNCTION("""COMPUTED_VALUE"""),"School building shot multiple times, classes cancelled")</f>
        <v>School building shot multiple times, classes cancelled</v>
      </c>
      <c r="V457" s="1" t="str">
        <f ca="1">IFERROR(__xludf.DUMMYFUNCTION("""COMPUTED_VALUE"""),"Police began receiving calls about gunshots fired from people living near the school at around 6 a.m. The school was not in session at the time, so no students were in or around the building, although responding officers found that bullets had struck the "&amp;"school building. They also found shell casings nearby. The police department quickly communicated with McMinnville School District staff, and it was decided that classes would be canceled for the day so authorities could fully investigate.")</f>
        <v>Police began receiving calls about gunshots fired from people living near the school at around 6 a.m. The school was not in session at the time, so no students were in or around the building, although responding officers found that bullets had struck the school building. They also found shell casings nearby. The police department quickly communicated with McMinnville School District staff, and it was decided that classes would be canceled for the day so authorities could fully investigate.</v>
      </c>
      <c r="W457" s="1" t="str">
        <f ca="1">IFERROR(__xludf.DUMMYFUNCTION("""COMPUTED_VALUE"""),"Intentional Property Damage")</f>
        <v>Intentional Property Damage</v>
      </c>
      <c r="X457" s="1" t="str">
        <f ca="1">IFERROR(__xludf.DUMMYFUNCTION("""COMPUTED_VALUE"""),"Neither")</f>
        <v>Neither</v>
      </c>
      <c r="Y457" s="1"/>
      <c r="Z457" s="1"/>
      <c r="AA457" s="1" t="str">
        <f ca="1">IFERROR(__xludf.DUMMYFUNCTION("""COMPUTED_VALUE"""),"No")</f>
        <v>No</v>
      </c>
      <c r="AB457" s="1" t="str">
        <f ca="1">IFERROR(__xludf.DUMMYFUNCTION("""COMPUTED_VALUE"""),"No")</f>
        <v>No</v>
      </c>
      <c r="AC457" s="1" t="str">
        <f ca="1">IFERROR(__xludf.DUMMYFUNCTION("""COMPUTED_VALUE"""),"No")</f>
        <v>No</v>
      </c>
      <c r="AD457" s="1" t="str">
        <f ca="1">IFERROR(__xludf.DUMMYFUNCTION("""COMPUTED_VALUE"""),"No")</f>
        <v>No</v>
      </c>
      <c r="AE457" s="1" t="str">
        <f ca="1">IFERROR(__xludf.DUMMYFUNCTION("""COMPUTED_VALUE"""),"No")</f>
        <v>No</v>
      </c>
      <c r="AF457" s="1" t="str">
        <f ca="1">IFERROR(__xludf.DUMMYFUNCTION("""COMPUTED_VALUE"""),"No")</f>
        <v>No</v>
      </c>
      <c r="AG457" s="1" t="str">
        <f ca="1">IFERROR(__xludf.DUMMYFUNCTION("""COMPUTED_VALUE"""),"No")</f>
        <v>No</v>
      </c>
      <c r="AH457" s="1">
        <f ca="1">IFERROR(__xludf.DUMMYFUNCTION("""COMPUTED_VALUE"""),5)</f>
        <v>5</v>
      </c>
    </row>
    <row r="458" spans="1:34" ht="12.5">
      <c r="A458" s="1" t="str">
        <f ca="1">IFERROR(__xludf.DUMMYFUNCTION("""COMPUTED_VALUE"""),"20221116NCLUL")</f>
        <v>20221116NCLUL</v>
      </c>
      <c r="B458" s="1">
        <f ca="1">IFERROR(__xludf.DUMMYFUNCTION("""COMPUTED_VALUE"""),11)</f>
        <v>11</v>
      </c>
      <c r="C458" s="1">
        <f ca="1">IFERROR(__xludf.DUMMYFUNCTION("""COMPUTED_VALUE"""),16)</f>
        <v>16</v>
      </c>
      <c r="D458" s="1">
        <f ca="1">IFERROR(__xludf.DUMMYFUNCTION("""COMPUTED_VALUE"""),2022)</f>
        <v>2022</v>
      </c>
      <c r="E458" s="4">
        <f ca="1">IFERROR(__xludf.DUMMYFUNCTION("""COMPUTED_VALUE"""),44881)</f>
        <v>44881</v>
      </c>
      <c r="F458" s="1" t="str">
        <f ca="1">IFERROR(__xludf.DUMMYFUNCTION("""COMPUTED_VALUE"""),"Lumberton High School")</f>
        <v>Lumberton High School</v>
      </c>
      <c r="G458" s="1">
        <f ca="1">IFERROR(__xludf.DUMMYFUNCTION("""COMPUTED_VALUE"""),0)</f>
        <v>0</v>
      </c>
      <c r="H458" s="1">
        <f ca="1">IFERROR(__xludf.DUMMYFUNCTION("""COMPUTED_VALUE"""),1)</f>
        <v>1</v>
      </c>
      <c r="I458" s="1">
        <f ca="1">IFERROR(__xludf.DUMMYFUNCTION("""COMPUTED_VALUE"""),1)</f>
        <v>1</v>
      </c>
      <c r="J458" s="1">
        <f ca="1">IFERROR(__xludf.DUMMYFUNCTION("""COMPUTED_VALUE"""),0)</f>
        <v>0</v>
      </c>
      <c r="K458" s="1" t="str">
        <f ca="1">IFERROR(__xludf.DUMMYFUNCTION("""COMPUTED_VALUE"""),"Fall")</f>
        <v>Fall</v>
      </c>
      <c r="L458" s="1" t="str">
        <f ca="1">IFERROR(__xludf.DUMMYFUNCTION("""COMPUTED_VALUE"""),"Lumberton")</f>
        <v>Lumberton</v>
      </c>
      <c r="M458" s="1" t="str">
        <f ca="1">IFERROR(__xludf.DUMMYFUNCTION("""COMPUTED_VALUE"""),"NC")</f>
        <v>NC</v>
      </c>
      <c r="N458" s="1" t="str">
        <f ca="1">IFERROR(__xludf.DUMMYFUNCTION("""COMPUTED_VALUE"""),"High")</f>
        <v>High</v>
      </c>
      <c r="O458" s="1" t="str">
        <f ca="1">IFERROR(__xludf.DUMMYFUNCTION("""COMPUTED_VALUE"""),"Parking Lot")</f>
        <v>Parking Lot</v>
      </c>
      <c r="P458" s="1" t="str">
        <f ca="1">IFERROR(__xludf.DUMMYFUNCTION("""COMPUTED_VALUE"""),"Outside on School Property")</f>
        <v>Outside on School Property</v>
      </c>
      <c r="Q458" s="1" t="str">
        <f ca="1">IFERROR(__xludf.DUMMYFUNCTION("""COMPUTED_VALUE"""),"No")</f>
        <v>No</v>
      </c>
      <c r="R458" s="1" t="str">
        <f ca="1">IFERROR(__xludf.DUMMYFUNCTION("""COMPUTED_VALUE"""),"Sport Event")</f>
        <v>Sport Event</v>
      </c>
      <c r="S458" s="5">
        <f ca="1">IFERROR(__xludf.DUMMYFUNCTION("""COMPUTED_VALUE"""),0.833333333333333)</f>
        <v>0.83333333333333304</v>
      </c>
      <c r="T458" s="1">
        <f ca="1">IFERROR(__xludf.DUMMYFUNCTION("""COMPUTED_VALUE"""),1)</f>
        <v>1</v>
      </c>
      <c r="U458" s="1" t="str">
        <f ca="1">IFERROR(__xludf.DUMMYFUNCTION("""COMPUTED_VALUE"""),"Woman shot in parking lot outside football field during game")</f>
        <v>Woman shot in parking lot outside football field during game</v>
      </c>
      <c r="V458" s="1" t="str">
        <f ca="1">IFERROR(__xludf.DUMMYFUNCTION("""COMPUTED_VALUE"""),"Lumberton police responded to calls about a shooting at a football stadium at Lumberton Senior High School just before 8 p.m. Upon arrival, officers found a 41-year-old woman with a gunshot wound in the parking lot at the front of the stadium. The woman w"&amp;"as airlifted to the hospital with life-threatening injuries. According to police, bystanders reported hearing multiple gunshots and they described the suspect as a person wearing all black.")</f>
        <v>Lumberton police responded to calls about a shooting at a football stadium at Lumberton Senior High School just before 8 p.m. Upon arrival, officers found a 41-year-old woman with a gunshot wound in the parking lot at the front of the stadium. The woman was airlifted to the hospital with life-threatening injuries. According to police, bystanders reported hearing multiple gunshots and they described the suspect as a person wearing all black.</v>
      </c>
      <c r="W458" s="1"/>
      <c r="X458" s="1" t="str">
        <f ca="1">IFERROR(__xludf.DUMMYFUNCTION("""COMPUTED_VALUE"""),"Victims Targeted")</f>
        <v>Victims Targeted</v>
      </c>
      <c r="Y458" s="1" t="str">
        <f ca="1">IFERROR(__xludf.DUMMYFUNCTION("""COMPUTED_VALUE"""),"No")</f>
        <v>No</v>
      </c>
      <c r="Z458" s="1"/>
      <c r="AA458" s="1" t="str">
        <f ca="1">IFERROR(__xludf.DUMMYFUNCTION("""COMPUTED_VALUE"""),"No")</f>
        <v>No</v>
      </c>
      <c r="AB458" s="1" t="str">
        <f ca="1">IFERROR(__xludf.DUMMYFUNCTION("""COMPUTED_VALUE"""),"No")</f>
        <v>No</v>
      </c>
      <c r="AC458" s="1" t="str">
        <f ca="1">IFERROR(__xludf.DUMMYFUNCTION("""COMPUTED_VALUE"""),"No")</f>
        <v>No</v>
      </c>
      <c r="AD458" s="1" t="str">
        <f ca="1">IFERROR(__xludf.DUMMYFUNCTION("""COMPUTED_VALUE"""),"No")</f>
        <v>No</v>
      </c>
      <c r="AE458" s="1"/>
      <c r="AF458" s="1"/>
      <c r="AG458" s="1" t="str">
        <f ca="1">IFERROR(__xludf.DUMMYFUNCTION("""COMPUTED_VALUE"""),"No")</f>
        <v>No</v>
      </c>
      <c r="AH458" s="1">
        <f ca="1">IFERROR(__xludf.DUMMYFUNCTION("""COMPUTED_VALUE"""),99)</f>
        <v>99</v>
      </c>
    </row>
    <row r="459" spans="1:34" ht="12.5">
      <c r="A459" s="1" t="str">
        <f ca="1">IFERROR(__xludf.DUMMYFUNCTION("""COMPUTED_VALUE"""),"20221115TNMAN")</f>
        <v>20221115TNMAN</v>
      </c>
      <c r="B459" s="1">
        <f ca="1">IFERROR(__xludf.DUMMYFUNCTION("""COMPUTED_VALUE"""),11)</f>
        <v>11</v>
      </c>
      <c r="C459" s="1">
        <f ca="1">IFERROR(__xludf.DUMMYFUNCTION("""COMPUTED_VALUE"""),15)</f>
        <v>15</v>
      </c>
      <c r="D459" s="1">
        <f ca="1">IFERROR(__xludf.DUMMYFUNCTION("""COMPUTED_VALUE"""),2022)</f>
        <v>2022</v>
      </c>
      <c r="E459" s="4">
        <f ca="1">IFERROR(__xludf.DUMMYFUNCTION("""COMPUTED_VALUE"""),44880)</f>
        <v>44880</v>
      </c>
      <c r="F459" s="1" t="str">
        <f ca="1">IFERROR(__xludf.DUMMYFUNCTION("""COMPUTED_VALUE"""),"Martin Luther King Jr. Magnet High School")</f>
        <v>Martin Luther King Jr. Magnet High School</v>
      </c>
      <c r="G459" s="1">
        <f ca="1">IFERROR(__xludf.DUMMYFUNCTION("""COMPUTED_VALUE"""),1)</f>
        <v>1</v>
      </c>
      <c r="H459" s="1">
        <f ca="1">IFERROR(__xludf.DUMMYFUNCTION("""COMPUTED_VALUE"""),0)</f>
        <v>0</v>
      </c>
      <c r="I459" s="1">
        <f ca="1">IFERROR(__xludf.DUMMYFUNCTION("""COMPUTED_VALUE"""),1)</f>
        <v>1</v>
      </c>
      <c r="J459" s="1">
        <f ca="1">IFERROR(__xludf.DUMMYFUNCTION("""COMPUTED_VALUE"""),0)</f>
        <v>0</v>
      </c>
      <c r="K459" s="1" t="str">
        <f ca="1">IFERROR(__xludf.DUMMYFUNCTION("""COMPUTED_VALUE"""),"Fall")</f>
        <v>Fall</v>
      </c>
      <c r="L459" s="1" t="str">
        <f ca="1">IFERROR(__xludf.DUMMYFUNCTION("""COMPUTED_VALUE"""),"Nashville")</f>
        <v>Nashville</v>
      </c>
      <c r="M459" s="1" t="str">
        <f ca="1">IFERROR(__xludf.DUMMYFUNCTION("""COMPUTED_VALUE"""),"TN")</f>
        <v>TN</v>
      </c>
      <c r="N459" s="1" t="str">
        <f ca="1">IFERROR(__xludf.DUMMYFUNCTION("""COMPUTED_VALUE"""),"High")</f>
        <v>High</v>
      </c>
      <c r="O459" s="1" t="str">
        <f ca="1">IFERROR(__xludf.DUMMYFUNCTION("""COMPUTED_VALUE"""),"Parking Lot")</f>
        <v>Parking Lot</v>
      </c>
      <c r="P459" s="1" t="str">
        <f ca="1">IFERROR(__xludf.DUMMYFUNCTION("""COMPUTED_VALUE"""),"Outside on School Property")</f>
        <v>Outside on School Property</v>
      </c>
      <c r="Q459" s="1" t="str">
        <f ca="1">IFERROR(__xludf.DUMMYFUNCTION("""COMPUTED_VALUE"""),"No")</f>
        <v>No</v>
      </c>
      <c r="R459" s="1" t="str">
        <f ca="1">IFERROR(__xludf.DUMMYFUNCTION("""COMPUTED_VALUE"""),"Evening")</f>
        <v>Evening</v>
      </c>
      <c r="S459" s="5">
        <f ca="1">IFERROR(__xludf.DUMMYFUNCTION("""COMPUTED_VALUE"""),0.791666666666666)</f>
        <v>0.79166666666666596</v>
      </c>
      <c r="T459" s="1">
        <f ca="1">IFERROR(__xludf.DUMMYFUNCTION("""COMPUTED_VALUE"""),1)</f>
        <v>1</v>
      </c>
      <c r="U459" s="1" t="str">
        <f ca="1">IFERROR(__xludf.DUMMYFUNCTION("""COMPUTED_VALUE"""),"19-year-old woman killed when shots were fired during fight in parking lot")</f>
        <v>19-year-old woman killed when shots were fired during fight in parking lot</v>
      </c>
      <c r="V459" s="1" t="str">
        <f ca="1">IFERROR(__xludf.DUMMYFUNCTION("""COMPUTED_VALUE"""),"Witnesses said two females were fighting in the school parking lot, police said, when a small crowd surrounded them, and a man fired several rounds into the air and then into the group. The suspect reportedly left in a dark colored sedan as he continued t"&amp;"o fire rounds at another group, police said. According to a worker at the school, a play rehearsal was happening inside the high school when the shots rang out across the street.")</f>
        <v>Witnesses said two females were fighting in the school parking lot, police said, when a small crowd surrounded them, and a man fired several rounds into the air and then into the group. The suspect reportedly left in a dark colored sedan as he continued to fire rounds at another group, police said. According to a worker at the school, a play rehearsal was happening inside the high school when the shots rang out across the street.</v>
      </c>
      <c r="W459" s="1" t="str">
        <f ca="1">IFERROR(__xludf.DUMMYFUNCTION("""COMPUTED_VALUE"""),"Escalation of Dispute")</f>
        <v>Escalation of Dispute</v>
      </c>
      <c r="X459" s="1" t="str">
        <f ca="1">IFERROR(__xludf.DUMMYFUNCTION("""COMPUTED_VALUE"""),"Victims Targeted")</f>
        <v>Victims Targeted</v>
      </c>
      <c r="Y459" s="1" t="str">
        <f ca="1">IFERROR(__xludf.DUMMYFUNCTION("""COMPUTED_VALUE"""),"No")</f>
        <v>No</v>
      </c>
      <c r="Z459" s="1"/>
      <c r="AA459" s="1" t="str">
        <f ca="1">IFERROR(__xludf.DUMMYFUNCTION("""COMPUTED_VALUE"""),"No")</f>
        <v>No</v>
      </c>
      <c r="AB459" s="1" t="str">
        <f ca="1">IFERROR(__xludf.DUMMYFUNCTION("""COMPUTED_VALUE"""),"No")</f>
        <v>No</v>
      </c>
      <c r="AC459" s="1" t="str">
        <f ca="1">IFERROR(__xludf.DUMMYFUNCTION("""COMPUTED_VALUE"""),"No")</f>
        <v>No</v>
      </c>
      <c r="AD459" s="1" t="str">
        <f ca="1">IFERROR(__xludf.DUMMYFUNCTION("""COMPUTED_VALUE"""),"No")</f>
        <v>No</v>
      </c>
      <c r="AE459" s="1" t="str">
        <f ca="1">IFERROR(__xludf.DUMMYFUNCTION("""COMPUTED_VALUE"""),"No")</f>
        <v>No</v>
      </c>
      <c r="AF459" s="1" t="str">
        <f ca="1">IFERROR(__xludf.DUMMYFUNCTION("""COMPUTED_VALUE"""),"No")</f>
        <v>No</v>
      </c>
      <c r="AG459" s="1" t="str">
        <f ca="1">IFERROR(__xludf.DUMMYFUNCTION("""COMPUTED_VALUE"""),"No")</f>
        <v>No</v>
      </c>
      <c r="AH459" s="1">
        <f ca="1">IFERROR(__xludf.DUMMYFUNCTION("""COMPUTED_VALUE"""),99)</f>
        <v>99</v>
      </c>
    </row>
    <row r="460" spans="1:34" ht="12.5">
      <c r="A460" s="1" t="str">
        <f ca="1">IFERROR(__xludf.DUMMYFUNCTION("""COMPUTED_VALUE"""),"20221115LABAB")</f>
        <v>20221115LABAB</v>
      </c>
      <c r="B460" s="1">
        <f ca="1">IFERROR(__xludf.DUMMYFUNCTION("""COMPUTED_VALUE"""),11)</f>
        <v>11</v>
      </c>
      <c r="C460" s="1">
        <f ca="1">IFERROR(__xludf.DUMMYFUNCTION("""COMPUTED_VALUE"""),15)</f>
        <v>15</v>
      </c>
      <c r="D460" s="1">
        <f ca="1">IFERROR(__xludf.DUMMYFUNCTION("""COMPUTED_VALUE"""),2022)</f>
        <v>2022</v>
      </c>
      <c r="E460" s="4">
        <f ca="1">IFERROR(__xludf.DUMMYFUNCTION("""COMPUTED_VALUE"""),44880)</f>
        <v>44880</v>
      </c>
      <c r="F460" s="1" t="str">
        <f ca="1">IFERROR(__xludf.DUMMYFUNCTION("""COMPUTED_VALUE"""),"Ball Elementary School")</f>
        <v>Ball Elementary School</v>
      </c>
      <c r="G460" s="1">
        <f ca="1">IFERROR(__xludf.DUMMYFUNCTION("""COMPUTED_VALUE"""),0)</f>
        <v>0</v>
      </c>
      <c r="H460" s="1">
        <f ca="1">IFERROR(__xludf.DUMMYFUNCTION("""COMPUTED_VALUE"""),2)</f>
        <v>2</v>
      </c>
      <c r="I460" s="1">
        <f ca="1">IFERROR(__xludf.DUMMYFUNCTION("""COMPUTED_VALUE"""),2)</f>
        <v>2</v>
      </c>
      <c r="J460" s="1">
        <f ca="1">IFERROR(__xludf.DUMMYFUNCTION("""COMPUTED_VALUE"""),0)</f>
        <v>0</v>
      </c>
      <c r="K460" s="1" t="str">
        <f ca="1">IFERROR(__xludf.DUMMYFUNCTION("""COMPUTED_VALUE"""),"Fall")</f>
        <v>Fall</v>
      </c>
      <c r="L460" s="1" t="str">
        <f ca="1">IFERROR(__xludf.DUMMYFUNCTION("""COMPUTED_VALUE"""),"Ball")</f>
        <v>Ball</v>
      </c>
      <c r="M460" s="1" t="str">
        <f ca="1">IFERROR(__xludf.DUMMYFUNCTION("""COMPUTED_VALUE"""),"LA")</f>
        <v>LA</v>
      </c>
      <c r="N460" s="1" t="str">
        <f ca="1">IFERROR(__xludf.DUMMYFUNCTION("""COMPUTED_VALUE"""),"Elementary")</f>
        <v>Elementary</v>
      </c>
      <c r="O460" s="1" t="str">
        <f ca="1">IFERROR(__xludf.DUMMYFUNCTION("""COMPUTED_VALUE"""),"Parking Lot")</f>
        <v>Parking Lot</v>
      </c>
      <c r="P460" s="1" t="str">
        <f ca="1">IFERROR(__xludf.DUMMYFUNCTION("""COMPUTED_VALUE"""),"Outside on School Property")</f>
        <v>Outside on School Property</v>
      </c>
      <c r="Q460" s="1" t="str">
        <f ca="1">IFERROR(__xludf.DUMMYFUNCTION("""COMPUTED_VALUE"""),"Yes")</f>
        <v>Yes</v>
      </c>
      <c r="R460" s="1" t="str">
        <f ca="1">IFERROR(__xludf.DUMMYFUNCTION("""COMPUTED_VALUE"""),"Afternoon Classes")</f>
        <v>Afternoon Classes</v>
      </c>
      <c r="S460" s="5">
        <f ca="1">IFERROR(__xludf.DUMMYFUNCTION("""COMPUTED_VALUE"""),0.559722222222222)</f>
        <v>0.55972222222222201</v>
      </c>
      <c r="T460" s="1">
        <f ca="1">IFERROR(__xludf.DUMMYFUNCTION("""COMPUTED_VALUE"""),1)</f>
        <v>1</v>
      </c>
      <c r="U460" s="1" t="str">
        <f ca="1">IFERROR(__xludf.DUMMYFUNCTION("""COMPUTED_VALUE"""),"2 men shot in parking lot during afternoon classes, wounded man with gun attempted to enter school")</f>
        <v>2 men shot in parking lot during afternoon classes, wounded man with gun attempted to enter school</v>
      </c>
      <c r="V460" s="1" t="str">
        <f ca="1">IFERROR(__xludf.DUMMYFUNCTION("""COMPUTED_VALUE"""),"The Ball Police Department said around 1:26 p.m., they responded to Ball Elementary School in reference to a person there with a gunshot wound. Officers arrived within minutes and made contact with the RPSO School Resource Officer, who had custody of a wh"&amp;"ite male with a gunshot wound in his arm. The SRO said the male came up to the school with a gunshot wound and was found to be armed. The SRO took him into custody and recovered a firearm. It was determined that two people, one being a juvenile, were cond"&amp;"ucting a drug deal in the school parking lot. An altercation happened where both people sustained non-life-threatening gunshot wounds. The juvenile was taken into custody, treated at a local hospital, then released and booked into the Renaissance Home for"&amp;" Youth. The other suspect remains in the hospital in the custody of officers.")</f>
        <v>The Ball Police Department said around 1:26 p.m., they responded to Ball Elementary School in reference to a person there with a gunshot wound. Officers arrived within minutes and made contact with the RPSO School Resource Officer, who had custody of a white male with a gunshot wound in his arm. The SRO said the male came up to the school with a gunshot wound and was found to be armed. The SRO took him into custody and recovered a firearm. It was determined that two people, one being a juvenile, were conducting a drug deal in the school parking lot. An altercation happened where both people sustained non-life-threatening gunshot wounds. The juvenile was taken into custody, treated at a local hospital, then released and booked into the Renaissance Home for Youth. The other suspect remains in the hospital in the custody of officers.</v>
      </c>
      <c r="W460" s="1" t="str">
        <f ca="1">IFERROR(__xludf.DUMMYFUNCTION("""COMPUTED_VALUE"""),"Illegal Activity")</f>
        <v>Illegal Activity</v>
      </c>
      <c r="X460" s="1" t="str">
        <f ca="1">IFERROR(__xludf.DUMMYFUNCTION("""COMPUTED_VALUE"""),"Victims Targeted")</f>
        <v>Victims Targeted</v>
      </c>
      <c r="Y460" s="1"/>
      <c r="Z460" s="1"/>
      <c r="AA460" s="1" t="str">
        <f ca="1">IFERROR(__xludf.DUMMYFUNCTION("""COMPUTED_VALUE"""),"No")</f>
        <v>No</v>
      </c>
      <c r="AB460" s="1" t="str">
        <f ca="1">IFERROR(__xludf.DUMMYFUNCTION("""COMPUTED_VALUE"""),"No")</f>
        <v>No</v>
      </c>
      <c r="AC460" s="1" t="str">
        <f ca="1">IFERROR(__xludf.DUMMYFUNCTION("""COMPUTED_VALUE"""),"No")</f>
        <v>No</v>
      </c>
      <c r="AD460" s="1" t="str">
        <f ca="1">IFERROR(__xludf.DUMMYFUNCTION("""COMPUTED_VALUE"""),"No")</f>
        <v>No</v>
      </c>
      <c r="AE460" s="1" t="str">
        <f ca="1">IFERROR(__xludf.DUMMYFUNCTION("""COMPUTED_VALUE"""),"No")</f>
        <v>No</v>
      </c>
      <c r="AF460" s="1"/>
      <c r="AG460" s="1" t="str">
        <f ca="1">IFERROR(__xludf.DUMMYFUNCTION("""COMPUTED_VALUE"""),"No")</f>
        <v>No</v>
      </c>
      <c r="AH460" s="1">
        <f ca="1">IFERROR(__xludf.DUMMYFUNCTION("""COMPUTED_VALUE"""),99)</f>
        <v>99</v>
      </c>
    </row>
    <row r="461" spans="1:34" ht="12.5">
      <c r="A461" s="1" t="str">
        <f ca="1">IFERROR(__xludf.DUMMYFUNCTION("""COMPUTED_VALUE"""),"20221112FLJOO")</f>
        <v>20221112FLJOO</v>
      </c>
      <c r="B461" s="1">
        <f ca="1">IFERROR(__xludf.DUMMYFUNCTION("""COMPUTED_VALUE"""),11)</f>
        <v>11</v>
      </c>
      <c r="C461" s="1">
        <f ca="1">IFERROR(__xludf.DUMMYFUNCTION("""COMPUTED_VALUE"""),12)</f>
        <v>12</v>
      </c>
      <c r="D461" s="1">
        <f ca="1">IFERROR(__xludf.DUMMYFUNCTION("""COMPUTED_VALUE"""),2022)</f>
        <v>2022</v>
      </c>
      <c r="E461" s="4">
        <f ca="1">IFERROR(__xludf.DUMMYFUNCTION("""COMPUTED_VALUE"""),44877)</f>
        <v>44877</v>
      </c>
      <c r="F461" s="1" t="str">
        <f ca="1">IFERROR(__xludf.DUMMYFUNCTION("""COMPUTED_VALUE"""),"Jones High School")</f>
        <v>Jones High School</v>
      </c>
      <c r="G461" s="1">
        <f ca="1">IFERROR(__xludf.DUMMYFUNCTION("""COMPUTED_VALUE"""),1)</f>
        <v>1</v>
      </c>
      <c r="H461" s="1">
        <f ca="1">IFERROR(__xludf.DUMMYFUNCTION("""COMPUTED_VALUE"""),2)</f>
        <v>2</v>
      </c>
      <c r="I461" s="1">
        <f ca="1">IFERROR(__xludf.DUMMYFUNCTION("""COMPUTED_VALUE"""),3)</f>
        <v>3</v>
      </c>
      <c r="J461" s="1">
        <f ca="1">IFERROR(__xludf.DUMMYFUNCTION("""COMPUTED_VALUE"""),0)</f>
        <v>0</v>
      </c>
      <c r="K461" s="1" t="str">
        <f ca="1">IFERROR(__xludf.DUMMYFUNCTION("""COMPUTED_VALUE"""),"Fall")</f>
        <v>Fall</v>
      </c>
      <c r="L461" s="1" t="str">
        <f ca="1">IFERROR(__xludf.DUMMYFUNCTION("""COMPUTED_VALUE"""),"Orlando")</f>
        <v>Orlando</v>
      </c>
      <c r="M461" s="1" t="str">
        <f ca="1">IFERROR(__xludf.DUMMYFUNCTION("""COMPUTED_VALUE"""),"FL")</f>
        <v>FL</v>
      </c>
      <c r="N461" s="1" t="str">
        <f ca="1">IFERROR(__xludf.DUMMYFUNCTION("""COMPUTED_VALUE"""),"High")</f>
        <v>High</v>
      </c>
      <c r="O461" s="1" t="str">
        <f ca="1">IFERROR(__xludf.DUMMYFUNCTION("""COMPUTED_VALUE"""),"Parking Lot")</f>
        <v>Parking Lot</v>
      </c>
      <c r="P461" s="1" t="str">
        <f ca="1">IFERROR(__xludf.DUMMYFUNCTION("""COMPUTED_VALUE"""),"Outside on School Property")</f>
        <v>Outside on School Property</v>
      </c>
      <c r="Q461" s="1" t="str">
        <f ca="1">IFERROR(__xludf.DUMMYFUNCTION("""COMPUTED_VALUE"""),"No")</f>
        <v>No</v>
      </c>
      <c r="R461" s="1" t="str">
        <f ca="1">IFERROR(__xludf.DUMMYFUNCTION("""COMPUTED_VALUE"""),"Sport Event")</f>
        <v>Sport Event</v>
      </c>
      <c r="S461" s="5">
        <f ca="1">IFERROR(__xludf.DUMMYFUNCTION("""COMPUTED_VALUE"""),0.881944444444444)</f>
        <v>0.88194444444444398</v>
      </c>
      <c r="T461" s="1">
        <f ca="1">IFERROR(__xludf.DUMMYFUNCTION("""COMPUTED_VALUE"""),1)</f>
        <v>1</v>
      </c>
      <c r="U461" s="1" t="str">
        <f ca="1">IFERROR(__xludf.DUMMYFUNCTION("""COMPUTED_VALUE"""),"3 men shot in parking lot next to stadium during high school playoff game")</f>
        <v>3 men shot in parking lot next to stadium during high school playoff game</v>
      </c>
      <c r="V461" s="1" t="str">
        <f ca="1">IFERROR(__xludf.DUMMYFUNCTION("""COMPUTED_VALUE"""),"Shots fired in the parking lot with 1:40 remaining in the game. Fans evacuated the stadium and players took cover on the field. One man was killed and two were wounded near the fence between the parking lot and the stadium. Police arrested 4 people.")</f>
        <v>Shots fired in the parking lot with 1:40 remaining in the game. Fans evacuated the stadium and players took cover on the field. One man was killed and two were wounded near the fence between the parking lot and the stadium. Police arrested 4 people.</v>
      </c>
      <c r="W461" s="1" t="str">
        <f ca="1">IFERROR(__xludf.DUMMYFUNCTION("""COMPUTED_VALUE"""),"Escalation of Dispute")</f>
        <v>Escalation of Dispute</v>
      </c>
      <c r="X461" s="1" t="str">
        <f ca="1">IFERROR(__xludf.DUMMYFUNCTION("""COMPUTED_VALUE"""),"Victims Targeted")</f>
        <v>Victims Targeted</v>
      </c>
      <c r="Y461" s="1" t="str">
        <f ca="1">IFERROR(__xludf.DUMMYFUNCTION("""COMPUTED_VALUE"""),"Yes")</f>
        <v>Yes</v>
      </c>
      <c r="Z461" s="1" t="str">
        <f ca="1">IFERROR(__xludf.DUMMYFUNCTION("""COMPUTED_VALUE"""),"4 men arrested")</f>
        <v>4 men arrested</v>
      </c>
      <c r="AA461" s="1" t="str">
        <f ca="1">IFERROR(__xludf.DUMMYFUNCTION("""COMPUTED_VALUE"""),"No")</f>
        <v>No</v>
      </c>
      <c r="AB461" s="1" t="str">
        <f ca="1">IFERROR(__xludf.DUMMYFUNCTION("""COMPUTED_VALUE"""),"No")</f>
        <v>No</v>
      </c>
      <c r="AC461" s="1" t="str">
        <f ca="1">IFERROR(__xludf.DUMMYFUNCTION("""COMPUTED_VALUE"""),"No")</f>
        <v>No</v>
      </c>
      <c r="AD461" s="1" t="str">
        <f ca="1">IFERROR(__xludf.DUMMYFUNCTION("""COMPUTED_VALUE"""),"No")</f>
        <v>No</v>
      </c>
      <c r="AE461" s="1" t="str">
        <f ca="1">IFERROR(__xludf.DUMMYFUNCTION("""COMPUTED_VALUE"""),"No")</f>
        <v>No</v>
      </c>
      <c r="AF461" s="1"/>
      <c r="AG461" s="1" t="str">
        <f ca="1">IFERROR(__xludf.DUMMYFUNCTION("""COMPUTED_VALUE"""),"No")</f>
        <v>No</v>
      </c>
      <c r="AH461" s="1">
        <f ca="1">IFERROR(__xludf.DUMMYFUNCTION("""COMPUTED_VALUE"""),99)</f>
        <v>99</v>
      </c>
    </row>
    <row r="462" spans="1:34" ht="12.5">
      <c r="A462" s="1" t="str">
        <f ca="1">IFERROR(__xludf.DUMMYFUNCTION("""COMPUTED_VALUE"""),"20221111MSRAR")</f>
        <v>20221111MSRAR</v>
      </c>
      <c r="B462" s="1">
        <f ca="1">IFERROR(__xludf.DUMMYFUNCTION("""COMPUTED_VALUE"""),11)</f>
        <v>11</v>
      </c>
      <c r="C462" s="1">
        <f ca="1">IFERROR(__xludf.DUMMYFUNCTION("""COMPUTED_VALUE"""),11)</f>
        <v>11</v>
      </c>
      <c r="D462" s="1">
        <f ca="1">IFERROR(__xludf.DUMMYFUNCTION("""COMPUTED_VALUE"""),2022)</f>
        <v>2022</v>
      </c>
      <c r="E462" s="4">
        <f ca="1">IFERROR(__xludf.DUMMYFUNCTION("""COMPUTED_VALUE"""),44876)</f>
        <v>44876</v>
      </c>
      <c r="F462" s="1" t="str">
        <f ca="1">IFERROR(__xludf.DUMMYFUNCTION("""COMPUTED_VALUE"""),"Raymond High School")</f>
        <v>Raymond High School</v>
      </c>
      <c r="G462" s="1">
        <f ca="1">IFERROR(__xludf.DUMMYFUNCTION("""COMPUTED_VALUE"""),0)</f>
        <v>0</v>
      </c>
      <c r="H462" s="1">
        <f ca="1">IFERROR(__xludf.DUMMYFUNCTION("""COMPUTED_VALUE"""),1)</f>
        <v>1</v>
      </c>
      <c r="I462" s="1">
        <f ca="1">IFERROR(__xludf.DUMMYFUNCTION("""COMPUTED_VALUE"""),1)</f>
        <v>1</v>
      </c>
      <c r="J462" s="1">
        <f ca="1">IFERROR(__xludf.DUMMYFUNCTION("""COMPUTED_VALUE"""),0)</f>
        <v>0</v>
      </c>
      <c r="K462" s="1" t="str">
        <f ca="1">IFERROR(__xludf.DUMMYFUNCTION("""COMPUTED_VALUE"""),"Fall")</f>
        <v>Fall</v>
      </c>
      <c r="L462" s="1" t="str">
        <f ca="1">IFERROR(__xludf.DUMMYFUNCTION("""COMPUTED_VALUE"""),"Raymond")</f>
        <v>Raymond</v>
      </c>
      <c r="M462" s="1" t="str">
        <f ca="1">IFERROR(__xludf.DUMMYFUNCTION("""COMPUTED_VALUE"""),"MS")</f>
        <v>MS</v>
      </c>
      <c r="N462" s="1" t="str">
        <f ca="1">IFERROR(__xludf.DUMMYFUNCTION("""COMPUTED_VALUE"""),"High")</f>
        <v>High</v>
      </c>
      <c r="O462" s="1" t="str">
        <f ca="1">IFERROR(__xludf.DUMMYFUNCTION("""COMPUTED_VALUE"""),"Parking Lot")</f>
        <v>Parking Lot</v>
      </c>
      <c r="P462" s="1" t="str">
        <f ca="1">IFERROR(__xludf.DUMMYFUNCTION("""COMPUTED_VALUE"""),"Outside on School Property")</f>
        <v>Outside on School Property</v>
      </c>
      <c r="Q462" s="1" t="str">
        <f ca="1">IFERROR(__xludf.DUMMYFUNCTION("""COMPUTED_VALUE"""),"No")</f>
        <v>No</v>
      </c>
      <c r="R462" s="1" t="str">
        <f ca="1">IFERROR(__xludf.DUMMYFUNCTION("""COMPUTED_VALUE"""),"Sport Event")</f>
        <v>Sport Event</v>
      </c>
      <c r="S462" s="5">
        <f ca="1">IFERROR(__xludf.DUMMYFUNCTION("""COMPUTED_VALUE"""),0.916666666666666)</f>
        <v>0.91666666666666596</v>
      </c>
      <c r="T462" s="1">
        <f ca="1">IFERROR(__xludf.DUMMYFUNCTION("""COMPUTED_VALUE"""),1)</f>
        <v>1</v>
      </c>
      <c r="U462" s="1" t="str">
        <f ca="1">IFERROR(__xludf.DUMMYFUNCTION("""COMPUTED_VALUE"""),"Man shot in parking lot after basketball game")</f>
        <v>Man shot in parking lot after basketball game</v>
      </c>
      <c r="V462" s="1" t="str">
        <f ca="1">IFERROR(__xludf.DUMMYFUNCTION("""COMPUTED_VALUE"""),"21-year-old woman was shot in the parking lot after a high school basketball game. Shooter fled. Police do not believe she was the intended target.")</f>
        <v>21-year-old woman was shot in the parking lot after a high school basketball game. Shooter fled. Police do not believe she was the intended target.</v>
      </c>
      <c r="W462" s="1"/>
      <c r="X462" s="1" t="str">
        <f ca="1">IFERROR(__xludf.DUMMYFUNCTION("""COMPUTED_VALUE"""),"Both")</f>
        <v>Both</v>
      </c>
      <c r="Y462" s="1"/>
      <c r="Z462" s="1"/>
      <c r="AA462" s="1" t="str">
        <f ca="1">IFERROR(__xludf.DUMMYFUNCTION("""COMPUTED_VALUE"""),"No")</f>
        <v>No</v>
      </c>
      <c r="AB462" s="1" t="str">
        <f ca="1">IFERROR(__xludf.DUMMYFUNCTION("""COMPUTED_VALUE"""),"No")</f>
        <v>No</v>
      </c>
      <c r="AC462" s="1" t="str">
        <f ca="1">IFERROR(__xludf.DUMMYFUNCTION("""COMPUTED_VALUE"""),"No")</f>
        <v>No</v>
      </c>
      <c r="AD462" s="1" t="str">
        <f ca="1">IFERROR(__xludf.DUMMYFUNCTION("""COMPUTED_VALUE"""),"No")</f>
        <v>No</v>
      </c>
      <c r="AE462" s="1" t="str">
        <f ca="1">IFERROR(__xludf.DUMMYFUNCTION("""COMPUTED_VALUE"""),"No")</f>
        <v>No</v>
      </c>
      <c r="AF462" s="1"/>
      <c r="AG462" s="1" t="str">
        <f ca="1">IFERROR(__xludf.DUMMYFUNCTION("""COMPUTED_VALUE"""),"No")</f>
        <v>No</v>
      </c>
      <c r="AH462" s="1"/>
    </row>
    <row r="463" spans="1:34" ht="12.5">
      <c r="A463" s="1" t="str">
        <f ca="1">IFERROR(__xludf.DUMMYFUNCTION("""COMPUTED_VALUE"""),"20221109KYCAC")</f>
        <v>20221109KYCAC</v>
      </c>
      <c r="B463" s="1">
        <f ca="1">IFERROR(__xludf.DUMMYFUNCTION("""COMPUTED_VALUE"""),11)</f>
        <v>11</v>
      </c>
      <c r="C463" s="1">
        <f ca="1">IFERROR(__xludf.DUMMYFUNCTION("""COMPUTED_VALUE"""),9)</f>
        <v>9</v>
      </c>
      <c r="D463" s="1">
        <f ca="1">IFERROR(__xludf.DUMMYFUNCTION("""COMPUTED_VALUE"""),2022)</f>
        <v>2022</v>
      </c>
      <c r="E463" s="4">
        <f ca="1">IFERROR(__xludf.DUMMYFUNCTION("""COMPUTED_VALUE"""),44874)</f>
        <v>44874</v>
      </c>
      <c r="F463" s="1" t="str">
        <f ca="1">IFERROR(__xludf.DUMMYFUNCTION("""COMPUTED_VALUE"""),"Caneyville Elementary School")</f>
        <v>Caneyville Elementary School</v>
      </c>
      <c r="G463" s="1">
        <f ca="1">IFERROR(__xludf.DUMMYFUNCTION("""COMPUTED_VALUE"""),0)</f>
        <v>0</v>
      </c>
      <c r="H463" s="1">
        <f ca="1">IFERROR(__xludf.DUMMYFUNCTION("""COMPUTED_VALUE"""),0)</f>
        <v>0</v>
      </c>
      <c r="I463" s="1">
        <f ca="1">IFERROR(__xludf.DUMMYFUNCTION("""COMPUTED_VALUE"""),0)</f>
        <v>0</v>
      </c>
      <c r="J463" s="1">
        <f ca="1">IFERROR(__xludf.DUMMYFUNCTION("""COMPUTED_VALUE"""),0)</f>
        <v>0</v>
      </c>
      <c r="K463" s="1" t="str">
        <f ca="1">IFERROR(__xludf.DUMMYFUNCTION("""COMPUTED_VALUE"""),"Fall")</f>
        <v>Fall</v>
      </c>
      <c r="L463" s="1" t="str">
        <f ca="1">IFERROR(__xludf.DUMMYFUNCTION("""COMPUTED_VALUE"""),"Caneyville")</f>
        <v>Caneyville</v>
      </c>
      <c r="M463" s="1" t="str">
        <f ca="1">IFERROR(__xludf.DUMMYFUNCTION("""COMPUTED_VALUE"""),"KY")</f>
        <v>KY</v>
      </c>
      <c r="N463" s="1" t="str">
        <f ca="1">IFERROR(__xludf.DUMMYFUNCTION("""COMPUTED_VALUE"""),"Elementary")</f>
        <v>Elementary</v>
      </c>
      <c r="O463" s="1" t="str">
        <f ca="1">IFERROR(__xludf.DUMMYFUNCTION("""COMPUTED_VALUE"""),"Hallway")</f>
        <v>Hallway</v>
      </c>
      <c r="P463" s="1" t="str">
        <f ca="1">IFERROR(__xludf.DUMMYFUNCTION("""COMPUTED_VALUE"""),"Inside School Building")</f>
        <v>Inside School Building</v>
      </c>
      <c r="Q463" s="1" t="str">
        <f ca="1">IFERROR(__xludf.DUMMYFUNCTION("""COMPUTED_VALUE"""),"No")</f>
        <v>No</v>
      </c>
      <c r="R463" s="1" t="str">
        <f ca="1">IFERROR(__xludf.DUMMYFUNCTION("""COMPUTED_VALUE"""),"Sport Event")</f>
        <v>Sport Event</v>
      </c>
      <c r="S463" s="5">
        <f ca="1">IFERROR(__xludf.DUMMYFUNCTION("""COMPUTED_VALUE"""),0.8125)</f>
        <v>0.8125</v>
      </c>
      <c r="T463" s="1">
        <f ca="1">IFERROR(__xludf.DUMMYFUNCTION("""COMPUTED_VALUE"""),1)</f>
        <v>1</v>
      </c>
      <c r="U463" s="1" t="str">
        <f ca="1">IFERROR(__xludf.DUMMYFUNCTION("""COMPUTED_VALUE"""),"Gun felt out of man's pants, fired when it hit the floor, and struck him")</f>
        <v>Gun felt out of man's pants, fired when it hit the floor, and struck him</v>
      </c>
      <c r="V463" s="1" t="str">
        <f ca="1">IFERROR(__xludf.DUMMYFUNCTION("""COMPUTED_VALUE"""),"A man who was wounded by his own gun will face charges for having the weapon on the grounds of a school. The Grayson County Sheriff’s Office say the shooting happened at Caneyville Elementary School around 7:30 p.m. (Central Time) last night. Deputies cal"&amp;"led to the school about the shooting found Matthew C. Nash, 37, of Millwood, with a gunshot wound to the lower leg. Nash was airlifted to UofL Hospital. He was treated and released Thursday morning. Investigators say Nash was at the school to pickup his k"&amp;"ids from basketball practice. While running in the hallway with a small child, a 9mm gun Nash had fell to the ground and fired.")</f>
        <v>A man who was wounded by his own gun will face charges for having the weapon on the grounds of a school. The Grayson County Sheriff’s Office say the shooting happened at Caneyville Elementary School around 7:30 p.m. (Central Time) last night. Deputies called to the school about the shooting found Matthew C. Nash, 37, of Millwood, with a gunshot wound to the lower leg. Nash was airlifted to UofL Hospital. He was treated and released Thursday morning. Investigators say Nash was at the school to pickup his kids from basketball practice. While running in the hallway with a small child, a 9mm gun Nash had fell to the ground and fired.</v>
      </c>
      <c r="W463" s="1" t="str">
        <f ca="1">IFERROR(__xludf.DUMMYFUNCTION("""COMPUTED_VALUE"""),"Accidental")</f>
        <v>Accidental</v>
      </c>
      <c r="X463" s="1" t="str">
        <f ca="1">IFERROR(__xludf.DUMMYFUNCTION("""COMPUTED_VALUE"""),"Neither")</f>
        <v>Neither</v>
      </c>
      <c r="Y463" s="1" t="str">
        <f ca="1">IFERROR(__xludf.DUMMYFUNCTION("""COMPUTED_VALUE"""),"No")</f>
        <v>No</v>
      </c>
      <c r="Z463" s="1"/>
      <c r="AA463" s="1" t="str">
        <f ca="1">IFERROR(__xludf.DUMMYFUNCTION("""COMPUTED_VALUE"""),"No")</f>
        <v>No</v>
      </c>
      <c r="AB463" s="1" t="str">
        <f ca="1">IFERROR(__xludf.DUMMYFUNCTION("""COMPUTED_VALUE"""),"No")</f>
        <v>No</v>
      </c>
      <c r="AC463" s="1" t="str">
        <f ca="1">IFERROR(__xludf.DUMMYFUNCTION("""COMPUTED_VALUE"""),"No")</f>
        <v>No</v>
      </c>
      <c r="AD463" s="1" t="str">
        <f ca="1">IFERROR(__xludf.DUMMYFUNCTION("""COMPUTED_VALUE"""),"No")</f>
        <v>No</v>
      </c>
      <c r="AE463" s="1" t="str">
        <f ca="1">IFERROR(__xludf.DUMMYFUNCTION("""COMPUTED_VALUE"""),"No")</f>
        <v>No</v>
      </c>
      <c r="AF463" s="1" t="str">
        <f ca="1">IFERROR(__xludf.DUMMYFUNCTION("""COMPUTED_VALUE"""),"No")</f>
        <v>No</v>
      </c>
      <c r="AG463" s="1" t="str">
        <f ca="1">IFERROR(__xludf.DUMMYFUNCTION("""COMPUTED_VALUE"""),"No")</f>
        <v>No</v>
      </c>
      <c r="AH463" s="1">
        <f ca="1">IFERROR(__xludf.DUMMYFUNCTION("""COMPUTED_VALUE"""),1)</f>
        <v>1</v>
      </c>
    </row>
    <row r="464" spans="1:34" ht="12.5">
      <c r="A464" s="1" t="str">
        <f ca="1">IFERROR(__xludf.DUMMYFUNCTION("""COMPUTED_VALUE"""),"20221108WAINS")</f>
        <v>20221108WAINS</v>
      </c>
      <c r="B464" s="1">
        <f ca="1">IFERROR(__xludf.DUMMYFUNCTION("""COMPUTED_VALUE"""),11)</f>
        <v>11</v>
      </c>
      <c r="C464" s="1">
        <f ca="1">IFERROR(__xludf.DUMMYFUNCTION("""COMPUTED_VALUE"""),8)</f>
        <v>8</v>
      </c>
      <c r="D464" s="1">
        <f ca="1">IFERROR(__xludf.DUMMYFUNCTION("""COMPUTED_VALUE"""),2022)</f>
        <v>2022</v>
      </c>
      <c r="E464" s="4">
        <f ca="1">IFERROR(__xludf.DUMMYFUNCTION("""COMPUTED_VALUE"""),44873)</f>
        <v>44873</v>
      </c>
      <c r="F464" s="1" t="str">
        <f ca="1">IFERROR(__xludf.DUMMYFUNCTION("""COMPUTED_VALUE"""),"Ingraham High School")</f>
        <v>Ingraham High School</v>
      </c>
      <c r="G464" s="1">
        <f ca="1">IFERROR(__xludf.DUMMYFUNCTION("""COMPUTED_VALUE"""),1)</f>
        <v>1</v>
      </c>
      <c r="H464" s="1">
        <f ca="1">IFERROR(__xludf.DUMMYFUNCTION("""COMPUTED_VALUE"""),0)</f>
        <v>0</v>
      </c>
      <c r="I464" s="1">
        <f ca="1">IFERROR(__xludf.DUMMYFUNCTION("""COMPUTED_VALUE"""),1)</f>
        <v>1</v>
      </c>
      <c r="J464" s="1">
        <f ca="1">IFERROR(__xludf.DUMMYFUNCTION("""COMPUTED_VALUE"""),0)</f>
        <v>0</v>
      </c>
      <c r="K464" s="1" t="str">
        <f ca="1">IFERROR(__xludf.DUMMYFUNCTION("""COMPUTED_VALUE"""),"Fall")</f>
        <v>Fall</v>
      </c>
      <c r="L464" s="1" t="str">
        <f ca="1">IFERROR(__xludf.DUMMYFUNCTION("""COMPUTED_VALUE"""),"Seattle")</f>
        <v>Seattle</v>
      </c>
      <c r="M464" s="1" t="str">
        <f ca="1">IFERROR(__xludf.DUMMYFUNCTION("""COMPUTED_VALUE"""),"WA")</f>
        <v>WA</v>
      </c>
      <c r="N464" s="1" t="str">
        <f ca="1">IFERROR(__xludf.DUMMYFUNCTION("""COMPUTED_VALUE"""),"High")</f>
        <v>High</v>
      </c>
      <c r="O464" s="1" t="str">
        <f ca="1">IFERROR(__xludf.DUMMYFUNCTION("""COMPUTED_VALUE"""),"Hallway")</f>
        <v>Hallway</v>
      </c>
      <c r="P464" s="1" t="str">
        <f ca="1">IFERROR(__xludf.DUMMYFUNCTION("""COMPUTED_VALUE"""),"Inside School Building")</f>
        <v>Inside School Building</v>
      </c>
      <c r="Q464" s="1" t="str">
        <f ca="1">IFERROR(__xludf.DUMMYFUNCTION("""COMPUTED_VALUE"""),"Yes")</f>
        <v>Yes</v>
      </c>
      <c r="R464" s="1" t="str">
        <f ca="1">IFERROR(__xludf.DUMMYFUNCTION("""COMPUTED_VALUE"""),"Morning Classes")</f>
        <v>Morning Classes</v>
      </c>
      <c r="S464" s="5">
        <f ca="1">IFERROR(__xludf.DUMMYFUNCTION("""COMPUTED_VALUE"""),0.413194444444444)</f>
        <v>0.41319444444444398</v>
      </c>
      <c r="T464" s="1">
        <f ca="1">IFERROR(__xludf.DUMMYFUNCTION("""COMPUTED_VALUE"""),1)</f>
        <v>1</v>
      </c>
      <c r="U464" s="1" t="str">
        <f ca="1">IFERROR(__xludf.DUMMYFUNCTION("""COMPUTED_VALUE"""),"Student fatally shot in the hallway, shooter fled")</f>
        <v>Student fatally shot in the hallway, shooter fled</v>
      </c>
      <c r="V464" s="1" t="str">
        <f ca="1">IFERROR(__xludf.DUMMYFUNCTION("""COMPUTED_VALUE"""),"Seattle police confirmed the student at Ingraham High School who was shot on Tuesday morning has died. According to charging documents, the suspect, victim and several other students were involved in a physical fight in the bathroom at the school. Investi"&amp;"gators said the reason for the fight was purportedly because the victim and his friends had learned that the suspect brought a gun to school and they wanted it. During the fight in the bathroom, the suspect's cell phone may have been taken. While leaving "&amp;"the bathroom, the victim was seen laughing at the opposing group as they left the area, which appeared to agitate the suspect, according to charging documents. About ten minutes later, the suspect asked to leave class to return to the bathroom, but the te"&amp;"acher denied the request. After class, witnesses told police that they saw the suspect and victim interact in the hallway at 9:55 a.m. The witness said they heard the victim say to the suspect ""you're not gonna bust it,"" implying shooting a gun. The wit"&amp;"ness said he saw the suspect was past the victim before pulling a gun out of his backpack and shooting the victim in the back multiple times. The school was in lockdown as officers searched the surrounding area for the suspect. The suspect was taken into "&amp;"custody shortly after 11 a.m., SPD Chief Adrian Diaz later confirmed to reporters. He was arrested on 145th and Aurora and had a weapon. Teen had been suspended for carrying a replica BB gun at school.")</f>
        <v>Seattle police confirmed the student at Ingraham High School who was shot on Tuesday morning has died. According to charging documents, the suspect, victim and several other students were involved in a physical fight in the bathroom at the school. Investigators said the reason for the fight was purportedly because the victim and his friends had learned that the suspect brought a gun to school and they wanted it. During the fight in the bathroom, the suspect's cell phone may have been taken. While leaving the bathroom, the victim was seen laughing at the opposing group as they left the area, which appeared to agitate the suspect, according to charging documents. About ten minutes later, the suspect asked to leave class to return to the bathroom, but the teacher denied the request. After class, witnesses told police that they saw the suspect and victim interact in the hallway at 9:55 a.m. The witness said they heard the victim say to the suspect "you're not gonna bust it," implying shooting a gun. The witness said he saw the suspect was past the victim before pulling a gun out of his backpack and shooting the victim in the back multiple times. The school was in lockdown as officers searched the surrounding area for the suspect. The suspect was taken into custody shortly after 11 a.m., SPD Chief Adrian Diaz later confirmed to reporters. He was arrested on 145th and Aurora and had a weapon. Teen had been suspended for carrying a replica BB gun at school.</v>
      </c>
      <c r="W464" s="1" t="str">
        <f ca="1">IFERROR(__xludf.DUMMYFUNCTION("""COMPUTED_VALUE"""),"Escalation of Dispute")</f>
        <v>Escalation of Dispute</v>
      </c>
      <c r="X464" s="1" t="str">
        <f ca="1">IFERROR(__xludf.DUMMYFUNCTION("""COMPUTED_VALUE"""),"Victims Targeted")</f>
        <v>Victims Targeted</v>
      </c>
      <c r="Y464" s="1" t="str">
        <f ca="1">IFERROR(__xludf.DUMMYFUNCTION("""COMPUTED_VALUE"""),"Yes")</f>
        <v>Yes</v>
      </c>
      <c r="Z464" s="1" t="str">
        <f ca="1">IFERROR(__xludf.DUMMYFUNCTION("""COMPUTED_VALUE"""),"14YOM and 15YOM were arrested together after the shooting")</f>
        <v>14YOM and 15YOM were arrested together after the shooting</v>
      </c>
      <c r="AA464" s="1" t="str">
        <f ca="1">IFERROR(__xludf.DUMMYFUNCTION("""COMPUTED_VALUE"""),"No")</f>
        <v>No</v>
      </c>
      <c r="AB464" s="1" t="str">
        <f ca="1">IFERROR(__xludf.DUMMYFUNCTION("""COMPUTED_VALUE"""),"No")</f>
        <v>No</v>
      </c>
      <c r="AC464" s="1" t="str">
        <f ca="1">IFERROR(__xludf.DUMMYFUNCTION("""COMPUTED_VALUE"""),"No")</f>
        <v>No</v>
      </c>
      <c r="AD464" s="1"/>
      <c r="AE464" s="1" t="str">
        <f ca="1">IFERROR(__xludf.DUMMYFUNCTION("""COMPUTED_VALUE"""),"No")</f>
        <v>No</v>
      </c>
      <c r="AF464" s="1"/>
      <c r="AG464" s="1" t="str">
        <f ca="1">IFERROR(__xludf.DUMMYFUNCTION("""COMPUTED_VALUE"""),"No")</f>
        <v>No</v>
      </c>
      <c r="AH464" s="1"/>
    </row>
    <row r="465" spans="1:34" ht="12.5">
      <c r="A465" s="1" t="str">
        <f ca="1">IFERROR(__xludf.DUMMYFUNCTION("""COMPUTED_VALUE"""),"20221106VAHUH")</f>
        <v>20221106VAHUH</v>
      </c>
      <c r="B465" s="1">
        <f ca="1">IFERROR(__xludf.DUMMYFUNCTION("""COMPUTED_VALUE"""),11)</f>
        <v>11</v>
      </c>
      <c r="C465" s="1">
        <f ca="1">IFERROR(__xludf.DUMMYFUNCTION("""COMPUTED_VALUE"""),6)</f>
        <v>6</v>
      </c>
      <c r="D465" s="1">
        <f ca="1">IFERROR(__xludf.DUMMYFUNCTION("""COMPUTED_VALUE"""),2022)</f>
        <v>2022</v>
      </c>
      <c r="E465" s="4">
        <f ca="1">IFERROR(__xludf.DUMMYFUNCTION("""COMPUTED_VALUE"""),44871)</f>
        <v>44871</v>
      </c>
      <c r="F465" s="1" t="str">
        <f ca="1">IFERROR(__xludf.DUMMYFUNCTION("""COMPUTED_VALUE"""),"Hutchison Elementary School")</f>
        <v>Hutchison Elementary School</v>
      </c>
      <c r="G465" s="1">
        <f ca="1">IFERROR(__xludf.DUMMYFUNCTION("""COMPUTED_VALUE"""),0)</f>
        <v>0</v>
      </c>
      <c r="H465" s="1">
        <f ca="1">IFERROR(__xludf.DUMMYFUNCTION("""COMPUTED_VALUE"""),0)</f>
        <v>0</v>
      </c>
      <c r="I465" s="1">
        <f ca="1">IFERROR(__xludf.DUMMYFUNCTION("""COMPUTED_VALUE"""),0)</f>
        <v>0</v>
      </c>
      <c r="J465" s="1">
        <f ca="1">IFERROR(__xludf.DUMMYFUNCTION("""COMPUTED_VALUE"""),0)</f>
        <v>0</v>
      </c>
      <c r="K465" s="1" t="str">
        <f ca="1">IFERROR(__xludf.DUMMYFUNCTION("""COMPUTED_VALUE"""),"Fall")</f>
        <v>Fall</v>
      </c>
      <c r="L465" s="1" t="str">
        <f ca="1">IFERROR(__xludf.DUMMYFUNCTION("""COMPUTED_VALUE"""),"Herndon")</f>
        <v>Herndon</v>
      </c>
      <c r="M465" s="1" t="str">
        <f ca="1">IFERROR(__xludf.DUMMYFUNCTION("""COMPUTED_VALUE"""),"VA")</f>
        <v>VA</v>
      </c>
      <c r="N465" s="1" t="str">
        <f ca="1">IFERROR(__xludf.DUMMYFUNCTION("""COMPUTED_VALUE"""),"Elementary")</f>
        <v>Elementary</v>
      </c>
      <c r="O465" s="1" t="str">
        <f ca="1">IFERROR(__xludf.DUMMYFUNCTION("""COMPUTED_VALUE"""),"Beside Building")</f>
        <v>Beside Building</v>
      </c>
      <c r="P465" s="1" t="str">
        <f ca="1">IFERROR(__xludf.DUMMYFUNCTION("""COMPUTED_VALUE"""),"Outside on School Property")</f>
        <v>Outside on School Property</v>
      </c>
      <c r="Q465" s="1" t="str">
        <f ca="1">IFERROR(__xludf.DUMMYFUNCTION("""COMPUTED_VALUE"""),"No")</f>
        <v>No</v>
      </c>
      <c r="R465" s="1" t="str">
        <f ca="1">IFERROR(__xludf.DUMMYFUNCTION("""COMPUTED_VALUE"""),"Not a School Day")</f>
        <v>Not a School Day</v>
      </c>
      <c r="S465" s="5">
        <f ca="1">IFERROR(__xludf.DUMMYFUNCTION("""COMPUTED_VALUE"""),0.672916666666666)</f>
        <v>0.67291666666666605</v>
      </c>
      <c r="T465" s="1">
        <f ca="1">IFERROR(__xludf.DUMMYFUNCTION("""COMPUTED_VALUE"""),1)</f>
        <v>1</v>
      </c>
      <c r="U465" s="1" t="str">
        <f ca="1">IFERROR(__xludf.DUMMYFUNCTION("""COMPUTED_VALUE"""),"Shots fired behind school")</f>
        <v>Shots fired behind school</v>
      </c>
      <c r="V465" s="1" t="str">
        <f ca="1">IFERROR(__xludf.DUMMYFUNCTION("""COMPUTED_VALUE"""),"Fairfax County police officers were called to the school for a report of shots being fired into the air around 4:09 p.m. today, according to Fairfax County Police Department Lt. Dan Spital. When officers arrived at the school, they saw a group of men behi"&amp;"nd the school, one of whom ran through a wooded area — presumably the adjacent Hutchinson Park — and onto the Dulles Toll Road, police said. “Once that man got onto the Dulles Toll Road, he was struck by a vehicle,” Spital said in a brief update around 6:"&amp;"30 p.m. “That vehicle remained on scene, and the patient was listed in critical condition. He was ground-transported to a local hospital, where he’s being treated for injuries that are still considered life-threatening.” K9 officers found a firearm in the"&amp;" woods on the path where the foot chase took place, according to police.")</f>
        <v>Fairfax County police officers were called to the school for a report of shots being fired into the air around 4:09 p.m. today, according to Fairfax County Police Department Lt. Dan Spital. When officers arrived at the school, they saw a group of men behind the school, one of whom ran through a wooded area — presumably the adjacent Hutchinson Park — and onto the Dulles Toll Road, police said. “Once that man got onto the Dulles Toll Road, he was struck by a vehicle,” Spital said in a brief update around 6:30 p.m. “That vehicle remained on scene, and the patient was listed in critical condition. He was ground-transported to a local hospital, where he’s being treated for injuries that are still considered life-threatening.” K9 officers found a firearm in the woods on the path where the foot chase took place, according to police.</v>
      </c>
      <c r="W465" s="1"/>
      <c r="X465" s="1" t="str">
        <f ca="1">IFERROR(__xludf.DUMMYFUNCTION("""COMPUTED_VALUE"""),"Neither")</f>
        <v>Neither</v>
      </c>
      <c r="Y465" s="1" t="str">
        <f ca="1">IFERROR(__xludf.DUMMYFUNCTION("""COMPUTED_VALUE"""),"Yes")</f>
        <v>Yes</v>
      </c>
      <c r="Z465" s="1" t="str">
        <f ca="1">IFERROR(__xludf.DUMMYFUNCTION("""COMPUTED_VALUE"""),"Group of men")</f>
        <v>Group of men</v>
      </c>
      <c r="AA465" s="1" t="str">
        <f ca="1">IFERROR(__xludf.DUMMYFUNCTION("""COMPUTED_VALUE"""),"No")</f>
        <v>No</v>
      </c>
      <c r="AB465" s="1" t="str">
        <f ca="1">IFERROR(__xludf.DUMMYFUNCTION("""COMPUTED_VALUE"""),"No")</f>
        <v>No</v>
      </c>
      <c r="AC465" s="1" t="str">
        <f ca="1">IFERROR(__xludf.DUMMYFUNCTION("""COMPUTED_VALUE"""),"No")</f>
        <v>No</v>
      </c>
      <c r="AD465" s="1" t="str">
        <f ca="1">IFERROR(__xludf.DUMMYFUNCTION("""COMPUTED_VALUE"""),"No")</f>
        <v>No</v>
      </c>
      <c r="AE465" s="1" t="str">
        <f ca="1">IFERROR(__xludf.DUMMYFUNCTION("""COMPUTED_VALUE"""),"No")</f>
        <v>No</v>
      </c>
      <c r="AF465" s="1"/>
      <c r="AG465" s="1" t="str">
        <f ca="1">IFERROR(__xludf.DUMMYFUNCTION("""COMPUTED_VALUE"""),"No")</f>
        <v>No</v>
      </c>
      <c r="AH465" s="1">
        <f ca="1">IFERROR(__xludf.DUMMYFUNCTION("""COMPUTED_VALUE"""),99)</f>
        <v>99</v>
      </c>
    </row>
    <row r="466" spans="1:34" ht="12.5">
      <c r="A466" s="1" t="str">
        <f ca="1">IFERROR(__xludf.DUMMYFUNCTION("""COMPUTED_VALUE"""),"20221105TXDAF")</f>
        <v>20221105TXDAF</v>
      </c>
      <c r="B466" s="1">
        <f ca="1">IFERROR(__xludf.DUMMYFUNCTION("""COMPUTED_VALUE"""),11)</f>
        <v>11</v>
      </c>
      <c r="C466" s="1">
        <f ca="1">IFERROR(__xludf.DUMMYFUNCTION("""COMPUTED_VALUE"""),5)</f>
        <v>5</v>
      </c>
      <c r="D466" s="1">
        <f ca="1">IFERROR(__xludf.DUMMYFUNCTION("""COMPUTED_VALUE"""),2022)</f>
        <v>2022</v>
      </c>
      <c r="E466" s="4">
        <f ca="1">IFERROR(__xludf.DUMMYFUNCTION("""COMPUTED_VALUE"""),44870)</f>
        <v>44870</v>
      </c>
      <c r="F466" s="1" t="str">
        <f ca="1">IFERROR(__xludf.DUMMYFUNCTION("""COMPUTED_VALUE"""),"David K Sellars Elementary")</f>
        <v>David K Sellars Elementary</v>
      </c>
      <c r="G466" s="1">
        <f ca="1">IFERROR(__xludf.DUMMYFUNCTION("""COMPUTED_VALUE"""),0)</f>
        <v>0</v>
      </c>
      <c r="H466" s="1">
        <f ca="1">IFERROR(__xludf.DUMMYFUNCTION("""COMPUTED_VALUE"""),1)</f>
        <v>1</v>
      </c>
      <c r="I466" s="1">
        <f ca="1">IFERROR(__xludf.DUMMYFUNCTION("""COMPUTED_VALUE"""),1)</f>
        <v>1</v>
      </c>
      <c r="J466" s="1">
        <f ca="1">IFERROR(__xludf.DUMMYFUNCTION("""COMPUTED_VALUE"""),0)</f>
        <v>0</v>
      </c>
      <c r="K466" s="1" t="str">
        <f ca="1">IFERROR(__xludf.DUMMYFUNCTION("""COMPUTED_VALUE"""),"Fall")</f>
        <v>Fall</v>
      </c>
      <c r="L466" s="1" t="str">
        <f ca="1">IFERROR(__xludf.DUMMYFUNCTION("""COMPUTED_VALUE"""),"Forest Hill")</f>
        <v>Forest Hill</v>
      </c>
      <c r="M466" s="1" t="str">
        <f ca="1">IFERROR(__xludf.DUMMYFUNCTION("""COMPUTED_VALUE"""),"TX")</f>
        <v>TX</v>
      </c>
      <c r="N466" s="1" t="str">
        <f ca="1">IFERROR(__xludf.DUMMYFUNCTION("""COMPUTED_VALUE"""),"Elementary")</f>
        <v>Elementary</v>
      </c>
      <c r="O466" s="1" t="str">
        <f ca="1">IFERROR(__xludf.DUMMYFUNCTION("""COMPUTED_VALUE"""),"Inside School Building")</f>
        <v>Inside School Building</v>
      </c>
      <c r="P466" s="1" t="str">
        <f ca="1">IFERROR(__xludf.DUMMYFUNCTION("""COMPUTED_VALUE"""),"Inside School Building")</f>
        <v>Inside School Building</v>
      </c>
      <c r="Q466" s="1" t="str">
        <f ca="1">IFERROR(__xludf.DUMMYFUNCTION("""COMPUTED_VALUE"""),"No")</f>
        <v>No</v>
      </c>
      <c r="R466" s="1" t="str">
        <f ca="1">IFERROR(__xludf.DUMMYFUNCTION("""COMPUTED_VALUE"""),"Not a School Day")</f>
        <v>Not a School Day</v>
      </c>
      <c r="S466" s="5">
        <f ca="1">IFERROR(__xludf.DUMMYFUNCTION("""COMPUTED_VALUE"""),0.583333333333333)</f>
        <v>0.58333333333333304</v>
      </c>
      <c r="T466" s="1">
        <f ca="1">IFERROR(__xludf.DUMMYFUNCTION("""COMPUTED_VALUE"""),1)</f>
        <v>1</v>
      </c>
      <c r="U466" s="1" t="str">
        <f ca="1">IFERROR(__xludf.DUMMYFUNCTION("""COMPUTED_VALUE"""),"Officer shot with live round during active shooter training")</f>
        <v>Officer shot with live round during active shooter training</v>
      </c>
      <c r="V466" s="1" t="str">
        <f ca="1">IFERROR(__xludf.DUMMYFUNCTION("""COMPUTED_VALUE"""),"Officer shot with live round during active shooter training")</f>
        <v>Officer shot with live round during active shooter training</v>
      </c>
      <c r="W466" s="1" t="str">
        <f ca="1">IFERROR(__xludf.DUMMYFUNCTION("""COMPUTED_VALUE"""),"Accidental")</f>
        <v>Accidental</v>
      </c>
      <c r="X466" s="1" t="str">
        <f ca="1">IFERROR(__xludf.DUMMYFUNCTION("""COMPUTED_VALUE"""),"Neither")</f>
        <v>Neither</v>
      </c>
      <c r="Y466" s="1" t="str">
        <f ca="1">IFERROR(__xludf.DUMMYFUNCTION("""COMPUTED_VALUE"""),"No")</f>
        <v>No</v>
      </c>
      <c r="Z466" s="1"/>
      <c r="AA466" s="1" t="str">
        <f ca="1">IFERROR(__xludf.DUMMYFUNCTION("""COMPUTED_VALUE"""),"No")</f>
        <v>No</v>
      </c>
      <c r="AB466" s="1" t="str">
        <f ca="1">IFERROR(__xludf.DUMMYFUNCTION("""COMPUTED_VALUE"""),"No")</f>
        <v>No</v>
      </c>
      <c r="AC466" s="1" t="str">
        <f ca="1">IFERROR(__xludf.DUMMYFUNCTION("""COMPUTED_VALUE"""),"No")</f>
        <v>No</v>
      </c>
      <c r="AD466" s="1" t="str">
        <f ca="1">IFERROR(__xludf.DUMMYFUNCTION("""COMPUTED_VALUE"""),"No")</f>
        <v>No</v>
      </c>
      <c r="AE466" s="1" t="str">
        <f ca="1">IFERROR(__xludf.DUMMYFUNCTION("""COMPUTED_VALUE"""),"No")</f>
        <v>No</v>
      </c>
      <c r="AF466" s="1" t="str">
        <f ca="1">IFERROR(__xludf.DUMMYFUNCTION("""COMPUTED_VALUE"""),"No")</f>
        <v>No</v>
      </c>
      <c r="AG466" s="1" t="str">
        <f ca="1">IFERROR(__xludf.DUMMYFUNCTION("""COMPUTED_VALUE"""),"No")</f>
        <v>No</v>
      </c>
      <c r="AH466" s="1"/>
    </row>
    <row r="467" spans="1:34" ht="12.5">
      <c r="A467" s="1" t="str">
        <f ca="1">IFERROR(__xludf.DUMMYFUNCTION("""COMPUTED_VALUE"""),"20221104KYVAL")</f>
        <v>20221104KYVAL</v>
      </c>
      <c r="B467" s="1">
        <f ca="1">IFERROR(__xludf.DUMMYFUNCTION("""COMPUTED_VALUE"""),11)</f>
        <v>11</v>
      </c>
      <c r="C467" s="1">
        <f ca="1">IFERROR(__xludf.DUMMYFUNCTION("""COMPUTED_VALUE"""),4)</f>
        <v>4</v>
      </c>
      <c r="D467" s="1">
        <f ca="1">IFERROR(__xludf.DUMMYFUNCTION("""COMPUTED_VALUE"""),2022)</f>
        <v>2022</v>
      </c>
      <c r="E467" s="4">
        <f ca="1">IFERROR(__xludf.DUMMYFUNCTION("""COMPUTED_VALUE"""),44869)</f>
        <v>44869</v>
      </c>
      <c r="F467" s="1" t="str">
        <f ca="1">IFERROR(__xludf.DUMMYFUNCTION("""COMPUTED_VALUE"""),"Valley High School")</f>
        <v>Valley High School</v>
      </c>
      <c r="G467" s="1">
        <f ca="1">IFERROR(__xludf.DUMMYFUNCTION("""COMPUTED_VALUE"""),0)</f>
        <v>0</v>
      </c>
      <c r="H467" s="1">
        <f ca="1">IFERROR(__xludf.DUMMYFUNCTION("""COMPUTED_VALUE"""),0)</f>
        <v>0</v>
      </c>
      <c r="I467" s="1">
        <f ca="1">IFERROR(__xludf.DUMMYFUNCTION("""COMPUTED_VALUE"""),0)</f>
        <v>0</v>
      </c>
      <c r="J467" s="1">
        <f ca="1">IFERROR(__xludf.DUMMYFUNCTION("""COMPUTED_VALUE"""),0)</f>
        <v>0</v>
      </c>
      <c r="K467" s="1" t="str">
        <f ca="1">IFERROR(__xludf.DUMMYFUNCTION("""COMPUTED_VALUE"""),"Fall")</f>
        <v>Fall</v>
      </c>
      <c r="L467" s="1" t="str">
        <f ca="1">IFERROR(__xludf.DUMMYFUNCTION("""COMPUTED_VALUE"""),"Louisville")</f>
        <v>Louisville</v>
      </c>
      <c r="M467" s="1" t="str">
        <f ca="1">IFERROR(__xludf.DUMMYFUNCTION("""COMPUTED_VALUE"""),"KY")</f>
        <v>KY</v>
      </c>
      <c r="N467" s="1" t="str">
        <f ca="1">IFERROR(__xludf.DUMMYFUNCTION("""COMPUTED_VALUE"""),"High")</f>
        <v>High</v>
      </c>
      <c r="O467" s="1" t="str">
        <f ca="1">IFERROR(__xludf.DUMMYFUNCTION("""COMPUTED_VALUE"""),"Parking Lot")</f>
        <v>Parking Lot</v>
      </c>
      <c r="P467" s="1" t="str">
        <f ca="1">IFERROR(__xludf.DUMMYFUNCTION("""COMPUTED_VALUE"""),"Outside on School Property")</f>
        <v>Outside on School Property</v>
      </c>
      <c r="Q467" s="1" t="str">
        <f ca="1">IFERROR(__xludf.DUMMYFUNCTION("""COMPUTED_VALUE"""),"Yes")</f>
        <v>Yes</v>
      </c>
      <c r="R467" s="1" t="str">
        <f ca="1">IFERROR(__xludf.DUMMYFUNCTION("""COMPUTED_VALUE"""),"Morning Classes")</f>
        <v>Morning Classes</v>
      </c>
      <c r="S467" s="5">
        <f ca="1">IFERROR(__xludf.DUMMYFUNCTION("""COMPUTED_VALUE"""),0.465277777777777)</f>
        <v>0.46527777777777701</v>
      </c>
      <c r="T467" s="1">
        <f ca="1">IFERROR(__xludf.DUMMYFUNCTION("""COMPUTED_VALUE"""),1)</f>
        <v>1</v>
      </c>
      <c r="U467" s="1" t="str">
        <f ca="1">IFERROR(__xludf.DUMMYFUNCTION("""COMPUTED_VALUE"""),"Man brandished handgun and threatened to shoot 3 students in parking lot")</f>
        <v>Man brandished handgun and threatened to shoot 3 students in parking lot</v>
      </c>
      <c r="V467" s="1" t="str">
        <f ca="1">IFERROR(__xludf.DUMMYFUNCTION("""COMPUTED_VALUE"""),"According to an arrest citation, officers were sent about 11:10 a.m. to Valley High School, 10200 Dixie Highway, on a report of a suspect with a gun threatening to shoot students in the parking lot. Three students told officers that Fox had pulled out a h"&amp;"andgun from his waistband while in the parking lot, ""racked the slide"" of the weapon and said ""he would shoot a student,"" according to the arrest report. The three students ran inside the school building, police said. Officers arrived on scene and cha"&amp;"sed after Fox as he fled on foot, according to the arrest citation. Fox was caught near the school on Donau Lane, which is also where Fox lives, according to court records. ")</f>
        <v xml:space="preserve">According to an arrest citation, officers were sent about 11:10 a.m. to Valley High School, 10200 Dixie Highway, on a report of a suspect with a gun threatening to shoot students in the parking lot. Three students told officers that Fox had pulled out a handgun from his waistband while in the parking lot, "racked the slide" of the weapon and said "he would shoot a student," according to the arrest report. The three students ran inside the school building, police said. Officers arrived on scene and chased after Fox as he fled on foot, according to the arrest citation. Fox was caught near the school on Donau Lane, which is also where Fox lives, according to court records. </v>
      </c>
      <c r="W467" s="1" t="str">
        <f ca="1">IFERROR(__xludf.DUMMYFUNCTION("""COMPUTED_VALUE"""),"Escalation of Dispute")</f>
        <v>Escalation of Dispute</v>
      </c>
      <c r="X467" s="1" t="str">
        <f ca="1">IFERROR(__xludf.DUMMYFUNCTION("""COMPUTED_VALUE"""),"Victims Targeted")</f>
        <v>Victims Targeted</v>
      </c>
      <c r="Y467" s="1" t="str">
        <f ca="1">IFERROR(__xludf.DUMMYFUNCTION("""COMPUTED_VALUE"""),"No")</f>
        <v>No</v>
      </c>
      <c r="Z467" s="1"/>
      <c r="AA467" s="1" t="str">
        <f ca="1">IFERROR(__xludf.DUMMYFUNCTION("""COMPUTED_VALUE"""),"No")</f>
        <v>No</v>
      </c>
      <c r="AB467" s="1" t="str">
        <f ca="1">IFERROR(__xludf.DUMMYFUNCTION("""COMPUTED_VALUE"""),"No")</f>
        <v>No</v>
      </c>
      <c r="AC467" s="1" t="str">
        <f ca="1">IFERROR(__xludf.DUMMYFUNCTION("""COMPUTED_VALUE"""),"No")</f>
        <v>No</v>
      </c>
      <c r="AD467" s="1" t="str">
        <f ca="1">IFERROR(__xludf.DUMMYFUNCTION("""COMPUTED_VALUE"""),"No")</f>
        <v>No</v>
      </c>
      <c r="AE467" s="1" t="str">
        <f ca="1">IFERROR(__xludf.DUMMYFUNCTION("""COMPUTED_VALUE"""),"No")</f>
        <v>No</v>
      </c>
      <c r="AF467" s="1"/>
      <c r="AG467" s="1" t="str">
        <f ca="1">IFERROR(__xludf.DUMMYFUNCTION("""COMPUTED_VALUE"""),"No")</f>
        <v>No</v>
      </c>
      <c r="AH467" s="1">
        <f ca="1">IFERROR(__xludf.DUMMYFUNCTION("""COMPUTED_VALUE"""),0)</f>
        <v>0</v>
      </c>
    </row>
    <row r="468" spans="1:34" ht="12.5">
      <c r="A468" s="1" t="str">
        <f ca="1">IFERROR(__xludf.DUMMYFUNCTION("""COMPUTED_VALUE"""),"20221103GASHS")</f>
        <v>20221103GASHS</v>
      </c>
      <c r="B468" s="1">
        <f ca="1">IFERROR(__xludf.DUMMYFUNCTION("""COMPUTED_VALUE"""),11)</f>
        <v>11</v>
      </c>
      <c r="C468" s="1">
        <f ca="1">IFERROR(__xludf.DUMMYFUNCTION("""COMPUTED_VALUE"""),3)</f>
        <v>3</v>
      </c>
      <c r="D468" s="1">
        <f ca="1">IFERROR(__xludf.DUMMYFUNCTION("""COMPUTED_VALUE"""),2022)</f>
        <v>2022</v>
      </c>
      <c r="E468" s="4">
        <f ca="1">IFERROR(__xludf.DUMMYFUNCTION("""COMPUTED_VALUE"""),44868)</f>
        <v>44868</v>
      </c>
      <c r="F468" s="1" t="str">
        <f ca="1">IFERROR(__xludf.DUMMYFUNCTION("""COMPUTED_VALUE"""),"Shuman Elementary School")</f>
        <v>Shuman Elementary School</v>
      </c>
      <c r="G468" s="1">
        <f ca="1">IFERROR(__xludf.DUMMYFUNCTION("""COMPUTED_VALUE"""),0)</f>
        <v>0</v>
      </c>
      <c r="H468" s="1">
        <f ca="1">IFERROR(__xludf.DUMMYFUNCTION("""COMPUTED_VALUE"""),1)</f>
        <v>1</v>
      </c>
      <c r="I468" s="1">
        <f ca="1">IFERROR(__xludf.DUMMYFUNCTION("""COMPUTED_VALUE"""),1)</f>
        <v>1</v>
      </c>
      <c r="J468" s="1">
        <f ca="1">IFERROR(__xludf.DUMMYFUNCTION("""COMPUTED_VALUE"""),0)</f>
        <v>0</v>
      </c>
      <c r="K468" s="1" t="str">
        <f ca="1">IFERROR(__xludf.DUMMYFUNCTION("""COMPUTED_VALUE"""),"Fall")</f>
        <v>Fall</v>
      </c>
      <c r="L468" s="1" t="str">
        <f ca="1">IFERROR(__xludf.DUMMYFUNCTION("""COMPUTED_VALUE"""),"Savana")</f>
        <v>Savana</v>
      </c>
      <c r="M468" s="1" t="str">
        <f ca="1">IFERROR(__xludf.DUMMYFUNCTION("""COMPUTED_VALUE"""),"GA")</f>
        <v>GA</v>
      </c>
      <c r="N468" s="1" t="str">
        <f ca="1">IFERROR(__xludf.DUMMYFUNCTION("""COMPUTED_VALUE"""),"Elementary")</f>
        <v>Elementary</v>
      </c>
      <c r="O468" s="1" t="str">
        <f ca="1">IFERROR(__xludf.DUMMYFUNCTION("""COMPUTED_VALUE"""),"Front of School")</f>
        <v>Front of School</v>
      </c>
      <c r="P468" s="1" t="str">
        <f ca="1">IFERROR(__xludf.DUMMYFUNCTION("""COMPUTED_VALUE"""),"Outside on School Property")</f>
        <v>Outside on School Property</v>
      </c>
      <c r="Q468" s="1" t="str">
        <f ca="1">IFERROR(__xludf.DUMMYFUNCTION("""COMPUTED_VALUE"""),"No")</f>
        <v>No</v>
      </c>
      <c r="R468" s="1" t="str">
        <f ca="1">IFERROR(__xludf.DUMMYFUNCTION("""COMPUTED_VALUE"""),"Night")</f>
        <v>Night</v>
      </c>
      <c r="S468" s="5">
        <f ca="1">IFERROR(__xludf.DUMMYFUNCTION("""COMPUTED_VALUE"""),0.916666666666666)</f>
        <v>0.91666666666666596</v>
      </c>
      <c r="T468" s="1">
        <f ca="1">IFERROR(__xludf.DUMMYFUNCTION("""COMPUTED_VALUE"""),1)</f>
        <v>1</v>
      </c>
      <c r="U468" s="1" t="str">
        <f ca="1">IFERROR(__xludf.DUMMYFUNCTION("""COMPUTED_VALUE"""),"Person shot in front of the school")</f>
        <v>Person shot in front of the school</v>
      </c>
      <c r="V468" s="1" t="str">
        <f ca="1">IFERROR(__xludf.DUMMYFUNCTION("""COMPUTED_VALUE"""),"One person was shot in front of the school and transported to the hospital")</f>
        <v>One person was shot in front of the school and transported to the hospital</v>
      </c>
      <c r="W468" s="1"/>
      <c r="X468" s="1"/>
      <c r="Y468" s="1" t="str">
        <f ca="1">IFERROR(__xludf.DUMMYFUNCTION("""COMPUTED_VALUE"""),"No")</f>
        <v>No</v>
      </c>
      <c r="Z468" s="1"/>
      <c r="AA468" s="1" t="str">
        <f ca="1">IFERROR(__xludf.DUMMYFUNCTION("""COMPUTED_VALUE"""),"No")</f>
        <v>No</v>
      </c>
      <c r="AB468" s="1" t="str">
        <f ca="1">IFERROR(__xludf.DUMMYFUNCTION("""COMPUTED_VALUE"""),"No")</f>
        <v>No</v>
      </c>
      <c r="AC468" s="1" t="str">
        <f ca="1">IFERROR(__xludf.DUMMYFUNCTION("""COMPUTED_VALUE"""),"No")</f>
        <v>No</v>
      </c>
      <c r="AD468" s="1" t="str">
        <f ca="1">IFERROR(__xludf.DUMMYFUNCTION("""COMPUTED_VALUE"""),"No")</f>
        <v>No</v>
      </c>
      <c r="AE468" s="1"/>
      <c r="AF468" s="1"/>
      <c r="AG468" s="1" t="str">
        <f ca="1">IFERROR(__xludf.DUMMYFUNCTION("""COMPUTED_VALUE"""),"No")</f>
        <v>No</v>
      </c>
      <c r="AH468" s="1"/>
    </row>
    <row r="469" spans="1:34" ht="12.5">
      <c r="A469" s="1" t="str">
        <f ca="1">IFERROR(__xludf.DUMMYFUNCTION("""COMPUTED_VALUE"""),"20221102DCMCW")</f>
        <v>20221102DCMCW</v>
      </c>
      <c r="B469" s="1">
        <f ca="1">IFERROR(__xludf.DUMMYFUNCTION("""COMPUTED_VALUE"""),11)</f>
        <v>11</v>
      </c>
      <c r="C469" s="1">
        <f ca="1">IFERROR(__xludf.DUMMYFUNCTION("""COMPUTED_VALUE"""),2)</f>
        <v>2</v>
      </c>
      <c r="D469" s="1">
        <f ca="1">IFERROR(__xludf.DUMMYFUNCTION("""COMPUTED_VALUE"""),2022)</f>
        <v>2022</v>
      </c>
      <c r="E469" s="4">
        <f ca="1">IFERROR(__xludf.DUMMYFUNCTION("""COMPUTED_VALUE"""),44867)</f>
        <v>44867</v>
      </c>
      <c r="F469" s="1" t="str">
        <f ca="1">IFERROR(__xludf.DUMMYFUNCTION("""COMPUTED_VALUE"""),"MacFarland Middle School")</f>
        <v>MacFarland Middle School</v>
      </c>
      <c r="G469" s="1">
        <f ca="1">IFERROR(__xludf.DUMMYFUNCTION("""COMPUTED_VALUE"""),0)</f>
        <v>0</v>
      </c>
      <c r="H469" s="1">
        <f ca="1">IFERROR(__xludf.DUMMYFUNCTION("""COMPUTED_VALUE"""),0)</f>
        <v>0</v>
      </c>
      <c r="I469" s="1">
        <f ca="1">IFERROR(__xludf.DUMMYFUNCTION("""COMPUTED_VALUE"""),0)</f>
        <v>0</v>
      </c>
      <c r="J469" s="1">
        <f ca="1">IFERROR(__xludf.DUMMYFUNCTION("""COMPUTED_VALUE"""),0)</f>
        <v>0</v>
      </c>
      <c r="K469" s="1" t="str">
        <f ca="1">IFERROR(__xludf.DUMMYFUNCTION("""COMPUTED_VALUE"""),"Fall")</f>
        <v>Fall</v>
      </c>
      <c r="L469" s="1" t="str">
        <f ca="1">IFERROR(__xludf.DUMMYFUNCTION("""COMPUTED_VALUE"""),"Washington")</f>
        <v>Washington</v>
      </c>
      <c r="M469" s="1" t="str">
        <f ca="1">IFERROR(__xludf.DUMMYFUNCTION("""COMPUTED_VALUE"""),"DC")</f>
        <v>DC</v>
      </c>
      <c r="N469" s="1" t="str">
        <f ca="1">IFERROR(__xludf.DUMMYFUNCTION("""COMPUTED_VALUE"""),"Middle")</f>
        <v>Middle</v>
      </c>
      <c r="O469" s="1" t="str">
        <f ca="1">IFERROR(__xludf.DUMMYFUNCTION("""COMPUTED_VALUE"""),"Parking Lot")</f>
        <v>Parking Lot</v>
      </c>
      <c r="P469" s="1" t="str">
        <f ca="1">IFERROR(__xludf.DUMMYFUNCTION("""COMPUTED_VALUE"""),"Outside on School Property")</f>
        <v>Outside on School Property</v>
      </c>
      <c r="Q469" s="1" t="str">
        <f ca="1">IFERROR(__xludf.DUMMYFUNCTION("""COMPUTED_VALUE"""),"Yes")</f>
        <v>Yes</v>
      </c>
      <c r="R469" s="1" t="str">
        <f ca="1">IFERROR(__xludf.DUMMYFUNCTION("""COMPUTED_VALUE"""),"Morning Classes")</f>
        <v>Morning Classes</v>
      </c>
      <c r="S469" s="5">
        <f ca="1">IFERROR(__xludf.DUMMYFUNCTION("""COMPUTED_VALUE"""),0.4375)</f>
        <v>0.4375</v>
      </c>
      <c r="T469" s="1">
        <f ca="1">IFERROR(__xludf.DUMMYFUNCTION("""COMPUTED_VALUE"""),1)</f>
        <v>1</v>
      </c>
      <c r="U469" s="1" t="str">
        <f ca="1">IFERROR(__xludf.DUMMYFUNCTION("""COMPUTED_VALUE"""),"Shots fired in school parking lot")</f>
        <v>Shots fired in school parking lot</v>
      </c>
      <c r="V469" s="1" t="str">
        <f ca="1">IFERROR(__xludf.DUMMYFUNCTION("""COMPUTED_VALUE"""),"Shots were fired in the school parking lot. Roosevelt High School, MacFarland Middle School, and Dorothy Height Elementary School were placed on lockdown. Multiple masked people fled from parking lot. Police recovered multiple shell casings.")</f>
        <v>Shots were fired in the school parking lot. Roosevelt High School, MacFarland Middle School, and Dorothy Height Elementary School were placed on lockdown. Multiple masked people fled from parking lot. Police recovered multiple shell casings.</v>
      </c>
      <c r="W469" s="1"/>
      <c r="X469" s="1"/>
      <c r="Y469" s="1" t="str">
        <f ca="1">IFERROR(__xludf.DUMMYFUNCTION("""COMPUTED_VALUE"""),"Yes")</f>
        <v>Yes</v>
      </c>
      <c r="Z469" s="1" t="str">
        <f ca="1">IFERROR(__xludf.DUMMYFUNCTION("""COMPUTED_VALUE"""),"Multiple people fled")</f>
        <v>Multiple people fled</v>
      </c>
      <c r="AA469" s="1" t="str">
        <f ca="1">IFERROR(__xludf.DUMMYFUNCTION("""COMPUTED_VALUE"""),"No")</f>
        <v>No</v>
      </c>
      <c r="AB469" s="1" t="str">
        <f ca="1">IFERROR(__xludf.DUMMYFUNCTION("""COMPUTED_VALUE"""),"No")</f>
        <v>No</v>
      </c>
      <c r="AC469" s="1" t="str">
        <f ca="1">IFERROR(__xludf.DUMMYFUNCTION("""COMPUTED_VALUE"""),"No")</f>
        <v>No</v>
      </c>
      <c r="AD469" s="1" t="str">
        <f ca="1">IFERROR(__xludf.DUMMYFUNCTION("""COMPUTED_VALUE"""),"No")</f>
        <v>No</v>
      </c>
      <c r="AE469" s="1" t="str">
        <f ca="1">IFERROR(__xludf.DUMMYFUNCTION("""COMPUTED_VALUE"""),"No")</f>
        <v>No</v>
      </c>
      <c r="AF469" s="1"/>
      <c r="AG469" s="1" t="str">
        <f ca="1">IFERROR(__xludf.DUMMYFUNCTION("""COMPUTED_VALUE"""),"No")</f>
        <v>No</v>
      </c>
      <c r="AH469" s="1">
        <f ca="1">IFERROR(__xludf.DUMMYFUNCTION("""COMPUTED_VALUE"""),99)</f>
        <v>99</v>
      </c>
    </row>
    <row r="470" spans="1:34" ht="12.5">
      <c r="A470" s="1" t="str">
        <f ca="1">IFERROR(__xludf.DUMMYFUNCTION("""COMPUTED_VALUE"""),"20221029TXAVA")</f>
        <v>20221029TXAVA</v>
      </c>
      <c r="B470" s="1">
        <f ca="1">IFERROR(__xludf.DUMMYFUNCTION("""COMPUTED_VALUE"""),10)</f>
        <v>10</v>
      </c>
      <c r="C470" s="1">
        <f ca="1">IFERROR(__xludf.DUMMYFUNCTION("""COMPUTED_VALUE"""),29)</f>
        <v>29</v>
      </c>
      <c r="D470" s="1">
        <f ca="1">IFERROR(__xludf.DUMMYFUNCTION("""COMPUTED_VALUE"""),2022)</f>
        <v>2022</v>
      </c>
      <c r="E470" s="4">
        <f ca="1">IFERROR(__xludf.DUMMYFUNCTION("""COMPUTED_VALUE"""),44863)</f>
        <v>44863</v>
      </c>
      <c r="F470" s="1" t="str">
        <f ca="1">IFERROR(__xludf.DUMMYFUNCTION("""COMPUTED_VALUE"""),"Avondale Elementary School")</f>
        <v>Avondale Elementary School</v>
      </c>
      <c r="G470" s="1">
        <f ca="1">IFERROR(__xludf.DUMMYFUNCTION("""COMPUTED_VALUE"""),0)</f>
        <v>0</v>
      </c>
      <c r="H470" s="1">
        <f ca="1">IFERROR(__xludf.DUMMYFUNCTION("""COMPUTED_VALUE"""),1)</f>
        <v>1</v>
      </c>
      <c r="I470" s="1">
        <f ca="1">IFERROR(__xludf.DUMMYFUNCTION("""COMPUTED_VALUE"""),1)</f>
        <v>1</v>
      </c>
      <c r="J470" s="1">
        <f ca="1">IFERROR(__xludf.DUMMYFUNCTION("""COMPUTED_VALUE"""),0)</f>
        <v>0</v>
      </c>
      <c r="K470" s="1" t="str">
        <f ca="1">IFERROR(__xludf.DUMMYFUNCTION("""COMPUTED_VALUE"""),"Fall")</f>
        <v>Fall</v>
      </c>
      <c r="L470" s="1" t="str">
        <f ca="1">IFERROR(__xludf.DUMMYFUNCTION("""COMPUTED_VALUE"""),"Amarillo")</f>
        <v>Amarillo</v>
      </c>
      <c r="M470" s="1" t="str">
        <f ca="1">IFERROR(__xludf.DUMMYFUNCTION("""COMPUTED_VALUE"""),"TX")</f>
        <v>TX</v>
      </c>
      <c r="N470" s="1" t="str">
        <f ca="1">IFERROR(__xludf.DUMMYFUNCTION("""COMPUTED_VALUE"""),"Elementary")</f>
        <v>Elementary</v>
      </c>
      <c r="O470" s="1" t="str">
        <f ca="1">IFERROR(__xludf.DUMMYFUNCTION("""COMPUTED_VALUE"""),"Playground")</f>
        <v>Playground</v>
      </c>
      <c r="P470" s="1" t="str">
        <f ca="1">IFERROR(__xludf.DUMMYFUNCTION("""COMPUTED_VALUE"""),"Outside on School Property")</f>
        <v>Outside on School Property</v>
      </c>
      <c r="Q470" s="1" t="str">
        <f ca="1">IFERROR(__xludf.DUMMYFUNCTION("""COMPUTED_VALUE"""),"No")</f>
        <v>No</v>
      </c>
      <c r="R470" s="1" t="str">
        <f ca="1">IFERROR(__xludf.DUMMYFUNCTION("""COMPUTED_VALUE"""),"Evening")</f>
        <v>Evening</v>
      </c>
      <c r="S470" s="5">
        <f ca="1">IFERROR(__xludf.DUMMYFUNCTION("""COMPUTED_VALUE"""),0.791666666666666)</f>
        <v>0.79166666666666596</v>
      </c>
      <c r="T470" s="1">
        <f ca="1">IFERROR(__xludf.DUMMYFUNCTION("""COMPUTED_VALUE"""),1)</f>
        <v>1</v>
      </c>
      <c r="U470" s="1" t="str">
        <f ca="1">IFERROR(__xludf.DUMMYFUNCTION("""COMPUTED_VALUE"""),"Teen shot multiples on school playground")</f>
        <v>Teen shot multiples on school playground</v>
      </c>
      <c r="V470" s="1" t="str">
        <f ca="1">IFERROR(__xludf.DUMMYFUNCTION("""COMPUTED_VALUE"""),"Amarillo police said a 15-year-old boy was shot multiple times during a fight at Avondale School Park. Police were dispatched to the park behind Avondale Elementary School around 7 p.m. Saturday. When officers arrived, they found a 15-year-old boy who had"&amp;" been shot multiple times. Officers were told several juveniles had been at the park fighting. During the fight, one of them pulled out a gun and started shooting.")</f>
        <v>Amarillo police said a 15-year-old boy was shot multiple times during a fight at Avondale School Park. Police were dispatched to the park behind Avondale Elementary School around 7 p.m. Saturday. When officers arrived, they found a 15-year-old boy who had been shot multiple times. Officers were told several juveniles had been at the park fighting. During the fight, one of them pulled out a gun and started shooting.</v>
      </c>
      <c r="W470" s="1" t="str">
        <f ca="1">IFERROR(__xludf.DUMMYFUNCTION("""COMPUTED_VALUE"""),"Escalation of Dispute")</f>
        <v>Escalation of Dispute</v>
      </c>
      <c r="X470" s="1" t="str">
        <f ca="1">IFERROR(__xludf.DUMMYFUNCTION("""COMPUTED_VALUE"""),"Victims Targeted")</f>
        <v>Victims Targeted</v>
      </c>
      <c r="Y470" s="1" t="str">
        <f ca="1">IFERROR(__xludf.DUMMYFUNCTION("""COMPUTED_VALUE"""),"Yes")</f>
        <v>Yes</v>
      </c>
      <c r="Z470" s="1" t="str">
        <f ca="1">IFERROR(__xludf.DUMMYFUNCTION("""COMPUTED_VALUE"""),"Multiple teens fighting")</f>
        <v>Multiple teens fighting</v>
      </c>
      <c r="AA470" s="1" t="str">
        <f ca="1">IFERROR(__xludf.DUMMYFUNCTION("""COMPUTED_VALUE"""),"No")</f>
        <v>No</v>
      </c>
      <c r="AB470" s="1" t="str">
        <f ca="1">IFERROR(__xludf.DUMMYFUNCTION("""COMPUTED_VALUE"""),"No")</f>
        <v>No</v>
      </c>
      <c r="AC470" s="1" t="str">
        <f ca="1">IFERROR(__xludf.DUMMYFUNCTION("""COMPUTED_VALUE"""),"No")</f>
        <v>No</v>
      </c>
      <c r="AD470" s="1"/>
      <c r="AE470" s="1" t="str">
        <f ca="1">IFERROR(__xludf.DUMMYFUNCTION("""COMPUTED_VALUE"""),"No")</f>
        <v>No</v>
      </c>
      <c r="AF470" s="1"/>
      <c r="AG470" s="1" t="str">
        <f ca="1">IFERROR(__xludf.DUMMYFUNCTION("""COMPUTED_VALUE"""),"No")</f>
        <v>No</v>
      </c>
      <c r="AH470" s="1">
        <f ca="1">IFERROR(__xludf.DUMMYFUNCTION("""COMPUTED_VALUE"""),99)</f>
        <v>99</v>
      </c>
    </row>
    <row r="471" spans="1:34" ht="12.5">
      <c r="A471" s="1" t="str">
        <f ca="1">IFERROR(__xludf.DUMMYFUNCTION("""COMPUTED_VALUE"""),"20221029COCRH")</f>
        <v>20221029COCRH</v>
      </c>
      <c r="B471" s="1">
        <f ca="1">IFERROR(__xludf.DUMMYFUNCTION("""COMPUTED_VALUE"""),10)</f>
        <v>10</v>
      </c>
      <c r="C471" s="1">
        <f ca="1">IFERROR(__xludf.DUMMYFUNCTION("""COMPUTED_VALUE"""),29)</f>
        <v>29</v>
      </c>
      <c r="D471" s="1">
        <f ca="1">IFERROR(__xludf.DUMMYFUNCTION("""COMPUTED_VALUE"""),2022)</f>
        <v>2022</v>
      </c>
      <c r="E471" s="4">
        <f ca="1">IFERROR(__xludf.DUMMYFUNCTION("""COMPUTED_VALUE"""),44863)</f>
        <v>44863</v>
      </c>
      <c r="F471" s="1" t="str">
        <f ca="1">IFERROR(__xludf.DUMMYFUNCTION("""COMPUTED_VALUE"""),"Cresthill Middle School")</f>
        <v>Cresthill Middle School</v>
      </c>
      <c r="G471" s="1">
        <f ca="1">IFERROR(__xludf.DUMMYFUNCTION("""COMPUTED_VALUE"""),0)</f>
        <v>0</v>
      </c>
      <c r="H471" s="1">
        <f ca="1">IFERROR(__xludf.DUMMYFUNCTION("""COMPUTED_VALUE"""),0)</f>
        <v>0</v>
      </c>
      <c r="I471" s="1">
        <f ca="1">IFERROR(__xludf.DUMMYFUNCTION("""COMPUTED_VALUE"""),0)</f>
        <v>0</v>
      </c>
      <c r="J471" s="1">
        <f ca="1">IFERROR(__xludf.DUMMYFUNCTION("""COMPUTED_VALUE"""),0)</f>
        <v>0</v>
      </c>
      <c r="K471" s="1" t="str">
        <f ca="1">IFERROR(__xludf.DUMMYFUNCTION("""COMPUTED_VALUE"""),"Fall")</f>
        <v>Fall</v>
      </c>
      <c r="L471" s="1" t="str">
        <f ca="1">IFERROR(__xludf.DUMMYFUNCTION("""COMPUTED_VALUE"""),"Highlands Ranch")</f>
        <v>Highlands Ranch</v>
      </c>
      <c r="M471" s="1" t="str">
        <f ca="1">IFERROR(__xludf.DUMMYFUNCTION("""COMPUTED_VALUE"""),"CO")</f>
        <v>CO</v>
      </c>
      <c r="N471" s="1" t="str">
        <f ca="1">IFERROR(__xludf.DUMMYFUNCTION("""COMPUTED_VALUE"""),"Middle")</f>
        <v>Middle</v>
      </c>
      <c r="O471" s="1" t="str">
        <f ca="1">IFERROR(__xludf.DUMMYFUNCTION("""COMPUTED_VALUE"""),"Football Field/Track")</f>
        <v>Football Field/Track</v>
      </c>
      <c r="P471" s="1" t="str">
        <f ca="1">IFERROR(__xludf.DUMMYFUNCTION("""COMPUTED_VALUE"""),"Outside on School Property")</f>
        <v>Outside on School Property</v>
      </c>
      <c r="Q471" s="1" t="str">
        <f ca="1">IFERROR(__xludf.DUMMYFUNCTION("""COMPUTED_VALUE"""),"No")</f>
        <v>No</v>
      </c>
      <c r="R471" s="1" t="str">
        <f ca="1">IFERROR(__xludf.DUMMYFUNCTION("""COMPUTED_VALUE"""),"Sport Event")</f>
        <v>Sport Event</v>
      </c>
      <c r="S471" s="5">
        <f ca="1">IFERROR(__xludf.DUMMYFUNCTION("""COMPUTED_VALUE"""),0.65625)</f>
        <v>0.65625</v>
      </c>
      <c r="T471" s="1">
        <f ca="1">IFERROR(__xludf.DUMMYFUNCTION("""COMPUTED_VALUE"""),1)</f>
        <v>1</v>
      </c>
      <c r="U471" s="1" t="str">
        <f ca="1">IFERROR(__xludf.DUMMYFUNCTION("""COMPUTED_VALUE"""),"Man fired shot during youth football game")</f>
        <v>Man fired shot during youth football game</v>
      </c>
      <c r="V471" s="1" t="str">
        <f ca="1">IFERROR(__xludf.DUMMYFUNCTION("""COMPUTED_VALUE"""),"A man has been arrested after accidentally firing his gun at a flag football game in Highlands Ranch Saturday, sheriff's deputies said. The Douglas County Sheriff's Office said they received several calls of shots fired on or around the football field at "&amp;"Cresthill Middle School at 3:45 p.m. Deputies contacted 65-year-old David Drummond of Aurora, who was attending a flag football game when a handgun fell out of his pants. The sheriff's office said when Drummond picked up the gun, he discharged a round int"&amp;"o the area. There haven't been any reports of injuries. Drummond was taken into custody and booked at the Douglas County Jail on charges of prohibited use of a weapon, unlawful carrying of a weapon on school property, reckless endangerment and disorderly "&amp;"conduct. ")</f>
        <v xml:space="preserve">A man has been arrested after accidentally firing his gun at a flag football game in Highlands Ranch Saturday, sheriff's deputies said. The Douglas County Sheriff's Office said they received several calls of shots fired on or around the football field at Cresthill Middle School at 3:45 p.m. Deputies contacted 65-year-old David Drummond of Aurora, who was attending a flag football game when a handgun fell out of his pants. The sheriff's office said when Drummond picked up the gun, he discharged a round into the area. There haven't been any reports of injuries. Drummond was taken into custody and booked at the Douglas County Jail on charges of prohibited use of a weapon, unlawful carrying of a weapon on school property, reckless endangerment and disorderly conduct. </v>
      </c>
      <c r="W471" s="1" t="str">
        <f ca="1">IFERROR(__xludf.DUMMYFUNCTION("""COMPUTED_VALUE"""),"Accidental")</f>
        <v>Accidental</v>
      </c>
      <c r="X471" s="1" t="str">
        <f ca="1">IFERROR(__xludf.DUMMYFUNCTION("""COMPUTED_VALUE"""),"Neither")</f>
        <v>Neither</v>
      </c>
      <c r="Y471" s="1" t="str">
        <f ca="1">IFERROR(__xludf.DUMMYFUNCTION("""COMPUTED_VALUE"""),"No")</f>
        <v>No</v>
      </c>
      <c r="Z471" s="1"/>
      <c r="AA471" s="1" t="str">
        <f ca="1">IFERROR(__xludf.DUMMYFUNCTION("""COMPUTED_VALUE"""),"No")</f>
        <v>No</v>
      </c>
      <c r="AB471" s="1" t="str">
        <f ca="1">IFERROR(__xludf.DUMMYFUNCTION("""COMPUTED_VALUE"""),"No")</f>
        <v>No</v>
      </c>
      <c r="AC471" s="1" t="str">
        <f ca="1">IFERROR(__xludf.DUMMYFUNCTION("""COMPUTED_VALUE"""),"No")</f>
        <v>No</v>
      </c>
      <c r="AD471" s="1" t="str">
        <f ca="1">IFERROR(__xludf.DUMMYFUNCTION("""COMPUTED_VALUE"""),"No")</f>
        <v>No</v>
      </c>
      <c r="AE471" s="1" t="str">
        <f ca="1">IFERROR(__xludf.DUMMYFUNCTION("""COMPUTED_VALUE"""),"No")</f>
        <v>No</v>
      </c>
      <c r="AF471" s="1"/>
      <c r="AG471" s="1" t="str">
        <f ca="1">IFERROR(__xludf.DUMMYFUNCTION("""COMPUTED_VALUE"""),"No")</f>
        <v>No</v>
      </c>
      <c r="AH471" s="1">
        <f ca="1">IFERROR(__xludf.DUMMYFUNCTION("""COMPUTED_VALUE"""),1)</f>
        <v>1</v>
      </c>
    </row>
    <row r="472" spans="1:34" ht="12.5">
      <c r="A472" s="1" t="str">
        <f ca="1">IFERROR(__xludf.DUMMYFUNCTION("""COMPUTED_VALUE"""),"20221028TXROR")</f>
        <v>20221028TXROR</v>
      </c>
      <c r="B472" s="1">
        <f ca="1">IFERROR(__xludf.DUMMYFUNCTION("""COMPUTED_VALUE"""),10)</f>
        <v>10</v>
      </c>
      <c r="C472" s="1">
        <f ca="1">IFERROR(__xludf.DUMMYFUNCTION("""COMPUTED_VALUE"""),28)</f>
        <v>28</v>
      </c>
      <c r="D472" s="1">
        <f ca="1">IFERROR(__xludf.DUMMYFUNCTION("""COMPUTED_VALUE"""),2022)</f>
        <v>2022</v>
      </c>
      <c r="E472" s="4">
        <f ca="1">IFERROR(__xludf.DUMMYFUNCTION("""COMPUTED_VALUE"""),44862)</f>
        <v>44862</v>
      </c>
      <c r="F472" s="1" t="str">
        <f ca="1">IFERROR(__xludf.DUMMYFUNCTION("""COMPUTED_VALUE"""),"Rowlett High School")</f>
        <v>Rowlett High School</v>
      </c>
      <c r="G472" s="1">
        <f ca="1">IFERROR(__xludf.DUMMYFUNCTION("""COMPUTED_VALUE"""),0)</f>
        <v>0</v>
      </c>
      <c r="H472" s="1">
        <f ca="1">IFERROR(__xludf.DUMMYFUNCTION("""COMPUTED_VALUE"""),0)</f>
        <v>0</v>
      </c>
      <c r="I472" s="1">
        <f ca="1">IFERROR(__xludf.DUMMYFUNCTION("""COMPUTED_VALUE"""),0)</f>
        <v>0</v>
      </c>
      <c r="J472" s="1">
        <f ca="1">IFERROR(__xludf.DUMMYFUNCTION("""COMPUTED_VALUE"""),0)</f>
        <v>0</v>
      </c>
      <c r="K472" s="1" t="str">
        <f ca="1">IFERROR(__xludf.DUMMYFUNCTION("""COMPUTED_VALUE"""),"Fall")</f>
        <v>Fall</v>
      </c>
      <c r="L472" s="1" t="str">
        <f ca="1">IFERROR(__xludf.DUMMYFUNCTION("""COMPUTED_VALUE"""),"Rowlett")</f>
        <v>Rowlett</v>
      </c>
      <c r="M472" s="1" t="str">
        <f ca="1">IFERROR(__xludf.DUMMYFUNCTION("""COMPUTED_VALUE"""),"TX")</f>
        <v>TX</v>
      </c>
      <c r="N472" s="1" t="str">
        <f ca="1">IFERROR(__xludf.DUMMYFUNCTION("""COMPUTED_VALUE"""),"High")</f>
        <v>High</v>
      </c>
      <c r="O472" s="1" t="str">
        <f ca="1">IFERROR(__xludf.DUMMYFUNCTION("""COMPUTED_VALUE"""),"Bathroom")</f>
        <v>Bathroom</v>
      </c>
      <c r="P472" s="1" t="str">
        <f ca="1">IFERROR(__xludf.DUMMYFUNCTION("""COMPUTED_VALUE"""),"Inside School Building")</f>
        <v>Inside School Building</v>
      </c>
      <c r="Q472" s="1" t="str">
        <f ca="1">IFERROR(__xludf.DUMMYFUNCTION("""COMPUTED_VALUE"""),"No")</f>
        <v>No</v>
      </c>
      <c r="R472" s="1" t="str">
        <f ca="1">IFERROR(__xludf.DUMMYFUNCTION("""COMPUTED_VALUE"""),"Morning Classes")</f>
        <v>Morning Classes</v>
      </c>
      <c r="S472" s="5">
        <f ca="1">IFERROR(__xludf.DUMMYFUNCTION("""COMPUTED_VALUE"""),0.458333333333333)</f>
        <v>0.45833333333333298</v>
      </c>
      <c r="T472" s="1">
        <f ca="1">IFERROR(__xludf.DUMMYFUNCTION("""COMPUTED_VALUE"""),1)</f>
        <v>1</v>
      </c>
      <c r="U472" s="1" t="str">
        <f ca="1">IFERROR(__xludf.DUMMYFUNCTION("""COMPUTED_VALUE"""),"Student struck multiple times with loaded handgun during fight in bathroom")</f>
        <v>Student struck multiple times with loaded handgun during fight in bathroom</v>
      </c>
      <c r="V472" s="1" t="str">
        <f ca="1">IFERROR(__xludf.DUMMYFUNCTION("""COMPUTED_VALUE"""),"A student told police he was jumped in the boys’ bathroom by three other students and then hit multiple times with a loaded handgun.  School went on lockdown. 3 students arrested.")</f>
        <v>A student told police he was jumped in the boys’ bathroom by three other students and then hit multiple times with a loaded handgun.  School went on lockdown. 3 students arrested.</v>
      </c>
      <c r="W472" s="1" t="str">
        <f ca="1">IFERROR(__xludf.DUMMYFUNCTION("""COMPUTED_VALUE"""),"Escalation of Dispute")</f>
        <v>Escalation of Dispute</v>
      </c>
      <c r="X472" s="1" t="str">
        <f ca="1">IFERROR(__xludf.DUMMYFUNCTION("""COMPUTED_VALUE"""),"Victims Targeted")</f>
        <v>Victims Targeted</v>
      </c>
      <c r="Y472" s="1" t="str">
        <f ca="1">IFERROR(__xludf.DUMMYFUNCTION("""COMPUTED_VALUE"""),"Yes")</f>
        <v>Yes</v>
      </c>
      <c r="Z472" s="1" t="str">
        <f ca="1">IFERROR(__xludf.DUMMYFUNCTION("""COMPUTED_VALUE"""),"3 students arrested")</f>
        <v>3 students arrested</v>
      </c>
      <c r="AA472" s="1" t="str">
        <f ca="1">IFERROR(__xludf.DUMMYFUNCTION("""COMPUTED_VALUE"""),"No")</f>
        <v>No</v>
      </c>
      <c r="AB472" s="1" t="str">
        <f ca="1">IFERROR(__xludf.DUMMYFUNCTION("""COMPUTED_VALUE"""),"No")</f>
        <v>No</v>
      </c>
      <c r="AC472" s="1" t="str">
        <f ca="1">IFERROR(__xludf.DUMMYFUNCTION("""COMPUTED_VALUE"""),"No")</f>
        <v>No</v>
      </c>
      <c r="AD472" s="1"/>
      <c r="AE472" s="1" t="str">
        <f ca="1">IFERROR(__xludf.DUMMYFUNCTION("""COMPUTED_VALUE"""),"No")</f>
        <v>No</v>
      </c>
      <c r="AF472" s="1"/>
      <c r="AG472" s="1" t="str">
        <f ca="1">IFERROR(__xludf.DUMMYFUNCTION("""COMPUTED_VALUE"""),"No")</f>
        <v>No</v>
      </c>
      <c r="AH472" s="1">
        <f ca="1">IFERROR(__xludf.DUMMYFUNCTION("""COMPUTED_VALUE"""),0)</f>
        <v>0</v>
      </c>
    </row>
    <row r="473" spans="1:34" ht="12.5">
      <c r="A473" s="1" t="str">
        <f ca="1">IFERROR(__xludf.DUMMYFUNCTION("""COMPUTED_VALUE"""),"20221028NCWAT")</f>
        <v>20221028NCWAT</v>
      </c>
      <c r="B473" s="1">
        <f ca="1">IFERROR(__xludf.DUMMYFUNCTION("""COMPUTED_VALUE"""),10)</f>
        <v>10</v>
      </c>
      <c r="C473" s="1">
        <f ca="1">IFERROR(__xludf.DUMMYFUNCTION("""COMPUTED_VALUE"""),28)</f>
        <v>28</v>
      </c>
      <c r="D473" s="1">
        <f ca="1">IFERROR(__xludf.DUMMYFUNCTION("""COMPUTED_VALUE"""),2022)</f>
        <v>2022</v>
      </c>
      <c r="E473" s="4">
        <f ca="1">IFERROR(__xludf.DUMMYFUNCTION("""COMPUTED_VALUE"""),44862)</f>
        <v>44862</v>
      </c>
      <c r="F473" s="1" t="str">
        <f ca="1">IFERROR(__xludf.DUMMYFUNCTION("""COMPUTED_VALUE"""),"Wallace Rose Hill High School")</f>
        <v>Wallace Rose Hill High School</v>
      </c>
      <c r="G473" s="1">
        <f ca="1">IFERROR(__xludf.DUMMYFUNCTION("""COMPUTED_VALUE"""),0)</f>
        <v>0</v>
      </c>
      <c r="H473" s="1">
        <f ca="1">IFERROR(__xludf.DUMMYFUNCTION("""COMPUTED_VALUE"""),0)</f>
        <v>0</v>
      </c>
      <c r="I473" s="1">
        <f ca="1">IFERROR(__xludf.DUMMYFUNCTION("""COMPUTED_VALUE"""),0)</f>
        <v>0</v>
      </c>
      <c r="J473" s="1">
        <f ca="1">IFERROR(__xludf.DUMMYFUNCTION("""COMPUTED_VALUE"""),0)</f>
        <v>0</v>
      </c>
      <c r="K473" s="1" t="str">
        <f ca="1">IFERROR(__xludf.DUMMYFUNCTION("""COMPUTED_VALUE"""),"Fall")</f>
        <v>Fall</v>
      </c>
      <c r="L473" s="1" t="str">
        <f ca="1">IFERROR(__xludf.DUMMYFUNCTION("""COMPUTED_VALUE"""),"Teachey")</f>
        <v>Teachey</v>
      </c>
      <c r="M473" s="1" t="str">
        <f ca="1">IFERROR(__xludf.DUMMYFUNCTION("""COMPUTED_VALUE"""),"NC")</f>
        <v>NC</v>
      </c>
      <c r="N473" s="1" t="str">
        <f ca="1">IFERROR(__xludf.DUMMYFUNCTION("""COMPUTED_VALUE"""),"High")</f>
        <v>High</v>
      </c>
      <c r="O473" s="1" t="str">
        <f ca="1">IFERROR(__xludf.DUMMYFUNCTION("""COMPUTED_VALUE"""),"Football Field/Track")</f>
        <v>Football Field/Track</v>
      </c>
      <c r="P473" s="1" t="str">
        <f ca="1">IFERROR(__xludf.DUMMYFUNCTION("""COMPUTED_VALUE"""),"Outside on School Property")</f>
        <v>Outside on School Property</v>
      </c>
      <c r="Q473" s="1" t="str">
        <f ca="1">IFERROR(__xludf.DUMMYFUNCTION("""COMPUTED_VALUE"""),"No")</f>
        <v>No</v>
      </c>
      <c r="R473" s="1" t="str">
        <f ca="1">IFERROR(__xludf.DUMMYFUNCTION("""COMPUTED_VALUE"""),"Sport Event")</f>
        <v>Sport Event</v>
      </c>
      <c r="S473" s="5">
        <f ca="1">IFERROR(__xludf.DUMMYFUNCTION("""COMPUTED_VALUE"""),0.875)</f>
        <v>0.875</v>
      </c>
      <c r="T473" s="1">
        <f ca="1">IFERROR(__xludf.DUMMYFUNCTION("""COMPUTED_VALUE"""),1)</f>
        <v>1</v>
      </c>
      <c r="U473" s="1" t="str">
        <f ca="1">IFERROR(__xludf.DUMMYFUNCTION("""COMPUTED_VALUE"""),"Shots fired during fight between fans at high school game")</f>
        <v>Shots fired during fight between fans at high school game</v>
      </c>
      <c r="V473" s="1" t="str">
        <f ca="1">IFERROR(__xludf.DUMMYFUNCTION("""COMPUTED_VALUE"""),"Shot fired during fight between fans with 25 seconds left in high school football game. Stadium evacuated and game postponed. No injuries.")</f>
        <v>Shot fired during fight between fans with 25 seconds left in high school football game. Stadium evacuated and game postponed. No injuries.</v>
      </c>
      <c r="W473" s="1" t="str">
        <f ca="1">IFERROR(__xludf.DUMMYFUNCTION("""COMPUTED_VALUE"""),"Escalation of Dispute")</f>
        <v>Escalation of Dispute</v>
      </c>
      <c r="X473" s="1" t="str">
        <f ca="1">IFERROR(__xludf.DUMMYFUNCTION("""COMPUTED_VALUE"""),"Victims Targeted")</f>
        <v>Victims Targeted</v>
      </c>
      <c r="Y473" s="1" t="str">
        <f ca="1">IFERROR(__xludf.DUMMYFUNCTION("""COMPUTED_VALUE"""),"No")</f>
        <v>No</v>
      </c>
      <c r="Z473" s="1"/>
      <c r="AA473" s="1" t="str">
        <f ca="1">IFERROR(__xludf.DUMMYFUNCTION("""COMPUTED_VALUE"""),"No")</f>
        <v>No</v>
      </c>
      <c r="AB473" s="1" t="str">
        <f ca="1">IFERROR(__xludf.DUMMYFUNCTION("""COMPUTED_VALUE"""),"No")</f>
        <v>No</v>
      </c>
      <c r="AC473" s="1" t="str">
        <f ca="1">IFERROR(__xludf.DUMMYFUNCTION("""COMPUTED_VALUE"""),"No")</f>
        <v>No</v>
      </c>
      <c r="AD473" s="1" t="str">
        <f ca="1">IFERROR(__xludf.DUMMYFUNCTION("""COMPUTED_VALUE"""),"No")</f>
        <v>No</v>
      </c>
      <c r="AE473" s="1" t="str">
        <f ca="1">IFERROR(__xludf.DUMMYFUNCTION("""COMPUTED_VALUE"""),"No")</f>
        <v>No</v>
      </c>
      <c r="AF473" s="1"/>
      <c r="AG473" s="1" t="str">
        <f ca="1">IFERROR(__xludf.DUMMYFUNCTION("""COMPUTED_VALUE"""),"No")</f>
        <v>No</v>
      </c>
      <c r="AH473" s="1">
        <f ca="1">IFERROR(__xludf.DUMMYFUNCTION("""COMPUTED_VALUE"""),99)</f>
        <v>99</v>
      </c>
    </row>
    <row r="474" spans="1:34" ht="12.5">
      <c r="A474" s="1" t="str">
        <f ca="1">IFERROR(__xludf.DUMMYFUNCTION("""COMPUTED_VALUE"""),"20221028ARROR")</f>
        <v>20221028ARROR</v>
      </c>
      <c r="B474" s="1">
        <f ca="1">IFERROR(__xludf.DUMMYFUNCTION("""COMPUTED_VALUE"""),10)</f>
        <v>10</v>
      </c>
      <c r="C474" s="1">
        <f ca="1">IFERROR(__xludf.DUMMYFUNCTION("""COMPUTED_VALUE"""),28)</f>
        <v>28</v>
      </c>
      <c r="D474" s="1">
        <f ca="1">IFERROR(__xludf.DUMMYFUNCTION("""COMPUTED_VALUE"""),2022)</f>
        <v>2022</v>
      </c>
      <c r="E474" s="4">
        <f ca="1">IFERROR(__xludf.DUMMYFUNCTION("""COMPUTED_VALUE"""),44862)</f>
        <v>44862</v>
      </c>
      <c r="F474" s="1" t="str">
        <f ca="1">IFERROR(__xludf.DUMMYFUNCTION("""COMPUTED_VALUE"""),"Rogers School District Bus")</f>
        <v>Rogers School District Bus</v>
      </c>
      <c r="G474" s="1">
        <f ca="1">IFERROR(__xludf.DUMMYFUNCTION("""COMPUTED_VALUE"""),0)</f>
        <v>0</v>
      </c>
      <c r="H474" s="1">
        <f ca="1">IFERROR(__xludf.DUMMYFUNCTION("""COMPUTED_VALUE"""),0)</f>
        <v>0</v>
      </c>
      <c r="I474" s="1">
        <f ca="1">IFERROR(__xludf.DUMMYFUNCTION("""COMPUTED_VALUE"""),0)</f>
        <v>0</v>
      </c>
      <c r="J474" s="1">
        <f ca="1">IFERROR(__xludf.DUMMYFUNCTION("""COMPUTED_VALUE"""),0)</f>
        <v>0</v>
      </c>
      <c r="K474" s="1" t="str">
        <f ca="1">IFERROR(__xludf.DUMMYFUNCTION("""COMPUTED_VALUE"""),"Fall")</f>
        <v>Fall</v>
      </c>
      <c r="L474" s="1" t="str">
        <f ca="1">IFERROR(__xludf.DUMMYFUNCTION("""COMPUTED_VALUE"""),"Rogers")</f>
        <v>Rogers</v>
      </c>
      <c r="M474" s="1" t="str">
        <f ca="1">IFERROR(__xludf.DUMMYFUNCTION("""COMPUTED_VALUE"""),"AR")</f>
        <v>AR</v>
      </c>
      <c r="N474" s="1" t="str">
        <f ca="1">IFERROR(__xludf.DUMMYFUNCTION("""COMPUTED_VALUE"""),"K-12")</f>
        <v>K-12</v>
      </c>
      <c r="O474" s="1" t="str">
        <f ca="1">IFERROR(__xludf.DUMMYFUNCTION("""COMPUTED_VALUE"""),"School Bus")</f>
        <v>School Bus</v>
      </c>
      <c r="P474" s="1" t="str">
        <f ca="1">IFERROR(__xludf.DUMMYFUNCTION("""COMPUTED_VALUE"""),"School Bus")</f>
        <v>School Bus</v>
      </c>
      <c r="Q474" s="1" t="str">
        <f ca="1">IFERROR(__xludf.DUMMYFUNCTION("""COMPUTED_VALUE"""),"Yes")</f>
        <v>Yes</v>
      </c>
      <c r="R474" s="1" t="str">
        <f ca="1">IFERROR(__xludf.DUMMYFUNCTION("""COMPUTED_VALUE"""),"Dismissal")</f>
        <v>Dismissal</v>
      </c>
      <c r="S474" s="5">
        <f ca="1">IFERROR(__xludf.DUMMYFUNCTION("""COMPUTED_VALUE"""),0.583333333333333)</f>
        <v>0.58333333333333304</v>
      </c>
      <c r="T474" s="1">
        <f ca="1">IFERROR(__xludf.DUMMYFUNCTION("""COMPUTED_VALUE"""),1)</f>
        <v>1</v>
      </c>
      <c r="U474" s="1" t="str">
        <f ca="1">IFERROR(__xludf.DUMMYFUNCTION("""COMPUTED_VALUE"""),"Pellets broke window of occupied school bus driving students home")</f>
        <v>Pellets broke window of occupied school bus driving students home</v>
      </c>
      <c r="V474" s="1" t="str">
        <f ca="1">IFERROR(__xludf.DUMMYFUNCTION("""COMPUTED_VALUE"""),"Pellets broke window of occupied school bus driving students home. No injuries.")</f>
        <v>Pellets broke window of occupied school bus driving students home. No injuries.</v>
      </c>
      <c r="W474" s="1" t="str">
        <f ca="1">IFERROR(__xludf.DUMMYFUNCTION("""COMPUTED_VALUE"""),"Intentional Property Damage")</f>
        <v>Intentional Property Damage</v>
      </c>
      <c r="X474" s="1" t="str">
        <f ca="1">IFERROR(__xludf.DUMMYFUNCTION("""COMPUTED_VALUE"""),"Random Shooting")</f>
        <v>Random Shooting</v>
      </c>
      <c r="Y474" s="1" t="str">
        <f ca="1">IFERROR(__xludf.DUMMYFUNCTION("""COMPUTED_VALUE"""),"No")</f>
        <v>No</v>
      </c>
      <c r="Z474" s="1"/>
      <c r="AA474" s="1" t="str">
        <f ca="1">IFERROR(__xludf.DUMMYFUNCTION("""COMPUTED_VALUE"""),"No")</f>
        <v>No</v>
      </c>
      <c r="AB474" s="1" t="str">
        <f ca="1">IFERROR(__xludf.DUMMYFUNCTION("""COMPUTED_VALUE"""),"No")</f>
        <v>No</v>
      </c>
      <c r="AC474" s="1" t="str">
        <f ca="1">IFERROR(__xludf.DUMMYFUNCTION("""COMPUTED_VALUE"""),"No")</f>
        <v>No</v>
      </c>
      <c r="AD474" s="1" t="str">
        <f ca="1">IFERROR(__xludf.DUMMYFUNCTION("""COMPUTED_VALUE"""),"No")</f>
        <v>No</v>
      </c>
      <c r="AE474" s="1" t="str">
        <f ca="1">IFERROR(__xludf.DUMMYFUNCTION("""COMPUTED_VALUE"""),"No")</f>
        <v>No</v>
      </c>
      <c r="AF474" s="1"/>
      <c r="AG474" s="1" t="str">
        <f ca="1">IFERROR(__xludf.DUMMYFUNCTION("""COMPUTED_VALUE"""),"No")</f>
        <v>No</v>
      </c>
      <c r="AH474" s="1">
        <f ca="1">IFERROR(__xludf.DUMMYFUNCTION("""COMPUTED_VALUE"""),99)</f>
        <v>99</v>
      </c>
    </row>
    <row r="475" spans="1:34" ht="12.5">
      <c r="A475" s="1" t="str">
        <f ca="1">IFERROR(__xludf.DUMMYFUNCTION("""COMPUTED_VALUE"""),"20221026TXUTU")</f>
        <v>20221026TXUTU</v>
      </c>
      <c r="B475" s="1">
        <f ca="1">IFERROR(__xludf.DUMMYFUNCTION("""COMPUTED_VALUE"""),10)</f>
        <v>10</v>
      </c>
      <c r="C475" s="1">
        <f ca="1">IFERROR(__xludf.DUMMYFUNCTION("""COMPUTED_VALUE"""),26)</f>
        <v>26</v>
      </c>
      <c r="D475" s="1">
        <f ca="1">IFERROR(__xludf.DUMMYFUNCTION("""COMPUTED_VALUE"""),2022)</f>
        <v>2022</v>
      </c>
      <c r="E475" s="4">
        <f ca="1">IFERROR(__xludf.DUMMYFUNCTION("""COMPUTED_VALUE"""),44860)</f>
        <v>44860</v>
      </c>
      <c r="F475" s="1" t="str">
        <f ca="1">IFERROR(__xludf.DUMMYFUNCTION("""COMPUTED_VALUE"""),"Utopia High School")</f>
        <v>Utopia High School</v>
      </c>
      <c r="G475" s="1">
        <f ca="1">IFERROR(__xludf.DUMMYFUNCTION("""COMPUTED_VALUE"""),0)</f>
        <v>0</v>
      </c>
      <c r="H475" s="1">
        <f ca="1">IFERROR(__xludf.DUMMYFUNCTION("""COMPUTED_VALUE"""),0)</f>
        <v>0</v>
      </c>
      <c r="I475" s="1">
        <f ca="1">IFERROR(__xludf.DUMMYFUNCTION("""COMPUTED_VALUE"""),0)</f>
        <v>0</v>
      </c>
      <c r="J475" s="1">
        <f ca="1">IFERROR(__xludf.DUMMYFUNCTION("""COMPUTED_VALUE"""),0)</f>
        <v>0</v>
      </c>
      <c r="K475" s="1" t="str">
        <f ca="1">IFERROR(__xludf.DUMMYFUNCTION("""COMPUTED_VALUE"""),"Fall")</f>
        <v>Fall</v>
      </c>
      <c r="L475" s="1" t="str">
        <f ca="1">IFERROR(__xludf.DUMMYFUNCTION("""COMPUTED_VALUE"""),"Utopia")</f>
        <v>Utopia</v>
      </c>
      <c r="M475" s="1" t="str">
        <f ca="1">IFERROR(__xludf.DUMMYFUNCTION("""COMPUTED_VALUE"""),"TX")</f>
        <v>TX</v>
      </c>
      <c r="N475" s="1" t="str">
        <f ca="1">IFERROR(__xludf.DUMMYFUNCTION("""COMPUTED_VALUE"""),"High")</f>
        <v>High</v>
      </c>
      <c r="O475" s="1" t="str">
        <f ca="1">IFERROR(__xludf.DUMMYFUNCTION("""COMPUTED_VALUE"""),"Inside School Building")</f>
        <v>Inside School Building</v>
      </c>
      <c r="P475" s="1" t="str">
        <f ca="1">IFERROR(__xludf.DUMMYFUNCTION("""COMPUTED_VALUE"""),"Inside School Building")</f>
        <v>Inside School Building</v>
      </c>
      <c r="Q475" s="1" t="str">
        <f ca="1">IFERROR(__xludf.DUMMYFUNCTION("""COMPUTED_VALUE"""),"Yes")</f>
        <v>Yes</v>
      </c>
      <c r="R475" s="1"/>
      <c r="S475" s="1"/>
      <c r="T475" s="1">
        <f ca="1">IFERROR(__xludf.DUMMYFUNCTION("""COMPUTED_VALUE"""),1)</f>
        <v>1</v>
      </c>
      <c r="U475" s="1" t="str">
        <f ca="1">IFERROR(__xludf.DUMMYFUNCTION("""COMPUTED_VALUE"""),"Janitors gun fired when he removed his sweater")</f>
        <v>Janitors gun fired when he removed his sweater</v>
      </c>
      <c r="V475" s="1" t="str">
        <f ca="1">IFERROR(__xludf.DUMMYFUNCTION("""COMPUTED_VALUE"""),"According to UCSO Deputy Carlos Villarreal, Milam attempted to remove his sweater and his shoulder holster’s velcro came off, causing his 9MM pistol to discharge. UCSO investigator Dan Ruble also investigated the incident. Cody Wells, then a Utopia High S"&amp;"chool senior, was nearby but not injured.")</f>
        <v>According to UCSO Deputy Carlos Villarreal, Milam attempted to remove his sweater and his shoulder holster’s velcro came off, causing his 9MM pistol to discharge. UCSO investigator Dan Ruble also investigated the incident. Cody Wells, then a Utopia High School senior, was nearby but not injured.</v>
      </c>
      <c r="W475" s="1" t="str">
        <f ca="1">IFERROR(__xludf.DUMMYFUNCTION("""COMPUTED_VALUE"""),"Accidental")</f>
        <v>Accidental</v>
      </c>
      <c r="X475" s="1" t="str">
        <f ca="1">IFERROR(__xludf.DUMMYFUNCTION("""COMPUTED_VALUE"""),"Neither")</f>
        <v>Neither</v>
      </c>
      <c r="Y475" s="1" t="str">
        <f ca="1">IFERROR(__xludf.DUMMYFUNCTION("""COMPUTED_VALUE"""),"No")</f>
        <v>No</v>
      </c>
      <c r="Z475" s="1"/>
      <c r="AA475" s="1" t="str">
        <f ca="1">IFERROR(__xludf.DUMMYFUNCTION("""COMPUTED_VALUE"""),"No")</f>
        <v>No</v>
      </c>
      <c r="AB475" s="1" t="str">
        <f ca="1">IFERROR(__xludf.DUMMYFUNCTION("""COMPUTED_VALUE"""),"No")</f>
        <v>No</v>
      </c>
      <c r="AC475" s="1" t="str">
        <f ca="1">IFERROR(__xludf.DUMMYFUNCTION("""COMPUTED_VALUE"""),"No")</f>
        <v>No</v>
      </c>
      <c r="AD475" s="1" t="str">
        <f ca="1">IFERROR(__xludf.DUMMYFUNCTION("""COMPUTED_VALUE"""),"No")</f>
        <v>No</v>
      </c>
      <c r="AE475" s="1" t="str">
        <f ca="1">IFERROR(__xludf.DUMMYFUNCTION("""COMPUTED_VALUE"""),"No")</f>
        <v>No</v>
      </c>
      <c r="AF475" s="1" t="str">
        <f ca="1">IFERROR(__xludf.DUMMYFUNCTION("""COMPUTED_VALUE"""),"No")</f>
        <v>No</v>
      </c>
      <c r="AG475" s="1" t="str">
        <f ca="1">IFERROR(__xludf.DUMMYFUNCTION("""COMPUTED_VALUE"""),"No")</f>
        <v>No</v>
      </c>
      <c r="AH475" s="1">
        <f ca="1">IFERROR(__xludf.DUMMYFUNCTION("""COMPUTED_VALUE"""),1)</f>
        <v>1</v>
      </c>
    </row>
    <row r="476" spans="1:34" ht="12.5">
      <c r="A476" s="1" t="str">
        <f ca="1">IFERROR(__xludf.DUMMYFUNCTION("""COMPUTED_VALUE"""),"20221026ILMIW")</f>
        <v>20221026ILMIW</v>
      </c>
      <c r="B476" s="1">
        <f ca="1">IFERROR(__xludf.DUMMYFUNCTION("""COMPUTED_VALUE"""),10)</f>
        <v>10</v>
      </c>
      <c r="C476" s="1">
        <f ca="1">IFERROR(__xludf.DUMMYFUNCTION("""COMPUTED_VALUE"""),26)</f>
        <v>26</v>
      </c>
      <c r="D476" s="1">
        <f ca="1">IFERROR(__xludf.DUMMYFUNCTION("""COMPUTED_VALUE"""),2022)</f>
        <v>2022</v>
      </c>
      <c r="E476" s="4">
        <f ca="1">IFERROR(__xludf.DUMMYFUNCTION("""COMPUTED_VALUE"""),44860)</f>
        <v>44860</v>
      </c>
      <c r="F476" s="1" t="str">
        <f ca="1">IFERROR(__xludf.DUMMYFUNCTION("""COMPUTED_VALUE"""),"Miguel Juarez Middle School")</f>
        <v>Miguel Juarez Middle School</v>
      </c>
      <c r="G476" s="1">
        <f ca="1">IFERROR(__xludf.DUMMYFUNCTION("""COMPUTED_VALUE"""),0)</f>
        <v>0</v>
      </c>
      <c r="H476" s="1">
        <f ca="1">IFERROR(__xludf.DUMMYFUNCTION("""COMPUTED_VALUE"""),1)</f>
        <v>1</v>
      </c>
      <c r="I476" s="1">
        <f ca="1">IFERROR(__xludf.DUMMYFUNCTION("""COMPUTED_VALUE"""),1)</f>
        <v>1</v>
      </c>
      <c r="J476" s="1">
        <f ca="1">IFERROR(__xludf.DUMMYFUNCTION("""COMPUTED_VALUE"""),0)</f>
        <v>0</v>
      </c>
      <c r="K476" s="1" t="str">
        <f ca="1">IFERROR(__xludf.DUMMYFUNCTION("""COMPUTED_VALUE"""),"Fall")</f>
        <v>Fall</v>
      </c>
      <c r="L476" s="1" t="str">
        <f ca="1">IFERROR(__xludf.DUMMYFUNCTION("""COMPUTED_VALUE"""),"Waukegan")</f>
        <v>Waukegan</v>
      </c>
      <c r="M476" s="1" t="str">
        <f ca="1">IFERROR(__xludf.DUMMYFUNCTION("""COMPUTED_VALUE"""),"IL")</f>
        <v>IL</v>
      </c>
      <c r="N476" s="1" t="str">
        <f ca="1">IFERROR(__xludf.DUMMYFUNCTION("""COMPUTED_VALUE"""),"Middle")</f>
        <v>Middle</v>
      </c>
      <c r="O476" s="1" t="str">
        <f ca="1">IFERROR(__xludf.DUMMYFUNCTION("""COMPUTED_VALUE"""),"Field (General)")</f>
        <v>Field (General)</v>
      </c>
      <c r="P476" s="1" t="str">
        <f ca="1">IFERROR(__xludf.DUMMYFUNCTION("""COMPUTED_VALUE"""),"Outside on School Property")</f>
        <v>Outside on School Property</v>
      </c>
      <c r="Q476" s="1" t="str">
        <f ca="1">IFERROR(__xludf.DUMMYFUNCTION("""COMPUTED_VALUE"""),"Yes")</f>
        <v>Yes</v>
      </c>
      <c r="R476" s="1" t="str">
        <f ca="1">IFERROR(__xludf.DUMMYFUNCTION("""COMPUTED_VALUE"""),"Afternoon Classes")</f>
        <v>Afternoon Classes</v>
      </c>
      <c r="S476" s="5">
        <f ca="1">IFERROR(__xludf.DUMMYFUNCTION("""COMPUTED_VALUE"""),0.5625)</f>
        <v>0.5625</v>
      </c>
      <c r="T476" s="1">
        <f ca="1">IFERROR(__xludf.DUMMYFUNCTION("""COMPUTED_VALUE"""),1)</f>
        <v>1</v>
      </c>
      <c r="U476" s="1" t="str">
        <f ca="1">IFERROR(__xludf.DUMMYFUNCTION("""COMPUTED_VALUE"""),"Teen shot multiple times on path behind school")</f>
        <v>Teen shot multiple times on path behind school</v>
      </c>
      <c r="V476" s="1" t="str">
        <f ca="1">IFERROR(__xludf.DUMMYFUNCTION("""COMPUTED_VALUE"""),"16-year-old shot multiple times on path behind school. Shooter fled in vehicle. School went on lockdown.")</f>
        <v>16-year-old shot multiple times on path behind school. Shooter fled in vehicle. School went on lockdown.</v>
      </c>
      <c r="W476" s="1"/>
      <c r="X476" s="1" t="str">
        <f ca="1">IFERROR(__xludf.DUMMYFUNCTION("""COMPUTED_VALUE"""),"Victims Targeted")</f>
        <v>Victims Targeted</v>
      </c>
      <c r="Y476" s="1"/>
      <c r="Z476" s="1"/>
      <c r="AA476" s="1" t="str">
        <f ca="1">IFERROR(__xludf.DUMMYFUNCTION("""COMPUTED_VALUE"""),"No")</f>
        <v>No</v>
      </c>
      <c r="AB476" s="1" t="str">
        <f ca="1">IFERROR(__xludf.DUMMYFUNCTION("""COMPUTED_VALUE"""),"No")</f>
        <v>No</v>
      </c>
      <c r="AC476" s="1" t="str">
        <f ca="1">IFERROR(__xludf.DUMMYFUNCTION("""COMPUTED_VALUE"""),"No")</f>
        <v>No</v>
      </c>
      <c r="AD476" s="1" t="str">
        <f ca="1">IFERROR(__xludf.DUMMYFUNCTION("""COMPUTED_VALUE"""),"No")</f>
        <v>No</v>
      </c>
      <c r="AE476" s="1" t="str">
        <f ca="1">IFERROR(__xludf.DUMMYFUNCTION("""COMPUTED_VALUE"""),"No")</f>
        <v>No</v>
      </c>
      <c r="AF476" s="1"/>
      <c r="AG476" s="1" t="str">
        <f ca="1">IFERROR(__xludf.DUMMYFUNCTION("""COMPUTED_VALUE"""),"No")</f>
        <v>No</v>
      </c>
      <c r="AH476" s="1">
        <f ca="1">IFERROR(__xludf.DUMMYFUNCTION("""COMPUTED_VALUE"""),5)</f>
        <v>5</v>
      </c>
    </row>
    <row r="477" spans="1:34" ht="12.5">
      <c r="A477" s="1" t="str">
        <f ca="1">IFERROR(__xludf.DUMMYFUNCTION("""COMPUTED_VALUE"""),"20221025PAPAP")</f>
        <v>20221025PAPAP</v>
      </c>
      <c r="B477" s="1">
        <f ca="1">IFERROR(__xludf.DUMMYFUNCTION("""COMPUTED_VALUE"""),10)</f>
        <v>10</v>
      </c>
      <c r="C477" s="1">
        <f ca="1">IFERROR(__xludf.DUMMYFUNCTION("""COMPUTED_VALUE"""),25)</f>
        <v>25</v>
      </c>
      <c r="D477" s="1">
        <f ca="1">IFERROR(__xludf.DUMMYFUNCTION("""COMPUTED_VALUE"""),2022)</f>
        <v>2022</v>
      </c>
      <c r="E477" s="4">
        <f ca="1">IFERROR(__xludf.DUMMYFUNCTION("""COMPUTED_VALUE"""),44859)</f>
        <v>44859</v>
      </c>
      <c r="F477" s="1" t="str">
        <f ca="1">IFERROR(__xludf.DUMMYFUNCTION("""COMPUTED_VALUE"""),"Passport Academy Charter School")</f>
        <v>Passport Academy Charter School</v>
      </c>
      <c r="G477" s="1">
        <f ca="1">IFERROR(__xludf.DUMMYFUNCTION("""COMPUTED_VALUE"""),0)</f>
        <v>0</v>
      </c>
      <c r="H477" s="1">
        <f ca="1">IFERROR(__xludf.DUMMYFUNCTION("""COMPUTED_VALUE"""),0)</f>
        <v>0</v>
      </c>
      <c r="I477" s="1">
        <f ca="1">IFERROR(__xludf.DUMMYFUNCTION("""COMPUTED_VALUE"""),0)</f>
        <v>0</v>
      </c>
      <c r="J477" s="1">
        <f ca="1">IFERROR(__xludf.DUMMYFUNCTION("""COMPUTED_VALUE"""),0)</f>
        <v>0</v>
      </c>
      <c r="K477" s="1" t="str">
        <f ca="1">IFERROR(__xludf.DUMMYFUNCTION("""COMPUTED_VALUE"""),"Fall")</f>
        <v>Fall</v>
      </c>
      <c r="L477" s="1" t="str">
        <f ca="1">IFERROR(__xludf.DUMMYFUNCTION("""COMPUTED_VALUE"""),"Pittsburgh")</f>
        <v>Pittsburgh</v>
      </c>
      <c r="M477" s="1" t="str">
        <f ca="1">IFERROR(__xludf.DUMMYFUNCTION("""COMPUTED_VALUE"""),"PA")</f>
        <v>PA</v>
      </c>
      <c r="N477" s="1" t="str">
        <f ca="1">IFERROR(__xludf.DUMMYFUNCTION("""COMPUTED_VALUE"""),"Elementary")</f>
        <v>Elementary</v>
      </c>
      <c r="O477" s="1" t="str">
        <f ca="1">IFERROR(__xludf.DUMMYFUNCTION("""COMPUTED_VALUE"""),"Front of School")</f>
        <v>Front of School</v>
      </c>
      <c r="P477" s="1" t="str">
        <f ca="1">IFERROR(__xludf.DUMMYFUNCTION("""COMPUTED_VALUE"""),"Outside on School Property")</f>
        <v>Outside on School Property</v>
      </c>
      <c r="Q477" s="1" t="str">
        <f ca="1">IFERROR(__xludf.DUMMYFUNCTION("""COMPUTED_VALUE"""),"Yes")</f>
        <v>Yes</v>
      </c>
      <c r="R477" s="1" t="str">
        <f ca="1">IFERROR(__xludf.DUMMYFUNCTION("""COMPUTED_VALUE"""),"Afternoon Classes")</f>
        <v>Afternoon Classes</v>
      </c>
      <c r="S477" s="5">
        <f ca="1">IFERROR(__xludf.DUMMYFUNCTION("""COMPUTED_VALUE"""),0.625)</f>
        <v>0.625</v>
      </c>
      <c r="T477" s="1">
        <f ca="1">IFERROR(__xludf.DUMMYFUNCTION("""COMPUTED_VALUE"""),1)</f>
        <v>1</v>
      </c>
      <c r="U477" s="1" t="str">
        <f ca="1">IFERROR(__xludf.DUMMYFUNCTION("""COMPUTED_VALUE"""),"Bullet broke front door of school during afternoon classes")</f>
        <v>Bullet broke front door of school during afternoon classes</v>
      </c>
      <c r="V477" s="1" t="str">
        <f ca="1">IFERROR(__xludf.DUMMYFUNCTION("""COMPUTED_VALUE"""),"Bullet broke the glass front door to the school during afternoon classes. School went on lockdown and parents rushed to the campus. No injuries.")</f>
        <v>Bullet broke the glass front door to the school during afternoon classes. School went on lockdown and parents rushed to the campus. No injuries.</v>
      </c>
      <c r="W477" s="1"/>
      <c r="X477" s="1"/>
      <c r="Y477" s="1" t="str">
        <f ca="1">IFERROR(__xludf.DUMMYFUNCTION("""COMPUTED_VALUE"""),"No")</f>
        <v>No</v>
      </c>
      <c r="Z477" s="1"/>
      <c r="AA477" s="1" t="str">
        <f ca="1">IFERROR(__xludf.DUMMYFUNCTION("""COMPUTED_VALUE"""),"No")</f>
        <v>No</v>
      </c>
      <c r="AB477" s="1" t="str">
        <f ca="1">IFERROR(__xludf.DUMMYFUNCTION("""COMPUTED_VALUE"""),"No")</f>
        <v>No</v>
      </c>
      <c r="AC477" s="1" t="str">
        <f ca="1">IFERROR(__xludf.DUMMYFUNCTION("""COMPUTED_VALUE"""),"No")</f>
        <v>No</v>
      </c>
      <c r="AD477" s="1" t="str">
        <f ca="1">IFERROR(__xludf.DUMMYFUNCTION("""COMPUTED_VALUE"""),"No")</f>
        <v>No</v>
      </c>
      <c r="AE477" s="1" t="str">
        <f ca="1">IFERROR(__xludf.DUMMYFUNCTION("""COMPUTED_VALUE"""),"No")</f>
        <v>No</v>
      </c>
      <c r="AF477" s="1"/>
      <c r="AG477" s="1" t="str">
        <f ca="1">IFERROR(__xludf.DUMMYFUNCTION("""COMPUTED_VALUE"""),"No")</f>
        <v>No</v>
      </c>
      <c r="AH477" s="1">
        <f ca="1">IFERROR(__xludf.DUMMYFUNCTION("""COMPUTED_VALUE"""),2)</f>
        <v>2</v>
      </c>
    </row>
    <row r="478" spans="1:34" ht="12.5">
      <c r="A478" s="1" t="str">
        <f ca="1">IFERROR(__xludf.DUMMYFUNCTION("""COMPUTED_VALUE"""),"20221025NYTOS")</f>
        <v>20221025NYTOS</v>
      </c>
      <c r="B478" s="1">
        <f ca="1">IFERROR(__xludf.DUMMYFUNCTION("""COMPUTED_VALUE"""),10)</f>
        <v>10</v>
      </c>
      <c r="C478" s="1">
        <f ca="1">IFERROR(__xludf.DUMMYFUNCTION("""COMPUTED_VALUE"""),25)</f>
        <v>25</v>
      </c>
      <c r="D478" s="1">
        <f ca="1">IFERROR(__xludf.DUMMYFUNCTION("""COMPUTED_VALUE"""),2022)</f>
        <v>2022</v>
      </c>
      <c r="E478" s="4">
        <f ca="1">IFERROR(__xludf.DUMMYFUNCTION("""COMPUTED_VALUE"""),44859)</f>
        <v>44859</v>
      </c>
      <c r="F478" s="1" t="str">
        <f ca="1">IFERROR(__xludf.DUMMYFUNCTION("""COMPUTED_VALUE"""),"Totten High School")</f>
        <v>Totten High School</v>
      </c>
      <c r="G478" s="1">
        <f ca="1">IFERROR(__xludf.DUMMYFUNCTION("""COMPUTED_VALUE"""),0)</f>
        <v>0</v>
      </c>
      <c r="H478" s="1">
        <f ca="1">IFERROR(__xludf.DUMMYFUNCTION("""COMPUTED_VALUE"""),1)</f>
        <v>1</v>
      </c>
      <c r="I478" s="1">
        <f ca="1">IFERROR(__xludf.DUMMYFUNCTION("""COMPUTED_VALUE"""),1)</f>
        <v>1</v>
      </c>
      <c r="J478" s="1">
        <f ca="1">IFERROR(__xludf.DUMMYFUNCTION("""COMPUTED_VALUE"""),0)</f>
        <v>0</v>
      </c>
      <c r="K478" s="1" t="str">
        <f ca="1">IFERROR(__xludf.DUMMYFUNCTION("""COMPUTED_VALUE"""),"Fall")</f>
        <v>Fall</v>
      </c>
      <c r="L478" s="1" t="str">
        <f ca="1">IFERROR(__xludf.DUMMYFUNCTION("""COMPUTED_VALUE"""),"Staten Island")</f>
        <v>Staten Island</v>
      </c>
      <c r="M478" s="1" t="str">
        <f ca="1">IFERROR(__xludf.DUMMYFUNCTION("""COMPUTED_VALUE"""),"NY")</f>
        <v>NY</v>
      </c>
      <c r="N478" s="1" t="str">
        <f ca="1">IFERROR(__xludf.DUMMYFUNCTION("""COMPUTED_VALUE"""),"High")</f>
        <v>High</v>
      </c>
      <c r="O478" s="1" t="str">
        <f ca="1">IFERROR(__xludf.DUMMYFUNCTION("""COMPUTED_VALUE"""),"Front of School")</f>
        <v>Front of School</v>
      </c>
      <c r="P478" s="1" t="str">
        <f ca="1">IFERROR(__xludf.DUMMYFUNCTION("""COMPUTED_VALUE"""),"Outside on School Property")</f>
        <v>Outside on School Property</v>
      </c>
      <c r="Q478" s="1" t="str">
        <f ca="1">IFERROR(__xludf.DUMMYFUNCTION("""COMPUTED_VALUE"""),"Yes")</f>
        <v>Yes</v>
      </c>
      <c r="R478" s="1" t="str">
        <f ca="1">IFERROR(__xludf.DUMMYFUNCTION("""COMPUTED_VALUE"""),"Dismissal")</f>
        <v>Dismissal</v>
      </c>
      <c r="S478" s="5">
        <f ca="1">IFERROR(__xludf.DUMMYFUNCTION("""COMPUTED_VALUE"""),0.583333333333333)</f>
        <v>0.58333333333333304</v>
      </c>
      <c r="T478" s="1">
        <f ca="1">IFERROR(__xludf.DUMMYFUNCTION("""COMPUTED_VALUE"""),1)</f>
        <v>1</v>
      </c>
      <c r="U478" s="1" t="str">
        <f ca="1">IFERROR(__xludf.DUMMYFUNCTION("""COMPUTED_VALUE"""),"Bystander student shot waiting for sports practice")</f>
        <v>Bystander student shot waiting for sports practice</v>
      </c>
      <c r="V478" s="1" t="str">
        <f ca="1">IFERROR(__xludf.DUMMYFUNCTION("""COMPUTED_VALUE"""),"14-year-old student was shot in front of the school while he was waiting for sports practice to start. Group of teens fled.")</f>
        <v>14-year-old student was shot in front of the school while he was waiting for sports practice to start. Group of teens fled.</v>
      </c>
      <c r="W478" s="1" t="str">
        <f ca="1">IFERROR(__xludf.DUMMYFUNCTION("""COMPUTED_VALUE"""),"Escalation of Dispute")</f>
        <v>Escalation of Dispute</v>
      </c>
      <c r="X478" s="1" t="str">
        <f ca="1">IFERROR(__xludf.DUMMYFUNCTION("""COMPUTED_VALUE"""),"Both")</f>
        <v>Both</v>
      </c>
      <c r="Y478" s="1" t="str">
        <f ca="1">IFERROR(__xludf.DUMMYFUNCTION("""COMPUTED_VALUE"""),"Yes")</f>
        <v>Yes</v>
      </c>
      <c r="Z478" s="1" t="str">
        <f ca="1">IFERROR(__xludf.DUMMYFUNCTION("""COMPUTED_VALUE"""),"5 teens fled together")</f>
        <v>5 teens fled together</v>
      </c>
      <c r="AA478" s="1" t="str">
        <f ca="1">IFERROR(__xludf.DUMMYFUNCTION("""COMPUTED_VALUE"""),"No")</f>
        <v>No</v>
      </c>
      <c r="AB478" s="1" t="str">
        <f ca="1">IFERROR(__xludf.DUMMYFUNCTION("""COMPUTED_VALUE"""),"No")</f>
        <v>No</v>
      </c>
      <c r="AC478" s="1" t="str">
        <f ca="1">IFERROR(__xludf.DUMMYFUNCTION("""COMPUTED_VALUE"""),"No")</f>
        <v>No</v>
      </c>
      <c r="AD478" s="1"/>
      <c r="AE478" s="1" t="str">
        <f ca="1">IFERROR(__xludf.DUMMYFUNCTION("""COMPUTED_VALUE"""),"No")</f>
        <v>No</v>
      </c>
      <c r="AF478" s="1"/>
      <c r="AG478" s="1" t="str">
        <f ca="1">IFERROR(__xludf.DUMMYFUNCTION("""COMPUTED_VALUE"""),"No")</f>
        <v>No</v>
      </c>
      <c r="AH478" s="1">
        <f ca="1">IFERROR(__xludf.DUMMYFUNCTION("""COMPUTED_VALUE"""),7)</f>
        <v>7</v>
      </c>
    </row>
    <row r="479" spans="1:34" ht="12.5">
      <c r="A479" s="1" t="str">
        <f ca="1">IFERROR(__xludf.DUMMYFUNCTION("""COMPUTED_VALUE"""),"20221024MOCES")</f>
        <v>20221024MOCES</v>
      </c>
      <c r="B479" s="1">
        <f ca="1">IFERROR(__xludf.DUMMYFUNCTION("""COMPUTED_VALUE"""),10)</f>
        <v>10</v>
      </c>
      <c r="C479" s="1">
        <f ca="1">IFERROR(__xludf.DUMMYFUNCTION("""COMPUTED_VALUE"""),24)</f>
        <v>24</v>
      </c>
      <c r="D479" s="1">
        <f ca="1">IFERROR(__xludf.DUMMYFUNCTION("""COMPUTED_VALUE"""),2022)</f>
        <v>2022</v>
      </c>
      <c r="E479" s="4">
        <f ca="1">IFERROR(__xludf.DUMMYFUNCTION("""COMPUTED_VALUE"""),44858)</f>
        <v>44858</v>
      </c>
      <c r="F479" s="1" t="str">
        <f ca="1">IFERROR(__xludf.DUMMYFUNCTION("""COMPUTED_VALUE"""),"Central Visual and Performing Arts High")</f>
        <v>Central Visual and Performing Arts High</v>
      </c>
      <c r="G479" s="1">
        <f ca="1">IFERROR(__xludf.DUMMYFUNCTION("""COMPUTED_VALUE"""),2)</f>
        <v>2</v>
      </c>
      <c r="H479" s="1">
        <f ca="1">IFERROR(__xludf.DUMMYFUNCTION("""COMPUTED_VALUE"""),7)</f>
        <v>7</v>
      </c>
      <c r="I479" s="1">
        <f ca="1">IFERROR(__xludf.DUMMYFUNCTION("""COMPUTED_VALUE"""),9)</f>
        <v>9</v>
      </c>
      <c r="J479" s="1">
        <f ca="1">IFERROR(__xludf.DUMMYFUNCTION("""COMPUTED_VALUE"""),1)</f>
        <v>1</v>
      </c>
      <c r="K479" s="1" t="str">
        <f ca="1">IFERROR(__xludf.DUMMYFUNCTION("""COMPUTED_VALUE"""),"Fall")</f>
        <v>Fall</v>
      </c>
      <c r="L479" s="1" t="str">
        <f ca="1">IFERROR(__xludf.DUMMYFUNCTION("""COMPUTED_VALUE"""),"St. Louis")</f>
        <v>St. Louis</v>
      </c>
      <c r="M479" s="1" t="str">
        <f ca="1">IFERROR(__xludf.DUMMYFUNCTION("""COMPUTED_VALUE"""),"MO")</f>
        <v>MO</v>
      </c>
      <c r="N479" s="1" t="str">
        <f ca="1">IFERROR(__xludf.DUMMYFUNCTION("""COMPUTED_VALUE"""),"High")</f>
        <v>High</v>
      </c>
      <c r="O479" s="1" t="str">
        <f ca="1">IFERROR(__xludf.DUMMYFUNCTION("""COMPUTED_VALUE"""),"Inside School Building")</f>
        <v>Inside School Building</v>
      </c>
      <c r="P479" s="1" t="str">
        <f ca="1">IFERROR(__xludf.DUMMYFUNCTION("""COMPUTED_VALUE"""),"Inside School Building")</f>
        <v>Inside School Building</v>
      </c>
      <c r="Q479" s="1" t="str">
        <f ca="1">IFERROR(__xludf.DUMMYFUNCTION("""COMPUTED_VALUE"""),"Yes")</f>
        <v>Yes</v>
      </c>
      <c r="R479" s="1" t="str">
        <f ca="1">IFERROR(__xludf.DUMMYFUNCTION("""COMPUTED_VALUE"""),"Morning Classes")</f>
        <v>Morning Classes</v>
      </c>
      <c r="S479" s="5">
        <f ca="1">IFERROR(__xludf.DUMMYFUNCTION("""COMPUTED_VALUE"""),0.382638888888888)</f>
        <v>0.38263888888888797</v>
      </c>
      <c r="T479" s="1">
        <f ca="1">IFERROR(__xludf.DUMMYFUNCTION("""COMPUTED_VALUE"""),14)</f>
        <v>14</v>
      </c>
      <c r="U479" s="1" t="str">
        <f ca="1">IFERROR(__xludf.DUMMYFUNCTION("""COMPUTED_VALUE"""),"Planned attack by 19-year-old former student with rifle and 600 rounds of ammo")</f>
        <v>Planned attack by 19-year-old former student with rifle and 600 rounds of ammo</v>
      </c>
      <c r="V479" s="1" t="str">
        <f ca="1">IFERROR(__xludf.DUMMYFUNCTION("""COMPUTED_VALUE"""),"Shooter was former student who entered school through side door. Walked up stairway to 3rd floor. Fired at students in the hallway. Barricaded inside 3rd floor classroom before being killed by police.")</f>
        <v>Shooter was former student who entered school through side door. Walked up stairway to 3rd floor. Fired at students in the hallway. Barricaded inside 3rd floor classroom before being killed by police.</v>
      </c>
      <c r="W479" s="1" t="str">
        <f ca="1">IFERROR(__xludf.DUMMYFUNCTION("""COMPUTED_VALUE"""),"Indiscriminate Shooting")</f>
        <v>Indiscriminate Shooting</v>
      </c>
      <c r="X479" s="1" t="str">
        <f ca="1">IFERROR(__xludf.DUMMYFUNCTION("""COMPUTED_VALUE"""),"Random Shooting")</f>
        <v>Random Shooting</v>
      </c>
      <c r="Y479" s="1" t="str">
        <f ca="1">IFERROR(__xludf.DUMMYFUNCTION("""COMPUTED_VALUE"""),"No")</f>
        <v>No</v>
      </c>
      <c r="Z479" s="1"/>
      <c r="AA479" s="1" t="str">
        <f ca="1">IFERROR(__xludf.DUMMYFUNCTION("""COMPUTED_VALUE"""),"No")</f>
        <v>No</v>
      </c>
      <c r="AB479" s="1" t="str">
        <f ca="1">IFERROR(__xludf.DUMMYFUNCTION("""COMPUTED_VALUE"""),"Yes")</f>
        <v>Yes</v>
      </c>
      <c r="AC479" s="1" t="str">
        <f ca="1">IFERROR(__xludf.DUMMYFUNCTION("""COMPUTED_VALUE"""),"No")</f>
        <v>No</v>
      </c>
      <c r="AD479" s="1"/>
      <c r="AE479" s="1" t="str">
        <f ca="1">IFERROR(__xludf.DUMMYFUNCTION("""COMPUTED_VALUE"""),"No")</f>
        <v>No</v>
      </c>
      <c r="AF479" s="1" t="str">
        <f ca="1">IFERROR(__xludf.DUMMYFUNCTION("""COMPUTED_VALUE"""),"No")</f>
        <v>No</v>
      </c>
      <c r="AG479" s="1" t="str">
        <f ca="1">IFERROR(__xludf.DUMMYFUNCTION("""COMPUTED_VALUE"""),"Yes")</f>
        <v>Yes</v>
      </c>
      <c r="AH479" s="1">
        <f ca="1">IFERROR(__xludf.DUMMYFUNCTION("""COMPUTED_VALUE"""),99)</f>
        <v>99</v>
      </c>
    </row>
    <row r="480" spans="1:34" ht="12.5">
      <c r="A480" s="1" t="str">
        <f ca="1">IFERROR(__xludf.DUMMYFUNCTION("""COMPUTED_VALUE"""),"20221022OHDUC")</f>
        <v>20221022OHDUC</v>
      </c>
      <c r="B480" s="1">
        <f ca="1">IFERROR(__xludf.DUMMYFUNCTION("""COMPUTED_VALUE"""),10)</f>
        <v>10</v>
      </c>
      <c r="C480" s="1">
        <f ca="1">IFERROR(__xludf.DUMMYFUNCTION("""COMPUTED_VALUE"""),22)</f>
        <v>22</v>
      </c>
      <c r="D480" s="1">
        <f ca="1">IFERROR(__xludf.DUMMYFUNCTION("""COMPUTED_VALUE"""),2022)</f>
        <v>2022</v>
      </c>
      <c r="E480" s="4">
        <f ca="1">IFERROR(__xludf.DUMMYFUNCTION("""COMPUTED_VALUE"""),44856)</f>
        <v>44856</v>
      </c>
      <c r="F480" s="1" t="str">
        <f ca="1">IFERROR(__xludf.DUMMYFUNCTION("""COMPUTED_VALUE"""),"Duxberry Park Alternative Elementary School")</f>
        <v>Duxberry Park Alternative Elementary School</v>
      </c>
      <c r="G480" s="1">
        <f ca="1">IFERROR(__xludf.DUMMYFUNCTION("""COMPUTED_VALUE"""),0)</f>
        <v>0</v>
      </c>
      <c r="H480" s="1">
        <f ca="1">IFERROR(__xludf.DUMMYFUNCTION("""COMPUTED_VALUE"""),1)</f>
        <v>1</v>
      </c>
      <c r="I480" s="1">
        <f ca="1">IFERROR(__xludf.DUMMYFUNCTION("""COMPUTED_VALUE"""),1)</f>
        <v>1</v>
      </c>
      <c r="J480" s="1">
        <f ca="1">IFERROR(__xludf.DUMMYFUNCTION("""COMPUTED_VALUE"""),0)</f>
        <v>0</v>
      </c>
      <c r="K480" s="1" t="str">
        <f ca="1">IFERROR(__xludf.DUMMYFUNCTION("""COMPUTED_VALUE"""),"Fall")</f>
        <v>Fall</v>
      </c>
      <c r="L480" s="1" t="str">
        <f ca="1">IFERROR(__xludf.DUMMYFUNCTION("""COMPUTED_VALUE"""),"Columbus")</f>
        <v>Columbus</v>
      </c>
      <c r="M480" s="1" t="str">
        <f ca="1">IFERROR(__xludf.DUMMYFUNCTION("""COMPUTED_VALUE"""),"OH")</f>
        <v>OH</v>
      </c>
      <c r="N480" s="1" t="str">
        <f ca="1">IFERROR(__xludf.DUMMYFUNCTION("""COMPUTED_VALUE"""),"Elementary")</f>
        <v>Elementary</v>
      </c>
      <c r="O480" s="1" t="str">
        <f ca="1">IFERROR(__xludf.DUMMYFUNCTION("""COMPUTED_VALUE"""),"Parking Lot")</f>
        <v>Parking Lot</v>
      </c>
      <c r="P480" s="1" t="str">
        <f ca="1">IFERROR(__xludf.DUMMYFUNCTION("""COMPUTED_VALUE"""),"Outside on School Property")</f>
        <v>Outside on School Property</v>
      </c>
      <c r="Q480" s="1" t="str">
        <f ca="1">IFERROR(__xludf.DUMMYFUNCTION("""COMPUTED_VALUE"""),"No")</f>
        <v>No</v>
      </c>
      <c r="R480" s="1" t="str">
        <f ca="1">IFERROR(__xludf.DUMMYFUNCTION("""COMPUTED_VALUE"""),"Night")</f>
        <v>Night</v>
      </c>
      <c r="S480" s="5">
        <f ca="1">IFERROR(__xludf.DUMMYFUNCTION("""COMPUTED_VALUE"""),0.0416666666666666)</f>
        <v>4.1666666666666602E-2</v>
      </c>
      <c r="T480" s="1">
        <f ca="1">IFERROR(__xludf.DUMMYFUNCTION("""COMPUTED_VALUE"""),1)</f>
        <v>1</v>
      </c>
      <c r="U480" s="1" t="str">
        <f ca="1">IFERROR(__xludf.DUMMYFUNCTION("""COMPUTED_VALUE"""),"17-year-old girl shot in school parking lot")</f>
        <v>17-year-old girl shot in school parking lot</v>
      </c>
      <c r="V480" s="1" t="str">
        <f ca="1">IFERROR(__xludf.DUMMYFUNCTION("""COMPUTED_VALUE"""),"Columbus police said they responded to a report of a shooting in the area of Duxberry Park Alternative Elementary School around 1 a.m. Officers found a 17-year-old girl with a graze injury to her back from a bullet. Medics took her to a hospital in stable"&amp;" condition. She reportedly told police she was with a friend in a parking lot when they heard several gunshots. The two started running, and she felt one of the bullets graze her back. She told police she did not see who fired the gunshots.")</f>
        <v>Columbus police said they responded to a report of a shooting in the area of Duxberry Park Alternative Elementary School around 1 a.m. Officers found a 17-year-old girl with a graze injury to her back from a bullet. Medics took her to a hospital in stable condition. She reportedly told police she was with a friend in a parking lot when they heard several gunshots. The two started running, and she felt one of the bullets graze her back. She told police she did not see who fired the gunshots.</v>
      </c>
      <c r="W480" s="1"/>
      <c r="X480" s="1" t="str">
        <f ca="1">IFERROR(__xludf.DUMMYFUNCTION("""COMPUTED_VALUE"""),"Both")</f>
        <v>Both</v>
      </c>
      <c r="Y480" s="1" t="str">
        <f ca="1">IFERROR(__xludf.DUMMYFUNCTION("""COMPUTED_VALUE"""),"No")</f>
        <v>No</v>
      </c>
      <c r="Z480" s="1"/>
      <c r="AA480" s="1" t="str">
        <f ca="1">IFERROR(__xludf.DUMMYFUNCTION("""COMPUTED_VALUE"""),"No")</f>
        <v>No</v>
      </c>
      <c r="AB480" s="1" t="str">
        <f ca="1">IFERROR(__xludf.DUMMYFUNCTION("""COMPUTED_VALUE"""),"No")</f>
        <v>No</v>
      </c>
      <c r="AC480" s="1" t="str">
        <f ca="1">IFERROR(__xludf.DUMMYFUNCTION("""COMPUTED_VALUE"""),"No")</f>
        <v>No</v>
      </c>
      <c r="AD480" s="1" t="str">
        <f ca="1">IFERROR(__xludf.DUMMYFUNCTION("""COMPUTED_VALUE"""),"No")</f>
        <v>No</v>
      </c>
      <c r="AE480" s="1" t="str">
        <f ca="1">IFERROR(__xludf.DUMMYFUNCTION("""COMPUTED_VALUE"""),"No")</f>
        <v>No</v>
      </c>
      <c r="AF480" s="1"/>
      <c r="AG480" s="1" t="str">
        <f ca="1">IFERROR(__xludf.DUMMYFUNCTION("""COMPUTED_VALUE"""),"No")</f>
        <v>No</v>
      </c>
      <c r="AH480" s="1">
        <f ca="1">IFERROR(__xludf.DUMMYFUNCTION("""COMPUTED_VALUE"""),99)</f>
        <v>99</v>
      </c>
    </row>
    <row r="481" spans="1:34" ht="12.5">
      <c r="A481" s="1" t="str">
        <f ca="1">IFERROR(__xludf.DUMMYFUNCTION("""COMPUTED_VALUE"""),"20221022ILCHC")</f>
        <v>20221022ILCHC</v>
      </c>
      <c r="B481" s="1">
        <f ca="1">IFERROR(__xludf.DUMMYFUNCTION("""COMPUTED_VALUE"""),10)</f>
        <v>10</v>
      </c>
      <c r="C481" s="1">
        <f ca="1">IFERROR(__xludf.DUMMYFUNCTION("""COMPUTED_VALUE"""),22)</f>
        <v>22</v>
      </c>
      <c r="D481" s="1">
        <f ca="1">IFERROR(__xludf.DUMMYFUNCTION("""COMPUTED_VALUE"""),2022)</f>
        <v>2022</v>
      </c>
      <c r="E481" s="4">
        <f ca="1">IFERROR(__xludf.DUMMYFUNCTION("""COMPUTED_VALUE"""),44856)</f>
        <v>44856</v>
      </c>
      <c r="F481" s="1" t="str">
        <f ca="1">IFERROR(__xludf.DUMMYFUNCTION("""COMPUTED_VALUE"""),"Chalmers Elementary School")</f>
        <v>Chalmers Elementary School</v>
      </c>
      <c r="G481" s="1">
        <f ca="1">IFERROR(__xludf.DUMMYFUNCTION("""COMPUTED_VALUE"""),1)</f>
        <v>1</v>
      </c>
      <c r="H481" s="1">
        <f ca="1">IFERROR(__xludf.DUMMYFUNCTION("""COMPUTED_VALUE"""),1)</f>
        <v>1</v>
      </c>
      <c r="I481" s="1">
        <f ca="1">IFERROR(__xludf.DUMMYFUNCTION("""COMPUTED_VALUE"""),2)</f>
        <v>2</v>
      </c>
      <c r="J481" s="1">
        <f ca="1">IFERROR(__xludf.DUMMYFUNCTION("""COMPUTED_VALUE"""),0)</f>
        <v>0</v>
      </c>
      <c r="K481" s="1" t="str">
        <f ca="1">IFERROR(__xludf.DUMMYFUNCTION("""COMPUTED_VALUE"""),"Fall")</f>
        <v>Fall</v>
      </c>
      <c r="L481" s="1" t="str">
        <f ca="1">IFERROR(__xludf.DUMMYFUNCTION("""COMPUTED_VALUE"""),"Chicago")</f>
        <v>Chicago</v>
      </c>
      <c r="M481" s="1" t="str">
        <f ca="1">IFERROR(__xludf.DUMMYFUNCTION("""COMPUTED_VALUE"""),"IL")</f>
        <v>IL</v>
      </c>
      <c r="N481" s="1" t="str">
        <f ca="1">IFERROR(__xludf.DUMMYFUNCTION("""COMPUTED_VALUE"""),"Elementary")</f>
        <v>Elementary</v>
      </c>
      <c r="O481" s="1" t="str">
        <f ca="1">IFERROR(__xludf.DUMMYFUNCTION("""COMPUTED_VALUE"""),"Playground")</f>
        <v>Playground</v>
      </c>
      <c r="P481" s="1" t="str">
        <f ca="1">IFERROR(__xludf.DUMMYFUNCTION("""COMPUTED_VALUE"""),"Outside on School Property")</f>
        <v>Outside on School Property</v>
      </c>
      <c r="Q481" s="1" t="str">
        <f ca="1">IFERROR(__xludf.DUMMYFUNCTION("""COMPUTED_VALUE"""),"No")</f>
        <v>No</v>
      </c>
      <c r="R481" s="1" t="str">
        <f ca="1">IFERROR(__xludf.DUMMYFUNCTION("""COMPUTED_VALUE"""),"Evening")</f>
        <v>Evening</v>
      </c>
      <c r="S481" s="5">
        <f ca="1">IFERROR(__xludf.DUMMYFUNCTION("""COMPUTED_VALUE"""),0.847222222222222)</f>
        <v>0.84722222222222199</v>
      </c>
      <c r="T481" s="1">
        <f ca="1">IFERROR(__xludf.DUMMYFUNCTION("""COMPUTED_VALUE"""),1)</f>
        <v>1</v>
      </c>
      <c r="U481" s="1" t="str">
        <f ca="1">IFERROR(__xludf.DUMMYFUNCTION("""COMPUTED_VALUE"""),"16-year-old boy killed and 13-year-old girl wounded on playground")</f>
        <v>16-year-old boy killed and 13-year-old girl wounded on playground</v>
      </c>
      <c r="V481" s="1" t="str">
        <f ca="1">IFERROR(__xludf.DUMMYFUNCTION("""COMPUTED_VALUE"""),"A 16-year-old boy was fatally shot. He and a 13-year-old girl were at a playground behind Chalmers Elementary School in the city's Douglas Park neighborhood around 8:20 p.m. when two unidentified males got out of a dark colored sedan and began shooting. T"&amp;"he shooters got back in the car and fled. ")</f>
        <v xml:space="preserve">A 16-year-old boy was fatally shot. He and a 13-year-old girl were at a playground behind Chalmers Elementary School in the city's Douglas Park neighborhood around 8:20 p.m. when two unidentified males got out of a dark colored sedan and began shooting. The shooters got back in the car and fled. </v>
      </c>
      <c r="W481" s="1" t="str">
        <f ca="1">IFERROR(__xludf.DUMMYFUNCTION("""COMPUTED_VALUE"""),"Drive-by Shooting")</f>
        <v>Drive-by Shooting</v>
      </c>
      <c r="X481" s="1" t="str">
        <f ca="1">IFERROR(__xludf.DUMMYFUNCTION("""COMPUTED_VALUE"""),"Both")</f>
        <v>Both</v>
      </c>
      <c r="Y481" s="1" t="str">
        <f ca="1">IFERROR(__xludf.DUMMYFUNCTION("""COMPUTED_VALUE"""),"Yes")</f>
        <v>Yes</v>
      </c>
      <c r="Z481" s="1" t="str">
        <f ca="1">IFERROR(__xludf.DUMMYFUNCTION("""COMPUTED_VALUE"""),"2 men")</f>
        <v>2 men</v>
      </c>
      <c r="AA481" s="1" t="str">
        <f ca="1">IFERROR(__xludf.DUMMYFUNCTION("""COMPUTED_VALUE"""),"No")</f>
        <v>No</v>
      </c>
      <c r="AB481" s="1" t="str">
        <f ca="1">IFERROR(__xludf.DUMMYFUNCTION("""COMPUTED_VALUE"""),"No")</f>
        <v>No</v>
      </c>
      <c r="AC481" s="1" t="str">
        <f ca="1">IFERROR(__xludf.DUMMYFUNCTION("""COMPUTED_VALUE"""),"No")</f>
        <v>No</v>
      </c>
      <c r="AD481" s="1" t="str">
        <f ca="1">IFERROR(__xludf.DUMMYFUNCTION("""COMPUTED_VALUE"""),"No")</f>
        <v>No</v>
      </c>
      <c r="AE481" s="1" t="str">
        <f ca="1">IFERROR(__xludf.DUMMYFUNCTION("""COMPUTED_VALUE"""),"No")</f>
        <v>No</v>
      </c>
      <c r="AF481" s="1"/>
      <c r="AG481" s="1" t="str">
        <f ca="1">IFERROR(__xludf.DUMMYFUNCTION("""COMPUTED_VALUE"""),"No")</f>
        <v>No</v>
      </c>
      <c r="AH481" s="1">
        <f ca="1">IFERROR(__xludf.DUMMYFUNCTION("""COMPUTED_VALUE"""),99)</f>
        <v>99</v>
      </c>
    </row>
    <row r="482" spans="1:34" ht="12.5">
      <c r="A482" s="1" t="str">
        <f ca="1">IFERROR(__xludf.DUMMYFUNCTION("""COMPUTED_VALUE"""),"20221021OHSHS")</f>
        <v>20221021OHSHS</v>
      </c>
      <c r="B482" s="1">
        <f ca="1">IFERROR(__xludf.DUMMYFUNCTION("""COMPUTED_VALUE"""),10)</f>
        <v>10</v>
      </c>
      <c r="C482" s="1">
        <f ca="1">IFERROR(__xludf.DUMMYFUNCTION("""COMPUTED_VALUE"""),21)</f>
        <v>21</v>
      </c>
      <c r="D482" s="1">
        <f ca="1">IFERROR(__xludf.DUMMYFUNCTION("""COMPUTED_VALUE"""),2022)</f>
        <v>2022</v>
      </c>
      <c r="E482" s="4">
        <f ca="1">IFERROR(__xludf.DUMMYFUNCTION("""COMPUTED_VALUE"""),44855)</f>
        <v>44855</v>
      </c>
      <c r="F482" s="1" t="str">
        <f ca="1">IFERROR(__xludf.DUMMYFUNCTION("""COMPUTED_VALUE"""),"Shaker Heights High School")</f>
        <v>Shaker Heights High School</v>
      </c>
      <c r="G482" s="1">
        <f ca="1">IFERROR(__xludf.DUMMYFUNCTION("""COMPUTED_VALUE"""),0)</f>
        <v>0</v>
      </c>
      <c r="H482" s="1">
        <f ca="1">IFERROR(__xludf.DUMMYFUNCTION("""COMPUTED_VALUE"""),1)</f>
        <v>1</v>
      </c>
      <c r="I482" s="1">
        <f ca="1">IFERROR(__xludf.DUMMYFUNCTION("""COMPUTED_VALUE"""),1)</f>
        <v>1</v>
      </c>
      <c r="J482" s="1">
        <f ca="1">IFERROR(__xludf.DUMMYFUNCTION("""COMPUTED_VALUE"""),0)</f>
        <v>0</v>
      </c>
      <c r="K482" s="1" t="str">
        <f ca="1">IFERROR(__xludf.DUMMYFUNCTION("""COMPUTED_VALUE"""),"Fall")</f>
        <v>Fall</v>
      </c>
      <c r="L482" s="1" t="str">
        <f ca="1">IFERROR(__xludf.DUMMYFUNCTION("""COMPUTED_VALUE"""),"Shaker Heights")</f>
        <v>Shaker Heights</v>
      </c>
      <c r="M482" s="1" t="str">
        <f ca="1">IFERROR(__xludf.DUMMYFUNCTION("""COMPUTED_VALUE"""),"OH")</f>
        <v>OH</v>
      </c>
      <c r="N482" s="1" t="str">
        <f ca="1">IFERROR(__xludf.DUMMYFUNCTION("""COMPUTED_VALUE"""),"High")</f>
        <v>High</v>
      </c>
      <c r="O482" s="1" t="str">
        <f ca="1">IFERROR(__xludf.DUMMYFUNCTION("""COMPUTED_VALUE"""),"Front of School")</f>
        <v>Front of School</v>
      </c>
      <c r="P482" s="1" t="str">
        <f ca="1">IFERROR(__xludf.DUMMYFUNCTION("""COMPUTED_VALUE"""),"Outside on School Property")</f>
        <v>Outside on School Property</v>
      </c>
      <c r="Q482" s="1" t="str">
        <f ca="1">IFERROR(__xludf.DUMMYFUNCTION("""COMPUTED_VALUE"""),"Yes")</f>
        <v>Yes</v>
      </c>
      <c r="R482" s="1" t="str">
        <f ca="1">IFERROR(__xludf.DUMMYFUNCTION("""COMPUTED_VALUE"""),"After School")</f>
        <v>After School</v>
      </c>
      <c r="S482" s="5">
        <f ca="1">IFERROR(__xludf.DUMMYFUNCTION("""COMPUTED_VALUE"""),0.635416666666666)</f>
        <v>0.63541666666666596</v>
      </c>
      <c r="T482" s="1">
        <f ca="1">IFERROR(__xludf.DUMMYFUNCTION("""COMPUTED_VALUE"""),1)</f>
        <v>1</v>
      </c>
      <c r="U482" s="1" t="str">
        <f ca="1">IFERROR(__xludf.DUMMYFUNCTION("""COMPUTED_VALUE"""),"Police officer fired multiple shots at fleeing suspect with a gun near the front door to the school")</f>
        <v>Police officer fired multiple shots at fleeing suspect with a gun near the front door to the school</v>
      </c>
      <c r="V482" s="1" t="str">
        <f ca="1">IFERROR(__xludf.DUMMYFUNCTION("""COMPUTED_VALUE"""),"The shooting around 3:15 p.m. prompted a lockdown of Shaker Heights High School, according to police. Shaker Heights police said an officer shot a man Friday afternoon near the high school. Evidence markers at the scene showed that the shooting happened c"&amp;"lose to the school’s front entrance. Classes were not in session today, but school officials said police evacuated faculty and staff from the building following the incident. 19 News has learned some students who were participating in extracurricular acti"&amp;"vities were inside the building during the lockdown.")</f>
        <v>The shooting around 3:15 p.m. prompted a lockdown of Shaker Heights High School, according to police. Shaker Heights police said an officer shot a man Friday afternoon near the high school. Evidence markers at the scene showed that the shooting happened close to the school’s front entrance. Classes were not in session today, but school officials said police evacuated faculty and staff from the building following the incident. 19 News has learned some students who were participating in extracurricular activities were inside the building during the lockdown.</v>
      </c>
      <c r="W482" s="1" t="str">
        <f ca="1">IFERROR(__xludf.DUMMYFUNCTION("""COMPUTED_VALUE"""),"Officer-Involved Shooting")</f>
        <v>Officer-Involved Shooting</v>
      </c>
      <c r="X482" s="1" t="str">
        <f ca="1">IFERROR(__xludf.DUMMYFUNCTION("""COMPUTED_VALUE"""),"Victims Targeted")</f>
        <v>Victims Targeted</v>
      </c>
      <c r="Y482" s="1" t="str">
        <f ca="1">IFERROR(__xludf.DUMMYFUNCTION("""COMPUTED_VALUE"""),"No")</f>
        <v>No</v>
      </c>
      <c r="Z482" s="1"/>
      <c r="AA482" s="1" t="str">
        <f ca="1">IFERROR(__xludf.DUMMYFUNCTION("""COMPUTED_VALUE"""),"No")</f>
        <v>No</v>
      </c>
      <c r="AB482" s="1" t="str">
        <f ca="1">IFERROR(__xludf.DUMMYFUNCTION("""COMPUTED_VALUE"""),"No")</f>
        <v>No</v>
      </c>
      <c r="AC482" s="1" t="str">
        <f ca="1">IFERROR(__xludf.DUMMYFUNCTION("""COMPUTED_VALUE"""),"No")</f>
        <v>No</v>
      </c>
      <c r="AD482" s="1" t="str">
        <f ca="1">IFERROR(__xludf.DUMMYFUNCTION("""COMPUTED_VALUE"""),"No")</f>
        <v>No</v>
      </c>
      <c r="AE482" s="1" t="str">
        <f ca="1">IFERROR(__xludf.DUMMYFUNCTION("""COMPUTED_VALUE"""),"No")</f>
        <v>No</v>
      </c>
      <c r="AF482" s="1" t="str">
        <f ca="1">IFERROR(__xludf.DUMMYFUNCTION("""COMPUTED_VALUE"""),"No")</f>
        <v>No</v>
      </c>
      <c r="AG482" s="1" t="str">
        <f ca="1">IFERROR(__xludf.DUMMYFUNCTION("""COMPUTED_VALUE"""),"No")</f>
        <v>No</v>
      </c>
      <c r="AH482" s="1">
        <f ca="1">IFERROR(__xludf.DUMMYFUNCTION("""COMPUTED_VALUE"""),99)</f>
        <v>99</v>
      </c>
    </row>
    <row r="483" spans="1:34" ht="12.5">
      <c r="A483" s="1" t="str">
        <f ca="1">IFERROR(__xludf.DUMMYFUNCTION("""COMPUTED_VALUE"""),"20221021CAGRS")</f>
        <v>20221021CAGRS</v>
      </c>
      <c r="B483" s="1">
        <f ca="1">IFERROR(__xludf.DUMMYFUNCTION("""COMPUTED_VALUE"""),10)</f>
        <v>10</v>
      </c>
      <c r="C483" s="1">
        <f ca="1">IFERROR(__xludf.DUMMYFUNCTION("""COMPUTED_VALUE"""),21)</f>
        <v>21</v>
      </c>
      <c r="D483" s="1">
        <f ca="1">IFERROR(__xludf.DUMMYFUNCTION("""COMPUTED_VALUE"""),2022)</f>
        <v>2022</v>
      </c>
      <c r="E483" s="4">
        <f ca="1">IFERROR(__xludf.DUMMYFUNCTION("""COMPUTED_VALUE"""),44855)</f>
        <v>44855</v>
      </c>
      <c r="F483" s="1" t="str">
        <f ca="1">IFERROR(__xludf.DUMMYFUNCTION("""COMPUTED_VALUE"""),"Grant Union High School")</f>
        <v>Grant Union High School</v>
      </c>
      <c r="G483" s="1">
        <f ca="1">IFERROR(__xludf.DUMMYFUNCTION("""COMPUTED_VALUE"""),1)</f>
        <v>1</v>
      </c>
      <c r="H483" s="1">
        <f ca="1">IFERROR(__xludf.DUMMYFUNCTION("""COMPUTED_VALUE"""),0)</f>
        <v>0</v>
      </c>
      <c r="I483" s="1">
        <f ca="1">IFERROR(__xludf.DUMMYFUNCTION("""COMPUTED_VALUE"""),1)</f>
        <v>1</v>
      </c>
      <c r="J483" s="1">
        <f ca="1">IFERROR(__xludf.DUMMYFUNCTION("""COMPUTED_VALUE"""),0)</f>
        <v>0</v>
      </c>
      <c r="K483" s="1" t="str">
        <f ca="1">IFERROR(__xludf.DUMMYFUNCTION("""COMPUTED_VALUE"""),"Fall")</f>
        <v>Fall</v>
      </c>
      <c r="L483" s="1" t="str">
        <f ca="1">IFERROR(__xludf.DUMMYFUNCTION("""COMPUTED_VALUE"""),"Sacramento")</f>
        <v>Sacramento</v>
      </c>
      <c r="M483" s="1" t="str">
        <f ca="1">IFERROR(__xludf.DUMMYFUNCTION("""COMPUTED_VALUE"""),"CA")</f>
        <v>CA</v>
      </c>
      <c r="N483" s="1" t="str">
        <f ca="1">IFERROR(__xludf.DUMMYFUNCTION("""COMPUTED_VALUE"""),"High")</f>
        <v>High</v>
      </c>
      <c r="O483" s="1" t="str">
        <f ca="1">IFERROR(__xludf.DUMMYFUNCTION("""COMPUTED_VALUE"""),"Parking Lot")</f>
        <v>Parking Lot</v>
      </c>
      <c r="P483" s="1" t="str">
        <f ca="1">IFERROR(__xludf.DUMMYFUNCTION("""COMPUTED_VALUE"""),"Outside on School Property")</f>
        <v>Outside on School Property</v>
      </c>
      <c r="Q483" s="1" t="str">
        <f ca="1">IFERROR(__xludf.DUMMYFUNCTION("""COMPUTED_VALUE"""),"No")</f>
        <v>No</v>
      </c>
      <c r="R483" s="1" t="str">
        <f ca="1">IFERROR(__xludf.DUMMYFUNCTION("""COMPUTED_VALUE"""),"Sport Event")</f>
        <v>Sport Event</v>
      </c>
      <c r="S483" s="5">
        <f ca="1">IFERROR(__xludf.DUMMYFUNCTION("""COMPUTED_VALUE"""),0.916666666666666)</f>
        <v>0.91666666666666596</v>
      </c>
      <c r="T483" s="1">
        <f ca="1">IFERROR(__xludf.DUMMYFUNCTION("""COMPUTED_VALUE"""),1)</f>
        <v>1</v>
      </c>
      <c r="U483" s="1" t="str">
        <f ca="1">IFERROR(__xludf.DUMMYFUNCTION("""COMPUTED_VALUE"""),"Man fatally shot in school parking lot during football game.")</f>
        <v>Man fatally shot in school parking lot during football game.</v>
      </c>
      <c r="V483" s="1" t="str">
        <f ca="1">IFERROR(__xludf.DUMMYFUNCTION("""COMPUTED_VALUE"""),"Police said around 10 p.m. there was a ""disturbance"" in the parking lot involving as many as 20 people. Eaton said the shooting occurred at some point during that disturbance as the football game was going on. He said it is not believed members of the g"&amp;"roup involved were students of the high school. Eaton also confirmed a firearm was located on scene, that a car was damaged by gunfire and that someone transported the victim to the hospital. There was also no interruption to the game as no one attending "&amp;"the game seemed to be aware of a shooting.")</f>
        <v>Police said around 10 p.m. there was a "disturbance" in the parking lot involving as many as 20 people. Eaton said the shooting occurred at some point during that disturbance as the football game was going on. He said it is not believed members of the group involved were students of the high school. Eaton also confirmed a firearm was located on scene, that a car was damaged by gunfire and that someone transported the victim to the hospital. There was also no interruption to the game as no one attending the game seemed to be aware of a shooting.</v>
      </c>
      <c r="W483" s="1" t="str">
        <f ca="1">IFERROR(__xludf.DUMMYFUNCTION("""COMPUTED_VALUE"""),"Escalation of Dispute")</f>
        <v>Escalation of Dispute</v>
      </c>
      <c r="X483" s="1"/>
      <c r="Y483" s="1" t="str">
        <f ca="1">IFERROR(__xludf.DUMMYFUNCTION("""COMPUTED_VALUE"""),"No")</f>
        <v>No</v>
      </c>
      <c r="Z483" s="1"/>
      <c r="AA483" s="1" t="str">
        <f ca="1">IFERROR(__xludf.DUMMYFUNCTION("""COMPUTED_VALUE"""),"No")</f>
        <v>No</v>
      </c>
      <c r="AB483" s="1" t="str">
        <f ca="1">IFERROR(__xludf.DUMMYFUNCTION("""COMPUTED_VALUE"""),"No")</f>
        <v>No</v>
      </c>
      <c r="AC483" s="1" t="str">
        <f ca="1">IFERROR(__xludf.DUMMYFUNCTION("""COMPUTED_VALUE"""),"No")</f>
        <v>No</v>
      </c>
      <c r="AD483" s="1" t="str">
        <f ca="1">IFERROR(__xludf.DUMMYFUNCTION("""COMPUTED_VALUE"""),"No")</f>
        <v>No</v>
      </c>
      <c r="AE483" s="1" t="str">
        <f ca="1">IFERROR(__xludf.DUMMYFUNCTION("""COMPUTED_VALUE"""),"No")</f>
        <v>No</v>
      </c>
      <c r="AF483" s="1"/>
      <c r="AG483" s="1" t="str">
        <f ca="1">IFERROR(__xludf.DUMMYFUNCTION("""COMPUTED_VALUE"""),"No")</f>
        <v>No</v>
      </c>
      <c r="AH483" s="1">
        <f ca="1">IFERROR(__xludf.DUMMYFUNCTION("""COMPUTED_VALUE"""),99)</f>
        <v>99</v>
      </c>
    </row>
    <row r="484" spans="1:34" ht="12.5">
      <c r="A484" s="1" t="str">
        <f ca="1">IFERROR(__xludf.DUMMYFUNCTION("""COMPUTED_VALUE"""),"20221020PAPAP")</f>
        <v>20221020PAPAP</v>
      </c>
      <c r="B484" s="1">
        <f ca="1">IFERROR(__xludf.DUMMYFUNCTION("""COMPUTED_VALUE"""),10)</f>
        <v>10</v>
      </c>
      <c r="C484" s="1">
        <f ca="1">IFERROR(__xludf.DUMMYFUNCTION("""COMPUTED_VALUE"""),20)</f>
        <v>20</v>
      </c>
      <c r="D484" s="1">
        <f ca="1">IFERROR(__xludf.DUMMYFUNCTION("""COMPUTED_VALUE"""),2022)</f>
        <v>2022</v>
      </c>
      <c r="E484" s="4">
        <f ca="1">IFERROR(__xludf.DUMMYFUNCTION("""COMPUTED_VALUE"""),44854)</f>
        <v>44854</v>
      </c>
      <c r="F484" s="1" t="str">
        <f ca="1">IFERROR(__xludf.DUMMYFUNCTION("""COMPUTED_VALUE"""),"Parkway West High School")</f>
        <v>Parkway West High School</v>
      </c>
      <c r="G484" s="1">
        <f ca="1">IFERROR(__xludf.DUMMYFUNCTION("""COMPUTED_VALUE"""),0)</f>
        <v>0</v>
      </c>
      <c r="H484" s="1">
        <f ca="1">IFERROR(__xludf.DUMMYFUNCTION("""COMPUTED_VALUE"""),1)</f>
        <v>1</v>
      </c>
      <c r="I484" s="1">
        <f ca="1">IFERROR(__xludf.DUMMYFUNCTION("""COMPUTED_VALUE"""),1)</f>
        <v>1</v>
      </c>
      <c r="J484" s="1">
        <f ca="1">IFERROR(__xludf.DUMMYFUNCTION("""COMPUTED_VALUE"""),0)</f>
        <v>0</v>
      </c>
      <c r="K484" s="1" t="str">
        <f ca="1">IFERROR(__xludf.DUMMYFUNCTION("""COMPUTED_VALUE"""),"Fall")</f>
        <v>Fall</v>
      </c>
      <c r="L484" s="1" t="str">
        <f ca="1">IFERROR(__xludf.DUMMYFUNCTION("""COMPUTED_VALUE"""),"Philadelphia")</f>
        <v>Philadelphia</v>
      </c>
      <c r="M484" s="1" t="str">
        <f ca="1">IFERROR(__xludf.DUMMYFUNCTION("""COMPUTED_VALUE"""),"PA")</f>
        <v>PA</v>
      </c>
      <c r="N484" s="1" t="str">
        <f ca="1">IFERROR(__xludf.DUMMYFUNCTION("""COMPUTED_VALUE"""),"High")</f>
        <v>High</v>
      </c>
      <c r="O484" s="1" t="str">
        <f ca="1">IFERROR(__xludf.DUMMYFUNCTION("""COMPUTED_VALUE"""),"School Bus")</f>
        <v>School Bus</v>
      </c>
      <c r="P484" s="1" t="str">
        <f ca="1">IFERROR(__xludf.DUMMYFUNCTION("""COMPUTED_VALUE"""),"School Bus")</f>
        <v>School Bus</v>
      </c>
      <c r="Q484" s="1" t="str">
        <f ca="1">IFERROR(__xludf.DUMMYFUNCTION("""COMPUTED_VALUE"""),"Yes")</f>
        <v>Yes</v>
      </c>
      <c r="R484" s="1" t="str">
        <f ca="1">IFERROR(__xludf.DUMMYFUNCTION("""COMPUTED_VALUE"""),"Lunch")</f>
        <v>Lunch</v>
      </c>
      <c r="S484" s="5">
        <f ca="1">IFERROR(__xludf.DUMMYFUNCTION("""COMPUTED_VALUE"""),0.520833333333333)</f>
        <v>0.52083333333333304</v>
      </c>
      <c r="T484" s="1">
        <f ca="1">IFERROR(__xludf.DUMMYFUNCTION("""COMPUTED_VALUE"""),1)</f>
        <v>1</v>
      </c>
      <c r="U484" s="1" t="str">
        <f ca="1">IFERROR(__xludf.DUMMYFUNCTION("""COMPUTED_VALUE"""),"Man shot on street near school, shooter hid inside school bus")</f>
        <v>Man shot on street near school, shooter hid inside school bus</v>
      </c>
      <c r="V484" s="1" t="str">
        <f ca="1">IFERROR(__xludf.DUMMYFUNCTION("""COMPUTED_VALUE"""),"Man was critically injured during shooting on street near 4 schools. Schools went on lockdown. Police found the shooter on a school bus and recovered the firearm used inside the bus.")</f>
        <v>Man was critically injured during shooting on street near 4 schools. Schools went on lockdown. Police found the shooter on a school bus and recovered the firearm used inside the bus.</v>
      </c>
      <c r="W484" s="1"/>
      <c r="X484" s="1" t="str">
        <f ca="1">IFERROR(__xludf.DUMMYFUNCTION("""COMPUTED_VALUE"""),"Victims Targeted")</f>
        <v>Victims Targeted</v>
      </c>
      <c r="Y484" s="1" t="str">
        <f ca="1">IFERROR(__xludf.DUMMYFUNCTION("""COMPUTED_VALUE"""),"No")</f>
        <v>No</v>
      </c>
      <c r="Z484" s="1"/>
      <c r="AA484" s="1" t="str">
        <f ca="1">IFERROR(__xludf.DUMMYFUNCTION("""COMPUTED_VALUE"""),"No")</f>
        <v>No</v>
      </c>
      <c r="AB484" s="1" t="str">
        <f ca="1">IFERROR(__xludf.DUMMYFUNCTION("""COMPUTED_VALUE"""),"No")</f>
        <v>No</v>
      </c>
      <c r="AC484" s="1" t="str">
        <f ca="1">IFERROR(__xludf.DUMMYFUNCTION("""COMPUTED_VALUE"""),"No")</f>
        <v>No</v>
      </c>
      <c r="AD484" s="1" t="str">
        <f ca="1">IFERROR(__xludf.DUMMYFUNCTION("""COMPUTED_VALUE"""),"No")</f>
        <v>No</v>
      </c>
      <c r="AE484" s="1" t="str">
        <f ca="1">IFERROR(__xludf.DUMMYFUNCTION("""COMPUTED_VALUE"""),"No")</f>
        <v>No</v>
      </c>
      <c r="AF484" s="1"/>
      <c r="AG484" s="1" t="str">
        <f ca="1">IFERROR(__xludf.DUMMYFUNCTION("""COMPUTED_VALUE"""),"No")</f>
        <v>No</v>
      </c>
      <c r="AH484" s="1">
        <f ca="1">IFERROR(__xludf.DUMMYFUNCTION("""COMPUTED_VALUE"""),99)</f>
        <v>99</v>
      </c>
    </row>
    <row r="485" spans="1:34" ht="12.5">
      <c r="A485" s="1" t="str">
        <f ca="1">IFERROR(__xludf.DUMMYFUNCTION("""COMPUTED_VALUE"""),"20221020COCAD")</f>
        <v>20221020COCAD</v>
      </c>
      <c r="B485" s="1">
        <f ca="1">IFERROR(__xludf.DUMMYFUNCTION("""COMPUTED_VALUE"""),10)</f>
        <v>10</v>
      </c>
      <c r="C485" s="1">
        <f ca="1">IFERROR(__xludf.DUMMYFUNCTION("""COMPUTED_VALUE"""),20)</f>
        <v>20</v>
      </c>
      <c r="D485" s="1">
        <f ca="1">IFERROR(__xludf.DUMMYFUNCTION("""COMPUTED_VALUE"""),2022)</f>
        <v>2022</v>
      </c>
      <c r="E485" s="4">
        <f ca="1">IFERROR(__xludf.DUMMYFUNCTION("""COMPUTED_VALUE"""),44854)</f>
        <v>44854</v>
      </c>
      <c r="F485" s="1" t="str">
        <f ca="1">IFERROR(__xludf.DUMMYFUNCTION("""COMPUTED_VALUE"""),"Castro Elementary School")</f>
        <v>Castro Elementary School</v>
      </c>
      <c r="G485" s="1">
        <f ca="1">IFERROR(__xludf.DUMMYFUNCTION("""COMPUTED_VALUE"""),0)</f>
        <v>0</v>
      </c>
      <c r="H485" s="1">
        <f ca="1">IFERROR(__xludf.DUMMYFUNCTION("""COMPUTED_VALUE"""),0)</f>
        <v>0</v>
      </c>
      <c r="I485" s="1">
        <f ca="1">IFERROR(__xludf.DUMMYFUNCTION("""COMPUTED_VALUE"""),0)</f>
        <v>0</v>
      </c>
      <c r="J485" s="1">
        <f ca="1">IFERROR(__xludf.DUMMYFUNCTION("""COMPUTED_VALUE"""),0)</f>
        <v>0</v>
      </c>
      <c r="K485" s="1" t="str">
        <f ca="1">IFERROR(__xludf.DUMMYFUNCTION("""COMPUTED_VALUE"""),"Fall")</f>
        <v>Fall</v>
      </c>
      <c r="L485" s="1" t="str">
        <f ca="1">IFERROR(__xludf.DUMMYFUNCTION("""COMPUTED_VALUE"""),"Denver")</f>
        <v>Denver</v>
      </c>
      <c r="M485" s="1" t="str">
        <f ca="1">IFERROR(__xludf.DUMMYFUNCTION("""COMPUTED_VALUE"""),"CO")</f>
        <v>CO</v>
      </c>
      <c r="N485" s="1" t="str">
        <f ca="1">IFERROR(__xludf.DUMMYFUNCTION("""COMPUTED_VALUE"""),"Elementary")</f>
        <v>Elementary</v>
      </c>
      <c r="O485" s="1" t="str">
        <f ca="1">IFERROR(__xludf.DUMMYFUNCTION("""COMPUTED_VALUE"""),"Field (General)")</f>
        <v>Field (General)</v>
      </c>
      <c r="P485" s="1" t="str">
        <f ca="1">IFERROR(__xludf.DUMMYFUNCTION("""COMPUTED_VALUE"""),"Outside on School Property")</f>
        <v>Outside on School Property</v>
      </c>
      <c r="Q485" s="1" t="str">
        <f ca="1">IFERROR(__xludf.DUMMYFUNCTION("""COMPUTED_VALUE"""),"No")</f>
        <v>No</v>
      </c>
      <c r="R485" s="1" t="str">
        <f ca="1">IFERROR(__xludf.DUMMYFUNCTION("""COMPUTED_VALUE"""),"Sport Event")</f>
        <v>Sport Event</v>
      </c>
      <c r="S485" s="5">
        <f ca="1">IFERROR(__xludf.DUMMYFUNCTION("""COMPUTED_VALUE"""),0.726388888888888)</f>
        <v>0.72638888888888797</v>
      </c>
      <c r="T485" s="1">
        <f ca="1">IFERROR(__xludf.DUMMYFUNCTION("""COMPUTED_VALUE"""),1)</f>
        <v>1</v>
      </c>
      <c r="U485" s="1" t="str">
        <f ca="1">IFERROR(__xludf.DUMMYFUNCTION("""COMPUTED_VALUE"""),"Man displayed gun at youth soccer game and said he was going to kill everyone")</f>
        <v>Man displayed gun at youth soccer game and said he was going to kill everyone</v>
      </c>
      <c r="V485" s="1" t="str">
        <f ca="1">IFERROR(__xludf.DUMMYFUNCTION("""COMPUTED_VALUE"""),"Man displayed gun at youth soccer game and said he was going to kill everyone. Parents and students ran. School was placed on lockdown. Man was arrested away from school with BB gun and arrested for outstanding warrant.")</f>
        <v>Man displayed gun at youth soccer game and said he was going to kill everyone. Parents and students ran. School was placed on lockdown. Man was arrested away from school with BB gun and arrested for outstanding warrant.</v>
      </c>
      <c r="W485" s="1"/>
      <c r="X485" s="1" t="str">
        <f ca="1">IFERROR(__xludf.DUMMYFUNCTION("""COMPUTED_VALUE"""),"Neither")</f>
        <v>Neither</v>
      </c>
      <c r="Y485" s="1" t="str">
        <f ca="1">IFERROR(__xludf.DUMMYFUNCTION("""COMPUTED_VALUE"""),"No")</f>
        <v>No</v>
      </c>
      <c r="Z485" s="1"/>
      <c r="AA485" s="1" t="str">
        <f ca="1">IFERROR(__xludf.DUMMYFUNCTION("""COMPUTED_VALUE"""),"No")</f>
        <v>No</v>
      </c>
      <c r="AB485" s="1" t="str">
        <f ca="1">IFERROR(__xludf.DUMMYFUNCTION("""COMPUTED_VALUE"""),"No")</f>
        <v>No</v>
      </c>
      <c r="AC485" s="1" t="str">
        <f ca="1">IFERROR(__xludf.DUMMYFUNCTION("""COMPUTED_VALUE"""),"No")</f>
        <v>No</v>
      </c>
      <c r="AD485" s="1" t="str">
        <f ca="1">IFERROR(__xludf.DUMMYFUNCTION("""COMPUTED_VALUE"""),"No")</f>
        <v>No</v>
      </c>
      <c r="AE485" s="1" t="str">
        <f ca="1">IFERROR(__xludf.DUMMYFUNCTION("""COMPUTED_VALUE"""),"No")</f>
        <v>No</v>
      </c>
      <c r="AF485" s="1" t="str">
        <f ca="1">IFERROR(__xludf.DUMMYFUNCTION("""COMPUTED_VALUE"""),"No")</f>
        <v>No</v>
      </c>
      <c r="AG485" s="1" t="str">
        <f ca="1">IFERROR(__xludf.DUMMYFUNCTION("""COMPUTED_VALUE"""),"No")</f>
        <v>No</v>
      </c>
      <c r="AH485" s="1">
        <f ca="1">IFERROR(__xludf.DUMMYFUNCTION("""COMPUTED_VALUE"""),0)</f>
        <v>0</v>
      </c>
    </row>
    <row r="486" spans="1:34" ht="12.5">
      <c r="A486" s="1" t="str">
        <f ca="1">IFERROR(__xludf.DUMMYFUNCTION("""COMPUTED_VALUE"""),"20221019TNROR")</f>
        <v>20221019TNROR</v>
      </c>
      <c r="B486" s="1">
        <f ca="1">IFERROR(__xludf.DUMMYFUNCTION("""COMPUTED_VALUE"""),10)</f>
        <v>10</v>
      </c>
      <c r="C486" s="1">
        <f ca="1">IFERROR(__xludf.DUMMYFUNCTION("""COMPUTED_VALUE"""),19)</f>
        <v>19</v>
      </c>
      <c r="D486" s="1">
        <f ca="1">IFERROR(__xludf.DUMMYFUNCTION("""COMPUTED_VALUE"""),2022)</f>
        <v>2022</v>
      </c>
      <c r="E486" s="4">
        <f ca="1">IFERROR(__xludf.DUMMYFUNCTION("""COMPUTED_VALUE"""),44853)</f>
        <v>44853</v>
      </c>
      <c r="F486" s="1" t="str">
        <f ca="1">IFERROR(__xludf.DUMMYFUNCTION("""COMPUTED_VALUE"""),"Rockvale Middle School")</f>
        <v>Rockvale Middle School</v>
      </c>
      <c r="G486" s="1">
        <f ca="1">IFERROR(__xludf.DUMMYFUNCTION("""COMPUTED_VALUE"""),0)</f>
        <v>0</v>
      </c>
      <c r="H486" s="1">
        <f ca="1">IFERROR(__xludf.DUMMYFUNCTION("""COMPUTED_VALUE"""),1)</f>
        <v>1</v>
      </c>
      <c r="I486" s="1">
        <f ca="1">IFERROR(__xludf.DUMMYFUNCTION("""COMPUTED_VALUE"""),1)</f>
        <v>1</v>
      </c>
      <c r="J486" s="1">
        <f ca="1">IFERROR(__xludf.DUMMYFUNCTION("""COMPUTED_VALUE"""),0)</f>
        <v>0</v>
      </c>
      <c r="K486" s="1" t="str">
        <f ca="1">IFERROR(__xludf.DUMMYFUNCTION("""COMPUTED_VALUE"""),"Fall")</f>
        <v>Fall</v>
      </c>
      <c r="L486" s="1" t="str">
        <f ca="1">IFERROR(__xludf.DUMMYFUNCTION("""COMPUTED_VALUE"""),"Rockvale")</f>
        <v>Rockvale</v>
      </c>
      <c r="M486" s="1" t="str">
        <f ca="1">IFERROR(__xludf.DUMMYFUNCTION("""COMPUTED_VALUE"""),"TN")</f>
        <v>TN</v>
      </c>
      <c r="N486" s="1" t="str">
        <f ca="1">IFERROR(__xludf.DUMMYFUNCTION("""COMPUTED_VALUE"""),"Middle")</f>
        <v>Middle</v>
      </c>
      <c r="O486" s="1" t="str">
        <f ca="1">IFERROR(__xludf.DUMMYFUNCTION("""COMPUTED_VALUE"""),"Outside on School Property")</f>
        <v>Outside on School Property</v>
      </c>
      <c r="P486" s="1" t="str">
        <f ca="1">IFERROR(__xludf.DUMMYFUNCTION("""COMPUTED_VALUE"""),"Outside on School Property")</f>
        <v>Outside on School Property</v>
      </c>
      <c r="Q486" s="1" t="str">
        <f ca="1">IFERROR(__xludf.DUMMYFUNCTION("""COMPUTED_VALUE"""),"No")</f>
        <v>No</v>
      </c>
      <c r="R486" s="1" t="str">
        <f ca="1">IFERROR(__xludf.DUMMYFUNCTION("""COMPUTED_VALUE"""),"Not a School Day")</f>
        <v>Not a School Day</v>
      </c>
      <c r="S486" s="5">
        <f ca="1">IFERROR(__xludf.DUMMYFUNCTION("""COMPUTED_VALUE"""),0.625)</f>
        <v>0.625</v>
      </c>
      <c r="T486" s="1">
        <f ca="1">IFERROR(__xludf.DUMMYFUNCTION("""COMPUTED_VALUE"""),1)</f>
        <v>1</v>
      </c>
      <c r="U486" s="1" t="str">
        <f ca="1">IFERROR(__xludf.DUMMYFUNCTION("""COMPUTED_VALUE"""),"Teen shot during domestic near school, given medical assistance at the school")</f>
        <v>Teen shot during domestic near school, given medical assistance at the school</v>
      </c>
      <c r="V486" s="1" t="str">
        <f ca="1">IFERROR(__xludf.DUMMYFUNCTION("""COMPUTED_VALUE"""),"The apparent shooter brought the victim to Rockvale School where emergency workers responded, Rutherford County Sheriff's Office confirmed. Rutherford County Schools (RCS) said that the shooting was a domestic incident. Rutherford County Police said the g"&amp;"irl was life-flighted to Vanderbilt University Medical Center (VUMC) in Nashville after she was treated by Emergency Medical Services (EMS) paramedics at the school. School was closed for a teacher work day.")</f>
        <v>The apparent shooter brought the victim to Rockvale School where emergency workers responded, Rutherford County Sheriff's Office confirmed. Rutherford County Schools (RCS) said that the shooting was a domestic incident. Rutherford County Police said the girl was life-flighted to Vanderbilt University Medical Center (VUMC) in Nashville after she was treated by Emergency Medical Services (EMS) paramedics at the school. School was closed for a teacher work day.</v>
      </c>
      <c r="W486" s="1" t="str">
        <f ca="1">IFERROR(__xludf.DUMMYFUNCTION("""COMPUTED_VALUE"""),"Domestic w/ Targeted Victim")</f>
        <v>Domestic w/ Targeted Victim</v>
      </c>
      <c r="X486" s="1" t="str">
        <f ca="1">IFERROR(__xludf.DUMMYFUNCTION("""COMPUTED_VALUE"""),"Victims Targeted")</f>
        <v>Victims Targeted</v>
      </c>
      <c r="Y486" s="1"/>
      <c r="Z486" s="1"/>
      <c r="AA486" s="1" t="str">
        <f ca="1">IFERROR(__xludf.DUMMYFUNCTION("""COMPUTED_VALUE"""),"No")</f>
        <v>No</v>
      </c>
      <c r="AB486" s="1" t="str">
        <f ca="1">IFERROR(__xludf.DUMMYFUNCTION("""COMPUTED_VALUE"""),"No")</f>
        <v>No</v>
      </c>
      <c r="AC486" s="1" t="str">
        <f ca="1">IFERROR(__xludf.DUMMYFUNCTION("""COMPUTED_VALUE"""),"No")</f>
        <v>No</v>
      </c>
      <c r="AD486" s="1" t="str">
        <f ca="1">IFERROR(__xludf.DUMMYFUNCTION("""COMPUTED_VALUE"""),"No")</f>
        <v>No</v>
      </c>
      <c r="AE486" s="1" t="str">
        <f ca="1">IFERROR(__xludf.DUMMYFUNCTION("""COMPUTED_VALUE"""),"Yes")</f>
        <v>Yes</v>
      </c>
      <c r="AF486" s="1" t="str">
        <f ca="1">IFERROR(__xludf.DUMMYFUNCTION("""COMPUTED_VALUE"""),"No")</f>
        <v>No</v>
      </c>
      <c r="AG486" s="1" t="str">
        <f ca="1">IFERROR(__xludf.DUMMYFUNCTION("""COMPUTED_VALUE"""),"No")</f>
        <v>No</v>
      </c>
      <c r="AH486" s="1">
        <f ca="1">IFERROR(__xludf.DUMMYFUNCTION("""COMPUTED_VALUE"""),1)</f>
        <v>1</v>
      </c>
    </row>
    <row r="487" spans="1:34" ht="12.5">
      <c r="A487" s="1" t="str">
        <f ca="1">IFERROR(__xludf.DUMMYFUNCTION("""COMPUTED_VALUE"""),"20221018ORJEP")</f>
        <v>20221018ORJEP</v>
      </c>
      <c r="B487" s="1">
        <f ca="1">IFERROR(__xludf.DUMMYFUNCTION("""COMPUTED_VALUE"""),10)</f>
        <v>10</v>
      </c>
      <c r="C487" s="1">
        <f ca="1">IFERROR(__xludf.DUMMYFUNCTION("""COMPUTED_VALUE"""),18)</f>
        <v>18</v>
      </c>
      <c r="D487" s="1">
        <f ca="1">IFERROR(__xludf.DUMMYFUNCTION("""COMPUTED_VALUE"""),2022)</f>
        <v>2022</v>
      </c>
      <c r="E487" s="4">
        <f ca="1">IFERROR(__xludf.DUMMYFUNCTION("""COMPUTED_VALUE"""),44852)</f>
        <v>44852</v>
      </c>
      <c r="F487" s="1" t="str">
        <f ca="1">IFERROR(__xludf.DUMMYFUNCTION("""COMPUTED_VALUE"""),"Jefferson High School")</f>
        <v>Jefferson High School</v>
      </c>
      <c r="G487" s="1">
        <f ca="1">IFERROR(__xludf.DUMMYFUNCTION("""COMPUTED_VALUE"""),0)</f>
        <v>0</v>
      </c>
      <c r="H487" s="1">
        <f ca="1">IFERROR(__xludf.DUMMYFUNCTION("""COMPUTED_VALUE"""),2)</f>
        <v>2</v>
      </c>
      <c r="I487" s="1">
        <f ca="1">IFERROR(__xludf.DUMMYFUNCTION("""COMPUTED_VALUE"""),2)</f>
        <v>2</v>
      </c>
      <c r="J487" s="1">
        <f ca="1">IFERROR(__xludf.DUMMYFUNCTION("""COMPUTED_VALUE"""),0)</f>
        <v>0</v>
      </c>
      <c r="K487" s="1" t="str">
        <f ca="1">IFERROR(__xludf.DUMMYFUNCTION("""COMPUTED_VALUE"""),"Fall")</f>
        <v>Fall</v>
      </c>
      <c r="L487" s="1" t="str">
        <f ca="1">IFERROR(__xludf.DUMMYFUNCTION("""COMPUTED_VALUE"""),"Portland")</f>
        <v>Portland</v>
      </c>
      <c r="M487" s="1" t="str">
        <f ca="1">IFERROR(__xludf.DUMMYFUNCTION("""COMPUTED_VALUE"""),"OR")</f>
        <v>OR</v>
      </c>
      <c r="N487" s="1" t="str">
        <f ca="1">IFERROR(__xludf.DUMMYFUNCTION("""COMPUTED_VALUE"""),"High")</f>
        <v>High</v>
      </c>
      <c r="O487" s="1" t="str">
        <f ca="1">IFERROR(__xludf.DUMMYFUNCTION("""COMPUTED_VALUE"""),"Beside Building")</f>
        <v>Beside Building</v>
      </c>
      <c r="P487" s="1" t="str">
        <f ca="1">IFERROR(__xludf.DUMMYFUNCTION("""COMPUTED_VALUE"""),"Outside on School Property")</f>
        <v>Outside on School Property</v>
      </c>
      <c r="Q487" s="1" t="str">
        <f ca="1">IFERROR(__xludf.DUMMYFUNCTION("""COMPUTED_VALUE"""),"Yes")</f>
        <v>Yes</v>
      </c>
      <c r="R487" s="1" t="str">
        <f ca="1">IFERROR(__xludf.DUMMYFUNCTION("""COMPUTED_VALUE"""),"Dismissal")</f>
        <v>Dismissal</v>
      </c>
      <c r="S487" s="5">
        <f ca="1">IFERROR(__xludf.DUMMYFUNCTION("""COMPUTED_VALUE"""),0.665972222222222)</f>
        <v>0.66597222222222197</v>
      </c>
      <c r="T487" s="1">
        <f ca="1">IFERROR(__xludf.DUMMYFUNCTION("""COMPUTED_VALUE"""),1)</f>
        <v>1</v>
      </c>
      <c r="U487" s="1" t="str">
        <f ca="1">IFERROR(__xludf.DUMMYFUNCTION("""COMPUTED_VALUE"""),"2 students shot during drive by at dismissal")</f>
        <v>2 students shot during drive by at dismissal</v>
      </c>
      <c r="V487" s="1" t="str">
        <f ca="1">IFERROR(__xludf.DUMMYFUNCTION("""COMPUTED_VALUE"""),"The Portland Police Bureau confirmed that shots were fired near Jefferson High School on Tuesday afternoon. North Precinct officers were first dispatched at 3:59 p.m. to 5200 Block of North Kerby Avenue after someone reported hearing gunshots followed by "&amp;"lots of yelling near the school Tuesday afternoon. Arriving officers found evidence showing shots had been fired just outside of the school’s gym, before discovering a male student inside the school with a non-life-threatening gunshot wound to the leg.")</f>
        <v>The Portland Police Bureau confirmed that shots were fired near Jefferson High School on Tuesday afternoon. North Precinct officers were first dispatched at 3:59 p.m. to 5200 Block of North Kerby Avenue after someone reported hearing gunshots followed by lots of yelling near the school Tuesday afternoon. Arriving officers found evidence showing shots had been fired just outside of the school’s gym, before discovering a male student inside the school with a non-life-threatening gunshot wound to the leg.</v>
      </c>
      <c r="W487" s="1" t="str">
        <f ca="1">IFERROR(__xludf.DUMMYFUNCTION("""COMPUTED_VALUE"""),"Drive-by Shooting")</f>
        <v>Drive-by Shooting</v>
      </c>
      <c r="X487" s="1" t="str">
        <f ca="1">IFERROR(__xludf.DUMMYFUNCTION("""COMPUTED_VALUE"""),"Both")</f>
        <v>Both</v>
      </c>
      <c r="Y487" s="1"/>
      <c r="Z487" s="1"/>
      <c r="AA487" s="1" t="str">
        <f ca="1">IFERROR(__xludf.DUMMYFUNCTION("""COMPUTED_VALUE"""),"No")</f>
        <v>No</v>
      </c>
      <c r="AB487" s="1" t="str">
        <f ca="1">IFERROR(__xludf.DUMMYFUNCTION("""COMPUTED_VALUE"""),"No")</f>
        <v>No</v>
      </c>
      <c r="AC487" s="1" t="str">
        <f ca="1">IFERROR(__xludf.DUMMYFUNCTION("""COMPUTED_VALUE"""),"No")</f>
        <v>No</v>
      </c>
      <c r="AD487" s="1" t="str">
        <f ca="1">IFERROR(__xludf.DUMMYFUNCTION("""COMPUTED_VALUE"""),"No")</f>
        <v>No</v>
      </c>
      <c r="AE487" s="1" t="str">
        <f ca="1">IFERROR(__xludf.DUMMYFUNCTION("""COMPUTED_VALUE"""),"No")</f>
        <v>No</v>
      </c>
      <c r="AF487" s="1" t="str">
        <f ca="1">IFERROR(__xludf.DUMMYFUNCTION("""COMPUTED_VALUE"""),"No")</f>
        <v>No</v>
      </c>
      <c r="AG487" s="1" t="str">
        <f ca="1">IFERROR(__xludf.DUMMYFUNCTION("""COMPUTED_VALUE"""),"No")</f>
        <v>No</v>
      </c>
      <c r="AH487" s="1">
        <f ca="1">IFERROR(__xludf.DUMMYFUNCTION("""COMPUTED_VALUE"""),12)</f>
        <v>12</v>
      </c>
    </row>
    <row r="488" spans="1:34" ht="12.5">
      <c r="A488" s="1" t="str">
        <f ca="1">IFERROR(__xludf.DUMMYFUNCTION("""COMPUTED_VALUE"""),"20221018NVSUL")</f>
        <v>20221018NVSUL</v>
      </c>
      <c r="B488" s="1">
        <f ca="1">IFERROR(__xludf.DUMMYFUNCTION("""COMPUTED_VALUE"""),10)</f>
        <v>10</v>
      </c>
      <c r="C488" s="1">
        <f ca="1">IFERROR(__xludf.DUMMYFUNCTION("""COMPUTED_VALUE"""),18)</f>
        <v>18</v>
      </c>
      <c r="D488" s="1">
        <f ca="1">IFERROR(__xludf.DUMMYFUNCTION("""COMPUTED_VALUE"""),2022)</f>
        <v>2022</v>
      </c>
      <c r="E488" s="4">
        <f ca="1">IFERROR(__xludf.DUMMYFUNCTION("""COMPUTED_VALUE"""),44852)</f>
        <v>44852</v>
      </c>
      <c r="F488" s="1" t="str">
        <f ca="1">IFERROR(__xludf.DUMMYFUNCTION("""COMPUTED_VALUE"""),"Sunrise Mountain High School")</f>
        <v>Sunrise Mountain High School</v>
      </c>
      <c r="G488" s="1">
        <f ca="1">IFERROR(__xludf.DUMMYFUNCTION("""COMPUTED_VALUE"""),1)</f>
        <v>1</v>
      </c>
      <c r="H488" s="1">
        <f ca="1">IFERROR(__xludf.DUMMYFUNCTION("""COMPUTED_VALUE"""),0)</f>
        <v>0</v>
      </c>
      <c r="I488" s="1">
        <f ca="1">IFERROR(__xludf.DUMMYFUNCTION("""COMPUTED_VALUE"""),1)</f>
        <v>1</v>
      </c>
      <c r="J488" s="1">
        <f ca="1">IFERROR(__xludf.DUMMYFUNCTION("""COMPUTED_VALUE"""),0)</f>
        <v>0</v>
      </c>
      <c r="K488" s="1" t="str">
        <f ca="1">IFERROR(__xludf.DUMMYFUNCTION("""COMPUTED_VALUE"""),"Fall")</f>
        <v>Fall</v>
      </c>
      <c r="L488" s="1" t="str">
        <f ca="1">IFERROR(__xludf.DUMMYFUNCTION("""COMPUTED_VALUE"""),"Las Vegas")</f>
        <v>Las Vegas</v>
      </c>
      <c r="M488" s="1" t="str">
        <f ca="1">IFERROR(__xludf.DUMMYFUNCTION("""COMPUTED_VALUE"""),"NV")</f>
        <v>NV</v>
      </c>
      <c r="N488" s="1" t="str">
        <f ca="1">IFERROR(__xludf.DUMMYFUNCTION("""COMPUTED_VALUE"""),"High")</f>
        <v>High</v>
      </c>
      <c r="O488" s="1" t="str">
        <f ca="1">IFERROR(__xludf.DUMMYFUNCTION("""COMPUTED_VALUE"""),"Parking Lot")</f>
        <v>Parking Lot</v>
      </c>
      <c r="P488" s="1" t="str">
        <f ca="1">IFERROR(__xludf.DUMMYFUNCTION("""COMPUTED_VALUE"""),"Outside on School Property")</f>
        <v>Outside on School Property</v>
      </c>
      <c r="Q488" s="1" t="str">
        <f ca="1">IFERROR(__xludf.DUMMYFUNCTION("""COMPUTED_VALUE"""),"No")</f>
        <v>No</v>
      </c>
      <c r="R488" s="1" t="str">
        <f ca="1">IFERROR(__xludf.DUMMYFUNCTION("""COMPUTED_VALUE"""),"Night")</f>
        <v>Night</v>
      </c>
      <c r="S488" s="5">
        <f ca="1">IFERROR(__xludf.DUMMYFUNCTION("""COMPUTED_VALUE"""),0.0416666666666666)</f>
        <v>4.1666666666666602E-2</v>
      </c>
      <c r="T488" s="1">
        <f ca="1">IFERROR(__xludf.DUMMYFUNCTION("""COMPUTED_VALUE"""),1)</f>
        <v>1</v>
      </c>
      <c r="U488" s="1" t="str">
        <f ca="1">IFERROR(__xludf.DUMMYFUNCTION("""COMPUTED_VALUE"""),"Man fatally shot in school parking lot")</f>
        <v>Man fatally shot in school parking lot</v>
      </c>
      <c r="V488" s="1" t="str">
        <f ca="1">IFERROR(__xludf.DUMMYFUNCTION("""COMPUTED_VALUE"""),"Man fatally shot in school parking lot")</f>
        <v>Man fatally shot in school parking lot</v>
      </c>
      <c r="W488" s="1"/>
      <c r="X488" s="1" t="str">
        <f ca="1">IFERROR(__xludf.DUMMYFUNCTION("""COMPUTED_VALUE"""),"Victims Targeted")</f>
        <v>Victims Targeted</v>
      </c>
      <c r="Y488" s="1"/>
      <c r="Z488" s="1"/>
      <c r="AA488" s="1" t="str">
        <f ca="1">IFERROR(__xludf.DUMMYFUNCTION("""COMPUTED_VALUE"""),"No")</f>
        <v>No</v>
      </c>
      <c r="AB488" s="1" t="str">
        <f ca="1">IFERROR(__xludf.DUMMYFUNCTION("""COMPUTED_VALUE"""),"No")</f>
        <v>No</v>
      </c>
      <c r="AC488" s="1" t="str">
        <f ca="1">IFERROR(__xludf.DUMMYFUNCTION("""COMPUTED_VALUE"""),"No")</f>
        <v>No</v>
      </c>
      <c r="AD488" s="1" t="str">
        <f ca="1">IFERROR(__xludf.DUMMYFUNCTION("""COMPUTED_VALUE"""),"No")</f>
        <v>No</v>
      </c>
      <c r="AE488" s="1" t="str">
        <f ca="1">IFERROR(__xludf.DUMMYFUNCTION("""COMPUTED_VALUE"""),"No")</f>
        <v>No</v>
      </c>
      <c r="AF488" s="1" t="str">
        <f ca="1">IFERROR(__xludf.DUMMYFUNCTION("""COMPUTED_VALUE"""),"No")</f>
        <v>No</v>
      </c>
      <c r="AG488" s="1" t="str">
        <f ca="1">IFERROR(__xludf.DUMMYFUNCTION("""COMPUTED_VALUE"""),"No")</f>
        <v>No</v>
      </c>
      <c r="AH488" s="1"/>
    </row>
    <row r="489" spans="1:34" ht="12.5">
      <c r="A489" s="1" t="str">
        <f ca="1">IFERROR(__xludf.DUMMYFUNCTION("""COMPUTED_VALUE"""),"20221017FLORT")</f>
        <v>20221017FLORT</v>
      </c>
      <c r="B489" s="1">
        <f ca="1">IFERROR(__xludf.DUMMYFUNCTION("""COMPUTED_VALUE"""),10)</f>
        <v>10</v>
      </c>
      <c r="C489" s="1">
        <f ca="1">IFERROR(__xludf.DUMMYFUNCTION("""COMPUTED_VALUE"""),17)</f>
        <v>17</v>
      </c>
      <c r="D489" s="1">
        <f ca="1">IFERROR(__xludf.DUMMYFUNCTION("""COMPUTED_VALUE"""),2022)</f>
        <v>2022</v>
      </c>
      <c r="E489" s="4">
        <f ca="1">IFERROR(__xludf.DUMMYFUNCTION("""COMPUTED_VALUE"""),44851)</f>
        <v>44851</v>
      </c>
      <c r="F489" s="1" t="str">
        <f ca="1">IFERROR(__xludf.DUMMYFUNCTION("""COMPUTED_VALUE"""),"Orange Grove Magnet Middle School")</f>
        <v>Orange Grove Magnet Middle School</v>
      </c>
      <c r="G489" s="1">
        <f ca="1">IFERROR(__xludf.DUMMYFUNCTION("""COMPUTED_VALUE"""),0)</f>
        <v>0</v>
      </c>
      <c r="H489" s="1">
        <f ca="1">IFERROR(__xludf.DUMMYFUNCTION("""COMPUTED_VALUE"""),0)</f>
        <v>0</v>
      </c>
      <c r="I489" s="1">
        <f ca="1">IFERROR(__xludf.DUMMYFUNCTION("""COMPUTED_VALUE"""),0)</f>
        <v>0</v>
      </c>
      <c r="J489" s="1">
        <f ca="1">IFERROR(__xludf.DUMMYFUNCTION("""COMPUTED_VALUE"""),0)</f>
        <v>0</v>
      </c>
      <c r="K489" s="1" t="str">
        <f ca="1">IFERROR(__xludf.DUMMYFUNCTION("""COMPUTED_VALUE"""),"Fall")</f>
        <v>Fall</v>
      </c>
      <c r="L489" s="1" t="str">
        <f ca="1">IFERROR(__xludf.DUMMYFUNCTION("""COMPUTED_VALUE"""),"Tampa")</f>
        <v>Tampa</v>
      </c>
      <c r="M489" s="1" t="str">
        <f ca="1">IFERROR(__xludf.DUMMYFUNCTION("""COMPUTED_VALUE"""),"FL")</f>
        <v>FL</v>
      </c>
      <c r="N489" s="1" t="str">
        <f ca="1">IFERROR(__xludf.DUMMYFUNCTION("""COMPUTED_VALUE"""),"Middle")</f>
        <v>Middle</v>
      </c>
      <c r="O489" s="1" t="str">
        <f ca="1">IFERROR(__xludf.DUMMYFUNCTION("""COMPUTED_VALUE"""),"Front of School")</f>
        <v>Front of School</v>
      </c>
      <c r="P489" s="1" t="str">
        <f ca="1">IFERROR(__xludf.DUMMYFUNCTION("""COMPUTED_VALUE"""),"Outside on School Property")</f>
        <v>Outside on School Property</v>
      </c>
      <c r="Q489" s="1" t="str">
        <f ca="1">IFERROR(__xludf.DUMMYFUNCTION("""COMPUTED_VALUE"""),"Yes")</f>
        <v>Yes</v>
      </c>
      <c r="R489" s="1" t="str">
        <f ca="1">IFERROR(__xludf.DUMMYFUNCTION("""COMPUTED_VALUE"""),"Morning Classes")</f>
        <v>Morning Classes</v>
      </c>
      <c r="S489" s="5">
        <f ca="1">IFERROR(__xludf.DUMMYFUNCTION("""COMPUTED_VALUE"""),0.375)</f>
        <v>0.375</v>
      </c>
      <c r="T489" s="1">
        <f ca="1">IFERROR(__xludf.DUMMYFUNCTION("""COMPUTED_VALUE"""),1)</f>
        <v>1</v>
      </c>
      <c r="U489" s="1" t="str">
        <f ca="1">IFERROR(__xludf.DUMMYFUNCTION("""COMPUTED_VALUE"""),"Front door of school hit by bullet")</f>
        <v>Front door of school hit by bullet</v>
      </c>
      <c r="V489" s="1" t="str">
        <f ca="1">IFERROR(__xludf.DUMMYFUNCTION("""COMPUTED_VALUE"""),"Gunshot detector system ShotSpotter reported the sound of multiple gunshots around 9 a.m. near Orange Grove Middle Magnet, located at 3415 North 16th St. As officers were on the way there, a call came in about a shooting at a home off of East 27th Avenue,"&amp;" just across the street from the school. Police explained they were able to talk to a man who said the shooter drove by his home ""firing several shots at the house."" As an act of self-defense, the man reportedly shot back at the car. The police departme"&amp;"nt says no one was hurt and no homes were struck by the gunfire, but one round hit an exterior door at the middle school.")</f>
        <v>Gunshot detector system ShotSpotter reported the sound of multiple gunshots around 9 a.m. near Orange Grove Middle Magnet, located at 3415 North 16th St. As officers were on the way there, a call came in about a shooting at a home off of East 27th Avenue, just across the street from the school. Police explained they were able to talk to a man who said the shooter drove by his home "firing several shots at the house." As an act of self-defense, the man reportedly shot back at the car. The police department says no one was hurt and no homes were struck by the gunfire, but one round hit an exterior door at the middle school.</v>
      </c>
      <c r="W489" s="1" t="str">
        <f ca="1">IFERROR(__xludf.DUMMYFUNCTION("""COMPUTED_VALUE"""),"Drive-by Shooting")</f>
        <v>Drive-by Shooting</v>
      </c>
      <c r="X489" s="1" t="str">
        <f ca="1">IFERROR(__xludf.DUMMYFUNCTION("""COMPUTED_VALUE"""),"Victims Targeted")</f>
        <v>Victims Targeted</v>
      </c>
      <c r="Y489" s="1" t="str">
        <f ca="1">IFERROR(__xludf.DUMMYFUNCTION("""COMPUTED_VALUE"""),"No")</f>
        <v>No</v>
      </c>
      <c r="Z489" s="1"/>
      <c r="AA489" s="1" t="str">
        <f ca="1">IFERROR(__xludf.DUMMYFUNCTION("""COMPUTED_VALUE"""),"No")</f>
        <v>No</v>
      </c>
      <c r="AB489" s="1" t="str">
        <f ca="1">IFERROR(__xludf.DUMMYFUNCTION("""COMPUTED_VALUE"""),"No")</f>
        <v>No</v>
      </c>
      <c r="AC489" s="1" t="str">
        <f ca="1">IFERROR(__xludf.DUMMYFUNCTION("""COMPUTED_VALUE"""),"No")</f>
        <v>No</v>
      </c>
      <c r="AD489" s="1" t="str">
        <f ca="1">IFERROR(__xludf.DUMMYFUNCTION("""COMPUTED_VALUE"""),"No")</f>
        <v>No</v>
      </c>
      <c r="AE489" s="1" t="str">
        <f ca="1">IFERROR(__xludf.DUMMYFUNCTION("""COMPUTED_VALUE"""),"No")</f>
        <v>No</v>
      </c>
      <c r="AF489" s="1" t="str">
        <f ca="1">IFERROR(__xludf.DUMMYFUNCTION("""COMPUTED_VALUE"""),"No")</f>
        <v>No</v>
      </c>
      <c r="AG489" s="1" t="str">
        <f ca="1">IFERROR(__xludf.DUMMYFUNCTION("""COMPUTED_VALUE"""),"No")</f>
        <v>No</v>
      </c>
      <c r="AH489" s="1">
        <f ca="1">IFERROR(__xludf.DUMMYFUNCTION("""COMPUTED_VALUE"""),99)</f>
        <v>99</v>
      </c>
    </row>
    <row r="490" spans="1:34" ht="12.5">
      <c r="A490" s="1" t="str">
        <f ca="1">IFERROR(__xludf.DUMMYFUNCTION("""COMPUTED_VALUE"""),"20221017CAWIS")</f>
        <v>20221017CAWIS</v>
      </c>
      <c r="B490" s="1">
        <f ca="1">IFERROR(__xludf.DUMMYFUNCTION("""COMPUTED_VALUE"""),10)</f>
        <v>10</v>
      </c>
      <c r="C490" s="1">
        <f ca="1">IFERROR(__xludf.DUMMYFUNCTION("""COMPUTED_VALUE"""),17)</f>
        <v>17</v>
      </c>
      <c r="D490" s="1">
        <f ca="1">IFERROR(__xludf.DUMMYFUNCTION("""COMPUTED_VALUE"""),2022)</f>
        <v>2022</v>
      </c>
      <c r="E490" s="4">
        <f ca="1">IFERROR(__xludf.DUMMYFUNCTION("""COMPUTED_VALUE"""),44851)</f>
        <v>44851</v>
      </c>
      <c r="F490" s="1" t="str">
        <f ca="1">IFERROR(__xludf.DUMMYFUNCTION("""COMPUTED_VALUE"""),"Willow Glen Middle School")</f>
        <v>Willow Glen Middle School</v>
      </c>
      <c r="G490" s="1">
        <f ca="1">IFERROR(__xludf.DUMMYFUNCTION("""COMPUTED_VALUE"""),0)</f>
        <v>0</v>
      </c>
      <c r="H490" s="1">
        <f ca="1">IFERROR(__xludf.DUMMYFUNCTION("""COMPUTED_VALUE"""),0)</f>
        <v>0</v>
      </c>
      <c r="I490" s="1">
        <f ca="1">IFERROR(__xludf.DUMMYFUNCTION("""COMPUTED_VALUE"""),0)</f>
        <v>0</v>
      </c>
      <c r="J490" s="1">
        <f ca="1">IFERROR(__xludf.DUMMYFUNCTION("""COMPUTED_VALUE"""),0)</f>
        <v>0</v>
      </c>
      <c r="K490" s="1" t="str">
        <f ca="1">IFERROR(__xludf.DUMMYFUNCTION("""COMPUTED_VALUE"""),"Fall")</f>
        <v>Fall</v>
      </c>
      <c r="L490" s="1" t="str">
        <f ca="1">IFERROR(__xludf.DUMMYFUNCTION("""COMPUTED_VALUE"""),"San Jose")</f>
        <v>San Jose</v>
      </c>
      <c r="M490" s="1" t="str">
        <f ca="1">IFERROR(__xludf.DUMMYFUNCTION("""COMPUTED_VALUE"""),"CA")</f>
        <v>CA</v>
      </c>
      <c r="N490" s="1" t="str">
        <f ca="1">IFERROR(__xludf.DUMMYFUNCTION("""COMPUTED_VALUE"""),"Middle")</f>
        <v>Middle</v>
      </c>
      <c r="O490" s="1" t="str">
        <f ca="1">IFERROR(__xludf.DUMMYFUNCTION("""COMPUTED_VALUE"""),"Front of School")</f>
        <v>Front of School</v>
      </c>
      <c r="P490" s="1" t="str">
        <f ca="1">IFERROR(__xludf.DUMMYFUNCTION("""COMPUTED_VALUE"""),"Outside on School Property")</f>
        <v>Outside on School Property</v>
      </c>
      <c r="Q490" s="1" t="str">
        <f ca="1">IFERROR(__xludf.DUMMYFUNCTION("""COMPUTED_VALUE"""),"Yes")</f>
        <v>Yes</v>
      </c>
      <c r="R490" s="1" t="str">
        <f ca="1">IFERROR(__xludf.DUMMYFUNCTION("""COMPUTED_VALUE"""),"Morning Classes")</f>
        <v>Morning Classes</v>
      </c>
      <c r="S490" s="5">
        <f ca="1">IFERROR(__xludf.DUMMYFUNCTION("""COMPUTED_VALUE"""),0.416666666666666)</f>
        <v>0.41666666666666602</v>
      </c>
      <c r="T490" s="1">
        <f ca="1">IFERROR(__xludf.DUMMYFUNCTION("""COMPUTED_VALUE"""),1)</f>
        <v>1</v>
      </c>
      <c r="U490" s="1" t="str">
        <f ca="1">IFERROR(__xludf.DUMMYFUNCTION("""COMPUTED_VALUE"""),"Pellet gun fired at students and staff")</f>
        <v>Pellet gun fired at students and staff</v>
      </c>
      <c r="V490" s="1" t="str">
        <f ca="1">IFERROR(__xludf.DUMMYFUNCTION("""COMPUTED_VALUE"""),"Person in a vehicle fired pellets at students and staff inside a classroom.")</f>
        <v>Person in a vehicle fired pellets at students and staff inside a classroom.</v>
      </c>
      <c r="W490" s="1" t="str">
        <f ca="1">IFERROR(__xludf.DUMMYFUNCTION("""COMPUTED_VALUE"""),"Drive-by Shooting")</f>
        <v>Drive-by Shooting</v>
      </c>
      <c r="X490" s="1" t="str">
        <f ca="1">IFERROR(__xludf.DUMMYFUNCTION("""COMPUTED_VALUE"""),"Random Shooting")</f>
        <v>Random Shooting</v>
      </c>
      <c r="Y490" s="1"/>
      <c r="Z490" s="1"/>
      <c r="AA490" s="1" t="str">
        <f ca="1">IFERROR(__xludf.DUMMYFUNCTION("""COMPUTED_VALUE"""),"No")</f>
        <v>No</v>
      </c>
      <c r="AB490" s="1" t="str">
        <f ca="1">IFERROR(__xludf.DUMMYFUNCTION("""COMPUTED_VALUE"""),"No")</f>
        <v>No</v>
      </c>
      <c r="AC490" s="1" t="str">
        <f ca="1">IFERROR(__xludf.DUMMYFUNCTION("""COMPUTED_VALUE"""),"No")</f>
        <v>No</v>
      </c>
      <c r="AD490" s="1" t="str">
        <f ca="1">IFERROR(__xludf.DUMMYFUNCTION("""COMPUTED_VALUE"""),"No")</f>
        <v>No</v>
      </c>
      <c r="AE490" s="1" t="str">
        <f ca="1">IFERROR(__xludf.DUMMYFUNCTION("""COMPUTED_VALUE"""),"No")</f>
        <v>No</v>
      </c>
      <c r="AF490" s="1" t="str">
        <f ca="1">IFERROR(__xludf.DUMMYFUNCTION("""COMPUTED_VALUE"""),"No")</f>
        <v>No</v>
      </c>
      <c r="AG490" s="1" t="str">
        <f ca="1">IFERROR(__xludf.DUMMYFUNCTION("""COMPUTED_VALUE"""),"No")</f>
        <v>No</v>
      </c>
      <c r="AH490" s="1">
        <f ca="1">IFERROR(__xludf.DUMMYFUNCTION("""COMPUTED_VALUE"""),99)</f>
        <v>99</v>
      </c>
    </row>
    <row r="491" spans="1:34" ht="12.5">
      <c r="A491" s="1" t="str">
        <f ca="1">IFERROR(__xludf.DUMMYFUNCTION("""COMPUTED_VALUE"""),"20221016VAFAR")</f>
        <v>20221016VAFAR</v>
      </c>
      <c r="B491" s="1">
        <f ca="1">IFERROR(__xludf.DUMMYFUNCTION("""COMPUTED_VALUE"""),10)</f>
        <v>10</v>
      </c>
      <c r="C491" s="1">
        <f ca="1">IFERROR(__xludf.DUMMYFUNCTION("""COMPUTED_VALUE"""),16)</f>
        <v>16</v>
      </c>
      <c r="D491" s="1">
        <f ca="1">IFERROR(__xludf.DUMMYFUNCTION("""COMPUTED_VALUE"""),2022)</f>
        <v>2022</v>
      </c>
      <c r="E491" s="4">
        <f ca="1">IFERROR(__xludf.DUMMYFUNCTION("""COMPUTED_VALUE"""),44850)</f>
        <v>44850</v>
      </c>
      <c r="F491" s="1" t="str">
        <f ca="1">IFERROR(__xludf.DUMMYFUNCTION("""COMPUTED_VALUE"""),"Fairfield Court Elementary School")</f>
        <v>Fairfield Court Elementary School</v>
      </c>
      <c r="G491" s="1">
        <f ca="1">IFERROR(__xludf.DUMMYFUNCTION("""COMPUTED_VALUE"""),0)</f>
        <v>0</v>
      </c>
      <c r="H491" s="1">
        <f ca="1">IFERROR(__xludf.DUMMYFUNCTION("""COMPUTED_VALUE"""),3)</f>
        <v>3</v>
      </c>
      <c r="I491" s="1">
        <f ca="1">IFERROR(__xludf.DUMMYFUNCTION("""COMPUTED_VALUE"""),3)</f>
        <v>3</v>
      </c>
      <c r="J491" s="1">
        <f ca="1">IFERROR(__xludf.DUMMYFUNCTION("""COMPUTED_VALUE"""),0)</f>
        <v>0</v>
      </c>
      <c r="K491" s="1" t="str">
        <f ca="1">IFERROR(__xludf.DUMMYFUNCTION("""COMPUTED_VALUE"""),"Fall")</f>
        <v>Fall</v>
      </c>
      <c r="L491" s="1" t="str">
        <f ca="1">IFERROR(__xludf.DUMMYFUNCTION("""COMPUTED_VALUE"""),"Richmond")</f>
        <v>Richmond</v>
      </c>
      <c r="M491" s="1" t="str">
        <f ca="1">IFERROR(__xludf.DUMMYFUNCTION("""COMPUTED_VALUE"""),"VA")</f>
        <v>VA</v>
      </c>
      <c r="N491" s="1" t="str">
        <f ca="1">IFERROR(__xludf.DUMMYFUNCTION("""COMPUTED_VALUE"""),"Elementary")</f>
        <v>Elementary</v>
      </c>
      <c r="O491" s="1" t="str">
        <f ca="1">IFERROR(__xludf.DUMMYFUNCTION("""COMPUTED_VALUE"""),"Front of School")</f>
        <v>Front of School</v>
      </c>
      <c r="P491" s="1" t="str">
        <f ca="1">IFERROR(__xludf.DUMMYFUNCTION("""COMPUTED_VALUE"""),"Outside on School Property")</f>
        <v>Outside on School Property</v>
      </c>
      <c r="Q491" s="1" t="str">
        <f ca="1">IFERROR(__xludf.DUMMYFUNCTION("""COMPUTED_VALUE"""),"No")</f>
        <v>No</v>
      </c>
      <c r="R491" s="1" t="str">
        <f ca="1">IFERROR(__xludf.DUMMYFUNCTION("""COMPUTED_VALUE"""),"Not a School Day")</f>
        <v>Not a School Day</v>
      </c>
      <c r="S491" s="5">
        <f ca="1">IFERROR(__xludf.DUMMYFUNCTION("""COMPUTED_VALUE"""),0.59375)</f>
        <v>0.59375</v>
      </c>
      <c r="T491" s="1">
        <f ca="1">IFERROR(__xludf.DUMMYFUNCTION("""COMPUTED_VALUE"""),1)</f>
        <v>1</v>
      </c>
      <c r="U491" s="1" t="str">
        <f ca="1">IFERROR(__xludf.DUMMYFUNCTION("""COMPUTED_VALUE"""),"Three men shot in front of school")</f>
        <v>Three men shot in front of school</v>
      </c>
      <c r="V491" s="1" t="str">
        <f ca="1">IFERROR(__xludf.DUMMYFUNCTION("""COMPUTED_VALUE"""),"Three men shot in front of school.")</f>
        <v>Three men shot in front of school.</v>
      </c>
      <c r="W491" s="1"/>
      <c r="X491" s="1"/>
      <c r="Y491" s="1"/>
      <c r="Z491" s="1"/>
      <c r="AA491" s="1" t="str">
        <f ca="1">IFERROR(__xludf.DUMMYFUNCTION("""COMPUTED_VALUE"""),"No")</f>
        <v>No</v>
      </c>
      <c r="AB491" s="1" t="str">
        <f ca="1">IFERROR(__xludf.DUMMYFUNCTION("""COMPUTED_VALUE"""),"No")</f>
        <v>No</v>
      </c>
      <c r="AC491" s="1" t="str">
        <f ca="1">IFERROR(__xludf.DUMMYFUNCTION("""COMPUTED_VALUE"""),"No")</f>
        <v>No</v>
      </c>
      <c r="AD491" s="1" t="str">
        <f ca="1">IFERROR(__xludf.DUMMYFUNCTION("""COMPUTED_VALUE"""),"No")</f>
        <v>No</v>
      </c>
      <c r="AE491" s="1" t="str">
        <f ca="1">IFERROR(__xludf.DUMMYFUNCTION("""COMPUTED_VALUE"""),"No")</f>
        <v>No</v>
      </c>
      <c r="AF491" s="1"/>
      <c r="AG491" s="1" t="str">
        <f ca="1">IFERROR(__xludf.DUMMYFUNCTION("""COMPUTED_VALUE"""),"No")</f>
        <v>No</v>
      </c>
      <c r="AH491" s="1">
        <f ca="1">IFERROR(__xludf.DUMMYFUNCTION("""COMPUTED_VALUE"""),99)</f>
        <v>99</v>
      </c>
    </row>
    <row r="492" spans="1:34" ht="12.5">
      <c r="A492" s="1" t="str">
        <f ca="1">IFERROR(__xludf.DUMMYFUNCTION("""COMPUTED_VALUE"""),"20221014VAWER")</f>
        <v>20221014VAWER</v>
      </c>
      <c r="B492" s="1">
        <f ca="1">IFERROR(__xludf.DUMMYFUNCTION("""COMPUTED_VALUE"""),10)</f>
        <v>10</v>
      </c>
      <c r="C492" s="1">
        <f ca="1">IFERROR(__xludf.DUMMYFUNCTION("""COMPUTED_VALUE"""),14)</f>
        <v>14</v>
      </c>
      <c r="D492" s="1">
        <f ca="1">IFERROR(__xludf.DUMMYFUNCTION("""COMPUTED_VALUE"""),2022)</f>
        <v>2022</v>
      </c>
      <c r="E492" s="4">
        <f ca="1">IFERROR(__xludf.DUMMYFUNCTION("""COMPUTED_VALUE"""),44848)</f>
        <v>44848</v>
      </c>
      <c r="F492" s="1" t="str">
        <f ca="1">IFERROR(__xludf.DUMMYFUNCTION("""COMPUTED_VALUE"""),"Westover Hills Elementary School
")</f>
        <v xml:space="preserve">Westover Hills Elementary School
</v>
      </c>
      <c r="G492" s="1">
        <f ca="1">IFERROR(__xludf.DUMMYFUNCTION("""COMPUTED_VALUE"""),1)</f>
        <v>1</v>
      </c>
      <c r="H492" s="1">
        <f ca="1">IFERROR(__xludf.DUMMYFUNCTION("""COMPUTED_VALUE"""),1)</f>
        <v>1</v>
      </c>
      <c r="I492" s="1">
        <f ca="1">IFERROR(__xludf.DUMMYFUNCTION("""COMPUTED_VALUE"""),2)</f>
        <v>2</v>
      </c>
      <c r="J492" s="1">
        <f ca="1">IFERROR(__xludf.DUMMYFUNCTION("""COMPUTED_VALUE"""),0)</f>
        <v>0</v>
      </c>
      <c r="K492" s="1" t="str">
        <f ca="1">IFERROR(__xludf.DUMMYFUNCTION("""COMPUTED_VALUE"""),"Fall")</f>
        <v>Fall</v>
      </c>
      <c r="L492" s="1" t="str">
        <f ca="1">IFERROR(__xludf.DUMMYFUNCTION("""COMPUTED_VALUE"""),"Richmond")</f>
        <v>Richmond</v>
      </c>
      <c r="M492" s="1" t="str">
        <f ca="1">IFERROR(__xludf.DUMMYFUNCTION("""COMPUTED_VALUE"""),"VA")</f>
        <v>VA</v>
      </c>
      <c r="N492" s="1" t="str">
        <f ca="1">IFERROR(__xludf.DUMMYFUNCTION("""COMPUTED_VALUE"""),"Elementary")</f>
        <v>Elementary</v>
      </c>
      <c r="O492" s="1" t="str">
        <f ca="1">IFERROR(__xludf.DUMMYFUNCTION("""COMPUTED_VALUE"""),"Front of School")</f>
        <v>Front of School</v>
      </c>
      <c r="P492" s="1" t="str">
        <f ca="1">IFERROR(__xludf.DUMMYFUNCTION("""COMPUTED_VALUE"""),"Outside on School Property")</f>
        <v>Outside on School Property</v>
      </c>
      <c r="Q492" s="1" t="str">
        <f ca="1">IFERROR(__xludf.DUMMYFUNCTION("""COMPUTED_VALUE"""),"Yes")</f>
        <v>Yes</v>
      </c>
      <c r="R492" s="1" t="str">
        <f ca="1">IFERROR(__xludf.DUMMYFUNCTION("""COMPUTED_VALUE"""),"Afternoon Classes")</f>
        <v>Afternoon Classes</v>
      </c>
      <c r="S492" s="5">
        <f ca="1">IFERROR(__xludf.DUMMYFUNCTION("""COMPUTED_VALUE"""),0.59375)</f>
        <v>0.59375</v>
      </c>
      <c r="T492" s="1">
        <f ca="1">IFERROR(__xludf.DUMMYFUNCTION("""COMPUTED_VALUE"""),1)</f>
        <v>1</v>
      </c>
      <c r="U492" s="1" t="str">
        <f ca="1">IFERROR(__xludf.DUMMYFUNCTION("""COMPUTED_VALUE"""),"Two adults shot in front of school before dismissal")</f>
        <v>Two adults shot in front of school before dismissal</v>
      </c>
      <c r="V492" s="1" t="str">
        <f ca="1">IFERROR(__xludf.DUMMYFUNCTION("""COMPUTED_VALUE"""),"A woman is dead after being shot outside a Richmond elementary school on Friday. Police told 8News that a fight occurred between two adults in front of Westover Hills Elementary School. Adult man was also wounded.")</f>
        <v>A woman is dead after being shot outside a Richmond elementary school on Friday. Police told 8News that a fight occurred between two adults in front of Westover Hills Elementary School. Adult man was also wounded.</v>
      </c>
      <c r="W492" s="1" t="str">
        <f ca="1">IFERROR(__xludf.DUMMYFUNCTION("""COMPUTED_VALUE"""),"Escalation of Dispute")</f>
        <v>Escalation of Dispute</v>
      </c>
      <c r="X492" s="1" t="str">
        <f ca="1">IFERROR(__xludf.DUMMYFUNCTION("""COMPUTED_VALUE"""),"Victims Targeted")</f>
        <v>Victims Targeted</v>
      </c>
      <c r="Y492" s="1" t="str">
        <f ca="1">IFERROR(__xludf.DUMMYFUNCTION("""COMPUTED_VALUE"""),"No")</f>
        <v>No</v>
      </c>
      <c r="Z492" s="1"/>
      <c r="AA492" s="1" t="str">
        <f ca="1">IFERROR(__xludf.DUMMYFUNCTION("""COMPUTED_VALUE"""),"No")</f>
        <v>No</v>
      </c>
      <c r="AB492" s="1" t="str">
        <f ca="1">IFERROR(__xludf.DUMMYFUNCTION("""COMPUTED_VALUE"""),"No")</f>
        <v>No</v>
      </c>
      <c r="AC492" s="1" t="str">
        <f ca="1">IFERROR(__xludf.DUMMYFUNCTION("""COMPUTED_VALUE"""),"No")</f>
        <v>No</v>
      </c>
      <c r="AD492" s="1" t="str">
        <f ca="1">IFERROR(__xludf.DUMMYFUNCTION("""COMPUTED_VALUE"""),"No")</f>
        <v>No</v>
      </c>
      <c r="AE492" s="1" t="str">
        <f ca="1">IFERROR(__xludf.DUMMYFUNCTION("""COMPUTED_VALUE"""),"No")</f>
        <v>No</v>
      </c>
      <c r="AF492" s="1"/>
      <c r="AG492" s="1" t="str">
        <f ca="1">IFERROR(__xludf.DUMMYFUNCTION("""COMPUTED_VALUE"""),"No")</f>
        <v>No</v>
      </c>
      <c r="AH492" s="1">
        <f ca="1">IFERROR(__xludf.DUMMYFUNCTION("""COMPUTED_VALUE"""),99)</f>
        <v>99</v>
      </c>
    </row>
    <row r="493" spans="1:34" ht="12.5">
      <c r="A493" s="1" t="str">
        <f ca="1">IFERROR(__xludf.DUMMYFUNCTION("""COMPUTED_VALUE"""),"20221014TNRIM")</f>
        <v>20221014TNRIM</v>
      </c>
      <c r="B493" s="1">
        <f ca="1">IFERROR(__xludf.DUMMYFUNCTION("""COMPUTED_VALUE"""),10)</f>
        <v>10</v>
      </c>
      <c r="C493" s="1">
        <f ca="1">IFERROR(__xludf.DUMMYFUNCTION("""COMPUTED_VALUE"""),14)</f>
        <v>14</v>
      </c>
      <c r="D493" s="1">
        <f ca="1">IFERROR(__xludf.DUMMYFUNCTION("""COMPUTED_VALUE"""),2022)</f>
        <v>2022</v>
      </c>
      <c r="E493" s="4">
        <f ca="1">IFERROR(__xludf.DUMMYFUNCTION("""COMPUTED_VALUE"""),44848)</f>
        <v>44848</v>
      </c>
      <c r="F493" s="1" t="str">
        <f ca="1">IFERROR(__xludf.DUMMYFUNCTION("""COMPUTED_VALUE"""),"Riverdale High School")</f>
        <v>Riverdale High School</v>
      </c>
      <c r="G493" s="1">
        <f ca="1">IFERROR(__xludf.DUMMYFUNCTION("""COMPUTED_VALUE"""),0)</f>
        <v>0</v>
      </c>
      <c r="H493" s="1">
        <f ca="1">IFERROR(__xludf.DUMMYFUNCTION("""COMPUTED_VALUE"""),0)</f>
        <v>0</v>
      </c>
      <c r="I493" s="1">
        <f ca="1">IFERROR(__xludf.DUMMYFUNCTION("""COMPUTED_VALUE"""),0)</f>
        <v>0</v>
      </c>
      <c r="J493" s="1">
        <f ca="1">IFERROR(__xludf.DUMMYFUNCTION("""COMPUTED_VALUE"""),0)</f>
        <v>0</v>
      </c>
      <c r="K493" s="1" t="str">
        <f ca="1">IFERROR(__xludf.DUMMYFUNCTION("""COMPUTED_VALUE"""),"Fall")</f>
        <v>Fall</v>
      </c>
      <c r="L493" s="1" t="str">
        <f ca="1">IFERROR(__xludf.DUMMYFUNCTION("""COMPUTED_VALUE"""),"Murfreesboro")</f>
        <v>Murfreesboro</v>
      </c>
      <c r="M493" s="1" t="str">
        <f ca="1">IFERROR(__xludf.DUMMYFUNCTION("""COMPUTED_VALUE"""),"TN")</f>
        <v>TN</v>
      </c>
      <c r="N493" s="1" t="str">
        <f ca="1">IFERROR(__xludf.DUMMYFUNCTION("""COMPUTED_VALUE"""),"High")</f>
        <v>High</v>
      </c>
      <c r="O493" s="1" t="str">
        <f ca="1">IFERROR(__xludf.DUMMYFUNCTION("""COMPUTED_VALUE"""),"Parking Lot")</f>
        <v>Parking Lot</v>
      </c>
      <c r="P493" s="1" t="str">
        <f ca="1">IFERROR(__xludf.DUMMYFUNCTION("""COMPUTED_VALUE"""),"Outside on School Property")</f>
        <v>Outside on School Property</v>
      </c>
      <c r="Q493" s="1" t="str">
        <f ca="1">IFERROR(__xludf.DUMMYFUNCTION("""COMPUTED_VALUE"""),"No")</f>
        <v>No</v>
      </c>
      <c r="R493" s="1" t="str">
        <f ca="1">IFERROR(__xludf.DUMMYFUNCTION("""COMPUTED_VALUE"""),"Sport Event")</f>
        <v>Sport Event</v>
      </c>
      <c r="S493" s="5">
        <f ca="1">IFERROR(__xludf.DUMMYFUNCTION("""COMPUTED_VALUE"""),0.833333333333333)</f>
        <v>0.83333333333333304</v>
      </c>
      <c r="T493" s="1">
        <f ca="1">IFERROR(__xludf.DUMMYFUNCTION("""COMPUTED_VALUE"""),1)</f>
        <v>1</v>
      </c>
      <c r="U493" s="1" t="str">
        <f ca="1">IFERROR(__xludf.DUMMYFUNCTION("""COMPUTED_VALUE"""),"Shots fired in parking lot during football game")</f>
        <v>Shots fired in parking lot during football game</v>
      </c>
      <c r="V493" s="1" t="str">
        <f ca="1">IFERROR(__xludf.DUMMYFUNCTION("""COMPUTED_VALUE"""),"No one suffered injuries during the shooting that was in the school parking lot.  Detective Sgt. Ty Downing said, “We are actively investigating a shooting at a Riverdale High School parking lot during the football game."" While no one was injured, WGNS h"&amp;"as confirmed that a vehicle was hit by the gunfire. The vehicle that sustained damage was parked in the annex parking lot. School resource officers, extra patrol deputies and the Sheriff’s Mounted Patrol Unit provided extra security at the game. Some offi"&amp;"cers immediately responded to the shooting scene. Murfreesboro Police responded to the call.")</f>
        <v>No one suffered injuries during the shooting that was in the school parking lot.  Detective Sgt. Ty Downing said, “We are actively investigating a shooting at a Riverdale High School parking lot during the football game." While no one was injured, WGNS has confirmed that a vehicle was hit by the gunfire. The vehicle that sustained damage was parked in the annex parking lot. School resource officers, extra patrol deputies and the Sheriff’s Mounted Patrol Unit provided extra security at the game. Some officers immediately responded to the shooting scene. Murfreesboro Police responded to the call.</v>
      </c>
      <c r="W493" s="1" t="str">
        <f ca="1">IFERROR(__xludf.DUMMYFUNCTION("""COMPUTED_VALUE"""),"Escalation of Dispute")</f>
        <v>Escalation of Dispute</v>
      </c>
      <c r="X493" s="1" t="str">
        <f ca="1">IFERROR(__xludf.DUMMYFUNCTION("""COMPUTED_VALUE"""),"Victims Targeted")</f>
        <v>Victims Targeted</v>
      </c>
      <c r="Y493" s="1" t="str">
        <f ca="1">IFERROR(__xludf.DUMMYFUNCTION("""COMPUTED_VALUE"""),"No")</f>
        <v>No</v>
      </c>
      <c r="Z493" s="1"/>
      <c r="AA493" s="1" t="str">
        <f ca="1">IFERROR(__xludf.DUMMYFUNCTION("""COMPUTED_VALUE"""),"No")</f>
        <v>No</v>
      </c>
      <c r="AB493" s="1" t="str">
        <f ca="1">IFERROR(__xludf.DUMMYFUNCTION("""COMPUTED_VALUE"""),"No")</f>
        <v>No</v>
      </c>
      <c r="AC493" s="1" t="str">
        <f ca="1">IFERROR(__xludf.DUMMYFUNCTION("""COMPUTED_VALUE"""),"No")</f>
        <v>No</v>
      </c>
      <c r="AD493" s="1" t="str">
        <f ca="1">IFERROR(__xludf.DUMMYFUNCTION("""COMPUTED_VALUE"""),"No")</f>
        <v>No</v>
      </c>
      <c r="AE493" s="1" t="str">
        <f ca="1">IFERROR(__xludf.DUMMYFUNCTION("""COMPUTED_VALUE"""),"No")</f>
        <v>No</v>
      </c>
      <c r="AF493" s="1"/>
      <c r="AG493" s="1" t="str">
        <f ca="1">IFERROR(__xludf.DUMMYFUNCTION("""COMPUTED_VALUE"""),"No")</f>
        <v>No</v>
      </c>
      <c r="AH493" s="1">
        <f ca="1">IFERROR(__xludf.DUMMYFUNCTION("""COMPUTED_VALUE"""),99)</f>
        <v>99</v>
      </c>
    </row>
    <row r="494" spans="1:34" ht="12.5">
      <c r="A494" s="1" t="str">
        <f ca="1">IFERROR(__xludf.DUMMYFUNCTION("""COMPUTED_VALUE"""),"20221014NCJAG")</f>
        <v>20221014NCJAG</v>
      </c>
      <c r="B494" s="1">
        <f ca="1">IFERROR(__xludf.DUMMYFUNCTION("""COMPUTED_VALUE"""),10)</f>
        <v>10</v>
      </c>
      <c r="C494" s="1">
        <f ca="1">IFERROR(__xludf.DUMMYFUNCTION("""COMPUTED_VALUE"""),14)</f>
        <v>14</v>
      </c>
      <c r="D494" s="1">
        <f ca="1">IFERROR(__xludf.DUMMYFUNCTION("""COMPUTED_VALUE"""),2022)</f>
        <v>2022</v>
      </c>
      <c r="E494" s="4">
        <f ca="1">IFERROR(__xludf.DUMMYFUNCTION("""COMPUTED_VALUE"""),44848)</f>
        <v>44848</v>
      </c>
      <c r="F494" s="1" t="str">
        <f ca="1">IFERROR(__xludf.DUMMYFUNCTION("""COMPUTED_VALUE"""),"James B. Dudley High School")</f>
        <v>James B. Dudley High School</v>
      </c>
      <c r="G494" s="1">
        <f ca="1">IFERROR(__xludf.DUMMYFUNCTION("""COMPUTED_VALUE"""),0)</f>
        <v>0</v>
      </c>
      <c r="H494" s="1">
        <f ca="1">IFERROR(__xludf.DUMMYFUNCTION("""COMPUTED_VALUE"""),1)</f>
        <v>1</v>
      </c>
      <c r="I494" s="1">
        <f ca="1">IFERROR(__xludf.DUMMYFUNCTION("""COMPUTED_VALUE"""),1)</f>
        <v>1</v>
      </c>
      <c r="J494" s="1">
        <f ca="1">IFERROR(__xludf.DUMMYFUNCTION("""COMPUTED_VALUE"""),0)</f>
        <v>0</v>
      </c>
      <c r="K494" s="1" t="str">
        <f ca="1">IFERROR(__xludf.DUMMYFUNCTION("""COMPUTED_VALUE"""),"Fall")</f>
        <v>Fall</v>
      </c>
      <c r="L494" s="1" t="str">
        <f ca="1">IFERROR(__xludf.DUMMYFUNCTION("""COMPUTED_VALUE"""),"Greensboro")</f>
        <v>Greensboro</v>
      </c>
      <c r="M494" s="1" t="str">
        <f ca="1">IFERROR(__xludf.DUMMYFUNCTION("""COMPUTED_VALUE"""),"NC")</f>
        <v>NC</v>
      </c>
      <c r="N494" s="1" t="str">
        <f ca="1">IFERROR(__xludf.DUMMYFUNCTION("""COMPUTED_VALUE"""),"High")</f>
        <v>High</v>
      </c>
      <c r="O494" s="1" t="str">
        <f ca="1">IFERROR(__xludf.DUMMYFUNCTION("""COMPUTED_VALUE"""),"Parking Lot")</f>
        <v>Parking Lot</v>
      </c>
      <c r="P494" s="1" t="str">
        <f ca="1">IFERROR(__xludf.DUMMYFUNCTION("""COMPUTED_VALUE"""),"Outside on School Property")</f>
        <v>Outside on School Property</v>
      </c>
      <c r="Q494" s="1" t="str">
        <f ca="1">IFERROR(__xludf.DUMMYFUNCTION("""COMPUTED_VALUE"""),"No")</f>
        <v>No</v>
      </c>
      <c r="R494" s="1" t="str">
        <f ca="1">IFERROR(__xludf.DUMMYFUNCTION("""COMPUTED_VALUE"""),"Sport Event")</f>
        <v>Sport Event</v>
      </c>
      <c r="S494" s="5">
        <f ca="1">IFERROR(__xludf.DUMMYFUNCTION("""COMPUTED_VALUE"""),0.927777777777777)</f>
        <v>0.92777777777777704</v>
      </c>
      <c r="T494" s="1">
        <f ca="1">IFERROR(__xludf.DUMMYFUNCTION("""COMPUTED_VALUE"""),1)</f>
        <v>1</v>
      </c>
      <c r="U494" s="1" t="str">
        <f ca="1">IFERROR(__xludf.DUMMYFUNCTION("""COMPUTED_VALUE"""),"Man shot after football game")</f>
        <v>Man shot after football game</v>
      </c>
      <c r="V494" s="1" t="str">
        <f ca="1">IFERROR(__xludf.DUMMYFUNCTION("""COMPUTED_VALUE"""),"Adult male was shot and critically injured in the parking lot of the school after a football game. Police arrested 3 people are recovered an AR-15 rifle and stolen handgun.")</f>
        <v>Adult male was shot and critically injured in the parking lot of the school after a football game. Police arrested 3 people are recovered an AR-15 rifle and stolen handgun.</v>
      </c>
      <c r="W494" s="1" t="str">
        <f ca="1">IFERROR(__xludf.DUMMYFUNCTION("""COMPUTED_VALUE"""),"Escalation of Dispute")</f>
        <v>Escalation of Dispute</v>
      </c>
      <c r="X494" s="1" t="str">
        <f ca="1">IFERROR(__xludf.DUMMYFUNCTION("""COMPUTED_VALUE"""),"Victims Targeted")</f>
        <v>Victims Targeted</v>
      </c>
      <c r="Y494" s="1" t="str">
        <f ca="1">IFERROR(__xludf.DUMMYFUNCTION("""COMPUTED_VALUE"""),"Yes")</f>
        <v>Yes</v>
      </c>
      <c r="Z494" s="1"/>
      <c r="AA494" s="1" t="str">
        <f ca="1">IFERROR(__xludf.DUMMYFUNCTION("""COMPUTED_VALUE"""),"No")</f>
        <v>No</v>
      </c>
      <c r="AB494" s="1" t="str">
        <f ca="1">IFERROR(__xludf.DUMMYFUNCTION("""COMPUTED_VALUE"""),"No")</f>
        <v>No</v>
      </c>
      <c r="AC494" s="1" t="str">
        <f ca="1">IFERROR(__xludf.DUMMYFUNCTION("""COMPUTED_VALUE"""),"No")</f>
        <v>No</v>
      </c>
      <c r="AD494" s="1" t="str">
        <f ca="1">IFERROR(__xludf.DUMMYFUNCTION("""COMPUTED_VALUE"""),"No")</f>
        <v>No</v>
      </c>
      <c r="AE494" s="1" t="str">
        <f ca="1">IFERROR(__xludf.DUMMYFUNCTION("""COMPUTED_VALUE"""),"No")</f>
        <v>No</v>
      </c>
      <c r="AF494" s="1"/>
      <c r="AG494" s="1" t="str">
        <f ca="1">IFERROR(__xludf.DUMMYFUNCTION("""COMPUTED_VALUE"""),"No")</f>
        <v>No</v>
      </c>
      <c r="AH494" s="1">
        <f ca="1">IFERROR(__xludf.DUMMYFUNCTION("""COMPUTED_VALUE"""),99)</f>
        <v>99</v>
      </c>
    </row>
    <row r="495" spans="1:34" ht="12.5">
      <c r="A495" s="1" t="str">
        <f ca="1">IFERROR(__xludf.DUMMYFUNCTION("""COMPUTED_VALUE"""),"20221014LAJHA")</f>
        <v>20221014LAJHA</v>
      </c>
      <c r="B495" s="1">
        <f ca="1">IFERROR(__xludf.DUMMYFUNCTION("""COMPUTED_VALUE"""),10)</f>
        <v>10</v>
      </c>
      <c r="C495" s="1">
        <f ca="1">IFERROR(__xludf.DUMMYFUNCTION("""COMPUTED_VALUE"""),14)</f>
        <v>14</v>
      </c>
      <c r="D495" s="1">
        <f ca="1">IFERROR(__xludf.DUMMYFUNCTION("""COMPUTED_VALUE"""),2022)</f>
        <v>2022</v>
      </c>
      <c r="E495" s="4">
        <f ca="1">IFERROR(__xludf.DUMMYFUNCTION("""COMPUTED_VALUE"""),44848)</f>
        <v>44848</v>
      </c>
      <c r="F495" s="1" t="str">
        <f ca="1">IFERROR(__xludf.DUMMYFUNCTION("""COMPUTED_VALUE"""),"J.H. Williams Middle School")</f>
        <v>J.H. Williams Middle School</v>
      </c>
      <c r="G495" s="1">
        <f ca="1">IFERROR(__xludf.DUMMYFUNCTION("""COMPUTED_VALUE"""),0)</f>
        <v>0</v>
      </c>
      <c r="H495" s="1">
        <f ca="1">IFERROR(__xludf.DUMMYFUNCTION("""COMPUTED_VALUE"""),0)</f>
        <v>0</v>
      </c>
      <c r="I495" s="1">
        <f ca="1">IFERROR(__xludf.DUMMYFUNCTION("""COMPUTED_VALUE"""),0)</f>
        <v>0</v>
      </c>
      <c r="J495" s="1">
        <f ca="1">IFERROR(__xludf.DUMMYFUNCTION("""COMPUTED_VALUE"""),0)</f>
        <v>0</v>
      </c>
      <c r="K495" s="1" t="str">
        <f ca="1">IFERROR(__xludf.DUMMYFUNCTION("""COMPUTED_VALUE"""),"Fall")</f>
        <v>Fall</v>
      </c>
      <c r="L495" s="1" t="str">
        <f ca="1">IFERROR(__xludf.DUMMYFUNCTION("""COMPUTED_VALUE"""),"Abbeville")</f>
        <v>Abbeville</v>
      </c>
      <c r="M495" s="1" t="str">
        <f ca="1">IFERROR(__xludf.DUMMYFUNCTION("""COMPUTED_VALUE"""),"LA")</f>
        <v>LA</v>
      </c>
      <c r="N495" s="1" t="str">
        <f ca="1">IFERROR(__xludf.DUMMYFUNCTION("""COMPUTED_VALUE"""),"Middle")</f>
        <v>Middle</v>
      </c>
      <c r="O495" s="1" t="str">
        <f ca="1">IFERROR(__xludf.DUMMYFUNCTION("""COMPUTED_VALUE"""),"Front of School")</f>
        <v>Front of School</v>
      </c>
      <c r="P495" s="1" t="str">
        <f ca="1">IFERROR(__xludf.DUMMYFUNCTION("""COMPUTED_VALUE"""),"Outside on School Property")</f>
        <v>Outside on School Property</v>
      </c>
      <c r="Q495" s="1" t="str">
        <f ca="1">IFERROR(__xludf.DUMMYFUNCTION("""COMPUTED_VALUE"""),"No")</f>
        <v>No</v>
      </c>
      <c r="R495" s="1" t="str">
        <f ca="1">IFERROR(__xludf.DUMMYFUNCTION("""COMPUTED_VALUE"""),"Night")</f>
        <v>Night</v>
      </c>
      <c r="S495" s="5">
        <f ca="1">IFERROR(__xludf.DUMMYFUNCTION("""COMPUTED_VALUE"""),0.875)</f>
        <v>0.875</v>
      </c>
      <c r="T495" s="1">
        <f ca="1">IFERROR(__xludf.DUMMYFUNCTION("""COMPUTED_VALUE"""),1)</f>
        <v>1</v>
      </c>
      <c r="U495" s="1" t="str">
        <f ca="1">IFERROR(__xludf.DUMMYFUNCTION("""COMPUTED_VALUE"""),"Shots fired in front of school")</f>
        <v>Shots fired in front of school</v>
      </c>
      <c r="V495" s="1" t="str">
        <f ca="1">IFERROR(__xludf.DUMMYFUNCTION("""COMPUTED_VALUE"""),"Shots fired in front of school")</f>
        <v>Shots fired in front of school</v>
      </c>
      <c r="W495" s="1"/>
      <c r="X495" s="1"/>
      <c r="Y495" s="1"/>
      <c r="Z495" s="1"/>
      <c r="AA495" s="1" t="str">
        <f ca="1">IFERROR(__xludf.DUMMYFUNCTION("""COMPUTED_VALUE"""),"No")</f>
        <v>No</v>
      </c>
      <c r="AB495" s="1" t="str">
        <f ca="1">IFERROR(__xludf.DUMMYFUNCTION("""COMPUTED_VALUE"""),"No")</f>
        <v>No</v>
      </c>
      <c r="AC495" s="1" t="str">
        <f ca="1">IFERROR(__xludf.DUMMYFUNCTION("""COMPUTED_VALUE"""),"No")</f>
        <v>No</v>
      </c>
      <c r="AD495" s="1" t="str">
        <f ca="1">IFERROR(__xludf.DUMMYFUNCTION("""COMPUTED_VALUE"""),"No")</f>
        <v>No</v>
      </c>
      <c r="AE495" s="1" t="str">
        <f ca="1">IFERROR(__xludf.DUMMYFUNCTION("""COMPUTED_VALUE"""),"No")</f>
        <v>No</v>
      </c>
      <c r="AF495" s="1"/>
      <c r="AG495" s="1" t="str">
        <f ca="1">IFERROR(__xludf.DUMMYFUNCTION("""COMPUTED_VALUE"""),"No")</f>
        <v>No</v>
      </c>
      <c r="AH495" s="1">
        <f ca="1">IFERROR(__xludf.DUMMYFUNCTION("""COMPUTED_VALUE"""),99)</f>
        <v>99</v>
      </c>
    </row>
    <row r="496" spans="1:34" ht="12.5">
      <c r="A496" s="1" t="str">
        <f ca="1">IFERROR(__xludf.DUMMYFUNCTION("""COMPUTED_VALUE"""),"20221014LABOB")</f>
        <v>20221014LABOB</v>
      </c>
      <c r="B496" s="1">
        <f ca="1">IFERROR(__xludf.DUMMYFUNCTION("""COMPUTED_VALUE"""),10)</f>
        <v>10</v>
      </c>
      <c r="C496" s="1">
        <f ca="1">IFERROR(__xludf.DUMMYFUNCTION("""COMPUTED_VALUE"""),14)</f>
        <v>14</v>
      </c>
      <c r="D496" s="1">
        <f ca="1">IFERROR(__xludf.DUMMYFUNCTION("""COMPUTED_VALUE"""),2022)</f>
        <v>2022</v>
      </c>
      <c r="E496" s="4">
        <f ca="1">IFERROR(__xludf.DUMMYFUNCTION("""COMPUTED_VALUE"""),44848)</f>
        <v>44848</v>
      </c>
      <c r="F496" s="1" t="str">
        <f ca="1">IFERROR(__xludf.DUMMYFUNCTION("""COMPUTED_VALUE"""),"Bogalusa High School")</f>
        <v>Bogalusa High School</v>
      </c>
      <c r="G496" s="1">
        <f ca="1">IFERROR(__xludf.DUMMYFUNCTION("""COMPUTED_VALUE"""),0)</f>
        <v>0</v>
      </c>
      <c r="H496" s="1">
        <f ca="1">IFERROR(__xludf.DUMMYFUNCTION("""COMPUTED_VALUE"""),0)</f>
        <v>0</v>
      </c>
      <c r="I496" s="1">
        <f ca="1">IFERROR(__xludf.DUMMYFUNCTION("""COMPUTED_VALUE"""),0)</f>
        <v>0</v>
      </c>
      <c r="J496" s="1">
        <f ca="1">IFERROR(__xludf.DUMMYFUNCTION("""COMPUTED_VALUE"""),1)</f>
        <v>1</v>
      </c>
      <c r="K496" s="1" t="str">
        <f ca="1">IFERROR(__xludf.DUMMYFUNCTION("""COMPUTED_VALUE"""),"Fall")</f>
        <v>Fall</v>
      </c>
      <c r="L496" s="1" t="str">
        <f ca="1">IFERROR(__xludf.DUMMYFUNCTION("""COMPUTED_VALUE"""),"Bogalusa")</f>
        <v>Bogalusa</v>
      </c>
      <c r="M496" s="1" t="str">
        <f ca="1">IFERROR(__xludf.DUMMYFUNCTION("""COMPUTED_VALUE"""),"LA")</f>
        <v>LA</v>
      </c>
      <c r="N496" s="1" t="str">
        <f ca="1">IFERROR(__xludf.DUMMYFUNCTION("""COMPUTED_VALUE"""),"High")</f>
        <v>High</v>
      </c>
      <c r="O496" s="1" t="str">
        <f ca="1">IFERROR(__xludf.DUMMYFUNCTION("""COMPUTED_VALUE"""),"Football Field/Track")</f>
        <v>Football Field/Track</v>
      </c>
      <c r="P496" s="1" t="str">
        <f ca="1">IFERROR(__xludf.DUMMYFUNCTION("""COMPUTED_VALUE"""),"Outside on School Property")</f>
        <v>Outside on School Property</v>
      </c>
      <c r="Q496" s="1" t="str">
        <f ca="1">IFERROR(__xludf.DUMMYFUNCTION("""COMPUTED_VALUE"""),"No")</f>
        <v>No</v>
      </c>
      <c r="R496" s="1" t="str">
        <f ca="1">IFERROR(__xludf.DUMMYFUNCTION("""COMPUTED_VALUE"""),"Sport Event")</f>
        <v>Sport Event</v>
      </c>
      <c r="S496" s="5">
        <f ca="1">IFERROR(__xludf.DUMMYFUNCTION("""COMPUTED_VALUE"""),0.875)</f>
        <v>0.875</v>
      </c>
      <c r="T496" s="1">
        <f ca="1">IFERROR(__xludf.DUMMYFUNCTION("""COMPUTED_VALUE"""),1)</f>
        <v>1</v>
      </c>
      <c r="U496" s="1" t="str">
        <f ca="1">IFERROR(__xludf.DUMMYFUNCTION("""COMPUTED_VALUE"""),"Teen fatally shot next to football field during game when three people (including the victim) fired shots")</f>
        <v>Teen fatally shot next to football field during game when three people (including the victim) fired shots</v>
      </c>
      <c r="V496" s="1" t="str">
        <f ca="1">IFERROR(__xludf.DUMMYFUNCTION("""COMPUTED_VALUE"""),"The shooting happened outside of the Bogalusa football stadium during a matchup between Bogalusa High School and Jewel Sumner High School. The police chief told WDSU the victim was initially taken to the hospital in critical condition. According to a post"&amp;" on the City of Bogalusa's Facebook page, the situation was quickly under control because of the strong police presence at the game. Bogalusa Police Department said a 15-year-old was shot and killed outside of a football game on Friday night. Officers rep"&amp;"ort that approximately 18 to 20 shots were fired and that there were three people exchanging gunfire. One of them was the victim.")</f>
        <v>The shooting happened outside of the Bogalusa football stadium during a matchup between Bogalusa High School and Jewel Sumner High School. The police chief told WDSU the victim was initially taken to the hospital in critical condition. According to a post on the City of Bogalusa's Facebook page, the situation was quickly under control because of the strong police presence at the game. Bogalusa Police Department said a 15-year-old was shot and killed outside of a football game on Friday night. Officers report that approximately 18 to 20 shots were fired and that there were three people exchanging gunfire. One of them was the victim.</v>
      </c>
      <c r="W496" s="1"/>
      <c r="X496" s="1"/>
      <c r="Y496" s="1" t="str">
        <f ca="1">IFERROR(__xludf.DUMMYFUNCTION("""COMPUTED_VALUE"""),"No")</f>
        <v>No</v>
      </c>
      <c r="Z496" s="1"/>
      <c r="AA496" s="1" t="str">
        <f ca="1">IFERROR(__xludf.DUMMYFUNCTION("""COMPUTED_VALUE"""),"No")</f>
        <v>No</v>
      </c>
      <c r="AB496" s="1" t="str">
        <f ca="1">IFERROR(__xludf.DUMMYFUNCTION("""COMPUTED_VALUE"""),"No")</f>
        <v>No</v>
      </c>
      <c r="AC496" s="1" t="str">
        <f ca="1">IFERROR(__xludf.DUMMYFUNCTION("""COMPUTED_VALUE"""),"No")</f>
        <v>No</v>
      </c>
      <c r="AD496" s="1" t="str">
        <f ca="1">IFERROR(__xludf.DUMMYFUNCTION("""COMPUTED_VALUE"""),"No")</f>
        <v>No</v>
      </c>
      <c r="AE496" s="1" t="str">
        <f ca="1">IFERROR(__xludf.DUMMYFUNCTION("""COMPUTED_VALUE"""),"No")</f>
        <v>No</v>
      </c>
      <c r="AF496" s="1"/>
      <c r="AG496" s="1" t="str">
        <f ca="1">IFERROR(__xludf.DUMMYFUNCTION("""COMPUTED_VALUE"""),"No")</f>
        <v>No</v>
      </c>
      <c r="AH496" s="1">
        <f ca="1">IFERROR(__xludf.DUMMYFUNCTION("""COMPUTED_VALUE"""),18)</f>
        <v>18</v>
      </c>
    </row>
    <row r="497" spans="1:34" ht="12.5">
      <c r="A497" s="1" t="str">
        <f ca="1">IFERROR(__xludf.DUMMYFUNCTION("""COMPUTED_VALUE"""),"20221013TXJOD")</f>
        <v>20221013TXJOD</v>
      </c>
      <c r="B497" s="1">
        <f ca="1">IFERROR(__xludf.DUMMYFUNCTION("""COMPUTED_VALUE"""),10)</f>
        <v>10</v>
      </c>
      <c r="C497" s="1">
        <f ca="1">IFERROR(__xludf.DUMMYFUNCTION("""COMPUTED_VALUE"""),13)</f>
        <v>13</v>
      </c>
      <c r="D497" s="1">
        <f ca="1">IFERROR(__xludf.DUMMYFUNCTION("""COMPUTED_VALUE"""),2022)</f>
        <v>2022</v>
      </c>
      <c r="E497" s="4">
        <f ca="1">IFERROR(__xludf.DUMMYFUNCTION("""COMPUTED_VALUE"""),44847)</f>
        <v>44847</v>
      </c>
      <c r="F497" s="1" t="str">
        <f ca="1">IFERROR(__xludf.DUMMYFUNCTION("""COMPUTED_VALUE"""),"John W Carpenter Elementary School")</f>
        <v>John W Carpenter Elementary School</v>
      </c>
      <c r="G497" s="1">
        <f ca="1">IFERROR(__xludf.DUMMYFUNCTION("""COMPUTED_VALUE"""),0)</f>
        <v>0</v>
      </c>
      <c r="H497" s="1">
        <f ca="1">IFERROR(__xludf.DUMMYFUNCTION("""COMPUTED_VALUE"""),0)</f>
        <v>0</v>
      </c>
      <c r="I497" s="1">
        <f ca="1">IFERROR(__xludf.DUMMYFUNCTION("""COMPUTED_VALUE"""),0)</f>
        <v>0</v>
      </c>
      <c r="J497" s="1">
        <f ca="1">IFERROR(__xludf.DUMMYFUNCTION("""COMPUTED_VALUE"""),0)</f>
        <v>0</v>
      </c>
      <c r="K497" s="1" t="str">
        <f ca="1">IFERROR(__xludf.DUMMYFUNCTION("""COMPUTED_VALUE"""),"Fall")</f>
        <v>Fall</v>
      </c>
      <c r="L497" s="1" t="str">
        <f ca="1">IFERROR(__xludf.DUMMYFUNCTION("""COMPUTED_VALUE"""),"Dallas")</f>
        <v>Dallas</v>
      </c>
      <c r="M497" s="1" t="str">
        <f ca="1">IFERROR(__xludf.DUMMYFUNCTION("""COMPUTED_VALUE"""),"TX")</f>
        <v>TX</v>
      </c>
      <c r="N497" s="1" t="str">
        <f ca="1">IFERROR(__xludf.DUMMYFUNCTION("""COMPUTED_VALUE"""),"Elementary")</f>
        <v>Elementary</v>
      </c>
      <c r="O497" s="1" t="str">
        <f ca="1">IFERROR(__xludf.DUMMYFUNCTION("""COMPUTED_VALUE"""),"Cafeteria")</f>
        <v>Cafeteria</v>
      </c>
      <c r="P497" s="1" t="str">
        <f ca="1">IFERROR(__xludf.DUMMYFUNCTION("""COMPUTED_VALUE"""),"Inside School Building")</f>
        <v>Inside School Building</v>
      </c>
      <c r="Q497" s="1" t="str">
        <f ca="1">IFERROR(__xludf.DUMMYFUNCTION("""COMPUTED_VALUE"""),"Yes")</f>
        <v>Yes</v>
      </c>
      <c r="R497" s="1" t="str">
        <f ca="1">IFERROR(__xludf.DUMMYFUNCTION("""COMPUTED_VALUE"""),"School Start")</f>
        <v>School Start</v>
      </c>
      <c r="S497" s="5">
        <f ca="1">IFERROR(__xludf.DUMMYFUNCTION("""COMPUTED_VALUE"""),0.333333333333333)</f>
        <v>0.33333333333333298</v>
      </c>
      <c r="T497" s="1">
        <f ca="1">IFERROR(__xludf.DUMMYFUNCTION("""COMPUTED_VALUE"""),1)</f>
        <v>1</v>
      </c>
      <c r="U497" s="1" t="str">
        <f ca="1">IFERROR(__xludf.DUMMYFUNCTION("""COMPUTED_VALUE"""),"Student fired shot while showing off handgun in cafeteria")</f>
        <v>Student fired shot while showing off handgun in cafeteria</v>
      </c>
      <c r="V497" s="1" t="str">
        <f ca="1">IFERROR(__xludf.DUMMYFUNCTION("""COMPUTED_VALUE"""),"Student fired shot while showing off handgun in cafeteria")</f>
        <v>Student fired shot while showing off handgun in cafeteria</v>
      </c>
      <c r="W497" s="1" t="str">
        <f ca="1">IFERROR(__xludf.DUMMYFUNCTION("""COMPUTED_VALUE"""),"Accidental")</f>
        <v>Accidental</v>
      </c>
      <c r="X497" s="1" t="str">
        <f ca="1">IFERROR(__xludf.DUMMYFUNCTION("""COMPUTED_VALUE"""),"Neither")</f>
        <v>Neither</v>
      </c>
      <c r="Y497" s="1" t="str">
        <f ca="1">IFERROR(__xludf.DUMMYFUNCTION("""COMPUTED_VALUE"""),"No")</f>
        <v>No</v>
      </c>
      <c r="Z497" s="1"/>
      <c r="AA497" s="1" t="str">
        <f ca="1">IFERROR(__xludf.DUMMYFUNCTION("""COMPUTED_VALUE"""),"No")</f>
        <v>No</v>
      </c>
      <c r="AB497" s="1" t="str">
        <f ca="1">IFERROR(__xludf.DUMMYFUNCTION("""COMPUTED_VALUE"""),"No")</f>
        <v>No</v>
      </c>
      <c r="AC497" s="1" t="str">
        <f ca="1">IFERROR(__xludf.DUMMYFUNCTION("""COMPUTED_VALUE"""),"No")</f>
        <v>No</v>
      </c>
      <c r="AD497" s="1" t="str">
        <f ca="1">IFERROR(__xludf.DUMMYFUNCTION("""COMPUTED_VALUE"""),"No")</f>
        <v>No</v>
      </c>
      <c r="AE497" s="1" t="str">
        <f ca="1">IFERROR(__xludf.DUMMYFUNCTION("""COMPUTED_VALUE"""),"No")</f>
        <v>No</v>
      </c>
      <c r="AF497" s="1"/>
      <c r="AG497" s="1" t="str">
        <f ca="1">IFERROR(__xludf.DUMMYFUNCTION("""COMPUTED_VALUE"""),"No")</f>
        <v>No</v>
      </c>
      <c r="AH497" s="1">
        <f ca="1">IFERROR(__xludf.DUMMYFUNCTION("""COMPUTED_VALUE"""),1)</f>
        <v>1</v>
      </c>
    </row>
    <row r="498" spans="1:34" ht="12.5">
      <c r="A498" s="1" t="str">
        <f ca="1">IFERROR(__xludf.DUMMYFUNCTION("""COMPUTED_VALUE"""),"20221013NYSCB")</f>
        <v>20221013NYSCB</v>
      </c>
      <c r="B498" s="1">
        <f ca="1">IFERROR(__xludf.DUMMYFUNCTION("""COMPUTED_VALUE"""),10)</f>
        <v>10</v>
      </c>
      <c r="C498" s="1">
        <f ca="1">IFERROR(__xludf.DUMMYFUNCTION("""COMPUTED_VALUE"""),13)</f>
        <v>13</v>
      </c>
      <c r="D498" s="1">
        <f ca="1">IFERROR(__xludf.DUMMYFUNCTION("""COMPUTED_VALUE"""),2022)</f>
        <v>2022</v>
      </c>
      <c r="E498" s="4">
        <f ca="1">IFERROR(__xludf.DUMMYFUNCTION("""COMPUTED_VALUE"""),44847)</f>
        <v>44847</v>
      </c>
      <c r="F498" s="1" t="str">
        <f ca="1">IFERROR(__xludf.DUMMYFUNCTION("""COMPUTED_VALUE"""),"School Bus")</f>
        <v>School Bus</v>
      </c>
      <c r="G498" s="1">
        <f ca="1">IFERROR(__xludf.DUMMYFUNCTION("""COMPUTED_VALUE"""),0)</f>
        <v>0</v>
      </c>
      <c r="H498" s="1">
        <f ca="1">IFERROR(__xludf.DUMMYFUNCTION("""COMPUTED_VALUE"""),1)</f>
        <v>1</v>
      </c>
      <c r="I498" s="1">
        <f ca="1">IFERROR(__xludf.DUMMYFUNCTION("""COMPUTED_VALUE"""),1)</f>
        <v>1</v>
      </c>
      <c r="J498" s="1">
        <f ca="1">IFERROR(__xludf.DUMMYFUNCTION("""COMPUTED_VALUE"""),0)</f>
        <v>0</v>
      </c>
      <c r="K498" s="1" t="str">
        <f ca="1">IFERROR(__xludf.DUMMYFUNCTION("""COMPUTED_VALUE"""),"Fall")</f>
        <v>Fall</v>
      </c>
      <c r="L498" s="1" t="str">
        <f ca="1">IFERROR(__xludf.DUMMYFUNCTION("""COMPUTED_VALUE"""),"Brooklyn")</f>
        <v>Brooklyn</v>
      </c>
      <c r="M498" s="1" t="str">
        <f ca="1">IFERROR(__xludf.DUMMYFUNCTION("""COMPUTED_VALUE"""),"NY")</f>
        <v>NY</v>
      </c>
      <c r="N498" s="1" t="str">
        <f ca="1">IFERROR(__xludf.DUMMYFUNCTION("""COMPUTED_VALUE"""),"Other")</f>
        <v>Other</v>
      </c>
      <c r="O498" s="1" t="str">
        <f ca="1">IFERROR(__xludf.DUMMYFUNCTION("""COMPUTED_VALUE"""),"School Bus")</f>
        <v>School Bus</v>
      </c>
      <c r="P498" s="1" t="str">
        <f ca="1">IFERROR(__xludf.DUMMYFUNCTION("""COMPUTED_VALUE"""),"School Bus")</f>
        <v>School Bus</v>
      </c>
      <c r="Q498" s="1" t="str">
        <f ca="1">IFERROR(__xludf.DUMMYFUNCTION("""COMPUTED_VALUE"""),"Yes")</f>
        <v>Yes</v>
      </c>
      <c r="R498" s="1" t="str">
        <f ca="1">IFERROR(__xludf.DUMMYFUNCTION("""COMPUTED_VALUE"""),"Morning Classes")</f>
        <v>Morning Classes</v>
      </c>
      <c r="S498" s="5">
        <f ca="1">IFERROR(__xludf.DUMMYFUNCTION("""COMPUTED_VALUE"""),0.458333333333333)</f>
        <v>0.45833333333333298</v>
      </c>
      <c r="T498" s="1">
        <f ca="1">IFERROR(__xludf.DUMMYFUNCTION("""COMPUTED_VALUE"""),1)</f>
        <v>1</v>
      </c>
      <c r="U498" s="1" t="str">
        <f ca="1">IFERROR(__xludf.DUMMYFUNCTION("""COMPUTED_VALUE"""),"Man shot multiple times on school bus")</f>
        <v>Man shot multiple times on school bus</v>
      </c>
      <c r="V498" s="1" t="str">
        <f ca="1">IFERROR(__xludf.DUMMYFUNCTION("""COMPUTED_VALUE"""),"Police are asking for the public’s help identifying the man they say shot a man inside an unoccupied, off-duty school bus in Kensington. Authorities say that at around 11 a.m. on Thursday, Oct. 13,  a 30-year-old man was sitting inside a parked, unoccupie"&amp;"d, off-duty school bus opposite of 660 McDonald Avenue when two unidentified perps got on and shot the man multiple times. The victim sustained gunshot wounds to his jaw, nose, bicep and chest, and was taken to Maimonides Medical Center, where he is liste"&amp;"d in stable condition.")</f>
        <v>Police are asking for the public’s help identifying the man they say shot a man inside an unoccupied, off-duty school bus in Kensington. Authorities say that at around 11 a.m. on Thursday, Oct. 13,  a 30-year-old man was sitting inside a parked, unoccupied, off-duty school bus opposite of 660 McDonald Avenue when two unidentified perps got on and shot the man multiple times. The victim sustained gunshot wounds to his jaw, nose, bicep and chest, and was taken to Maimonides Medical Center, where he is listed in stable condition.</v>
      </c>
      <c r="W498" s="1"/>
      <c r="X498" s="1" t="str">
        <f ca="1">IFERROR(__xludf.DUMMYFUNCTION("""COMPUTED_VALUE"""),"Victims Targeted")</f>
        <v>Victims Targeted</v>
      </c>
      <c r="Y498" s="1" t="str">
        <f ca="1">IFERROR(__xludf.DUMMYFUNCTION("""COMPUTED_VALUE"""),"Yes")</f>
        <v>Yes</v>
      </c>
      <c r="Z498" s="1" t="str">
        <f ca="1">IFERROR(__xludf.DUMMYFUNCTION("""COMPUTED_VALUE"""),"Two shooters")</f>
        <v>Two shooters</v>
      </c>
      <c r="AA498" s="1" t="str">
        <f ca="1">IFERROR(__xludf.DUMMYFUNCTION("""COMPUTED_VALUE"""),"No")</f>
        <v>No</v>
      </c>
      <c r="AB498" s="1" t="str">
        <f ca="1">IFERROR(__xludf.DUMMYFUNCTION("""COMPUTED_VALUE"""),"No")</f>
        <v>No</v>
      </c>
      <c r="AC498" s="1" t="str">
        <f ca="1">IFERROR(__xludf.DUMMYFUNCTION("""COMPUTED_VALUE"""),"No")</f>
        <v>No</v>
      </c>
      <c r="AD498" s="1" t="str">
        <f ca="1">IFERROR(__xludf.DUMMYFUNCTION("""COMPUTED_VALUE"""),"No")</f>
        <v>No</v>
      </c>
      <c r="AE498" s="1" t="str">
        <f ca="1">IFERROR(__xludf.DUMMYFUNCTION("""COMPUTED_VALUE"""),"No")</f>
        <v>No</v>
      </c>
      <c r="AF498" s="1"/>
      <c r="AG498" s="1" t="str">
        <f ca="1">IFERROR(__xludf.DUMMYFUNCTION("""COMPUTED_VALUE"""),"No")</f>
        <v>No</v>
      </c>
      <c r="AH498" s="1">
        <f ca="1">IFERROR(__xludf.DUMMYFUNCTION("""COMPUTED_VALUE"""),99)</f>
        <v>99</v>
      </c>
    </row>
    <row r="499" spans="1:34" ht="12.5">
      <c r="A499" s="1" t="str">
        <f ca="1">IFERROR(__xludf.DUMMYFUNCTION("""COMPUTED_VALUE"""),"20221012NCCAC")</f>
        <v>20221012NCCAC</v>
      </c>
      <c r="B499" s="1">
        <f ca="1">IFERROR(__xludf.DUMMYFUNCTION("""COMPUTED_VALUE"""),10)</f>
        <v>10</v>
      </c>
      <c r="C499" s="1">
        <f ca="1">IFERROR(__xludf.DUMMYFUNCTION("""COMPUTED_VALUE"""),12)</f>
        <v>12</v>
      </c>
      <c r="D499" s="1">
        <f ca="1">IFERROR(__xludf.DUMMYFUNCTION("""COMPUTED_VALUE"""),2022)</f>
        <v>2022</v>
      </c>
      <c r="E499" s="4">
        <f ca="1">IFERROR(__xludf.DUMMYFUNCTION("""COMPUTED_VALUE"""),44846)</f>
        <v>44846</v>
      </c>
      <c r="F499" s="1" t="str">
        <f ca="1">IFERROR(__xludf.DUMMYFUNCTION("""COMPUTED_VALUE"""),"Cary High School")</f>
        <v>Cary High School</v>
      </c>
      <c r="G499" s="1">
        <f ca="1">IFERROR(__xludf.DUMMYFUNCTION("""COMPUTED_VALUE"""),0)</f>
        <v>0</v>
      </c>
      <c r="H499" s="1">
        <f ca="1">IFERROR(__xludf.DUMMYFUNCTION("""COMPUTED_VALUE"""),0)</f>
        <v>0</v>
      </c>
      <c r="I499" s="1">
        <f ca="1">IFERROR(__xludf.DUMMYFUNCTION("""COMPUTED_VALUE"""),0)</f>
        <v>0</v>
      </c>
      <c r="J499" s="1">
        <f ca="1">IFERROR(__xludf.DUMMYFUNCTION("""COMPUTED_VALUE"""),0)</f>
        <v>0</v>
      </c>
      <c r="K499" s="1" t="str">
        <f ca="1">IFERROR(__xludf.DUMMYFUNCTION("""COMPUTED_VALUE"""),"Fall")</f>
        <v>Fall</v>
      </c>
      <c r="L499" s="1" t="str">
        <f ca="1">IFERROR(__xludf.DUMMYFUNCTION("""COMPUTED_VALUE"""),"Cary")</f>
        <v>Cary</v>
      </c>
      <c r="M499" s="1" t="str">
        <f ca="1">IFERROR(__xludf.DUMMYFUNCTION("""COMPUTED_VALUE"""),"NC")</f>
        <v>NC</v>
      </c>
      <c r="N499" s="1" t="str">
        <f ca="1">IFERROR(__xludf.DUMMYFUNCTION("""COMPUTED_VALUE"""),"High")</f>
        <v>High</v>
      </c>
      <c r="O499" s="1" t="str">
        <f ca="1">IFERROR(__xludf.DUMMYFUNCTION("""COMPUTED_VALUE"""),"Bathroom")</f>
        <v>Bathroom</v>
      </c>
      <c r="P499" s="1" t="str">
        <f ca="1">IFERROR(__xludf.DUMMYFUNCTION("""COMPUTED_VALUE"""),"Outside on School Property")</f>
        <v>Outside on School Property</v>
      </c>
      <c r="Q499" s="1" t="str">
        <f ca="1">IFERROR(__xludf.DUMMYFUNCTION("""COMPUTED_VALUE"""),"Yes")</f>
        <v>Yes</v>
      </c>
      <c r="R499" s="1" t="str">
        <f ca="1">IFERROR(__xludf.DUMMYFUNCTION("""COMPUTED_VALUE"""),"Afternoon Classes")</f>
        <v>Afternoon Classes</v>
      </c>
      <c r="S499" s="5">
        <f ca="1">IFERROR(__xludf.DUMMYFUNCTION("""COMPUTED_VALUE"""),0.576388888888888)</f>
        <v>0.57638888888888795</v>
      </c>
      <c r="T499" s="1">
        <f ca="1">IFERROR(__xludf.DUMMYFUNCTION("""COMPUTED_VALUE"""),1)</f>
        <v>1</v>
      </c>
      <c r="U499" s="1" t="str">
        <f ca="1">IFERROR(__xludf.DUMMYFUNCTION("""COMPUTED_VALUE"""),"Shot fired in school bathroom")</f>
        <v>Shot fired in school bathroom</v>
      </c>
      <c r="V499" s="1" t="str">
        <f ca="1">IFERROR(__xludf.DUMMYFUNCTION("""COMPUTED_VALUE"""),"Two 14-year-old students were arrested after a shot was fired in the school bathroom breaking a toilet. School went on Code Red lockdown and parents rushed to the school. No injuries.")</f>
        <v>Two 14-year-old students were arrested after a shot was fired in the school bathroom breaking a toilet. School went on Code Red lockdown and parents rushed to the school. No injuries.</v>
      </c>
      <c r="W499" s="1" t="str">
        <f ca="1">IFERROR(__xludf.DUMMYFUNCTION("""COMPUTED_VALUE"""),"Accidental")</f>
        <v>Accidental</v>
      </c>
      <c r="X499" s="1"/>
      <c r="Y499" s="1" t="str">
        <f ca="1">IFERROR(__xludf.DUMMYFUNCTION("""COMPUTED_VALUE"""),"Yes")</f>
        <v>Yes</v>
      </c>
      <c r="Z499" s="1" t="str">
        <f ca="1">IFERROR(__xludf.DUMMYFUNCTION("""COMPUTED_VALUE"""),"Two students")</f>
        <v>Two students</v>
      </c>
      <c r="AA499" s="1" t="str">
        <f ca="1">IFERROR(__xludf.DUMMYFUNCTION("""COMPUTED_VALUE"""),"No")</f>
        <v>No</v>
      </c>
      <c r="AB499" s="1" t="str">
        <f ca="1">IFERROR(__xludf.DUMMYFUNCTION("""COMPUTED_VALUE"""),"No")</f>
        <v>No</v>
      </c>
      <c r="AC499" s="1" t="str">
        <f ca="1">IFERROR(__xludf.DUMMYFUNCTION("""COMPUTED_VALUE"""),"No")</f>
        <v>No</v>
      </c>
      <c r="AD499" s="1" t="str">
        <f ca="1">IFERROR(__xludf.DUMMYFUNCTION("""COMPUTED_VALUE"""),"No")</f>
        <v>No</v>
      </c>
      <c r="AE499" s="1" t="str">
        <f ca="1">IFERROR(__xludf.DUMMYFUNCTION("""COMPUTED_VALUE"""),"No")</f>
        <v>No</v>
      </c>
      <c r="AF499" s="1"/>
      <c r="AG499" s="1" t="str">
        <f ca="1">IFERROR(__xludf.DUMMYFUNCTION("""COMPUTED_VALUE"""),"No")</f>
        <v>No</v>
      </c>
      <c r="AH499" s="1">
        <f ca="1">IFERROR(__xludf.DUMMYFUNCTION("""COMPUTED_VALUE"""),1)</f>
        <v>1</v>
      </c>
    </row>
    <row r="500" spans="1:34" ht="12.5">
      <c r="A500" s="1" t="str">
        <f ca="1">IFERROR(__xludf.DUMMYFUNCTION("""COMPUTED_VALUE"""),"20221011ORREP")</f>
        <v>20221011ORREP</v>
      </c>
      <c r="B500" s="1">
        <f ca="1">IFERROR(__xludf.DUMMYFUNCTION("""COMPUTED_VALUE"""),10)</f>
        <v>10</v>
      </c>
      <c r="C500" s="1">
        <f ca="1">IFERROR(__xludf.DUMMYFUNCTION("""COMPUTED_VALUE"""),11)</f>
        <v>11</v>
      </c>
      <c r="D500" s="1">
        <f ca="1">IFERROR(__xludf.DUMMYFUNCTION("""COMPUTED_VALUE"""),2022)</f>
        <v>2022</v>
      </c>
      <c r="E500" s="4">
        <f ca="1">IFERROR(__xludf.DUMMYFUNCTION("""COMPUTED_VALUE"""),44845)</f>
        <v>44845</v>
      </c>
      <c r="F500" s="1" t="str">
        <f ca="1">IFERROR(__xludf.DUMMYFUNCTION("""COMPUTED_VALUE"""),"Reynolds High School")</f>
        <v>Reynolds High School</v>
      </c>
      <c r="G500" s="1">
        <f ca="1">IFERROR(__xludf.DUMMYFUNCTION("""COMPUTED_VALUE"""),0)</f>
        <v>0</v>
      </c>
      <c r="H500" s="1">
        <f ca="1">IFERROR(__xludf.DUMMYFUNCTION("""COMPUTED_VALUE"""),0)</f>
        <v>0</v>
      </c>
      <c r="I500" s="1">
        <f ca="1">IFERROR(__xludf.DUMMYFUNCTION("""COMPUTED_VALUE"""),0)</f>
        <v>0</v>
      </c>
      <c r="J500" s="1">
        <f ca="1">IFERROR(__xludf.DUMMYFUNCTION("""COMPUTED_VALUE"""),0)</f>
        <v>0</v>
      </c>
      <c r="K500" s="1" t="str">
        <f ca="1">IFERROR(__xludf.DUMMYFUNCTION("""COMPUTED_VALUE"""),"Fall")</f>
        <v>Fall</v>
      </c>
      <c r="L500" s="1" t="str">
        <f ca="1">IFERROR(__xludf.DUMMYFUNCTION("""COMPUTED_VALUE"""),"Portland")</f>
        <v>Portland</v>
      </c>
      <c r="M500" s="1" t="str">
        <f ca="1">IFERROR(__xludf.DUMMYFUNCTION("""COMPUTED_VALUE"""),"OR")</f>
        <v>OR</v>
      </c>
      <c r="N500" s="1" t="str">
        <f ca="1">IFERROR(__xludf.DUMMYFUNCTION("""COMPUTED_VALUE"""),"High")</f>
        <v>High</v>
      </c>
      <c r="O500" s="1" t="str">
        <f ca="1">IFERROR(__xludf.DUMMYFUNCTION("""COMPUTED_VALUE"""),"Parking Lot")</f>
        <v>Parking Lot</v>
      </c>
      <c r="P500" s="1" t="str">
        <f ca="1">IFERROR(__xludf.DUMMYFUNCTION("""COMPUTED_VALUE"""),"Outside on School Property")</f>
        <v>Outside on School Property</v>
      </c>
      <c r="Q500" s="1" t="str">
        <f ca="1">IFERROR(__xludf.DUMMYFUNCTION("""COMPUTED_VALUE"""),"Yes")</f>
        <v>Yes</v>
      </c>
      <c r="R500" s="1" t="str">
        <f ca="1">IFERROR(__xludf.DUMMYFUNCTION("""COMPUTED_VALUE"""),"Lunch")</f>
        <v>Lunch</v>
      </c>
      <c r="S500" s="5">
        <f ca="1">IFERROR(__xludf.DUMMYFUNCTION("""COMPUTED_VALUE"""),0.5)</f>
        <v>0.5</v>
      </c>
      <c r="T500" s="1">
        <f ca="1">IFERROR(__xludf.DUMMYFUNCTION("""COMPUTED_VALUE"""),1)</f>
        <v>1</v>
      </c>
      <c r="U500" s="1" t="str">
        <f ca="1">IFERROR(__xludf.DUMMYFUNCTION("""COMPUTED_VALUE"""),"Shots fired in parking lot during lunch.")</f>
        <v>Shots fired in parking lot during lunch.</v>
      </c>
      <c r="V500" s="1" t="str">
        <f ca="1">IFERROR(__xludf.DUMMYFUNCTION("""COMPUTED_VALUE"""),"Shots were fired in the parking lot of the school during a dispute between two people. SRO heard the shots, ran to the parking lot, and saw a vehicle driving away. School was not locked down because the shooter fled the area. Police said the shooting was "&amp;"unrelated to the school and the school was not targeted. Students were outside on the campus when the shooting occurred.")</f>
        <v>Shots were fired in the parking lot of the school during a dispute between two people. SRO heard the shots, ran to the parking lot, and saw a vehicle driving away. School was not locked down because the shooter fled the area. Police said the shooting was unrelated to the school and the school was not targeted. Students were outside on the campus when the shooting occurred.</v>
      </c>
      <c r="W500" s="1" t="str">
        <f ca="1">IFERROR(__xludf.DUMMYFUNCTION("""COMPUTED_VALUE"""),"Escalation of Dispute")</f>
        <v>Escalation of Dispute</v>
      </c>
      <c r="X500" s="1"/>
      <c r="Y500" s="1" t="str">
        <f ca="1">IFERROR(__xludf.DUMMYFUNCTION("""COMPUTED_VALUE"""),"No")</f>
        <v>No</v>
      </c>
      <c r="Z500" s="1"/>
      <c r="AA500" s="1" t="str">
        <f ca="1">IFERROR(__xludf.DUMMYFUNCTION("""COMPUTED_VALUE"""),"No")</f>
        <v>No</v>
      </c>
      <c r="AB500" s="1" t="str">
        <f ca="1">IFERROR(__xludf.DUMMYFUNCTION("""COMPUTED_VALUE"""),"No")</f>
        <v>No</v>
      </c>
      <c r="AC500" s="1" t="str">
        <f ca="1">IFERROR(__xludf.DUMMYFUNCTION("""COMPUTED_VALUE"""),"No")</f>
        <v>No</v>
      </c>
      <c r="AD500" s="1" t="str">
        <f ca="1">IFERROR(__xludf.DUMMYFUNCTION("""COMPUTED_VALUE"""),"No")</f>
        <v>No</v>
      </c>
      <c r="AE500" s="1" t="str">
        <f ca="1">IFERROR(__xludf.DUMMYFUNCTION("""COMPUTED_VALUE"""),"No")</f>
        <v>No</v>
      </c>
      <c r="AF500" s="1"/>
      <c r="AG500" s="1" t="str">
        <f ca="1">IFERROR(__xludf.DUMMYFUNCTION("""COMPUTED_VALUE"""),"No")</f>
        <v>No</v>
      </c>
      <c r="AH500" s="1">
        <f ca="1">IFERROR(__xludf.DUMMYFUNCTION("""COMPUTED_VALUE"""),99)</f>
        <v>99</v>
      </c>
    </row>
    <row r="501" spans="1:34" ht="12.5">
      <c r="A501" s="1" t="str">
        <f ca="1">IFERROR(__xludf.DUMMYFUNCTION("""COMPUTED_VALUE"""),"20221011KSSAS")</f>
        <v>20221011KSSAS</v>
      </c>
      <c r="B501" s="1">
        <f ca="1">IFERROR(__xludf.DUMMYFUNCTION("""COMPUTED_VALUE"""),10)</f>
        <v>10</v>
      </c>
      <c r="C501" s="1">
        <f ca="1">IFERROR(__xludf.DUMMYFUNCTION("""COMPUTED_VALUE"""),11)</f>
        <v>11</v>
      </c>
      <c r="D501" s="1">
        <f ca="1">IFERROR(__xludf.DUMMYFUNCTION("""COMPUTED_VALUE"""),2022)</f>
        <v>2022</v>
      </c>
      <c r="E501" s="4">
        <f ca="1">IFERROR(__xludf.DUMMYFUNCTION("""COMPUTED_VALUE"""),44845)</f>
        <v>44845</v>
      </c>
      <c r="F501" s="1" t="str">
        <f ca="1">IFERROR(__xludf.DUMMYFUNCTION("""COMPUTED_VALUE"""),"Salina South High School")</f>
        <v>Salina South High School</v>
      </c>
      <c r="G501" s="1">
        <f ca="1">IFERROR(__xludf.DUMMYFUNCTION("""COMPUTED_VALUE"""),0)</f>
        <v>0</v>
      </c>
      <c r="H501" s="1">
        <f ca="1">IFERROR(__xludf.DUMMYFUNCTION("""COMPUTED_VALUE"""),0)</f>
        <v>0</v>
      </c>
      <c r="I501" s="1">
        <f ca="1">IFERROR(__xludf.DUMMYFUNCTION("""COMPUTED_VALUE"""),0)</f>
        <v>0</v>
      </c>
      <c r="J501" s="1">
        <f ca="1">IFERROR(__xludf.DUMMYFUNCTION("""COMPUTED_VALUE"""),0)</f>
        <v>0</v>
      </c>
      <c r="K501" s="1" t="str">
        <f ca="1">IFERROR(__xludf.DUMMYFUNCTION("""COMPUTED_VALUE"""),"Fall")</f>
        <v>Fall</v>
      </c>
      <c r="L501" s="1" t="str">
        <f ca="1">IFERROR(__xludf.DUMMYFUNCTION("""COMPUTED_VALUE"""),"Salina")</f>
        <v>Salina</v>
      </c>
      <c r="M501" s="1" t="str">
        <f ca="1">IFERROR(__xludf.DUMMYFUNCTION("""COMPUTED_VALUE"""),"KS")</f>
        <v>KS</v>
      </c>
      <c r="N501" s="1" t="str">
        <f ca="1">IFERROR(__xludf.DUMMYFUNCTION("""COMPUTED_VALUE"""),"High")</f>
        <v>High</v>
      </c>
      <c r="O501" s="1" t="str">
        <f ca="1">IFERROR(__xludf.DUMMYFUNCTION("""COMPUTED_VALUE"""),"Parking Lot")</f>
        <v>Parking Lot</v>
      </c>
      <c r="P501" s="1" t="str">
        <f ca="1">IFERROR(__xludf.DUMMYFUNCTION("""COMPUTED_VALUE"""),"Outside on School Property")</f>
        <v>Outside on School Property</v>
      </c>
      <c r="Q501" s="1" t="str">
        <f ca="1">IFERROR(__xludf.DUMMYFUNCTION("""COMPUTED_VALUE"""),"Yes")</f>
        <v>Yes</v>
      </c>
      <c r="R501" s="1" t="str">
        <f ca="1">IFERROR(__xludf.DUMMYFUNCTION("""COMPUTED_VALUE"""),"Dismissal")</f>
        <v>Dismissal</v>
      </c>
      <c r="S501" s="5">
        <f ca="1">IFERROR(__xludf.DUMMYFUNCTION("""COMPUTED_VALUE"""),0.625)</f>
        <v>0.625</v>
      </c>
      <c r="T501" s="1">
        <f ca="1">IFERROR(__xludf.DUMMYFUNCTION("""COMPUTED_VALUE"""),1)</f>
        <v>1</v>
      </c>
      <c r="U501" s="1" t="str">
        <f ca="1">IFERROR(__xludf.DUMMYFUNCTION("""COMPUTED_VALUE"""),"Shots fired during dismissal,")</f>
        <v>Shots fired during dismissal,</v>
      </c>
      <c r="V501" s="1" t="str">
        <f ca="1">IFERROR(__xludf.DUMMYFUNCTION("""COMPUTED_VALUE"""),"Shot fired in the parking lot during dismissal. No injuries. A vehicle occupied by multiple teens was leaving the west parking lot of the school. Just before turning east onto E. Magnolia, an occupant of the vehicle was allegedly seen firing a weapon from"&amp;" the passenger side of the car in the direction of the school. The alleged driver of the vehicle is a 17-year-old boy, who is a student at the school. Detectives also claim that a 16-year-old who is not a student at Salina South was the person who fired t"&amp;"he handgun and that a 15-year-old student at Salina South was identified as having possessed the gun in the vehicle while on school property. ")</f>
        <v xml:space="preserve">Shot fired in the parking lot during dismissal. No injuries. A vehicle occupied by multiple teens was leaving the west parking lot of the school. Just before turning east onto E. Magnolia, an occupant of the vehicle was allegedly seen firing a weapon from the passenger side of the car in the direction of the school. The alleged driver of the vehicle is a 17-year-old boy, who is a student at the school. Detectives also claim that a 16-year-old who is not a student at Salina South was the person who fired the handgun and that a 15-year-old student at Salina South was identified as having possessed the gun in the vehicle while on school property. </v>
      </c>
      <c r="W501" s="1"/>
      <c r="X501" s="1"/>
      <c r="Y501" s="1" t="str">
        <f ca="1">IFERROR(__xludf.DUMMYFUNCTION("""COMPUTED_VALUE"""),"No")</f>
        <v>No</v>
      </c>
      <c r="Z501" s="1"/>
      <c r="AA501" s="1" t="str">
        <f ca="1">IFERROR(__xludf.DUMMYFUNCTION("""COMPUTED_VALUE"""),"No")</f>
        <v>No</v>
      </c>
      <c r="AB501" s="1" t="str">
        <f ca="1">IFERROR(__xludf.DUMMYFUNCTION("""COMPUTED_VALUE"""),"No")</f>
        <v>No</v>
      </c>
      <c r="AC501" s="1" t="str">
        <f ca="1">IFERROR(__xludf.DUMMYFUNCTION("""COMPUTED_VALUE"""),"No")</f>
        <v>No</v>
      </c>
      <c r="AD501" s="1" t="str">
        <f ca="1">IFERROR(__xludf.DUMMYFUNCTION("""COMPUTED_VALUE"""),"No")</f>
        <v>No</v>
      </c>
      <c r="AE501" s="1" t="str">
        <f ca="1">IFERROR(__xludf.DUMMYFUNCTION("""COMPUTED_VALUE"""),"No")</f>
        <v>No</v>
      </c>
      <c r="AF501" s="1"/>
      <c r="AG501" s="1" t="str">
        <f ca="1">IFERROR(__xludf.DUMMYFUNCTION("""COMPUTED_VALUE"""),"No")</f>
        <v>No</v>
      </c>
      <c r="AH501" s="1">
        <f ca="1">IFERROR(__xludf.DUMMYFUNCTION("""COMPUTED_VALUE"""),1)</f>
        <v>1</v>
      </c>
    </row>
    <row r="502" spans="1:34" ht="12.5">
      <c r="A502" s="1" t="str">
        <f ca="1">IFERROR(__xludf.DUMMYFUNCTION("""COMPUTED_VALUE"""),"20221010WIJAM")</f>
        <v>20221010WIJAM</v>
      </c>
      <c r="B502" s="1">
        <f ca="1">IFERROR(__xludf.DUMMYFUNCTION("""COMPUTED_VALUE"""),10)</f>
        <v>10</v>
      </c>
      <c r="C502" s="1">
        <f ca="1">IFERROR(__xludf.DUMMYFUNCTION("""COMPUTED_VALUE"""),10)</f>
        <v>10</v>
      </c>
      <c r="D502" s="1">
        <f ca="1">IFERROR(__xludf.DUMMYFUNCTION("""COMPUTED_VALUE"""),2022)</f>
        <v>2022</v>
      </c>
      <c r="E502" s="4">
        <f ca="1">IFERROR(__xludf.DUMMYFUNCTION("""COMPUTED_VALUE"""),44844)</f>
        <v>44844</v>
      </c>
      <c r="F502" s="1" t="str">
        <f ca="1">IFERROR(__xludf.DUMMYFUNCTION("""COMPUTED_VALUE"""),"James Madison Academic Campus")</f>
        <v>James Madison Academic Campus</v>
      </c>
      <c r="G502" s="1">
        <f ca="1">IFERROR(__xludf.DUMMYFUNCTION("""COMPUTED_VALUE"""),0)</f>
        <v>0</v>
      </c>
      <c r="H502" s="1">
        <f ca="1">IFERROR(__xludf.DUMMYFUNCTION("""COMPUTED_VALUE"""),1)</f>
        <v>1</v>
      </c>
      <c r="I502" s="1">
        <f ca="1">IFERROR(__xludf.DUMMYFUNCTION("""COMPUTED_VALUE"""),1)</f>
        <v>1</v>
      </c>
      <c r="J502" s="1">
        <f ca="1">IFERROR(__xludf.DUMMYFUNCTION("""COMPUTED_VALUE"""),0)</f>
        <v>0</v>
      </c>
      <c r="K502" s="1" t="str">
        <f ca="1">IFERROR(__xludf.DUMMYFUNCTION("""COMPUTED_VALUE"""),"Fall")</f>
        <v>Fall</v>
      </c>
      <c r="L502" s="1" t="str">
        <f ca="1">IFERROR(__xludf.DUMMYFUNCTION("""COMPUTED_VALUE"""),"Milwaukee")</f>
        <v>Milwaukee</v>
      </c>
      <c r="M502" s="1" t="str">
        <f ca="1">IFERROR(__xludf.DUMMYFUNCTION("""COMPUTED_VALUE"""),"WI")</f>
        <v>WI</v>
      </c>
      <c r="N502" s="1" t="str">
        <f ca="1">IFERROR(__xludf.DUMMYFUNCTION("""COMPUTED_VALUE"""),"High")</f>
        <v>High</v>
      </c>
      <c r="O502" s="1" t="str">
        <f ca="1">IFERROR(__xludf.DUMMYFUNCTION("""COMPUTED_VALUE"""),"Front of School")</f>
        <v>Front of School</v>
      </c>
      <c r="P502" s="1" t="str">
        <f ca="1">IFERROR(__xludf.DUMMYFUNCTION("""COMPUTED_VALUE"""),"Outside on School Property")</f>
        <v>Outside on School Property</v>
      </c>
      <c r="Q502" s="1" t="str">
        <f ca="1">IFERROR(__xludf.DUMMYFUNCTION("""COMPUTED_VALUE"""),"Yes")</f>
        <v>Yes</v>
      </c>
      <c r="R502" s="1" t="str">
        <f ca="1">IFERROR(__xludf.DUMMYFUNCTION("""COMPUTED_VALUE"""),"Dismissal")</f>
        <v>Dismissal</v>
      </c>
      <c r="S502" s="5">
        <f ca="1">IFERROR(__xludf.DUMMYFUNCTION("""COMPUTED_VALUE"""),0.625)</f>
        <v>0.625</v>
      </c>
      <c r="T502" s="1">
        <f ca="1">IFERROR(__xludf.DUMMYFUNCTION("""COMPUTED_VALUE"""),1)</f>
        <v>1</v>
      </c>
      <c r="U502" s="1" t="str">
        <f ca="1">IFERROR(__xludf.DUMMYFUNCTION("""COMPUTED_VALUE"""),"Shots fired during dismissal, teen wounded")</f>
        <v>Shots fired during dismissal, teen wounded</v>
      </c>
      <c r="V502" s="1" t="str">
        <f ca="1">IFERROR(__xludf.DUMMYFUNCTION("""COMPUTED_VALUE"""),"5 shots were fired in front of the school while students were waiting for buses. Students ran back into the school. A teen (non-student) was wounded. Crowd of students were outside Madison High (WI) when a teen hit a student with a gun. 
Gun fell to the "&amp;"ground and was picked up by someone else – who fired shot at the attacker.Teens involved had ongoing dispute from a fight over the summer.")</f>
        <v>5 shots were fired in front of the school while students were waiting for buses. Students ran back into the school. A teen (non-student) was wounded. Crowd of students were outside Madison High (WI) when a teen hit a student with a gun. 
Gun fell to the ground and was picked up by someone else – who fired shot at the attacker.Teens involved had ongoing dispute from a fight over the summer.</v>
      </c>
      <c r="W502" s="1"/>
      <c r="X502" s="1"/>
      <c r="Y502" s="1" t="str">
        <f ca="1">IFERROR(__xludf.DUMMYFUNCTION("""COMPUTED_VALUE"""),"No")</f>
        <v>No</v>
      </c>
      <c r="Z502" s="1"/>
      <c r="AA502" s="1" t="str">
        <f ca="1">IFERROR(__xludf.DUMMYFUNCTION("""COMPUTED_VALUE"""),"No")</f>
        <v>No</v>
      </c>
      <c r="AB502" s="1" t="str">
        <f ca="1">IFERROR(__xludf.DUMMYFUNCTION("""COMPUTED_VALUE"""),"No")</f>
        <v>No</v>
      </c>
      <c r="AC502" s="1" t="str">
        <f ca="1">IFERROR(__xludf.DUMMYFUNCTION("""COMPUTED_VALUE"""),"No")</f>
        <v>No</v>
      </c>
      <c r="AD502" s="1" t="str">
        <f ca="1">IFERROR(__xludf.DUMMYFUNCTION("""COMPUTED_VALUE"""),"No")</f>
        <v>No</v>
      </c>
      <c r="AE502" s="1" t="str">
        <f ca="1">IFERROR(__xludf.DUMMYFUNCTION("""COMPUTED_VALUE"""),"No")</f>
        <v>No</v>
      </c>
      <c r="AF502" s="1"/>
      <c r="AG502" s="1" t="str">
        <f ca="1">IFERROR(__xludf.DUMMYFUNCTION("""COMPUTED_VALUE"""),"No")</f>
        <v>No</v>
      </c>
      <c r="AH502" s="1">
        <f ca="1">IFERROR(__xludf.DUMMYFUNCTION("""COMPUTED_VALUE"""),5)</f>
        <v>5</v>
      </c>
    </row>
    <row r="503" spans="1:34" ht="12.5">
      <c r="A503" s="1" t="str">
        <f ca="1">IFERROR(__xludf.DUMMYFUNCTION("""COMPUTED_VALUE"""),"20221009MAWAA")</f>
        <v>20221009MAWAA</v>
      </c>
      <c r="B503" s="1">
        <f ca="1">IFERROR(__xludf.DUMMYFUNCTION("""COMPUTED_VALUE"""),10)</f>
        <v>10</v>
      </c>
      <c r="C503" s="1">
        <f ca="1">IFERROR(__xludf.DUMMYFUNCTION("""COMPUTED_VALUE"""),9)</f>
        <v>9</v>
      </c>
      <c r="D503" s="1">
        <f ca="1">IFERROR(__xludf.DUMMYFUNCTION("""COMPUTED_VALUE"""),2022)</f>
        <v>2022</v>
      </c>
      <c r="E503" s="4">
        <f ca="1">IFERROR(__xludf.DUMMYFUNCTION("""COMPUTED_VALUE"""),44843)</f>
        <v>44843</v>
      </c>
      <c r="F503" s="1" t="str">
        <f ca="1">IFERROR(__xludf.DUMMYFUNCTION("""COMPUTED_VALUE"""),"Walton Elementary School")</f>
        <v>Walton Elementary School</v>
      </c>
      <c r="G503" s="1">
        <f ca="1">IFERROR(__xludf.DUMMYFUNCTION("""COMPUTED_VALUE"""),0)</f>
        <v>0</v>
      </c>
      <c r="H503" s="1">
        <f ca="1">IFERROR(__xludf.DUMMYFUNCTION("""COMPUTED_VALUE"""),1)</f>
        <v>1</v>
      </c>
      <c r="I503" s="1">
        <f ca="1">IFERROR(__xludf.DUMMYFUNCTION("""COMPUTED_VALUE"""),1)</f>
        <v>1</v>
      </c>
      <c r="J503" s="1">
        <f ca="1">IFERROR(__xludf.DUMMYFUNCTION("""COMPUTED_VALUE"""),0)</f>
        <v>0</v>
      </c>
      <c r="K503" s="1" t="str">
        <f ca="1">IFERROR(__xludf.DUMMYFUNCTION("""COMPUTED_VALUE"""),"Fall")</f>
        <v>Fall</v>
      </c>
      <c r="L503" s="1" t="str">
        <f ca="1">IFERROR(__xludf.DUMMYFUNCTION("""COMPUTED_VALUE"""),"Auburn")</f>
        <v>Auburn</v>
      </c>
      <c r="M503" s="1" t="str">
        <f ca="1">IFERROR(__xludf.DUMMYFUNCTION("""COMPUTED_VALUE"""),"ME")</f>
        <v>ME</v>
      </c>
      <c r="N503" s="1" t="str">
        <f ca="1">IFERROR(__xludf.DUMMYFUNCTION("""COMPUTED_VALUE"""),"Elementary")</f>
        <v>Elementary</v>
      </c>
      <c r="O503" s="1" t="str">
        <f ca="1">IFERROR(__xludf.DUMMYFUNCTION("""COMPUTED_VALUE"""),"Beside Building")</f>
        <v>Beside Building</v>
      </c>
      <c r="P503" s="1" t="str">
        <f ca="1">IFERROR(__xludf.DUMMYFUNCTION("""COMPUTED_VALUE"""),"Outside on School Property")</f>
        <v>Outside on School Property</v>
      </c>
      <c r="Q503" s="1" t="str">
        <f ca="1">IFERROR(__xludf.DUMMYFUNCTION("""COMPUTED_VALUE"""),"No")</f>
        <v>No</v>
      </c>
      <c r="R503" s="1" t="str">
        <f ca="1">IFERROR(__xludf.DUMMYFUNCTION("""COMPUTED_VALUE"""),"Night")</f>
        <v>Night</v>
      </c>
      <c r="S503" s="5">
        <f ca="1">IFERROR(__xludf.DUMMYFUNCTION("""COMPUTED_VALUE"""),0.0833333333333333)</f>
        <v>8.3333333333333301E-2</v>
      </c>
      <c r="T503" s="1">
        <f ca="1">IFERROR(__xludf.DUMMYFUNCTION("""COMPUTED_VALUE"""),1)</f>
        <v>1</v>
      </c>
      <c r="U503" s="1" t="str">
        <f ca="1">IFERROR(__xludf.DUMMYFUNCTION("""COMPUTED_VALUE"""),"Man shot near door to elementary school")</f>
        <v>Man shot near door to elementary school</v>
      </c>
      <c r="V503" s="1" t="str">
        <f ca="1">IFERROR(__xludf.DUMMYFUNCTION("""COMPUTED_VALUE"""),"Auburn and Lewiston police are investigating a shooting that occurred Sunday morning outside an elementary school. Lewiston Police received the call around 2 a.m. from a man saying he’d been shot. Officers found the 20-year-old suffering from a gunshot wo"&amp;"und to his stomach. He was taken to Central Maine Medical Center with non-life-threatening injuries. Auburn Police say they found evidence of the shooting at the rear entrance at the Walton Elementary School.")</f>
        <v>Auburn and Lewiston police are investigating a shooting that occurred Sunday morning outside an elementary school. Lewiston Police received the call around 2 a.m. from a man saying he’d been shot. Officers found the 20-year-old suffering from a gunshot wound to his stomach. He was taken to Central Maine Medical Center with non-life-threatening injuries. Auburn Police say they found evidence of the shooting at the rear entrance at the Walton Elementary School.</v>
      </c>
      <c r="W503" s="1"/>
      <c r="X503" s="1"/>
      <c r="Y503" s="1" t="str">
        <f ca="1">IFERROR(__xludf.DUMMYFUNCTION("""COMPUTED_VALUE"""),"No")</f>
        <v>No</v>
      </c>
      <c r="Z503" s="1"/>
      <c r="AA503" s="1" t="str">
        <f ca="1">IFERROR(__xludf.DUMMYFUNCTION("""COMPUTED_VALUE"""),"No")</f>
        <v>No</v>
      </c>
      <c r="AB503" s="1" t="str">
        <f ca="1">IFERROR(__xludf.DUMMYFUNCTION("""COMPUTED_VALUE"""),"No")</f>
        <v>No</v>
      </c>
      <c r="AC503" s="1" t="str">
        <f ca="1">IFERROR(__xludf.DUMMYFUNCTION("""COMPUTED_VALUE"""),"No")</f>
        <v>No</v>
      </c>
      <c r="AD503" s="1" t="str">
        <f ca="1">IFERROR(__xludf.DUMMYFUNCTION("""COMPUTED_VALUE"""),"No")</f>
        <v>No</v>
      </c>
      <c r="AE503" s="1" t="str">
        <f ca="1">IFERROR(__xludf.DUMMYFUNCTION("""COMPUTED_VALUE"""),"No")</f>
        <v>No</v>
      </c>
      <c r="AF503" s="1"/>
      <c r="AG503" s="1" t="str">
        <f ca="1">IFERROR(__xludf.DUMMYFUNCTION("""COMPUTED_VALUE"""),"No")</f>
        <v>No</v>
      </c>
      <c r="AH503" s="1"/>
    </row>
    <row r="504" spans="1:34" ht="12.5">
      <c r="A504" s="1" t="str">
        <f ca="1">IFERROR(__xludf.DUMMYFUNCTION("""COMPUTED_VALUE"""),"20221008MOJCK")</f>
        <v>20221008MOJCK</v>
      </c>
      <c r="B504" s="1">
        <f ca="1">IFERROR(__xludf.DUMMYFUNCTION("""COMPUTED_VALUE"""),10)</f>
        <v>10</v>
      </c>
      <c r="C504" s="1">
        <f ca="1">IFERROR(__xludf.DUMMYFUNCTION("""COMPUTED_VALUE"""),8)</f>
        <v>8</v>
      </c>
      <c r="D504" s="1">
        <f ca="1">IFERROR(__xludf.DUMMYFUNCTION("""COMPUTED_VALUE"""),2022)</f>
        <v>2022</v>
      </c>
      <c r="E504" s="4">
        <f ca="1">IFERROR(__xludf.DUMMYFUNCTION("""COMPUTED_VALUE"""),44842)</f>
        <v>44842</v>
      </c>
      <c r="F504" s="1" t="str">
        <f ca="1">IFERROR(__xludf.DUMMYFUNCTION("""COMPUTED_VALUE"""),"J. C. Harmon High School")</f>
        <v>J. C. Harmon High School</v>
      </c>
      <c r="G504" s="1">
        <f ca="1">IFERROR(__xludf.DUMMYFUNCTION("""COMPUTED_VALUE"""),0)</f>
        <v>0</v>
      </c>
      <c r="H504" s="1">
        <f ca="1">IFERROR(__xludf.DUMMYFUNCTION("""COMPUTED_VALUE"""),0)</f>
        <v>0</v>
      </c>
      <c r="I504" s="1">
        <f ca="1">IFERROR(__xludf.DUMMYFUNCTION("""COMPUTED_VALUE"""),0)</f>
        <v>0</v>
      </c>
      <c r="J504" s="1">
        <f ca="1">IFERROR(__xludf.DUMMYFUNCTION("""COMPUTED_VALUE"""),0)</f>
        <v>0</v>
      </c>
      <c r="K504" s="1" t="str">
        <f ca="1">IFERROR(__xludf.DUMMYFUNCTION("""COMPUTED_VALUE"""),"Fall")</f>
        <v>Fall</v>
      </c>
      <c r="L504" s="1" t="str">
        <f ca="1">IFERROR(__xludf.DUMMYFUNCTION("""COMPUTED_VALUE"""),"Kansas City")</f>
        <v>Kansas City</v>
      </c>
      <c r="M504" s="1" t="str">
        <f ca="1">IFERROR(__xludf.DUMMYFUNCTION("""COMPUTED_VALUE"""),"KS")</f>
        <v>KS</v>
      </c>
      <c r="N504" s="1" t="str">
        <f ca="1">IFERROR(__xludf.DUMMYFUNCTION("""COMPUTED_VALUE"""),"High")</f>
        <v>High</v>
      </c>
      <c r="O504" s="1" t="str">
        <f ca="1">IFERROR(__xludf.DUMMYFUNCTION("""COMPUTED_VALUE"""),"Parking Lot")</f>
        <v>Parking Lot</v>
      </c>
      <c r="P504" s="1" t="str">
        <f ca="1">IFERROR(__xludf.DUMMYFUNCTION("""COMPUTED_VALUE"""),"Outside on School Property")</f>
        <v>Outside on School Property</v>
      </c>
      <c r="Q504" s="1" t="str">
        <f ca="1">IFERROR(__xludf.DUMMYFUNCTION("""COMPUTED_VALUE"""),"No")</f>
        <v>No</v>
      </c>
      <c r="R504" s="1" t="str">
        <f ca="1">IFERROR(__xludf.DUMMYFUNCTION("""COMPUTED_VALUE"""),"School Event")</f>
        <v>School Event</v>
      </c>
      <c r="S504" s="5">
        <f ca="1">IFERROR(__xludf.DUMMYFUNCTION("""COMPUTED_VALUE"""),0.888888888888888)</f>
        <v>0.88888888888888795</v>
      </c>
      <c r="T504" s="1">
        <f ca="1">IFERROR(__xludf.DUMMYFUNCTION("""COMPUTED_VALUE"""),1)</f>
        <v>1</v>
      </c>
      <c r="U504" s="1" t="str">
        <f ca="1">IFERROR(__xludf.DUMMYFUNCTION("""COMPUTED_VALUE"""),"Shots fired in parking lot during homecoming dance")</f>
        <v>Shots fired in parking lot during homecoming dance</v>
      </c>
      <c r="V504" s="1" t="str">
        <f ca="1">IFERROR(__xludf.DUMMYFUNCTION("""COMPUTED_VALUE"""),"Following multiple fights, school officials dismissed students from the homecoming dance. Shots were fired in the parking lot. No injuries.")</f>
        <v>Following multiple fights, school officials dismissed students from the homecoming dance. Shots were fired in the parking lot. No injuries.</v>
      </c>
      <c r="W504" s="1" t="str">
        <f ca="1">IFERROR(__xludf.DUMMYFUNCTION("""COMPUTED_VALUE"""),"Escalation of Dispute")</f>
        <v>Escalation of Dispute</v>
      </c>
      <c r="X504" s="1"/>
      <c r="Y504" s="1" t="str">
        <f ca="1">IFERROR(__xludf.DUMMYFUNCTION("""COMPUTED_VALUE"""),"No")</f>
        <v>No</v>
      </c>
      <c r="Z504" s="1"/>
      <c r="AA504" s="1" t="str">
        <f ca="1">IFERROR(__xludf.DUMMYFUNCTION("""COMPUTED_VALUE"""),"No")</f>
        <v>No</v>
      </c>
      <c r="AB504" s="1" t="str">
        <f ca="1">IFERROR(__xludf.DUMMYFUNCTION("""COMPUTED_VALUE"""),"No")</f>
        <v>No</v>
      </c>
      <c r="AC504" s="1" t="str">
        <f ca="1">IFERROR(__xludf.DUMMYFUNCTION("""COMPUTED_VALUE"""),"No")</f>
        <v>No</v>
      </c>
      <c r="AD504" s="1" t="str">
        <f ca="1">IFERROR(__xludf.DUMMYFUNCTION("""COMPUTED_VALUE"""),"No")</f>
        <v>No</v>
      </c>
      <c r="AE504" s="1" t="str">
        <f ca="1">IFERROR(__xludf.DUMMYFUNCTION("""COMPUTED_VALUE"""),"No")</f>
        <v>No</v>
      </c>
      <c r="AF504" s="1"/>
      <c r="AG504" s="1" t="str">
        <f ca="1">IFERROR(__xludf.DUMMYFUNCTION("""COMPUTED_VALUE"""),"No")</f>
        <v>No</v>
      </c>
      <c r="AH504" s="1">
        <f ca="1">IFERROR(__xludf.DUMMYFUNCTION("""COMPUTED_VALUE"""),99)</f>
        <v>99</v>
      </c>
    </row>
    <row r="505" spans="1:34" ht="12.5">
      <c r="A505" s="1" t="str">
        <f ca="1">IFERROR(__xludf.DUMMYFUNCTION("""COMPUTED_VALUE"""),"20221007OHWHT")</f>
        <v>20221007OHWHT</v>
      </c>
      <c r="B505" s="1">
        <f ca="1">IFERROR(__xludf.DUMMYFUNCTION("""COMPUTED_VALUE"""),10)</f>
        <v>10</v>
      </c>
      <c r="C505" s="1">
        <f ca="1">IFERROR(__xludf.DUMMYFUNCTION("""COMPUTED_VALUE"""),7)</f>
        <v>7</v>
      </c>
      <c r="D505" s="1">
        <f ca="1">IFERROR(__xludf.DUMMYFUNCTION("""COMPUTED_VALUE"""),2022)</f>
        <v>2022</v>
      </c>
      <c r="E505" s="4">
        <f ca="1">IFERROR(__xludf.DUMMYFUNCTION("""COMPUTED_VALUE"""),44841)</f>
        <v>44841</v>
      </c>
      <c r="F505" s="1" t="str">
        <f ca="1">IFERROR(__xludf.DUMMYFUNCTION("""COMPUTED_VALUE"""),"Whitmer High School")</f>
        <v>Whitmer High School</v>
      </c>
      <c r="G505" s="1">
        <f ca="1">IFERROR(__xludf.DUMMYFUNCTION("""COMPUTED_VALUE"""),0)</f>
        <v>0</v>
      </c>
      <c r="H505" s="1">
        <f ca="1">IFERROR(__xludf.DUMMYFUNCTION("""COMPUTED_VALUE"""),3)</f>
        <v>3</v>
      </c>
      <c r="I505" s="1">
        <f ca="1">IFERROR(__xludf.DUMMYFUNCTION("""COMPUTED_VALUE"""),3)</f>
        <v>3</v>
      </c>
      <c r="J505" s="1">
        <f ca="1">IFERROR(__xludf.DUMMYFUNCTION("""COMPUTED_VALUE"""),0)</f>
        <v>0</v>
      </c>
      <c r="K505" s="1" t="str">
        <f ca="1">IFERROR(__xludf.DUMMYFUNCTION("""COMPUTED_VALUE"""),"Fall")</f>
        <v>Fall</v>
      </c>
      <c r="L505" s="1" t="str">
        <f ca="1">IFERROR(__xludf.DUMMYFUNCTION("""COMPUTED_VALUE"""),"Toledo")</f>
        <v>Toledo</v>
      </c>
      <c r="M505" s="1" t="str">
        <f ca="1">IFERROR(__xludf.DUMMYFUNCTION("""COMPUTED_VALUE"""),"OH")</f>
        <v>OH</v>
      </c>
      <c r="N505" s="1" t="str">
        <f ca="1">IFERROR(__xludf.DUMMYFUNCTION("""COMPUTED_VALUE"""),"High")</f>
        <v>High</v>
      </c>
      <c r="O505" s="1" t="str">
        <f ca="1">IFERROR(__xludf.DUMMYFUNCTION("""COMPUTED_VALUE"""),"Football Field/Track")</f>
        <v>Football Field/Track</v>
      </c>
      <c r="P505" s="1" t="str">
        <f ca="1">IFERROR(__xludf.DUMMYFUNCTION("""COMPUTED_VALUE"""),"Outside on School Property")</f>
        <v>Outside on School Property</v>
      </c>
      <c r="Q505" s="1" t="str">
        <f ca="1">IFERROR(__xludf.DUMMYFUNCTION("""COMPUTED_VALUE"""),"No")</f>
        <v>No</v>
      </c>
      <c r="R505" s="1" t="str">
        <f ca="1">IFERROR(__xludf.DUMMYFUNCTION("""COMPUTED_VALUE"""),"Sport Event")</f>
        <v>Sport Event</v>
      </c>
      <c r="S505" s="5">
        <f ca="1">IFERROR(__xludf.DUMMYFUNCTION("""COMPUTED_VALUE"""),0.895833333333333)</f>
        <v>0.89583333333333304</v>
      </c>
      <c r="T505" s="1">
        <f ca="1">IFERROR(__xludf.DUMMYFUNCTION("""COMPUTED_VALUE"""),1)</f>
        <v>1</v>
      </c>
      <c r="U505" s="1" t="str">
        <f ca="1">IFERROR(__xludf.DUMMYFUNCTION("""COMPUTED_VALUE"""),"Shots fired during fight near the gate to the football stadium")</f>
        <v>Shots fired during fight near the gate to the football stadium</v>
      </c>
      <c r="V505" s="1" t="str">
        <f ca="1">IFERROR(__xludf.DUMMYFUNCTION("""COMPUTED_VALUE"""),"A Whitmer High School student and two adults -- one male, one female -- were shot outside of the Whitmer High School football stadium Friday night. More than 12 gunshots were heard at the southwest corner stadium near the main entrance during the game and"&amp;" people in the stands were seen fleeing. Several bullet casings were seen scattered on the ground behind the field house.")</f>
        <v>A Whitmer High School student and two adults -- one male, one female -- were shot outside of the Whitmer High School football stadium Friday night. More than 12 gunshots were heard at the southwest corner stadium near the main entrance during the game and people in the stands were seen fleeing. Several bullet casings were seen scattered on the ground behind the field house.</v>
      </c>
      <c r="W505" s="1" t="str">
        <f ca="1">IFERROR(__xludf.DUMMYFUNCTION("""COMPUTED_VALUE"""),"Escalation of Dispute")</f>
        <v>Escalation of Dispute</v>
      </c>
      <c r="X505" s="1" t="str">
        <f ca="1">IFERROR(__xludf.DUMMYFUNCTION("""COMPUTED_VALUE"""),"Both")</f>
        <v>Both</v>
      </c>
      <c r="Y505" s="1" t="str">
        <f ca="1">IFERROR(__xludf.DUMMYFUNCTION("""COMPUTED_VALUE"""),"No")</f>
        <v>No</v>
      </c>
      <c r="Z505" s="1"/>
      <c r="AA505" s="1" t="str">
        <f ca="1">IFERROR(__xludf.DUMMYFUNCTION("""COMPUTED_VALUE"""),"No")</f>
        <v>No</v>
      </c>
      <c r="AB505" s="1" t="str">
        <f ca="1">IFERROR(__xludf.DUMMYFUNCTION("""COMPUTED_VALUE"""),"No")</f>
        <v>No</v>
      </c>
      <c r="AC505" s="1" t="str">
        <f ca="1">IFERROR(__xludf.DUMMYFUNCTION("""COMPUTED_VALUE"""),"No")</f>
        <v>No</v>
      </c>
      <c r="AD505" s="1" t="str">
        <f ca="1">IFERROR(__xludf.DUMMYFUNCTION("""COMPUTED_VALUE"""),"No")</f>
        <v>No</v>
      </c>
      <c r="AE505" s="1" t="str">
        <f ca="1">IFERROR(__xludf.DUMMYFUNCTION("""COMPUTED_VALUE"""),"No")</f>
        <v>No</v>
      </c>
      <c r="AF505" s="1" t="str">
        <f ca="1">IFERROR(__xludf.DUMMYFUNCTION("""COMPUTED_VALUE"""),"No")</f>
        <v>No</v>
      </c>
      <c r="AG505" s="1" t="str">
        <f ca="1">IFERROR(__xludf.DUMMYFUNCTION("""COMPUTED_VALUE"""),"No")</f>
        <v>No</v>
      </c>
      <c r="AH505" s="1">
        <f ca="1">IFERROR(__xludf.DUMMYFUNCTION("""COMPUTED_VALUE"""),12)</f>
        <v>12</v>
      </c>
    </row>
    <row r="506" spans="1:34" ht="12.5">
      <c r="A506" s="1" t="str">
        <f ca="1">IFERROR(__xludf.DUMMYFUNCTION("""COMPUTED_VALUE"""),"20221007NCJHG")</f>
        <v>20221007NCJHG</v>
      </c>
      <c r="B506" s="1">
        <f ca="1">IFERROR(__xludf.DUMMYFUNCTION("""COMPUTED_VALUE"""),10)</f>
        <v>10</v>
      </c>
      <c r="C506" s="1">
        <f ca="1">IFERROR(__xludf.DUMMYFUNCTION("""COMPUTED_VALUE"""),7)</f>
        <v>7</v>
      </c>
      <c r="D506" s="1">
        <f ca="1">IFERROR(__xludf.DUMMYFUNCTION("""COMPUTED_VALUE"""),2022)</f>
        <v>2022</v>
      </c>
      <c r="E506" s="4">
        <f ca="1">IFERROR(__xludf.DUMMYFUNCTION("""COMPUTED_VALUE"""),44841)</f>
        <v>44841</v>
      </c>
      <c r="F506" s="1" t="str">
        <f ca="1">IFERROR(__xludf.DUMMYFUNCTION("""COMPUTED_VALUE"""),"J. H. Rose High School")</f>
        <v>J. H. Rose High School</v>
      </c>
      <c r="G506" s="1">
        <f ca="1">IFERROR(__xludf.DUMMYFUNCTION("""COMPUTED_VALUE"""),0)</f>
        <v>0</v>
      </c>
      <c r="H506" s="1">
        <f ca="1">IFERROR(__xludf.DUMMYFUNCTION("""COMPUTED_VALUE"""),1)</f>
        <v>1</v>
      </c>
      <c r="I506" s="1">
        <f ca="1">IFERROR(__xludf.DUMMYFUNCTION("""COMPUTED_VALUE"""),1)</f>
        <v>1</v>
      </c>
      <c r="J506" s="1">
        <f ca="1">IFERROR(__xludf.DUMMYFUNCTION("""COMPUTED_VALUE"""),0)</f>
        <v>0</v>
      </c>
      <c r="K506" s="1" t="str">
        <f ca="1">IFERROR(__xludf.DUMMYFUNCTION("""COMPUTED_VALUE"""),"Fall")</f>
        <v>Fall</v>
      </c>
      <c r="L506" s="1" t="str">
        <f ca="1">IFERROR(__xludf.DUMMYFUNCTION("""COMPUTED_VALUE"""),"Greenville")</f>
        <v>Greenville</v>
      </c>
      <c r="M506" s="1" t="str">
        <f ca="1">IFERROR(__xludf.DUMMYFUNCTION("""COMPUTED_VALUE"""),"NC")</f>
        <v>NC</v>
      </c>
      <c r="N506" s="1" t="str">
        <f ca="1">IFERROR(__xludf.DUMMYFUNCTION("""COMPUTED_VALUE"""),"High")</f>
        <v>High</v>
      </c>
      <c r="O506" s="1" t="str">
        <f ca="1">IFERROR(__xludf.DUMMYFUNCTION("""COMPUTED_VALUE"""),"Football Field/Track")</f>
        <v>Football Field/Track</v>
      </c>
      <c r="P506" s="1" t="str">
        <f ca="1">IFERROR(__xludf.DUMMYFUNCTION("""COMPUTED_VALUE"""),"Outside on School Property")</f>
        <v>Outside on School Property</v>
      </c>
      <c r="Q506" s="1" t="str">
        <f ca="1">IFERROR(__xludf.DUMMYFUNCTION("""COMPUTED_VALUE"""),"No")</f>
        <v>No</v>
      </c>
      <c r="R506" s="1" t="str">
        <f ca="1">IFERROR(__xludf.DUMMYFUNCTION("""COMPUTED_VALUE"""),"Sport Event")</f>
        <v>Sport Event</v>
      </c>
      <c r="S506" s="5">
        <f ca="1">IFERROR(__xludf.DUMMYFUNCTION("""COMPUTED_VALUE"""),0.875)</f>
        <v>0.875</v>
      </c>
      <c r="T506" s="1">
        <f ca="1">IFERROR(__xludf.DUMMYFUNCTION("""COMPUTED_VALUE"""),1)</f>
        <v>1</v>
      </c>
      <c r="U506" s="1" t="str">
        <f ca="1">IFERROR(__xludf.DUMMYFUNCTION("""COMPUTED_VALUE"""),"Student shot near football field during game")</f>
        <v>Student shot near football field during game</v>
      </c>
      <c r="V506" s="1" t="str">
        <f ca="1">IFERROR(__xludf.DUMMYFUNCTION("""COMPUTED_VALUE"""),"Greenville Police Department responded to the Arlington Boulevard and Hooker Road area around 9 p.m. Friday night. They received a call of gunshots being fired. Later, a 17-year-old teen reported to police that he had been shot in the leg. Greenville PD s"&amp;"aid that the victim did attend the game at Rose High School. The shooting did not happen at the football field. Police say he was shot while walking outside of the athletic fields.")</f>
        <v>Greenville Police Department responded to the Arlington Boulevard and Hooker Road area around 9 p.m. Friday night. They received a call of gunshots being fired. Later, a 17-year-old teen reported to police that he had been shot in the leg. Greenville PD said that the victim did attend the game at Rose High School. The shooting did not happen at the football field. Police say he was shot while walking outside of the athletic fields.</v>
      </c>
      <c r="W506" s="1"/>
      <c r="X506" s="1"/>
      <c r="Y506" s="1" t="str">
        <f ca="1">IFERROR(__xludf.DUMMYFUNCTION("""COMPUTED_VALUE"""),"No")</f>
        <v>No</v>
      </c>
      <c r="Z506" s="1"/>
      <c r="AA506" s="1" t="str">
        <f ca="1">IFERROR(__xludf.DUMMYFUNCTION("""COMPUTED_VALUE"""),"No")</f>
        <v>No</v>
      </c>
      <c r="AB506" s="1" t="str">
        <f ca="1">IFERROR(__xludf.DUMMYFUNCTION("""COMPUTED_VALUE"""),"No")</f>
        <v>No</v>
      </c>
      <c r="AC506" s="1" t="str">
        <f ca="1">IFERROR(__xludf.DUMMYFUNCTION("""COMPUTED_VALUE"""),"No")</f>
        <v>No</v>
      </c>
      <c r="AD506" s="1" t="str">
        <f ca="1">IFERROR(__xludf.DUMMYFUNCTION("""COMPUTED_VALUE"""),"No")</f>
        <v>No</v>
      </c>
      <c r="AE506" s="1" t="str">
        <f ca="1">IFERROR(__xludf.DUMMYFUNCTION("""COMPUTED_VALUE"""),"No")</f>
        <v>No</v>
      </c>
      <c r="AF506" s="1"/>
      <c r="AG506" s="1" t="str">
        <f ca="1">IFERROR(__xludf.DUMMYFUNCTION("""COMPUTED_VALUE"""),"No")</f>
        <v>No</v>
      </c>
      <c r="AH506" s="1">
        <f ca="1">IFERROR(__xludf.DUMMYFUNCTION("""COMPUTED_VALUE"""),99)</f>
        <v>99</v>
      </c>
    </row>
    <row r="507" spans="1:34" ht="12.5">
      <c r="A507" s="1" t="str">
        <f ca="1">IFERROR(__xludf.DUMMYFUNCTION("""COMPUTED_VALUE"""),"20221007MIBAB")</f>
        <v>20221007MIBAB</v>
      </c>
      <c r="B507" s="1">
        <f ca="1">IFERROR(__xludf.DUMMYFUNCTION("""COMPUTED_VALUE"""),10)</f>
        <v>10</v>
      </c>
      <c r="C507" s="1">
        <f ca="1">IFERROR(__xludf.DUMMYFUNCTION("""COMPUTED_VALUE"""),7)</f>
        <v>7</v>
      </c>
      <c r="D507" s="1">
        <f ca="1">IFERROR(__xludf.DUMMYFUNCTION("""COMPUTED_VALUE"""),2022)</f>
        <v>2022</v>
      </c>
      <c r="E507" s="4">
        <f ca="1">IFERROR(__xludf.DUMMYFUNCTION("""COMPUTED_VALUE"""),44841)</f>
        <v>44841</v>
      </c>
      <c r="F507" s="1" t="str">
        <f ca="1">IFERROR(__xludf.DUMMYFUNCTION("""COMPUTED_VALUE"""),"Battle Creek High School")</f>
        <v>Battle Creek High School</v>
      </c>
      <c r="G507" s="1">
        <f ca="1">IFERROR(__xludf.DUMMYFUNCTION("""COMPUTED_VALUE"""),0)</f>
        <v>0</v>
      </c>
      <c r="H507" s="1">
        <f ca="1">IFERROR(__xludf.DUMMYFUNCTION("""COMPUTED_VALUE"""),0)</f>
        <v>0</v>
      </c>
      <c r="I507" s="1">
        <f ca="1">IFERROR(__xludf.DUMMYFUNCTION("""COMPUTED_VALUE"""),0)</f>
        <v>0</v>
      </c>
      <c r="J507" s="1">
        <f ca="1">IFERROR(__xludf.DUMMYFUNCTION("""COMPUTED_VALUE"""),0)</f>
        <v>0</v>
      </c>
      <c r="K507" s="1" t="str">
        <f ca="1">IFERROR(__xludf.DUMMYFUNCTION("""COMPUTED_VALUE"""),"Fall")</f>
        <v>Fall</v>
      </c>
      <c r="L507" s="1" t="str">
        <f ca="1">IFERROR(__xludf.DUMMYFUNCTION("""COMPUTED_VALUE"""),"Battle Creek")</f>
        <v>Battle Creek</v>
      </c>
      <c r="M507" s="1" t="str">
        <f ca="1">IFERROR(__xludf.DUMMYFUNCTION("""COMPUTED_VALUE"""),"MI")</f>
        <v>MI</v>
      </c>
      <c r="N507" s="1" t="str">
        <f ca="1">IFERROR(__xludf.DUMMYFUNCTION("""COMPUTED_VALUE"""),"High")</f>
        <v>High</v>
      </c>
      <c r="O507" s="1" t="str">
        <f ca="1">IFERROR(__xludf.DUMMYFUNCTION("""COMPUTED_VALUE"""),"Parking Lot")</f>
        <v>Parking Lot</v>
      </c>
      <c r="P507" s="1" t="str">
        <f ca="1">IFERROR(__xludf.DUMMYFUNCTION("""COMPUTED_VALUE"""),"Outside on School Property")</f>
        <v>Outside on School Property</v>
      </c>
      <c r="Q507" s="1" t="str">
        <f ca="1">IFERROR(__xludf.DUMMYFUNCTION("""COMPUTED_VALUE"""),"No")</f>
        <v>No</v>
      </c>
      <c r="R507" s="1" t="str">
        <f ca="1">IFERROR(__xludf.DUMMYFUNCTION("""COMPUTED_VALUE"""),"Sport Event")</f>
        <v>Sport Event</v>
      </c>
      <c r="S507" s="5">
        <f ca="1">IFERROR(__xludf.DUMMYFUNCTION("""COMPUTED_VALUE"""),0.875)</f>
        <v>0.875</v>
      </c>
      <c r="T507" s="1">
        <f ca="1">IFERROR(__xludf.DUMMYFUNCTION("""COMPUTED_VALUE"""),1)</f>
        <v>1</v>
      </c>
      <c r="U507" s="1" t="str">
        <f ca="1">IFERROR(__xludf.DUMMYFUNCTION("""COMPUTED_VALUE"""),"Shots fired during football game")</f>
        <v>Shots fired during football game</v>
      </c>
      <c r="V507" s="1" t="str">
        <f ca="1">IFERROR(__xludf.DUMMYFUNCTION("""COMPUTED_VALUE"""),"Five to six shots were fired at the Battle Creek Central football game at the C.W. Post Field Stadium Friday around 9:40 p.m., according to Battle Creek Police. Officers assigned to the local football games said they heard shots fired in the area of Champ"&amp;"ion and West Streets, police said. The shots are believed to come from a vehicle in the stadium parking lot, no one was hit or injured, police said. Shell casing found in school parking lot.")</f>
        <v>Five to six shots were fired at the Battle Creek Central football game at the C.W. Post Field Stadium Friday around 9:40 p.m., according to Battle Creek Police. Officers assigned to the local football games said they heard shots fired in the area of Champion and West Streets, police said. The shots are believed to come from a vehicle in the stadium parking lot, no one was hit or injured, police said. Shell casing found in school parking lot.</v>
      </c>
      <c r="W507" s="1" t="str">
        <f ca="1">IFERROR(__xludf.DUMMYFUNCTION("""COMPUTED_VALUE"""),"Drive-by Shooting")</f>
        <v>Drive-by Shooting</v>
      </c>
      <c r="X507" s="1"/>
      <c r="Y507" s="1" t="str">
        <f ca="1">IFERROR(__xludf.DUMMYFUNCTION("""COMPUTED_VALUE"""),"No")</f>
        <v>No</v>
      </c>
      <c r="Z507" s="1"/>
      <c r="AA507" s="1" t="str">
        <f ca="1">IFERROR(__xludf.DUMMYFUNCTION("""COMPUTED_VALUE"""),"No")</f>
        <v>No</v>
      </c>
      <c r="AB507" s="1" t="str">
        <f ca="1">IFERROR(__xludf.DUMMYFUNCTION("""COMPUTED_VALUE"""),"No")</f>
        <v>No</v>
      </c>
      <c r="AC507" s="1" t="str">
        <f ca="1">IFERROR(__xludf.DUMMYFUNCTION("""COMPUTED_VALUE"""),"No")</f>
        <v>No</v>
      </c>
      <c r="AD507" s="1" t="str">
        <f ca="1">IFERROR(__xludf.DUMMYFUNCTION("""COMPUTED_VALUE"""),"No")</f>
        <v>No</v>
      </c>
      <c r="AE507" s="1" t="str">
        <f ca="1">IFERROR(__xludf.DUMMYFUNCTION("""COMPUTED_VALUE"""),"No")</f>
        <v>No</v>
      </c>
      <c r="AF507" s="1"/>
      <c r="AG507" s="1" t="str">
        <f ca="1">IFERROR(__xludf.DUMMYFUNCTION("""COMPUTED_VALUE"""),"No")</f>
        <v>No</v>
      </c>
      <c r="AH507" s="1">
        <f ca="1">IFERROR(__xludf.DUMMYFUNCTION("""COMPUTED_VALUE"""),6)</f>
        <v>6</v>
      </c>
    </row>
    <row r="508" spans="1:34" ht="12.5">
      <c r="A508" s="1" t="str">
        <f ca="1">IFERROR(__xludf.DUMMYFUNCTION("""COMPUTED_VALUE"""),"20221007AZCAP")</f>
        <v>20221007AZCAP</v>
      </c>
      <c r="B508" s="1">
        <f ca="1">IFERROR(__xludf.DUMMYFUNCTION("""COMPUTED_VALUE"""),10)</f>
        <v>10</v>
      </c>
      <c r="C508" s="1">
        <f ca="1">IFERROR(__xludf.DUMMYFUNCTION("""COMPUTED_VALUE"""),7)</f>
        <v>7</v>
      </c>
      <c r="D508" s="1">
        <f ca="1">IFERROR(__xludf.DUMMYFUNCTION("""COMPUTED_VALUE"""),2022)</f>
        <v>2022</v>
      </c>
      <c r="E508" s="4">
        <f ca="1">IFERROR(__xludf.DUMMYFUNCTION("""COMPUTED_VALUE"""),44841)</f>
        <v>44841</v>
      </c>
      <c r="F508" s="1" t="str">
        <f ca="1">IFERROR(__xludf.DUMMYFUNCTION("""COMPUTED_VALUE"""),"Carl Hayden Community High School")</f>
        <v>Carl Hayden Community High School</v>
      </c>
      <c r="G508" s="1">
        <f ca="1">IFERROR(__xludf.DUMMYFUNCTION("""COMPUTED_VALUE"""),0)</f>
        <v>0</v>
      </c>
      <c r="H508" s="1">
        <f ca="1">IFERROR(__xludf.DUMMYFUNCTION("""COMPUTED_VALUE"""),0)</f>
        <v>0</v>
      </c>
      <c r="I508" s="1">
        <f ca="1">IFERROR(__xludf.DUMMYFUNCTION("""COMPUTED_VALUE"""),0)</f>
        <v>0</v>
      </c>
      <c r="J508" s="1">
        <f ca="1">IFERROR(__xludf.DUMMYFUNCTION("""COMPUTED_VALUE"""),0)</f>
        <v>0</v>
      </c>
      <c r="K508" s="1" t="str">
        <f ca="1">IFERROR(__xludf.DUMMYFUNCTION("""COMPUTED_VALUE"""),"Fall")</f>
        <v>Fall</v>
      </c>
      <c r="L508" s="1" t="str">
        <f ca="1">IFERROR(__xludf.DUMMYFUNCTION("""COMPUTED_VALUE"""),"Phoenix")</f>
        <v>Phoenix</v>
      </c>
      <c r="M508" s="1" t="str">
        <f ca="1">IFERROR(__xludf.DUMMYFUNCTION("""COMPUTED_VALUE"""),"AZ")</f>
        <v>AZ</v>
      </c>
      <c r="N508" s="1" t="str">
        <f ca="1">IFERROR(__xludf.DUMMYFUNCTION("""COMPUTED_VALUE"""),"High")</f>
        <v>High</v>
      </c>
      <c r="O508" s="1" t="str">
        <f ca="1">IFERROR(__xludf.DUMMYFUNCTION("""COMPUTED_VALUE"""),"Football Field/Track")</f>
        <v>Football Field/Track</v>
      </c>
      <c r="P508" s="1" t="str">
        <f ca="1">IFERROR(__xludf.DUMMYFUNCTION("""COMPUTED_VALUE"""),"Outside on School Property")</f>
        <v>Outside on School Property</v>
      </c>
      <c r="Q508" s="1" t="str">
        <f ca="1">IFERROR(__xludf.DUMMYFUNCTION("""COMPUTED_VALUE"""),"No")</f>
        <v>No</v>
      </c>
      <c r="R508" s="1" t="str">
        <f ca="1">IFERROR(__xludf.DUMMYFUNCTION("""COMPUTED_VALUE"""),"Sport Event")</f>
        <v>Sport Event</v>
      </c>
      <c r="S508" s="5">
        <f ca="1">IFERROR(__xludf.DUMMYFUNCTION("""COMPUTED_VALUE"""),0.875)</f>
        <v>0.875</v>
      </c>
      <c r="T508" s="1">
        <f ca="1">IFERROR(__xludf.DUMMYFUNCTION("""COMPUTED_VALUE"""),1)</f>
        <v>1</v>
      </c>
      <c r="U508" s="1" t="str">
        <f ca="1">IFERROR(__xludf.DUMMYFUNCTION("""COMPUTED_VALUE"""),"Shots fired near the football stadium during game")</f>
        <v>Shots fired near the football stadium during game</v>
      </c>
      <c r="V508" s="1" t="str">
        <f ca="1">IFERROR(__xludf.DUMMYFUNCTION("""COMPUTED_VALUE"""),"Shots were reportedly fired outside of Carl Hayden High School during a football game Friday night. People in attendance of the football game say that everyone in the stadium was ordered to the ground after gunfire was heard.")</f>
        <v>Shots were reportedly fired outside of Carl Hayden High School during a football game Friday night. People in attendance of the football game say that everyone in the stadium was ordered to the ground after gunfire was heard.</v>
      </c>
      <c r="W508" s="1"/>
      <c r="X508" s="1"/>
      <c r="Y508" s="1" t="str">
        <f ca="1">IFERROR(__xludf.DUMMYFUNCTION("""COMPUTED_VALUE"""),"No")</f>
        <v>No</v>
      </c>
      <c r="Z508" s="1"/>
      <c r="AA508" s="1" t="str">
        <f ca="1">IFERROR(__xludf.DUMMYFUNCTION("""COMPUTED_VALUE"""),"No")</f>
        <v>No</v>
      </c>
      <c r="AB508" s="1" t="str">
        <f ca="1">IFERROR(__xludf.DUMMYFUNCTION("""COMPUTED_VALUE"""),"No")</f>
        <v>No</v>
      </c>
      <c r="AC508" s="1" t="str">
        <f ca="1">IFERROR(__xludf.DUMMYFUNCTION("""COMPUTED_VALUE"""),"No")</f>
        <v>No</v>
      </c>
      <c r="AD508" s="1" t="str">
        <f ca="1">IFERROR(__xludf.DUMMYFUNCTION("""COMPUTED_VALUE"""),"No")</f>
        <v>No</v>
      </c>
      <c r="AE508" s="1" t="str">
        <f ca="1">IFERROR(__xludf.DUMMYFUNCTION("""COMPUTED_VALUE"""),"No")</f>
        <v>No</v>
      </c>
      <c r="AF508" s="1"/>
      <c r="AG508" s="1" t="str">
        <f ca="1">IFERROR(__xludf.DUMMYFUNCTION("""COMPUTED_VALUE"""),"No")</f>
        <v>No</v>
      </c>
      <c r="AH508" s="1">
        <f ca="1">IFERROR(__xludf.DUMMYFUNCTION("""COMPUTED_VALUE"""),99)</f>
        <v>99</v>
      </c>
    </row>
    <row r="509" spans="1:34" ht="12.5">
      <c r="A509" s="1" t="str">
        <f ca="1">IFERROR(__xludf.DUMMYFUNCTION("""COMPUTED_VALUE"""),"20221006OHMAC")</f>
        <v>20221006OHMAC</v>
      </c>
      <c r="B509" s="1">
        <f ca="1">IFERROR(__xludf.DUMMYFUNCTION("""COMPUTED_VALUE"""),10)</f>
        <v>10</v>
      </c>
      <c r="C509" s="1">
        <f ca="1">IFERROR(__xludf.DUMMYFUNCTION("""COMPUTED_VALUE"""),6)</f>
        <v>6</v>
      </c>
      <c r="D509" s="1">
        <f ca="1">IFERROR(__xludf.DUMMYFUNCTION("""COMPUTED_VALUE"""),2022)</f>
        <v>2022</v>
      </c>
      <c r="E509" s="4">
        <f ca="1">IFERROR(__xludf.DUMMYFUNCTION("""COMPUTED_VALUE"""),44840)</f>
        <v>44840</v>
      </c>
      <c r="F509" s="1" t="str">
        <f ca="1">IFERROR(__xludf.DUMMYFUNCTION("""COMPUTED_VALUE"""),"Marion-Franklin High School")</f>
        <v>Marion-Franklin High School</v>
      </c>
      <c r="G509" s="1">
        <f ca="1">IFERROR(__xludf.DUMMYFUNCTION("""COMPUTED_VALUE"""),0)</f>
        <v>0</v>
      </c>
      <c r="H509" s="1">
        <f ca="1">IFERROR(__xludf.DUMMYFUNCTION("""COMPUTED_VALUE"""),0)</f>
        <v>0</v>
      </c>
      <c r="I509" s="1">
        <f ca="1">IFERROR(__xludf.DUMMYFUNCTION("""COMPUTED_VALUE"""),0)</f>
        <v>0</v>
      </c>
      <c r="J509" s="1">
        <f ca="1">IFERROR(__xludf.DUMMYFUNCTION("""COMPUTED_VALUE"""),0)</f>
        <v>0</v>
      </c>
      <c r="K509" s="1" t="str">
        <f ca="1">IFERROR(__xludf.DUMMYFUNCTION("""COMPUTED_VALUE"""),"Fall")</f>
        <v>Fall</v>
      </c>
      <c r="L509" s="1" t="str">
        <f ca="1">IFERROR(__xludf.DUMMYFUNCTION("""COMPUTED_VALUE"""),"Columbus")</f>
        <v>Columbus</v>
      </c>
      <c r="M509" s="1" t="str">
        <f ca="1">IFERROR(__xludf.DUMMYFUNCTION("""COMPUTED_VALUE"""),"OH")</f>
        <v>OH</v>
      </c>
      <c r="N509" s="1" t="str">
        <f ca="1">IFERROR(__xludf.DUMMYFUNCTION("""COMPUTED_VALUE"""),"High")</f>
        <v>High</v>
      </c>
      <c r="O509" s="1" t="str">
        <f ca="1">IFERROR(__xludf.DUMMYFUNCTION("""COMPUTED_VALUE"""),"Parking Lot")</f>
        <v>Parking Lot</v>
      </c>
      <c r="P509" s="1" t="str">
        <f ca="1">IFERROR(__xludf.DUMMYFUNCTION("""COMPUTED_VALUE"""),"Outside on School Property")</f>
        <v>Outside on School Property</v>
      </c>
      <c r="Q509" s="1" t="str">
        <f ca="1">IFERROR(__xludf.DUMMYFUNCTION("""COMPUTED_VALUE"""),"No")</f>
        <v>No</v>
      </c>
      <c r="R509" s="1" t="str">
        <f ca="1">IFERROR(__xludf.DUMMYFUNCTION("""COMPUTED_VALUE"""),"Sport Event")</f>
        <v>Sport Event</v>
      </c>
      <c r="S509" s="5">
        <f ca="1">IFERROR(__xludf.DUMMYFUNCTION("""COMPUTED_VALUE"""),0.840277777777777)</f>
        <v>0.84027777777777701</v>
      </c>
      <c r="T509" s="1">
        <f ca="1">IFERROR(__xludf.DUMMYFUNCTION("""COMPUTED_VALUE"""),1)</f>
        <v>1</v>
      </c>
      <c r="U509" s="1" t="str">
        <f ca="1">IFERROR(__xludf.DUMMYFUNCTION("""COMPUTED_VALUE"""),"Shots fired during fight a football game")</f>
        <v>Shots fired during fight a football game</v>
      </c>
      <c r="V509" s="1" t="str">
        <f ca="1">IFERROR(__xludf.DUMMYFUNCTION("""COMPUTED_VALUE"""),"The fight started just before halftime of the game against Columbus Africentric Early College, according to a Columbus City Schools spokesperson. About five minutes after the fight cleared out, the spokesperson said shots were fired outside the school. Co"&amp;"lumbus police officers found casings on the east side of the building, but did not say how many were located. No injuries have been reported as of 8:30 p.m. One vehicle was struck by the gunfire, police said.")</f>
        <v>The fight started just before halftime of the game against Columbus Africentric Early College, according to a Columbus City Schools spokesperson. About five minutes after the fight cleared out, the spokesperson said shots were fired outside the school. Columbus police officers found casings on the east side of the building, but did not say how many were located. No injuries have been reported as of 8:30 p.m. One vehicle was struck by the gunfire, police said.</v>
      </c>
      <c r="W509" s="1" t="str">
        <f ca="1">IFERROR(__xludf.DUMMYFUNCTION("""COMPUTED_VALUE"""),"Escalation of Dispute")</f>
        <v>Escalation of Dispute</v>
      </c>
      <c r="X509" s="1" t="str">
        <f ca="1">IFERROR(__xludf.DUMMYFUNCTION("""COMPUTED_VALUE"""),"Victims Targeted")</f>
        <v>Victims Targeted</v>
      </c>
      <c r="Y509" s="1" t="str">
        <f ca="1">IFERROR(__xludf.DUMMYFUNCTION("""COMPUTED_VALUE"""),"No")</f>
        <v>No</v>
      </c>
      <c r="Z509" s="1"/>
      <c r="AA509" s="1" t="str">
        <f ca="1">IFERROR(__xludf.DUMMYFUNCTION("""COMPUTED_VALUE"""),"No")</f>
        <v>No</v>
      </c>
      <c r="AB509" s="1" t="str">
        <f ca="1">IFERROR(__xludf.DUMMYFUNCTION("""COMPUTED_VALUE"""),"No")</f>
        <v>No</v>
      </c>
      <c r="AC509" s="1" t="str">
        <f ca="1">IFERROR(__xludf.DUMMYFUNCTION("""COMPUTED_VALUE"""),"No")</f>
        <v>No</v>
      </c>
      <c r="AD509" s="1" t="str">
        <f ca="1">IFERROR(__xludf.DUMMYFUNCTION("""COMPUTED_VALUE"""),"No")</f>
        <v>No</v>
      </c>
      <c r="AE509" s="1" t="str">
        <f ca="1">IFERROR(__xludf.DUMMYFUNCTION("""COMPUTED_VALUE"""),"No")</f>
        <v>No</v>
      </c>
      <c r="AF509" s="1" t="str">
        <f ca="1">IFERROR(__xludf.DUMMYFUNCTION("""COMPUTED_VALUE"""),"No")</f>
        <v>No</v>
      </c>
      <c r="AG509" s="1" t="str">
        <f ca="1">IFERROR(__xludf.DUMMYFUNCTION("""COMPUTED_VALUE"""),"No")</f>
        <v>No</v>
      </c>
      <c r="AH509" s="1">
        <f ca="1">IFERROR(__xludf.DUMMYFUNCTION("""COMPUTED_VALUE"""),99)</f>
        <v>99</v>
      </c>
    </row>
    <row r="510" spans="1:34" ht="12.5">
      <c r="A510" s="1" t="str">
        <f ca="1">IFERROR(__xludf.DUMMYFUNCTION("""COMPUTED_VALUE"""),"20221004NCPIS")</f>
        <v>20221004NCPIS</v>
      </c>
      <c r="B510" s="1">
        <f ca="1">IFERROR(__xludf.DUMMYFUNCTION("""COMPUTED_VALUE"""),10)</f>
        <v>10</v>
      </c>
      <c r="C510" s="1">
        <f ca="1">IFERROR(__xludf.DUMMYFUNCTION("""COMPUTED_VALUE"""),4)</f>
        <v>4</v>
      </c>
      <c r="D510" s="1">
        <f ca="1">IFERROR(__xludf.DUMMYFUNCTION("""COMPUTED_VALUE"""),2022)</f>
        <v>2022</v>
      </c>
      <c r="E510" s="4">
        <f ca="1">IFERROR(__xludf.DUMMYFUNCTION("""COMPUTED_VALUE"""),44838)</f>
        <v>44838</v>
      </c>
      <c r="F510" s="1" t="str">
        <f ca="1">IFERROR(__xludf.DUMMYFUNCTION("""COMPUTED_VALUE"""),"Pinecrest High School")</f>
        <v>Pinecrest High School</v>
      </c>
      <c r="G510" s="1">
        <f ca="1">IFERROR(__xludf.DUMMYFUNCTION("""COMPUTED_VALUE"""),0)</f>
        <v>0</v>
      </c>
      <c r="H510" s="1">
        <f ca="1">IFERROR(__xludf.DUMMYFUNCTION("""COMPUTED_VALUE"""),0)</f>
        <v>0</v>
      </c>
      <c r="I510" s="1">
        <f ca="1">IFERROR(__xludf.DUMMYFUNCTION("""COMPUTED_VALUE"""),0)</f>
        <v>0</v>
      </c>
      <c r="J510" s="1">
        <f ca="1">IFERROR(__xludf.DUMMYFUNCTION("""COMPUTED_VALUE"""),0)</f>
        <v>0</v>
      </c>
      <c r="K510" s="1" t="str">
        <f ca="1">IFERROR(__xludf.DUMMYFUNCTION("""COMPUTED_VALUE"""),"Fall")</f>
        <v>Fall</v>
      </c>
      <c r="L510" s="1" t="str">
        <f ca="1">IFERROR(__xludf.DUMMYFUNCTION("""COMPUTED_VALUE"""),"Southern Pine")</f>
        <v>Southern Pine</v>
      </c>
      <c r="M510" s="1" t="str">
        <f ca="1">IFERROR(__xludf.DUMMYFUNCTION("""COMPUTED_VALUE"""),"NC")</f>
        <v>NC</v>
      </c>
      <c r="N510" s="1" t="str">
        <f ca="1">IFERROR(__xludf.DUMMYFUNCTION("""COMPUTED_VALUE"""),"High")</f>
        <v>High</v>
      </c>
      <c r="O510" s="1" t="str">
        <f ca="1">IFERROR(__xludf.DUMMYFUNCTION("""COMPUTED_VALUE"""),"School Bus")</f>
        <v>School Bus</v>
      </c>
      <c r="P510" s="1" t="str">
        <f ca="1">IFERROR(__xludf.DUMMYFUNCTION("""COMPUTED_VALUE"""),"School Bus")</f>
        <v>School Bus</v>
      </c>
      <c r="Q510" s="1" t="str">
        <f ca="1">IFERROR(__xludf.DUMMYFUNCTION("""COMPUTED_VALUE"""),"Yes")</f>
        <v>Yes</v>
      </c>
      <c r="R510" s="1" t="str">
        <f ca="1">IFERROR(__xludf.DUMMYFUNCTION("""COMPUTED_VALUE"""),"Dismissal")</f>
        <v>Dismissal</v>
      </c>
      <c r="S510" s="5">
        <f ca="1">IFERROR(__xludf.DUMMYFUNCTION("""COMPUTED_VALUE"""),0.666666666666666)</f>
        <v>0.66666666666666596</v>
      </c>
      <c r="T510" s="1">
        <f ca="1">IFERROR(__xludf.DUMMYFUNCTION("""COMPUTED_VALUE"""),1)</f>
        <v>1</v>
      </c>
      <c r="U510" s="1" t="str">
        <f ca="1">IFERROR(__xludf.DUMMYFUNCTION("""COMPUTED_VALUE"""),"Occupied school bus struck by bullet")</f>
        <v>Occupied school bus struck by bullet</v>
      </c>
      <c r="V510" s="1" t="str">
        <f ca="1">IFERROR(__xludf.DUMMYFUNCTION("""COMPUTED_VALUE"""),"Driver heard what sounded like a gunshot while a student was exiting the bus at the intersection of R Sands and Pinebluff Lake Road. The driver didn't immediately see damage to the bus and at the next stop on Countryside Driver, evacuated the bus of all f"&amp;"ive remaining students and the bus monitor called 911, MCS said. While waiting for deputies to respond, one of the students noticed a bullet hole in a passenger window about four rows from the back of the bus. The bullet was found lodged in the ceiling of"&amp;" the bus. According to MCSP, the investigation determined that the bullet was a ricochet from a firearm being used by a juvenile who was aiming the weapon at trees. As stated previously, the bus was not the intended target. The firearm belonged to a famil"&amp;"y member of the child and had not been secured properly in the home.")</f>
        <v>Driver heard what sounded like a gunshot while a student was exiting the bus at the intersection of R Sands and Pinebluff Lake Road. The driver didn't immediately see damage to the bus and at the next stop on Countryside Driver, evacuated the bus of all five remaining students and the bus monitor called 911, MCS said. While waiting for deputies to respond, one of the students noticed a bullet hole in a passenger window about four rows from the back of the bus. The bullet was found lodged in the ceiling of the bus. According to MCSP, the investigation determined that the bullet was a ricochet from a firearm being used by a juvenile who was aiming the weapon at trees. As stated previously, the bus was not the intended target. The firearm belonged to a family member of the child and had not been secured properly in the home.</v>
      </c>
      <c r="W510" s="1" t="str">
        <f ca="1">IFERROR(__xludf.DUMMYFUNCTION("""COMPUTED_VALUE"""),"Accidental")</f>
        <v>Accidental</v>
      </c>
      <c r="X510" s="1" t="str">
        <f ca="1">IFERROR(__xludf.DUMMYFUNCTION("""COMPUTED_VALUE"""),"Neither")</f>
        <v>Neither</v>
      </c>
      <c r="Y510" s="1" t="str">
        <f ca="1">IFERROR(__xludf.DUMMYFUNCTION("""COMPUTED_VALUE"""),"No")</f>
        <v>No</v>
      </c>
      <c r="Z510" s="1"/>
      <c r="AA510" s="1" t="str">
        <f ca="1">IFERROR(__xludf.DUMMYFUNCTION("""COMPUTED_VALUE"""),"No")</f>
        <v>No</v>
      </c>
      <c r="AB510" s="1" t="str">
        <f ca="1">IFERROR(__xludf.DUMMYFUNCTION("""COMPUTED_VALUE"""),"No")</f>
        <v>No</v>
      </c>
      <c r="AC510" s="1" t="str">
        <f ca="1">IFERROR(__xludf.DUMMYFUNCTION("""COMPUTED_VALUE"""),"No")</f>
        <v>No</v>
      </c>
      <c r="AD510" s="1" t="str">
        <f ca="1">IFERROR(__xludf.DUMMYFUNCTION("""COMPUTED_VALUE"""),"No")</f>
        <v>No</v>
      </c>
      <c r="AE510" s="1" t="str">
        <f ca="1">IFERROR(__xludf.DUMMYFUNCTION("""COMPUTED_VALUE"""),"No")</f>
        <v>No</v>
      </c>
      <c r="AF510" s="1"/>
      <c r="AG510" s="1" t="str">
        <f ca="1">IFERROR(__xludf.DUMMYFUNCTION("""COMPUTED_VALUE"""),"No")</f>
        <v>No</v>
      </c>
      <c r="AH510" s="1"/>
    </row>
    <row r="511" spans="1:34" ht="12.5">
      <c r="A511" s="1" t="str">
        <f ca="1">IFERROR(__xludf.DUMMYFUNCTION("""COMPUTED_VALUE"""),"20221004MAJB")</f>
        <v>20221004MAJB</v>
      </c>
      <c r="B511" s="1">
        <f ca="1">IFERROR(__xludf.DUMMYFUNCTION("""COMPUTED_VALUE"""),10)</f>
        <v>10</v>
      </c>
      <c r="C511" s="1">
        <f ca="1">IFERROR(__xludf.DUMMYFUNCTION("""COMPUTED_VALUE"""),4)</f>
        <v>4</v>
      </c>
      <c r="D511" s="1">
        <f ca="1">IFERROR(__xludf.DUMMYFUNCTION("""COMPUTED_VALUE"""),2022)</f>
        <v>2022</v>
      </c>
      <c r="E511" s="4">
        <f ca="1">IFERROR(__xludf.DUMMYFUNCTION("""COMPUTED_VALUE"""),44838)</f>
        <v>44838</v>
      </c>
      <c r="F511" s="1" t="str">
        <f ca="1">IFERROR(__xludf.DUMMYFUNCTION("""COMPUTED_VALUE"""),"Jeremiah Burke High School")</f>
        <v>Jeremiah Burke High School</v>
      </c>
      <c r="G511" s="1">
        <f ca="1">IFERROR(__xludf.DUMMYFUNCTION("""COMPUTED_VALUE"""),0)</f>
        <v>0</v>
      </c>
      <c r="H511" s="1">
        <f ca="1">IFERROR(__xludf.DUMMYFUNCTION("""COMPUTED_VALUE"""),1)</f>
        <v>1</v>
      </c>
      <c r="I511" s="1">
        <f ca="1">IFERROR(__xludf.DUMMYFUNCTION("""COMPUTED_VALUE"""),1)</f>
        <v>1</v>
      </c>
      <c r="J511" s="1">
        <f ca="1">IFERROR(__xludf.DUMMYFUNCTION("""COMPUTED_VALUE"""),0)</f>
        <v>0</v>
      </c>
      <c r="K511" s="1" t="str">
        <f ca="1">IFERROR(__xludf.DUMMYFUNCTION("""COMPUTED_VALUE"""),"Fall")</f>
        <v>Fall</v>
      </c>
      <c r="L511" s="1" t="str">
        <f ca="1">IFERROR(__xludf.DUMMYFUNCTION("""COMPUTED_VALUE"""),"Boston")</f>
        <v>Boston</v>
      </c>
      <c r="M511" s="1" t="str">
        <f ca="1">IFERROR(__xludf.DUMMYFUNCTION("""COMPUTED_VALUE"""),"MA")</f>
        <v>MA</v>
      </c>
      <c r="N511" s="1" t="str">
        <f ca="1">IFERROR(__xludf.DUMMYFUNCTION("""COMPUTED_VALUE"""),"High")</f>
        <v>High</v>
      </c>
      <c r="O511" s="1" t="str">
        <f ca="1">IFERROR(__xludf.DUMMYFUNCTION("""COMPUTED_VALUE"""),"Front of School")</f>
        <v>Front of School</v>
      </c>
      <c r="P511" s="1" t="str">
        <f ca="1">IFERROR(__xludf.DUMMYFUNCTION("""COMPUTED_VALUE"""),"Outside on School Property")</f>
        <v>Outside on School Property</v>
      </c>
      <c r="Q511" s="1" t="str">
        <f ca="1">IFERROR(__xludf.DUMMYFUNCTION("""COMPUTED_VALUE"""),"Yes")</f>
        <v>Yes</v>
      </c>
      <c r="R511" s="1" t="str">
        <f ca="1">IFERROR(__xludf.DUMMYFUNCTION("""COMPUTED_VALUE"""),"Morning Classes")</f>
        <v>Morning Classes</v>
      </c>
      <c r="S511" s="5">
        <f ca="1">IFERROR(__xludf.DUMMYFUNCTION("""COMPUTED_VALUE"""),0.395833333333333)</f>
        <v>0.39583333333333298</v>
      </c>
      <c r="T511" s="1">
        <f ca="1">IFERROR(__xludf.DUMMYFUNCTION("""COMPUTED_VALUE"""),1)</f>
        <v>1</v>
      </c>
      <c r="U511" s="1" t="str">
        <f ca="1">IFERROR(__xludf.DUMMYFUNCTION("""COMPUTED_VALUE"""),"Student shot by another student in front of the school")</f>
        <v>Student shot by another student in front of the school</v>
      </c>
      <c r="V511" s="1" t="str">
        <f ca="1">IFERROR(__xludf.DUMMYFUNCTION("""COMPUTED_VALUE"""),"A student at a Boston high school is facing multiple charges in connection with the shooting of another student, the second act of major violence to happen within the past few weeks at that school. The shooting happened shortly after 9:30 a.m. Tuesday out"&amp;"side Jeremiah E. Burke High School, but police said the shooting did happen on school property. The student who was shot was listed in stable condition at a local hospital, while a 17-year-old classmate was taken into custody a short time after the shooti"&amp;"ng.
School safety officer hear the shot and immediately put the campus on lockdown.")</f>
        <v>A student at a Boston high school is facing multiple charges in connection with the shooting of another student, the second act of major violence to happen within the past few weeks at that school. The shooting happened shortly after 9:30 a.m. Tuesday outside Jeremiah E. Burke High School, but police said the shooting did happen on school property. The student who was shot was listed in stable condition at a local hospital, while a 17-year-old classmate was taken into custody a short time after the shooting.
School safety officer hear the shot and immediately put the campus on lockdown.</v>
      </c>
      <c r="W511" s="1"/>
      <c r="X511" s="1" t="str">
        <f ca="1">IFERROR(__xludf.DUMMYFUNCTION("""COMPUTED_VALUE"""),"Victims Targeted")</f>
        <v>Victims Targeted</v>
      </c>
      <c r="Y511" s="1" t="str">
        <f ca="1">IFERROR(__xludf.DUMMYFUNCTION("""COMPUTED_VALUE"""),"No")</f>
        <v>No</v>
      </c>
      <c r="Z511" s="1"/>
      <c r="AA511" s="1" t="str">
        <f ca="1">IFERROR(__xludf.DUMMYFUNCTION("""COMPUTED_VALUE"""),"No")</f>
        <v>No</v>
      </c>
      <c r="AB511" s="1" t="str">
        <f ca="1">IFERROR(__xludf.DUMMYFUNCTION("""COMPUTED_VALUE"""),"No")</f>
        <v>No</v>
      </c>
      <c r="AC511" s="1" t="str">
        <f ca="1">IFERROR(__xludf.DUMMYFUNCTION("""COMPUTED_VALUE"""),"Yes")</f>
        <v>Yes</v>
      </c>
      <c r="AD511" s="1"/>
      <c r="AE511" s="1" t="str">
        <f ca="1">IFERROR(__xludf.DUMMYFUNCTION("""COMPUTED_VALUE"""),"No")</f>
        <v>No</v>
      </c>
      <c r="AF511" s="1"/>
      <c r="AG511" s="1" t="str">
        <f ca="1">IFERROR(__xludf.DUMMYFUNCTION("""COMPUTED_VALUE"""),"No")</f>
        <v>No</v>
      </c>
      <c r="AH511" s="1"/>
    </row>
    <row r="512" spans="1:34" ht="12.5">
      <c r="A512" s="1" t="str">
        <f ca="1">IFERROR(__xludf.DUMMYFUNCTION("""COMPUTED_VALUE"""),"20221003MIOXO")</f>
        <v>20221003MIOXO</v>
      </c>
      <c r="B512" s="1">
        <f ca="1">IFERROR(__xludf.DUMMYFUNCTION("""COMPUTED_VALUE"""),10)</f>
        <v>10</v>
      </c>
      <c r="C512" s="1">
        <f ca="1">IFERROR(__xludf.DUMMYFUNCTION("""COMPUTED_VALUE"""),3)</f>
        <v>3</v>
      </c>
      <c r="D512" s="1">
        <f ca="1">IFERROR(__xludf.DUMMYFUNCTION("""COMPUTED_VALUE"""),2022)</f>
        <v>2022</v>
      </c>
      <c r="E512" s="4">
        <f ca="1">IFERROR(__xludf.DUMMYFUNCTION("""COMPUTED_VALUE"""),44837)</f>
        <v>44837</v>
      </c>
      <c r="F512" s="1" t="str">
        <f ca="1">IFERROR(__xludf.DUMMYFUNCTION("""COMPUTED_VALUE"""),"Oxford Middle School")</f>
        <v>Oxford Middle School</v>
      </c>
      <c r="G512" s="1">
        <f ca="1">IFERROR(__xludf.DUMMYFUNCTION("""COMPUTED_VALUE"""),0)</f>
        <v>0</v>
      </c>
      <c r="H512" s="1">
        <f ca="1">IFERROR(__xludf.DUMMYFUNCTION("""COMPUTED_VALUE"""),0)</f>
        <v>0</v>
      </c>
      <c r="I512" s="1">
        <f ca="1">IFERROR(__xludf.DUMMYFUNCTION("""COMPUTED_VALUE"""),0)</f>
        <v>0</v>
      </c>
      <c r="J512" s="1">
        <f ca="1">IFERROR(__xludf.DUMMYFUNCTION("""COMPUTED_VALUE"""),0)</f>
        <v>0</v>
      </c>
      <c r="K512" s="1" t="str">
        <f ca="1">IFERROR(__xludf.DUMMYFUNCTION("""COMPUTED_VALUE"""),"Fall")</f>
        <v>Fall</v>
      </c>
      <c r="L512" s="1" t="str">
        <f ca="1">IFERROR(__xludf.DUMMYFUNCTION("""COMPUTED_VALUE"""),"Oxford")</f>
        <v>Oxford</v>
      </c>
      <c r="M512" s="1" t="str">
        <f ca="1">IFERROR(__xludf.DUMMYFUNCTION("""COMPUTED_VALUE"""),"MI")</f>
        <v>MI</v>
      </c>
      <c r="N512" s="1" t="str">
        <f ca="1">IFERROR(__xludf.DUMMYFUNCTION("""COMPUTED_VALUE"""),"Middle")</f>
        <v>Middle</v>
      </c>
      <c r="O512" s="1" t="str">
        <f ca="1">IFERROR(__xludf.DUMMYFUNCTION("""COMPUTED_VALUE"""),"Bathroom")</f>
        <v>Bathroom</v>
      </c>
      <c r="P512" s="1" t="str">
        <f ca="1">IFERROR(__xludf.DUMMYFUNCTION("""COMPUTED_VALUE"""),"Inside School Building")</f>
        <v>Inside School Building</v>
      </c>
      <c r="Q512" s="1" t="str">
        <f ca="1">IFERROR(__xludf.DUMMYFUNCTION("""COMPUTED_VALUE"""),"Yes")</f>
        <v>Yes</v>
      </c>
      <c r="R512" s="1"/>
      <c r="S512" s="1"/>
      <c r="T512" s="1">
        <f ca="1">IFERROR(__xludf.DUMMYFUNCTION("""COMPUTED_VALUE"""),1)</f>
        <v>1</v>
      </c>
      <c r="U512" s="1" t="str">
        <f ca="1">IFERROR(__xludf.DUMMYFUNCTION("""COMPUTED_VALUE"""),"Armed guard (retired officer) fired shot into bathroom ceiling while putting on belt")</f>
        <v>Armed guard (retired officer) fired shot into bathroom ceiling while putting on belt</v>
      </c>
      <c r="V512" s="1" t="str">
        <f ca="1">IFERROR(__xludf.DUMMYFUNCTION("""COMPUTED_VALUE"""),"Armed guard (retired officer) fired shot into bathroom ceiling while putting on belt")</f>
        <v>Armed guard (retired officer) fired shot into bathroom ceiling while putting on belt</v>
      </c>
      <c r="W512" s="1" t="str">
        <f ca="1">IFERROR(__xludf.DUMMYFUNCTION("""COMPUTED_VALUE"""),"Accidental")</f>
        <v>Accidental</v>
      </c>
      <c r="X512" s="1" t="str">
        <f ca="1">IFERROR(__xludf.DUMMYFUNCTION("""COMPUTED_VALUE"""),"Neither")</f>
        <v>Neither</v>
      </c>
      <c r="Y512" s="1" t="str">
        <f ca="1">IFERROR(__xludf.DUMMYFUNCTION("""COMPUTED_VALUE"""),"No")</f>
        <v>No</v>
      </c>
      <c r="Z512" s="1"/>
      <c r="AA512" s="1" t="str">
        <f ca="1">IFERROR(__xludf.DUMMYFUNCTION("""COMPUTED_VALUE"""),"No")</f>
        <v>No</v>
      </c>
      <c r="AB512" s="1" t="str">
        <f ca="1">IFERROR(__xludf.DUMMYFUNCTION("""COMPUTED_VALUE"""),"No")</f>
        <v>No</v>
      </c>
      <c r="AC512" s="1" t="str">
        <f ca="1">IFERROR(__xludf.DUMMYFUNCTION("""COMPUTED_VALUE"""),"Yes")</f>
        <v>Yes</v>
      </c>
      <c r="AD512" s="1" t="str">
        <f ca="1">IFERROR(__xludf.DUMMYFUNCTION("""COMPUTED_VALUE"""),"No")</f>
        <v>No</v>
      </c>
      <c r="AE512" s="1" t="str">
        <f ca="1">IFERROR(__xludf.DUMMYFUNCTION("""COMPUTED_VALUE"""),"No")</f>
        <v>No</v>
      </c>
      <c r="AF512" s="1"/>
      <c r="AG512" s="1" t="str">
        <f ca="1">IFERROR(__xludf.DUMMYFUNCTION("""COMPUTED_VALUE"""),"No")</f>
        <v>No</v>
      </c>
      <c r="AH512" s="1">
        <f ca="1">IFERROR(__xludf.DUMMYFUNCTION("""COMPUTED_VALUE"""),1)</f>
        <v>1</v>
      </c>
    </row>
    <row r="513" spans="1:34" ht="12.5">
      <c r="A513" s="1" t="str">
        <f ca="1">IFERROR(__xludf.DUMMYFUNCTION("""COMPUTED_VALUE"""),"20221001CACOO")</f>
        <v>20221001CACOO</v>
      </c>
      <c r="B513" s="1">
        <f ca="1">IFERROR(__xludf.DUMMYFUNCTION("""COMPUTED_VALUE"""),10)</f>
        <v>10</v>
      </c>
      <c r="C513" s="1">
        <f ca="1">IFERROR(__xludf.DUMMYFUNCTION("""COMPUTED_VALUE"""),1)</f>
        <v>1</v>
      </c>
      <c r="D513" s="1">
        <f ca="1">IFERROR(__xludf.DUMMYFUNCTION("""COMPUTED_VALUE"""),2022)</f>
        <v>2022</v>
      </c>
      <c r="E513" s="4">
        <f ca="1">IFERROR(__xludf.DUMMYFUNCTION("""COMPUTED_VALUE"""),44835)</f>
        <v>44835</v>
      </c>
      <c r="F513" s="1" t="str">
        <f ca="1">IFERROR(__xludf.DUMMYFUNCTION("""COMPUTED_VALUE"""),"Colony High School")</f>
        <v>Colony High School</v>
      </c>
      <c r="G513" s="1">
        <f ca="1">IFERROR(__xludf.DUMMYFUNCTION("""COMPUTED_VALUE"""),0)</f>
        <v>0</v>
      </c>
      <c r="H513" s="1">
        <f ca="1">IFERROR(__xludf.DUMMYFUNCTION("""COMPUTED_VALUE"""),1)</f>
        <v>1</v>
      </c>
      <c r="I513" s="1">
        <f ca="1">IFERROR(__xludf.DUMMYFUNCTION("""COMPUTED_VALUE"""),1)</f>
        <v>1</v>
      </c>
      <c r="J513" s="1">
        <f ca="1">IFERROR(__xludf.DUMMYFUNCTION("""COMPUTED_VALUE"""),0)</f>
        <v>0</v>
      </c>
      <c r="K513" s="1" t="str">
        <f ca="1">IFERROR(__xludf.DUMMYFUNCTION("""COMPUTED_VALUE"""),"Fall")</f>
        <v>Fall</v>
      </c>
      <c r="L513" s="1" t="str">
        <f ca="1">IFERROR(__xludf.DUMMYFUNCTION("""COMPUTED_VALUE"""),"Ontario")</f>
        <v>Ontario</v>
      </c>
      <c r="M513" s="1" t="str">
        <f ca="1">IFERROR(__xludf.DUMMYFUNCTION("""COMPUTED_VALUE"""),"CA")</f>
        <v>CA</v>
      </c>
      <c r="N513" s="1" t="str">
        <f ca="1">IFERROR(__xludf.DUMMYFUNCTION("""COMPUTED_VALUE"""),"High")</f>
        <v>High</v>
      </c>
      <c r="O513" s="1" t="str">
        <f ca="1">IFERROR(__xludf.DUMMYFUNCTION("""COMPUTED_VALUE"""),"Football Field/Track")</f>
        <v>Football Field/Track</v>
      </c>
      <c r="P513" s="1" t="str">
        <f ca="1">IFERROR(__xludf.DUMMYFUNCTION("""COMPUTED_VALUE"""),"Outside on School Property")</f>
        <v>Outside on School Property</v>
      </c>
      <c r="Q513" s="1" t="str">
        <f ca="1">IFERROR(__xludf.DUMMYFUNCTION("""COMPUTED_VALUE"""),"No")</f>
        <v>No</v>
      </c>
      <c r="R513" s="1" t="str">
        <f ca="1">IFERROR(__xludf.DUMMYFUNCTION("""COMPUTED_VALUE"""),"Sport Event")</f>
        <v>Sport Event</v>
      </c>
      <c r="S513" s="5">
        <f ca="1">IFERROR(__xludf.DUMMYFUNCTION("""COMPUTED_VALUE"""),0.604166666666666)</f>
        <v>0.60416666666666596</v>
      </c>
      <c r="T513" s="1">
        <f ca="1">IFERROR(__xludf.DUMMYFUNCTION("""COMPUTED_VALUE"""),1)</f>
        <v>1</v>
      </c>
      <c r="U513" s="1" t="str">
        <f ca="1">IFERROR(__xludf.DUMMYFUNCTION("""COMPUTED_VALUE"""),"Man shot multiple times at youth football game")</f>
        <v>Man shot multiple times at youth football game</v>
      </c>
      <c r="V513" s="1" t="str">
        <f ca="1">IFERROR(__xludf.DUMMYFUNCTION("""COMPUTED_VALUE"""),"A 34-year-old man was shot multiple times on the sidewalk next to the football field during youth football. Shooter fled.")</f>
        <v>A 34-year-old man was shot multiple times on the sidewalk next to the football field during youth football. Shooter fled.</v>
      </c>
      <c r="W513" s="1"/>
      <c r="X513" s="1" t="str">
        <f ca="1">IFERROR(__xludf.DUMMYFUNCTION("""COMPUTED_VALUE"""),"Victims Targeted")</f>
        <v>Victims Targeted</v>
      </c>
      <c r="Y513" s="1" t="str">
        <f ca="1">IFERROR(__xludf.DUMMYFUNCTION("""COMPUTED_VALUE"""),"No")</f>
        <v>No</v>
      </c>
      <c r="Z513" s="1"/>
      <c r="AA513" s="1" t="str">
        <f ca="1">IFERROR(__xludf.DUMMYFUNCTION("""COMPUTED_VALUE"""),"No")</f>
        <v>No</v>
      </c>
      <c r="AB513" s="1" t="str">
        <f ca="1">IFERROR(__xludf.DUMMYFUNCTION("""COMPUTED_VALUE"""),"No")</f>
        <v>No</v>
      </c>
      <c r="AC513" s="1" t="str">
        <f ca="1">IFERROR(__xludf.DUMMYFUNCTION("""COMPUTED_VALUE"""),"No")</f>
        <v>No</v>
      </c>
      <c r="AD513" s="1" t="str">
        <f ca="1">IFERROR(__xludf.DUMMYFUNCTION("""COMPUTED_VALUE"""),"No")</f>
        <v>No</v>
      </c>
      <c r="AE513" s="1" t="str">
        <f ca="1">IFERROR(__xludf.DUMMYFUNCTION("""COMPUTED_VALUE"""),"No")</f>
        <v>No</v>
      </c>
      <c r="AF513" s="1"/>
      <c r="AG513" s="1" t="str">
        <f ca="1">IFERROR(__xludf.DUMMYFUNCTION("""COMPUTED_VALUE"""),"No")</f>
        <v>No</v>
      </c>
      <c r="AH513" s="1">
        <f ca="1">IFERROR(__xludf.DUMMYFUNCTION("""COMPUTED_VALUE"""),99)</f>
        <v>99</v>
      </c>
    </row>
    <row r="514" spans="1:34" ht="12.5">
      <c r="A514" s="1" t="str">
        <f ca="1">IFERROR(__xludf.DUMMYFUNCTION("""COMPUTED_VALUE"""),"20220930OKMCT")</f>
        <v>20220930OKMCT</v>
      </c>
      <c r="B514" s="1">
        <f ca="1">IFERROR(__xludf.DUMMYFUNCTION("""COMPUTED_VALUE"""),9)</f>
        <v>9</v>
      </c>
      <c r="C514" s="1">
        <f ca="1">IFERROR(__xludf.DUMMYFUNCTION("""COMPUTED_VALUE"""),30)</f>
        <v>30</v>
      </c>
      <c r="D514" s="1">
        <f ca="1">IFERROR(__xludf.DUMMYFUNCTION("""COMPUTED_VALUE"""),2022)</f>
        <v>2022</v>
      </c>
      <c r="E514" s="4">
        <f ca="1">IFERROR(__xludf.DUMMYFUNCTION("""COMPUTED_VALUE"""),44834)</f>
        <v>44834</v>
      </c>
      <c r="F514" s="1" t="str">
        <f ca="1">IFERROR(__xludf.DUMMYFUNCTION("""COMPUTED_VALUE"""),"McLain High School")</f>
        <v>McLain High School</v>
      </c>
      <c r="G514" s="1">
        <f ca="1">IFERROR(__xludf.DUMMYFUNCTION("""COMPUTED_VALUE"""),1)</f>
        <v>1</v>
      </c>
      <c r="H514" s="1">
        <f ca="1">IFERROR(__xludf.DUMMYFUNCTION("""COMPUTED_VALUE"""),3)</f>
        <v>3</v>
      </c>
      <c r="I514" s="1">
        <f ca="1">IFERROR(__xludf.DUMMYFUNCTION("""COMPUTED_VALUE"""),4)</f>
        <v>4</v>
      </c>
      <c r="J514" s="1">
        <f ca="1">IFERROR(__xludf.DUMMYFUNCTION("""COMPUTED_VALUE"""),0)</f>
        <v>0</v>
      </c>
      <c r="K514" s="1" t="str">
        <f ca="1">IFERROR(__xludf.DUMMYFUNCTION("""COMPUTED_VALUE"""),"Fall")</f>
        <v>Fall</v>
      </c>
      <c r="L514" s="1" t="str">
        <f ca="1">IFERROR(__xludf.DUMMYFUNCTION("""COMPUTED_VALUE"""),"Tulsa")</f>
        <v>Tulsa</v>
      </c>
      <c r="M514" s="1" t="str">
        <f ca="1">IFERROR(__xludf.DUMMYFUNCTION("""COMPUTED_VALUE"""),"OK")</f>
        <v>OK</v>
      </c>
      <c r="N514" s="1" t="str">
        <f ca="1">IFERROR(__xludf.DUMMYFUNCTION("""COMPUTED_VALUE"""),"High")</f>
        <v>High</v>
      </c>
      <c r="O514" s="1" t="str">
        <f ca="1">IFERROR(__xludf.DUMMYFUNCTION("""COMPUTED_VALUE"""),"Football Field/Track")</f>
        <v>Football Field/Track</v>
      </c>
      <c r="P514" s="1" t="str">
        <f ca="1">IFERROR(__xludf.DUMMYFUNCTION("""COMPUTED_VALUE"""),"Outside on School Property")</f>
        <v>Outside on School Property</v>
      </c>
      <c r="Q514" s="1" t="str">
        <f ca="1">IFERROR(__xludf.DUMMYFUNCTION("""COMPUTED_VALUE"""),"No")</f>
        <v>No</v>
      </c>
      <c r="R514" s="1" t="str">
        <f ca="1">IFERROR(__xludf.DUMMYFUNCTION("""COMPUTED_VALUE"""),"Sport Event")</f>
        <v>Sport Event</v>
      </c>
      <c r="S514" s="5">
        <f ca="1">IFERROR(__xludf.DUMMYFUNCTION("""COMPUTED_VALUE"""),0.916666666666666)</f>
        <v>0.91666666666666596</v>
      </c>
      <c r="T514" s="1">
        <f ca="1">IFERROR(__xludf.DUMMYFUNCTION("""COMPUTED_VALUE"""),1)</f>
        <v>1</v>
      </c>
      <c r="U514" s="1" t="str">
        <f ca="1">IFERROR(__xludf.DUMMYFUNCTION("""COMPUTED_VALUE"""),"Teen killed and another wounded behind the stands during homecoming football game")</f>
        <v>Teen killed and another wounded behind the stands during homecoming football game</v>
      </c>
      <c r="V514" s="1" t="str">
        <f ca="1">IFERROR(__xludf.DUMMYFUNCTION("""COMPUTED_VALUE"""),"The incident occurred just before 10 p.m. at McLain High School in Tulsa, Oklahoma, when the Tulsa Police Department was alerted to a shooting during McLain's homecoming football game in front of a crowd of hundreds against Miami High School. Officers fou"&amp;"nd two teenage victims suffering from gunshot wounds when they arrived on site. One 17-year-old male was pronounced dead at the scene of the crime. The other 17-year-old victim was immediately taken to a local hospital and listed in critical condition but"&amp;" has since improved to stable condition, according to a statement from the Tulsa Police Department.")</f>
        <v>The incident occurred just before 10 p.m. at McLain High School in Tulsa, Oklahoma, when the Tulsa Police Department was alerted to a shooting during McLain's homecoming football game in front of a crowd of hundreds against Miami High School. Officers found two teenage victims suffering from gunshot wounds when they arrived on site. One 17-year-old male was pronounced dead at the scene of the crime. The other 17-year-old victim was immediately taken to a local hospital and listed in critical condition but has since improved to stable condition, according to a statement from the Tulsa Police Department.</v>
      </c>
      <c r="W514" s="1"/>
      <c r="X514" s="1"/>
      <c r="Y514" s="1" t="str">
        <f ca="1">IFERROR(__xludf.DUMMYFUNCTION("""COMPUTED_VALUE"""),"No")</f>
        <v>No</v>
      </c>
      <c r="Z514" s="1"/>
      <c r="AA514" s="1" t="str">
        <f ca="1">IFERROR(__xludf.DUMMYFUNCTION("""COMPUTED_VALUE"""),"No")</f>
        <v>No</v>
      </c>
      <c r="AB514" s="1" t="str">
        <f ca="1">IFERROR(__xludf.DUMMYFUNCTION("""COMPUTED_VALUE"""),"No")</f>
        <v>No</v>
      </c>
      <c r="AC514" s="1" t="str">
        <f ca="1">IFERROR(__xludf.DUMMYFUNCTION("""COMPUTED_VALUE"""),"No")</f>
        <v>No</v>
      </c>
      <c r="AD514" s="1" t="str">
        <f ca="1">IFERROR(__xludf.DUMMYFUNCTION("""COMPUTED_VALUE"""),"No")</f>
        <v>No</v>
      </c>
      <c r="AE514" s="1" t="str">
        <f ca="1">IFERROR(__xludf.DUMMYFUNCTION("""COMPUTED_VALUE"""),"No")</f>
        <v>No</v>
      </c>
      <c r="AF514" s="1"/>
      <c r="AG514" s="1" t="str">
        <f ca="1">IFERROR(__xludf.DUMMYFUNCTION("""COMPUTED_VALUE"""),"No")</f>
        <v>No</v>
      </c>
      <c r="AH514" s="1">
        <f ca="1">IFERROR(__xludf.DUMMYFUNCTION("""COMPUTED_VALUE"""),99)</f>
        <v>99</v>
      </c>
    </row>
    <row r="515" spans="1:34" ht="12.5">
      <c r="A515" s="1" t="str">
        <f ca="1">IFERROR(__xludf.DUMMYFUNCTION("""COMPUTED_VALUE"""),"20220930NYNEN")</f>
        <v>20220930NYNEN</v>
      </c>
      <c r="B515" s="1">
        <f ca="1">IFERROR(__xludf.DUMMYFUNCTION("""COMPUTED_VALUE"""),9)</f>
        <v>9</v>
      </c>
      <c r="C515" s="1">
        <f ca="1">IFERROR(__xludf.DUMMYFUNCTION("""COMPUTED_VALUE"""),30)</f>
        <v>30</v>
      </c>
      <c r="D515" s="1">
        <f ca="1">IFERROR(__xludf.DUMMYFUNCTION("""COMPUTED_VALUE"""),2022)</f>
        <v>2022</v>
      </c>
      <c r="E515" s="4">
        <f ca="1">IFERROR(__xludf.DUMMYFUNCTION("""COMPUTED_VALUE"""),44834)</f>
        <v>44834</v>
      </c>
      <c r="F515" s="1" t="str">
        <f ca="1">IFERROR(__xludf.DUMMYFUNCTION("""COMPUTED_VALUE"""),"Newburgh Free Academy")</f>
        <v>Newburgh Free Academy</v>
      </c>
      <c r="G515" s="1">
        <f ca="1">IFERROR(__xludf.DUMMYFUNCTION("""COMPUTED_VALUE"""),0)</f>
        <v>0</v>
      </c>
      <c r="H515" s="1">
        <f ca="1">IFERROR(__xludf.DUMMYFUNCTION("""COMPUTED_VALUE"""),3)</f>
        <v>3</v>
      </c>
      <c r="I515" s="1">
        <f ca="1">IFERROR(__xludf.DUMMYFUNCTION("""COMPUTED_VALUE"""),3)</f>
        <v>3</v>
      </c>
      <c r="J515" s="1">
        <f ca="1">IFERROR(__xludf.DUMMYFUNCTION("""COMPUTED_VALUE"""),0)</f>
        <v>0</v>
      </c>
      <c r="K515" s="1" t="str">
        <f ca="1">IFERROR(__xludf.DUMMYFUNCTION("""COMPUTED_VALUE"""),"Fall")</f>
        <v>Fall</v>
      </c>
      <c r="L515" s="1" t="str">
        <f ca="1">IFERROR(__xludf.DUMMYFUNCTION("""COMPUTED_VALUE"""),"Newburgh")</f>
        <v>Newburgh</v>
      </c>
      <c r="M515" s="1" t="str">
        <f ca="1">IFERROR(__xludf.DUMMYFUNCTION("""COMPUTED_VALUE"""),"NY")</f>
        <v>NY</v>
      </c>
      <c r="N515" s="1" t="str">
        <f ca="1">IFERROR(__xludf.DUMMYFUNCTION("""COMPUTED_VALUE"""),"High")</f>
        <v>High</v>
      </c>
      <c r="O515" s="1" t="str">
        <f ca="1">IFERROR(__xludf.DUMMYFUNCTION("""COMPUTED_VALUE"""),"Parking Lot")</f>
        <v>Parking Lot</v>
      </c>
      <c r="P515" s="1" t="str">
        <f ca="1">IFERROR(__xludf.DUMMYFUNCTION("""COMPUTED_VALUE"""),"Outside on School Property")</f>
        <v>Outside on School Property</v>
      </c>
      <c r="Q515" s="1" t="str">
        <f ca="1">IFERROR(__xludf.DUMMYFUNCTION("""COMPUTED_VALUE"""),"No")</f>
        <v>No</v>
      </c>
      <c r="R515" s="1" t="str">
        <f ca="1">IFERROR(__xludf.DUMMYFUNCTION("""COMPUTED_VALUE"""),"Sport Event")</f>
        <v>Sport Event</v>
      </c>
      <c r="S515" s="5">
        <f ca="1">IFERROR(__xludf.DUMMYFUNCTION("""COMPUTED_VALUE"""),0.899305555555555)</f>
        <v>0.89930555555555503</v>
      </c>
      <c r="T515" s="1">
        <f ca="1">IFERROR(__xludf.DUMMYFUNCTION("""COMPUTED_VALUE"""),1)</f>
        <v>1</v>
      </c>
      <c r="U515" s="1" t="str">
        <f ca="1">IFERROR(__xludf.DUMMYFUNCTION("""COMPUTED_VALUE"""),"Three people shot during fight in the parking lot following the high school football game.")</f>
        <v>Three people shot during fight in the parking lot following the high school football game.</v>
      </c>
      <c r="V515" s="1" t="str">
        <f ca="1">IFERROR(__xludf.DUMMYFUNCTION("""COMPUTED_VALUE"""),"Police Chief Anthony Geraci said a football game between Newburgh Free Academy and Warwick High School had just concluded at 9:35 p.m. when a fight broke out in a parking lot at the Newburgh school with at least five gunshots fired. Some 2,000 spectators "&amp;"were leaving the game at the time. A 43-year-old woman was shot in the foot, a 17-year-old girl was shot in the thigh and a 21-year-old man was shot in the ankle, the chief said.")</f>
        <v>Police Chief Anthony Geraci said a football game between Newburgh Free Academy and Warwick High School had just concluded at 9:35 p.m. when a fight broke out in a parking lot at the Newburgh school with at least five gunshots fired. Some 2,000 spectators were leaving the game at the time. A 43-year-old woman was shot in the foot, a 17-year-old girl was shot in the thigh and a 21-year-old man was shot in the ankle, the chief said.</v>
      </c>
      <c r="W515" s="1" t="str">
        <f ca="1">IFERROR(__xludf.DUMMYFUNCTION("""COMPUTED_VALUE"""),"Escalation of Dispute")</f>
        <v>Escalation of Dispute</v>
      </c>
      <c r="X515" s="1" t="str">
        <f ca="1">IFERROR(__xludf.DUMMYFUNCTION("""COMPUTED_VALUE"""),"Both")</f>
        <v>Both</v>
      </c>
      <c r="Y515" s="1" t="str">
        <f ca="1">IFERROR(__xludf.DUMMYFUNCTION("""COMPUTED_VALUE"""),"No")</f>
        <v>No</v>
      </c>
      <c r="Z515" s="1"/>
      <c r="AA515" s="1" t="str">
        <f ca="1">IFERROR(__xludf.DUMMYFUNCTION("""COMPUTED_VALUE"""),"No")</f>
        <v>No</v>
      </c>
      <c r="AB515" s="1" t="str">
        <f ca="1">IFERROR(__xludf.DUMMYFUNCTION("""COMPUTED_VALUE"""),"No")</f>
        <v>No</v>
      </c>
      <c r="AC515" s="1" t="str">
        <f ca="1">IFERROR(__xludf.DUMMYFUNCTION("""COMPUTED_VALUE"""),"No")</f>
        <v>No</v>
      </c>
      <c r="AD515" s="1" t="str">
        <f ca="1">IFERROR(__xludf.DUMMYFUNCTION("""COMPUTED_VALUE"""),"No")</f>
        <v>No</v>
      </c>
      <c r="AE515" s="1" t="str">
        <f ca="1">IFERROR(__xludf.DUMMYFUNCTION("""COMPUTED_VALUE"""),"No")</f>
        <v>No</v>
      </c>
      <c r="AF515" s="1"/>
      <c r="AG515" s="1" t="str">
        <f ca="1">IFERROR(__xludf.DUMMYFUNCTION("""COMPUTED_VALUE"""),"No")</f>
        <v>No</v>
      </c>
      <c r="AH515" s="1">
        <f ca="1">IFERROR(__xludf.DUMMYFUNCTION("""COMPUTED_VALUE"""),5)</f>
        <v>5</v>
      </c>
    </row>
    <row r="516" spans="1:34" ht="12.5">
      <c r="A516" s="1" t="str">
        <f ca="1">IFERROR(__xludf.DUMMYFUNCTION("""COMPUTED_VALUE"""),"20220928LASEB")</f>
        <v>20220928LASEB</v>
      </c>
      <c r="B516" s="1">
        <f ca="1">IFERROR(__xludf.DUMMYFUNCTION("""COMPUTED_VALUE"""),9)</f>
        <v>9</v>
      </c>
      <c r="C516" s="1">
        <f ca="1">IFERROR(__xludf.DUMMYFUNCTION("""COMPUTED_VALUE"""),28)</f>
        <v>28</v>
      </c>
      <c r="D516" s="1">
        <f ca="1">IFERROR(__xludf.DUMMYFUNCTION("""COMPUTED_VALUE"""),2022)</f>
        <v>2022</v>
      </c>
      <c r="E516" s="4">
        <f ca="1">IFERROR(__xludf.DUMMYFUNCTION("""COMPUTED_VALUE"""),44832)</f>
        <v>44832</v>
      </c>
      <c r="F516" s="1" t="str">
        <f ca="1">IFERROR(__xludf.DUMMYFUNCTION("""COMPUTED_VALUE"""),"Second Chance Academy")</f>
        <v>Second Chance Academy</v>
      </c>
      <c r="G516" s="1">
        <f ca="1">IFERROR(__xludf.DUMMYFUNCTION("""COMPUTED_VALUE"""),0)</f>
        <v>0</v>
      </c>
      <c r="H516" s="1">
        <f ca="1">IFERROR(__xludf.DUMMYFUNCTION("""COMPUTED_VALUE"""),0)</f>
        <v>0</v>
      </c>
      <c r="I516" s="1">
        <f ca="1">IFERROR(__xludf.DUMMYFUNCTION("""COMPUTED_VALUE"""),0)</f>
        <v>0</v>
      </c>
      <c r="J516" s="1">
        <f ca="1">IFERROR(__xludf.DUMMYFUNCTION("""COMPUTED_VALUE"""),0)</f>
        <v>0</v>
      </c>
      <c r="K516" s="1" t="str">
        <f ca="1">IFERROR(__xludf.DUMMYFUNCTION("""COMPUTED_VALUE"""),"Fall")</f>
        <v>Fall</v>
      </c>
      <c r="L516" s="1" t="str">
        <f ca="1">IFERROR(__xludf.DUMMYFUNCTION("""COMPUTED_VALUE"""),"Baton Rouge")</f>
        <v>Baton Rouge</v>
      </c>
      <c r="M516" s="1" t="str">
        <f ca="1">IFERROR(__xludf.DUMMYFUNCTION("""COMPUTED_VALUE"""),"LA")</f>
        <v>LA</v>
      </c>
      <c r="N516" s="1" t="str">
        <f ca="1">IFERROR(__xludf.DUMMYFUNCTION("""COMPUTED_VALUE"""),"High")</f>
        <v>High</v>
      </c>
      <c r="O516" s="1" t="str">
        <f ca="1">IFERROR(__xludf.DUMMYFUNCTION("""COMPUTED_VALUE"""),"Parking Lot")</f>
        <v>Parking Lot</v>
      </c>
      <c r="P516" s="1" t="str">
        <f ca="1">IFERROR(__xludf.DUMMYFUNCTION("""COMPUTED_VALUE"""),"Outside on School Property")</f>
        <v>Outside on School Property</v>
      </c>
      <c r="Q516" s="1" t="str">
        <f ca="1">IFERROR(__xludf.DUMMYFUNCTION("""COMPUTED_VALUE"""),"Yes")</f>
        <v>Yes</v>
      </c>
      <c r="R516" s="1" t="str">
        <f ca="1">IFERROR(__xludf.DUMMYFUNCTION("""COMPUTED_VALUE"""),"Morning Classes")</f>
        <v>Morning Classes</v>
      </c>
      <c r="S516" s="5">
        <f ca="1">IFERROR(__xludf.DUMMYFUNCTION("""COMPUTED_VALUE"""),0.4375)</f>
        <v>0.4375</v>
      </c>
      <c r="T516" s="1">
        <f ca="1">IFERROR(__xludf.DUMMYFUNCTION("""COMPUTED_VALUE"""),1)</f>
        <v>1</v>
      </c>
      <c r="U516" s="1" t="str">
        <f ca="1">IFERROR(__xludf.DUMMYFUNCTION("""COMPUTED_VALUE"""),"Student fired shots at vehicle in parking lot")</f>
        <v>Student fired shots at vehicle in parking lot</v>
      </c>
      <c r="V516" s="1" t="str">
        <f ca="1">IFERROR(__xludf.DUMMYFUNCTION("""COMPUTED_VALUE"""),"A student left class and returned to school then fired multiple shots at a vehicle parked in the school parking lot. The vehicle was owned by the mother of a student who the shooter had an argument with. Shooter was wearing ankle monitor for prior gun cri"&amp;"me.")</f>
        <v>A student left class and returned to school then fired multiple shots at a vehicle parked in the school parking lot. The vehicle was owned by the mother of a student who the shooter had an argument with. Shooter was wearing ankle monitor for prior gun crime.</v>
      </c>
      <c r="W516" s="1" t="str">
        <f ca="1">IFERROR(__xludf.DUMMYFUNCTION("""COMPUTED_VALUE"""),"Escalation of Dispute")</f>
        <v>Escalation of Dispute</v>
      </c>
      <c r="X516" s="1" t="str">
        <f ca="1">IFERROR(__xludf.DUMMYFUNCTION("""COMPUTED_VALUE"""),"Neither")</f>
        <v>Neither</v>
      </c>
      <c r="Y516" s="1" t="str">
        <f ca="1">IFERROR(__xludf.DUMMYFUNCTION("""COMPUTED_VALUE"""),"No")</f>
        <v>No</v>
      </c>
      <c r="Z516" s="1"/>
      <c r="AA516" s="1" t="str">
        <f ca="1">IFERROR(__xludf.DUMMYFUNCTION("""COMPUTED_VALUE"""),"No")</f>
        <v>No</v>
      </c>
      <c r="AB516" s="1" t="str">
        <f ca="1">IFERROR(__xludf.DUMMYFUNCTION("""COMPUTED_VALUE"""),"No")</f>
        <v>No</v>
      </c>
      <c r="AC516" s="1" t="str">
        <f ca="1">IFERROR(__xludf.DUMMYFUNCTION("""COMPUTED_VALUE"""),"No")</f>
        <v>No</v>
      </c>
      <c r="AD516" s="1" t="str">
        <f ca="1">IFERROR(__xludf.DUMMYFUNCTION("""COMPUTED_VALUE"""),"No")</f>
        <v>No</v>
      </c>
      <c r="AE516" s="1" t="str">
        <f ca="1">IFERROR(__xludf.DUMMYFUNCTION("""COMPUTED_VALUE"""),"No")</f>
        <v>No</v>
      </c>
      <c r="AF516" s="1"/>
      <c r="AG516" s="1" t="str">
        <f ca="1">IFERROR(__xludf.DUMMYFUNCTION("""COMPUTED_VALUE"""),"No")</f>
        <v>No</v>
      </c>
      <c r="AH516" s="1">
        <f ca="1">IFERROR(__xludf.DUMMYFUNCTION("""COMPUTED_VALUE"""),99)</f>
        <v>99</v>
      </c>
    </row>
    <row r="517" spans="1:34" ht="12.5">
      <c r="A517" s="1" t="str">
        <f ca="1">IFERROR(__xludf.DUMMYFUNCTION("""COMPUTED_VALUE"""),"20220928CARUO")</f>
        <v>20220928CARUO</v>
      </c>
      <c r="B517" s="1">
        <f ca="1">IFERROR(__xludf.DUMMYFUNCTION("""COMPUTED_VALUE"""),9)</f>
        <v>9</v>
      </c>
      <c r="C517" s="1">
        <f ca="1">IFERROR(__xludf.DUMMYFUNCTION("""COMPUTED_VALUE"""),28)</f>
        <v>28</v>
      </c>
      <c r="D517" s="1">
        <f ca="1">IFERROR(__xludf.DUMMYFUNCTION("""COMPUTED_VALUE"""),2022)</f>
        <v>2022</v>
      </c>
      <c r="E517" s="4">
        <f ca="1">IFERROR(__xludf.DUMMYFUNCTION("""COMPUTED_VALUE"""),44832)</f>
        <v>44832</v>
      </c>
      <c r="F517" s="1" t="str">
        <f ca="1">IFERROR(__xludf.DUMMYFUNCTION("""COMPUTED_VALUE"""),"Rudsdale Continuation High School")</f>
        <v>Rudsdale Continuation High School</v>
      </c>
      <c r="G517" s="1">
        <f ca="1">IFERROR(__xludf.DUMMYFUNCTION("""COMPUTED_VALUE"""),1)</f>
        <v>1</v>
      </c>
      <c r="H517" s="1">
        <f ca="1">IFERROR(__xludf.DUMMYFUNCTION("""COMPUTED_VALUE"""),5)</f>
        <v>5</v>
      </c>
      <c r="I517" s="1">
        <f ca="1">IFERROR(__xludf.DUMMYFUNCTION("""COMPUTED_VALUE"""),6)</f>
        <v>6</v>
      </c>
      <c r="J517" s="1">
        <f ca="1">IFERROR(__xludf.DUMMYFUNCTION("""COMPUTED_VALUE"""),0)</f>
        <v>0</v>
      </c>
      <c r="K517" s="1" t="str">
        <f ca="1">IFERROR(__xludf.DUMMYFUNCTION("""COMPUTED_VALUE"""),"Fall")</f>
        <v>Fall</v>
      </c>
      <c r="L517" s="1" t="str">
        <f ca="1">IFERROR(__xludf.DUMMYFUNCTION("""COMPUTED_VALUE"""),"Oakland")</f>
        <v>Oakland</v>
      </c>
      <c r="M517" s="1" t="str">
        <f ca="1">IFERROR(__xludf.DUMMYFUNCTION("""COMPUTED_VALUE"""),"CA")</f>
        <v>CA</v>
      </c>
      <c r="N517" s="1" t="str">
        <f ca="1">IFERROR(__xludf.DUMMYFUNCTION("""COMPUTED_VALUE"""),"High")</f>
        <v>High</v>
      </c>
      <c r="O517" s="1" t="str">
        <f ca="1">IFERROR(__xludf.DUMMYFUNCTION("""COMPUTED_VALUE"""),"Inside School Building")</f>
        <v>Inside School Building</v>
      </c>
      <c r="P517" s="1" t="str">
        <f ca="1">IFERROR(__xludf.DUMMYFUNCTION("""COMPUTED_VALUE"""),"Inside School Building")</f>
        <v>Inside School Building</v>
      </c>
      <c r="Q517" s="1" t="str">
        <f ca="1">IFERROR(__xludf.DUMMYFUNCTION("""COMPUTED_VALUE"""),"Yes")</f>
        <v>Yes</v>
      </c>
      <c r="R517" s="1" t="str">
        <f ca="1">IFERROR(__xludf.DUMMYFUNCTION("""COMPUTED_VALUE"""),"Afternoon Classes")</f>
        <v>Afternoon Classes</v>
      </c>
      <c r="S517" s="5">
        <f ca="1">IFERROR(__xludf.DUMMYFUNCTION("""COMPUTED_VALUE"""),0.53125)</f>
        <v>0.53125</v>
      </c>
      <c r="T517" s="1"/>
      <c r="U517" s="1" t="str">
        <f ca="1">IFERROR(__xludf.DUMMYFUNCTION("""COMPUTED_VALUE"""),"6 adults shot inside school")</f>
        <v>6 adults shot inside school</v>
      </c>
      <c r="V517" s="1" t="str">
        <f ca="1">IFERROR(__xludf.DUMMYFUNCTION("""COMPUTED_VALUE"""),"Six adults, both students and teachers, were shot inside the school by two shooters assisted by a third person. Campus has multiple schools including an elementary, middle, high, and adult continuation high school. Entire campus locked down and was search"&amp;"ed by police. 3 in critical condition. Police believe the shooting related to an earlier fight and the shooting may be gang related.")</f>
        <v>Six adults, both students and teachers, were shot inside the school by two shooters assisted by a third person. Campus has multiple schools including an elementary, middle, high, and adult continuation high school. Entire campus locked down and was searched by police. 3 in critical condition. Police believe the shooting related to an earlier fight and the shooting may be gang related.</v>
      </c>
      <c r="W517" s="1" t="str">
        <f ca="1">IFERROR(__xludf.DUMMYFUNCTION("""COMPUTED_VALUE"""),"Escalation of Dispute")</f>
        <v>Escalation of Dispute</v>
      </c>
      <c r="X517" s="1" t="str">
        <f ca="1">IFERROR(__xludf.DUMMYFUNCTION("""COMPUTED_VALUE"""),"Both")</f>
        <v>Both</v>
      </c>
      <c r="Y517" s="1" t="str">
        <f ca="1">IFERROR(__xludf.DUMMYFUNCTION("""COMPUTED_VALUE"""),"Yes")</f>
        <v>Yes</v>
      </c>
      <c r="Z517" s="1" t="str">
        <f ca="1">IFERROR(__xludf.DUMMYFUNCTION("""COMPUTED_VALUE"""),"2 shooters, 3rd person helped")</f>
        <v>2 shooters, 3rd person helped</v>
      </c>
      <c r="AA517" s="1" t="str">
        <f ca="1">IFERROR(__xludf.DUMMYFUNCTION("""COMPUTED_VALUE"""),"No")</f>
        <v>No</v>
      </c>
      <c r="AB517" s="1" t="str">
        <f ca="1">IFERROR(__xludf.DUMMYFUNCTION("""COMPUTED_VALUE"""),"No")</f>
        <v>No</v>
      </c>
      <c r="AC517" s="1" t="str">
        <f ca="1">IFERROR(__xludf.DUMMYFUNCTION("""COMPUTED_VALUE"""),"No")</f>
        <v>No</v>
      </c>
      <c r="AD517" s="1" t="str">
        <f ca="1">IFERROR(__xludf.DUMMYFUNCTION("""COMPUTED_VALUE"""),"No")</f>
        <v>No</v>
      </c>
      <c r="AE517" s="1" t="str">
        <f ca="1">IFERROR(__xludf.DUMMYFUNCTION("""COMPUTED_VALUE"""),"No")</f>
        <v>No</v>
      </c>
      <c r="AF517" s="1" t="str">
        <f ca="1">IFERROR(__xludf.DUMMYFUNCTION("""COMPUTED_VALUE"""),"Yes")</f>
        <v>Yes</v>
      </c>
      <c r="AG517" s="1" t="str">
        <f ca="1">IFERROR(__xludf.DUMMYFUNCTION("""COMPUTED_VALUE"""),"No")</f>
        <v>No</v>
      </c>
      <c r="AH517" s="1">
        <f ca="1">IFERROR(__xludf.DUMMYFUNCTION("""COMPUTED_VALUE"""),30)</f>
        <v>30</v>
      </c>
    </row>
    <row r="518" spans="1:34" ht="12.5">
      <c r="A518" s="1" t="str">
        <f ca="1">IFERROR(__xludf.DUMMYFUNCTION("""COMPUTED_VALUE"""),"20220927TXHGD")</f>
        <v>20220927TXHGD</v>
      </c>
      <c r="B518" s="1">
        <f ca="1">IFERROR(__xludf.DUMMYFUNCTION("""COMPUTED_VALUE"""),9)</f>
        <v>9</v>
      </c>
      <c r="C518" s="1">
        <f ca="1">IFERROR(__xludf.DUMMYFUNCTION("""COMPUTED_VALUE"""),27)</f>
        <v>27</v>
      </c>
      <c r="D518" s="1">
        <f ca="1">IFERROR(__xludf.DUMMYFUNCTION("""COMPUTED_VALUE"""),2022)</f>
        <v>2022</v>
      </c>
      <c r="E518" s="4">
        <f ca="1">IFERROR(__xludf.DUMMYFUNCTION("""COMPUTED_VALUE"""),44831)</f>
        <v>44831</v>
      </c>
      <c r="F518" s="1" t="str">
        <f ca="1">IFERROR(__xludf.DUMMYFUNCTION("""COMPUTED_VALUE"""),"H. Grady Spruce High School")</f>
        <v>H. Grady Spruce High School</v>
      </c>
      <c r="G518" s="1">
        <f ca="1">IFERROR(__xludf.DUMMYFUNCTION("""COMPUTED_VALUE"""),0)</f>
        <v>0</v>
      </c>
      <c r="H518" s="1">
        <f ca="1">IFERROR(__xludf.DUMMYFUNCTION("""COMPUTED_VALUE"""),1)</f>
        <v>1</v>
      </c>
      <c r="I518" s="1">
        <f ca="1">IFERROR(__xludf.DUMMYFUNCTION("""COMPUTED_VALUE"""),1)</f>
        <v>1</v>
      </c>
      <c r="J518" s="1">
        <f ca="1">IFERROR(__xludf.DUMMYFUNCTION("""COMPUTED_VALUE"""),0)</f>
        <v>0</v>
      </c>
      <c r="K518" s="1" t="str">
        <f ca="1">IFERROR(__xludf.DUMMYFUNCTION("""COMPUTED_VALUE"""),"Fall")</f>
        <v>Fall</v>
      </c>
      <c r="L518" s="1" t="str">
        <f ca="1">IFERROR(__xludf.DUMMYFUNCTION("""COMPUTED_VALUE"""),"Dallas")</f>
        <v>Dallas</v>
      </c>
      <c r="M518" s="1" t="str">
        <f ca="1">IFERROR(__xludf.DUMMYFUNCTION("""COMPUTED_VALUE"""),"TX")</f>
        <v>TX</v>
      </c>
      <c r="N518" s="1" t="str">
        <f ca="1">IFERROR(__xludf.DUMMYFUNCTION("""COMPUTED_VALUE"""),"High")</f>
        <v>High</v>
      </c>
      <c r="O518" s="1" t="str">
        <f ca="1">IFERROR(__xludf.DUMMYFUNCTION("""COMPUTED_VALUE"""),"Front of School")</f>
        <v>Front of School</v>
      </c>
      <c r="P518" s="1" t="str">
        <f ca="1">IFERROR(__xludf.DUMMYFUNCTION("""COMPUTED_VALUE"""),"Outside on School Property")</f>
        <v>Outside on School Property</v>
      </c>
      <c r="Q518" s="1" t="str">
        <f ca="1">IFERROR(__xludf.DUMMYFUNCTION("""COMPUTED_VALUE"""),"No")</f>
        <v>No</v>
      </c>
      <c r="R518" s="1" t="str">
        <f ca="1">IFERROR(__xludf.DUMMYFUNCTION("""COMPUTED_VALUE"""),"After School")</f>
        <v>After School</v>
      </c>
      <c r="S518" s="5">
        <f ca="1">IFERROR(__xludf.DUMMYFUNCTION("""COMPUTED_VALUE"""),0.6875)</f>
        <v>0.6875</v>
      </c>
      <c r="T518" s="1">
        <f ca="1">IFERROR(__xludf.DUMMYFUNCTION("""COMPUTED_VALUE"""),1)</f>
        <v>1</v>
      </c>
      <c r="U518" s="1" t="str">
        <f ca="1">IFERROR(__xludf.DUMMYFUNCTION("""COMPUTED_VALUE"""),"Teenage student was shot leaving the school during drive-by")</f>
        <v>Teenage student was shot leaving the school during drive-by</v>
      </c>
      <c r="V518" s="1" t="str">
        <f ca="1">IFERROR(__xludf.DUMMYFUNCTION("""COMPUTED_VALUE"""),"A teenage student was shot while leaving the campus after school. Shots fired from a vehicle and unidentified shooter fled.")</f>
        <v>A teenage student was shot while leaving the campus after school. Shots fired from a vehicle and unidentified shooter fled.</v>
      </c>
      <c r="W518" s="1" t="str">
        <f ca="1">IFERROR(__xludf.DUMMYFUNCTION("""COMPUTED_VALUE"""),"Drive-by Shooting")</f>
        <v>Drive-by Shooting</v>
      </c>
      <c r="X518" s="1" t="str">
        <f ca="1">IFERROR(__xludf.DUMMYFUNCTION("""COMPUTED_VALUE"""),"Victims Targeted")</f>
        <v>Victims Targeted</v>
      </c>
      <c r="Y518" s="1" t="str">
        <f ca="1">IFERROR(__xludf.DUMMYFUNCTION("""COMPUTED_VALUE"""),"Yes")</f>
        <v>Yes</v>
      </c>
      <c r="Z518" s="1"/>
      <c r="AA518" s="1" t="str">
        <f ca="1">IFERROR(__xludf.DUMMYFUNCTION("""COMPUTED_VALUE"""),"No")</f>
        <v>No</v>
      </c>
      <c r="AB518" s="1" t="str">
        <f ca="1">IFERROR(__xludf.DUMMYFUNCTION("""COMPUTED_VALUE"""),"No")</f>
        <v>No</v>
      </c>
      <c r="AC518" s="1" t="str">
        <f ca="1">IFERROR(__xludf.DUMMYFUNCTION("""COMPUTED_VALUE"""),"No")</f>
        <v>No</v>
      </c>
      <c r="AD518" s="1" t="str">
        <f ca="1">IFERROR(__xludf.DUMMYFUNCTION("""COMPUTED_VALUE"""),"No")</f>
        <v>No</v>
      </c>
      <c r="AE518" s="1" t="str">
        <f ca="1">IFERROR(__xludf.DUMMYFUNCTION("""COMPUTED_VALUE"""),"No")</f>
        <v>No</v>
      </c>
      <c r="AF518" s="1"/>
      <c r="AG518" s="1" t="str">
        <f ca="1">IFERROR(__xludf.DUMMYFUNCTION("""COMPUTED_VALUE"""),"No")</f>
        <v>No</v>
      </c>
      <c r="AH518" s="1">
        <f ca="1">IFERROR(__xludf.DUMMYFUNCTION("""COMPUTED_VALUE"""),99)</f>
        <v>99</v>
      </c>
    </row>
    <row r="519" spans="1:34" ht="12.5">
      <c r="A519" s="1" t="str">
        <f ca="1">IFERROR(__xludf.DUMMYFUNCTION("""COMPUTED_VALUE"""),"20220927PAROP")</f>
        <v>20220927PAROP</v>
      </c>
      <c r="B519" s="1">
        <f ca="1">IFERROR(__xludf.DUMMYFUNCTION("""COMPUTED_VALUE"""),9)</f>
        <v>9</v>
      </c>
      <c r="C519" s="1">
        <f ca="1">IFERROR(__xludf.DUMMYFUNCTION("""COMPUTED_VALUE"""),27)</f>
        <v>27</v>
      </c>
      <c r="D519" s="1">
        <f ca="1">IFERROR(__xludf.DUMMYFUNCTION("""COMPUTED_VALUE"""),2022)</f>
        <v>2022</v>
      </c>
      <c r="E519" s="4">
        <f ca="1">IFERROR(__xludf.DUMMYFUNCTION("""COMPUTED_VALUE"""),44831)</f>
        <v>44831</v>
      </c>
      <c r="F519" s="1" t="str">
        <f ca="1">IFERROR(__xludf.DUMMYFUNCTION("""COMPUTED_VALUE"""),"Roxborough High School")</f>
        <v>Roxborough High School</v>
      </c>
      <c r="G519" s="1">
        <f ca="1">IFERROR(__xludf.DUMMYFUNCTION("""COMPUTED_VALUE"""),1)</f>
        <v>1</v>
      </c>
      <c r="H519" s="1">
        <f ca="1">IFERROR(__xludf.DUMMYFUNCTION("""COMPUTED_VALUE"""),4)</f>
        <v>4</v>
      </c>
      <c r="I519" s="1">
        <f ca="1">IFERROR(__xludf.DUMMYFUNCTION("""COMPUTED_VALUE"""),5)</f>
        <v>5</v>
      </c>
      <c r="J519" s="1">
        <f ca="1">IFERROR(__xludf.DUMMYFUNCTION("""COMPUTED_VALUE"""),0)</f>
        <v>0</v>
      </c>
      <c r="K519" s="1" t="str">
        <f ca="1">IFERROR(__xludf.DUMMYFUNCTION("""COMPUTED_VALUE"""),"Fall")</f>
        <v>Fall</v>
      </c>
      <c r="L519" s="1" t="str">
        <f ca="1">IFERROR(__xludf.DUMMYFUNCTION("""COMPUTED_VALUE"""),"Philadelphia")</f>
        <v>Philadelphia</v>
      </c>
      <c r="M519" s="1" t="str">
        <f ca="1">IFERROR(__xludf.DUMMYFUNCTION("""COMPUTED_VALUE"""),"PA")</f>
        <v>PA</v>
      </c>
      <c r="N519" s="1" t="str">
        <f ca="1">IFERROR(__xludf.DUMMYFUNCTION("""COMPUTED_VALUE"""),"High")</f>
        <v>High</v>
      </c>
      <c r="O519" s="1" t="str">
        <f ca="1">IFERROR(__xludf.DUMMYFUNCTION("""COMPUTED_VALUE"""),"Football Field/Track")</f>
        <v>Football Field/Track</v>
      </c>
      <c r="P519" s="1" t="str">
        <f ca="1">IFERROR(__xludf.DUMMYFUNCTION("""COMPUTED_VALUE"""),"Outside on School Property")</f>
        <v>Outside on School Property</v>
      </c>
      <c r="Q519" s="1" t="str">
        <f ca="1">IFERROR(__xludf.DUMMYFUNCTION("""COMPUTED_VALUE"""),"No")</f>
        <v>No</v>
      </c>
      <c r="R519" s="1" t="str">
        <f ca="1">IFERROR(__xludf.DUMMYFUNCTION("""COMPUTED_VALUE"""),"Sport Event")</f>
        <v>Sport Event</v>
      </c>
      <c r="S519" s="5">
        <f ca="1">IFERROR(__xludf.DUMMYFUNCTION("""COMPUTED_VALUE"""),0.695138888888888)</f>
        <v>0.69513888888888797</v>
      </c>
      <c r="T519" s="1">
        <f ca="1">IFERROR(__xludf.DUMMYFUNCTION("""COMPUTED_VALUE"""),1)</f>
        <v>1</v>
      </c>
      <c r="U519" s="1" t="str">
        <f ca="1">IFERROR(__xludf.DUMMYFUNCTION("""COMPUTED_VALUE"""),"5 high school football players shot in drive-by leavings football field")</f>
        <v>5 high school football players shot in drive-by leavings football field</v>
      </c>
      <c r="V519" s="1" t="str">
        <f ca="1">IFERROR(__xludf.DUMMYFUNCTION("""COMPUTED_VALUE"""),"5 students (football players) were shot near the gate to the stadium following a football scrimmage. 14-year-old died. More than 60 shots were fired by two shooters inside an SUV.")</f>
        <v>5 students (football players) were shot near the gate to the stadium following a football scrimmage. 14-year-old died. More than 60 shots were fired by two shooters inside an SUV.</v>
      </c>
      <c r="W519" s="1" t="str">
        <f ca="1">IFERROR(__xludf.DUMMYFUNCTION("""COMPUTED_VALUE"""),"Drive-by Shooting")</f>
        <v>Drive-by Shooting</v>
      </c>
      <c r="X519" s="1" t="str">
        <f ca="1">IFERROR(__xludf.DUMMYFUNCTION("""COMPUTED_VALUE"""),"Victims Targeted")</f>
        <v>Victims Targeted</v>
      </c>
      <c r="Y519" s="1" t="str">
        <f ca="1">IFERROR(__xludf.DUMMYFUNCTION("""COMPUTED_VALUE"""),"Yes")</f>
        <v>Yes</v>
      </c>
      <c r="Z519" s="1" t="str">
        <f ca="1">IFERROR(__xludf.DUMMYFUNCTION("""COMPUTED_VALUE"""),"Five shooters")</f>
        <v>Five shooters</v>
      </c>
      <c r="AA519" s="1" t="str">
        <f ca="1">IFERROR(__xludf.DUMMYFUNCTION("""COMPUTED_VALUE"""),"No")</f>
        <v>No</v>
      </c>
      <c r="AB519" s="1" t="str">
        <f ca="1">IFERROR(__xludf.DUMMYFUNCTION("""COMPUTED_VALUE"""),"No")</f>
        <v>No</v>
      </c>
      <c r="AC519" s="1" t="str">
        <f ca="1">IFERROR(__xludf.DUMMYFUNCTION("""COMPUTED_VALUE"""),"No")</f>
        <v>No</v>
      </c>
      <c r="AD519" s="1" t="str">
        <f ca="1">IFERROR(__xludf.DUMMYFUNCTION("""COMPUTED_VALUE"""),"No")</f>
        <v>No</v>
      </c>
      <c r="AE519" s="1" t="str">
        <f ca="1">IFERROR(__xludf.DUMMYFUNCTION("""COMPUTED_VALUE"""),"No")</f>
        <v>No</v>
      </c>
      <c r="AF519" s="1"/>
      <c r="AG519" s="1" t="str">
        <f ca="1">IFERROR(__xludf.DUMMYFUNCTION("""COMPUTED_VALUE"""),"No")</f>
        <v>No</v>
      </c>
      <c r="AH519" s="1">
        <f ca="1">IFERROR(__xludf.DUMMYFUNCTION("""COMPUTED_VALUE"""),61)</f>
        <v>61</v>
      </c>
    </row>
    <row r="520" spans="1:34" ht="12.5">
      <c r="A520" s="1" t="str">
        <f ca="1">IFERROR(__xludf.DUMMYFUNCTION("""COMPUTED_VALUE"""),"20220926GAVAV")</f>
        <v>20220926GAVAV</v>
      </c>
      <c r="B520" s="1">
        <f ca="1">IFERROR(__xludf.DUMMYFUNCTION("""COMPUTED_VALUE"""),9)</f>
        <v>9</v>
      </c>
      <c r="C520" s="1">
        <f ca="1">IFERROR(__xludf.DUMMYFUNCTION("""COMPUTED_VALUE"""),26)</f>
        <v>26</v>
      </c>
      <c r="D520" s="1">
        <f ca="1">IFERROR(__xludf.DUMMYFUNCTION("""COMPUTED_VALUE"""),2022)</f>
        <v>2022</v>
      </c>
      <c r="E520" s="4">
        <f ca="1">IFERROR(__xludf.DUMMYFUNCTION("""COMPUTED_VALUE"""),44830)</f>
        <v>44830</v>
      </c>
      <c r="F520" s="1" t="str">
        <f ca="1">IFERROR(__xludf.DUMMYFUNCTION("""COMPUTED_VALUE"""),"Valdosta City Schools Bus")</f>
        <v>Valdosta City Schools Bus</v>
      </c>
      <c r="G520" s="1">
        <f ca="1">IFERROR(__xludf.DUMMYFUNCTION("""COMPUTED_VALUE"""),0)</f>
        <v>0</v>
      </c>
      <c r="H520" s="1">
        <f ca="1">IFERROR(__xludf.DUMMYFUNCTION("""COMPUTED_VALUE"""),1)</f>
        <v>1</v>
      </c>
      <c r="I520" s="1">
        <f ca="1">IFERROR(__xludf.DUMMYFUNCTION("""COMPUTED_VALUE"""),1)</f>
        <v>1</v>
      </c>
      <c r="J520" s="1">
        <f ca="1">IFERROR(__xludf.DUMMYFUNCTION("""COMPUTED_VALUE"""),0)</f>
        <v>0</v>
      </c>
      <c r="K520" s="1" t="str">
        <f ca="1">IFERROR(__xludf.DUMMYFUNCTION("""COMPUTED_VALUE"""),"Fall")</f>
        <v>Fall</v>
      </c>
      <c r="L520" s="1" t="str">
        <f ca="1">IFERROR(__xludf.DUMMYFUNCTION("""COMPUTED_VALUE"""),"Valdosta")</f>
        <v>Valdosta</v>
      </c>
      <c r="M520" s="1" t="str">
        <f ca="1">IFERROR(__xludf.DUMMYFUNCTION("""COMPUTED_VALUE"""),"GA")</f>
        <v>GA</v>
      </c>
      <c r="N520" s="1" t="str">
        <f ca="1">IFERROR(__xludf.DUMMYFUNCTION("""COMPUTED_VALUE"""),"High")</f>
        <v>High</v>
      </c>
      <c r="O520" s="1" t="str">
        <f ca="1">IFERROR(__xludf.DUMMYFUNCTION("""COMPUTED_VALUE"""),"School Bus")</f>
        <v>School Bus</v>
      </c>
      <c r="P520" s="1" t="str">
        <f ca="1">IFERROR(__xludf.DUMMYFUNCTION("""COMPUTED_VALUE"""),"School Bus")</f>
        <v>School Bus</v>
      </c>
      <c r="Q520" s="1" t="str">
        <f ca="1">IFERROR(__xludf.DUMMYFUNCTION("""COMPUTED_VALUE"""),"Yes")</f>
        <v>Yes</v>
      </c>
      <c r="R520" s="1" t="str">
        <f ca="1">IFERROR(__xludf.DUMMYFUNCTION("""COMPUTED_VALUE"""),"Before School")</f>
        <v>Before School</v>
      </c>
      <c r="S520" s="5">
        <f ca="1">IFERROR(__xludf.DUMMYFUNCTION("""COMPUTED_VALUE"""),0.322916666666666)</f>
        <v>0.32291666666666602</v>
      </c>
      <c r="T520" s="1">
        <f ca="1">IFERROR(__xludf.DUMMYFUNCTION("""COMPUTED_VALUE"""),1)</f>
        <v>1</v>
      </c>
      <c r="U520" s="1" t="str">
        <f ca="1">IFERROR(__xludf.DUMMYFUNCTION("""COMPUTED_VALUE"""),"Teen shot at school bu stop, bus driver picked up student and drove to hospital")</f>
        <v>Teen shot at school bu stop, bus driver picked up student and drove to hospital</v>
      </c>
      <c r="V520" s="1" t="str">
        <f ca="1">IFERROR(__xludf.DUMMYFUNCTION("""COMPUTED_VALUE"""),"A 17-year-old was shot at the school bus stop. The school bus driver picked up the student and started driving to the hospital. Multiple students provided first aid and applied pressure to the wound. Police and EMS were able to meet the bus. Student in st"&amp;"able condition. Shooter fled.")</f>
        <v>A 17-year-old was shot at the school bus stop. The school bus driver picked up the student and started driving to the hospital. Multiple students provided first aid and applied pressure to the wound. Police and EMS were able to meet the bus. Student in stable condition. Shooter fled.</v>
      </c>
      <c r="W520" s="1"/>
      <c r="X520" s="1" t="str">
        <f ca="1">IFERROR(__xludf.DUMMYFUNCTION("""COMPUTED_VALUE"""),"Victims Targeted")</f>
        <v>Victims Targeted</v>
      </c>
      <c r="Y520" s="1" t="str">
        <f ca="1">IFERROR(__xludf.DUMMYFUNCTION("""COMPUTED_VALUE"""),"No")</f>
        <v>No</v>
      </c>
      <c r="Z520" s="1"/>
      <c r="AA520" s="1" t="str">
        <f ca="1">IFERROR(__xludf.DUMMYFUNCTION("""COMPUTED_VALUE"""),"No")</f>
        <v>No</v>
      </c>
      <c r="AB520" s="1" t="str">
        <f ca="1">IFERROR(__xludf.DUMMYFUNCTION("""COMPUTED_VALUE"""),"No")</f>
        <v>No</v>
      </c>
      <c r="AC520" s="1" t="str">
        <f ca="1">IFERROR(__xludf.DUMMYFUNCTION("""COMPUTED_VALUE"""),"No")</f>
        <v>No</v>
      </c>
      <c r="AD520" s="1" t="str">
        <f ca="1">IFERROR(__xludf.DUMMYFUNCTION("""COMPUTED_VALUE"""),"No")</f>
        <v>No</v>
      </c>
      <c r="AE520" s="1" t="str">
        <f ca="1">IFERROR(__xludf.DUMMYFUNCTION("""COMPUTED_VALUE"""),"No")</f>
        <v>No</v>
      </c>
      <c r="AF520" s="1"/>
      <c r="AG520" s="1" t="str">
        <f ca="1">IFERROR(__xludf.DUMMYFUNCTION("""COMPUTED_VALUE"""),"No")</f>
        <v>No</v>
      </c>
      <c r="AH520" s="1">
        <f ca="1">IFERROR(__xludf.DUMMYFUNCTION("""COMPUTED_VALUE"""),2)</f>
        <v>2</v>
      </c>
    </row>
    <row r="521" spans="1:34" ht="12.5">
      <c r="A521" s="1" t="str">
        <f ca="1">IFERROR(__xludf.DUMMYFUNCTION("""COMPUTED_VALUE"""),"20220923WIROM")</f>
        <v>20220923WIROM</v>
      </c>
      <c r="B521" s="1">
        <f ca="1">IFERROR(__xludf.DUMMYFUNCTION("""COMPUTED_VALUE"""),9)</f>
        <v>9</v>
      </c>
      <c r="C521" s="1">
        <f ca="1">IFERROR(__xludf.DUMMYFUNCTION("""COMPUTED_VALUE"""),23)</f>
        <v>23</v>
      </c>
      <c r="D521" s="1">
        <f ca="1">IFERROR(__xludf.DUMMYFUNCTION("""COMPUTED_VALUE"""),2022)</f>
        <v>2022</v>
      </c>
      <c r="E521" s="4">
        <f ca="1">IFERROR(__xludf.DUMMYFUNCTION("""COMPUTED_VALUE"""),44827)</f>
        <v>44827</v>
      </c>
      <c r="F521" s="1" t="str">
        <f ca="1">IFERROR(__xludf.DUMMYFUNCTION("""COMPUTED_VALUE"""),"Roosevelt Middle School")</f>
        <v>Roosevelt Middle School</v>
      </c>
      <c r="G521" s="1">
        <f ca="1">IFERROR(__xludf.DUMMYFUNCTION("""COMPUTED_VALUE"""),0)</f>
        <v>0</v>
      </c>
      <c r="H521" s="1">
        <f ca="1">IFERROR(__xludf.DUMMYFUNCTION("""COMPUTED_VALUE"""),1)</f>
        <v>1</v>
      </c>
      <c r="I521" s="1">
        <f ca="1">IFERROR(__xludf.DUMMYFUNCTION("""COMPUTED_VALUE"""),1)</f>
        <v>1</v>
      </c>
      <c r="J521" s="1">
        <f ca="1">IFERROR(__xludf.DUMMYFUNCTION("""COMPUTED_VALUE"""),0)</f>
        <v>0</v>
      </c>
      <c r="K521" s="1" t="str">
        <f ca="1">IFERROR(__xludf.DUMMYFUNCTION("""COMPUTED_VALUE"""),"Fall")</f>
        <v>Fall</v>
      </c>
      <c r="L521" s="1" t="str">
        <f ca="1">IFERROR(__xludf.DUMMYFUNCTION("""COMPUTED_VALUE"""),"Milwaukee")</f>
        <v>Milwaukee</v>
      </c>
      <c r="M521" s="1" t="str">
        <f ca="1">IFERROR(__xludf.DUMMYFUNCTION("""COMPUTED_VALUE"""),"WI")</f>
        <v>WI</v>
      </c>
      <c r="N521" s="1" t="str">
        <f ca="1">IFERROR(__xludf.DUMMYFUNCTION("""COMPUTED_VALUE"""),"Middle")</f>
        <v>Middle</v>
      </c>
      <c r="O521" s="1" t="str">
        <f ca="1">IFERROR(__xludf.DUMMYFUNCTION("""COMPUTED_VALUE"""),"Front of School")</f>
        <v>Front of School</v>
      </c>
      <c r="P521" s="1" t="str">
        <f ca="1">IFERROR(__xludf.DUMMYFUNCTION("""COMPUTED_VALUE"""),"Outside on School Property")</f>
        <v>Outside on School Property</v>
      </c>
      <c r="Q521" s="1" t="str">
        <f ca="1">IFERROR(__xludf.DUMMYFUNCTION("""COMPUTED_VALUE"""),"No")</f>
        <v>No</v>
      </c>
      <c r="R521" s="1" t="str">
        <f ca="1">IFERROR(__xludf.DUMMYFUNCTION("""COMPUTED_VALUE"""),"Night")</f>
        <v>Night</v>
      </c>
      <c r="S521" s="5">
        <f ca="1">IFERROR(__xludf.DUMMYFUNCTION("""COMPUTED_VALUE"""),0.9375)</f>
        <v>0.9375</v>
      </c>
      <c r="T521" s="1">
        <f ca="1">IFERROR(__xludf.DUMMYFUNCTION("""COMPUTED_VALUE"""),1)</f>
        <v>1</v>
      </c>
      <c r="U521" s="1" t="str">
        <f ca="1">IFERROR(__xludf.DUMMYFUNCTION("""COMPUTED_VALUE"""),"Man shot in front of school")</f>
        <v>Man shot in front of school</v>
      </c>
      <c r="V521" s="1" t="str">
        <f ca="1">IFERROR(__xludf.DUMMYFUNCTION("""COMPUTED_VALUE"""),"A man was found shot in front of the school. Shooter fled.")</f>
        <v>A man was found shot in front of the school. Shooter fled.</v>
      </c>
      <c r="W521" s="1"/>
      <c r="X521" s="1" t="str">
        <f ca="1">IFERROR(__xludf.DUMMYFUNCTION("""COMPUTED_VALUE"""),"Victims Targeted")</f>
        <v>Victims Targeted</v>
      </c>
      <c r="Y521" s="1" t="str">
        <f ca="1">IFERROR(__xludf.DUMMYFUNCTION("""COMPUTED_VALUE"""),"No")</f>
        <v>No</v>
      </c>
      <c r="Z521" s="1"/>
      <c r="AA521" s="1" t="str">
        <f ca="1">IFERROR(__xludf.DUMMYFUNCTION("""COMPUTED_VALUE"""),"No")</f>
        <v>No</v>
      </c>
      <c r="AB521" s="1" t="str">
        <f ca="1">IFERROR(__xludf.DUMMYFUNCTION("""COMPUTED_VALUE"""),"No")</f>
        <v>No</v>
      </c>
      <c r="AC521" s="1" t="str">
        <f ca="1">IFERROR(__xludf.DUMMYFUNCTION("""COMPUTED_VALUE"""),"No")</f>
        <v>No</v>
      </c>
      <c r="AD521" s="1" t="str">
        <f ca="1">IFERROR(__xludf.DUMMYFUNCTION("""COMPUTED_VALUE"""),"No")</f>
        <v>No</v>
      </c>
      <c r="AE521" s="1" t="str">
        <f ca="1">IFERROR(__xludf.DUMMYFUNCTION("""COMPUTED_VALUE"""),"No")</f>
        <v>No</v>
      </c>
      <c r="AF521" s="1"/>
      <c r="AG521" s="1" t="str">
        <f ca="1">IFERROR(__xludf.DUMMYFUNCTION("""COMPUTED_VALUE"""),"No")</f>
        <v>No</v>
      </c>
      <c r="AH521" s="1"/>
    </row>
    <row r="522" spans="1:34" ht="12.5">
      <c r="A522" s="1" t="str">
        <f ca="1">IFERROR(__xludf.DUMMYFUNCTION("""COMPUTED_VALUE"""),"20220923PAWEP")</f>
        <v>20220923PAWEP</v>
      </c>
      <c r="B522" s="1">
        <f ca="1">IFERROR(__xludf.DUMMYFUNCTION("""COMPUTED_VALUE"""),9)</f>
        <v>9</v>
      </c>
      <c r="C522" s="1">
        <f ca="1">IFERROR(__xludf.DUMMYFUNCTION("""COMPUTED_VALUE"""),23)</f>
        <v>23</v>
      </c>
      <c r="D522" s="1">
        <f ca="1">IFERROR(__xludf.DUMMYFUNCTION("""COMPUTED_VALUE"""),2022)</f>
        <v>2022</v>
      </c>
      <c r="E522" s="4">
        <f ca="1">IFERROR(__xludf.DUMMYFUNCTION("""COMPUTED_VALUE"""),44827)</f>
        <v>44827</v>
      </c>
      <c r="F522" s="1" t="str">
        <f ca="1">IFERROR(__xludf.DUMMYFUNCTION("""COMPUTED_VALUE"""),"West Philadelphia High School")</f>
        <v>West Philadelphia High School</v>
      </c>
      <c r="G522" s="1">
        <f ca="1">IFERROR(__xludf.DUMMYFUNCTION("""COMPUTED_VALUE"""),0)</f>
        <v>0</v>
      </c>
      <c r="H522" s="1">
        <f ca="1">IFERROR(__xludf.DUMMYFUNCTION("""COMPUTED_VALUE"""),0)</f>
        <v>0</v>
      </c>
      <c r="I522" s="1">
        <f ca="1">IFERROR(__xludf.DUMMYFUNCTION("""COMPUTED_VALUE"""),0)</f>
        <v>0</v>
      </c>
      <c r="J522" s="1">
        <f ca="1">IFERROR(__xludf.DUMMYFUNCTION("""COMPUTED_VALUE"""),0)</f>
        <v>0</v>
      </c>
      <c r="K522" s="1" t="str">
        <f ca="1">IFERROR(__xludf.DUMMYFUNCTION("""COMPUTED_VALUE"""),"Fall")</f>
        <v>Fall</v>
      </c>
      <c r="L522" s="1" t="str">
        <f ca="1">IFERROR(__xludf.DUMMYFUNCTION("""COMPUTED_VALUE"""),"Philadelphia")</f>
        <v>Philadelphia</v>
      </c>
      <c r="M522" s="1" t="str">
        <f ca="1">IFERROR(__xludf.DUMMYFUNCTION("""COMPUTED_VALUE"""),"PA")</f>
        <v>PA</v>
      </c>
      <c r="N522" s="1" t="str">
        <f ca="1">IFERROR(__xludf.DUMMYFUNCTION("""COMPUTED_VALUE"""),"High")</f>
        <v>High</v>
      </c>
      <c r="O522" s="1" t="str">
        <f ca="1">IFERROR(__xludf.DUMMYFUNCTION("""COMPUTED_VALUE"""),"Football Field/Track")</f>
        <v>Football Field/Track</v>
      </c>
      <c r="P522" s="1" t="str">
        <f ca="1">IFERROR(__xludf.DUMMYFUNCTION("""COMPUTED_VALUE"""),"Outside on School Property")</f>
        <v>Outside on School Property</v>
      </c>
      <c r="Q522" s="1" t="str">
        <f ca="1">IFERROR(__xludf.DUMMYFUNCTION("""COMPUTED_VALUE"""),"No")</f>
        <v>No</v>
      </c>
      <c r="R522" s="1" t="str">
        <f ca="1">IFERROR(__xludf.DUMMYFUNCTION("""COMPUTED_VALUE"""),"Sport Event")</f>
        <v>Sport Event</v>
      </c>
      <c r="S522" s="5">
        <f ca="1">IFERROR(__xludf.DUMMYFUNCTION("""COMPUTED_VALUE"""),0.895833333333333)</f>
        <v>0.89583333333333304</v>
      </c>
      <c r="T522" s="1">
        <f ca="1">IFERROR(__xludf.DUMMYFUNCTION("""COMPUTED_VALUE"""),1)</f>
        <v>1</v>
      </c>
      <c r="U522" s="1" t="str">
        <f ca="1">IFERROR(__xludf.DUMMYFUNCTION("""COMPUTED_VALUE"""),"Shots fired when football game ended")</f>
        <v>Shots fired when football game ended</v>
      </c>
      <c r="V522" s="1" t="str">
        <f ca="1">IFERROR(__xludf.DUMMYFUNCTION("""COMPUTED_VALUE"""),"Police say shots were fired after a high school football game on Friday night in West Philadelphia. The incident happened at about 9:30 p.m. at 48th and Spruce streets. Police said the football game between West Philadelphia High School and Lincoln High S"&amp;"chool had ended when someone fired a gun outside the field. ")</f>
        <v xml:space="preserve">Police say shots were fired after a high school football game on Friday night in West Philadelphia. The incident happened at about 9:30 p.m. at 48th and Spruce streets. Police said the football game between West Philadelphia High School and Lincoln High School had ended when someone fired a gun outside the field. </v>
      </c>
      <c r="W522" s="1"/>
      <c r="X522" s="1"/>
      <c r="Y522" s="1" t="str">
        <f ca="1">IFERROR(__xludf.DUMMYFUNCTION("""COMPUTED_VALUE"""),"No")</f>
        <v>No</v>
      </c>
      <c r="Z522" s="1"/>
      <c r="AA522" s="1" t="str">
        <f ca="1">IFERROR(__xludf.DUMMYFUNCTION("""COMPUTED_VALUE"""),"No")</f>
        <v>No</v>
      </c>
      <c r="AB522" s="1" t="str">
        <f ca="1">IFERROR(__xludf.DUMMYFUNCTION("""COMPUTED_VALUE"""),"N")</f>
        <v>N</v>
      </c>
      <c r="AC522" s="1" t="str">
        <f ca="1">IFERROR(__xludf.DUMMYFUNCTION("""COMPUTED_VALUE"""),"No")</f>
        <v>No</v>
      </c>
      <c r="AD522" s="1" t="str">
        <f ca="1">IFERROR(__xludf.DUMMYFUNCTION("""COMPUTED_VALUE"""),"No")</f>
        <v>No</v>
      </c>
      <c r="AE522" s="1" t="str">
        <f ca="1">IFERROR(__xludf.DUMMYFUNCTION("""COMPUTED_VALUE"""),"No")</f>
        <v>No</v>
      </c>
      <c r="AF522" s="1"/>
      <c r="AG522" s="1" t="str">
        <f ca="1">IFERROR(__xludf.DUMMYFUNCTION("""COMPUTED_VALUE"""),"No")</f>
        <v>No</v>
      </c>
      <c r="AH522" s="1">
        <f ca="1">IFERROR(__xludf.DUMMYFUNCTION("""COMPUTED_VALUE"""),99)</f>
        <v>99</v>
      </c>
    </row>
    <row r="523" spans="1:34" ht="12.5">
      <c r="A523" s="1" t="str">
        <f ca="1">IFERROR(__xludf.DUMMYFUNCTION("""COMPUTED_VALUE"""),"20220923MNRIM")</f>
        <v>20220923MNRIM</v>
      </c>
      <c r="B523" s="1">
        <f ca="1">IFERROR(__xludf.DUMMYFUNCTION("""COMPUTED_VALUE"""),9)</f>
        <v>9</v>
      </c>
      <c r="C523" s="1">
        <f ca="1">IFERROR(__xludf.DUMMYFUNCTION("""COMPUTED_VALUE"""),23)</f>
        <v>23</v>
      </c>
      <c r="D523" s="1">
        <f ca="1">IFERROR(__xludf.DUMMYFUNCTION("""COMPUTED_VALUE"""),2022)</f>
        <v>2022</v>
      </c>
      <c r="E523" s="4">
        <f ca="1">IFERROR(__xludf.DUMMYFUNCTION("""COMPUTED_VALUE"""),44827)</f>
        <v>44827</v>
      </c>
      <c r="F523" s="1" t="str">
        <f ca="1">IFERROR(__xludf.DUMMYFUNCTION("""COMPUTED_VALUE"""),"Richfield High School")</f>
        <v>Richfield High School</v>
      </c>
      <c r="G523" s="1">
        <f ca="1">IFERROR(__xludf.DUMMYFUNCTION("""COMPUTED_VALUE"""),0)</f>
        <v>0</v>
      </c>
      <c r="H523" s="1">
        <f ca="1">IFERROR(__xludf.DUMMYFUNCTION("""COMPUTED_VALUE"""),2)</f>
        <v>2</v>
      </c>
      <c r="I523" s="1">
        <f ca="1">IFERROR(__xludf.DUMMYFUNCTION("""COMPUTED_VALUE"""),2)</f>
        <v>2</v>
      </c>
      <c r="J523" s="1">
        <f ca="1">IFERROR(__xludf.DUMMYFUNCTION("""COMPUTED_VALUE"""),0)</f>
        <v>0</v>
      </c>
      <c r="K523" s="1" t="str">
        <f ca="1">IFERROR(__xludf.DUMMYFUNCTION("""COMPUTED_VALUE"""),"Fall")</f>
        <v>Fall</v>
      </c>
      <c r="L523" s="1" t="str">
        <f ca="1">IFERROR(__xludf.DUMMYFUNCTION("""COMPUTED_VALUE"""),"Richfield")</f>
        <v>Richfield</v>
      </c>
      <c r="M523" s="1" t="str">
        <f ca="1">IFERROR(__xludf.DUMMYFUNCTION("""COMPUTED_VALUE"""),"MN")</f>
        <v>MN</v>
      </c>
      <c r="N523" s="1" t="str">
        <f ca="1">IFERROR(__xludf.DUMMYFUNCTION("""COMPUTED_VALUE"""),"High")</f>
        <v>High</v>
      </c>
      <c r="O523" s="1" t="str">
        <f ca="1">IFERROR(__xludf.DUMMYFUNCTION("""COMPUTED_VALUE"""),"Football Field/Track")</f>
        <v>Football Field/Track</v>
      </c>
      <c r="P523" s="1" t="str">
        <f ca="1">IFERROR(__xludf.DUMMYFUNCTION("""COMPUTED_VALUE"""),"Outside on School Property")</f>
        <v>Outside on School Property</v>
      </c>
      <c r="Q523" s="1" t="str">
        <f ca="1">IFERROR(__xludf.DUMMYFUNCTION("""COMPUTED_VALUE"""),"No")</f>
        <v>No</v>
      </c>
      <c r="R523" s="1" t="str">
        <f ca="1">IFERROR(__xludf.DUMMYFUNCTION("""COMPUTED_VALUE"""),"Sport Event")</f>
        <v>Sport Event</v>
      </c>
      <c r="S523" s="5">
        <f ca="1">IFERROR(__xludf.DUMMYFUNCTION("""COMPUTED_VALUE"""),0.864583333333333)</f>
        <v>0.86458333333333304</v>
      </c>
      <c r="T523" s="1">
        <f ca="1">IFERROR(__xludf.DUMMYFUNCTION("""COMPUTED_VALUE"""),1)</f>
        <v>1</v>
      </c>
      <c r="U523" s="1" t="str">
        <f ca="1">IFERROR(__xludf.DUMMYFUNCTION("""COMPUTED_VALUE"""),"Shots fired during fight at football game, two people wounded")</f>
        <v>Shots fired during fight at football game, two people wounded</v>
      </c>
      <c r="V523" s="1" t="str">
        <f ca="1">IFERROR(__xludf.DUMMYFUNCTION("""COMPUTED_VALUE"""),"Police say they were alerted by a staff member at Richfield High School around 8:45 p.m. of a group of people that weren't allowed into Friday night's game between Richfield and Bloomington Kennedy. Officials say the group gathered northeast of the footba"&amp;"ll field where a nearby officer reported hearing two shots and numerous people running away from the area. A livestream posted on Richfield High School's YouTube page captured a chaotic scene inside Spartan Stadium where players and spectators are seen ru"&amp;"nning off the field after the two shots were fired. School officials then evacuated the stadium. ")</f>
        <v xml:space="preserve">Police say they were alerted by a staff member at Richfield High School around 8:45 p.m. of a group of people that weren't allowed into Friday night's game between Richfield and Bloomington Kennedy. Officials say the group gathered northeast of the football field where a nearby officer reported hearing two shots and numerous people running away from the area. A livestream posted on Richfield High School's YouTube page captured a chaotic scene inside Spartan Stadium where players and spectators are seen running off the field after the two shots were fired. School officials then evacuated the stadium. </v>
      </c>
      <c r="W523" s="1" t="str">
        <f ca="1">IFERROR(__xludf.DUMMYFUNCTION("""COMPUTED_VALUE"""),"Escalation of Dispute")</f>
        <v>Escalation of Dispute</v>
      </c>
      <c r="X523" s="1" t="str">
        <f ca="1">IFERROR(__xludf.DUMMYFUNCTION("""COMPUTED_VALUE"""),"Both")</f>
        <v>Both</v>
      </c>
      <c r="Y523" s="1" t="str">
        <f ca="1">IFERROR(__xludf.DUMMYFUNCTION("""COMPUTED_VALUE"""),"No")</f>
        <v>No</v>
      </c>
      <c r="Z523" s="1"/>
      <c r="AA523" s="1" t="str">
        <f ca="1">IFERROR(__xludf.DUMMYFUNCTION("""COMPUTED_VALUE"""),"No")</f>
        <v>No</v>
      </c>
      <c r="AB523" s="1" t="str">
        <f ca="1">IFERROR(__xludf.DUMMYFUNCTION("""COMPUTED_VALUE"""),"No")</f>
        <v>No</v>
      </c>
      <c r="AC523" s="1" t="str">
        <f ca="1">IFERROR(__xludf.DUMMYFUNCTION("""COMPUTED_VALUE"""),"No")</f>
        <v>No</v>
      </c>
      <c r="AD523" s="1" t="str">
        <f ca="1">IFERROR(__xludf.DUMMYFUNCTION("""COMPUTED_VALUE"""),"No")</f>
        <v>No</v>
      </c>
      <c r="AE523" s="1" t="str">
        <f ca="1">IFERROR(__xludf.DUMMYFUNCTION("""COMPUTED_VALUE"""),"No")</f>
        <v>No</v>
      </c>
      <c r="AF523" s="1"/>
      <c r="AG523" s="1" t="str">
        <f ca="1">IFERROR(__xludf.DUMMYFUNCTION("""COMPUTED_VALUE"""),"No")</f>
        <v>No</v>
      </c>
      <c r="AH523" s="1">
        <f ca="1">IFERROR(__xludf.DUMMYFUNCTION("""COMPUTED_VALUE"""),5)</f>
        <v>5</v>
      </c>
    </row>
    <row r="524" spans="1:34" ht="12.5">
      <c r="A524" s="1" t="str">
        <f ca="1">IFERROR(__xludf.DUMMYFUNCTION("""COMPUTED_VALUE"""),"20220923DEAPM")</f>
        <v>20220923DEAPM</v>
      </c>
      <c r="B524" s="1">
        <f ca="1">IFERROR(__xludf.DUMMYFUNCTION("""COMPUTED_VALUE"""),9)</f>
        <v>9</v>
      </c>
      <c r="C524" s="1">
        <f ca="1">IFERROR(__xludf.DUMMYFUNCTION("""COMPUTED_VALUE"""),23)</f>
        <v>23</v>
      </c>
      <c r="D524" s="1">
        <f ca="1">IFERROR(__xludf.DUMMYFUNCTION("""COMPUTED_VALUE"""),2022)</f>
        <v>2022</v>
      </c>
      <c r="E524" s="4">
        <f ca="1">IFERROR(__xludf.DUMMYFUNCTION("""COMPUTED_VALUE"""),44827)</f>
        <v>44827</v>
      </c>
      <c r="F524" s="1" t="str">
        <f ca="1">IFERROR(__xludf.DUMMYFUNCTION("""COMPUTED_VALUE"""),"Appoquinimink High School")</f>
        <v>Appoquinimink High School</v>
      </c>
      <c r="G524" s="1">
        <f ca="1">IFERROR(__xludf.DUMMYFUNCTION("""COMPUTED_VALUE"""),0)</f>
        <v>0</v>
      </c>
      <c r="H524" s="1">
        <f ca="1">IFERROR(__xludf.DUMMYFUNCTION("""COMPUTED_VALUE"""),2)</f>
        <v>2</v>
      </c>
      <c r="I524" s="1">
        <f ca="1">IFERROR(__xludf.DUMMYFUNCTION("""COMPUTED_VALUE"""),2)</f>
        <v>2</v>
      </c>
      <c r="J524" s="1">
        <f ca="1">IFERROR(__xludf.DUMMYFUNCTION("""COMPUTED_VALUE"""),0)</f>
        <v>0</v>
      </c>
      <c r="K524" s="1" t="str">
        <f ca="1">IFERROR(__xludf.DUMMYFUNCTION("""COMPUTED_VALUE"""),"Fall")</f>
        <v>Fall</v>
      </c>
      <c r="L524" s="1" t="str">
        <f ca="1">IFERROR(__xludf.DUMMYFUNCTION("""COMPUTED_VALUE"""),"Middletown")</f>
        <v>Middletown</v>
      </c>
      <c r="M524" s="1" t="str">
        <f ca="1">IFERROR(__xludf.DUMMYFUNCTION("""COMPUTED_VALUE"""),"DE")</f>
        <v>DE</v>
      </c>
      <c r="N524" s="1" t="str">
        <f ca="1">IFERROR(__xludf.DUMMYFUNCTION("""COMPUTED_VALUE"""),"High")</f>
        <v>High</v>
      </c>
      <c r="O524" s="1" t="str">
        <f ca="1">IFERROR(__xludf.DUMMYFUNCTION("""COMPUTED_VALUE"""),"Football Field/Track")</f>
        <v>Football Field/Track</v>
      </c>
      <c r="P524" s="1" t="str">
        <f ca="1">IFERROR(__xludf.DUMMYFUNCTION("""COMPUTED_VALUE"""),"Outside on School Property")</f>
        <v>Outside on School Property</v>
      </c>
      <c r="Q524" s="1" t="str">
        <f ca="1">IFERROR(__xludf.DUMMYFUNCTION("""COMPUTED_VALUE"""),"No")</f>
        <v>No</v>
      </c>
      <c r="R524" s="1" t="str">
        <f ca="1">IFERROR(__xludf.DUMMYFUNCTION("""COMPUTED_VALUE"""),"Sport Event")</f>
        <v>Sport Event</v>
      </c>
      <c r="S524" s="5">
        <f ca="1">IFERROR(__xludf.DUMMYFUNCTION("""COMPUTED_VALUE"""),0.888888888888888)</f>
        <v>0.88888888888888795</v>
      </c>
      <c r="T524" s="1">
        <f ca="1">IFERROR(__xludf.DUMMYFUNCTION("""COMPUTED_VALUE"""),1)</f>
        <v>1</v>
      </c>
      <c r="U524" s="1" t="str">
        <f ca="1">IFERROR(__xludf.DUMMYFUNCTION("""COMPUTED_VALUE"""),"Shots fired at gate to football field, two students wounded")</f>
        <v>Shots fired at gate to football field, two students wounded</v>
      </c>
      <c r="V524" s="1" t="str">
        <f ca="1">IFERROR(__xludf.DUMMYFUNCTION("""COMPUTED_VALUE"""),"Police in Middletown, Delaware are investigating after two teens were shot (16YOF critical) Friday night at a high school football game. According to police, the shooting happened at about 9:30 p.m. at Appoquinimink High School on Bunker Hill Road. ")</f>
        <v xml:space="preserve">Police in Middletown, Delaware are investigating after two teens were shot (16YOF critical) Friday night at a high school football game. According to police, the shooting happened at about 9:30 p.m. at Appoquinimink High School on Bunker Hill Road. </v>
      </c>
      <c r="W524" s="1" t="str">
        <f ca="1">IFERROR(__xludf.DUMMYFUNCTION("""COMPUTED_VALUE"""),"Escalation of Dispute")</f>
        <v>Escalation of Dispute</v>
      </c>
      <c r="X524" s="1" t="str">
        <f ca="1">IFERROR(__xludf.DUMMYFUNCTION("""COMPUTED_VALUE"""),"Both")</f>
        <v>Both</v>
      </c>
      <c r="Y524" s="1" t="str">
        <f ca="1">IFERROR(__xludf.DUMMYFUNCTION("""COMPUTED_VALUE"""),"No")</f>
        <v>No</v>
      </c>
      <c r="Z524" s="1"/>
      <c r="AA524" s="1" t="str">
        <f ca="1">IFERROR(__xludf.DUMMYFUNCTION("""COMPUTED_VALUE"""),"No")</f>
        <v>No</v>
      </c>
      <c r="AB524" s="1" t="str">
        <f ca="1">IFERROR(__xludf.DUMMYFUNCTION("""COMPUTED_VALUE"""),"No")</f>
        <v>No</v>
      </c>
      <c r="AC524" s="1" t="str">
        <f ca="1">IFERROR(__xludf.DUMMYFUNCTION("""COMPUTED_VALUE"""),"No")</f>
        <v>No</v>
      </c>
      <c r="AD524" s="1" t="str">
        <f ca="1">IFERROR(__xludf.DUMMYFUNCTION("""COMPUTED_VALUE"""),"No")</f>
        <v>No</v>
      </c>
      <c r="AE524" s="1" t="str">
        <f ca="1">IFERROR(__xludf.DUMMYFUNCTION("""COMPUTED_VALUE"""),"No")</f>
        <v>No</v>
      </c>
      <c r="AF524" s="1"/>
      <c r="AG524" s="1" t="str">
        <f ca="1">IFERROR(__xludf.DUMMYFUNCTION("""COMPUTED_VALUE"""),"No")</f>
        <v>No</v>
      </c>
      <c r="AH524" s="1">
        <f ca="1">IFERROR(__xludf.DUMMYFUNCTION("""COMPUTED_VALUE"""),99)</f>
        <v>99</v>
      </c>
    </row>
    <row r="525" spans="1:34" ht="12.5">
      <c r="A525" s="1" t="str">
        <f ca="1">IFERROR(__xludf.DUMMYFUNCTION("""COMPUTED_VALUE"""),"20220923CANOC")</f>
        <v>20220923CANOC</v>
      </c>
      <c r="B525" s="1">
        <f ca="1">IFERROR(__xludf.DUMMYFUNCTION("""COMPUTED_VALUE"""),9)</f>
        <v>9</v>
      </c>
      <c r="C525" s="1">
        <f ca="1">IFERROR(__xludf.DUMMYFUNCTION("""COMPUTED_VALUE"""),23)</f>
        <v>23</v>
      </c>
      <c r="D525" s="1">
        <f ca="1">IFERROR(__xludf.DUMMYFUNCTION("""COMPUTED_VALUE"""),2022)</f>
        <v>2022</v>
      </c>
      <c r="E525" s="4">
        <f ca="1">IFERROR(__xludf.DUMMYFUNCTION("""COMPUTED_VALUE"""),44827)</f>
        <v>44827</v>
      </c>
      <c r="F525" s="1" t="str">
        <f ca="1">IFERROR(__xludf.DUMMYFUNCTION("""COMPUTED_VALUE"""),"North Monterey County High School")</f>
        <v>North Monterey County High School</v>
      </c>
      <c r="G525" s="1">
        <f ca="1">IFERROR(__xludf.DUMMYFUNCTION("""COMPUTED_VALUE"""),0)</f>
        <v>0</v>
      </c>
      <c r="H525" s="1">
        <f ca="1">IFERROR(__xludf.DUMMYFUNCTION("""COMPUTED_VALUE"""),1)</f>
        <v>1</v>
      </c>
      <c r="I525" s="1">
        <f ca="1">IFERROR(__xludf.DUMMYFUNCTION("""COMPUTED_VALUE"""),1)</f>
        <v>1</v>
      </c>
      <c r="J525" s="1">
        <f ca="1">IFERROR(__xludf.DUMMYFUNCTION("""COMPUTED_VALUE"""),0)</f>
        <v>0</v>
      </c>
      <c r="K525" s="1" t="str">
        <f ca="1">IFERROR(__xludf.DUMMYFUNCTION("""COMPUTED_VALUE"""),"Fall")</f>
        <v>Fall</v>
      </c>
      <c r="L525" s="1" t="str">
        <f ca="1">IFERROR(__xludf.DUMMYFUNCTION("""COMPUTED_VALUE"""),"Castroville")</f>
        <v>Castroville</v>
      </c>
      <c r="M525" s="1" t="str">
        <f ca="1">IFERROR(__xludf.DUMMYFUNCTION("""COMPUTED_VALUE"""),"CA")</f>
        <v>CA</v>
      </c>
      <c r="N525" s="1" t="str">
        <f ca="1">IFERROR(__xludf.DUMMYFUNCTION("""COMPUTED_VALUE"""),"High")</f>
        <v>High</v>
      </c>
      <c r="O525" s="1" t="str">
        <f ca="1">IFERROR(__xludf.DUMMYFUNCTION("""COMPUTED_VALUE"""),"Parking Lot")</f>
        <v>Parking Lot</v>
      </c>
      <c r="P525" s="1" t="str">
        <f ca="1">IFERROR(__xludf.DUMMYFUNCTION("""COMPUTED_VALUE"""),"Outside on School Property")</f>
        <v>Outside on School Property</v>
      </c>
      <c r="Q525" s="1" t="str">
        <f ca="1">IFERROR(__xludf.DUMMYFUNCTION("""COMPUTED_VALUE"""),"No")</f>
        <v>No</v>
      </c>
      <c r="R525" s="1" t="str">
        <f ca="1">IFERROR(__xludf.DUMMYFUNCTION("""COMPUTED_VALUE"""),"Sport Event")</f>
        <v>Sport Event</v>
      </c>
      <c r="S525" s="5">
        <f ca="1">IFERROR(__xludf.DUMMYFUNCTION("""COMPUTED_VALUE"""),0.8125)</f>
        <v>0.8125</v>
      </c>
      <c r="T525" s="1">
        <f ca="1">IFERROR(__xludf.DUMMYFUNCTION("""COMPUTED_VALUE"""),1)</f>
        <v>1</v>
      </c>
      <c r="U525" s="1" t="str">
        <f ca="1">IFERROR(__xludf.DUMMYFUNCTION("""COMPUTED_VALUE"""),"Following fight during game, teen fired shots at 4 teens in a vehicle in the parking lot")</f>
        <v>Following fight during game, teen fired shots at 4 teens in a vehicle in the parking lot</v>
      </c>
      <c r="V525" s="1" t="str">
        <f ca="1">IFERROR(__xludf.DUMMYFUNCTION("""COMPUTED_VALUE"""),"Two groups of teens were ejected from the game for fighting. When two teens left the parking lot in a vehicle, they fired multiple shots at 4 teens sitting inside a car. One teen was injured.")</f>
        <v>Two groups of teens were ejected from the game for fighting. When two teens left the parking lot in a vehicle, they fired multiple shots at 4 teens sitting inside a car. One teen was injured.</v>
      </c>
      <c r="W525" s="1" t="str">
        <f ca="1">IFERROR(__xludf.DUMMYFUNCTION("""COMPUTED_VALUE"""),"Escalation of Dispute")</f>
        <v>Escalation of Dispute</v>
      </c>
      <c r="X525" s="1" t="str">
        <f ca="1">IFERROR(__xludf.DUMMYFUNCTION("""COMPUTED_VALUE"""),"Victims Targeted")</f>
        <v>Victims Targeted</v>
      </c>
      <c r="Y525" s="1" t="str">
        <f ca="1">IFERROR(__xludf.DUMMYFUNCTION("""COMPUTED_VALUE"""),"Yes")</f>
        <v>Yes</v>
      </c>
      <c r="Z525" s="1" t="str">
        <f ca="1">IFERROR(__xludf.DUMMYFUNCTION("""COMPUTED_VALUE"""),"Shooter and driver")</f>
        <v>Shooter and driver</v>
      </c>
      <c r="AA525" s="1" t="str">
        <f ca="1">IFERROR(__xludf.DUMMYFUNCTION("""COMPUTED_VALUE"""),"No")</f>
        <v>No</v>
      </c>
      <c r="AB525" s="1" t="str">
        <f ca="1">IFERROR(__xludf.DUMMYFUNCTION("""COMPUTED_VALUE"""),"No")</f>
        <v>No</v>
      </c>
      <c r="AC525" s="1" t="str">
        <f ca="1">IFERROR(__xludf.DUMMYFUNCTION("""COMPUTED_VALUE"""),"No")</f>
        <v>No</v>
      </c>
      <c r="AD525" s="1" t="str">
        <f ca="1">IFERROR(__xludf.DUMMYFUNCTION("""COMPUTED_VALUE"""),"No")</f>
        <v>No</v>
      </c>
      <c r="AE525" s="1" t="str">
        <f ca="1">IFERROR(__xludf.DUMMYFUNCTION("""COMPUTED_VALUE"""),"No")</f>
        <v>No</v>
      </c>
      <c r="AF525" s="1"/>
      <c r="AG525" s="1" t="str">
        <f ca="1">IFERROR(__xludf.DUMMYFUNCTION("""COMPUTED_VALUE"""),"No")</f>
        <v>No</v>
      </c>
      <c r="AH525" s="1">
        <f ca="1">IFERROR(__xludf.DUMMYFUNCTION("""COMPUTED_VALUE"""),99)</f>
        <v>99</v>
      </c>
    </row>
    <row r="526" spans="1:34" ht="12.5">
      <c r="A526" s="1" t="str">
        <f ca="1">IFERROR(__xludf.DUMMYFUNCTION("""COMPUTED_VALUE"""),"20220922AZMOP")</f>
        <v>20220922AZMOP</v>
      </c>
      <c r="B526" s="1">
        <f ca="1">IFERROR(__xludf.DUMMYFUNCTION("""COMPUTED_VALUE"""),9)</f>
        <v>9</v>
      </c>
      <c r="C526" s="1">
        <f ca="1">IFERROR(__xludf.DUMMYFUNCTION("""COMPUTED_VALUE"""),22)</f>
        <v>22</v>
      </c>
      <c r="D526" s="1">
        <f ca="1">IFERROR(__xludf.DUMMYFUNCTION("""COMPUTED_VALUE"""),2022)</f>
        <v>2022</v>
      </c>
      <c r="E526" s="4">
        <f ca="1">IFERROR(__xludf.DUMMYFUNCTION("""COMPUTED_VALUE"""),44826)</f>
        <v>44826</v>
      </c>
      <c r="F526" s="1" t="str">
        <f ca="1">IFERROR(__xludf.DUMMYFUNCTION("""COMPUTED_VALUE"""),"Mountain View Elementary School")</f>
        <v>Mountain View Elementary School</v>
      </c>
      <c r="G526" s="1">
        <f ca="1">IFERROR(__xludf.DUMMYFUNCTION("""COMPUTED_VALUE"""),0)</f>
        <v>0</v>
      </c>
      <c r="H526" s="1">
        <f ca="1">IFERROR(__xludf.DUMMYFUNCTION("""COMPUTED_VALUE"""),0)</f>
        <v>0</v>
      </c>
      <c r="I526" s="1">
        <f ca="1">IFERROR(__xludf.DUMMYFUNCTION("""COMPUTED_VALUE"""),0)</f>
        <v>0</v>
      </c>
      <c r="J526" s="1">
        <f ca="1">IFERROR(__xludf.DUMMYFUNCTION("""COMPUTED_VALUE"""),0)</f>
        <v>0</v>
      </c>
      <c r="K526" s="1" t="str">
        <f ca="1">IFERROR(__xludf.DUMMYFUNCTION("""COMPUTED_VALUE"""),"Fall")</f>
        <v>Fall</v>
      </c>
      <c r="L526" s="1" t="str">
        <f ca="1">IFERROR(__xludf.DUMMYFUNCTION("""COMPUTED_VALUE"""),"Phoenix")</f>
        <v>Phoenix</v>
      </c>
      <c r="M526" s="1" t="str">
        <f ca="1">IFERROR(__xludf.DUMMYFUNCTION("""COMPUTED_VALUE"""),"AZ")</f>
        <v>AZ</v>
      </c>
      <c r="N526" s="1" t="str">
        <f ca="1">IFERROR(__xludf.DUMMYFUNCTION("""COMPUTED_VALUE"""),"Elementary")</f>
        <v>Elementary</v>
      </c>
      <c r="O526" s="1" t="str">
        <f ca="1">IFERROR(__xludf.DUMMYFUNCTION("""COMPUTED_VALUE"""),"Front of School")</f>
        <v>Front of School</v>
      </c>
      <c r="P526" s="1" t="str">
        <f ca="1">IFERROR(__xludf.DUMMYFUNCTION("""COMPUTED_VALUE"""),"Outside on School Property")</f>
        <v>Outside on School Property</v>
      </c>
      <c r="Q526" s="1" t="str">
        <f ca="1">IFERROR(__xludf.DUMMYFUNCTION("""COMPUTED_VALUE"""),"Yes")</f>
        <v>Yes</v>
      </c>
      <c r="R526" s="1" t="str">
        <f ca="1">IFERROR(__xludf.DUMMYFUNCTION("""COMPUTED_VALUE"""),"Dismissal")</f>
        <v>Dismissal</v>
      </c>
      <c r="S526" s="5">
        <f ca="1">IFERROR(__xludf.DUMMYFUNCTION("""COMPUTED_VALUE"""),0.609027777777777)</f>
        <v>0.60902777777777695</v>
      </c>
      <c r="T526" s="1">
        <f ca="1">IFERROR(__xludf.DUMMYFUNCTION("""COMPUTED_VALUE"""),1)</f>
        <v>1</v>
      </c>
      <c r="U526" s="1" t="str">
        <f ca="1">IFERROR(__xludf.DUMMYFUNCTION("""COMPUTED_VALUE"""),"Woman pulled gun during custody dispute at dismissal, immediately subdued by SRO")</f>
        <v>Woman pulled gun during custody dispute at dismissal, immediately subdued by SRO</v>
      </c>
      <c r="V526" s="1" t="str">
        <f ca="1">IFERROR(__xludf.DUMMYFUNCTION("""COMPUTED_VALUE"""),"Woman pulled gun during custody dispute at dismissal, immediately subdued by SRO")</f>
        <v>Woman pulled gun during custody dispute at dismissal, immediately subdued by SRO</v>
      </c>
      <c r="W526" s="1" t="str">
        <f ca="1">IFERROR(__xludf.DUMMYFUNCTION("""COMPUTED_VALUE"""),"Domestic w/ Targeted Victim")</f>
        <v>Domestic w/ Targeted Victim</v>
      </c>
      <c r="X526" s="1" t="str">
        <f ca="1">IFERROR(__xludf.DUMMYFUNCTION("""COMPUTED_VALUE"""),"Victims Targeted")</f>
        <v>Victims Targeted</v>
      </c>
      <c r="Y526" s="1" t="str">
        <f ca="1">IFERROR(__xludf.DUMMYFUNCTION("""COMPUTED_VALUE"""),"No")</f>
        <v>No</v>
      </c>
      <c r="Z526" s="1"/>
      <c r="AA526" s="1" t="str">
        <f ca="1">IFERROR(__xludf.DUMMYFUNCTION("""COMPUTED_VALUE"""),"No")</f>
        <v>No</v>
      </c>
      <c r="AB526" s="1" t="str">
        <f ca="1">IFERROR(__xludf.DUMMYFUNCTION("""COMPUTED_VALUE"""),"No")</f>
        <v>No</v>
      </c>
      <c r="AC526" s="1" t="str">
        <f ca="1">IFERROR(__xludf.DUMMYFUNCTION("""COMPUTED_VALUE"""),"No")</f>
        <v>No</v>
      </c>
      <c r="AD526" s="1" t="str">
        <f ca="1">IFERROR(__xludf.DUMMYFUNCTION("""COMPUTED_VALUE"""),"No")</f>
        <v>No</v>
      </c>
      <c r="AE526" s="1" t="str">
        <f ca="1">IFERROR(__xludf.DUMMYFUNCTION("""COMPUTED_VALUE"""),"Yes")</f>
        <v>Yes</v>
      </c>
      <c r="AF526" s="1"/>
      <c r="AG526" s="1" t="str">
        <f ca="1">IFERROR(__xludf.DUMMYFUNCTION("""COMPUTED_VALUE"""),"No")</f>
        <v>No</v>
      </c>
      <c r="AH526" s="1">
        <f ca="1">IFERROR(__xludf.DUMMYFUNCTION("""COMPUTED_VALUE"""),0)</f>
        <v>0</v>
      </c>
    </row>
    <row r="527" spans="1:34" ht="12.5">
      <c r="A527" s="1" t="str">
        <f ca="1">IFERROR(__xludf.DUMMYFUNCTION("""COMPUTED_VALUE"""),"20220921INJAS")</f>
        <v>20220921INJAS</v>
      </c>
      <c r="B527" s="1">
        <f ca="1">IFERROR(__xludf.DUMMYFUNCTION("""COMPUTED_VALUE"""),9)</f>
        <v>9</v>
      </c>
      <c r="C527" s="1">
        <f ca="1">IFERROR(__xludf.DUMMYFUNCTION("""COMPUTED_VALUE"""),21)</f>
        <v>21</v>
      </c>
      <c r="D527" s="1">
        <f ca="1">IFERROR(__xludf.DUMMYFUNCTION("""COMPUTED_VALUE"""),2022)</f>
        <v>2022</v>
      </c>
      <c r="E527" s="4">
        <f ca="1">IFERROR(__xludf.DUMMYFUNCTION("""COMPUTED_VALUE"""),44825)</f>
        <v>44825</v>
      </c>
      <c r="F527" s="1" t="str">
        <f ca="1">IFERROR(__xludf.DUMMYFUNCTION("""COMPUTED_VALUE"""),"Jackson Middle School")</f>
        <v>Jackson Middle School</v>
      </c>
      <c r="G527" s="1">
        <f ca="1">IFERROR(__xludf.DUMMYFUNCTION("""COMPUTED_VALUE"""),0)</f>
        <v>0</v>
      </c>
      <c r="H527" s="1">
        <f ca="1">IFERROR(__xludf.DUMMYFUNCTION("""COMPUTED_VALUE"""),0)</f>
        <v>0</v>
      </c>
      <c r="I527" s="1">
        <f ca="1">IFERROR(__xludf.DUMMYFUNCTION("""COMPUTED_VALUE"""),0)</f>
        <v>0</v>
      </c>
      <c r="J527" s="1">
        <f ca="1">IFERROR(__xludf.DUMMYFUNCTION("""COMPUTED_VALUE"""),0)</f>
        <v>0</v>
      </c>
      <c r="K527" s="1" t="str">
        <f ca="1">IFERROR(__xludf.DUMMYFUNCTION("""COMPUTED_VALUE"""),"Fall")</f>
        <v>Fall</v>
      </c>
      <c r="L527" s="1" t="str">
        <f ca="1">IFERROR(__xludf.DUMMYFUNCTION("""COMPUTED_VALUE"""),"South Bend")</f>
        <v>South Bend</v>
      </c>
      <c r="M527" s="1" t="str">
        <f ca="1">IFERROR(__xludf.DUMMYFUNCTION("""COMPUTED_VALUE"""),"IN")</f>
        <v>IN</v>
      </c>
      <c r="N527" s="1" t="str">
        <f ca="1">IFERROR(__xludf.DUMMYFUNCTION("""COMPUTED_VALUE"""),"Middle")</f>
        <v>Middle</v>
      </c>
      <c r="O527" s="1" t="str">
        <f ca="1">IFERROR(__xludf.DUMMYFUNCTION("""COMPUTED_VALUE"""),"School Bus")</f>
        <v>School Bus</v>
      </c>
      <c r="P527" s="1" t="str">
        <f ca="1">IFERROR(__xludf.DUMMYFUNCTION("""COMPUTED_VALUE"""),"School Bus")</f>
        <v>School Bus</v>
      </c>
      <c r="Q527" s="1" t="str">
        <f ca="1">IFERROR(__xludf.DUMMYFUNCTION("""COMPUTED_VALUE"""),"Yes")</f>
        <v>Yes</v>
      </c>
      <c r="R527" s="1" t="str">
        <f ca="1">IFERROR(__xludf.DUMMYFUNCTION("""COMPUTED_VALUE"""),"Dismissal")</f>
        <v>Dismissal</v>
      </c>
      <c r="S527" s="5">
        <f ca="1">IFERROR(__xludf.DUMMYFUNCTION("""COMPUTED_VALUE"""),0.697916666666666)</f>
        <v>0.69791666666666596</v>
      </c>
      <c r="T527" s="1">
        <f ca="1">IFERROR(__xludf.DUMMYFUNCTION("""COMPUTED_VALUE"""),1)</f>
        <v>1</v>
      </c>
      <c r="U527" s="1" t="str">
        <f ca="1">IFERROR(__xludf.DUMMYFUNCTION("""COMPUTED_VALUE"""),"Student fired gun on school bus")</f>
        <v>Student fired gun on school bus</v>
      </c>
      <c r="V527" s="1" t="str">
        <f ca="1">IFERROR(__xludf.DUMMYFUNCTION("""COMPUTED_VALUE"""),"An unidentified student fired a shot on the school bus. No injuries. Student arrested. ")</f>
        <v xml:space="preserve">An unidentified student fired a shot on the school bus. No injuries. Student arrested. </v>
      </c>
      <c r="W527" s="1" t="str">
        <f ca="1">IFERROR(__xludf.DUMMYFUNCTION("""COMPUTED_VALUE"""),"Accidental")</f>
        <v>Accidental</v>
      </c>
      <c r="X527" s="1" t="str">
        <f ca="1">IFERROR(__xludf.DUMMYFUNCTION("""COMPUTED_VALUE"""),"Neither")</f>
        <v>Neither</v>
      </c>
      <c r="Y527" s="1" t="str">
        <f ca="1">IFERROR(__xludf.DUMMYFUNCTION("""COMPUTED_VALUE"""),"No")</f>
        <v>No</v>
      </c>
      <c r="Z527" s="1"/>
      <c r="AA527" s="1" t="str">
        <f ca="1">IFERROR(__xludf.DUMMYFUNCTION("""COMPUTED_VALUE"""),"No")</f>
        <v>No</v>
      </c>
      <c r="AB527" s="1" t="str">
        <f ca="1">IFERROR(__xludf.DUMMYFUNCTION("""COMPUTED_VALUE"""),"No")</f>
        <v>No</v>
      </c>
      <c r="AC527" s="1" t="str">
        <f ca="1">IFERROR(__xludf.DUMMYFUNCTION("""COMPUTED_VALUE"""),"No")</f>
        <v>No</v>
      </c>
      <c r="AD527" s="1" t="str">
        <f ca="1">IFERROR(__xludf.DUMMYFUNCTION("""COMPUTED_VALUE"""),"No")</f>
        <v>No</v>
      </c>
      <c r="AE527" s="1" t="str">
        <f ca="1">IFERROR(__xludf.DUMMYFUNCTION("""COMPUTED_VALUE"""),"No")</f>
        <v>No</v>
      </c>
      <c r="AF527" s="1" t="str">
        <f ca="1">IFERROR(__xludf.DUMMYFUNCTION("""COMPUTED_VALUE"""),"No")</f>
        <v>No</v>
      </c>
      <c r="AG527" s="1" t="str">
        <f ca="1">IFERROR(__xludf.DUMMYFUNCTION("""COMPUTED_VALUE"""),"No")</f>
        <v>No</v>
      </c>
      <c r="AH527" s="1">
        <f ca="1">IFERROR(__xludf.DUMMYFUNCTION("""COMPUTED_VALUE"""),1)</f>
        <v>1</v>
      </c>
    </row>
    <row r="528" spans="1:34" ht="12.5">
      <c r="A528" s="1" t="str">
        <f ca="1">IFERROR(__xludf.DUMMYFUNCTION("""COMPUTED_VALUE"""),"20220920MNMAM")</f>
        <v>20220920MNMAM</v>
      </c>
      <c r="B528" s="1">
        <f ca="1">IFERROR(__xludf.DUMMYFUNCTION("""COMPUTED_VALUE"""),9)</f>
        <v>9</v>
      </c>
      <c r="C528" s="1">
        <f ca="1">IFERROR(__xludf.DUMMYFUNCTION("""COMPUTED_VALUE"""),20)</f>
        <v>20</v>
      </c>
      <c r="D528" s="1">
        <f ca="1">IFERROR(__xludf.DUMMYFUNCTION("""COMPUTED_VALUE"""),2022)</f>
        <v>2022</v>
      </c>
      <c r="E528" s="4">
        <f ca="1">IFERROR(__xludf.DUMMYFUNCTION("""COMPUTED_VALUE"""),44824)</f>
        <v>44824</v>
      </c>
      <c r="F528" s="1" t="str">
        <f ca="1">IFERROR(__xludf.DUMMYFUNCTION("""COMPUTED_VALUE"""),"Mankato West High School")</f>
        <v>Mankato West High School</v>
      </c>
      <c r="G528" s="1">
        <f ca="1">IFERROR(__xludf.DUMMYFUNCTION("""COMPUTED_VALUE"""),0)</f>
        <v>0</v>
      </c>
      <c r="H528" s="1">
        <f ca="1">IFERROR(__xludf.DUMMYFUNCTION("""COMPUTED_VALUE"""),0)</f>
        <v>0</v>
      </c>
      <c r="I528" s="1">
        <f ca="1">IFERROR(__xludf.DUMMYFUNCTION("""COMPUTED_VALUE"""),0)</f>
        <v>0</v>
      </c>
      <c r="J528" s="1">
        <f ca="1">IFERROR(__xludf.DUMMYFUNCTION("""COMPUTED_VALUE"""),1)</f>
        <v>1</v>
      </c>
      <c r="K528" s="1" t="str">
        <f ca="1">IFERROR(__xludf.DUMMYFUNCTION("""COMPUTED_VALUE"""),"Fall")</f>
        <v>Fall</v>
      </c>
      <c r="L528" s="1" t="str">
        <f ca="1">IFERROR(__xludf.DUMMYFUNCTION("""COMPUTED_VALUE"""),"Mankoto")</f>
        <v>Mankoto</v>
      </c>
      <c r="M528" s="1" t="str">
        <f ca="1">IFERROR(__xludf.DUMMYFUNCTION("""COMPUTED_VALUE"""),"MN")</f>
        <v>MN</v>
      </c>
      <c r="N528" s="1" t="str">
        <f ca="1">IFERROR(__xludf.DUMMYFUNCTION("""COMPUTED_VALUE"""),"High")</f>
        <v>High</v>
      </c>
      <c r="O528" s="1" t="str">
        <f ca="1">IFERROR(__xludf.DUMMYFUNCTION("""COMPUTED_VALUE"""),"Parking Lot")</f>
        <v>Parking Lot</v>
      </c>
      <c r="P528" s="1" t="str">
        <f ca="1">IFERROR(__xludf.DUMMYFUNCTION("""COMPUTED_VALUE"""),"Outside on School Property")</f>
        <v>Outside on School Property</v>
      </c>
      <c r="Q528" s="1" t="str">
        <f ca="1">IFERROR(__xludf.DUMMYFUNCTION("""COMPUTED_VALUE"""),"Yes")</f>
        <v>Yes</v>
      </c>
      <c r="R528" s="1" t="str">
        <f ca="1">IFERROR(__xludf.DUMMYFUNCTION("""COMPUTED_VALUE"""),"Lunch")</f>
        <v>Lunch</v>
      </c>
      <c r="S528" s="5">
        <f ca="1">IFERROR(__xludf.DUMMYFUNCTION("""COMPUTED_VALUE"""),0.5)</f>
        <v>0.5</v>
      </c>
      <c r="T528" s="1">
        <f ca="1">IFERROR(__xludf.DUMMYFUNCTION("""COMPUTED_VALUE"""),1)</f>
        <v>1</v>
      </c>
      <c r="U528" s="1" t="str">
        <f ca="1">IFERROR(__xludf.DUMMYFUNCTION("""COMPUTED_VALUE"""),"Student attempted suicide in school parking lot")</f>
        <v>Student attempted suicide in school parking lot</v>
      </c>
      <c r="V528" s="1" t="str">
        <f ca="1">IFERROR(__xludf.DUMMYFUNCTION("""COMPUTED_VALUE"""),"Police confirmed that a juvenile male attempted suicide in the overflow parking lot at Mankato West High School Tuesday. Police received a 911 call shortly after noon for a self-inflicted gunshot wound. The juvenile was transported to the local hospital. "&amp;"School went on lockdown.")</f>
        <v>Police confirmed that a juvenile male attempted suicide in the overflow parking lot at Mankato West High School Tuesday. Police received a 911 call shortly after noon for a self-inflicted gunshot wound. The juvenile was transported to the local hospital. School went on lockdown.</v>
      </c>
      <c r="W528" s="1" t="str">
        <f ca="1">IFERROR(__xludf.DUMMYFUNCTION("""COMPUTED_VALUE"""),"Suicide/Attempted")</f>
        <v>Suicide/Attempted</v>
      </c>
      <c r="X528" s="1" t="str">
        <f ca="1">IFERROR(__xludf.DUMMYFUNCTION("""COMPUTED_VALUE"""),"Victims Targeted")</f>
        <v>Victims Targeted</v>
      </c>
      <c r="Y528" s="1" t="str">
        <f ca="1">IFERROR(__xludf.DUMMYFUNCTION("""COMPUTED_VALUE"""),"No")</f>
        <v>No</v>
      </c>
      <c r="Z528" s="1"/>
      <c r="AA528" s="1" t="str">
        <f ca="1">IFERROR(__xludf.DUMMYFUNCTION("""COMPUTED_VALUE"""),"No")</f>
        <v>No</v>
      </c>
      <c r="AB528" s="1" t="str">
        <f ca="1">IFERROR(__xludf.DUMMYFUNCTION("""COMPUTED_VALUE"""),"No")</f>
        <v>No</v>
      </c>
      <c r="AC528" s="1" t="str">
        <f ca="1">IFERROR(__xludf.DUMMYFUNCTION("""COMPUTED_VALUE"""),"No")</f>
        <v>No</v>
      </c>
      <c r="AD528" s="1"/>
      <c r="AE528" s="1" t="str">
        <f ca="1">IFERROR(__xludf.DUMMYFUNCTION("""COMPUTED_VALUE"""),"No")</f>
        <v>No</v>
      </c>
      <c r="AF528" s="1" t="str">
        <f ca="1">IFERROR(__xludf.DUMMYFUNCTION("""COMPUTED_VALUE"""),"No")</f>
        <v>No</v>
      </c>
      <c r="AG528" s="1" t="str">
        <f ca="1">IFERROR(__xludf.DUMMYFUNCTION("""COMPUTED_VALUE"""),"No")</f>
        <v>No</v>
      </c>
      <c r="AH528" s="1">
        <f ca="1">IFERROR(__xludf.DUMMYFUNCTION("""COMPUTED_VALUE"""),1)</f>
        <v>1</v>
      </c>
    </row>
    <row r="529" spans="1:34" ht="12.5">
      <c r="A529" s="1" t="str">
        <f ca="1">IFERROR(__xludf.DUMMYFUNCTION("""COMPUTED_VALUE"""),"20220920NYINB")</f>
        <v>20220920NYINB</v>
      </c>
      <c r="B529" s="1">
        <f ca="1">IFERROR(__xludf.DUMMYFUNCTION("""COMPUTED_VALUE"""),9)</f>
        <v>9</v>
      </c>
      <c r="C529" s="1">
        <f ca="1">IFERROR(__xludf.DUMMYFUNCTION("""COMPUTED_VALUE"""),20)</f>
        <v>20</v>
      </c>
      <c r="D529" s="1">
        <f ca="1">IFERROR(__xludf.DUMMYFUNCTION("""COMPUTED_VALUE"""),2022)</f>
        <v>2022</v>
      </c>
      <c r="E529" s="4">
        <f ca="1">IFERROR(__xludf.DUMMYFUNCTION("""COMPUTED_VALUE"""),44824)</f>
        <v>44824</v>
      </c>
      <c r="F529" s="1" t="str">
        <f ca="1">IFERROR(__xludf.DUMMYFUNCTION("""COMPUTED_VALUE"""),"Intermediate School 278")</f>
        <v>Intermediate School 278</v>
      </c>
      <c r="G529" s="1">
        <f ca="1">IFERROR(__xludf.DUMMYFUNCTION("""COMPUTED_VALUE"""),0)</f>
        <v>0</v>
      </c>
      <c r="H529" s="1">
        <f ca="1">IFERROR(__xludf.DUMMYFUNCTION("""COMPUTED_VALUE"""),0)</f>
        <v>0</v>
      </c>
      <c r="I529" s="1">
        <f ca="1">IFERROR(__xludf.DUMMYFUNCTION("""COMPUTED_VALUE"""),0)</f>
        <v>0</v>
      </c>
      <c r="J529" s="1">
        <f ca="1">IFERROR(__xludf.DUMMYFUNCTION("""COMPUTED_VALUE"""),0)</f>
        <v>0</v>
      </c>
      <c r="K529" s="1" t="str">
        <f ca="1">IFERROR(__xludf.DUMMYFUNCTION("""COMPUTED_VALUE"""),"Fall")</f>
        <v>Fall</v>
      </c>
      <c r="L529" s="1" t="str">
        <f ca="1">IFERROR(__xludf.DUMMYFUNCTION("""COMPUTED_VALUE"""),"Brooklyn")</f>
        <v>Brooklyn</v>
      </c>
      <c r="M529" s="1" t="str">
        <f ca="1">IFERROR(__xludf.DUMMYFUNCTION("""COMPUTED_VALUE"""),"NY")</f>
        <v>NY</v>
      </c>
      <c r="N529" s="1" t="str">
        <f ca="1">IFERROR(__xludf.DUMMYFUNCTION("""COMPUTED_VALUE"""),"Middle")</f>
        <v>Middle</v>
      </c>
      <c r="O529" s="1" t="str">
        <f ca="1">IFERROR(__xludf.DUMMYFUNCTION("""COMPUTED_VALUE"""),"Playground")</f>
        <v>Playground</v>
      </c>
      <c r="P529" s="1" t="str">
        <f ca="1">IFERROR(__xludf.DUMMYFUNCTION("""COMPUTED_VALUE"""),"Outside on School Property")</f>
        <v>Outside on School Property</v>
      </c>
      <c r="Q529" s="1" t="str">
        <f ca="1">IFERROR(__xludf.DUMMYFUNCTION("""COMPUTED_VALUE"""),"Yes")</f>
        <v>Yes</v>
      </c>
      <c r="R529" s="1" t="str">
        <f ca="1">IFERROR(__xludf.DUMMYFUNCTION("""COMPUTED_VALUE"""),"After School")</f>
        <v>After School</v>
      </c>
      <c r="S529" s="5">
        <f ca="1">IFERROR(__xludf.DUMMYFUNCTION("""COMPUTED_VALUE"""),0.666666666666666)</f>
        <v>0.66666666666666596</v>
      </c>
      <c r="T529" s="1">
        <f ca="1">IFERROR(__xludf.DUMMYFUNCTION("""COMPUTED_VALUE"""),1)</f>
        <v>1</v>
      </c>
      <c r="U529" s="1" t="str">
        <f ca="1">IFERROR(__xludf.DUMMYFUNCTION("""COMPUTED_VALUE"""),"Woman shot herself in head behind school during after school programs")</f>
        <v>Woman shot herself in head behind school during after school programs</v>
      </c>
      <c r="V529" s="1" t="str">
        <f ca="1">IFERROR(__xludf.DUMMYFUNCTION("""COMPUTED_VALUE"""),"Woman shot herself in the head on the playground behind the school just prior to dismissal. She was arguing with her child's father at the time of the shooting. Gunshot was heard inside the school while students were inside for after school programs and s"&amp;"chool went on lockdown until children were released to parents in the late evening.")</f>
        <v>Woman shot herself in the head on the playground behind the school just prior to dismissal. She was arguing with her child's father at the time of the shooting. Gunshot was heard inside the school while students were inside for after school programs and school went on lockdown until children were released to parents in the late evening.</v>
      </c>
      <c r="W529" s="1" t="str">
        <f ca="1">IFERROR(__xludf.DUMMYFUNCTION("""COMPUTED_VALUE"""),"Suicide/Attempted")</f>
        <v>Suicide/Attempted</v>
      </c>
      <c r="X529" s="1" t="str">
        <f ca="1">IFERROR(__xludf.DUMMYFUNCTION("""COMPUTED_VALUE"""),"Victims Targeted")</f>
        <v>Victims Targeted</v>
      </c>
      <c r="Y529" s="1" t="str">
        <f ca="1">IFERROR(__xludf.DUMMYFUNCTION("""COMPUTED_VALUE"""),"No")</f>
        <v>No</v>
      </c>
      <c r="Z529" s="1"/>
      <c r="AA529" s="1" t="str">
        <f ca="1">IFERROR(__xludf.DUMMYFUNCTION("""COMPUTED_VALUE"""),"No")</f>
        <v>No</v>
      </c>
      <c r="AB529" s="1" t="str">
        <f ca="1">IFERROR(__xludf.DUMMYFUNCTION("""COMPUTED_VALUE"""),"No")</f>
        <v>No</v>
      </c>
      <c r="AC529" s="1" t="str">
        <f ca="1">IFERROR(__xludf.DUMMYFUNCTION("""COMPUTED_VALUE"""),"No")</f>
        <v>No</v>
      </c>
      <c r="AD529" s="1" t="str">
        <f ca="1">IFERROR(__xludf.DUMMYFUNCTION("""COMPUTED_VALUE"""),"No")</f>
        <v>No</v>
      </c>
      <c r="AE529" s="1" t="str">
        <f ca="1">IFERROR(__xludf.DUMMYFUNCTION("""COMPUTED_VALUE"""),"No")</f>
        <v>No</v>
      </c>
      <c r="AF529" s="1" t="str">
        <f ca="1">IFERROR(__xludf.DUMMYFUNCTION("""COMPUTED_VALUE"""),"No")</f>
        <v>No</v>
      </c>
      <c r="AG529" s="1" t="str">
        <f ca="1">IFERROR(__xludf.DUMMYFUNCTION("""COMPUTED_VALUE"""),"No")</f>
        <v>No</v>
      </c>
      <c r="AH529" s="1">
        <f ca="1">IFERROR(__xludf.DUMMYFUNCTION("""COMPUTED_VALUE"""),1)</f>
        <v>1</v>
      </c>
    </row>
    <row r="530" spans="1:34" ht="12.5">
      <c r="A530" s="1" t="str">
        <f ca="1">IFERROR(__xludf.DUMMYFUNCTION("""COMPUTED_VALUE"""),"20220919LALAN")</f>
        <v>20220919LALAN</v>
      </c>
      <c r="B530" s="1">
        <f ca="1">IFERROR(__xludf.DUMMYFUNCTION("""COMPUTED_VALUE"""),9)</f>
        <v>9</v>
      </c>
      <c r="C530" s="1">
        <f ca="1">IFERROR(__xludf.DUMMYFUNCTION("""COMPUTED_VALUE"""),19)</f>
        <v>19</v>
      </c>
      <c r="D530" s="1">
        <f ca="1">IFERROR(__xludf.DUMMYFUNCTION("""COMPUTED_VALUE"""),2022)</f>
        <v>2022</v>
      </c>
      <c r="E530" s="4">
        <f ca="1">IFERROR(__xludf.DUMMYFUNCTION("""COMPUTED_VALUE"""),44823)</f>
        <v>44823</v>
      </c>
      <c r="F530" s="1" t="str">
        <f ca="1">IFERROR(__xludf.DUMMYFUNCTION("""COMPUTED_VALUE"""),"Laureate Academy Charter School")</f>
        <v>Laureate Academy Charter School</v>
      </c>
      <c r="G530" s="1">
        <f ca="1">IFERROR(__xludf.DUMMYFUNCTION("""COMPUTED_VALUE"""),0)</f>
        <v>0</v>
      </c>
      <c r="H530" s="1">
        <f ca="1">IFERROR(__xludf.DUMMYFUNCTION("""COMPUTED_VALUE"""),0)</f>
        <v>0</v>
      </c>
      <c r="I530" s="1">
        <f ca="1">IFERROR(__xludf.DUMMYFUNCTION("""COMPUTED_VALUE"""),0)</f>
        <v>0</v>
      </c>
      <c r="J530" s="1">
        <f ca="1">IFERROR(__xludf.DUMMYFUNCTION("""COMPUTED_VALUE"""),0)</f>
        <v>0</v>
      </c>
      <c r="K530" s="1" t="str">
        <f ca="1">IFERROR(__xludf.DUMMYFUNCTION("""COMPUTED_VALUE"""),"Fall")</f>
        <v>Fall</v>
      </c>
      <c r="L530" s="1" t="str">
        <f ca="1">IFERROR(__xludf.DUMMYFUNCTION("""COMPUTED_VALUE"""),"New Orleans")</f>
        <v>New Orleans</v>
      </c>
      <c r="M530" s="1" t="str">
        <f ca="1">IFERROR(__xludf.DUMMYFUNCTION("""COMPUTED_VALUE"""),"LA")</f>
        <v>LA</v>
      </c>
      <c r="N530" s="1" t="str">
        <f ca="1">IFERROR(__xludf.DUMMYFUNCTION("""COMPUTED_VALUE"""),"K-8")</f>
        <v>K-8</v>
      </c>
      <c r="O530" s="1" t="str">
        <f ca="1">IFERROR(__xludf.DUMMYFUNCTION("""COMPUTED_VALUE"""),"School Bus")</f>
        <v>School Bus</v>
      </c>
      <c r="P530" s="1" t="str">
        <f ca="1">IFERROR(__xludf.DUMMYFUNCTION("""COMPUTED_VALUE"""),"School Bus")</f>
        <v>School Bus</v>
      </c>
      <c r="Q530" s="1" t="str">
        <f ca="1">IFERROR(__xludf.DUMMYFUNCTION("""COMPUTED_VALUE"""),"Yes")</f>
        <v>Yes</v>
      </c>
      <c r="R530" s="1" t="str">
        <f ca="1">IFERROR(__xludf.DUMMYFUNCTION("""COMPUTED_VALUE"""),"School Start")</f>
        <v>School Start</v>
      </c>
      <c r="S530" s="5">
        <f ca="1">IFERROR(__xludf.DUMMYFUNCTION("""COMPUTED_VALUE"""),0.291666666666666)</f>
        <v>0.29166666666666602</v>
      </c>
      <c r="T530" s="1">
        <f ca="1">IFERROR(__xludf.DUMMYFUNCTION("""COMPUTED_VALUE"""),1)</f>
        <v>1</v>
      </c>
      <c r="U530" s="1" t="str">
        <f ca="1">IFERROR(__xludf.DUMMYFUNCTION("""COMPUTED_VALUE"""),"Student fired gun on school bus")</f>
        <v>Student fired gun on school bus</v>
      </c>
      <c r="V530" s="1" t="str">
        <f ca="1">IFERROR(__xludf.DUMMYFUNCTION("""COMPUTED_VALUE"""),"An unidentified student fired a shot on the school bus. Bus driver stopped the bus and contacted police. After interviewing students, the student who fired the shot admitted he brought the gun onto the bus and was arrested.")</f>
        <v>An unidentified student fired a shot on the school bus. Bus driver stopped the bus and contacted police. After interviewing students, the student who fired the shot admitted he brought the gun onto the bus and was arrested.</v>
      </c>
      <c r="W530" s="1" t="str">
        <f ca="1">IFERROR(__xludf.DUMMYFUNCTION("""COMPUTED_VALUE"""),"Accidental")</f>
        <v>Accidental</v>
      </c>
      <c r="X530" s="1" t="str">
        <f ca="1">IFERROR(__xludf.DUMMYFUNCTION("""COMPUTED_VALUE"""),"Neither")</f>
        <v>Neither</v>
      </c>
      <c r="Y530" s="1" t="str">
        <f ca="1">IFERROR(__xludf.DUMMYFUNCTION("""COMPUTED_VALUE"""),"No")</f>
        <v>No</v>
      </c>
      <c r="Z530" s="1"/>
      <c r="AA530" s="1" t="str">
        <f ca="1">IFERROR(__xludf.DUMMYFUNCTION("""COMPUTED_VALUE"""),"No")</f>
        <v>No</v>
      </c>
      <c r="AB530" s="1" t="str">
        <f ca="1">IFERROR(__xludf.DUMMYFUNCTION("""COMPUTED_VALUE"""),"No")</f>
        <v>No</v>
      </c>
      <c r="AC530" s="1" t="str">
        <f ca="1">IFERROR(__xludf.DUMMYFUNCTION("""COMPUTED_VALUE"""),"No")</f>
        <v>No</v>
      </c>
      <c r="AD530" s="1" t="str">
        <f ca="1">IFERROR(__xludf.DUMMYFUNCTION("""COMPUTED_VALUE"""),"No")</f>
        <v>No</v>
      </c>
      <c r="AE530" s="1" t="str">
        <f ca="1">IFERROR(__xludf.DUMMYFUNCTION("""COMPUTED_VALUE"""),"No")</f>
        <v>No</v>
      </c>
      <c r="AF530" s="1" t="str">
        <f ca="1">IFERROR(__xludf.DUMMYFUNCTION("""COMPUTED_VALUE"""),"No")</f>
        <v>No</v>
      </c>
      <c r="AG530" s="1" t="str">
        <f ca="1">IFERROR(__xludf.DUMMYFUNCTION("""COMPUTED_VALUE"""),"No")</f>
        <v>No</v>
      </c>
      <c r="AH530" s="1">
        <f ca="1">IFERROR(__xludf.DUMMYFUNCTION("""COMPUTED_VALUE"""),1)</f>
        <v>1</v>
      </c>
    </row>
    <row r="531" spans="1:34" ht="12.5">
      <c r="A531" s="1" t="str">
        <f ca="1">IFERROR(__xludf.DUMMYFUNCTION("""COMPUTED_VALUE"""),"20220919FLTRS")</f>
        <v>20220919FLTRS</v>
      </c>
      <c r="B531" s="1">
        <f ca="1">IFERROR(__xludf.DUMMYFUNCTION("""COMPUTED_VALUE"""),9)</f>
        <v>9</v>
      </c>
      <c r="C531" s="1">
        <f ca="1">IFERROR(__xludf.DUMMYFUNCTION("""COMPUTED_VALUE"""),19)</f>
        <v>19</v>
      </c>
      <c r="D531" s="1">
        <f ca="1">IFERROR(__xludf.DUMMYFUNCTION("""COMPUTED_VALUE"""),2022)</f>
        <v>2022</v>
      </c>
      <c r="E531" s="4">
        <f ca="1">IFERROR(__xludf.DUMMYFUNCTION("""COMPUTED_VALUE"""),44823)</f>
        <v>44823</v>
      </c>
      <c r="F531" s="1" t="str">
        <f ca="1">IFERROR(__xludf.DUMMYFUNCTION("""COMPUTED_VALUE"""),"Treasure Coast Classical Academy")</f>
        <v>Treasure Coast Classical Academy</v>
      </c>
      <c r="G531" s="1">
        <f ca="1">IFERROR(__xludf.DUMMYFUNCTION("""COMPUTED_VALUE"""),0)</f>
        <v>0</v>
      </c>
      <c r="H531" s="1">
        <f ca="1">IFERROR(__xludf.DUMMYFUNCTION("""COMPUTED_VALUE"""),0)</f>
        <v>0</v>
      </c>
      <c r="I531" s="1">
        <f ca="1">IFERROR(__xludf.DUMMYFUNCTION("""COMPUTED_VALUE"""),0)</f>
        <v>0</v>
      </c>
      <c r="J531" s="1">
        <f ca="1">IFERROR(__xludf.DUMMYFUNCTION("""COMPUTED_VALUE"""),0)</f>
        <v>0</v>
      </c>
      <c r="K531" s="1" t="str">
        <f ca="1">IFERROR(__xludf.DUMMYFUNCTION("""COMPUTED_VALUE"""),"Fall")</f>
        <v>Fall</v>
      </c>
      <c r="L531" s="1" t="str">
        <f ca="1">IFERROR(__xludf.DUMMYFUNCTION("""COMPUTED_VALUE"""),"Stuart")</f>
        <v>Stuart</v>
      </c>
      <c r="M531" s="1" t="str">
        <f ca="1">IFERROR(__xludf.DUMMYFUNCTION("""COMPUTED_VALUE"""),"FL")</f>
        <v>FL</v>
      </c>
      <c r="N531" s="1" t="str">
        <f ca="1">IFERROR(__xludf.DUMMYFUNCTION("""COMPUTED_VALUE"""),"Elementary")</f>
        <v>Elementary</v>
      </c>
      <c r="O531" s="1" t="str">
        <f ca="1">IFERROR(__xludf.DUMMYFUNCTION("""COMPUTED_VALUE"""),"Office")</f>
        <v>Office</v>
      </c>
      <c r="P531" s="1" t="str">
        <f ca="1">IFERROR(__xludf.DUMMYFUNCTION("""COMPUTED_VALUE"""),"Inside School Building")</f>
        <v>Inside School Building</v>
      </c>
      <c r="Q531" s="1" t="str">
        <f ca="1">IFERROR(__xludf.DUMMYFUNCTION("""COMPUTED_VALUE"""),"Yes")</f>
        <v>Yes</v>
      </c>
      <c r="R531" s="1" t="str">
        <f ca="1">IFERROR(__xludf.DUMMYFUNCTION("""COMPUTED_VALUE"""),"Afternoon Classes")</f>
        <v>Afternoon Classes</v>
      </c>
      <c r="S531" s="1"/>
      <c r="T531" s="1">
        <f ca="1">IFERROR(__xludf.DUMMYFUNCTION("""COMPUTED_VALUE"""),1)</f>
        <v>1</v>
      </c>
      <c r="U531" s="1" t="str">
        <f ca="1">IFERROR(__xludf.DUMMYFUNCTION("""COMPUTED_VALUE"""),"SRO fired bullet through office wall into classroom")</f>
        <v>SRO fired bullet through office wall into classroom</v>
      </c>
      <c r="V531" s="1" t="str">
        <f ca="1">IFERROR(__xludf.DUMMYFUNCTION("""COMPUTED_VALUE"""),"SRO was ""dry firing"" handgun in his office when gun fired Monday afternoon. Bullet went through the office wall, across the school hallway at shoulder level, through a classroom wall, and lodged in a bookcase. Students were inside the classroom when the"&amp;" shot was fired.")</f>
        <v>SRO was "dry firing" handgun in his office when gun fired Monday afternoon. Bullet went through the office wall, across the school hallway at shoulder level, through a classroom wall, and lodged in a bookcase. Students were inside the classroom when the shot was fired.</v>
      </c>
      <c r="W531" s="1" t="str">
        <f ca="1">IFERROR(__xludf.DUMMYFUNCTION("""COMPUTED_VALUE"""),"Accidental")</f>
        <v>Accidental</v>
      </c>
      <c r="X531" s="1" t="str">
        <f ca="1">IFERROR(__xludf.DUMMYFUNCTION("""COMPUTED_VALUE"""),"Neither")</f>
        <v>Neither</v>
      </c>
      <c r="Y531" s="1" t="str">
        <f ca="1">IFERROR(__xludf.DUMMYFUNCTION("""COMPUTED_VALUE"""),"No")</f>
        <v>No</v>
      </c>
      <c r="Z531" s="1"/>
      <c r="AA531" s="1" t="str">
        <f ca="1">IFERROR(__xludf.DUMMYFUNCTION("""COMPUTED_VALUE"""),"No")</f>
        <v>No</v>
      </c>
      <c r="AB531" s="1" t="str">
        <f ca="1">IFERROR(__xludf.DUMMYFUNCTION("""COMPUTED_VALUE"""),"No")</f>
        <v>No</v>
      </c>
      <c r="AC531" s="1" t="str">
        <f ca="1">IFERROR(__xludf.DUMMYFUNCTION("""COMPUTED_VALUE"""),"No")</f>
        <v>No</v>
      </c>
      <c r="AD531" s="1" t="str">
        <f ca="1">IFERROR(__xludf.DUMMYFUNCTION("""COMPUTED_VALUE"""),"No")</f>
        <v>No</v>
      </c>
      <c r="AE531" s="1" t="str">
        <f ca="1">IFERROR(__xludf.DUMMYFUNCTION("""COMPUTED_VALUE"""),"No")</f>
        <v>No</v>
      </c>
      <c r="AF531" s="1" t="str">
        <f ca="1">IFERROR(__xludf.DUMMYFUNCTION("""COMPUTED_VALUE"""),"No")</f>
        <v>No</v>
      </c>
      <c r="AG531" s="1" t="str">
        <f ca="1">IFERROR(__xludf.DUMMYFUNCTION("""COMPUTED_VALUE"""),"No")</f>
        <v>No</v>
      </c>
      <c r="AH531" s="1">
        <f ca="1">IFERROR(__xludf.DUMMYFUNCTION("""COMPUTED_VALUE"""),1)</f>
        <v>1</v>
      </c>
    </row>
    <row r="532" spans="1:34" ht="12.5">
      <c r="A532" s="1" t="str">
        <f ca="1">IFERROR(__xludf.DUMMYFUNCTION("""COMPUTED_VALUE"""),"20220917GAJOA")</f>
        <v>20220917GAJOA</v>
      </c>
      <c r="B532" s="1">
        <f ca="1">IFERROR(__xludf.DUMMYFUNCTION("""COMPUTED_VALUE"""),9)</f>
        <v>9</v>
      </c>
      <c r="C532" s="1">
        <f ca="1">IFERROR(__xludf.DUMMYFUNCTION("""COMPUTED_VALUE"""),17)</f>
        <v>17</v>
      </c>
      <c r="D532" s="1">
        <f ca="1">IFERROR(__xludf.DUMMYFUNCTION("""COMPUTED_VALUE"""),2022)</f>
        <v>2022</v>
      </c>
      <c r="E532" s="4">
        <f ca="1">IFERROR(__xludf.DUMMYFUNCTION("""COMPUTED_VALUE"""),44821)</f>
        <v>44821</v>
      </c>
      <c r="F532" s="1" t="str">
        <f ca="1">IFERROR(__xludf.DUMMYFUNCTION("""COMPUTED_VALUE"""),"Josey High School")</f>
        <v>Josey High School</v>
      </c>
      <c r="G532" s="1">
        <f ca="1">IFERROR(__xludf.DUMMYFUNCTION("""COMPUTED_VALUE"""),0)</f>
        <v>0</v>
      </c>
      <c r="H532" s="1">
        <f ca="1">IFERROR(__xludf.DUMMYFUNCTION("""COMPUTED_VALUE"""),2)</f>
        <v>2</v>
      </c>
      <c r="I532" s="1">
        <f ca="1">IFERROR(__xludf.DUMMYFUNCTION("""COMPUTED_VALUE"""),2)</f>
        <v>2</v>
      </c>
      <c r="J532" s="1">
        <f ca="1">IFERROR(__xludf.DUMMYFUNCTION("""COMPUTED_VALUE"""),0)</f>
        <v>0</v>
      </c>
      <c r="K532" s="1" t="str">
        <f ca="1">IFERROR(__xludf.DUMMYFUNCTION("""COMPUTED_VALUE"""),"Fall")</f>
        <v>Fall</v>
      </c>
      <c r="L532" s="1" t="str">
        <f ca="1">IFERROR(__xludf.DUMMYFUNCTION("""COMPUTED_VALUE"""),"Augusta")</f>
        <v>Augusta</v>
      </c>
      <c r="M532" s="1" t="str">
        <f ca="1">IFERROR(__xludf.DUMMYFUNCTION("""COMPUTED_VALUE"""),"GA")</f>
        <v>GA</v>
      </c>
      <c r="N532" s="1" t="str">
        <f ca="1">IFERROR(__xludf.DUMMYFUNCTION("""COMPUTED_VALUE"""),"High")</f>
        <v>High</v>
      </c>
      <c r="O532" s="1" t="str">
        <f ca="1">IFERROR(__xludf.DUMMYFUNCTION("""COMPUTED_VALUE"""),"Parking Lot")</f>
        <v>Parking Lot</v>
      </c>
      <c r="P532" s="1" t="str">
        <f ca="1">IFERROR(__xludf.DUMMYFUNCTION("""COMPUTED_VALUE"""),"Outside on School Property")</f>
        <v>Outside on School Property</v>
      </c>
      <c r="Q532" s="1" t="str">
        <f ca="1">IFERROR(__xludf.DUMMYFUNCTION("""COMPUTED_VALUE"""),"No")</f>
        <v>No</v>
      </c>
      <c r="R532" s="1" t="str">
        <f ca="1">IFERROR(__xludf.DUMMYFUNCTION("""COMPUTED_VALUE"""),"Sport Event")</f>
        <v>Sport Event</v>
      </c>
      <c r="S532" s="5">
        <f ca="1">IFERROR(__xludf.DUMMYFUNCTION("""COMPUTED_VALUE"""),0.725)</f>
        <v>0.72499999999999998</v>
      </c>
      <c r="T532" s="1">
        <f ca="1">IFERROR(__xludf.DUMMYFUNCTION("""COMPUTED_VALUE"""),1)</f>
        <v>1</v>
      </c>
      <c r="U532" s="1" t="str">
        <f ca="1">IFERROR(__xludf.DUMMYFUNCTION("""COMPUTED_VALUE"""),"Shots fired during fight at homecoming game tailgate")</f>
        <v>Shots fired during fight at homecoming game tailgate</v>
      </c>
      <c r="V532" s="1" t="str">
        <f ca="1">IFERROR(__xludf.DUMMYFUNCTION("""COMPUTED_VALUE"""),"Multiple shots were fired during a fight at the homecoming game tailgate. Two victims were wounded. ")</f>
        <v xml:space="preserve">Multiple shots were fired during a fight at the homecoming game tailgate. Two victims were wounded. </v>
      </c>
      <c r="W532" s="1" t="str">
        <f ca="1">IFERROR(__xludf.DUMMYFUNCTION("""COMPUTED_VALUE"""),"Escalation of Dispute")</f>
        <v>Escalation of Dispute</v>
      </c>
      <c r="X532" s="1" t="str">
        <f ca="1">IFERROR(__xludf.DUMMYFUNCTION("""COMPUTED_VALUE"""),"Both")</f>
        <v>Both</v>
      </c>
      <c r="Y532" s="1" t="str">
        <f ca="1">IFERROR(__xludf.DUMMYFUNCTION("""COMPUTED_VALUE"""),"No")</f>
        <v>No</v>
      </c>
      <c r="Z532" s="1"/>
      <c r="AA532" s="1" t="str">
        <f ca="1">IFERROR(__xludf.DUMMYFUNCTION("""COMPUTED_VALUE"""),"No")</f>
        <v>No</v>
      </c>
      <c r="AB532" s="1" t="str">
        <f ca="1">IFERROR(__xludf.DUMMYFUNCTION("""COMPUTED_VALUE"""),"No")</f>
        <v>No</v>
      </c>
      <c r="AC532" s="1" t="str">
        <f ca="1">IFERROR(__xludf.DUMMYFUNCTION("""COMPUTED_VALUE"""),"N")</f>
        <v>N</v>
      </c>
      <c r="AD532" s="1" t="str">
        <f ca="1">IFERROR(__xludf.DUMMYFUNCTION("""COMPUTED_VALUE"""),"No")</f>
        <v>No</v>
      </c>
      <c r="AE532" s="1" t="str">
        <f ca="1">IFERROR(__xludf.DUMMYFUNCTION("""COMPUTED_VALUE"""),"No")</f>
        <v>No</v>
      </c>
      <c r="AF532" s="1" t="str">
        <f ca="1">IFERROR(__xludf.DUMMYFUNCTION("""COMPUTED_VALUE"""),"No")</f>
        <v>No</v>
      </c>
      <c r="AG532" s="1" t="str">
        <f ca="1">IFERROR(__xludf.DUMMYFUNCTION("""COMPUTED_VALUE"""),"No")</f>
        <v>No</v>
      </c>
      <c r="AH532" s="1">
        <f ca="1">IFERROR(__xludf.DUMMYFUNCTION("""COMPUTED_VALUE"""),99)</f>
        <v>99</v>
      </c>
    </row>
    <row r="533" spans="1:34" ht="12.5">
      <c r="A533" s="1" t="str">
        <f ca="1">IFERROR(__xludf.DUMMYFUNCTION("""COMPUTED_VALUE"""),"20220916NYPSN")</f>
        <v>20220916NYPSN</v>
      </c>
      <c r="B533" s="1">
        <f ca="1">IFERROR(__xludf.DUMMYFUNCTION("""COMPUTED_VALUE"""),9)</f>
        <v>9</v>
      </c>
      <c r="C533" s="1">
        <f ca="1">IFERROR(__xludf.DUMMYFUNCTION("""COMPUTED_VALUE"""),16)</f>
        <v>16</v>
      </c>
      <c r="D533" s="1">
        <f ca="1">IFERROR(__xludf.DUMMYFUNCTION("""COMPUTED_VALUE"""),2022)</f>
        <v>2022</v>
      </c>
      <c r="E533" s="4">
        <f ca="1">IFERROR(__xludf.DUMMYFUNCTION("""COMPUTED_VALUE"""),44820)</f>
        <v>44820</v>
      </c>
      <c r="F533" s="1" t="str">
        <f ca="1">IFERROR(__xludf.DUMMYFUNCTION("""COMPUTED_VALUE"""),"P.S. 77 Lower Lab School")</f>
        <v>P.S. 77 Lower Lab School</v>
      </c>
      <c r="G533" s="1">
        <f ca="1">IFERROR(__xludf.DUMMYFUNCTION("""COMPUTED_VALUE"""),0)</f>
        <v>0</v>
      </c>
      <c r="H533" s="1">
        <f ca="1">IFERROR(__xludf.DUMMYFUNCTION("""COMPUTED_VALUE"""),0)</f>
        <v>0</v>
      </c>
      <c r="I533" s="1">
        <f ca="1">IFERROR(__xludf.DUMMYFUNCTION("""COMPUTED_VALUE"""),0)</f>
        <v>0</v>
      </c>
      <c r="J533" s="1">
        <f ca="1">IFERROR(__xludf.DUMMYFUNCTION("""COMPUTED_VALUE"""),0)</f>
        <v>0</v>
      </c>
      <c r="K533" s="1" t="str">
        <f ca="1">IFERROR(__xludf.DUMMYFUNCTION("""COMPUTED_VALUE"""),"Fall")</f>
        <v>Fall</v>
      </c>
      <c r="L533" s="1" t="str">
        <f ca="1">IFERROR(__xludf.DUMMYFUNCTION("""COMPUTED_VALUE"""),"New York")</f>
        <v>New York</v>
      </c>
      <c r="M533" s="1" t="str">
        <f ca="1">IFERROR(__xludf.DUMMYFUNCTION("""COMPUTED_VALUE"""),"NY")</f>
        <v>NY</v>
      </c>
      <c r="N533" s="1" t="str">
        <f ca="1">IFERROR(__xludf.DUMMYFUNCTION("""COMPUTED_VALUE"""),"Elementary")</f>
        <v>Elementary</v>
      </c>
      <c r="O533" s="1" t="str">
        <f ca="1">IFERROR(__xludf.DUMMYFUNCTION("""COMPUTED_VALUE"""),"Playground")</f>
        <v>Playground</v>
      </c>
      <c r="P533" s="1" t="str">
        <f ca="1">IFERROR(__xludf.DUMMYFUNCTION("""COMPUTED_VALUE"""),"Outside on School Property")</f>
        <v>Outside on School Property</v>
      </c>
      <c r="Q533" s="1" t="str">
        <f ca="1">IFERROR(__xludf.DUMMYFUNCTION("""COMPUTED_VALUE"""),"No")</f>
        <v>No</v>
      </c>
      <c r="R533" s="1" t="str">
        <f ca="1">IFERROR(__xludf.DUMMYFUNCTION("""COMPUTED_VALUE"""),"After School")</f>
        <v>After School</v>
      </c>
      <c r="S533" s="5">
        <f ca="1">IFERROR(__xludf.DUMMYFUNCTION("""COMPUTED_VALUE"""),0.666666666666666)</f>
        <v>0.66666666666666596</v>
      </c>
      <c r="T533" s="1">
        <f ca="1">IFERROR(__xludf.DUMMYFUNCTION("""COMPUTED_VALUE"""),1)</f>
        <v>1</v>
      </c>
      <c r="U533" s="1" t="str">
        <f ca="1">IFERROR(__xludf.DUMMYFUNCTION("""COMPUTED_VALUE"""),"Teen fired pellet gun at 5 children during dispute over game on playground")</f>
        <v>Teen fired pellet gun at 5 children during dispute over game on playground</v>
      </c>
      <c r="V533" s="1" t="str">
        <f ca="1">IFERROR(__xludf.DUMMYFUNCTION("""COMPUTED_VALUE"""),"During a dispute over a game on the playground, a teen left the playground and came back with pellet gun then shot 5 children causing minor injuries. Teen made death threats and also struck children with the gun. Parents chased away the shooter.")</f>
        <v>During a dispute over a game on the playground, a teen left the playground and came back with pellet gun then shot 5 children causing minor injuries. Teen made death threats and also struck children with the gun. Parents chased away the shooter.</v>
      </c>
      <c r="W533" s="1" t="str">
        <f ca="1">IFERROR(__xludf.DUMMYFUNCTION("""COMPUTED_VALUE"""),"Escalation of Dispute")</f>
        <v>Escalation of Dispute</v>
      </c>
      <c r="X533" s="1" t="str">
        <f ca="1">IFERROR(__xludf.DUMMYFUNCTION("""COMPUTED_VALUE"""),"Victims Targeted")</f>
        <v>Victims Targeted</v>
      </c>
      <c r="Y533" s="1" t="str">
        <f ca="1">IFERROR(__xludf.DUMMYFUNCTION("""COMPUTED_VALUE"""),"No")</f>
        <v>No</v>
      </c>
      <c r="Z533" s="1"/>
      <c r="AA533" s="1" t="str">
        <f ca="1">IFERROR(__xludf.DUMMYFUNCTION("""COMPUTED_VALUE"""),"No")</f>
        <v>No</v>
      </c>
      <c r="AB533" s="1" t="str">
        <f ca="1">IFERROR(__xludf.DUMMYFUNCTION("""COMPUTED_VALUE"""),"No")</f>
        <v>No</v>
      </c>
      <c r="AC533" s="1" t="str">
        <f ca="1">IFERROR(__xludf.DUMMYFUNCTION("""COMPUTED_VALUE"""),"No")</f>
        <v>No</v>
      </c>
      <c r="AD533" s="1" t="str">
        <f ca="1">IFERROR(__xludf.DUMMYFUNCTION("""COMPUTED_VALUE"""),"No")</f>
        <v>No</v>
      </c>
      <c r="AE533" s="1" t="str">
        <f ca="1">IFERROR(__xludf.DUMMYFUNCTION("""COMPUTED_VALUE"""),"No")</f>
        <v>No</v>
      </c>
      <c r="AF533" s="1" t="str">
        <f ca="1">IFERROR(__xludf.DUMMYFUNCTION("""COMPUTED_VALUE"""),"No")</f>
        <v>No</v>
      </c>
      <c r="AG533" s="1" t="str">
        <f ca="1">IFERROR(__xludf.DUMMYFUNCTION("""COMPUTED_VALUE"""),"No")</f>
        <v>No</v>
      </c>
      <c r="AH533" s="1">
        <f ca="1">IFERROR(__xludf.DUMMYFUNCTION("""COMPUTED_VALUE"""),99)</f>
        <v>99</v>
      </c>
    </row>
    <row r="534" spans="1:34" ht="12.5">
      <c r="A534" s="1" t="str">
        <f ca="1">IFERROR(__xludf.DUMMYFUNCTION("""COMPUTED_VALUE"""),"20220916GALAA")</f>
        <v>20220916GALAA</v>
      </c>
      <c r="B534" s="1">
        <f ca="1">IFERROR(__xludf.DUMMYFUNCTION("""COMPUTED_VALUE"""),9)</f>
        <v>9</v>
      </c>
      <c r="C534" s="1">
        <f ca="1">IFERROR(__xludf.DUMMYFUNCTION("""COMPUTED_VALUE"""),16)</f>
        <v>16</v>
      </c>
      <c r="D534" s="1">
        <f ca="1">IFERROR(__xludf.DUMMYFUNCTION("""COMPUTED_VALUE"""),2022)</f>
        <v>2022</v>
      </c>
      <c r="E534" s="4">
        <f ca="1">IFERROR(__xludf.DUMMYFUNCTION("""COMPUTED_VALUE"""),44820)</f>
        <v>44820</v>
      </c>
      <c r="F534" s="1" t="str">
        <f ca="1">IFERROR(__xludf.DUMMYFUNCTION("""COMPUTED_VALUE"""),"Laney Walker High School")</f>
        <v>Laney Walker High School</v>
      </c>
      <c r="G534" s="1">
        <f ca="1">IFERROR(__xludf.DUMMYFUNCTION("""COMPUTED_VALUE"""),0)</f>
        <v>0</v>
      </c>
      <c r="H534" s="1">
        <f ca="1">IFERROR(__xludf.DUMMYFUNCTION("""COMPUTED_VALUE"""),0)</f>
        <v>0</v>
      </c>
      <c r="I534" s="1">
        <f ca="1">IFERROR(__xludf.DUMMYFUNCTION("""COMPUTED_VALUE"""),0)</f>
        <v>0</v>
      </c>
      <c r="J534" s="1">
        <f ca="1">IFERROR(__xludf.DUMMYFUNCTION("""COMPUTED_VALUE"""),0)</f>
        <v>0</v>
      </c>
      <c r="K534" s="1" t="str">
        <f ca="1">IFERROR(__xludf.DUMMYFUNCTION("""COMPUTED_VALUE"""),"Fall")</f>
        <v>Fall</v>
      </c>
      <c r="L534" s="1" t="str">
        <f ca="1">IFERROR(__xludf.DUMMYFUNCTION("""COMPUTED_VALUE"""),"Augusta")</f>
        <v>Augusta</v>
      </c>
      <c r="M534" s="1" t="str">
        <f ca="1">IFERROR(__xludf.DUMMYFUNCTION("""COMPUTED_VALUE"""),"GA")</f>
        <v>GA</v>
      </c>
      <c r="N534" s="1" t="str">
        <f ca="1">IFERROR(__xludf.DUMMYFUNCTION("""COMPUTED_VALUE"""),"High")</f>
        <v>High</v>
      </c>
      <c r="O534" s="1" t="str">
        <f ca="1">IFERROR(__xludf.DUMMYFUNCTION("""COMPUTED_VALUE"""),"Parking Lot")</f>
        <v>Parking Lot</v>
      </c>
      <c r="P534" s="1" t="str">
        <f ca="1">IFERROR(__xludf.DUMMYFUNCTION("""COMPUTED_VALUE"""),"Outside on School Property")</f>
        <v>Outside on School Property</v>
      </c>
      <c r="Q534" s="1" t="str">
        <f ca="1">IFERROR(__xludf.DUMMYFUNCTION("""COMPUTED_VALUE"""),"No")</f>
        <v>No</v>
      </c>
      <c r="R534" s="1" t="str">
        <f ca="1">IFERROR(__xludf.DUMMYFUNCTION("""COMPUTED_VALUE"""),"Sport Event")</f>
        <v>Sport Event</v>
      </c>
      <c r="S534" s="5">
        <f ca="1">IFERROR(__xludf.DUMMYFUNCTION("""COMPUTED_VALUE"""),0.879166666666666)</f>
        <v>0.87916666666666599</v>
      </c>
      <c r="T534" s="1">
        <f ca="1">IFERROR(__xludf.DUMMYFUNCTION("""COMPUTED_VALUE"""),1)</f>
        <v>1</v>
      </c>
      <c r="U534" s="1" t="str">
        <f ca="1">IFERROR(__xludf.DUMMYFUNCTION("""COMPUTED_VALUE"""),"Three people fired shots during dispute in parking lot during football game")</f>
        <v>Three people fired shots during dispute in parking lot during football game</v>
      </c>
      <c r="V534" s="1" t="str">
        <f ca="1">IFERROR(__xludf.DUMMYFUNCTION("""COMPUTED_VALUE"""),"Three people fired shots in the school parking lot during a dispute during a high school football game. Shots were heard in the stadium causing players and fans to evacuate. Remainder of game was cancelled. Police found 3 firearms and bullets struck two v"&amp;"ehicles. No injuries.")</f>
        <v>Three people fired shots in the school parking lot during a dispute during a high school football game. Shots were heard in the stadium causing players and fans to evacuate. Remainder of game was cancelled. Police found 3 firearms and bullets struck two vehicles. No injuries.</v>
      </c>
      <c r="W534" s="1" t="str">
        <f ca="1">IFERROR(__xludf.DUMMYFUNCTION("""COMPUTED_VALUE"""),"Escalation of Dispute")</f>
        <v>Escalation of Dispute</v>
      </c>
      <c r="X534" s="1" t="str">
        <f ca="1">IFERROR(__xludf.DUMMYFUNCTION("""COMPUTED_VALUE"""),"Victims Targeted")</f>
        <v>Victims Targeted</v>
      </c>
      <c r="Y534" s="1" t="str">
        <f ca="1">IFERROR(__xludf.DUMMYFUNCTION("""COMPUTED_VALUE"""),"Yes")</f>
        <v>Yes</v>
      </c>
      <c r="Z534" s="1" t="str">
        <f ca="1">IFERROR(__xludf.DUMMYFUNCTION("""COMPUTED_VALUE"""),"3 shooters")</f>
        <v>3 shooters</v>
      </c>
      <c r="AA534" s="1" t="str">
        <f ca="1">IFERROR(__xludf.DUMMYFUNCTION("""COMPUTED_VALUE"""),"No")</f>
        <v>No</v>
      </c>
      <c r="AB534" s="1" t="str">
        <f ca="1">IFERROR(__xludf.DUMMYFUNCTION("""COMPUTED_VALUE"""),"No")</f>
        <v>No</v>
      </c>
      <c r="AC534" s="1" t="str">
        <f ca="1">IFERROR(__xludf.DUMMYFUNCTION("""COMPUTED_VALUE"""),"No")</f>
        <v>No</v>
      </c>
      <c r="AD534" s="1" t="str">
        <f ca="1">IFERROR(__xludf.DUMMYFUNCTION("""COMPUTED_VALUE"""),"No")</f>
        <v>No</v>
      </c>
      <c r="AE534" s="1" t="str">
        <f ca="1">IFERROR(__xludf.DUMMYFUNCTION("""COMPUTED_VALUE"""),"No")</f>
        <v>No</v>
      </c>
      <c r="AF534" s="1"/>
      <c r="AG534" s="1" t="str">
        <f ca="1">IFERROR(__xludf.DUMMYFUNCTION("""COMPUTED_VALUE"""),"No")</f>
        <v>No</v>
      </c>
      <c r="AH534" s="1">
        <f ca="1">IFERROR(__xludf.DUMMYFUNCTION("""COMPUTED_VALUE"""),99)</f>
        <v>99</v>
      </c>
    </row>
    <row r="535" spans="1:34" ht="12.5">
      <c r="A535" s="1" t="str">
        <f ca="1">IFERROR(__xludf.DUMMYFUNCTION("""COMPUTED_VALUE"""),"20220914PACON")</f>
        <v>20220914PACON</v>
      </c>
      <c r="B535" s="1">
        <f ca="1">IFERROR(__xludf.DUMMYFUNCTION("""COMPUTED_VALUE"""),9)</f>
        <v>9</v>
      </c>
      <c r="C535" s="1">
        <f ca="1">IFERROR(__xludf.DUMMYFUNCTION("""COMPUTED_VALUE"""),14)</f>
        <v>14</v>
      </c>
      <c r="D535" s="1">
        <f ca="1">IFERROR(__xludf.DUMMYFUNCTION("""COMPUTED_VALUE"""),2022)</f>
        <v>2022</v>
      </c>
      <c r="E535" s="4">
        <f ca="1">IFERROR(__xludf.DUMMYFUNCTION("""COMPUTED_VALUE"""),44818)</f>
        <v>44818</v>
      </c>
      <c r="F535" s="1" t="str">
        <f ca="1">IFERROR(__xludf.DUMMYFUNCTION("""COMPUTED_VALUE"""),"Council Rock North High School")</f>
        <v>Council Rock North High School</v>
      </c>
      <c r="G535" s="1">
        <f ca="1">IFERROR(__xludf.DUMMYFUNCTION("""COMPUTED_VALUE"""),0)</f>
        <v>0</v>
      </c>
      <c r="H535" s="1">
        <f ca="1">IFERROR(__xludf.DUMMYFUNCTION("""COMPUTED_VALUE"""),0)</f>
        <v>0</v>
      </c>
      <c r="I535" s="1">
        <f ca="1">IFERROR(__xludf.DUMMYFUNCTION("""COMPUTED_VALUE"""),0)</f>
        <v>0</v>
      </c>
      <c r="J535" s="1">
        <f ca="1">IFERROR(__xludf.DUMMYFUNCTION("""COMPUTED_VALUE"""),0)</f>
        <v>0</v>
      </c>
      <c r="K535" s="1" t="str">
        <f ca="1">IFERROR(__xludf.DUMMYFUNCTION("""COMPUTED_VALUE"""),"Fall")</f>
        <v>Fall</v>
      </c>
      <c r="L535" s="1" t="str">
        <f ca="1">IFERROR(__xludf.DUMMYFUNCTION("""COMPUTED_VALUE"""),"Newton")</f>
        <v>Newton</v>
      </c>
      <c r="M535" s="1" t="str">
        <f ca="1">IFERROR(__xludf.DUMMYFUNCTION("""COMPUTED_VALUE"""),"PA")</f>
        <v>PA</v>
      </c>
      <c r="N535" s="1" t="str">
        <f ca="1">IFERROR(__xludf.DUMMYFUNCTION("""COMPUTED_VALUE"""),"High")</f>
        <v>High</v>
      </c>
      <c r="O535" s="1" t="str">
        <f ca="1">IFERROR(__xludf.DUMMYFUNCTION("""COMPUTED_VALUE"""),"School Bus")</f>
        <v>School Bus</v>
      </c>
      <c r="P535" s="1" t="str">
        <f ca="1">IFERROR(__xludf.DUMMYFUNCTION("""COMPUTED_VALUE"""),"School Bus")</f>
        <v>School Bus</v>
      </c>
      <c r="Q535" s="1" t="str">
        <f ca="1">IFERROR(__xludf.DUMMYFUNCTION("""COMPUTED_VALUE"""),"Yes")</f>
        <v>Yes</v>
      </c>
      <c r="R535" s="1" t="str">
        <f ca="1">IFERROR(__xludf.DUMMYFUNCTION("""COMPUTED_VALUE"""),"Dismissal")</f>
        <v>Dismissal</v>
      </c>
      <c r="S535" s="5">
        <f ca="1">IFERROR(__xludf.DUMMYFUNCTION("""COMPUTED_VALUE"""),0.625)</f>
        <v>0.625</v>
      </c>
      <c r="T535" s="1">
        <f ca="1">IFERROR(__xludf.DUMMYFUNCTION("""COMPUTED_VALUE"""),1)</f>
        <v>1</v>
      </c>
      <c r="U535" s="1" t="str">
        <f ca="1">IFERROR(__xludf.DUMMYFUNCTION("""COMPUTED_VALUE"""),"BB gun fired by student on the school bus, window damaged")</f>
        <v>BB gun fired by student on the school bus, window damaged</v>
      </c>
      <c r="V535" s="1" t="str">
        <f ca="1">IFERROR(__xludf.DUMMYFUNCTION("""COMPUTED_VALUE"""),"Student was detained by police after a BB gun was fired on the school bus. Window was damaged. No injuries.")</f>
        <v>Student was detained by police after a BB gun was fired on the school bus. Window was damaged. No injuries.</v>
      </c>
      <c r="W535" s="1"/>
      <c r="X535" s="1"/>
      <c r="Y535" s="1" t="str">
        <f ca="1">IFERROR(__xludf.DUMMYFUNCTION("""COMPUTED_VALUE"""),"No")</f>
        <v>No</v>
      </c>
      <c r="Z535" s="1"/>
      <c r="AA535" s="1" t="str">
        <f ca="1">IFERROR(__xludf.DUMMYFUNCTION("""COMPUTED_VALUE"""),"No")</f>
        <v>No</v>
      </c>
      <c r="AB535" s="1" t="str">
        <f ca="1">IFERROR(__xludf.DUMMYFUNCTION("""COMPUTED_VALUE"""),"No")</f>
        <v>No</v>
      </c>
      <c r="AC535" s="1" t="str">
        <f ca="1">IFERROR(__xludf.DUMMYFUNCTION("""COMPUTED_VALUE"""),"No")</f>
        <v>No</v>
      </c>
      <c r="AD535" s="1"/>
      <c r="AE535" s="1" t="str">
        <f ca="1">IFERROR(__xludf.DUMMYFUNCTION("""COMPUTED_VALUE"""),"No")</f>
        <v>No</v>
      </c>
      <c r="AF535" s="1"/>
      <c r="AG535" s="1" t="str">
        <f ca="1">IFERROR(__xludf.DUMMYFUNCTION("""COMPUTED_VALUE"""),"No")</f>
        <v>No</v>
      </c>
      <c r="AH535" s="1">
        <f ca="1">IFERROR(__xludf.DUMMYFUNCTION("""COMPUTED_VALUE"""),1)</f>
        <v>1</v>
      </c>
    </row>
    <row r="536" spans="1:34" ht="12.5">
      <c r="A536" s="1" t="str">
        <f ca="1">IFERROR(__xludf.DUMMYFUNCTION("""COMPUTED_VALUE"""),"20220913UTBOB")</f>
        <v>20220913UTBOB</v>
      </c>
      <c r="B536" s="1">
        <f ca="1">IFERROR(__xludf.DUMMYFUNCTION("""COMPUTED_VALUE"""),9)</f>
        <v>9</v>
      </c>
      <c r="C536" s="1">
        <f ca="1">IFERROR(__xludf.DUMMYFUNCTION("""COMPUTED_VALUE"""),13)</f>
        <v>13</v>
      </c>
      <c r="D536" s="1">
        <f ca="1">IFERROR(__xludf.DUMMYFUNCTION("""COMPUTED_VALUE"""),2022)</f>
        <v>2022</v>
      </c>
      <c r="E536" s="4">
        <f ca="1">IFERROR(__xludf.DUMMYFUNCTION("""COMPUTED_VALUE"""),44817)</f>
        <v>44817</v>
      </c>
      <c r="F536" s="1" t="str">
        <f ca="1">IFERROR(__xludf.DUMMYFUNCTION("""COMPUTED_VALUE"""),"Bountiful High School")</f>
        <v>Bountiful High School</v>
      </c>
      <c r="G536" s="1">
        <f ca="1">IFERROR(__xludf.DUMMYFUNCTION("""COMPUTED_VALUE"""),0)</f>
        <v>0</v>
      </c>
      <c r="H536" s="1">
        <f ca="1">IFERROR(__xludf.DUMMYFUNCTION("""COMPUTED_VALUE"""),0)</f>
        <v>0</v>
      </c>
      <c r="I536" s="1">
        <f ca="1">IFERROR(__xludf.DUMMYFUNCTION("""COMPUTED_VALUE"""),0)</f>
        <v>0</v>
      </c>
      <c r="J536" s="1">
        <f ca="1">IFERROR(__xludf.DUMMYFUNCTION("""COMPUTED_VALUE"""),0)</f>
        <v>0</v>
      </c>
      <c r="K536" s="1" t="str">
        <f ca="1">IFERROR(__xludf.DUMMYFUNCTION("""COMPUTED_VALUE"""),"Fall")</f>
        <v>Fall</v>
      </c>
      <c r="L536" s="1" t="str">
        <f ca="1">IFERROR(__xludf.DUMMYFUNCTION("""COMPUTED_VALUE"""),"Bountiful")</f>
        <v>Bountiful</v>
      </c>
      <c r="M536" s="1" t="str">
        <f ca="1">IFERROR(__xludf.DUMMYFUNCTION("""COMPUTED_VALUE"""),"UT")</f>
        <v>UT</v>
      </c>
      <c r="N536" s="1" t="str">
        <f ca="1">IFERROR(__xludf.DUMMYFUNCTION("""COMPUTED_VALUE"""),"High")</f>
        <v>High</v>
      </c>
      <c r="O536" s="1" t="str">
        <f ca="1">IFERROR(__xludf.DUMMYFUNCTION("""COMPUTED_VALUE"""),"Parking Lot")</f>
        <v>Parking Lot</v>
      </c>
      <c r="P536" s="1" t="str">
        <f ca="1">IFERROR(__xludf.DUMMYFUNCTION("""COMPUTED_VALUE"""),"Outside on School Property")</f>
        <v>Outside on School Property</v>
      </c>
      <c r="Q536" s="1" t="str">
        <f ca="1">IFERROR(__xludf.DUMMYFUNCTION("""COMPUTED_VALUE"""),"Yes")</f>
        <v>Yes</v>
      </c>
      <c r="R536" s="1" t="str">
        <f ca="1">IFERROR(__xludf.DUMMYFUNCTION("""COMPUTED_VALUE"""),"Afternoon Classes")</f>
        <v>Afternoon Classes</v>
      </c>
      <c r="S536" s="5">
        <f ca="1">IFERROR(__xludf.DUMMYFUNCTION("""COMPUTED_VALUE"""),0.561111111111111)</f>
        <v>0.56111111111111101</v>
      </c>
      <c r="T536" s="1">
        <f ca="1">IFERROR(__xludf.DUMMYFUNCTION("""COMPUTED_VALUE"""),1)</f>
        <v>1</v>
      </c>
      <c r="U536" s="1" t="str">
        <f ca="1">IFERROR(__xludf.DUMMYFUNCTION("""COMPUTED_VALUE"""),"Teen fired shot in parking lot")</f>
        <v>Teen fired shot in parking lot</v>
      </c>
      <c r="V536" s="1" t="str">
        <f ca="1">IFERROR(__xludf.DUMMYFUNCTION("""COMPUTED_VALUE"""),"High school went into lockdown when teen fired a shot in the parking lot. Police arrested the teen 1 hour later.")</f>
        <v>High school went into lockdown when teen fired a shot in the parking lot. Police arrested the teen 1 hour later.</v>
      </c>
      <c r="W536" s="1" t="str">
        <f ca="1">IFERROR(__xludf.DUMMYFUNCTION("""COMPUTED_VALUE"""),"Escalation of Dispute")</f>
        <v>Escalation of Dispute</v>
      </c>
      <c r="X536" s="1" t="str">
        <f ca="1">IFERROR(__xludf.DUMMYFUNCTION("""COMPUTED_VALUE"""),"Victims Targeted")</f>
        <v>Victims Targeted</v>
      </c>
      <c r="Y536" s="1" t="str">
        <f ca="1">IFERROR(__xludf.DUMMYFUNCTION("""COMPUTED_VALUE"""),"No")</f>
        <v>No</v>
      </c>
      <c r="Z536" s="1"/>
      <c r="AA536" s="1" t="str">
        <f ca="1">IFERROR(__xludf.DUMMYFUNCTION("""COMPUTED_VALUE"""),"No")</f>
        <v>No</v>
      </c>
      <c r="AB536" s="1" t="str">
        <f ca="1">IFERROR(__xludf.DUMMYFUNCTION("""COMPUTED_VALUE"""),"No")</f>
        <v>No</v>
      </c>
      <c r="AC536" s="1" t="str">
        <f ca="1">IFERROR(__xludf.DUMMYFUNCTION("""COMPUTED_VALUE"""),"No")</f>
        <v>No</v>
      </c>
      <c r="AD536" s="1"/>
      <c r="AE536" s="1" t="str">
        <f ca="1">IFERROR(__xludf.DUMMYFUNCTION("""COMPUTED_VALUE"""),"No")</f>
        <v>No</v>
      </c>
      <c r="AF536" s="1"/>
      <c r="AG536" s="1" t="str">
        <f ca="1">IFERROR(__xludf.DUMMYFUNCTION("""COMPUTED_VALUE"""),"No")</f>
        <v>No</v>
      </c>
      <c r="AH536" s="1">
        <f ca="1">IFERROR(__xludf.DUMMYFUNCTION("""COMPUTED_VALUE"""),1)</f>
        <v>1</v>
      </c>
    </row>
    <row r="537" spans="1:34" ht="12.5">
      <c r="A537" s="1" t="str">
        <f ca="1">IFERROR(__xludf.DUMMYFUNCTION("""COMPUTED_VALUE"""),"20220913MIJAJ")</f>
        <v>20220913MIJAJ</v>
      </c>
      <c r="B537" s="1">
        <f ca="1">IFERROR(__xludf.DUMMYFUNCTION("""COMPUTED_VALUE"""),9)</f>
        <v>9</v>
      </c>
      <c r="C537" s="1">
        <f ca="1">IFERROR(__xludf.DUMMYFUNCTION("""COMPUTED_VALUE"""),13)</f>
        <v>13</v>
      </c>
      <c r="D537" s="1">
        <f ca="1">IFERROR(__xludf.DUMMYFUNCTION("""COMPUTED_VALUE"""),2022)</f>
        <v>2022</v>
      </c>
      <c r="E537" s="4">
        <f ca="1">IFERROR(__xludf.DUMMYFUNCTION("""COMPUTED_VALUE"""),44817)</f>
        <v>44817</v>
      </c>
      <c r="F537" s="1" t="str">
        <f ca="1">IFERROR(__xludf.DUMMYFUNCTION("""COMPUTED_VALUE"""),"Jackson Middle School")</f>
        <v>Jackson Middle School</v>
      </c>
      <c r="G537" s="1">
        <f ca="1">IFERROR(__xludf.DUMMYFUNCTION("""COMPUTED_VALUE"""),0)</f>
        <v>0</v>
      </c>
      <c r="H537" s="1">
        <f ca="1">IFERROR(__xludf.DUMMYFUNCTION("""COMPUTED_VALUE"""),0)</f>
        <v>0</v>
      </c>
      <c r="I537" s="1">
        <f ca="1">IFERROR(__xludf.DUMMYFUNCTION("""COMPUTED_VALUE"""),0)</f>
        <v>0</v>
      </c>
      <c r="J537" s="1">
        <f ca="1">IFERROR(__xludf.DUMMYFUNCTION("""COMPUTED_VALUE"""),0)</f>
        <v>0</v>
      </c>
      <c r="K537" s="1" t="str">
        <f ca="1">IFERROR(__xludf.DUMMYFUNCTION("""COMPUTED_VALUE"""),"Fall")</f>
        <v>Fall</v>
      </c>
      <c r="L537" s="1" t="str">
        <f ca="1">IFERROR(__xludf.DUMMYFUNCTION("""COMPUTED_VALUE"""),"Jackson")</f>
        <v>Jackson</v>
      </c>
      <c r="M537" s="1" t="str">
        <f ca="1">IFERROR(__xludf.DUMMYFUNCTION("""COMPUTED_VALUE"""),"MI")</f>
        <v>MI</v>
      </c>
      <c r="N537" s="1" t="str">
        <f ca="1">IFERROR(__xludf.DUMMYFUNCTION("""COMPUTED_VALUE"""),"Middle")</f>
        <v>Middle</v>
      </c>
      <c r="O537" s="1" t="str">
        <f ca="1">IFERROR(__xludf.DUMMYFUNCTION("""COMPUTED_VALUE"""),"Football Field/Track")</f>
        <v>Football Field/Track</v>
      </c>
      <c r="P537" s="1" t="str">
        <f ca="1">IFERROR(__xludf.DUMMYFUNCTION("""COMPUTED_VALUE"""),"Outside on School Property")</f>
        <v>Outside on School Property</v>
      </c>
      <c r="Q537" s="1" t="str">
        <f ca="1">IFERROR(__xludf.DUMMYFUNCTION("""COMPUTED_VALUE"""),"No")</f>
        <v>No</v>
      </c>
      <c r="R537" s="1" t="str">
        <f ca="1">IFERROR(__xludf.DUMMYFUNCTION("""COMPUTED_VALUE"""),"Sport Event")</f>
        <v>Sport Event</v>
      </c>
      <c r="S537" s="5">
        <f ca="1">IFERROR(__xludf.DUMMYFUNCTION("""COMPUTED_VALUE"""),0.75)</f>
        <v>0.75</v>
      </c>
      <c r="T537" s="1">
        <f ca="1">IFERROR(__xludf.DUMMYFUNCTION("""COMPUTED_VALUE"""),1)</f>
        <v>1</v>
      </c>
      <c r="U537" s="1" t="str">
        <f ca="1">IFERROR(__xludf.DUMMYFUNCTION("""COMPUTED_VALUE"""),"Shots fired in or near football stadium during game")</f>
        <v>Shots fired in or near football stadium during game</v>
      </c>
      <c r="V537" s="1" t="str">
        <f ca="1">IFERROR(__xludf.DUMMYFUNCTION("""COMPUTED_VALUE"""),"Shots were fired in or near the football stadium during a middle school game. Players were rushed to the locker room and the remainder of the game was cancelled. No injuries.")</f>
        <v>Shots were fired in or near the football stadium during a middle school game. Players were rushed to the locker room and the remainder of the game was cancelled. No injuries.</v>
      </c>
      <c r="W537" s="1"/>
      <c r="X537" s="1"/>
      <c r="Y537" s="1" t="str">
        <f ca="1">IFERROR(__xludf.DUMMYFUNCTION("""COMPUTED_VALUE"""),"No")</f>
        <v>No</v>
      </c>
      <c r="Z537" s="1"/>
      <c r="AA537" s="1" t="str">
        <f ca="1">IFERROR(__xludf.DUMMYFUNCTION("""COMPUTED_VALUE"""),"No")</f>
        <v>No</v>
      </c>
      <c r="AB537" s="1" t="str">
        <f ca="1">IFERROR(__xludf.DUMMYFUNCTION("""COMPUTED_VALUE"""),"No")</f>
        <v>No</v>
      </c>
      <c r="AC537" s="1" t="str">
        <f ca="1">IFERROR(__xludf.DUMMYFUNCTION("""COMPUTED_VALUE"""),"No")</f>
        <v>No</v>
      </c>
      <c r="AD537" s="1" t="str">
        <f ca="1">IFERROR(__xludf.DUMMYFUNCTION("""COMPUTED_VALUE"""),"N")</f>
        <v>N</v>
      </c>
      <c r="AE537" s="1" t="str">
        <f ca="1">IFERROR(__xludf.DUMMYFUNCTION("""COMPUTED_VALUE"""),"No")</f>
        <v>No</v>
      </c>
      <c r="AF537" s="1"/>
      <c r="AG537" s="1" t="str">
        <f ca="1">IFERROR(__xludf.DUMMYFUNCTION("""COMPUTED_VALUE"""),"No")</f>
        <v>No</v>
      </c>
      <c r="AH537" s="1">
        <f ca="1">IFERROR(__xludf.DUMMYFUNCTION("""COMPUTED_VALUE"""),99)</f>
        <v>99</v>
      </c>
    </row>
    <row r="538" spans="1:34" ht="12.5">
      <c r="A538" s="1" t="str">
        <f ca="1">IFERROR(__xludf.DUMMYFUNCTION("""COMPUTED_VALUE"""),"20220913MDOXO")</f>
        <v>20220913MDOXO</v>
      </c>
      <c r="B538" s="1">
        <f ca="1">IFERROR(__xludf.DUMMYFUNCTION("""COMPUTED_VALUE"""),9)</f>
        <v>9</v>
      </c>
      <c r="C538" s="1">
        <f ca="1">IFERROR(__xludf.DUMMYFUNCTION("""COMPUTED_VALUE"""),13)</f>
        <v>13</v>
      </c>
      <c r="D538" s="1">
        <f ca="1">IFERROR(__xludf.DUMMYFUNCTION("""COMPUTED_VALUE"""),2022)</f>
        <v>2022</v>
      </c>
      <c r="E538" s="4">
        <f ca="1">IFERROR(__xludf.DUMMYFUNCTION("""COMPUTED_VALUE"""),44817)</f>
        <v>44817</v>
      </c>
      <c r="F538" s="1" t="str">
        <f ca="1">IFERROR(__xludf.DUMMYFUNCTION("""COMPUTED_VALUE"""),"Oxon Hill High School")</f>
        <v>Oxon Hill High School</v>
      </c>
      <c r="G538" s="1">
        <f ca="1">IFERROR(__xludf.DUMMYFUNCTION("""COMPUTED_VALUE"""),0)</f>
        <v>0</v>
      </c>
      <c r="H538" s="1">
        <f ca="1">IFERROR(__xludf.DUMMYFUNCTION("""COMPUTED_VALUE"""),1)</f>
        <v>1</v>
      </c>
      <c r="I538" s="1">
        <f ca="1">IFERROR(__xludf.DUMMYFUNCTION("""COMPUTED_VALUE"""),1)</f>
        <v>1</v>
      </c>
      <c r="J538" s="1">
        <f ca="1">IFERROR(__xludf.DUMMYFUNCTION("""COMPUTED_VALUE"""),0)</f>
        <v>0</v>
      </c>
      <c r="K538" s="1" t="str">
        <f ca="1">IFERROR(__xludf.DUMMYFUNCTION("""COMPUTED_VALUE"""),"Fall")</f>
        <v>Fall</v>
      </c>
      <c r="L538" s="1" t="str">
        <f ca="1">IFERROR(__xludf.DUMMYFUNCTION("""COMPUTED_VALUE"""),"Oxon Hill")</f>
        <v>Oxon Hill</v>
      </c>
      <c r="M538" s="1" t="str">
        <f ca="1">IFERROR(__xludf.DUMMYFUNCTION("""COMPUTED_VALUE"""),"MD")</f>
        <v>MD</v>
      </c>
      <c r="N538" s="1" t="str">
        <f ca="1">IFERROR(__xludf.DUMMYFUNCTION("""COMPUTED_VALUE"""),"High")</f>
        <v>High</v>
      </c>
      <c r="O538" s="1" t="str">
        <f ca="1">IFERROR(__xludf.DUMMYFUNCTION("""COMPUTED_VALUE"""),"Beside Building")</f>
        <v>Beside Building</v>
      </c>
      <c r="P538" s="1" t="str">
        <f ca="1">IFERROR(__xludf.DUMMYFUNCTION("""COMPUTED_VALUE"""),"Outside on School Property")</f>
        <v>Outside on School Property</v>
      </c>
      <c r="Q538" s="1" t="str">
        <f ca="1">IFERROR(__xludf.DUMMYFUNCTION("""COMPUTED_VALUE"""),"No")</f>
        <v>No</v>
      </c>
      <c r="R538" s="1" t="str">
        <f ca="1">IFERROR(__xludf.DUMMYFUNCTION("""COMPUTED_VALUE"""),"After School")</f>
        <v>After School</v>
      </c>
      <c r="S538" s="5">
        <f ca="1">IFERROR(__xludf.DUMMYFUNCTION("""COMPUTED_VALUE"""),0.659722222222222)</f>
        <v>0.65972222222222199</v>
      </c>
      <c r="T538" s="1">
        <f ca="1">IFERROR(__xludf.DUMMYFUNCTION("""COMPUTED_VALUE"""),1)</f>
        <v>1</v>
      </c>
      <c r="U538" s="1" t="str">
        <f ca="1">IFERROR(__xludf.DUMMYFUNCTION("""COMPUTED_VALUE"""),"Person shot behind school")</f>
        <v>Person shot behind school</v>
      </c>
      <c r="V538" s="1" t="str">
        <f ca="1">IFERROR(__xludf.DUMMYFUNCTION("""COMPUTED_VALUE"""),"A person was shot behind the school. Police have not confirmed any information about the victim, including their age, gender, name, or if they have any affiliation with the school. They have also not confirmed any information about possible suspects.")</f>
        <v>A person was shot behind the school. Police have not confirmed any information about the victim, including their age, gender, name, or if they have any affiliation with the school. They have also not confirmed any information about possible suspects.</v>
      </c>
      <c r="W538" s="1"/>
      <c r="X538" s="1"/>
      <c r="Y538" s="1"/>
      <c r="Z538" s="1"/>
      <c r="AA538" s="1" t="str">
        <f ca="1">IFERROR(__xludf.DUMMYFUNCTION("""COMPUTED_VALUE"""),"No")</f>
        <v>No</v>
      </c>
      <c r="AB538" s="1" t="str">
        <f ca="1">IFERROR(__xludf.DUMMYFUNCTION("""COMPUTED_VALUE"""),"No")</f>
        <v>No</v>
      </c>
      <c r="AC538" s="1" t="str">
        <f ca="1">IFERROR(__xludf.DUMMYFUNCTION("""COMPUTED_VALUE"""),"No")</f>
        <v>No</v>
      </c>
      <c r="AD538" s="1"/>
      <c r="AE538" s="1"/>
      <c r="AF538" s="1"/>
      <c r="AG538" s="1" t="str">
        <f ca="1">IFERROR(__xludf.DUMMYFUNCTION("""COMPUTED_VALUE"""),"No")</f>
        <v>No</v>
      </c>
      <c r="AH538" s="1"/>
    </row>
    <row r="539" spans="1:34" ht="12.5">
      <c r="A539" s="1" t="str">
        <f ca="1">IFERROR(__xludf.DUMMYFUNCTION("""COMPUTED_VALUE"""),"20220913CAVAV")</f>
        <v>20220913CAVAV</v>
      </c>
      <c r="B539" s="1">
        <f ca="1">IFERROR(__xludf.DUMMYFUNCTION("""COMPUTED_VALUE"""),9)</f>
        <v>9</v>
      </c>
      <c r="C539" s="1">
        <f ca="1">IFERROR(__xludf.DUMMYFUNCTION("""COMPUTED_VALUE"""),13)</f>
        <v>13</v>
      </c>
      <c r="D539" s="1">
        <f ca="1">IFERROR(__xludf.DUMMYFUNCTION("""COMPUTED_VALUE"""),2022)</f>
        <v>2022</v>
      </c>
      <c r="E539" s="4">
        <f ca="1">IFERROR(__xludf.DUMMYFUNCTION("""COMPUTED_VALUE"""),44817)</f>
        <v>44817</v>
      </c>
      <c r="F539" s="1" t="str">
        <f ca="1">IFERROR(__xludf.DUMMYFUNCTION("""COMPUTED_VALUE"""),"Vallejo High School")</f>
        <v>Vallejo High School</v>
      </c>
      <c r="G539" s="1">
        <f ca="1">IFERROR(__xludf.DUMMYFUNCTION("""COMPUTED_VALUE"""),0)</f>
        <v>0</v>
      </c>
      <c r="H539" s="1">
        <f ca="1">IFERROR(__xludf.DUMMYFUNCTION("""COMPUTED_VALUE"""),1)</f>
        <v>1</v>
      </c>
      <c r="I539" s="1">
        <f ca="1">IFERROR(__xludf.DUMMYFUNCTION("""COMPUTED_VALUE"""),1)</f>
        <v>1</v>
      </c>
      <c r="J539" s="1">
        <f ca="1">IFERROR(__xludf.DUMMYFUNCTION("""COMPUTED_VALUE"""),0)</f>
        <v>0</v>
      </c>
      <c r="K539" s="1" t="str">
        <f ca="1">IFERROR(__xludf.DUMMYFUNCTION("""COMPUTED_VALUE"""),"Fall")</f>
        <v>Fall</v>
      </c>
      <c r="L539" s="1" t="str">
        <f ca="1">IFERROR(__xludf.DUMMYFUNCTION("""COMPUTED_VALUE"""),"Vallejo")</f>
        <v>Vallejo</v>
      </c>
      <c r="M539" s="1" t="str">
        <f ca="1">IFERROR(__xludf.DUMMYFUNCTION("""COMPUTED_VALUE"""),"CA")</f>
        <v>CA</v>
      </c>
      <c r="N539" s="1" t="str">
        <f ca="1">IFERROR(__xludf.DUMMYFUNCTION("""COMPUTED_VALUE"""),"High")</f>
        <v>High</v>
      </c>
      <c r="O539" s="1" t="str">
        <f ca="1">IFERROR(__xludf.DUMMYFUNCTION("""COMPUTED_VALUE"""),"Parking Lot")</f>
        <v>Parking Lot</v>
      </c>
      <c r="P539" s="1" t="str">
        <f ca="1">IFERROR(__xludf.DUMMYFUNCTION("""COMPUTED_VALUE"""),"Outside on School Property")</f>
        <v>Outside on School Property</v>
      </c>
      <c r="Q539" s="1" t="str">
        <f ca="1">IFERROR(__xludf.DUMMYFUNCTION("""COMPUTED_VALUE"""),"Yes")</f>
        <v>Yes</v>
      </c>
      <c r="R539" s="1" t="str">
        <f ca="1">IFERROR(__xludf.DUMMYFUNCTION("""COMPUTED_VALUE"""),"Dismissal")</f>
        <v>Dismissal</v>
      </c>
      <c r="S539" s="5">
        <f ca="1">IFERROR(__xludf.DUMMYFUNCTION("""COMPUTED_VALUE"""),0.65625)</f>
        <v>0.65625</v>
      </c>
      <c r="T539" s="1">
        <f ca="1">IFERROR(__xludf.DUMMYFUNCTION("""COMPUTED_VALUE"""),1)</f>
        <v>1</v>
      </c>
      <c r="U539" s="1" t="str">
        <f ca="1">IFERROR(__xludf.DUMMYFUNCTION("""COMPUTED_VALUE"""),"School staff member shot after breaking up fight")</f>
        <v>School staff member shot after breaking up fight</v>
      </c>
      <c r="V539" s="1" t="str">
        <f ca="1">IFERROR(__xludf.DUMMYFUNCTION("""COMPUTED_VALUE"""),"School coach broke up a fight between multiple students in the parking lot. A group of students involved in the fight fired shots at the crowd while driving away. The coach was wounded. No students injured. School went on lockdown.")</f>
        <v>School coach broke up a fight between multiple students in the parking lot. A group of students involved in the fight fired shots at the crowd while driving away. The coach was wounded. No students injured. School went on lockdown.</v>
      </c>
      <c r="W539" s="1" t="str">
        <f ca="1">IFERROR(__xludf.DUMMYFUNCTION("""COMPUTED_VALUE"""),"Escalation of Dispute")</f>
        <v>Escalation of Dispute</v>
      </c>
      <c r="X539" s="1" t="str">
        <f ca="1">IFERROR(__xludf.DUMMYFUNCTION("""COMPUTED_VALUE"""),"Both")</f>
        <v>Both</v>
      </c>
      <c r="Y539" s="1" t="str">
        <f ca="1">IFERROR(__xludf.DUMMYFUNCTION("""COMPUTED_VALUE"""),"Yes")</f>
        <v>Yes</v>
      </c>
      <c r="Z539" s="1" t="str">
        <f ca="1">IFERROR(__xludf.DUMMYFUNCTION("""COMPUTED_VALUE"""),"3 students in vehicle")</f>
        <v>3 students in vehicle</v>
      </c>
      <c r="AA539" s="1" t="str">
        <f ca="1">IFERROR(__xludf.DUMMYFUNCTION("""COMPUTED_VALUE"""),"No")</f>
        <v>No</v>
      </c>
      <c r="AB539" s="1" t="str">
        <f ca="1">IFERROR(__xludf.DUMMYFUNCTION("""COMPUTED_VALUE"""),"No")</f>
        <v>No</v>
      </c>
      <c r="AC539" s="1" t="str">
        <f ca="1">IFERROR(__xludf.DUMMYFUNCTION("""COMPUTED_VALUE"""),"No")</f>
        <v>No</v>
      </c>
      <c r="AD539" s="1" t="str">
        <f ca="1">IFERROR(__xludf.DUMMYFUNCTION("""COMPUTED_VALUE"""),"No")</f>
        <v>No</v>
      </c>
      <c r="AE539" s="1" t="str">
        <f ca="1">IFERROR(__xludf.DUMMYFUNCTION("""COMPUTED_VALUE"""),"No")</f>
        <v>No</v>
      </c>
      <c r="AF539" s="1"/>
      <c r="AG539" s="1" t="str">
        <f ca="1">IFERROR(__xludf.DUMMYFUNCTION("""COMPUTED_VALUE"""),"No")</f>
        <v>No</v>
      </c>
      <c r="AH539" s="1">
        <f ca="1">IFERROR(__xludf.DUMMYFUNCTION("""COMPUTED_VALUE"""),99)</f>
        <v>99</v>
      </c>
    </row>
    <row r="540" spans="1:34" ht="12.5">
      <c r="A540" s="1" t="str">
        <f ca="1">IFERROR(__xludf.DUMMYFUNCTION("""COMPUTED_VALUE"""),"20220909WIWIR")</f>
        <v>20220909WIWIR</v>
      </c>
      <c r="B540" s="1">
        <f ca="1">IFERROR(__xludf.DUMMYFUNCTION("""COMPUTED_VALUE"""),9)</f>
        <v>9</v>
      </c>
      <c r="C540" s="1">
        <f ca="1">IFERROR(__xludf.DUMMYFUNCTION("""COMPUTED_VALUE"""),9)</f>
        <v>9</v>
      </c>
      <c r="D540" s="1">
        <f ca="1">IFERROR(__xludf.DUMMYFUNCTION("""COMPUTED_VALUE"""),2022)</f>
        <v>2022</v>
      </c>
      <c r="E540" s="4">
        <f ca="1">IFERROR(__xludf.DUMMYFUNCTION("""COMPUTED_VALUE"""),44813)</f>
        <v>44813</v>
      </c>
      <c r="F540" s="1" t="str">
        <f ca="1">IFERROR(__xludf.DUMMYFUNCTION("""COMPUTED_VALUE"""),"William Horlick High School")</f>
        <v>William Horlick High School</v>
      </c>
      <c r="G540" s="1">
        <f ca="1">IFERROR(__xludf.DUMMYFUNCTION("""COMPUTED_VALUE"""),0)</f>
        <v>0</v>
      </c>
      <c r="H540" s="1">
        <f ca="1">IFERROR(__xludf.DUMMYFUNCTION("""COMPUTED_VALUE"""),1)</f>
        <v>1</v>
      </c>
      <c r="I540" s="1">
        <f ca="1">IFERROR(__xludf.DUMMYFUNCTION("""COMPUTED_VALUE"""),1)</f>
        <v>1</v>
      </c>
      <c r="J540" s="1">
        <f ca="1">IFERROR(__xludf.DUMMYFUNCTION("""COMPUTED_VALUE"""),0)</f>
        <v>0</v>
      </c>
      <c r="K540" s="1" t="str">
        <f ca="1">IFERROR(__xludf.DUMMYFUNCTION("""COMPUTED_VALUE"""),"Fall")</f>
        <v>Fall</v>
      </c>
      <c r="L540" s="1" t="str">
        <f ca="1">IFERROR(__xludf.DUMMYFUNCTION("""COMPUTED_VALUE"""),"Racine")</f>
        <v>Racine</v>
      </c>
      <c r="M540" s="1" t="str">
        <f ca="1">IFERROR(__xludf.DUMMYFUNCTION("""COMPUTED_VALUE"""),"WI")</f>
        <v>WI</v>
      </c>
      <c r="N540" s="1" t="str">
        <f ca="1">IFERROR(__xludf.DUMMYFUNCTION("""COMPUTED_VALUE"""),"High")</f>
        <v>High</v>
      </c>
      <c r="O540" s="1" t="str">
        <f ca="1">IFERROR(__xludf.DUMMYFUNCTION("""COMPUTED_VALUE"""),"Football Field/Track")</f>
        <v>Football Field/Track</v>
      </c>
      <c r="P540" s="1" t="str">
        <f ca="1">IFERROR(__xludf.DUMMYFUNCTION("""COMPUTED_VALUE"""),"Outside on School Property")</f>
        <v>Outside on School Property</v>
      </c>
      <c r="Q540" s="1" t="str">
        <f ca="1">IFERROR(__xludf.DUMMYFUNCTION("""COMPUTED_VALUE"""),"No")</f>
        <v>No</v>
      </c>
      <c r="R540" s="1" t="str">
        <f ca="1">IFERROR(__xludf.DUMMYFUNCTION("""COMPUTED_VALUE"""),"Sport Event")</f>
        <v>Sport Event</v>
      </c>
      <c r="S540" s="5">
        <f ca="1">IFERROR(__xludf.DUMMYFUNCTION("""COMPUTED_VALUE"""),0.895833333333333)</f>
        <v>0.89583333333333304</v>
      </c>
      <c r="T540" s="1">
        <f ca="1">IFERROR(__xludf.DUMMYFUNCTION("""COMPUTED_VALUE"""),1)</f>
        <v>1</v>
      </c>
      <c r="U540" s="1" t="str">
        <f ca="1">IFERROR(__xludf.DUMMYFUNCTION("""COMPUTED_VALUE"""),"One person shot outside football field following game")</f>
        <v>One person shot outside football field following game</v>
      </c>
      <c r="V540" s="1" t="str">
        <f ca="1">IFERROR(__xludf.DUMMYFUNCTION("""COMPUTED_VALUE"""),"One person was shot outside of the football field following the game. Witnesses heard 5-10 shots fired. Police assigned to the game responded and locked the gates to the stadium. Shooter fled.")</f>
        <v>One person was shot outside of the football field following the game. Witnesses heard 5-10 shots fired. Police assigned to the game responded and locked the gates to the stadium. Shooter fled.</v>
      </c>
      <c r="W540" s="1"/>
      <c r="X540" s="1"/>
      <c r="Y540" s="1" t="str">
        <f ca="1">IFERROR(__xludf.DUMMYFUNCTION("""COMPUTED_VALUE"""),"No")</f>
        <v>No</v>
      </c>
      <c r="Z540" s="1"/>
      <c r="AA540" s="1" t="str">
        <f ca="1">IFERROR(__xludf.DUMMYFUNCTION("""COMPUTED_VALUE"""),"No")</f>
        <v>No</v>
      </c>
      <c r="AB540" s="1" t="str">
        <f ca="1">IFERROR(__xludf.DUMMYFUNCTION("""COMPUTED_VALUE"""),"No")</f>
        <v>No</v>
      </c>
      <c r="AC540" s="1" t="str">
        <f ca="1">IFERROR(__xludf.DUMMYFUNCTION("""COMPUTED_VALUE"""),"No")</f>
        <v>No</v>
      </c>
      <c r="AD540" s="1" t="str">
        <f ca="1">IFERROR(__xludf.DUMMYFUNCTION("""COMPUTED_VALUE"""),"No")</f>
        <v>No</v>
      </c>
      <c r="AE540" s="1" t="str">
        <f ca="1">IFERROR(__xludf.DUMMYFUNCTION("""COMPUTED_VALUE"""),"No")</f>
        <v>No</v>
      </c>
      <c r="AF540" s="1"/>
      <c r="AG540" s="1" t="str">
        <f ca="1">IFERROR(__xludf.DUMMYFUNCTION("""COMPUTED_VALUE"""),"No")</f>
        <v>No</v>
      </c>
      <c r="AH540" s="1">
        <f ca="1">IFERROR(__xludf.DUMMYFUNCTION("""COMPUTED_VALUE"""),10)</f>
        <v>10</v>
      </c>
    </row>
    <row r="541" spans="1:34" ht="12.5">
      <c r="A541" s="1" t="str">
        <f ca="1">IFERROR(__xludf.DUMMYFUNCTION("""COMPUTED_VALUE"""),"20220909WIMIM")</f>
        <v>20220909WIMIM</v>
      </c>
      <c r="B541" s="1">
        <f ca="1">IFERROR(__xludf.DUMMYFUNCTION("""COMPUTED_VALUE"""),9)</f>
        <v>9</v>
      </c>
      <c r="C541" s="1">
        <f ca="1">IFERROR(__xludf.DUMMYFUNCTION("""COMPUTED_VALUE"""),9)</f>
        <v>9</v>
      </c>
      <c r="D541" s="1">
        <f ca="1">IFERROR(__xludf.DUMMYFUNCTION("""COMPUTED_VALUE"""),2022)</f>
        <v>2022</v>
      </c>
      <c r="E541" s="4">
        <f ca="1">IFERROR(__xludf.DUMMYFUNCTION("""COMPUTED_VALUE"""),44813)</f>
        <v>44813</v>
      </c>
      <c r="F541" s="1" t="str">
        <f ca="1">IFERROR(__xludf.DUMMYFUNCTION("""COMPUTED_VALUE"""),"Milwaukee School Bus")</f>
        <v>Milwaukee School Bus</v>
      </c>
      <c r="G541" s="1">
        <f ca="1">IFERROR(__xludf.DUMMYFUNCTION("""COMPUTED_VALUE"""),0)</f>
        <v>0</v>
      </c>
      <c r="H541" s="1">
        <f ca="1">IFERROR(__xludf.DUMMYFUNCTION("""COMPUTED_VALUE"""),0)</f>
        <v>0</v>
      </c>
      <c r="I541" s="1">
        <f ca="1">IFERROR(__xludf.DUMMYFUNCTION("""COMPUTED_VALUE"""),0)</f>
        <v>0</v>
      </c>
      <c r="J541" s="1">
        <f ca="1">IFERROR(__xludf.DUMMYFUNCTION("""COMPUTED_VALUE"""),0)</f>
        <v>0</v>
      </c>
      <c r="K541" s="1" t="str">
        <f ca="1">IFERROR(__xludf.DUMMYFUNCTION("""COMPUTED_VALUE"""),"Fall")</f>
        <v>Fall</v>
      </c>
      <c r="L541" s="1" t="str">
        <f ca="1">IFERROR(__xludf.DUMMYFUNCTION("""COMPUTED_VALUE"""),"Milwaukee")</f>
        <v>Milwaukee</v>
      </c>
      <c r="M541" s="1" t="str">
        <f ca="1">IFERROR(__xludf.DUMMYFUNCTION("""COMPUTED_VALUE"""),"WI")</f>
        <v>WI</v>
      </c>
      <c r="N541" s="1" t="str">
        <f ca="1">IFERROR(__xludf.DUMMYFUNCTION("""COMPUTED_VALUE"""),"High")</f>
        <v>High</v>
      </c>
      <c r="O541" s="1" t="str">
        <f ca="1">IFERROR(__xludf.DUMMYFUNCTION("""COMPUTED_VALUE"""),"School Bus")</f>
        <v>School Bus</v>
      </c>
      <c r="P541" s="1" t="str">
        <f ca="1">IFERROR(__xludf.DUMMYFUNCTION("""COMPUTED_VALUE"""),"School Bus")</f>
        <v>School Bus</v>
      </c>
      <c r="Q541" s="1" t="str">
        <f ca="1">IFERROR(__xludf.DUMMYFUNCTION("""COMPUTED_VALUE"""),"Yes")</f>
        <v>Yes</v>
      </c>
      <c r="R541" s="1" t="str">
        <f ca="1">IFERROR(__xludf.DUMMYFUNCTION("""COMPUTED_VALUE"""),"Dismissal")</f>
        <v>Dismissal</v>
      </c>
      <c r="S541" s="5">
        <f ca="1">IFERROR(__xludf.DUMMYFUNCTION("""COMPUTED_VALUE"""),0.708333333333333)</f>
        <v>0.70833333333333304</v>
      </c>
      <c r="T541" s="1">
        <f ca="1">IFERROR(__xludf.DUMMYFUNCTION("""COMPUTED_VALUE"""),1)</f>
        <v>1</v>
      </c>
      <c r="U541" s="1" t="str">
        <f ca="1">IFERROR(__xludf.DUMMYFUNCTION("""COMPUTED_VALUE"""),"Occupied school bus shot during drive-by")</f>
        <v>Occupied school bus shot during drive-by</v>
      </c>
      <c r="V541" s="1" t="str">
        <f ca="1">IFERROR(__xludf.DUMMYFUNCTION("""COMPUTED_VALUE"""),"A school bus with a driver and two students was struck multiple times during a drive-by shooting. No injuries.")</f>
        <v>A school bus with a driver and two students was struck multiple times during a drive-by shooting. No injuries.</v>
      </c>
      <c r="W541" s="1" t="str">
        <f ca="1">IFERROR(__xludf.DUMMYFUNCTION("""COMPUTED_VALUE"""),"Drive-by Shooting")</f>
        <v>Drive-by Shooting</v>
      </c>
      <c r="X541" s="1" t="str">
        <f ca="1">IFERROR(__xludf.DUMMYFUNCTION("""COMPUTED_VALUE"""),"Both")</f>
        <v>Both</v>
      </c>
      <c r="Y541" s="1" t="str">
        <f ca="1">IFERROR(__xludf.DUMMYFUNCTION("""COMPUTED_VALUE"""),"No")</f>
        <v>No</v>
      </c>
      <c r="Z541" s="1"/>
      <c r="AA541" s="1" t="str">
        <f ca="1">IFERROR(__xludf.DUMMYFUNCTION("""COMPUTED_VALUE"""),"No")</f>
        <v>No</v>
      </c>
      <c r="AB541" s="1" t="str">
        <f ca="1">IFERROR(__xludf.DUMMYFUNCTION("""COMPUTED_VALUE"""),"No")</f>
        <v>No</v>
      </c>
      <c r="AC541" s="1" t="str">
        <f ca="1">IFERROR(__xludf.DUMMYFUNCTION("""COMPUTED_VALUE"""),"No")</f>
        <v>No</v>
      </c>
      <c r="AD541" s="1" t="str">
        <f ca="1">IFERROR(__xludf.DUMMYFUNCTION("""COMPUTED_VALUE"""),"No")</f>
        <v>No</v>
      </c>
      <c r="AE541" s="1" t="str">
        <f ca="1">IFERROR(__xludf.DUMMYFUNCTION("""COMPUTED_VALUE"""),"No")</f>
        <v>No</v>
      </c>
      <c r="AF541" s="1"/>
      <c r="AG541" s="1" t="str">
        <f ca="1">IFERROR(__xludf.DUMMYFUNCTION("""COMPUTED_VALUE"""),"No")</f>
        <v>No</v>
      </c>
      <c r="AH541" s="1">
        <f ca="1">IFERROR(__xludf.DUMMYFUNCTION("""COMPUTED_VALUE"""),99)</f>
        <v>99</v>
      </c>
    </row>
    <row r="542" spans="1:34" ht="12.5">
      <c r="A542" s="1" t="str">
        <f ca="1">IFERROR(__xludf.DUMMYFUNCTION("""COMPUTED_VALUE"""),"20220908LAJHA")</f>
        <v>20220908LAJHA</v>
      </c>
      <c r="B542" s="1">
        <f ca="1">IFERROR(__xludf.DUMMYFUNCTION("""COMPUTED_VALUE"""),9)</f>
        <v>9</v>
      </c>
      <c r="C542" s="1">
        <f ca="1">IFERROR(__xludf.DUMMYFUNCTION("""COMPUTED_VALUE"""),8)</f>
        <v>8</v>
      </c>
      <c r="D542" s="1">
        <f ca="1">IFERROR(__xludf.DUMMYFUNCTION("""COMPUTED_VALUE"""),2022)</f>
        <v>2022</v>
      </c>
      <c r="E542" s="4">
        <f ca="1">IFERROR(__xludf.DUMMYFUNCTION("""COMPUTED_VALUE"""),44812)</f>
        <v>44812</v>
      </c>
      <c r="F542" s="1" t="str">
        <f ca="1">IFERROR(__xludf.DUMMYFUNCTION("""COMPUTED_VALUE"""),"J. H. Williams Middle School")</f>
        <v>J. H. Williams Middle School</v>
      </c>
      <c r="G542" s="1">
        <f ca="1">IFERROR(__xludf.DUMMYFUNCTION("""COMPUTED_VALUE"""),0)</f>
        <v>0</v>
      </c>
      <c r="H542" s="1">
        <f ca="1">IFERROR(__xludf.DUMMYFUNCTION("""COMPUTED_VALUE"""),0)</f>
        <v>0</v>
      </c>
      <c r="I542" s="1">
        <f ca="1">IFERROR(__xludf.DUMMYFUNCTION("""COMPUTED_VALUE"""),0)</f>
        <v>0</v>
      </c>
      <c r="J542" s="1">
        <f ca="1">IFERROR(__xludf.DUMMYFUNCTION("""COMPUTED_VALUE"""),0)</f>
        <v>0</v>
      </c>
      <c r="K542" s="1" t="str">
        <f ca="1">IFERROR(__xludf.DUMMYFUNCTION("""COMPUTED_VALUE"""),"Fall")</f>
        <v>Fall</v>
      </c>
      <c r="L542" s="1" t="str">
        <f ca="1">IFERROR(__xludf.DUMMYFUNCTION("""COMPUTED_VALUE"""),"Abbeville")</f>
        <v>Abbeville</v>
      </c>
      <c r="M542" s="1" t="str">
        <f ca="1">IFERROR(__xludf.DUMMYFUNCTION("""COMPUTED_VALUE"""),"LA")</f>
        <v>LA</v>
      </c>
      <c r="N542" s="1" t="str">
        <f ca="1">IFERROR(__xludf.DUMMYFUNCTION("""COMPUTED_VALUE"""),"Middle")</f>
        <v>Middle</v>
      </c>
      <c r="O542" s="1" t="str">
        <f ca="1">IFERROR(__xludf.DUMMYFUNCTION("""COMPUTED_VALUE"""),"Outside on School Property")</f>
        <v>Outside on School Property</v>
      </c>
      <c r="P542" s="1" t="str">
        <f ca="1">IFERROR(__xludf.DUMMYFUNCTION("""COMPUTED_VALUE"""),"Outside on School Property")</f>
        <v>Outside on School Property</v>
      </c>
      <c r="Q542" s="1" t="str">
        <f ca="1">IFERROR(__xludf.DUMMYFUNCTION("""COMPUTED_VALUE"""),"No")</f>
        <v>No</v>
      </c>
      <c r="R542" s="1" t="str">
        <f ca="1">IFERROR(__xludf.DUMMYFUNCTION("""COMPUTED_VALUE"""),"Sport Event")</f>
        <v>Sport Event</v>
      </c>
      <c r="S542" s="5">
        <f ca="1">IFERROR(__xludf.DUMMYFUNCTION("""COMPUTED_VALUE"""),0.875)</f>
        <v>0.875</v>
      </c>
      <c r="T542" s="1">
        <f ca="1">IFERROR(__xludf.DUMMYFUNCTION("""COMPUTED_VALUE"""),1)</f>
        <v>1</v>
      </c>
      <c r="U542" s="1" t="str">
        <f ca="1">IFERROR(__xludf.DUMMYFUNCTION("""COMPUTED_VALUE"""),"Shots fired near the football stadium during game")</f>
        <v>Shots fired near the football stadium during game</v>
      </c>
      <c r="V542" s="1" t="str">
        <f ca="1">IFERROR(__xludf.DUMMYFUNCTION("""COMPUTED_VALUE"""),"Shots fired near football stadium during game. Stands evacuated. Officers found shell casings and abandon bikes the next morning.")</f>
        <v>Shots fired near football stadium during game. Stands evacuated. Officers found shell casings and abandon bikes the next morning.</v>
      </c>
      <c r="W542" s="1"/>
      <c r="X542" s="1"/>
      <c r="Y542" s="1" t="str">
        <f ca="1">IFERROR(__xludf.DUMMYFUNCTION("""COMPUTED_VALUE"""),"Yes")</f>
        <v>Yes</v>
      </c>
      <c r="Z542" s="1" t="str">
        <f ca="1">IFERROR(__xludf.DUMMYFUNCTION("""COMPUTED_VALUE"""),"Two bikes")</f>
        <v>Two bikes</v>
      </c>
      <c r="AA542" s="1" t="str">
        <f ca="1">IFERROR(__xludf.DUMMYFUNCTION("""COMPUTED_VALUE"""),"No")</f>
        <v>No</v>
      </c>
      <c r="AB542" s="1" t="str">
        <f ca="1">IFERROR(__xludf.DUMMYFUNCTION("""COMPUTED_VALUE"""),"No")</f>
        <v>No</v>
      </c>
      <c r="AC542" s="1" t="str">
        <f ca="1">IFERROR(__xludf.DUMMYFUNCTION("""COMPUTED_VALUE"""),"No")</f>
        <v>No</v>
      </c>
      <c r="AD542" s="1" t="str">
        <f ca="1">IFERROR(__xludf.DUMMYFUNCTION("""COMPUTED_VALUE"""),"No")</f>
        <v>No</v>
      </c>
      <c r="AE542" s="1" t="str">
        <f ca="1">IFERROR(__xludf.DUMMYFUNCTION("""COMPUTED_VALUE"""),"No")</f>
        <v>No</v>
      </c>
      <c r="AF542" s="1"/>
      <c r="AG542" s="1" t="str">
        <f ca="1">IFERROR(__xludf.DUMMYFUNCTION("""COMPUTED_VALUE"""),"No")</f>
        <v>No</v>
      </c>
      <c r="AH542" s="1">
        <f ca="1">IFERROR(__xludf.DUMMYFUNCTION("""COMPUTED_VALUE"""),2)</f>
        <v>2</v>
      </c>
    </row>
    <row r="543" spans="1:34" ht="12.5">
      <c r="A543" s="1" t="str">
        <f ca="1">IFERROR(__xludf.DUMMYFUNCTION("""COMPUTED_VALUE"""),"20220907WIBAM")</f>
        <v>20220907WIBAM</v>
      </c>
      <c r="B543" s="1">
        <f ca="1">IFERROR(__xludf.DUMMYFUNCTION("""COMPUTED_VALUE"""),9)</f>
        <v>9</v>
      </c>
      <c r="C543" s="1">
        <f ca="1">IFERROR(__xludf.DUMMYFUNCTION("""COMPUTED_VALUE"""),7)</f>
        <v>7</v>
      </c>
      <c r="D543" s="1">
        <f ca="1">IFERROR(__xludf.DUMMYFUNCTION("""COMPUTED_VALUE"""),2022)</f>
        <v>2022</v>
      </c>
      <c r="E543" s="4">
        <f ca="1">IFERROR(__xludf.DUMMYFUNCTION("""COMPUTED_VALUE"""),44811)</f>
        <v>44811</v>
      </c>
      <c r="F543" s="1" t="str">
        <f ca="1">IFERROR(__xludf.DUMMYFUNCTION("""COMPUTED_VALUE"""),"Barack Obama High School")</f>
        <v>Barack Obama High School</v>
      </c>
      <c r="G543" s="1">
        <f ca="1">IFERROR(__xludf.DUMMYFUNCTION("""COMPUTED_VALUE"""),0)</f>
        <v>0</v>
      </c>
      <c r="H543" s="1">
        <f ca="1">IFERROR(__xludf.DUMMYFUNCTION("""COMPUTED_VALUE"""),0)</f>
        <v>0</v>
      </c>
      <c r="I543" s="1">
        <f ca="1">IFERROR(__xludf.DUMMYFUNCTION("""COMPUTED_VALUE"""),0)</f>
        <v>0</v>
      </c>
      <c r="J543" s="1">
        <f ca="1">IFERROR(__xludf.DUMMYFUNCTION("""COMPUTED_VALUE"""),0)</f>
        <v>0</v>
      </c>
      <c r="K543" s="1" t="str">
        <f ca="1">IFERROR(__xludf.DUMMYFUNCTION("""COMPUTED_VALUE"""),"Fall")</f>
        <v>Fall</v>
      </c>
      <c r="L543" s="1" t="str">
        <f ca="1">IFERROR(__xludf.DUMMYFUNCTION("""COMPUTED_VALUE"""),"Milwaukee")</f>
        <v>Milwaukee</v>
      </c>
      <c r="M543" s="1" t="str">
        <f ca="1">IFERROR(__xludf.DUMMYFUNCTION("""COMPUTED_VALUE"""),"WI")</f>
        <v>WI</v>
      </c>
      <c r="N543" s="1" t="str">
        <f ca="1">IFERROR(__xludf.DUMMYFUNCTION("""COMPUTED_VALUE"""),"High")</f>
        <v>High</v>
      </c>
      <c r="O543" s="1" t="str">
        <f ca="1">IFERROR(__xludf.DUMMYFUNCTION("""COMPUTED_VALUE"""),"Outside on School Property")</f>
        <v>Outside on School Property</v>
      </c>
      <c r="P543" s="1" t="str">
        <f ca="1">IFERROR(__xludf.DUMMYFUNCTION("""COMPUTED_VALUE"""),"Outside on School Property")</f>
        <v>Outside on School Property</v>
      </c>
      <c r="Q543" s="1"/>
      <c r="R543" s="1"/>
      <c r="S543" s="1"/>
      <c r="T543" s="1">
        <f ca="1">IFERROR(__xludf.DUMMYFUNCTION("""COMPUTED_VALUE"""),2)</f>
        <v>2</v>
      </c>
      <c r="U543" s="1" t="str">
        <f ca="1">IFERROR(__xludf.DUMMYFUNCTION("""COMPUTED_VALUE"""),"Teen and adult fired multiple shots into the air from vehicle near the school")</f>
        <v>Teen and adult fired multiple shots into the air from vehicle near the school</v>
      </c>
      <c r="V543" s="1" t="str">
        <f ca="1">IFERROR(__xludf.DUMMYFUNCTION("""COMPUTED_VALUE"""),"17-year-old man and 27-year-old man were charged with fired 32 shots from automatic weapons (pistol and rifle) into the air near the school. Police responded and arrested both after high speed chase. No injuries. Charged with firing weapons in school zone"&amp;".")</f>
        <v>17-year-old man and 27-year-old man were charged with fired 32 shots from automatic weapons (pistol and rifle) into the air near the school. Police responded and arrested both after high speed chase. No injuries. Charged with firing weapons in school zone.</v>
      </c>
      <c r="W543" s="1" t="str">
        <f ca="1">IFERROR(__xludf.DUMMYFUNCTION("""COMPUTED_VALUE"""),"Drive-by Shooting")</f>
        <v>Drive-by Shooting</v>
      </c>
      <c r="X543" s="1" t="str">
        <f ca="1">IFERROR(__xludf.DUMMYFUNCTION("""COMPUTED_VALUE"""),"Random Shooting")</f>
        <v>Random Shooting</v>
      </c>
      <c r="Y543" s="1" t="str">
        <f ca="1">IFERROR(__xludf.DUMMYFUNCTION("""COMPUTED_VALUE"""),"Yes")</f>
        <v>Yes</v>
      </c>
      <c r="Z543" s="1" t="str">
        <f ca="1">IFERROR(__xludf.DUMMYFUNCTION("""COMPUTED_VALUE"""),"Two teens")</f>
        <v>Two teens</v>
      </c>
      <c r="AA543" s="1" t="str">
        <f ca="1">IFERROR(__xludf.DUMMYFUNCTION("""COMPUTED_VALUE"""),"No")</f>
        <v>No</v>
      </c>
      <c r="AB543" s="1" t="str">
        <f ca="1">IFERROR(__xludf.DUMMYFUNCTION("""COMPUTED_VALUE"""),"No")</f>
        <v>No</v>
      </c>
      <c r="AC543" s="1" t="str">
        <f ca="1">IFERROR(__xludf.DUMMYFUNCTION("""COMPUTED_VALUE"""),"No")</f>
        <v>No</v>
      </c>
      <c r="AD543" s="1" t="str">
        <f ca="1">IFERROR(__xludf.DUMMYFUNCTION("""COMPUTED_VALUE"""),"No")</f>
        <v>No</v>
      </c>
      <c r="AE543" s="1" t="str">
        <f ca="1">IFERROR(__xludf.DUMMYFUNCTION("""COMPUTED_VALUE"""),"No")</f>
        <v>No</v>
      </c>
      <c r="AF543" s="1"/>
      <c r="AG543" s="1" t="str">
        <f ca="1">IFERROR(__xludf.DUMMYFUNCTION("""COMPUTED_VALUE"""),"No")</f>
        <v>No</v>
      </c>
      <c r="AH543" s="1">
        <f ca="1">IFERROR(__xludf.DUMMYFUNCTION("""COMPUTED_VALUE"""),32)</f>
        <v>32</v>
      </c>
    </row>
    <row r="544" spans="1:34" ht="12.5">
      <c r="A544" s="1" t="str">
        <f ca="1">IFERROR(__xludf.DUMMYFUNCTION("""COMPUTED_VALUE"""),"20220907OHBEB")</f>
        <v>20220907OHBEB</v>
      </c>
      <c r="B544" s="1">
        <f ca="1">IFERROR(__xludf.DUMMYFUNCTION("""COMPUTED_VALUE"""),9)</f>
        <v>9</v>
      </c>
      <c r="C544" s="1">
        <f ca="1">IFERROR(__xludf.DUMMYFUNCTION("""COMPUTED_VALUE"""),7)</f>
        <v>7</v>
      </c>
      <c r="D544" s="1">
        <f ca="1">IFERROR(__xludf.DUMMYFUNCTION("""COMPUTED_VALUE"""),2022)</f>
        <v>2022</v>
      </c>
      <c r="E544" s="4">
        <f ca="1">IFERROR(__xludf.DUMMYFUNCTION("""COMPUTED_VALUE"""),44811)</f>
        <v>44811</v>
      </c>
      <c r="F544" s="1" t="str">
        <f ca="1">IFERROR(__xludf.DUMMYFUNCTION("""COMPUTED_VALUE"""),"Beavercreek High School")</f>
        <v>Beavercreek High School</v>
      </c>
      <c r="G544" s="1">
        <f ca="1">IFERROR(__xludf.DUMMYFUNCTION("""COMPUTED_VALUE"""),0)</f>
        <v>0</v>
      </c>
      <c r="H544" s="1">
        <f ca="1">IFERROR(__xludf.DUMMYFUNCTION("""COMPUTED_VALUE"""),0)</f>
        <v>0</v>
      </c>
      <c r="I544" s="1">
        <f ca="1">IFERROR(__xludf.DUMMYFUNCTION("""COMPUTED_VALUE"""),0)</f>
        <v>0</v>
      </c>
      <c r="J544" s="1">
        <f ca="1">IFERROR(__xludf.DUMMYFUNCTION("""COMPUTED_VALUE"""),0)</f>
        <v>0</v>
      </c>
      <c r="K544" s="1" t="str">
        <f ca="1">IFERROR(__xludf.DUMMYFUNCTION("""COMPUTED_VALUE"""),"Fall")</f>
        <v>Fall</v>
      </c>
      <c r="L544" s="1" t="str">
        <f ca="1">IFERROR(__xludf.DUMMYFUNCTION("""COMPUTED_VALUE"""),"Beavercreek")</f>
        <v>Beavercreek</v>
      </c>
      <c r="M544" s="1" t="str">
        <f ca="1">IFERROR(__xludf.DUMMYFUNCTION("""COMPUTED_VALUE"""),"OH")</f>
        <v>OH</v>
      </c>
      <c r="N544" s="1" t="str">
        <f ca="1">IFERROR(__xludf.DUMMYFUNCTION("""COMPUTED_VALUE"""),"High")</f>
        <v>High</v>
      </c>
      <c r="O544" s="1" t="str">
        <f ca="1">IFERROR(__xludf.DUMMYFUNCTION("""COMPUTED_VALUE"""),"Football Field/Track")</f>
        <v>Football Field/Track</v>
      </c>
      <c r="P544" s="1" t="str">
        <f ca="1">IFERROR(__xludf.DUMMYFUNCTION("""COMPUTED_VALUE"""),"Outside on School Property")</f>
        <v>Outside on School Property</v>
      </c>
      <c r="Q544" s="1" t="str">
        <f ca="1">IFERROR(__xludf.DUMMYFUNCTION("""COMPUTED_VALUE"""),"No")</f>
        <v>No</v>
      </c>
      <c r="R544" s="1" t="str">
        <f ca="1">IFERROR(__xludf.DUMMYFUNCTION("""COMPUTED_VALUE"""),"Sport Event")</f>
        <v>Sport Event</v>
      </c>
      <c r="S544" s="5">
        <f ca="1">IFERROR(__xludf.DUMMYFUNCTION("""COMPUTED_VALUE"""),0.8125)</f>
        <v>0.8125</v>
      </c>
      <c r="T544" s="1">
        <f ca="1">IFERROR(__xludf.DUMMYFUNCTION("""COMPUTED_VALUE"""),1)</f>
        <v>1</v>
      </c>
      <c r="U544" s="1" t="str">
        <f ca="1">IFERROR(__xludf.DUMMYFUNCTION("""COMPUTED_VALUE"""),"Shots fired across football field during practice")</f>
        <v>Shots fired across football field during practice</v>
      </c>
      <c r="V544" s="1" t="str">
        <f ca="1">IFERROR(__xludf.DUMMYFUNCTION("""COMPUTED_VALUE"""),"Players and coaches ran for cover when shots were fired across the football field. Police determined that a nearby homeowner was target shooting and didn't realize the school was behind the targets. No injuries.")</f>
        <v>Players and coaches ran for cover when shots were fired across the football field. Police determined that a nearby homeowner was target shooting and didn't realize the school was behind the targets. No injuries.</v>
      </c>
      <c r="W544" s="1" t="str">
        <f ca="1">IFERROR(__xludf.DUMMYFUNCTION("""COMPUTED_VALUE"""),"Accidental")</f>
        <v>Accidental</v>
      </c>
      <c r="X544" s="1" t="str">
        <f ca="1">IFERROR(__xludf.DUMMYFUNCTION("""COMPUTED_VALUE"""),"Neither")</f>
        <v>Neither</v>
      </c>
      <c r="Y544" s="1" t="str">
        <f ca="1">IFERROR(__xludf.DUMMYFUNCTION("""COMPUTED_VALUE"""),"No")</f>
        <v>No</v>
      </c>
      <c r="Z544" s="1"/>
      <c r="AA544" s="1" t="str">
        <f ca="1">IFERROR(__xludf.DUMMYFUNCTION("""COMPUTED_VALUE"""),"No")</f>
        <v>No</v>
      </c>
      <c r="AB544" s="1" t="str">
        <f ca="1">IFERROR(__xludf.DUMMYFUNCTION("""COMPUTED_VALUE"""),"No")</f>
        <v>No</v>
      </c>
      <c r="AC544" s="1" t="str">
        <f ca="1">IFERROR(__xludf.DUMMYFUNCTION("""COMPUTED_VALUE"""),"No")</f>
        <v>No</v>
      </c>
      <c r="AD544" s="1" t="str">
        <f ca="1">IFERROR(__xludf.DUMMYFUNCTION("""COMPUTED_VALUE"""),"No")</f>
        <v>No</v>
      </c>
      <c r="AE544" s="1" t="str">
        <f ca="1">IFERROR(__xludf.DUMMYFUNCTION("""COMPUTED_VALUE"""),"No")</f>
        <v>No</v>
      </c>
      <c r="AF544" s="1" t="str">
        <f ca="1">IFERROR(__xludf.DUMMYFUNCTION("""COMPUTED_VALUE"""),"No")</f>
        <v>No</v>
      </c>
      <c r="AG544" s="1" t="str">
        <f ca="1">IFERROR(__xludf.DUMMYFUNCTION("""COMPUTED_VALUE"""),"No")</f>
        <v>No</v>
      </c>
      <c r="AH544" s="1">
        <f ca="1">IFERROR(__xludf.DUMMYFUNCTION("""COMPUTED_VALUE"""),99)</f>
        <v>99</v>
      </c>
    </row>
    <row r="545" spans="1:34" ht="12.5">
      <c r="A545" s="1" t="str">
        <f ca="1">IFERROR(__xludf.DUMMYFUNCTION("""COMPUTED_VALUE"""),"20220907MDCAB")</f>
        <v>20220907MDCAB</v>
      </c>
      <c r="B545" s="1">
        <f ca="1">IFERROR(__xludf.DUMMYFUNCTION("""COMPUTED_VALUE"""),9)</f>
        <v>9</v>
      </c>
      <c r="C545" s="1">
        <f ca="1">IFERROR(__xludf.DUMMYFUNCTION("""COMPUTED_VALUE"""),7)</f>
        <v>7</v>
      </c>
      <c r="D545" s="1">
        <f ca="1">IFERROR(__xludf.DUMMYFUNCTION("""COMPUTED_VALUE"""),2022)</f>
        <v>2022</v>
      </c>
      <c r="E545" s="4">
        <f ca="1">IFERROR(__xludf.DUMMYFUNCTION("""COMPUTED_VALUE"""),44811)</f>
        <v>44811</v>
      </c>
      <c r="F545" s="1" t="str">
        <f ca="1">IFERROR(__xludf.DUMMYFUNCTION("""COMPUTED_VALUE"""),"Carver Vocational Technical High School")</f>
        <v>Carver Vocational Technical High School</v>
      </c>
      <c r="G545" s="1">
        <f ca="1">IFERROR(__xludf.DUMMYFUNCTION("""COMPUTED_VALUE"""),0)</f>
        <v>0</v>
      </c>
      <c r="H545" s="1">
        <f ca="1">IFERROR(__xludf.DUMMYFUNCTION("""COMPUTED_VALUE"""),1)</f>
        <v>1</v>
      </c>
      <c r="I545" s="1">
        <f ca="1">IFERROR(__xludf.DUMMYFUNCTION("""COMPUTED_VALUE"""),1)</f>
        <v>1</v>
      </c>
      <c r="J545" s="1">
        <f ca="1">IFERROR(__xludf.DUMMYFUNCTION("""COMPUTED_VALUE"""),0)</f>
        <v>0</v>
      </c>
      <c r="K545" s="1" t="str">
        <f ca="1">IFERROR(__xludf.DUMMYFUNCTION("""COMPUTED_VALUE"""),"Fall")</f>
        <v>Fall</v>
      </c>
      <c r="L545" s="1" t="str">
        <f ca="1">IFERROR(__xludf.DUMMYFUNCTION("""COMPUTED_VALUE"""),"Baltimore")</f>
        <v>Baltimore</v>
      </c>
      <c r="M545" s="1" t="str">
        <f ca="1">IFERROR(__xludf.DUMMYFUNCTION("""COMPUTED_VALUE"""),"MD")</f>
        <v>MD</v>
      </c>
      <c r="N545" s="1" t="str">
        <f ca="1">IFERROR(__xludf.DUMMYFUNCTION("""COMPUTED_VALUE"""),"High")</f>
        <v>High</v>
      </c>
      <c r="O545" s="1" t="str">
        <f ca="1">IFERROR(__xludf.DUMMYFUNCTION("""COMPUTED_VALUE"""),"Front of School")</f>
        <v>Front of School</v>
      </c>
      <c r="P545" s="1" t="str">
        <f ca="1">IFERROR(__xludf.DUMMYFUNCTION("""COMPUTED_VALUE"""),"Off School Property")</f>
        <v>Off School Property</v>
      </c>
      <c r="Q545" s="1" t="str">
        <f ca="1">IFERROR(__xludf.DUMMYFUNCTION("""COMPUTED_VALUE"""),"Yes")</f>
        <v>Yes</v>
      </c>
      <c r="R545" s="1" t="str">
        <f ca="1">IFERROR(__xludf.DUMMYFUNCTION("""COMPUTED_VALUE"""),"Dismissal")</f>
        <v>Dismissal</v>
      </c>
      <c r="S545" s="5">
        <f ca="1">IFERROR(__xludf.DUMMYFUNCTION("""COMPUTED_VALUE"""),0.666666666666666)</f>
        <v>0.66666666666666596</v>
      </c>
      <c r="T545" s="1">
        <f ca="1">IFERROR(__xludf.DUMMYFUNCTION("""COMPUTED_VALUE"""),1)</f>
        <v>1</v>
      </c>
      <c r="U545" s="1" t="str">
        <f ca="1">IFERROR(__xludf.DUMMYFUNCTION("""COMPUTED_VALUE"""),"Teen shot in front of school at dismissal")</f>
        <v>Teen shot in front of school at dismissal</v>
      </c>
      <c r="V545" s="1" t="str">
        <f ca="1">IFERROR(__xludf.DUMMYFUNCTION("""COMPUTED_VALUE"""),"15-year-old student was shot in the head (graze) at dismissal in front of the school. He ran home and then realized he had been shot. Police do not know if he was the intended target. Shooter fled.")</f>
        <v>15-year-old student was shot in the head (graze) at dismissal in front of the school. He ran home and then realized he had been shot. Police do not know if he was the intended target. Shooter fled.</v>
      </c>
      <c r="W545" s="1"/>
      <c r="X545" s="1" t="str">
        <f ca="1">IFERROR(__xludf.DUMMYFUNCTION("""COMPUTED_VALUE"""),"Random Shooting")</f>
        <v>Random Shooting</v>
      </c>
      <c r="Y545" s="1" t="str">
        <f ca="1">IFERROR(__xludf.DUMMYFUNCTION("""COMPUTED_VALUE"""),"No")</f>
        <v>No</v>
      </c>
      <c r="Z545" s="1"/>
      <c r="AA545" s="1" t="str">
        <f ca="1">IFERROR(__xludf.DUMMYFUNCTION("""COMPUTED_VALUE"""),"No")</f>
        <v>No</v>
      </c>
      <c r="AB545" s="1" t="str">
        <f ca="1">IFERROR(__xludf.DUMMYFUNCTION("""COMPUTED_VALUE"""),"No")</f>
        <v>No</v>
      </c>
      <c r="AC545" s="1" t="str">
        <f ca="1">IFERROR(__xludf.DUMMYFUNCTION("""COMPUTED_VALUE"""),"No")</f>
        <v>No</v>
      </c>
      <c r="AD545" s="1" t="str">
        <f ca="1">IFERROR(__xludf.DUMMYFUNCTION("""COMPUTED_VALUE"""),"No")</f>
        <v>No</v>
      </c>
      <c r="AE545" s="1" t="str">
        <f ca="1">IFERROR(__xludf.DUMMYFUNCTION("""COMPUTED_VALUE"""),"No")</f>
        <v>No</v>
      </c>
      <c r="AF545" s="1"/>
      <c r="AG545" s="1" t="str">
        <f ca="1">IFERROR(__xludf.DUMMYFUNCTION("""COMPUTED_VALUE"""),"No")</f>
        <v>No</v>
      </c>
      <c r="AH545" s="1">
        <f ca="1">IFERROR(__xludf.DUMMYFUNCTION("""COMPUTED_VALUE"""),99)</f>
        <v>99</v>
      </c>
    </row>
    <row r="546" spans="1:34" ht="12.5">
      <c r="A546" s="1" t="str">
        <f ca="1">IFERROR(__xludf.DUMMYFUNCTION("""COMPUTED_VALUE"""),"20220906IANOS")</f>
        <v>20220906IANOS</v>
      </c>
      <c r="B546" s="1">
        <f ca="1">IFERROR(__xludf.DUMMYFUNCTION("""COMPUTED_VALUE"""),9)</f>
        <v>9</v>
      </c>
      <c r="C546" s="1">
        <f ca="1">IFERROR(__xludf.DUMMYFUNCTION("""COMPUTED_VALUE"""),6)</f>
        <v>6</v>
      </c>
      <c r="D546" s="1">
        <f ca="1">IFERROR(__xludf.DUMMYFUNCTION("""COMPUTED_VALUE"""),2022)</f>
        <v>2022</v>
      </c>
      <c r="E546" s="4">
        <f ca="1">IFERROR(__xludf.DUMMYFUNCTION("""COMPUTED_VALUE"""),44810)</f>
        <v>44810</v>
      </c>
      <c r="F546" s="1" t="str">
        <f ca="1">IFERROR(__xludf.DUMMYFUNCTION("""COMPUTED_VALUE"""),"North Middle School")</f>
        <v>North Middle School</v>
      </c>
      <c r="G546" s="1">
        <f ca="1">IFERROR(__xludf.DUMMYFUNCTION("""COMPUTED_VALUE"""),0)</f>
        <v>0</v>
      </c>
      <c r="H546" s="1">
        <f ca="1">IFERROR(__xludf.DUMMYFUNCTION("""COMPUTED_VALUE"""),0)</f>
        <v>0</v>
      </c>
      <c r="I546" s="1">
        <f ca="1">IFERROR(__xludf.DUMMYFUNCTION("""COMPUTED_VALUE"""),0)</f>
        <v>0</v>
      </c>
      <c r="J546" s="1">
        <f ca="1">IFERROR(__xludf.DUMMYFUNCTION("""COMPUTED_VALUE"""),0)</f>
        <v>0</v>
      </c>
      <c r="K546" s="1" t="str">
        <f ca="1">IFERROR(__xludf.DUMMYFUNCTION("""COMPUTED_VALUE"""),"Fall")</f>
        <v>Fall</v>
      </c>
      <c r="L546" s="1" t="str">
        <f ca="1">IFERROR(__xludf.DUMMYFUNCTION("""COMPUTED_VALUE"""),"Sioux City")</f>
        <v>Sioux City</v>
      </c>
      <c r="M546" s="1" t="str">
        <f ca="1">IFERROR(__xludf.DUMMYFUNCTION("""COMPUTED_VALUE"""),"IA")</f>
        <v>IA</v>
      </c>
      <c r="N546" s="1" t="str">
        <f ca="1">IFERROR(__xludf.DUMMYFUNCTION("""COMPUTED_VALUE"""),"Middle")</f>
        <v>Middle</v>
      </c>
      <c r="O546" s="1" t="str">
        <f ca="1">IFERROR(__xludf.DUMMYFUNCTION("""COMPUTED_VALUE"""),"Football Field/Track")</f>
        <v>Football Field/Track</v>
      </c>
      <c r="P546" s="1" t="str">
        <f ca="1">IFERROR(__xludf.DUMMYFUNCTION("""COMPUTED_VALUE"""),"Outside on School Property")</f>
        <v>Outside on School Property</v>
      </c>
      <c r="Q546" s="1" t="str">
        <f ca="1">IFERROR(__xludf.DUMMYFUNCTION("""COMPUTED_VALUE"""),"Yes")</f>
        <v>Yes</v>
      </c>
      <c r="R546" s="1" t="str">
        <f ca="1">IFERROR(__xludf.DUMMYFUNCTION("""COMPUTED_VALUE"""),"Afternoon Classes")</f>
        <v>Afternoon Classes</v>
      </c>
      <c r="S546" s="5">
        <f ca="1">IFERROR(__xludf.DUMMYFUNCTION("""COMPUTED_VALUE"""),0.583333333333333)</f>
        <v>0.58333333333333304</v>
      </c>
      <c r="T546" s="1">
        <f ca="1">IFERROR(__xludf.DUMMYFUNCTION("""COMPUTED_VALUE"""),1)</f>
        <v>1</v>
      </c>
      <c r="U546" s="1" t="str">
        <f ca="1">IFERROR(__xludf.DUMMYFUNCTION("""COMPUTED_VALUE"""),"Teens shot 4 students and an adult with pellet guns during gym class")</f>
        <v>Teens shot 4 students and an adult with pellet guns during gym class</v>
      </c>
      <c r="V546" s="1" t="str">
        <f ca="1">IFERROR(__xludf.DUMMYFUNCTION("""COMPUTED_VALUE"""),"A 16-year-old and 14-year-old in a vehicle fired pellets at students who were walking back from gym class on the school track. 4 students and one adult had minor injuries. Both teens arrested and charged with 5 counts of assault.")</f>
        <v>A 16-year-old and 14-year-old in a vehicle fired pellets at students who were walking back from gym class on the school track. 4 students and one adult had minor injuries. Both teens arrested and charged with 5 counts of assault.</v>
      </c>
      <c r="W546" s="1" t="str">
        <f ca="1">IFERROR(__xludf.DUMMYFUNCTION("""COMPUTED_VALUE"""),"Drive-by Shooting")</f>
        <v>Drive-by Shooting</v>
      </c>
      <c r="X546" s="1" t="str">
        <f ca="1">IFERROR(__xludf.DUMMYFUNCTION("""COMPUTED_VALUE"""),"Random Shooting")</f>
        <v>Random Shooting</v>
      </c>
      <c r="Y546" s="1" t="str">
        <f ca="1">IFERROR(__xludf.DUMMYFUNCTION("""COMPUTED_VALUE"""),"Yes")</f>
        <v>Yes</v>
      </c>
      <c r="Z546" s="1" t="str">
        <f ca="1">IFERROR(__xludf.DUMMYFUNCTION("""COMPUTED_VALUE"""),"2 shooters")</f>
        <v>2 shooters</v>
      </c>
      <c r="AA546" s="1" t="str">
        <f ca="1">IFERROR(__xludf.DUMMYFUNCTION("""COMPUTED_VALUE"""),"No")</f>
        <v>No</v>
      </c>
      <c r="AB546" s="1" t="str">
        <f ca="1">IFERROR(__xludf.DUMMYFUNCTION("""COMPUTED_VALUE"""),"No")</f>
        <v>No</v>
      </c>
      <c r="AC546" s="1" t="str">
        <f ca="1">IFERROR(__xludf.DUMMYFUNCTION("""COMPUTED_VALUE"""),"No")</f>
        <v>No</v>
      </c>
      <c r="AD546" s="1"/>
      <c r="AE546" s="1" t="str">
        <f ca="1">IFERROR(__xludf.DUMMYFUNCTION("""COMPUTED_VALUE"""),"No")</f>
        <v>No</v>
      </c>
      <c r="AF546" s="1"/>
      <c r="AG546" s="1" t="str">
        <f ca="1">IFERROR(__xludf.DUMMYFUNCTION("""COMPUTED_VALUE"""),"No")</f>
        <v>No</v>
      </c>
      <c r="AH546" s="1">
        <f ca="1">IFERROR(__xludf.DUMMYFUNCTION("""COMPUTED_VALUE"""),99)</f>
        <v>99</v>
      </c>
    </row>
    <row r="547" spans="1:34" ht="12.5">
      <c r="A547" s="1" t="str">
        <f ca="1">IFERROR(__xludf.DUMMYFUNCTION("""COMPUTED_VALUE"""),"20220904FLBOL")</f>
        <v>20220904FLBOL</v>
      </c>
      <c r="B547" s="1">
        <f ca="1">IFERROR(__xludf.DUMMYFUNCTION("""COMPUTED_VALUE"""),9)</f>
        <v>9</v>
      </c>
      <c r="C547" s="1">
        <f ca="1">IFERROR(__xludf.DUMMYFUNCTION("""COMPUTED_VALUE"""),4)</f>
        <v>4</v>
      </c>
      <c r="D547" s="1">
        <f ca="1">IFERROR(__xludf.DUMMYFUNCTION("""COMPUTED_VALUE"""),2022)</f>
        <v>2022</v>
      </c>
      <c r="E547" s="4">
        <f ca="1">IFERROR(__xludf.DUMMYFUNCTION("""COMPUTED_VALUE"""),44808)</f>
        <v>44808</v>
      </c>
      <c r="F547" s="1" t="str">
        <f ca="1">IFERROR(__xludf.DUMMYFUNCTION("""COMPUTED_VALUE"""),"Boyd H. Anderson High School")</f>
        <v>Boyd H. Anderson High School</v>
      </c>
      <c r="G547" s="1">
        <f ca="1">IFERROR(__xludf.DUMMYFUNCTION("""COMPUTED_VALUE"""),0)</f>
        <v>0</v>
      </c>
      <c r="H547" s="1">
        <f ca="1">IFERROR(__xludf.DUMMYFUNCTION("""COMPUTED_VALUE"""),4)</f>
        <v>4</v>
      </c>
      <c r="I547" s="1">
        <f ca="1">IFERROR(__xludf.DUMMYFUNCTION("""COMPUTED_VALUE"""),4)</f>
        <v>4</v>
      </c>
      <c r="J547" s="1">
        <f ca="1">IFERROR(__xludf.DUMMYFUNCTION("""COMPUTED_VALUE"""),0)</f>
        <v>0</v>
      </c>
      <c r="K547" s="1" t="str">
        <f ca="1">IFERROR(__xludf.DUMMYFUNCTION("""COMPUTED_VALUE"""),"Fall")</f>
        <v>Fall</v>
      </c>
      <c r="L547" s="1" t="str">
        <f ca="1">IFERROR(__xludf.DUMMYFUNCTION("""COMPUTED_VALUE"""),"Lauderdale Lakes")</f>
        <v>Lauderdale Lakes</v>
      </c>
      <c r="M547" s="1" t="str">
        <f ca="1">IFERROR(__xludf.DUMMYFUNCTION("""COMPUTED_VALUE"""),"FL")</f>
        <v>FL</v>
      </c>
      <c r="N547" s="1" t="str">
        <f ca="1">IFERROR(__xludf.DUMMYFUNCTION("""COMPUTED_VALUE"""),"High")</f>
        <v>High</v>
      </c>
      <c r="O547" s="1" t="str">
        <f ca="1">IFERROR(__xludf.DUMMYFUNCTION("""COMPUTED_VALUE"""),"Football Field/Track")</f>
        <v>Football Field/Track</v>
      </c>
      <c r="P547" s="1" t="str">
        <f ca="1">IFERROR(__xludf.DUMMYFUNCTION("""COMPUTED_VALUE"""),"Outside on School Property")</f>
        <v>Outside on School Property</v>
      </c>
      <c r="Q547" s="1" t="str">
        <f ca="1">IFERROR(__xludf.DUMMYFUNCTION("""COMPUTED_VALUE"""),"No")</f>
        <v>No</v>
      </c>
      <c r="R547" s="1" t="str">
        <f ca="1">IFERROR(__xludf.DUMMYFUNCTION("""COMPUTED_VALUE"""),"Sport Event")</f>
        <v>Sport Event</v>
      </c>
      <c r="S547" s="5">
        <f ca="1">IFERROR(__xludf.DUMMYFUNCTION("""COMPUTED_VALUE"""),0.854166666666666)</f>
        <v>0.85416666666666596</v>
      </c>
      <c r="T547" s="1">
        <f ca="1">IFERROR(__xludf.DUMMYFUNCTION("""COMPUTED_VALUE"""),1)</f>
        <v>1</v>
      </c>
      <c r="U547" s="1" t="str">
        <f ca="1">IFERROR(__xludf.DUMMYFUNCTION("""COMPUTED_VALUE"""),"Four juveniles shot at youth football game")</f>
        <v>Four juveniles shot at youth football game</v>
      </c>
      <c r="V547" s="1" t="str">
        <f ca="1">IFERROR(__xludf.DUMMYFUNCTION("""COMPUTED_VALUE"""),"Four juveniles were wounded when shots were fired in the stands during a youth football game held at the high school. Shooter fled. Shooting resulted from a dispute during an earlier game when multiple people were kicked out by security. The shooter snuck"&amp;" back into the stands. ")</f>
        <v xml:space="preserve">Four juveniles were wounded when shots were fired in the stands during a youth football game held at the high school. Shooter fled. Shooting resulted from a dispute during an earlier game when multiple people were kicked out by security. The shooter snuck back into the stands. </v>
      </c>
      <c r="W547" s="1" t="str">
        <f ca="1">IFERROR(__xludf.DUMMYFUNCTION("""COMPUTED_VALUE"""),"Escalation of Dispute")</f>
        <v>Escalation of Dispute</v>
      </c>
      <c r="X547" s="1" t="str">
        <f ca="1">IFERROR(__xludf.DUMMYFUNCTION("""COMPUTED_VALUE"""),"Both")</f>
        <v>Both</v>
      </c>
      <c r="Y547" s="1" t="str">
        <f ca="1">IFERROR(__xludf.DUMMYFUNCTION("""COMPUTED_VALUE"""),"No")</f>
        <v>No</v>
      </c>
      <c r="Z547" s="1"/>
      <c r="AA547" s="1" t="str">
        <f ca="1">IFERROR(__xludf.DUMMYFUNCTION("""COMPUTED_VALUE"""),"No")</f>
        <v>No</v>
      </c>
      <c r="AB547" s="1" t="str">
        <f ca="1">IFERROR(__xludf.DUMMYFUNCTION("""COMPUTED_VALUE"""),"No")</f>
        <v>No</v>
      </c>
      <c r="AC547" s="1" t="str">
        <f ca="1">IFERROR(__xludf.DUMMYFUNCTION("""COMPUTED_VALUE"""),"No")</f>
        <v>No</v>
      </c>
      <c r="AD547" s="1" t="str">
        <f ca="1">IFERROR(__xludf.DUMMYFUNCTION("""COMPUTED_VALUE"""),"No")</f>
        <v>No</v>
      </c>
      <c r="AE547" s="1" t="str">
        <f ca="1">IFERROR(__xludf.DUMMYFUNCTION("""COMPUTED_VALUE"""),"No")</f>
        <v>No</v>
      </c>
      <c r="AF547" s="1"/>
      <c r="AG547" s="1" t="str">
        <f ca="1">IFERROR(__xludf.DUMMYFUNCTION("""COMPUTED_VALUE"""),"No")</f>
        <v>No</v>
      </c>
      <c r="AH547" s="1">
        <f ca="1">IFERROR(__xludf.DUMMYFUNCTION("""COMPUTED_VALUE"""),99)</f>
        <v>99</v>
      </c>
    </row>
    <row r="548" spans="1:34" ht="12.5">
      <c r="A548" s="1" t="str">
        <f ca="1">IFERROR(__xludf.DUMMYFUNCTION("""COMPUTED_VALUE"""),"20220902MDMEB")</f>
        <v>20220902MDMEB</v>
      </c>
      <c r="B548" s="1">
        <f ca="1">IFERROR(__xludf.DUMMYFUNCTION("""COMPUTED_VALUE"""),9)</f>
        <v>9</v>
      </c>
      <c r="C548" s="1">
        <f ca="1">IFERROR(__xludf.DUMMYFUNCTION("""COMPUTED_VALUE"""),2)</f>
        <v>2</v>
      </c>
      <c r="D548" s="1">
        <f ca="1">IFERROR(__xludf.DUMMYFUNCTION("""COMPUTED_VALUE"""),2022)</f>
        <v>2022</v>
      </c>
      <c r="E548" s="4">
        <f ca="1">IFERROR(__xludf.DUMMYFUNCTION("""COMPUTED_VALUE"""),44806)</f>
        <v>44806</v>
      </c>
      <c r="F548" s="1" t="str">
        <f ca="1">IFERROR(__xludf.DUMMYFUNCTION("""COMPUTED_VALUE"""),"Mergenthaler Vocational-Technical High School")</f>
        <v>Mergenthaler Vocational-Technical High School</v>
      </c>
      <c r="G548" s="1">
        <f ca="1">IFERROR(__xludf.DUMMYFUNCTION("""COMPUTED_VALUE"""),1)</f>
        <v>1</v>
      </c>
      <c r="H548" s="1">
        <f ca="1">IFERROR(__xludf.DUMMYFUNCTION("""COMPUTED_VALUE"""),0)</f>
        <v>0</v>
      </c>
      <c r="I548" s="1">
        <f ca="1">IFERROR(__xludf.DUMMYFUNCTION("""COMPUTED_VALUE"""),1)</f>
        <v>1</v>
      </c>
      <c r="J548" s="1">
        <f ca="1">IFERROR(__xludf.DUMMYFUNCTION("""COMPUTED_VALUE"""),0)</f>
        <v>0</v>
      </c>
      <c r="K548" s="1" t="str">
        <f ca="1">IFERROR(__xludf.DUMMYFUNCTION("""COMPUTED_VALUE"""),"Fall")</f>
        <v>Fall</v>
      </c>
      <c r="L548" s="1" t="str">
        <f ca="1">IFERROR(__xludf.DUMMYFUNCTION("""COMPUTED_VALUE"""),"Baltimore")</f>
        <v>Baltimore</v>
      </c>
      <c r="M548" s="1" t="str">
        <f ca="1">IFERROR(__xludf.DUMMYFUNCTION("""COMPUTED_VALUE"""),"MD")</f>
        <v>MD</v>
      </c>
      <c r="N548" s="1" t="str">
        <f ca="1">IFERROR(__xludf.DUMMYFUNCTION("""COMPUTED_VALUE"""),"High")</f>
        <v>High</v>
      </c>
      <c r="O548" s="1" t="str">
        <f ca="1">IFERROR(__xludf.DUMMYFUNCTION("""COMPUTED_VALUE"""),"Parking Lot")</f>
        <v>Parking Lot</v>
      </c>
      <c r="P548" s="1" t="str">
        <f ca="1">IFERROR(__xludf.DUMMYFUNCTION("""COMPUTED_VALUE"""),"Outside on School Property")</f>
        <v>Outside on School Property</v>
      </c>
      <c r="Q548" s="1" t="str">
        <f ca="1">IFERROR(__xludf.DUMMYFUNCTION("""COMPUTED_VALUE"""),"Yes")</f>
        <v>Yes</v>
      </c>
      <c r="R548" s="1" t="str">
        <f ca="1">IFERROR(__xludf.DUMMYFUNCTION("""COMPUTED_VALUE"""),"Dismissal")</f>
        <v>Dismissal</v>
      </c>
      <c r="S548" s="5">
        <f ca="1">IFERROR(__xludf.DUMMYFUNCTION("""COMPUTED_VALUE"""),0.621527777777777)</f>
        <v>0.62152777777777701</v>
      </c>
      <c r="T548" s="1">
        <f ca="1">IFERROR(__xludf.DUMMYFUNCTION("""COMPUTED_VALUE"""),1)</f>
        <v>1</v>
      </c>
      <c r="U548" s="1" t="str">
        <f ca="1">IFERROR(__xludf.DUMMYFUNCTION("""COMPUTED_VALUE"""),"Student from another school fatally shot a student in the parking lot at dismissal")</f>
        <v>Student from another school fatally shot a student in the parking lot at dismissal</v>
      </c>
      <c r="V548" s="1" t="str">
        <f ca="1">IFERROR(__xludf.DUMMYFUNCTION("""COMPUTED_VALUE"""),"A teenage student was fatally shot during a dispute with a student from another school in the parking lot at dismissal. Shooter ran from the campus and was arrested by the SRO. School went into lockdown and followed active shooter procedures.")</f>
        <v>A teenage student was fatally shot during a dispute with a student from another school in the parking lot at dismissal. Shooter ran from the campus and was arrested by the SRO. School went into lockdown and followed active shooter procedures.</v>
      </c>
      <c r="W548" s="1" t="str">
        <f ca="1">IFERROR(__xludf.DUMMYFUNCTION("""COMPUTED_VALUE"""),"Escalation of Dispute")</f>
        <v>Escalation of Dispute</v>
      </c>
      <c r="X548" s="1" t="str">
        <f ca="1">IFERROR(__xludf.DUMMYFUNCTION("""COMPUTED_VALUE"""),"Victims Targeted")</f>
        <v>Victims Targeted</v>
      </c>
      <c r="Y548" s="1" t="str">
        <f ca="1">IFERROR(__xludf.DUMMYFUNCTION("""COMPUTED_VALUE"""),"No")</f>
        <v>No</v>
      </c>
      <c r="Z548" s="1"/>
      <c r="AA548" s="1" t="str">
        <f ca="1">IFERROR(__xludf.DUMMYFUNCTION("""COMPUTED_VALUE"""),"No")</f>
        <v>No</v>
      </c>
      <c r="AB548" s="1" t="str">
        <f ca="1">IFERROR(__xludf.DUMMYFUNCTION("""COMPUTED_VALUE"""),"No")</f>
        <v>No</v>
      </c>
      <c r="AC548" s="1" t="str">
        <f ca="1">IFERROR(__xludf.DUMMYFUNCTION("""COMPUTED_VALUE"""),"No")</f>
        <v>No</v>
      </c>
      <c r="AD548" s="1" t="str">
        <f ca="1">IFERROR(__xludf.DUMMYFUNCTION("""COMPUTED_VALUE"""),"No")</f>
        <v>No</v>
      </c>
      <c r="AE548" s="1" t="str">
        <f ca="1">IFERROR(__xludf.DUMMYFUNCTION("""COMPUTED_VALUE"""),"No")</f>
        <v>No</v>
      </c>
      <c r="AF548" s="1"/>
      <c r="AG548" s="1" t="str">
        <f ca="1">IFERROR(__xludf.DUMMYFUNCTION("""COMPUTED_VALUE"""),"No")</f>
        <v>No</v>
      </c>
      <c r="AH548" s="1">
        <f ca="1">IFERROR(__xludf.DUMMYFUNCTION("""COMPUTED_VALUE"""),99)</f>
        <v>99</v>
      </c>
    </row>
    <row r="549" spans="1:34" ht="12.5">
      <c r="A549" s="1" t="str">
        <f ca="1">IFERROR(__xludf.DUMMYFUNCTION("""COMPUTED_VALUE"""),"20220902INJEL")</f>
        <v>20220902INJEL</v>
      </c>
      <c r="B549" s="1">
        <f ca="1">IFERROR(__xludf.DUMMYFUNCTION("""COMPUTED_VALUE"""),9)</f>
        <v>9</v>
      </c>
      <c r="C549" s="1">
        <f ca="1">IFERROR(__xludf.DUMMYFUNCTION("""COMPUTED_VALUE"""),2)</f>
        <v>2</v>
      </c>
      <c r="D549" s="1">
        <f ca="1">IFERROR(__xludf.DUMMYFUNCTION("""COMPUTED_VALUE"""),2022)</f>
        <v>2022</v>
      </c>
      <c r="E549" s="4">
        <f ca="1">IFERROR(__xludf.DUMMYFUNCTION("""COMPUTED_VALUE"""),44806)</f>
        <v>44806</v>
      </c>
      <c r="F549" s="1" t="str">
        <f ca="1">IFERROR(__xludf.DUMMYFUNCTION("""COMPUTED_VALUE"""),"Jeffersonville High School")</f>
        <v>Jeffersonville High School</v>
      </c>
      <c r="G549" s="1">
        <f ca="1">IFERROR(__xludf.DUMMYFUNCTION("""COMPUTED_VALUE"""),0)</f>
        <v>0</v>
      </c>
      <c r="H549" s="1">
        <f ca="1">IFERROR(__xludf.DUMMYFUNCTION("""COMPUTED_VALUE"""),0)</f>
        <v>0</v>
      </c>
      <c r="I549" s="1">
        <f ca="1">IFERROR(__xludf.DUMMYFUNCTION("""COMPUTED_VALUE"""),0)</f>
        <v>0</v>
      </c>
      <c r="J549" s="1">
        <f ca="1">IFERROR(__xludf.DUMMYFUNCTION("""COMPUTED_VALUE"""),0)</f>
        <v>0</v>
      </c>
      <c r="K549" s="1" t="str">
        <f ca="1">IFERROR(__xludf.DUMMYFUNCTION("""COMPUTED_VALUE"""),"Fall")</f>
        <v>Fall</v>
      </c>
      <c r="L549" s="1" t="str">
        <f ca="1">IFERROR(__xludf.DUMMYFUNCTION("""COMPUTED_VALUE"""),"Jeffersonville")</f>
        <v>Jeffersonville</v>
      </c>
      <c r="M549" s="1" t="str">
        <f ca="1">IFERROR(__xludf.DUMMYFUNCTION("""COMPUTED_VALUE"""),"IN")</f>
        <v>IN</v>
      </c>
      <c r="N549" s="1" t="str">
        <f ca="1">IFERROR(__xludf.DUMMYFUNCTION("""COMPUTED_VALUE"""),"High")</f>
        <v>High</v>
      </c>
      <c r="O549" s="1" t="str">
        <f ca="1">IFERROR(__xludf.DUMMYFUNCTION("""COMPUTED_VALUE"""),"Parking Lot")</f>
        <v>Parking Lot</v>
      </c>
      <c r="P549" s="1" t="str">
        <f ca="1">IFERROR(__xludf.DUMMYFUNCTION("""COMPUTED_VALUE"""),"Outside on School Property")</f>
        <v>Outside on School Property</v>
      </c>
      <c r="Q549" s="1" t="str">
        <f ca="1">IFERROR(__xludf.DUMMYFUNCTION("""COMPUTED_VALUE"""),"No")</f>
        <v>No</v>
      </c>
      <c r="R549" s="1" t="str">
        <f ca="1">IFERROR(__xludf.DUMMYFUNCTION("""COMPUTED_VALUE"""),"Sport Event")</f>
        <v>Sport Event</v>
      </c>
      <c r="S549" s="5">
        <f ca="1">IFERROR(__xludf.DUMMYFUNCTION("""COMPUTED_VALUE"""),0.894444444444444)</f>
        <v>0.89444444444444404</v>
      </c>
      <c r="T549" s="1">
        <f ca="1">IFERROR(__xludf.DUMMYFUNCTION("""COMPUTED_VALUE"""),1)</f>
        <v>1</v>
      </c>
      <c r="U549" s="1" t="str">
        <f ca="1">IFERROR(__xludf.DUMMYFUNCTION("""COMPUTED_VALUE"""),"Teen robbed student at gunpoint in parking lot during football game")</f>
        <v>Teen robbed student at gunpoint in parking lot during football game</v>
      </c>
      <c r="V549" s="1" t="str">
        <f ca="1">IFERROR(__xludf.DUMMYFUNCTION("""COMPUTED_VALUE"""),"A teen robbed a student at gunpoint in the parking lot during a high school football game. Rumors spread there was a shooting and people evacuated the game. An unrelated medical emergency at the game and an ambulance responding added to the confusion. Sho"&amp;"oter was arrested following Tuesday and charged with pointing a firearm and possession of a weapon on school property")</f>
        <v>A teen robbed a student at gunpoint in the parking lot during a high school football game. Rumors spread there was a shooting and people evacuated the game. An unrelated medical emergency at the game and an ambulance responding added to the confusion. Shooter was arrested following Tuesday and charged with pointing a firearm and possession of a weapon on school property</v>
      </c>
      <c r="W549" s="1" t="str">
        <f ca="1">IFERROR(__xludf.DUMMYFUNCTION("""COMPUTED_VALUE"""),"Illegal Activity")</f>
        <v>Illegal Activity</v>
      </c>
      <c r="X549" s="1" t="str">
        <f ca="1">IFERROR(__xludf.DUMMYFUNCTION("""COMPUTED_VALUE"""),"Victims Targeted")</f>
        <v>Victims Targeted</v>
      </c>
      <c r="Y549" s="1" t="str">
        <f ca="1">IFERROR(__xludf.DUMMYFUNCTION("""COMPUTED_VALUE"""),"No")</f>
        <v>No</v>
      </c>
      <c r="Z549" s="1"/>
      <c r="AA549" s="1" t="str">
        <f ca="1">IFERROR(__xludf.DUMMYFUNCTION("""COMPUTED_VALUE"""),"No")</f>
        <v>No</v>
      </c>
      <c r="AB549" s="1" t="str">
        <f ca="1">IFERROR(__xludf.DUMMYFUNCTION("""COMPUTED_VALUE"""),"No")</f>
        <v>No</v>
      </c>
      <c r="AC549" s="1" t="str">
        <f ca="1">IFERROR(__xludf.DUMMYFUNCTION("""COMPUTED_VALUE"""),"No")</f>
        <v>No</v>
      </c>
      <c r="AD549" s="1" t="str">
        <f ca="1">IFERROR(__xludf.DUMMYFUNCTION("""COMPUTED_VALUE"""),"No")</f>
        <v>No</v>
      </c>
      <c r="AE549" s="1" t="str">
        <f ca="1">IFERROR(__xludf.DUMMYFUNCTION("""COMPUTED_VALUE"""),"No")</f>
        <v>No</v>
      </c>
      <c r="AF549" s="1" t="str">
        <f ca="1">IFERROR(__xludf.DUMMYFUNCTION("""COMPUTED_VALUE"""),"No")</f>
        <v>No</v>
      </c>
      <c r="AG549" s="1" t="str">
        <f ca="1">IFERROR(__xludf.DUMMYFUNCTION("""COMPUTED_VALUE"""),"No")</f>
        <v>No</v>
      </c>
      <c r="AH549" s="1">
        <f ca="1">IFERROR(__xludf.DUMMYFUNCTION("""COMPUTED_VALUE"""),0)</f>
        <v>0</v>
      </c>
    </row>
    <row r="550" spans="1:34" ht="12.5">
      <c r="A550" s="1" t="str">
        <f ca="1">IFERROR(__xludf.DUMMYFUNCTION("""COMPUTED_VALUE"""),"20220831PAFRP")</f>
        <v>20220831PAFRP</v>
      </c>
      <c r="B550" s="1">
        <f ca="1">IFERROR(__xludf.DUMMYFUNCTION("""COMPUTED_VALUE"""),8)</f>
        <v>8</v>
      </c>
      <c r="C550" s="1">
        <f ca="1">IFERROR(__xludf.DUMMYFUNCTION("""COMPUTED_VALUE"""),31)</f>
        <v>31</v>
      </c>
      <c r="D550" s="1">
        <f ca="1">IFERROR(__xludf.DUMMYFUNCTION("""COMPUTED_VALUE"""),2022)</f>
        <v>2022</v>
      </c>
      <c r="E550" s="4">
        <f ca="1">IFERROR(__xludf.DUMMYFUNCTION("""COMPUTED_VALUE"""),44804)</f>
        <v>44804</v>
      </c>
      <c r="F550" s="1" t="str">
        <f ca="1">IFERROR(__xludf.DUMMYFUNCTION("""COMPUTED_VALUE"""),"Frances E. Willard Elementary School")</f>
        <v>Frances E. Willard Elementary School</v>
      </c>
      <c r="G550" s="1">
        <f ca="1">IFERROR(__xludf.DUMMYFUNCTION("""COMPUTED_VALUE"""),0)</f>
        <v>0</v>
      </c>
      <c r="H550" s="1">
        <f ca="1">IFERROR(__xludf.DUMMYFUNCTION("""COMPUTED_VALUE"""),3)</f>
        <v>3</v>
      </c>
      <c r="I550" s="1">
        <f ca="1">IFERROR(__xludf.DUMMYFUNCTION("""COMPUTED_VALUE"""),3)</f>
        <v>3</v>
      </c>
      <c r="J550" s="1">
        <f ca="1">IFERROR(__xludf.DUMMYFUNCTION("""COMPUTED_VALUE"""),0)</f>
        <v>0</v>
      </c>
      <c r="K550" s="1" t="str">
        <f ca="1">IFERROR(__xludf.DUMMYFUNCTION("""COMPUTED_VALUE"""),"Summer")</f>
        <v>Summer</v>
      </c>
      <c r="L550" s="1" t="str">
        <f ca="1">IFERROR(__xludf.DUMMYFUNCTION("""COMPUTED_VALUE"""),"Philadelphia")</f>
        <v>Philadelphia</v>
      </c>
      <c r="M550" s="1" t="str">
        <f ca="1">IFERROR(__xludf.DUMMYFUNCTION("""COMPUTED_VALUE"""),"PA")</f>
        <v>PA</v>
      </c>
      <c r="N550" s="1" t="str">
        <f ca="1">IFERROR(__xludf.DUMMYFUNCTION("""COMPUTED_VALUE"""),"Elementary")</f>
        <v>Elementary</v>
      </c>
      <c r="O550" s="1" t="str">
        <f ca="1">IFERROR(__xludf.DUMMYFUNCTION("""COMPUTED_VALUE"""),"Playground")</f>
        <v>Playground</v>
      </c>
      <c r="P550" s="1" t="str">
        <f ca="1">IFERROR(__xludf.DUMMYFUNCTION("""COMPUTED_VALUE"""),"Outside on School Property")</f>
        <v>Outside on School Property</v>
      </c>
      <c r="Q550" s="1" t="str">
        <f ca="1">IFERROR(__xludf.DUMMYFUNCTION("""COMPUTED_VALUE"""),"No")</f>
        <v>No</v>
      </c>
      <c r="R550" s="1" t="str">
        <f ca="1">IFERROR(__xludf.DUMMYFUNCTION("""COMPUTED_VALUE"""),"Night")</f>
        <v>Night</v>
      </c>
      <c r="S550" s="5">
        <f ca="1">IFERROR(__xludf.DUMMYFUNCTION("""COMPUTED_VALUE"""),0.0416666666666666)</f>
        <v>4.1666666666666602E-2</v>
      </c>
      <c r="T550" s="1">
        <f ca="1">IFERROR(__xludf.DUMMYFUNCTION("""COMPUTED_VALUE"""),1)</f>
        <v>1</v>
      </c>
      <c r="U550" s="1" t="str">
        <f ca="1">IFERROR(__xludf.DUMMYFUNCTION("""COMPUTED_VALUE"""),"Three people shot on school playground")</f>
        <v>Three people shot on school playground</v>
      </c>
      <c r="V550" s="1" t="str">
        <f ca="1">IFERROR(__xludf.DUMMYFUNCTION("""COMPUTED_VALUE"""),"Three people (adult male, adult female, and teenage boy) were shot while standing near the playground of the school. Vehicle near the victims was struck 15 times. Shooter fled.")</f>
        <v>Three people (adult male, adult female, and teenage boy) were shot while standing near the playground of the school. Vehicle near the victims was struck 15 times. Shooter fled.</v>
      </c>
      <c r="W550" s="1"/>
      <c r="X550" s="1" t="str">
        <f ca="1">IFERROR(__xludf.DUMMYFUNCTION("""COMPUTED_VALUE"""),"Both")</f>
        <v>Both</v>
      </c>
      <c r="Y550" s="1" t="str">
        <f ca="1">IFERROR(__xludf.DUMMYFUNCTION("""COMPUTED_VALUE"""),"No")</f>
        <v>No</v>
      </c>
      <c r="Z550" s="1"/>
      <c r="AA550" s="1" t="str">
        <f ca="1">IFERROR(__xludf.DUMMYFUNCTION("""COMPUTED_VALUE"""),"No")</f>
        <v>No</v>
      </c>
      <c r="AB550" s="1" t="str">
        <f ca="1">IFERROR(__xludf.DUMMYFUNCTION("""COMPUTED_VALUE"""),"No")</f>
        <v>No</v>
      </c>
      <c r="AC550" s="1" t="str">
        <f ca="1">IFERROR(__xludf.DUMMYFUNCTION("""COMPUTED_VALUE"""),"No")</f>
        <v>No</v>
      </c>
      <c r="AD550" s="1" t="str">
        <f ca="1">IFERROR(__xludf.DUMMYFUNCTION("""COMPUTED_VALUE"""),"No")</f>
        <v>No</v>
      </c>
      <c r="AE550" s="1" t="str">
        <f ca="1">IFERROR(__xludf.DUMMYFUNCTION("""COMPUTED_VALUE"""),"No")</f>
        <v>No</v>
      </c>
      <c r="AF550" s="1"/>
      <c r="AG550" s="1" t="str">
        <f ca="1">IFERROR(__xludf.DUMMYFUNCTION("""COMPUTED_VALUE"""),"No")</f>
        <v>No</v>
      </c>
      <c r="AH550" s="1">
        <f ca="1">IFERROR(__xludf.DUMMYFUNCTION("""COMPUTED_VALUE"""),99)</f>
        <v>99</v>
      </c>
    </row>
    <row r="551" spans="1:34" ht="12.5">
      <c r="A551" s="1" t="str">
        <f ca="1">IFERROR(__xludf.DUMMYFUNCTION("""COMPUTED_VALUE"""),"20220831NMDEA")</f>
        <v>20220831NMDEA</v>
      </c>
      <c r="B551" s="1">
        <f ca="1">IFERROR(__xludf.DUMMYFUNCTION("""COMPUTED_VALUE"""),8)</f>
        <v>8</v>
      </c>
      <c r="C551" s="1">
        <f ca="1">IFERROR(__xludf.DUMMYFUNCTION("""COMPUTED_VALUE"""),31)</f>
        <v>31</v>
      </c>
      <c r="D551" s="1">
        <f ca="1">IFERROR(__xludf.DUMMYFUNCTION("""COMPUTED_VALUE"""),2022)</f>
        <v>2022</v>
      </c>
      <c r="E551" s="4">
        <f ca="1">IFERROR(__xludf.DUMMYFUNCTION("""COMPUTED_VALUE"""),44804)</f>
        <v>44804</v>
      </c>
      <c r="F551" s="1" t="str">
        <f ca="1">IFERROR(__xludf.DUMMYFUNCTION("""COMPUTED_VALUE"""),"Del Norte High School")</f>
        <v>Del Norte High School</v>
      </c>
      <c r="G551" s="1">
        <f ca="1">IFERROR(__xludf.DUMMYFUNCTION("""COMPUTED_VALUE"""),0)</f>
        <v>0</v>
      </c>
      <c r="H551" s="1">
        <f ca="1">IFERROR(__xludf.DUMMYFUNCTION("""COMPUTED_VALUE"""),0)</f>
        <v>0</v>
      </c>
      <c r="I551" s="1">
        <f ca="1">IFERROR(__xludf.DUMMYFUNCTION("""COMPUTED_VALUE"""),0)</f>
        <v>0</v>
      </c>
      <c r="J551" s="1">
        <f ca="1">IFERROR(__xludf.DUMMYFUNCTION("""COMPUTED_VALUE"""),0)</f>
        <v>0</v>
      </c>
      <c r="K551" s="1" t="str">
        <f ca="1">IFERROR(__xludf.DUMMYFUNCTION("""COMPUTED_VALUE"""),"Summer")</f>
        <v>Summer</v>
      </c>
      <c r="L551" s="1" t="str">
        <f ca="1">IFERROR(__xludf.DUMMYFUNCTION("""COMPUTED_VALUE"""),"Albuquerque")</f>
        <v>Albuquerque</v>
      </c>
      <c r="M551" s="1" t="str">
        <f ca="1">IFERROR(__xludf.DUMMYFUNCTION("""COMPUTED_VALUE"""),"NM")</f>
        <v>NM</v>
      </c>
      <c r="N551" s="1" t="str">
        <f ca="1">IFERROR(__xludf.DUMMYFUNCTION("""COMPUTED_VALUE"""),"High")</f>
        <v>High</v>
      </c>
      <c r="O551" s="1" t="str">
        <f ca="1">IFERROR(__xludf.DUMMYFUNCTION("""COMPUTED_VALUE"""),"Parking Lot")</f>
        <v>Parking Lot</v>
      </c>
      <c r="P551" s="1" t="str">
        <f ca="1">IFERROR(__xludf.DUMMYFUNCTION("""COMPUTED_VALUE"""),"Outside on School Property")</f>
        <v>Outside on School Property</v>
      </c>
      <c r="Q551" s="1" t="str">
        <f ca="1">IFERROR(__xludf.DUMMYFUNCTION("""COMPUTED_VALUE"""),"Yes")</f>
        <v>Yes</v>
      </c>
      <c r="R551" s="1" t="str">
        <f ca="1">IFERROR(__xludf.DUMMYFUNCTION("""COMPUTED_VALUE"""),"Lunch")</f>
        <v>Lunch</v>
      </c>
      <c r="S551" s="5">
        <f ca="1">IFERROR(__xludf.DUMMYFUNCTION("""COMPUTED_VALUE"""),0.51875)</f>
        <v>0.51875000000000004</v>
      </c>
      <c r="T551" s="1">
        <f ca="1">IFERROR(__xludf.DUMMYFUNCTION("""COMPUTED_VALUE"""),1)</f>
        <v>1</v>
      </c>
      <c r="U551" s="1" t="str">
        <f ca="1">IFERROR(__xludf.DUMMYFUNCTION("""COMPUTED_VALUE"""),"Student fired in school parking lot during lunch the fled")</f>
        <v>Student fired in school parking lot during lunch the fled</v>
      </c>
      <c r="V551" s="1" t="str">
        <f ca="1">IFERROR(__xludf.DUMMYFUNCTION("""COMPUTED_VALUE"""),"17-year-old student fired 5 shots in the school parking lot during lunch. No injuries. School went into lockdown and police conducted a room-by-room search of the building. Shooter fled and was arrested the following day. Identified based on CCTV footage.")</f>
        <v>17-year-old student fired 5 shots in the school parking lot during lunch. No injuries. School went into lockdown and police conducted a room-by-room search of the building. Shooter fled and was arrested the following day. Identified based on CCTV footage.</v>
      </c>
      <c r="W551" s="1"/>
      <c r="X551" s="1"/>
      <c r="Y551" s="1"/>
      <c r="Z551" s="1"/>
      <c r="AA551" s="1" t="str">
        <f ca="1">IFERROR(__xludf.DUMMYFUNCTION("""COMPUTED_VALUE"""),"No")</f>
        <v>No</v>
      </c>
      <c r="AB551" s="1" t="str">
        <f ca="1">IFERROR(__xludf.DUMMYFUNCTION("""COMPUTED_VALUE"""),"No")</f>
        <v>No</v>
      </c>
      <c r="AC551" s="1" t="str">
        <f ca="1">IFERROR(__xludf.DUMMYFUNCTION("""COMPUTED_VALUE"""),"No")</f>
        <v>No</v>
      </c>
      <c r="AD551" s="1"/>
      <c r="AE551" s="1" t="str">
        <f ca="1">IFERROR(__xludf.DUMMYFUNCTION("""COMPUTED_VALUE"""),"No")</f>
        <v>No</v>
      </c>
      <c r="AF551" s="1"/>
      <c r="AG551" s="1" t="str">
        <f ca="1">IFERROR(__xludf.DUMMYFUNCTION("""COMPUTED_VALUE"""),"No")</f>
        <v>No</v>
      </c>
      <c r="AH551" s="1">
        <f ca="1">IFERROR(__xludf.DUMMYFUNCTION("""COMPUTED_VALUE"""),5)</f>
        <v>5</v>
      </c>
    </row>
    <row r="552" spans="1:34" ht="12.5">
      <c r="A552" s="1" t="str">
        <f ca="1">IFERROR(__xludf.DUMMYFUNCTION("""COMPUTED_VALUE"""),"20220831DCIDW")</f>
        <v>20220831DCIDW</v>
      </c>
      <c r="B552" s="1">
        <f ca="1">IFERROR(__xludf.DUMMYFUNCTION("""COMPUTED_VALUE"""),8)</f>
        <v>8</v>
      </c>
      <c r="C552" s="1">
        <f ca="1">IFERROR(__xludf.DUMMYFUNCTION("""COMPUTED_VALUE"""),31)</f>
        <v>31</v>
      </c>
      <c r="D552" s="1">
        <f ca="1">IFERROR(__xludf.DUMMYFUNCTION("""COMPUTED_VALUE"""),2022)</f>
        <v>2022</v>
      </c>
      <c r="E552" s="4">
        <f ca="1">IFERROR(__xludf.DUMMYFUNCTION("""COMPUTED_VALUE"""),44804)</f>
        <v>44804</v>
      </c>
      <c r="F552" s="1" t="str">
        <f ca="1">IFERROR(__xludf.DUMMYFUNCTION("""COMPUTED_VALUE"""),"IDEA Public Charter School")</f>
        <v>IDEA Public Charter School</v>
      </c>
      <c r="G552" s="1">
        <f ca="1">IFERROR(__xludf.DUMMYFUNCTION("""COMPUTED_VALUE"""),0)</f>
        <v>0</v>
      </c>
      <c r="H552" s="1">
        <f ca="1">IFERROR(__xludf.DUMMYFUNCTION("""COMPUTED_VALUE"""),2)</f>
        <v>2</v>
      </c>
      <c r="I552" s="1">
        <f ca="1">IFERROR(__xludf.DUMMYFUNCTION("""COMPUTED_VALUE"""),2)</f>
        <v>2</v>
      </c>
      <c r="J552" s="1">
        <f ca="1">IFERROR(__xludf.DUMMYFUNCTION("""COMPUTED_VALUE"""),0)</f>
        <v>0</v>
      </c>
      <c r="K552" s="1" t="str">
        <f ca="1">IFERROR(__xludf.DUMMYFUNCTION("""COMPUTED_VALUE"""),"Summer")</f>
        <v>Summer</v>
      </c>
      <c r="L552" s="1" t="str">
        <f ca="1">IFERROR(__xludf.DUMMYFUNCTION("""COMPUTED_VALUE"""),"Washington")</f>
        <v>Washington</v>
      </c>
      <c r="M552" s="1" t="str">
        <f ca="1">IFERROR(__xludf.DUMMYFUNCTION("""COMPUTED_VALUE"""),"DC")</f>
        <v>DC</v>
      </c>
      <c r="N552" s="1" t="str">
        <f ca="1">IFERROR(__xludf.DUMMYFUNCTION("""COMPUTED_VALUE"""),"High")</f>
        <v>High</v>
      </c>
      <c r="O552" s="1" t="str">
        <f ca="1">IFERROR(__xludf.DUMMYFUNCTION("""COMPUTED_VALUE"""),"Front of School")</f>
        <v>Front of School</v>
      </c>
      <c r="P552" s="1" t="str">
        <f ca="1">IFERROR(__xludf.DUMMYFUNCTION("""COMPUTED_VALUE"""),"Outside on School Property")</f>
        <v>Outside on School Property</v>
      </c>
      <c r="Q552" s="1" t="str">
        <f ca="1">IFERROR(__xludf.DUMMYFUNCTION("""COMPUTED_VALUE"""),"Yes")</f>
        <v>Yes</v>
      </c>
      <c r="R552" s="1" t="str">
        <f ca="1">IFERROR(__xludf.DUMMYFUNCTION("""COMPUTED_VALUE"""),"Morning Classes")</f>
        <v>Morning Classes</v>
      </c>
      <c r="S552" s="5">
        <f ca="1">IFERROR(__xludf.DUMMYFUNCTION("""COMPUTED_VALUE"""),0.416666666666666)</f>
        <v>0.41666666666666602</v>
      </c>
      <c r="T552" s="1">
        <f ca="1">IFERROR(__xludf.DUMMYFUNCTION("""COMPUTED_VALUE"""),1)</f>
        <v>1</v>
      </c>
      <c r="U552" s="1" t="str">
        <f ca="1">IFERROR(__xludf.DUMMYFUNCTION("""COMPUTED_VALUE"""),"Student shot two classmates in front of school")</f>
        <v>Student shot two classmates in front of school</v>
      </c>
      <c r="V552" s="1" t="str">
        <f ca="1">IFERROR(__xludf.DUMMYFUNCTION("""COMPUTED_VALUE"""),"A 15-year-old student shot two classmates during a dispute in front of the school. One of the teens had been refused entry for not having a proper uniform. The other two students were refused entry for trying to bypass the metal detectors. Shooter was fle"&amp;"d and arrested. ")</f>
        <v xml:space="preserve">A 15-year-old student shot two classmates during a dispute in front of the school. One of the teens had been refused entry for not having a proper uniform. The other two students were refused entry for trying to bypass the metal detectors. Shooter was fled and arrested. </v>
      </c>
      <c r="W552" s="1" t="str">
        <f ca="1">IFERROR(__xludf.DUMMYFUNCTION("""COMPUTED_VALUE"""),"Escalation of Dispute")</f>
        <v>Escalation of Dispute</v>
      </c>
      <c r="X552" s="1" t="str">
        <f ca="1">IFERROR(__xludf.DUMMYFUNCTION("""COMPUTED_VALUE"""),"Victims Targeted")</f>
        <v>Victims Targeted</v>
      </c>
      <c r="Y552" s="1" t="str">
        <f ca="1">IFERROR(__xludf.DUMMYFUNCTION("""COMPUTED_VALUE"""),"Yes")</f>
        <v>Yes</v>
      </c>
      <c r="Z552" s="1" t="str">
        <f ca="1">IFERROR(__xludf.DUMMYFUNCTION("""COMPUTED_VALUE"""),"Two students attempted to bypass security")</f>
        <v>Two students attempted to bypass security</v>
      </c>
      <c r="AA552" s="1" t="str">
        <f ca="1">IFERROR(__xludf.DUMMYFUNCTION("""COMPUTED_VALUE"""),"No")</f>
        <v>No</v>
      </c>
      <c r="AB552" s="1" t="str">
        <f ca="1">IFERROR(__xludf.DUMMYFUNCTION("""COMPUTED_VALUE"""),"No")</f>
        <v>No</v>
      </c>
      <c r="AC552" s="1" t="str">
        <f ca="1">IFERROR(__xludf.DUMMYFUNCTION("""COMPUTED_VALUE"""),"No")</f>
        <v>No</v>
      </c>
      <c r="AD552" s="1" t="str">
        <f ca="1">IFERROR(__xludf.DUMMYFUNCTION("""COMPUTED_VALUE"""),"No")</f>
        <v>No</v>
      </c>
      <c r="AE552" s="1" t="str">
        <f ca="1">IFERROR(__xludf.DUMMYFUNCTION("""COMPUTED_VALUE"""),"No")</f>
        <v>No</v>
      </c>
      <c r="AF552" s="1"/>
      <c r="AG552" s="1" t="str">
        <f ca="1">IFERROR(__xludf.DUMMYFUNCTION("""COMPUTED_VALUE"""),"No")</f>
        <v>No</v>
      </c>
      <c r="AH552" s="1">
        <f ca="1">IFERROR(__xludf.DUMMYFUNCTION("""COMPUTED_VALUE"""),99)</f>
        <v>99</v>
      </c>
    </row>
    <row r="553" spans="1:34" ht="12.5">
      <c r="A553" s="1" t="str">
        <f ca="1">IFERROR(__xludf.DUMMYFUNCTION("""COMPUTED_VALUE"""),"20220829CAMAO")</f>
        <v>20220829CAMAO</v>
      </c>
      <c r="B553" s="1">
        <f ca="1">IFERROR(__xludf.DUMMYFUNCTION("""COMPUTED_VALUE"""),8)</f>
        <v>8</v>
      </c>
      <c r="C553" s="1">
        <f ca="1">IFERROR(__xludf.DUMMYFUNCTION("""COMPUTED_VALUE"""),29)</f>
        <v>29</v>
      </c>
      <c r="D553" s="1">
        <f ca="1">IFERROR(__xludf.DUMMYFUNCTION("""COMPUTED_VALUE"""),2022)</f>
        <v>2022</v>
      </c>
      <c r="E553" s="4">
        <f ca="1">IFERROR(__xludf.DUMMYFUNCTION("""COMPUTED_VALUE"""),44802)</f>
        <v>44802</v>
      </c>
      <c r="F553" s="1" t="str">
        <f ca="1">IFERROR(__xludf.DUMMYFUNCTION("""COMPUTED_VALUE"""),"Madison Park Academy")</f>
        <v>Madison Park Academy</v>
      </c>
      <c r="G553" s="1">
        <f ca="1">IFERROR(__xludf.DUMMYFUNCTION("""COMPUTED_VALUE"""),0)</f>
        <v>0</v>
      </c>
      <c r="H553" s="1">
        <f ca="1">IFERROR(__xludf.DUMMYFUNCTION("""COMPUTED_VALUE"""),1)</f>
        <v>1</v>
      </c>
      <c r="I553" s="1">
        <f ca="1">IFERROR(__xludf.DUMMYFUNCTION("""COMPUTED_VALUE"""),1)</f>
        <v>1</v>
      </c>
      <c r="J553" s="1">
        <f ca="1">IFERROR(__xludf.DUMMYFUNCTION("""COMPUTED_VALUE"""),0)</f>
        <v>0</v>
      </c>
      <c r="K553" s="1" t="str">
        <f ca="1">IFERROR(__xludf.DUMMYFUNCTION("""COMPUTED_VALUE"""),"Summer")</f>
        <v>Summer</v>
      </c>
      <c r="L553" s="1" t="str">
        <f ca="1">IFERROR(__xludf.DUMMYFUNCTION("""COMPUTED_VALUE"""),"Oakland")</f>
        <v>Oakland</v>
      </c>
      <c r="M553" s="1" t="str">
        <f ca="1">IFERROR(__xludf.DUMMYFUNCTION("""COMPUTED_VALUE"""),"CA")</f>
        <v>CA</v>
      </c>
      <c r="N553" s="1" t="str">
        <f ca="1">IFERROR(__xludf.DUMMYFUNCTION("""COMPUTED_VALUE"""),"6-12")</f>
        <v>6-12</v>
      </c>
      <c r="O553" s="1" t="str">
        <f ca="1">IFERROR(__xludf.DUMMYFUNCTION("""COMPUTED_VALUE"""),"Basketball Court")</f>
        <v>Basketball Court</v>
      </c>
      <c r="P553" s="1" t="str">
        <f ca="1">IFERROR(__xludf.DUMMYFUNCTION("""COMPUTED_VALUE"""),"Outside on School Property")</f>
        <v>Outside on School Property</v>
      </c>
      <c r="Q553" s="1" t="str">
        <f ca="1">IFERROR(__xludf.DUMMYFUNCTION("""COMPUTED_VALUE"""),"Yes")</f>
        <v>Yes</v>
      </c>
      <c r="R553" s="1" t="str">
        <f ca="1">IFERROR(__xludf.DUMMYFUNCTION("""COMPUTED_VALUE"""),"Afternoon Classes")</f>
        <v>Afternoon Classes</v>
      </c>
      <c r="S553" s="5">
        <f ca="1">IFERROR(__xludf.DUMMYFUNCTION("""COMPUTED_VALUE"""),0.5625)</f>
        <v>0.5625</v>
      </c>
      <c r="T553" s="1">
        <f ca="1">IFERROR(__xludf.DUMMYFUNCTION("""COMPUTED_VALUE"""),1)</f>
        <v>1</v>
      </c>
      <c r="U553" s="1" t="str">
        <f ca="1">IFERROR(__xludf.DUMMYFUNCTION("""COMPUTED_VALUE"""),"Student shot by another student next to volleyball court")</f>
        <v>Student shot by another student next to volleyball court</v>
      </c>
      <c r="V553" s="1" t="str">
        <f ca="1">IFERROR(__xludf.DUMMYFUNCTION("""COMPUTED_VALUE"""),"A 13-year-old student was shot by a 12-year-old student near the volleyball court. Other students were in the area and witnessed the shooting. School went into lockdown and parents rushed to the school. Shooter was taken into custody.")</f>
        <v>A 13-year-old student was shot by a 12-year-old student near the volleyball court. Other students were in the area and witnessed the shooting. School went into lockdown and parents rushed to the school. Shooter was taken into custody.</v>
      </c>
      <c r="W553" s="1" t="str">
        <f ca="1">IFERROR(__xludf.DUMMYFUNCTION("""COMPUTED_VALUE"""),"Accidental")</f>
        <v>Accidental</v>
      </c>
      <c r="X553" s="1" t="str">
        <f ca="1">IFERROR(__xludf.DUMMYFUNCTION("""COMPUTED_VALUE"""),"Random Shooting")</f>
        <v>Random Shooting</v>
      </c>
      <c r="Y553" s="1" t="str">
        <f ca="1">IFERROR(__xludf.DUMMYFUNCTION("""COMPUTED_VALUE"""),"No")</f>
        <v>No</v>
      </c>
      <c r="Z553" s="1"/>
      <c r="AA553" s="1" t="str">
        <f ca="1">IFERROR(__xludf.DUMMYFUNCTION("""COMPUTED_VALUE"""),"No")</f>
        <v>No</v>
      </c>
      <c r="AB553" s="1" t="str">
        <f ca="1">IFERROR(__xludf.DUMMYFUNCTION("""COMPUTED_VALUE"""),"No")</f>
        <v>No</v>
      </c>
      <c r="AC553" s="1" t="str">
        <f ca="1">IFERROR(__xludf.DUMMYFUNCTION("""COMPUTED_VALUE"""),"No")</f>
        <v>No</v>
      </c>
      <c r="AD553" s="1"/>
      <c r="AE553" s="1" t="str">
        <f ca="1">IFERROR(__xludf.DUMMYFUNCTION("""COMPUTED_VALUE"""),"No")</f>
        <v>No</v>
      </c>
      <c r="AF553" s="1"/>
      <c r="AG553" s="1" t="str">
        <f ca="1">IFERROR(__xludf.DUMMYFUNCTION("""COMPUTED_VALUE"""),"No")</f>
        <v>No</v>
      </c>
      <c r="AH553" s="1">
        <f ca="1">IFERROR(__xludf.DUMMYFUNCTION("""COMPUTED_VALUE"""),1)</f>
        <v>1</v>
      </c>
    </row>
    <row r="554" spans="1:34" ht="12.5">
      <c r="A554" s="1" t="str">
        <f ca="1">IFERROR(__xludf.DUMMYFUNCTION("""COMPUTED_VALUE"""),"20220827MONOS")</f>
        <v>20220827MONOS</v>
      </c>
      <c r="B554" s="1">
        <f ca="1">IFERROR(__xludf.DUMMYFUNCTION("""COMPUTED_VALUE"""),8)</f>
        <v>8</v>
      </c>
      <c r="C554" s="1">
        <f ca="1">IFERROR(__xludf.DUMMYFUNCTION("""COMPUTED_VALUE"""),27)</f>
        <v>27</v>
      </c>
      <c r="D554" s="1">
        <f ca="1">IFERROR(__xludf.DUMMYFUNCTION("""COMPUTED_VALUE"""),2022)</f>
        <v>2022</v>
      </c>
      <c r="E554" s="4">
        <f ca="1">IFERROR(__xludf.DUMMYFUNCTION("""COMPUTED_VALUE"""),44800)</f>
        <v>44800</v>
      </c>
      <c r="F554" s="1" t="str">
        <f ca="1">IFERROR(__xludf.DUMMYFUNCTION("""COMPUTED_VALUE"""),"Normandy High School")</f>
        <v>Normandy High School</v>
      </c>
      <c r="G554" s="1">
        <f ca="1">IFERROR(__xludf.DUMMYFUNCTION("""COMPUTED_VALUE"""),0)</f>
        <v>0</v>
      </c>
      <c r="H554" s="1">
        <f ca="1">IFERROR(__xludf.DUMMYFUNCTION("""COMPUTED_VALUE"""),0)</f>
        <v>0</v>
      </c>
      <c r="I554" s="1">
        <f ca="1">IFERROR(__xludf.DUMMYFUNCTION("""COMPUTED_VALUE"""),0)</f>
        <v>0</v>
      </c>
      <c r="J554" s="1">
        <f ca="1">IFERROR(__xludf.DUMMYFUNCTION("""COMPUTED_VALUE"""),0)</f>
        <v>0</v>
      </c>
      <c r="K554" s="1" t="str">
        <f ca="1">IFERROR(__xludf.DUMMYFUNCTION("""COMPUTED_VALUE"""),"Summer")</f>
        <v>Summer</v>
      </c>
      <c r="L554" s="1" t="str">
        <f ca="1">IFERROR(__xludf.DUMMYFUNCTION("""COMPUTED_VALUE"""),"St. Louis")</f>
        <v>St. Louis</v>
      </c>
      <c r="M554" s="1" t="str">
        <f ca="1">IFERROR(__xludf.DUMMYFUNCTION("""COMPUTED_VALUE"""),"MO")</f>
        <v>MO</v>
      </c>
      <c r="N554" s="1" t="str">
        <f ca="1">IFERROR(__xludf.DUMMYFUNCTION("""COMPUTED_VALUE"""),"High")</f>
        <v>High</v>
      </c>
      <c r="O554" s="1" t="str">
        <f ca="1">IFERROR(__xludf.DUMMYFUNCTION("""COMPUTED_VALUE"""),"Parking Lot")</f>
        <v>Parking Lot</v>
      </c>
      <c r="P554" s="1" t="str">
        <f ca="1">IFERROR(__xludf.DUMMYFUNCTION("""COMPUTED_VALUE"""),"Outside on School Property")</f>
        <v>Outside on School Property</v>
      </c>
      <c r="Q554" s="1" t="str">
        <f ca="1">IFERROR(__xludf.DUMMYFUNCTION("""COMPUTED_VALUE"""),"No")</f>
        <v>No</v>
      </c>
      <c r="R554" s="1" t="str">
        <f ca="1">IFERROR(__xludf.DUMMYFUNCTION("""COMPUTED_VALUE"""),"Sport Event")</f>
        <v>Sport Event</v>
      </c>
      <c r="S554" s="5">
        <f ca="1">IFERROR(__xludf.DUMMYFUNCTION("""COMPUTED_VALUE"""),0.5625)</f>
        <v>0.5625</v>
      </c>
      <c r="T554" s="1">
        <f ca="1">IFERROR(__xludf.DUMMYFUNCTION("""COMPUTED_VALUE"""),1)</f>
        <v>1</v>
      </c>
      <c r="U554" s="1" t="str">
        <f ca="1">IFERROR(__xludf.DUMMYFUNCTION("""COMPUTED_VALUE"""),"Shots fired during a fight in school parking lot after football game")</f>
        <v>Shots fired during a fight in school parking lot after football game</v>
      </c>
      <c r="V554" s="1" t="str">
        <f ca="1">IFERROR(__xludf.DUMMYFUNCTION("""COMPUTED_VALUE"""),"Shots were fired around 1:30 p.m. Normandy High had just finished its first game of the season against Confluence Preparatory Academy when a fight broke out in the parking lot. During the fight, police say a man fired shots, got into a car and then fled.")</f>
        <v>Shots were fired around 1:30 p.m. Normandy High had just finished its first game of the season against Confluence Preparatory Academy when a fight broke out in the parking lot. During the fight, police say a man fired shots, got into a car and then fled.</v>
      </c>
      <c r="W554" s="1" t="str">
        <f ca="1">IFERROR(__xludf.DUMMYFUNCTION("""COMPUTED_VALUE"""),"Escalation of Dispute")</f>
        <v>Escalation of Dispute</v>
      </c>
      <c r="X554" s="1" t="str">
        <f ca="1">IFERROR(__xludf.DUMMYFUNCTION("""COMPUTED_VALUE"""),"Victims Targeted")</f>
        <v>Victims Targeted</v>
      </c>
      <c r="Y554" s="1" t="str">
        <f ca="1">IFERROR(__xludf.DUMMYFUNCTION("""COMPUTED_VALUE"""),"No")</f>
        <v>No</v>
      </c>
      <c r="Z554" s="1"/>
      <c r="AA554" s="1" t="str">
        <f ca="1">IFERROR(__xludf.DUMMYFUNCTION("""COMPUTED_VALUE"""),"No")</f>
        <v>No</v>
      </c>
      <c r="AB554" s="1" t="str">
        <f ca="1">IFERROR(__xludf.DUMMYFUNCTION("""COMPUTED_VALUE"""),"No")</f>
        <v>No</v>
      </c>
      <c r="AC554" s="1" t="str">
        <f ca="1">IFERROR(__xludf.DUMMYFUNCTION("""COMPUTED_VALUE"""),"No")</f>
        <v>No</v>
      </c>
      <c r="AD554" s="1" t="str">
        <f ca="1">IFERROR(__xludf.DUMMYFUNCTION("""COMPUTED_VALUE"""),"No")</f>
        <v>No</v>
      </c>
      <c r="AE554" s="1" t="str">
        <f ca="1">IFERROR(__xludf.DUMMYFUNCTION("""COMPUTED_VALUE"""),"No")</f>
        <v>No</v>
      </c>
      <c r="AF554" s="1"/>
      <c r="AG554" s="1" t="str">
        <f ca="1">IFERROR(__xludf.DUMMYFUNCTION("""COMPUTED_VALUE"""),"No")</f>
        <v>No</v>
      </c>
      <c r="AH554" s="1">
        <f ca="1">IFERROR(__xludf.DUMMYFUNCTION("""COMPUTED_VALUE"""),99)</f>
        <v>99</v>
      </c>
    </row>
    <row r="555" spans="1:34" ht="12.5">
      <c r="A555" s="1" t="str">
        <f ca="1">IFERROR(__xludf.DUMMYFUNCTION("""COMPUTED_VALUE"""),"20220826OHGAC")</f>
        <v>20220826OHGAC</v>
      </c>
      <c r="B555" s="1">
        <f ca="1">IFERROR(__xludf.DUMMYFUNCTION("""COMPUTED_VALUE"""),8)</f>
        <v>8</v>
      </c>
      <c r="C555" s="1">
        <f ca="1">IFERROR(__xludf.DUMMYFUNCTION("""COMPUTED_VALUE"""),26)</f>
        <v>26</v>
      </c>
      <c r="D555" s="1">
        <f ca="1">IFERROR(__xludf.DUMMYFUNCTION("""COMPUTED_VALUE"""),2022)</f>
        <v>2022</v>
      </c>
      <c r="E555" s="4">
        <f ca="1">IFERROR(__xludf.DUMMYFUNCTION("""COMPUTED_VALUE"""),44799)</f>
        <v>44799</v>
      </c>
      <c r="F555" s="1" t="str">
        <f ca="1">IFERROR(__xludf.DUMMYFUNCTION("""COMPUTED_VALUE"""),"Garfield Heights High School")</f>
        <v>Garfield Heights High School</v>
      </c>
      <c r="G555" s="1">
        <f ca="1">IFERROR(__xludf.DUMMYFUNCTION("""COMPUTED_VALUE"""),0)</f>
        <v>0</v>
      </c>
      <c r="H555" s="1">
        <f ca="1">IFERROR(__xludf.DUMMYFUNCTION("""COMPUTED_VALUE"""),0)</f>
        <v>0</v>
      </c>
      <c r="I555" s="1">
        <f ca="1">IFERROR(__xludf.DUMMYFUNCTION("""COMPUTED_VALUE"""),0)</f>
        <v>0</v>
      </c>
      <c r="J555" s="1">
        <f ca="1">IFERROR(__xludf.DUMMYFUNCTION("""COMPUTED_VALUE"""),0)</f>
        <v>0</v>
      </c>
      <c r="K555" s="1" t="str">
        <f ca="1">IFERROR(__xludf.DUMMYFUNCTION("""COMPUTED_VALUE"""),"Summer")</f>
        <v>Summer</v>
      </c>
      <c r="L555" s="1" t="str">
        <f ca="1">IFERROR(__xludf.DUMMYFUNCTION("""COMPUTED_VALUE"""),"Cleveland")</f>
        <v>Cleveland</v>
      </c>
      <c r="M555" s="1" t="str">
        <f ca="1">IFERROR(__xludf.DUMMYFUNCTION("""COMPUTED_VALUE"""),"OH")</f>
        <v>OH</v>
      </c>
      <c r="N555" s="1" t="str">
        <f ca="1">IFERROR(__xludf.DUMMYFUNCTION("""COMPUTED_VALUE"""),"High")</f>
        <v>High</v>
      </c>
      <c r="O555" s="1" t="str">
        <f ca="1">IFERROR(__xludf.DUMMYFUNCTION("""COMPUTED_VALUE"""),"Parking Lot")</f>
        <v>Parking Lot</v>
      </c>
      <c r="P555" s="1" t="str">
        <f ca="1">IFERROR(__xludf.DUMMYFUNCTION("""COMPUTED_VALUE"""),"Outside on School Property")</f>
        <v>Outside on School Property</v>
      </c>
      <c r="Q555" s="1" t="str">
        <f ca="1">IFERROR(__xludf.DUMMYFUNCTION("""COMPUTED_VALUE"""),"No")</f>
        <v>No</v>
      </c>
      <c r="R555" s="1" t="str">
        <f ca="1">IFERROR(__xludf.DUMMYFUNCTION("""COMPUTED_VALUE"""),"Sport Event")</f>
        <v>Sport Event</v>
      </c>
      <c r="S555" s="5">
        <f ca="1">IFERROR(__xludf.DUMMYFUNCTION("""COMPUTED_VALUE"""),0.895833333333333)</f>
        <v>0.89583333333333304</v>
      </c>
      <c r="T555" s="1">
        <f ca="1">IFERROR(__xludf.DUMMYFUNCTION("""COMPUTED_VALUE"""),1)</f>
        <v>1</v>
      </c>
      <c r="U555" s="1" t="str">
        <f ca="1">IFERROR(__xludf.DUMMYFUNCTION("""COMPUTED_VALUE"""),"Shots fired in parking lot during football game")</f>
        <v>Shots fired in parking lot during football game</v>
      </c>
      <c r="V555" s="1" t="str">
        <f ca="1">IFERROR(__xludf.DUMMYFUNCTION("""COMPUTED_VALUE"""),"Shots were fired during a fight in the parking lot during a high school football game. Shooter fled. No injuries.")</f>
        <v>Shots were fired during a fight in the parking lot during a high school football game. Shooter fled. No injuries.</v>
      </c>
      <c r="W555" s="1" t="str">
        <f ca="1">IFERROR(__xludf.DUMMYFUNCTION("""COMPUTED_VALUE"""),"Escalation of Dispute")</f>
        <v>Escalation of Dispute</v>
      </c>
      <c r="X555" s="1" t="str">
        <f ca="1">IFERROR(__xludf.DUMMYFUNCTION("""COMPUTED_VALUE"""),"Victims Targeted")</f>
        <v>Victims Targeted</v>
      </c>
      <c r="Y555" s="1" t="str">
        <f ca="1">IFERROR(__xludf.DUMMYFUNCTION("""COMPUTED_VALUE"""),"No")</f>
        <v>No</v>
      </c>
      <c r="Z555" s="1"/>
      <c r="AA555" s="1" t="str">
        <f ca="1">IFERROR(__xludf.DUMMYFUNCTION("""COMPUTED_VALUE"""),"No")</f>
        <v>No</v>
      </c>
      <c r="AB555" s="1" t="str">
        <f ca="1">IFERROR(__xludf.DUMMYFUNCTION("""COMPUTED_VALUE"""),"No")</f>
        <v>No</v>
      </c>
      <c r="AC555" s="1" t="str">
        <f ca="1">IFERROR(__xludf.DUMMYFUNCTION("""COMPUTED_VALUE"""),"No")</f>
        <v>No</v>
      </c>
      <c r="AD555" s="1" t="str">
        <f ca="1">IFERROR(__xludf.DUMMYFUNCTION("""COMPUTED_VALUE"""),"No")</f>
        <v>No</v>
      </c>
      <c r="AE555" s="1" t="str">
        <f ca="1">IFERROR(__xludf.DUMMYFUNCTION("""COMPUTED_VALUE"""),"No")</f>
        <v>No</v>
      </c>
      <c r="AF555" s="1"/>
      <c r="AG555" s="1" t="str">
        <f ca="1">IFERROR(__xludf.DUMMYFUNCTION("""COMPUTED_VALUE"""),"No")</f>
        <v>No</v>
      </c>
      <c r="AH555" s="1">
        <f ca="1">IFERROR(__xludf.DUMMYFUNCTION("""COMPUTED_VALUE"""),99)</f>
        <v>99</v>
      </c>
    </row>
    <row r="556" spans="1:34" ht="12.5">
      <c r="A556" s="1" t="str">
        <f ca="1">IFERROR(__xludf.DUMMYFUNCTION("""COMPUTED_VALUE"""),"20220823OHINC")</f>
        <v>20220823OHINC</v>
      </c>
      <c r="B556" s="1">
        <f ca="1">IFERROR(__xludf.DUMMYFUNCTION("""COMPUTED_VALUE"""),8)</f>
        <v>8</v>
      </c>
      <c r="C556" s="1">
        <f ca="1">IFERROR(__xludf.DUMMYFUNCTION("""COMPUTED_VALUE"""),23)</f>
        <v>23</v>
      </c>
      <c r="D556" s="1">
        <f ca="1">IFERROR(__xludf.DUMMYFUNCTION("""COMPUTED_VALUE"""),2022)</f>
        <v>2022</v>
      </c>
      <c r="E556" s="4">
        <f ca="1">IFERROR(__xludf.DUMMYFUNCTION("""COMPUTED_VALUE"""),44796)</f>
        <v>44796</v>
      </c>
      <c r="F556" s="1" t="str">
        <f ca="1">IFERROR(__xludf.DUMMYFUNCTION("""COMPUTED_VALUE"""),"Indian Springs Elementary School")</f>
        <v>Indian Springs Elementary School</v>
      </c>
      <c r="G556" s="1">
        <f ca="1">IFERROR(__xludf.DUMMYFUNCTION("""COMPUTED_VALUE"""),0)</f>
        <v>0</v>
      </c>
      <c r="H556" s="1">
        <f ca="1">IFERROR(__xludf.DUMMYFUNCTION("""COMPUTED_VALUE"""),0)</f>
        <v>0</v>
      </c>
      <c r="I556" s="1">
        <f ca="1">IFERROR(__xludf.DUMMYFUNCTION("""COMPUTED_VALUE"""),0)</f>
        <v>0</v>
      </c>
      <c r="J556" s="1">
        <f ca="1">IFERROR(__xludf.DUMMYFUNCTION("""COMPUTED_VALUE"""),0)</f>
        <v>0</v>
      </c>
      <c r="K556" s="1" t="str">
        <f ca="1">IFERROR(__xludf.DUMMYFUNCTION("""COMPUTED_VALUE"""),"Summer")</f>
        <v>Summer</v>
      </c>
      <c r="L556" s="1" t="str">
        <f ca="1">IFERROR(__xludf.DUMMYFUNCTION("""COMPUTED_VALUE"""),"Columbus")</f>
        <v>Columbus</v>
      </c>
      <c r="M556" s="1" t="str">
        <f ca="1">IFERROR(__xludf.DUMMYFUNCTION("""COMPUTED_VALUE"""),"OH")</f>
        <v>OH</v>
      </c>
      <c r="N556" s="1" t="str">
        <f ca="1">IFERROR(__xludf.DUMMYFUNCTION("""COMPUTED_VALUE"""),"Elementary")</f>
        <v>Elementary</v>
      </c>
      <c r="O556" s="1" t="str">
        <f ca="1">IFERROR(__xludf.DUMMYFUNCTION("""COMPUTED_VALUE"""),"Front of School")</f>
        <v>Front of School</v>
      </c>
      <c r="P556" s="1" t="str">
        <f ca="1">IFERROR(__xludf.DUMMYFUNCTION("""COMPUTED_VALUE"""),"Outside on School Property")</f>
        <v>Outside on School Property</v>
      </c>
      <c r="Q556" s="1" t="str">
        <f ca="1">IFERROR(__xludf.DUMMYFUNCTION("""COMPUTED_VALUE"""),"Yes")</f>
        <v>Yes</v>
      </c>
      <c r="R556" s="1" t="str">
        <f ca="1">IFERROR(__xludf.DUMMYFUNCTION("""COMPUTED_VALUE"""),"Afternoon Classes")</f>
        <v>Afternoon Classes</v>
      </c>
      <c r="S556" s="5">
        <f ca="1">IFERROR(__xludf.DUMMYFUNCTION("""COMPUTED_VALUE"""),0.583333333333333)</f>
        <v>0.58333333333333304</v>
      </c>
      <c r="T556" s="1">
        <f ca="1">IFERROR(__xludf.DUMMYFUNCTION("""COMPUTED_VALUE"""),1)</f>
        <v>1</v>
      </c>
      <c r="U556" s="1" t="str">
        <f ca="1">IFERROR(__xludf.DUMMYFUNCTION("""COMPUTED_VALUE"""),"Multiple teachers shot with BBs while picketing in front of school")</f>
        <v>Multiple teachers shot with BBs while picketing in front of school</v>
      </c>
      <c r="V556" s="1" t="str">
        <f ca="1">IFERROR(__xludf.DUMMYFUNCTION("""COMPUTED_VALUE"""),"Multiple teachers were shot with BBs while picketing in front of the school. No injuries. Shooter fled. Second BB gun shooting was reported at a nearby at Whetstone High School.")</f>
        <v>Multiple teachers were shot with BBs while picketing in front of the school. No injuries. Shooter fled. Second BB gun shooting was reported at a nearby at Whetstone High School.</v>
      </c>
      <c r="W556" s="1" t="str">
        <f ca="1">IFERROR(__xludf.DUMMYFUNCTION("""COMPUTED_VALUE"""),"Drive-by Shooting")</f>
        <v>Drive-by Shooting</v>
      </c>
      <c r="X556" s="1" t="str">
        <f ca="1">IFERROR(__xludf.DUMMYFUNCTION("""COMPUTED_VALUE"""),"Victims Targeted")</f>
        <v>Victims Targeted</v>
      </c>
      <c r="Y556" s="1" t="str">
        <f ca="1">IFERROR(__xludf.DUMMYFUNCTION("""COMPUTED_VALUE"""),"No")</f>
        <v>No</v>
      </c>
      <c r="Z556" s="1"/>
      <c r="AA556" s="1" t="str">
        <f ca="1">IFERROR(__xludf.DUMMYFUNCTION("""COMPUTED_VALUE"""),"No")</f>
        <v>No</v>
      </c>
      <c r="AB556" s="1" t="str">
        <f ca="1">IFERROR(__xludf.DUMMYFUNCTION("""COMPUTED_VALUE"""),"No")</f>
        <v>No</v>
      </c>
      <c r="AC556" s="1" t="str">
        <f ca="1">IFERROR(__xludf.DUMMYFUNCTION("""COMPUTED_VALUE"""),"No")</f>
        <v>No</v>
      </c>
      <c r="AD556" s="1" t="str">
        <f ca="1">IFERROR(__xludf.DUMMYFUNCTION("""COMPUTED_VALUE"""),"No")</f>
        <v>No</v>
      </c>
      <c r="AE556" s="1" t="str">
        <f ca="1">IFERROR(__xludf.DUMMYFUNCTION("""COMPUTED_VALUE"""),"No")</f>
        <v>No</v>
      </c>
      <c r="AF556" s="1" t="str">
        <f ca="1">IFERROR(__xludf.DUMMYFUNCTION("""COMPUTED_VALUE"""),"No")</f>
        <v>No</v>
      </c>
      <c r="AG556" s="1" t="str">
        <f ca="1">IFERROR(__xludf.DUMMYFUNCTION("""COMPUTED_VALUE"""),"No")</f>
        <v>No</v>
      </c>
      <c r="AH556" s="1">
        <f ca="1">IFERROR(__xludf.DUMMYFUNCTION("""COMPUTED_VALUE"""),99)</f>
        <v>99</v>
      </c>
    </row>
    <row r="557" spans="1:34" ht="12.5">
      <c r="A557" s="1" t="str">
        <f ca="1">IFERROR(__xludf.DUMMYFUNCTION("""COMPUTED_VALUE"""),"20220823OHART")</f>
        <v>20220823OHART</v>
      </c>
      <c r="B557" s="1">
        <f ca="1">IFERROR(__xludf.DUMMYFUNCTION("""COMPUTED_VALUE"""),8)</f>
        <v>8</v>
      </c>
      <c r="C557" s="1">
        <f ca="1">IFERROR(__xludf.DUMMYFUNCTION("""COMPUTED_VALUE"""),23)</f>
        <v>23</v>
      </c>
      <c r="D557" s="1">
        <f ca="1">IFERROR(__xludf.DUMMYFUNCTION("""COMPUTED_VALUE"""),2022)</f>
        <v>2022</v>
      </c>
      <c r="E557" s="4">
        <f ca="1">IFERROR(__xludf.DUMMYFUNCTION("""COMPUTED_VALUE"""),44796)</f>
        <v>44796</v>
      </c>
      <c r="F557" s="1" t="str">
        <f ca="1">IFERROR(__xludf.DUMMYFUNCTION("""COMPUTED_VALUE"""),"Arlington Elementary School")</f>
        <v>Arlington Elementary School</v>
      </c>
      <c r="G557" s="1">
        <f ca="1">IFERROR(__xludf.DUMMYFUNCTION("""COMPUTED_VALUE"""),0)</f>
        <v>0</v>
      </c>
      <c r="H557" s="1">
        <f ca="1">IFERROR(__xludf.DUMMYFUNCTION("""COMPUTED_VALUE"""),0)</f>
        <v>0</v>
      </c>
      <c r="I557" s="1">
        <f ca="1">IFERROR(__xludf.DUMMYFUNCTION("""COMPUTED_VALUE"""),0)</f>
        <v>0</v>
      </c>
      <c r="J557" s="1">
        <f ca="1">IFERROR(__xludf.DUMMYFUNCTION("""COMPUTED_VALUE"""),0)</f>
        <v>0</v>
      </c>
      <c r="K557" s="1" t="str">
        <f ca="1">IFERROR(__xludf.DUMMYFUNCTION("""COMPUTED_VALUE"""),"Summer")</f>
        <v>Summer</v>
      </c>
      <c r="L557" s="1" t="str">
        <f ca="1">IFERROR(__xludf.DUMMYFUNCTION("""COMPUTED_VALUE"""),"Toledo")</f>
        <v>Toledo</v>
      </c>
      <c r="M557" s="1" t="str">
        <f ca="1">IFERROR(__xludf.DUMMYFUNCTION("""COMPUTED_VALUE"""),"OH")</f>
        <v>OH</v>
      </c>
      <c r="N557" s="1" t="str">
        <f ca="1">IFERROR(__xludf.DUMMYFUNCTION("""COMPUTED_VALUE"""),"Elementary")</f>
        <v>Elementary</v>
      </c>
      <c r="O557" s="1" t="str">
        <f ca="1">IFERROR(__xludf.DUMMYFUNCTION("""COMPUTED_VALUE"""),"Front of School")</f>
        <v>Front of School</v>
      </c>
      <c r="P557" s="1" t="str">
        <f ca="1">IFERROR(__xludf.DUMMYFUNCTION("""COMPUTED_VALUE"""),"Outside on School Property")</f>
        <v>Outside on School Property</v>
      </c>
      <c r="Q557" s="1" t="str">
        <f ca="1">IFERROR(__xludf.DUMMYFUNCTION("""COMPUTED_VALUE"""),"Yes")</f>
        <v>Yes</v>
      </c>
      <c r="R557" s="1" t="str">
        <f ca="1">IFERROR(__xludf.DUMMYFUNCTION("""COMPUTED_VALUE"""),"Dismissal")</f>
        <v>Dismissal</v>
      </c>
      <c r="S557" s="5">
        <f ca="1">IFERROR(__xludf.DUMMYFUNCTION("""COMPUTED_VALUE"""),0.645833333333333)</f>
        <v>0.64583333333333304</v>
      </c>
      <c r="T557" s="1">
        <f ca="1">IFERROR(__xludf.DUMMYFUNCTION("""COMPUTED_VALUE"""),1)</f>
        <v>1</v>
      </c>
      <c r="U557" s="1" t="str">
        <f ca="1">IFERROR(__xludf.DUMMYFUNCTION("""COMPUTED_VALUE"""),"Parent fired shot during fight with another parent at dismissal")</f>
        <v>Parent fired shot during fight with another parent at dismissal</v>
      </c>
      <c r="V557" s="1" t="str">
        <f ca="1">IFERROR(__xludf.DUMMYFUNCTION("""COMPUTED_VALUE"""),"A parent fired a shot into the air during a fight with another parent outside of the elementary school during dismissal. Students ran back into the school and went on lockdown for 2 hours. Shooter fled.")</f>
        <v>A parent fired a shot into the air during a fight with another parent outside of the elementary school during dismissal. Students ran back into the school and went on lockdown for 2 hours. Shooter fled.</v>
      </c>
      <c r="W557" s="1" t="str">
        <f ca="1">IFERROR(__xludf.DUMMYFUNCTION("""COMPUTED_VALUE"""),"Escalation of Dispute")</f>
        <v>Escalation of Dispute</v>
      </c>
      <c r="X557" s="1" t="str">
        <f ca="1">IFERROR(__xludf.DUMMYFUNCTION("""COMPUTED_VALUE"""),"Neither")</f>
        <v>Neither</v>
      </c>
      <c r="Y557" s="1" t="str">
        <f ca="1">IFERROR(__xludf.DUMMYFUNCTION("""COMPUTED_VALUE"""),"No")</f>
        <v>No</v>
      </c>
      <c r="Z557" s="1"/>
      <c r="AA557" s="1" t="str">
        <f ca="1">IFERROR(__xludf.DUMMYFUNCTION("""COMPUTED_VALUE"""),"No")</f>
        <v>No</v>
      </c>
      <c r="AB557" s="1" t="str">
        <f ca="1">IFERROR(__xludf.DUMMYFUNCTION("""COMPUTED_VALUE"""),"No")</f>
        <v>No</v>
      </c>
      <c r="AC557" s="1" t="str">
        <f ca="1">IFERROR(__xludf.DUMMYFUNCTION("""COMPUTED_VALUE"""),"No")</f>
        <v>No</v>
      </c>
      <c r="AD557" s="1" t="str">
        <f ca="1">IFERROR(__xludf.DUMMYFUNCTION("""COMPUTED_VALUE"""),"No")</f>
        <v>No</v>
      </c>
      <c r="AE557" s="1" t="str">
        <f ca="1">IFERROR(__xludf.DUMMYFUNCTION("""COMPUTED_VALUE"""),"No")</f>
        <v>No</v>
      </c>
      <c r="AF557" s="1" t="str">
        <f ca="1">IFERROR(__xludf.DUMMYFUNCTION("""COMPUTED_VALUE"""),"No")</f>
        <v>No</v>
      </c>
      <c r="AG557" s="1" t="str">
        <f ca="1">IFERROR(__xludf.DUMMYFUNCTION("""COMPUTED_VALUE"""),"No")</f>
        <v>No</v>
      </c>
      <c r="AH557" s="1">
        <f ca="1">IFERROR(__xludf.DUMMYFUNCTION("""COMPUTED_VALUE"""),1)</f>
        <v>1</v>
      </c>
    </row>
    <row r="558" spans="1:34" ht="12.5">
      <c r="A558" s="1" t="str">
        <f ca="1">IFERROR(__xludf.DUMMYFUNCTION("""COMPUTED_VALUE"""),"20220819TNWEC")</f>
        <v>20220819TNWEC</v>
      </c>
      <c r="B558" s="1">
        <f ca="1">IFERROR(__xludf.DUMMYFUNCTION("""COMPUTED_VALUE"""),8)</f>
        <v>8</v>
      </c>
      <c r="C558" s="1">
        <f ca="1">IFERROR(__xludf.DUMMYFUNCTION("""COMPUTED_VALUE"""),19)</f>
        <v>19</v>
      </c>
      <c r="D558" s="1">
        <f ca="1">IFERROR(__xludf.DUMMYFUNCTION("""COMPUTED_VALUE"""),2022)</f>
        <v>2022</v>
      </c>
      <c r="E558" s="4">
        <f ca="1">IFERROR(__xludf.DUMMYFUNCTION("""COMPUTED_VALUE"""),44792)</f>
        <v>44792</v>
      </c>
      <c r="F558" s="1" t="str">
        <f ca="1">IFERROR(__xludf.DUMMYFUNCTION("""COMPUTED_VALUE"""),"West Creek High School")</f>
        <v>West Creek High School</v>
      </c>
      <c r="G558" s="1">
        <f ca="1">IFERROR(__xludf.DUMMYFUNCTION("""COMPUTED_VALUE"""),0)</f>
        <v>0</v>
      </c>
      <c r="H558" s="1">
        <f ca="1">IFERROR(__xludf.DUMMYFUNCTION("""COMPUTED_VALUE"""),0)</f>
        <v>0</v>
      </c>
      <c r="I558" s="1">
        <f ca="1">IFERROR(__xludf.DUMMYFUNCTION("""COMPUTED_VALUE"""),0)</f>
        <v>0</v>
      </c>
      <c r="J558" s="1">
        <f ca="1">IFERROR(__xludf.DUMMYFUNCTION("""COMPUTED_VALUE"""),0)</f>
        <v>0</v>
      </c>
      <c r="K558" s="1" t="str">
        <f ca="1">IFERROR(__xludf.DUMMYFUNCTION("""COMPUTED_VALUE"""),"Summer")</f>
        <v>Summer</v>
      </c>
      <c r="L558" s="1" t="str">
        <f ca="1">IFERROR(__xludf.DUMMYFUNCTION("""COMPUTED_VALUE"""),"Clarksville")</f>
        <v>Clarksville</v>
      </c>
      <c r="M558" s="1" t="str">
        <f ca="1">IFERROR(__xludf.DUMMYFUNCTION("""COMPUTED_VALUE"""),"TN")</f>
        <v>TN</v>
      </c>
      <c r="N558" s="1" t="str">
        <f ca="1">IFERROR(__xludf.DUMMYFUNCTION("""COMPUTED_VALUE"""),"High")</f>
        <v>High</v>
      </c>
      <c r="O558" s="1" t="str">
        <f ca="1">IFERROR(__xludf.DUMMYFUNCTION("""COMPUTED_VALUE"""),"Parking Lot")</f>
        <v>Parking Lot</v>
      </c>
      <c r="P558" s="1" t="str">
        <f ca="1">IFERROR(__xludf.DUMMYFUNCTION("""COMPUTED_VALUE"""),"Outside on School Property")</f>
        <v>Outside on School Property</v>
      </c>
      <c r="Q558" s="1" t="str">
        <f ca="1">IFERROR(__xludf.DUMMYFUNCTION("""COMPUTED_VALUE"""),"No")</f>
        <v>No</v>
      </c>
      <c r="R558" s="1" t="str">
        <f ca="1">IFERROR(__xludf.DUMMYFUNCTION("""COMPUTED_VALUE"""),"Sport Event")</f>
        <v>Sport Event</v>
      </c>
      <c r="S558" s="5">
        <f ca="1">IFERROR(__xludf.DUMMYFUNCTION("""COMPUTED_VALUE"""),0.875)</f>
        <v>0.875</v>
      </c>
      <c r="T558" s="1">
        <f ca="1">IFERROR(__xludf.DUMMYFUNCTION("""COMPUTED_VALUE"""),1)</f>
        <v>1</v>
      </c>
      <c r="U558" s="1" t="str">
        <f ca="1">IFERROR(__xludf.DUMMYFUNCTION("""COMPUTED_VALUE"""),"Shots fired from vehicle in the school parking lot during football game")</f>
        <v>Shots fired from vehicle in the school parking lot during football game</v>
      </c>
      <c r="V558" s="1" t="str">
        <f ca="1">IFERROR(__xludf.DUMMYFUNCTION("""COMPUTED_VALUE"""),"Shots were fired from a vehicle driving through the school parking lot during a football game. Players and fans in the stadium heard the shots and took cover or evacuated. Remainder of the game was cancelled. Adult and two juveniles were arrested. No inju"&amp;"ries. Parents were informed to pick up students at a nearby middle school following the evacuation plan.")</f>
        <v>Shots were fired from a vehicle driving through the school parking lot during a football game. Players and fans in the stadium heard the shots and took cover or evacuated. Remainder of the game was cancelled. Adult and two juveniles were arrested. No injuries. Parents were informed to pick up students at a nearby middle school following the evacuation plan.</v>
      </c>
      <c r="W558" s="1" t="str">
        <f ca="1">IFERROR(__xludf.DUMMYFUNCTION("""COMPUTED_VALUE"""),"Drive-by Shooting")</f>
        <v>Drive-by Shooting</v>
      </c>
      <c r="X558" s="1" t="str">
        <f ca="1">IFERROR(__xludf.DUMMYFUNCTION("""COMPUTED_VALUE"""),"Both")</f>
        <v>Both</v>
      </c>
      <c r="Y558" s="1" t="str">
        <f ca="1">IFERROR(__xludf.DUMMYFUNCTION("""COMPUTED_VALUE"""),"Yes")</f>
        <v>Yes</v>
      </c>
      <c r="Z558" s="1" t="str">
        <f ca="1">IFERROR(__xludf.DUMMYFUNCTION("""COMPUTED_VALUE"""),"3 arrested")</f>
        <v>3 arrested</v>
      </c>
      <c r="AA558" s="1" t="str">
        <f ca="1">IFERROR(__xludf.DUMMYFUNCTION("""COMPUTED_VALUE"""),"No")</f>
        <v>No</v>
      </c>
      <c r="AB558" s="1" t="str">
        <f ca="1">IFERROR(__xludf.DUMMYFUNCTION("""COMPUTED_VALUE"""),"No")</f>
        <v>No</v>
      </c>
      <c r="AC558" s="1" t="str">
        <f ca="1">IFERROR(__xludf.DUMMYFUNCTION("""COMPUTED_VALUE"""),"No")</f>
        <v>No</v>
      </c>
      <c r="AD558" s="1" t="str">
        <f ca="1">IFERROR(__xludf.DUMMYFUNCTION("""COMPUTED_VALUE"""),"No")</f>
        <v>No</v>
      </c>
      <c r="AE558" s="1" t="str">
        <f ca="1">IFERROR(__xludf.DUMMYFUNCTION("""COMPUTED_VALUE"""),"No")</f>
        <v>No</v>
      </c>
      <c r="AF558" s="1"/>
      <c r="AG558" s="1" t="str">
        <f ca="1">IFERROR(__xludf.DUMMYFUNCTION("""COMPUTED_VALUE"""),"No")</f>
        <v>No</v>
      </c>
      <c r="AH558" s="1">
        <f ca="1">IFERROR(__xludf.DUMMYFUNCTION("""COMPUTED_VALUE"""),99)</f>
        <v>99</v>
      </c>
    </row>
    <row r="559" spans="1:34" ht="12.5">
      <c r="A559" s="1" t="str">
        <f ca="1">IFERROR(__xludf.DUMMYFUNCTION("""COMPUTED_VALUE"""),"20220819OHGRG")</f>
        <v>20220819OHGRG</v>
      </c>
      <c r="B559" s="1">
        <f ca="1">IFERROR(__xludf.DUMMYFUNCTION("""COMPUTED_VALUE"""),8)</f>
        <v>8</v>
      </c>
      <c r="C559" s="1">
        <f ca="1">IFERROR(__xludf.DUMMYFUNCTION("""COMPUTED_VALUE"""),19)</f>
        <v>19</v>
      </c>
      <c r="D559" s="1">
        <f ca="1">IFERROR(__xludf.DUMMYFUNCTION("""COMPUTED_VALUE"""),2022)</f>
        <v>2022</v>
      </c>
      <c r="E559" s="4">
        <f ca="1">IFERROR(__xludf.DUMMYFUNCTION("""COMPUTED_VALUE"""),44792)</f>
        <v>44792</v>
      </c>
      <c r="F559" s="1" t="str">
        <f ca="1">IFERROR(__xludf.DUMMYFUNCTION("""COMPUTED_VALUE"""),"Groveport Madison High School")</f>
        <v>Groveport Madison High School</v>
      </c>
      <c r="G559" s="1">
        <f ca="1">IFERROR(__xludf.DUMMYFUNCTION("""COMPUTED_VALUE"""),0)</f>
        <v>0</v>
      </c>
      <c r="H559" s="1">
        <f ca="1">IFERROR(__xludf.DUMMYFUNCTION("""COMPUTED_VALUE"""),0)</f>
        <v>0</v>
      </c>
      <c r="I559" s="1">
        <f ca="1">IFERROR(__xludf.DUMMYFUNCTION("""COMPUTED_VALUE"""),0)</f>
        <v>0</v>
      </c>
      <c r="J559" s="1">
        <f ca="1">IFERROR(__xludf.DUMMYFUNCTION("""COMPUTED_VALUE"""),0)</f>
        <v>0</v>
      </c>
      <c r="K559" s="1" t="str">
        <f ca="1">IFERROR(__xludf.DUMMYFUNCTION("""COMPUTED_VALUE"""),"Summer")</f>
        <v>Summer</v>
      </c>
      <c r="L559" s="1" t="str">
        <f ca="1">IFERROR(__xludf.DUMMYFUNCTION("""COMPUTED_VALUE"""),"Groveport")</f>
        <v>Groveport</v>
      </c>
      <c r="M559" s="1" t="str">
        <f ca="1">IFERROR(__xludf.DUMMYFUNCTION("""COMPUTED_VALUE"""),"OH")</f>
        <v>OH</v>
      </c>
      <c r="N559" s="1" t="str">
        <f ca="1">IFERROR(__xludf.DUMMYFUNCTION("""COMPUTED_VALUE"""),"High")</f>
        <v>High</v>
      </c>
      <c r="O559" s="1" t="str">
        <f ca="1">IFERROR(__xludf.DUMMYFUNCTION("""COMPUTED_VALUE"""),"Parking Lot")</f>
        <v>Parking Lot</v>
      </c>
      <c r="P559" s="1" t="str">
        <f ca="1">IFERROR(__xludf.DUMMYFUNCTION("""COMPUTED_VALUE"""),"Outside on School Property")</f>
        <v>Outside on School Property</v>
      </c>
      <c r="Q559" s="1" t="str">
        <f ca="1">IFERROR(__xludf.DUMMYFUNCTION("""COMPUTED_VALUE"""),"No")</f>
        <v>No</v>
      </c>
      <c r="R559" s="1" t="str">
        <f ca="1">IFERROR(__xludf.DUMMYFUNCTION("""COMPUTED_VALUE"""),"Sport Event")</f>
        <v>Sport Event</v>
      </c>
      <c r="S559" s="5">
        <f ca="1">IFERROR(__xludf.DUMMYFUNCTION("""COMPUTED_VALUE"""),0.881944444444444)</f>
        <v>0.88194444444444398</v>
      </c>
      <c r="T559" s="1">
        <f ca="1">IFERROR(__xludf.DUMMYFUNCTION("""COMPUTED_VALUE"""),1)</f>
        <v>1</v>
      </c>
      <c r="U559" s="1" t="str">
        <f ca="1">IFERROR(__xludf.DUMMYFUNCTION("""COMPUTED_VALUE"""),"Shots fired during fight in parking lot after people were ejected from football game")</f>
        <v>Shots fired during fight in parking lot after people were ejected from football game</v>
      </c>
      <c r="V559" s="1" t="str">
        <f ca="1">IFERROR(__xludf.DUMMYFUNCTION("""COMPUTED_VALUE"""),"After multiple fights in the stands, 6 people were ejected from the football game. A fight started in the parking lot and an 18-year-old male fired a fully automatic pistol. Shooting caused stadium evacuation and cancelled remainder of the game. Shooter a"&amp;"rrested. No injuries.")</f>
        <v>After multiple fights in the stands, 6 people were ejected from the football game. A fight started in the parking lot and an 18-year-old male fired a fully automatic pistol. Shooting caused stadium evacuation and cancelled remainder of the game. Shooter arrested. No injuries.</v>
      </c>
      <c r="W559" s="1" t="str">
        <f ca="1">IFERROR(__xludf.DUMMYFUNCTION("""COMPUTED_VALUE"""),"Escalation of Dispute")</f>
        <v>Escalation of Dispute</v>
      </c>
      <c r="X559" s="1" t="str">
        <f ca="1">IFERROR(__xludf.DUMMYFUNCTION("""COMPUTED_VALUE"""),"Victims Targeted")</f>
        <v>Victims Targeted</v>
      </c>
      <c r="Y559" s="1" t="str">
        <f ca="1">IFERROR(__xludf.DUMMYFUNCTION("""COMPUTED_VALUE"""),"Yes")</f>
        <v>Yes</v>
      </c>
      <c r="Z559" s="1" t="str">
        <f ca="1">IFERROR(__xludf.DUMMYFUNCTION("""COMPUTED_VALUE"""),"2 arrested")</f>
        <v>2 arrested</v>
      </c>
      <c r="AA559" s="1" t="str">
        <f ca="1">IFERROR(__xludf.DUMMYFUNCTION("""COMPUTED_VALUE"""),"No")</f>
        <v>No</v>
      </c>
      <c r="AB559" s="1" t="str">
        <f ca="1">IFERROR(__xludf.DUMMYFUNCTION("""COMPUTED_VALUE"""),"No")</f>
        <v>No</v>
      </c>
      <c r="AC559" s="1" t="str">
        <f ca="1">IFERROR(__xludf.DUMMYFUNCTION("""COMPUTED_VALUE"""),"No")</f>
        <v>No</v>
      </c>
      <c r="AD559" s="1" t="str">
        <f ca="1">IFERROR(__xludf.DUMMYFUNCTION("""COMPUTED_VALUE"""),"No")</f>
        <v>No</v>
      </c>
      <c r="AE559" s="1" t="str">
        <f ca="1">IFERROR(__xludf.DUMMYFUNCTION("""COMPUTED_VALUE"""),"No")</f>
        <v>No</v>
      </c>
      <c r="AF559" s="1" t="str">
        <f ca="1">IFERROR(__xludf.DUMMYFUNCTION("""COMPUTED_VALUE"""),"No")</f>
        <v>No</v>
      </c>
      <c r="AG559" s="1" t="str">
        <f ca="1">IFERROR(__xludf.DUMMYFUNCTION("""COMPUTED_VALUE"""),"No")</f>
        <v>No</v>
      </c>
      <c r="AH559" s="1">
        <f ca="1">IFERROR(__xludf.DUMMYFUNCTION("""COMPUTED_VALUE"""),6)</f>
        <v>6</v>
      </c>
    </row>
    <row r="560" spans="1:34" ht="12.5">
      <c r="A560" s="1" t="str">
        <f ca="1">IFERROR(__xludf.DUMMYFUNCTION("""COMPUTED_VALUE"""),"20220819LAAKN")</f>
        <v>20220819LAAKN</v>
      </c>
      <c r="B560" s="1">
        <f ca="1">IFERROR(__xludf.DUMMYFUNCTION("""COMPUTED_VALUE"""),8)</f>
        <v>8</v>
      </c>
      <c r="C560" s="1">
        <f ca="1">IFERROR(__xludf.DUMMYFUNCTION("""COMPUTED_VALUE"""),19)</f>
        <v>19</v>
      </c>
      <c r="D560" s="1">
        <f ca="1">IFERROR(__xludf.DUMMYFUNCTION("""COMPUTED_VALUE"""),2022)</f>
        <v>2022</v>
      </c>
      <c r="E560" s="4">
        <f ca="1">IFERROR(__xludf.DUMMYFUNCTION("""COMPUTED_VALUE"""),44792)</f>
        <v>44792</v>
      </c>
      <c r="F560" s="1" t="str">
        <f ca="1">IFERROR(__xludf.DUMMYFUNCTION("""COMPUTED_VALUE"""),"Akili Academy of New Orleans")</f>
        <v>Akili Academy of New Orleans</v>
      </c>
      <c r="G560" s="1">
        <f ca="1">IFERROR(__xludf.DUMMYFUNCTION("""COMPUTED_VALUE"""),0)</f>
        <v>0</v>
      </c>
      <c r="H560" s="1">
        <f ca="1">IFERROR(__xludf.DUMMYFUNCTION("""COMPUTED_VALUE"""),0)</f>
        <v>0</v>
      </c>
      <c r="I560" s="1">
        <f ca="1">IFERROR(__xludf.DUMMYFUNCTION("""COMPUTED_VALUE"""),0)</f>
        <v>0</v>
      </c>
      <c r="J560" s="1">
        <f ca="1">IFERROR(__xludf.DUMMYFUNCTION("""COMPUTED_VALUE"""),0)</f>
        <v>0</v>
      </c>
      <c r="K560" s="1" t="str">
        <f ca="1">IFERROR(__xludf.DUMMYFUNCTION("""COMPUTED_VALUE"""),"Summer")</f>
        <v>Summer</v>
      </c>
      <c r="L560" s="1" t="str">
        <f ca="1">IFERROR(__xludf.DUMMYFUNCTION("""COMPUTED_VALUE"""),"New Orleans")</f>
        <v>New Orleans</v>
      </c>
      <c r="M560" s="1" t="str">
        <f ca="1">IFERROR(__xludf.DUMMYFUNCTION("""COMPUTED_VALUE"""),"LA")</f>
        <v>LA</v>
      </c>
      <c r="N560" s="1" t="str">
        <f ca="1">IFERROR(__xludf.DUMMYFUNCTION("""COMPUTED_VALUE"""),"K-8")</f>
        <v>K-8</v>
      </c>
      <c r="O560" s="1" t="str">
        <f ca="1">IFERROR(__xludf.DUMMYFUNCTION("""COMPUTED_VALUE"""),"School Bus")</f>
        <v>School Bus</v>
      </c>
      <c r="P560" s="1" t="str">
        <f ca="1">IFERROR(__xludf.DUMMYFUNCTION("""COMPUTED_VALUE"""),"School Bus")</f>
        <v>School Bus</v>
      </c>
      <c r="Q560" s="1" t="str">
        <f ca="1">IFERROR(__xludf.DUMMYFUNCTION("""COMPUTED_VALUE"""),"Yes")</f>
        <v>Yes</v>
      </c>
      <c r="R560" s="1" t="str">
        <f ca="1">IFERROR(__xludf.DUMMYFUNCTION("""COMPUTED_VALUE"""),"Dismissal")</f>
        <v>Dismissal</v>
      </c>
      <c r="S560" s="5">
        <f ca="1">IFERROR(__xludf.DUMMYFUNCTION("""COMPUTED_VALUE"""),0.604166666666666)</f>
        <v>0.60416666666666596</v>
      </c>
      <c r="T560" s="1">
        <f ca="1">IFERROR(__xludf.DUMMYFUNCTION("""COMPUTED_VALUE"""),1)</f>
        <v>1</v>
      </c>
      <c r="U560" s="1" t="str">
        <f ca="1">IFERROR(__xludf.DUMMYFUNCTION("""COMPUTED_VALUE"""),"Girl pulled gun after fight on school bus")</f>
        <v>Girl pulled gun after fight on school bus</v>
      </c>
      <c r="V560" s="1" t="str">
        <f ca="1">IFERROR(__xludf.DUMMYFUNCTION("""COMPUTED_VALUE"""),"Following a fight between two girls on the school bus, a 12-year-old female student exited the bus, pulled a handgun, and then tried to get back on the bus. He banged on the door while the bus pulled away. Fight recorded on cell phone camera. Shooter's mo"&amp;"ther also arrested for contributing to incident.")</f>
        <v>Following a fight between two girls on the school bus, a 12-year-old female student exited the bus, pulled a handgun, and then tried to get back on the bus. He banged on the door while the bus pulled away. Fight recorded on cell phone camera. Shooter's mother also arrested for contributing to incident.</v>
      </c>
      <c r="W560" s="1" t="str">
        <f ca="1">IFERROR(__xludf.DUMMYFUNCTION("""COMPUTED_VALUE"""),"Escalation of Dispute")</f>
        <v>Escalation of Dispute</v>
      </c>
      <c r="X560" s="1" t="str">
        <f ca="1">IFERROR(__xludf.DUMMYFUNCTION("""COMPUTED_VALUE"""),"Victims Targeted")</f>
        <v>Victims Targeted</v>
      </c>
      <c r="Y560" s="1" t="str">
        <f ca="1">IFERROR(__xludf.DUMMYFUNCTION("""COMPUTED_VALUE"""),"No")</f>
        <v>No</v>
      </c>
      <c r="Z560" s="1"/>
      <c r="AA560" s="1" t="str">
        <f ca="1">IFERROR(__xludf.DUMMYFUNCTION("""COMPUTED_VALUE"""),"No")</f>
        <v>No</v>
      </c>
      <c r="AB560" s="1" t="str">
        <f ca="1">IFERROR(__xludf.DUMMYFUNCTION("""COMPUTED_VALUE"""),"No")</f>
        <v>No</v>
      </c>
      <c r="AC560" s="1" t="str">
        <f ca="1">IFERROR(__xludf.DUMMYFUNCTION("""COMPUTED_VALUE"""),"No")</f>
        <v>No</v>
      </c>
      <c r="AD560" s="1"/>
      <c r="AE560" s="1"/>
      <c r="AF560" s="1" t="str">
        <f ca="1">IFERROR(__xludf.DUMMYFUNCTION("""COMPUTED_VALUE"""),"No")</f>
        <v>No</v>
      </c>
      <c r="AG560" s="1" t="str">
        <f ca="1">IFERROR(__xludf.DUMMYFUNCTION("""COMPUTED_VALUE"""),"No")</f>
        <v>No</v>
      </c>
      <c r="AH560" s="1">
        <f ca="1">IFERROR(__xludf.DUMMYFUNCTION("""COMPUTED_VALUE"""),0)</f>
        <v>0</v>
      </c>
    </row>
    <row r="561" spans="1:34" ht="12.5">
      <c r="A561" s="1" t="str">
        <f ca="1">IFERROR(__xludf.DUMMYFUNCTION("""COMPUTED_VALUE"""),"20220818FLLER")</f>
        <v>20220818FLLER</v>
      </c>
      <c r="B561" s="1">
        <f ca="1">IFERROR(__xludf.DUMMYFUNCTION("""COMPUTED_VALUE"""),8)</f>
        <v>8</v>
      </c>
      <c r="C561" s="1">
        <f ca="1">IFERROR(__xludf.DUMMYFUNCTION("""COMPUTED_VALUE"""),18)</f>
        <v>18</v>
      </c>
      <c r="D561" s="1">
        <f ca="1">IFERROR(__xludf.DUMMYFUNCTION("""COMPUTED_VALUE"""),2022)</f>
        <v>2022</v>
      </c>
      <c r="E561" s="4">
        <f ca="1">IFERROR(__xludf.DUMMYFUNCTION("""COMPUTED_VALUE"""),44791)</f>
        <v>44791</v>
      </c>
      <c r="F561" s="1" t="str">
        <f ca="1">IFERROR(__xludf.DUMMYFUNCTION("""COMPUTED_VALUE"""),"Lennard High School")</f>
        <v>Lennard High School</v>
      </c>
      <c r="G561" s="1">
        <f ca="1">IFERROR(__xludf.DUMMYFUNCTION("""COMPUTED_VALUE"""),0)</f>
        <v>0</v>
      </c>
      <c r="H561" s="1">
        <f ca="1">IFERROR(__xludf.DUMMYFUNCTION("""COMPUTED_VALUE"""),0)</f>
        <v>0</v>
      </c>
      <c r="I561" s="1">
        <f ca="1">IFERROR(__xludf.DUMMYFUNCTION("""COMPUTED_VALUE"""),0)</f>
        <v>0</v>
      </c>
      <c r="J561" s="1">
        <f ca="1">IFERROR(__xludf.DUMMYFUNCTION("""COMPUTED_VALUE"""),0)</f>
        <v>0</v>
      </c>
      <c r="K561" s="1" t="str">
        <f ca="1">IFERROR(__xludf.DUMMYFUNCTION("""COMPUTED_VALUE"""),"Summer")</f>
        <v>Summer</v>
      </c>
      <c r="L561" s="1" t="str">
        <f ca="1">IFERROR(__xludf.DUMMYFUNCTION("""COMPUTED_VALUE"""),"Ruskin")</f>
        <v>Ruskin</v>
      </c>
      <c r="M561" s="1" t="str">
        <f ca="1">IFERROR(__xludf.DUMMYFUNCTION("""COMPUTED_VALUE"""),"FL")</f>
        <v>FL</v>
      </c>
      <c r="N561" s="1" t="str">
        <f ca="1">IFERROR(__xludf.DUMMYFUNCTION("""COMPUTED_VALUE"""),"High")</f>
        <v>High</v>
      </c>
      <c r="O561" s="1" t="str">
        <f ca="1">IFERROR(__xludf.DUMMYFUNCTION("""COMPUTED_VALUE"""),"Parking Lot")</f>
        <v>Parking Lot</v>
      </c>
      <c r="P561" s="1" t="str">
        <f ca="1">IFERROR(__xludf.DUMMYFUNCTION("""COMPUTED_VALUE"""),"Outside on School Property")</f>
        <v>Outside on School Property</v>
      </c>
      <c r="Q561" s="1" t="str">
        <f ca="1">IFERROR(__xludf.DUMMYFUNCTION("""COMPUTED_VALUE"""),"Yes")</f>
        <v>Yes</v>
      </c>
      <c r="R561" s="1" t="str">
        <f ca="1">IFERROR(__xludf.DUMMYFUNCTION("""COMPUTED_VALUE"""),"Morning Classes")</f>
        <v>Morning Classes</v>
      </c>
      <c r="S561" s="5">
        <f ca="1">IFERROR(__xludf.DUMMYFUNCTION("""COMPUTED_VALUE"""),0.444444444444444)</f>
        <v>0.44444444444444398</v>
      </c>
      <c r="T561" s="1">
        <f ca="1">IFERROR(__xludf.DUMMYFUNCTION("""COMPUTED_VALUE"""),1)</f>
        <v>1</v>
      </c>
      <c r="U561" s="1" t="str">
        <f ca="1">IFERROR(__xludf.DUMMYFUNCTION("""COMPUTED_VALUE"""),"Teen shot himself in the leg in the parking lot while showing off weapon")</f>
        <v>Teen shot himself in the leg in the parking lot while showing off weapon</v>
      </c>
      <c r="V561" s="1" t="str">
        <f ca="1">IFERROR(__xludf.DUMMYFUNCTION("""COMPUTED_VALUE"""),"A 17-year-old male student had a handgun in his vehicle. He was showing the gun to an 18-year-old former student who accidentally shot himself in the leg. Shooter went to the hospital. School went on lockdown for 2 hours. Handgun was found in the students"&amp;" vehicle. Police reported he was carrying the gun to school all week.")</f>
        <v>A 17-year-old male student had a handgun in his vehicle. He was showing the gun to an 18-year-old former student who accidentally shot himself in the leg. Shooter went to the hospital. School went on lockdown for 2 hours. Handgun was found in the students vehicle. Police reported he was carrying the gun to school all week.</v>
      </c>
      <c r="W561" s="1" t="str">
        <f ca="1">IFERROR(__xludf.DUMMYFUNCTION("""COMPUTED_VALUE"""),"Accidental")</f>
        <v>Accidental</v>
      </c>
      <c r="X561" s="1" t="str">
        <f ca="1">IFERROR(__xludf.DUMMYFUNCTION("""COMPUTED_VALUE"""),"Neither")</f>
        <v>Neither</v>
      </c>
      <c r="Y561" s="1" t="str">
        <f ca="1">IFERROR(__xludf.DUMMYFUNCTION("""COMPUTED_VALUE"""),"Yes")</f>
        <v>Yes</v>
      </c>
      <c r="Z561" s="1" t="str">
        <f ca="1">IFERROR(__xludf.DUMMYFUNCTION("""COMPUTED_VALUE"""),"2 students look at a gun")</f>
        <v>2 students look at a gun</v>
      </c>
      <c r="AA561" s="1" t="str">
        <f ca="1">IFERROR(__xludf.DUMMYFUNCTION("""COMPUTED_VALUE"""),"No")</f>
        <v>No</v>
      </c>
      <c r="AB561" s="1" t="str">
        <f ca="1">IFERROR(__xludf.DUMMYFUNCTION("""COMPUTED_VALUE"""),"No")</f>
        <v>No</v>
      </c>
      <c r="AC561" s="1" t="str">
        <f ca="1">IFERROR(__xludf.DUMMYFUNCTION("""COMPUTED_VALUE"""),"No")</f>
        <v>No</v>
      </c>
      <c r="AD561" s="1"/>
      <c r="AE561" s="1" t="str">
        <f ca="1">IFERROR(__xludf.DUMMYFUNCTION("""COMPUTED_VALUE"""),"No")</f>
        <v>No</v>
      </c>
      <c r="AF561" s="1"/>
      <c r="AG561" s="1" t="str">
        <f ca="1">IFERROR(__xludf.DUMMYFUNCTION("""COMPUTED_VALUE"""),"No")</f>
        <v>No</v>
      </c>
      <c r="AH561" s="1">
        <f ca="1">IFERROR(__xludf.DUMMYFUNCTION("""COMPUTED_VALUE"""),1)</f>
        <v>1</v>
      </c>
    </row>
    <row r="562" spans="1:34" ht="12.5">
      <c r="A562" s="1" t="str">
        <f ca="1">IFERROR(__xludf.DUMMYFUNCTION("""COMPUTED_VALUE"""),"20220816TXPOB")</f>
        <v>20220816TXPOB</v>
      </c>
      <c r="B562" s="1">
        <f ca="1">IFERROR(__xludf.DUMMYFUNCTION("""COMPUTED_VALUE"""),8)</f>
        <v>8</v>
      </c>
      <c r="C562" s="1">
        <f ca="1">IFERROR(__xludf.DUMMYFUNCTION("""COMPUTED_VALUE"""),16)</f>
        <v>16</v>
      </c>
      <c r="D562" s="1">
        <f ca="1">IFERROR(__xludf.DUMMYFUNCTION("""COMPUTED_VALUE"""),2022)</f>
        <v>2022</v>
      </c>
      <c r="E562" s="4">
        <f ca="1">IFERROR(__xludf.DUMMYFUNCTION("""COMPUTED_VALUE"""),44789)</f>
        <v>44789</v>
      </c>
      <c r="F562" s="1" t="str">
        <f ca="1">IFERROR(__xludf.DUMMYFUNCTION("""COMPUTED_VALUE"""),"Porter Early College High School")</f>
        <v>Porter Early College High School</v>
      </c>
      <c r="G562" s="1">
        <f ca="1">IFERROR(__xludf.DUMMYFUNCTION("""COMPUTED_VALUE"""),0)</f>
        <v>0</v>
      </c>
      <c r="H562" s="1">
        <f ca="1">IFERROR(__xludf.DUMMYFUNCTION("""COMPUTED_VALUE"""),0)</f>
        <v>0</v>
      </c>
      <c r="I562" s="1">
        <f ca="1">IFERROR(__xludf.DUMMYFUNCTION("""COMPUTED_VALUE"""),0)</f>
        <v>0</v>
      </c>
      <c r="J562" s="1">
        <f ca="1">IFERROR(__xludf.DUMMYFUNCTION("""COMPUTED_VALUE"""),0)</f>
        <v>0</v>
      </c>
      <c r="K562" s="1" t="str">
        <f ca="1">IFERROR(__xludf.DUMMYFUNCTION("""COMPUTED_VALUE"""),"Summer")</f>
        <v>Summer</v>
      </c>
      <c r="L562" s="1" t="str">
        <f ca="1">IFERROR(__xludf.DUMMYFUNCTION("""COMPUTED_VALUE"""),"Brownsville")</f>
        <v>Brownsville</v>
      </c>
      <c r="M562" s="1" t="str">
        <f ca="1">IFERROR(__xludf.DUMMYFUNCTION("""COMPUTED_VALUE"""),"TX")</f>
        <v>TX</v>
      </c>
      <c r="N562" s="1" t="str">
        <f ca="1">IFERROR(__xludf.DUMMYFUNCTION("""COMPUTED_VALUE"""),"High")</f>
        <v>High</v>
      </c>
      <c r="O562" s="1" t="str">
        <f ca="1">IFERROR(__xludf.DUMMYFUNCTION("""COMPUTED_VALUE"""),"Parking Lot")</f>
        <v>Parking Lot</v>
      </c>
      <c r="P562" s="1" t="str">
        <f ca="1">IFERROR(__xludf.DUMMYFUNCTION("""COMPUTED_VALUE"""),"Outside on School Property")</f>
        <v>Outside on School Property</v>
      </c>
      <c r="Q562" s="1" t="str">
        <f ca="1">IFERROR(__xludf.DUMMYFUNCTION("""COMPUTED_VALUE"""),"Yes")</f>
        <v>Yes</v>
      </c>
      <c r="R562" s="1" t="str">
        <f ca="1">IFERROR(__xludf.DUMMYFUNCTION("""COMPUTED_VALUE"""),"School Start")</f>
        <v>School Start</v>
      </c>
      <c r="S562" s="5">
        <f ca="1">IFERROR(__xludf.DUMMYFUNCTION("""COMPUTED_VALUE"""),0.333333333333333)</f>
        <v>0.33333333333333298</v>
      </c>
      <c r="T562" s="1">
        <f ca="1">IFERROR(__xludf.DUMMYFUNCTION("""COMPUTED_VALUE"""),1)</f>
        <v>1</v>
      </c>
      <c r="U562" s="1" t="str">
        <f ca="1">IFERROR(__xludf.DUMMYFUNCTION("""COMPUTED_VALUE"""),"Shots fired from stolen vehicle in school parking lot, SRO then fired shots at vehicle")</f>
        <v>Shots fired from stolen vehicle in school parking lot, SRO then fired shots at vehicle</v>
      </c>
      <c r="V562" s="1" t="str">
        <f ca="1">IFERROR(__xludf.DUMMYFUNCTION("""COMPUTED_VALUE"""),"Three teens in a stole vehicle fired shots and drove recklessly around the parking lot of the high school as the school was opening. SRO fired shot at the vehicle. Following a police chase, three teens were arrested, one near the school. Nearby middle sch"&amp;"ool got a report of an active shooter and went into lockdown. No injuries. First day of classes.")</f>
        <v>Three teens in a stole vehicle fired shots and drove recklessly around the parking lot of the high school as the school was opening. SRO fired shot at the vehicle. Following a police chase, three teens were arrested, one near the school. Nearby middle school got a report of an active shooter and went into lockdown. No injuries. First day of classes.</v>
      </c>
      <c r="W562" s="1" t="str">
        <f ca="1">IFERROR(__xludf.DUMMYFUNCTION("""COMPUTED_VALUE"""),"Drive-by Shooting")</f>
        <v>Drive-by Shooting</v>
      </c>
      <c r="X562" s="1" t="str">
        <f ca="1">IFERROR(__xludf.DUMMYFUNCTION("""COMPUTED_VALUE"""),"Neither")</f>
        <v>Neither</v>
      </c>
      <c r="Y562" s="1" t="str">
        <f ca="1">IFERROR(__xludf.DUMMYFUNCTION("""COMPUTED_VALUE"""),"No")</f>
        <v>No</v>
      </c>
      <c r="Z562" s="1"/>
      <c r="AA562" s="1" t="str">
        <f ca="1">IFERROR(__xludf.DUMMYFUNCTION("""COMPUTED_VALUE"""),"No")</f>
        <v>No</v>
      </c>
      <c r="AB562" s="1" t="str">
        <f ca="1">IFERROR(__xludf.DUMMYFUNCTION("""COMPUTED_VALUE"""),"No")</f>
        <v>No</v>
      </c>
      <c r="AC562" s="1" t="str">
        <f ca="1">IFERROR(__xludf.DUMMYFUNCTION("""COMPUTED_VALUE"""),"Yes")</f>
        <v>Yes</v>
      </c>
      <c r="AD562" s="1" t="str">
        <f ca="1">IFERROR(__xludf.DUMMYFUNCTION("""COMPUTED_VALUE"""),"No")</f>
        <v>No</v>
      </c>
      <c r="AE562" s="1" t="str">
        <f ca="1">IFERROR(__xludf.DUMMYFUNCTION("""COMPUTED_VALUE"""),"No")</f>
        <v>No</v>
      </c>
      <c r="AF562" s="1"/>
      <c r="AG562" s="1" t="str">
        <f ca="1">IFERROR(__xludf.DUMMYFUNCTION("""COMPUTED_VALUE"""),"No")</f>
        <v>No</v>
      </c>
      <c r="AH562" s="1">
        <f ca="1">IFERROR(__xludf.DUMMYFUNCTION("""COMPUTED_VALUE"""),99)</f>
        <v>99</v>
      </c>
    </row>
    <row r="563" spans="1:34" ht="12.5">
      <c r="A563" s="1" t="str">
        <f ca="1">IFERROR(__xludf.DUMMYFUNCTION("""COMPUTED_VALUE"""),"20220815CALIS")</f>
        <v>20220815CALIS</v>
      </c>
      <c r="B563" s="1">
        <f ca="1">IFERROR(__xludf.DUMMYFUNCTION("""COMPUTED_VALUE"""),8)</f>
        <v>8</v>
      </c>
      <c r="C563" s="1">
        <f ca="1">IFERROR(__xludf.DUMMYFUNCTION("""COMPUTED_VALUE"""),15)</f>
        <v>15</v>
      </c>
      <c r="D563" s="1">
        <f ca="1">IFERROR(__xludf.DUMMYFUNCTION("""COMPUTED_VALUE"""),2022)</f>
        <v>2022</v>
      </c>
      <c r="E563" s="4">
        <f ca="1">IFERROR(__xludf.DUMMYFUNCTION("""COMPUTED_VALUE"""),44788)</f>
        <v>44788</v>
      </c>
      <c r="F563" s="1" t="str">
        <f ca="1">IFERROR(__xludf.DUMMYFUNCTION("""COMPUTED_VALUE"""),"Lincoln High School")</f>
        <v>Lincoln High School</v>
      </c>
      <c r="G563" s="1">
        <f ca="1">IFERROR(__xludf.DUMMYFUNCTION("""COMPUTED_VALUE"""),0)</f>
        <v>0</v>
      </c>
      <c r="H563" s="1">
        <f ca="1">IFERROR(__xludf.DUMMYFUNCTION("""COMPUTED_VALUE"""),0)</f>
        <v>0</v>
      </c>
      <c r="I563" s="1">
        <f ca="1">IFERROR(__xludf.DUMMYFUNCTION("""COMPUTED_VALUE"""),0)</f>
        <v>0</v>
      </c>
      <c r="J563" s="1">
        <f ca="1">IFERROR(__xludf.DUMMYFUNCTION("""COMPUTED_VALUE"""),0)</f>
        <v>0</v>
      </c>
      <c r="K563" s="1" t="str">
        <f ca="1">IFERROR(__xludf.DUMMYFUNCTION("""COMPUTED_VALUE"""),"Summer")</f>
        <v>Summer</v>
      </c>
      <c r="L563" s="1" t="str">
        <f ca="1">IFERROR(__xludf.DUMMYFUNCTION("""COMPUTED_VALUE"""),"Stockton")</f>
        <v>Stockton</v>
      </c>
      <c r="M563" s="1" t="str">
        <f ca="1">IFERROR(__xludf.DUMMYFUNCTION("""COMPUTED_VALUE"""),"CA")</f>
        <v>CA</v>
      </c>
      <c r="N563" s="1" t="str">
        <f ca="1">IFERROR(__xludf.DUMMYFUNCTION("""COMPUTED_VALUE"""),"High")</f>
        <v>High</v>
      </c>
      <c r="O563" s="1" t="str">
        <f ca="1">IFERROR(__xludf.DUMMYFUNCTION("""COMPUTED_VALUE"""),"Courtyard")</f>
        <v>Courtyard</v>
      </c>
      <c r="P563" s="1" t="str">
        <f ca="1">IFERROR(__xludf.DUMMYFUNCTION("""COMPUTED_VALUE"""),"Outside on School Property")</f>
        <v>Outside on School Property</v>
      </c>
      <c r="Q563" s="1" t="str">
        <f ca="1">IFERROR(__xludf.DUMMYFUNCTION("""COMPUTED_VALUE"""),"Yes")</f>
        <v>Yes</v>
      </c>
      <c r="R563" s="1" t="str">
        <f ca="1">IFERROR(__xludf.DUMMYFUNCTION("""COMPUTED_VALUE"""),"Lunch")</f>
        <v>Lunch</v>
      </c>
      <c r="S563" s="5">
        <f ca="1">IFERROR(__xludf.DUMMYFUNCTION("""COMPUTED_VALUE"""),0.513888888888888)</f>
        <v>0.51388888888888795</v>
      </c>
      <c r="T563" s="1">
        <f ca="1">IFERROR(__xludf.DUMMYFUNCTION("""COMPUTED_VALUE"""),1)</f>
        <v>1</v>
      </c>
      <c r="U563" s="1" t="str">
        <f ca="1">IFERROR(__xludf.DUMMYFUNCTION("""COMPUTED_VALUE"""),"Student pulled gun during fight, subdued by SRO")</f>
        <v>Student pulled gun during fight, subdued by SRO</v>
      </c>
      <c r="V563" s="1" t="str">
        <f ca="1">IFERROR(__xludf.DUMMYFUNCTION("""COMPUTED_VALUE"""),"A 17-year-old student pulled a loaded gun during a fight at lunch. SRO was nearby and subdued the student. No shots fired or injuries. Student arrested.")</f>
        <v>A 17-year-old student pulled a loaded gun during a fight at lunch. SRO was nearby and subdued the student. No shots fired or injuries. Student arrested.</v>
      </c>
      <c r="W563" s="1" t="str">
        <f ca="1">IFERROR(__xludf.DUMMYFUNCTION("""COMPUTED_VALUE"""),"Escalation of Dispute")</f>
        <v>Escalation of Dispute</v>
      </c>
      <c r="X563" s="1"/>
      <c r="Y563" s="1" t="str">
        <f ca="1">IFERROR(__xludf.DUMMYFUNCTION("""COMPUTED_VALUE"""),"No")</f>
        <v>No</v>
      </c>
      <c r="Z563" s="1"/>
      <c r="AA563" s="1" t="str">
        <f ca="1">IFERROR(__xludf.DUMMYFUNCTION("""COMPUTED_VALUE"""),"No")</f>
        <v>No</v>
      </c>
      <c r="AB563" s="1" t="str">
        <f ca="1">IFERROR(__xludf.DUMMYFUNCTION("""COMPUTED_VALUE"""),"No")</f>
        <v>No</v>
      </c>
      <c r="AC563" s="1" t="str">
        <f ca="1">IFERROR(__xludf.DUMMYFUNCTION("""COMPUTED_VALUE"""),"No")</f>
        <v>No</v>
      </c>
      <c r="AD563" s="1"/>
      <c r="AE563" s="1" t="str">
        <f ca="1">IFERROR(__xludf.DUMMYFUNCTION("""COMPUTED_VALUE"""),"No")</f>
        <v>No</v>
      </c>
      <c r="AF563" s="1"/>
      <c r="AG563" s="1" t="str">
        <f ca="1">IFERROR(__xludf.DUMMYFUNCTION("""COMPUTED_VALUE"""),"No")</f>
        <v>No</v>
      </c>
      <c r="AH563" s="1">
        <f ca="1">IFERROR(__xludf.DUMMYFUNCTION("""COMPUTED_VALUE"""),0)</f>
        <v>0</v>
      </c>
    </row>
    <row r="564" spans="1:34" ht="12.5">
      <c r="A564" s="1" t="str">
        <f ca="1">IFERROR(__xludf.DUMMYFUNCTION("""COMPUTED_VALUE"""),"20220813ARMAL")</f>
        <v>20220813ARMAL</v>
      </c>
      <c r="B564" s="1">
        <f ca="1">IFERROR(__xludf.DUMMYFUNCTION("""COMPUTED_VALUE"""),8)</f>
        <v>8</v>
      </c>
      <c r="C564" s="1">
        <f ca="1">IFERROR(__xludf.DUMMYFUNCTION("""COMPUTED_VALUE"""),13)</f>
        <v>13</v>
      </c>
      <c r="D564" s="1">
        <f ca="1">IFERROR(__xludf.DUMMYFUNCTION("""COMPUTED_VALUE"""),2022)</f>
        <v>2022</v>
      </c>
      <c r="E564" s="4">
        <f ca="1">IFERROR(__xludf.DUMMYFUNCTION("""COMPUTED_VALUE"""),44786)</f>
        <v>44786</v>
      </c>
      <c r="F564" s="1" t="str">
        <f ca="1">IFERROR(__xludf.DUMMYFUNCTION("""COMPUTED_VALUE"""),"Mabelvale Elementary School")</f>
        <v>Mabelvale Elementary School</v>
      </c>
      <c r="G564" s="1">
        <f ca="1">IFERROR(__xludf.DUMMYFUNCTION("""COMPUTED_VALUE"""),0)</f>
        <v>0</v>
      </c>
      <c r="H564" s="1">
        <f ca="1">IFERROR(__xludf.DUMMYFUNCTION("""COMPUTED_VALUE"""),0)</f>
        <v>0</v>
      </c>
      <c r="I564" s="1">
        <f ca="1">IFERROR(__xludf.DUMMYFUNCTION("""COMPUTED_VALUE"""),0)</f>
        <v>0</v>
      </c>
      <c r="J564" s="1">
        <f ca="1">IFERROR(__xludf.DUMMYFUNCTION("""COMPUTED_VALUE"""),0)</f>
        <v>0</v>
      </c>
      <c r="K564" s="1" t="str">
        <f ca="1">IFERROR(__xludf.DUMMYFUNCTION("""COMPUTED_VALUE"""),"Summer")</f>
        <v>Summer</v>
      </c>
      <c r="L564" s="1" t="str">
        <f ca="1">IFERROR(__xludf.DUMMYFUNCTION("""COMPUTED_VALUE"""),"Little Rock")</f>
        <v>Little Rock</v>
      </c>
      <c r="M564" s="1" t="str">
        <f ca="1">IFERROR(__xludf.DUMMYFUNCTION("""COMPUTED_VALUE"""),"AR")</f>
        <v>AR</v>
      </c>
      <c r="N564" s="1" t="str">
        <f ca="1">IFERROR(__xludf.DUMMYFUNCTION("""COMPUTED_VALUE"""),"Elementary")</f>
        <v>Elementary</v>
      </c>
      <c r="O564" s="1" t="str">
        <f ca="1">IFERROR(__xludf.DUMMYFUNCTION("""COMPUTED_VALUE"""),"Front of School")</f>
        <v>Front of School</v>
      </c>
      <c r="P564" s="1" t="str">
        <f ca="1">IFERROR(__xludf.DUMMYFUNCTION("""COMPUTED_VALUE"""),"Outside on School Property")</f>
        <v>Outside on School Property</v>
      </c>
      <c r="Q564" s="1" t="str">
        <f ca="1">IFERROR(__xludf.DUMMYFUNCTION("""COMPUTED_VALUE"""),"No")</f>
        <v>No</v>
      </c>
      <c r="R564" s="1" t="str">
        <f ca="1">IFERROR(__xludf.DUMMYFUNCTION("""COMPUTED_VALUE"""),"Not a School Day")</f>
        <v>Not a School Day</v>
      </c>
      <c r="S564" s="5">
        <f ca="1">IFERROR(__xludf.DUMMYFUNCTION("""COMPUTED_VALUE"""),0.625)</f>
        <v>0.625</v>
      </c>
      <c r="T564" s="1">
        <f ca="1">IFERROR(__xludf.DUMMYFUNCTION("""COMPUTED_VALUE"""),1)</f>
        <v>1</v>
      </c>
      <c r="U564" s="1" t="str">
        <f ca="1">IFERROR(__xludf.DUMMYFUNCTION("""COMPUTED_VALUE"""),"Shots fired in front of school and struck school building")</f>
        <v>Shots fired in front of school and struck school building</v>
      </c>
      <c r="V564" s="1" t="str">
        <f ca="1">IFERROR(__xludf.DUMMYFUNCTION("""COMPUTED_VALUE"""),"Shots fired in front of school and struck school building. Shooter fled. No injuries.")</f>
        <v>Shots fired in front of school and struck school building. Shooter fled. No injuries.</v>
      </c>
      <c r="W564" s="1"/>
      <c r="X564" s="1"/>
      <c r="Y564" s="1" t="str">
        <f ca="1">IFERROR(__xludf.DUMMYFUNCTION("""COMPUTED_VALUE"""),"No")</f>
        <v>No</v>
      </c>
      <c r="Z564" s="1"/>
      <c r="AA564" s="1" t="str">
        <f ca="1">IFERROR(__xludf.DUMMYFUNCTION("""COMPUTED_VALUE"""),"No")</f>
        <v>No</v>
      </c>
      <c r="AB564" s="1" t="str">
        <f ca="1">IFERROR(__xludf.DUMMYFUNCTION("""COMPUTED_VALUE"""),"No")</f>
        <v>No</v>
      </c>
      <c r="AC564" s="1" t="str">
        <f ca="1">IFERROR(__xludf.DUMMYFUNCTION("""COMPUTED_VALUE"""),"No")</f>
        <v>No</v>
      </c>
      <c r="AD564" s="1" t="str">
        <f ca="1">IFERROR(__xludf.DUMMYFUNCTION("""COMPUTED_VALUE"""),"No")</f>
        <v>No</v>
      </c>
      <c r="AE564" s="1" t="str">
        <f ca="1">IFERROR(__xludf.DUMMYFUNCTION("""COMPUTED_VALUE"""),"No")</f>
        <v>No</v>
      </c>
      <c r="AF564" s="1"/>
      <c r="AG564" s="1" t="str">
        <f ca="1">IFERROR(__xludf.DUMMYFUNCTION("""COMPUTED_VALUE"""),"No")</f>
        <v>No</v>
      </c>
      <c r="AH564" s="1">
        <f ca="1">IFERROR(__xludf.DUMMYFUNCTION("""COMPUTED_VALUE"""),5)</f>
        <v>5</v>
      </c>
    </row>
    <row r="565" spans="1:34" ht="12.5">
      <c r="A565" s="1" t="str">
        <f ca="1">IFERROR(__xludf.DUMMYFUNCTION("""COMPUTED_VALUE"""),"20220812MISUG")</f>
        <v>20220812MISUG</v>
      </c>
      <c r="B565" s="1">
        <f ca="1">IFERROR(__xludf.DUMMYFUNCTION("""COMPUTED_VALUE"""),8)</f>
        <v>8</v>
      </c>
      <c r="C565" s="1">
        <f ca="1">IFERROR(__xludf.DUMMYFUNCTION("""COMPUTED_VALUE"""),12)</f>
        <v>12</v>
      </c>
      <c r="D565" s="1">
        <f ca="1">IFERROR(__xludf.DUMMYFUNCTION("""COMPUTED_VALUE"""),2022)</f>
        <v>2022</v>
      </c>
      <c r="E565" s="4">
        <f ca="1">IFERROR(__xludf.DUMMYFUNCTION("""COMPUTED_VALUE"""),44785)</f>
        <v>44785</v>
      </c>
      <c r="F565" s="1" t="str">
        <f ca="1">IFERROR(__xludf.DUMMYFUNCTION("""COMPUTED_VALUE"""),"Southeast Career Pathways")</f>
        <v>Southeast Career Pathways</v>
      </c>
      <c r="G565" s="1">
        <f ca="1">IFERROR(__xludf.DUMMYFUNCTION("""COMPUTED_VALUE"""),0)</f>
        <v>0</v>
      </c>
      <c r="H565" s="1">
        <f ca="1">IFERROR(__xludf.DUMMYFUNCTION("""COMPUTED_VALUE"""),0)</f>
        <v>0</v>
      </c>
      <c r="I565" s="1">
        <f ca="1">IFERROR(__xludf.DUMMYFUNCTION("""COMPUTED_VALUE"""),0)</f>
        <v>0</v>
      </c>
      <c r="J565" s="1">
        <f ca="1">IFERROR(__xludf.DUMMYFUNCTION("""COMPUTED_VALUE"""),0)</f>
        <v>0</v>
      </c>
      <c r="K565" s="1" t="str">
        <f ca="1">IFERROR(__xludf.DUMMYFUNCTION("""COMPUTED_VALUE"""),"Summer")</f>
        <v>Summer</v>
      </c>
      <c r="L565" s="1" t="str">
        <f ca="1">IFERROR(__xludf.DUMMYFUNCTION("""COMPUTED_VALUE"""),"Grand Rapids")</f>
        <v>Grand Rapids</v>
      </c>
      <c r="M565" s="1" t="str">
        <f ca="1">IFERROR(__xludf.DUMMYFUNCTION("""COMPUTED_VALUE"""),"MI")</f>
        <v>MI</v>
      </c>
      <c r="N565" s="1" t="str">
        <f ca="1">IFERROR(__xludf.DUMMYFUNCTION("""COMPUTED_VALUE"""),"High")</f>
        <v>High</v>
      </c>
      <c r="O565" s="1" t="str">
        <f ca="1">IFERROR(__xludf.DUMMYFUNCTION("""COMPUTED_VALUE"""),"Parking Lot")</f>
        <v>Parking Lot</v>
      </c>
      <c r="P565" s="1" t="str">
        <f ca="1">IFERROR(__xludf.DUMMYFUNCTION("""COMPUTED_VALUE"""),"Outside on School Property")</f>
        <v>Outside on School Property</v>
      </c>
      <c r="Q565" s="1" t="str">
        <f ca="1">IFERROR(__xludf.DUMMYFUNCTION("""COMPUTED_VALUE"""),"No")</f>
        <v>No</v>
      </c>
      <c r="R565" s="1" t="str">
        <f ca="1">IFERROR(__xludf.DUMMYFUNCTION("""COMPUTED_VALUE"""),"Not a School Day")</f>
        <v>Not a School Day</v>
      </c>
      <c r="S565" s="5">
        <f ca="1">IFERROR(__xludf.DUMMYFUNCTION("""COMPUTED_VALUE"""),0.416666666666666)</f>
        <v>0.41666666666666602</v>
      </c>
      <c r="T565" s="1">
        <f ca="1">IFERROR(__xludf.DUMMYFUNCTION("""COMPUTED_VALUE"""),1)</f>
        <v>1</v>
      </c>
      <c r="U565" s="1" t="str">
        <f ca="1">IFERROR(__xludf.DUMMYFUNCTION("""COMPUTED_VALUE"""),"Shots fired in parking lot")</f>
        <v>Shots fired in parking lot</v>
      </c>
      <c r="V565" s="1" t="str">
        <f ca="1">IFERROR(__xludf.DUMMYFUNCTION("""COMPUTED_VALUE"""),"According to the Department of Justice, Grand Rapids Police Department officers heard gun shots while on patrol in the early morning of August 12, 2022. When they drove in the direction of the shooting, they saw a white Chevrolet Suburban spin out and cra"&amp;"sh into the parking lot of Southeast Career Pathways. When officers approached the vehicle, additional shots were fired. Two subjects fled from the vehicle on foot after the crash. Matthews exited the driver’s side of the vehicle, and was apprehended whil"&amp;"e attempting to climb a fence. In Matthews’ waistband, police found a stolen Springfield XD 9 mm pistol, which had only two rounds in it: one in the magazine and one in the chamber. Crime scene technicians later found twelve spent 9 mm casings in the stre"&amp;"et from where Matthews’ vehicle had traveled, and where officers first heard the shooting. Inside the vehicle, police found bags that contained fentanyl, cocaine, and a digital scale.")</f>
        <v>According to the Department of Justice, Grand Rapids Police Department officers heard gun shots while on patrol in the early morning of August 12, 2022. When they drove in the direction of the shooting, they saw a white Chevrolet Suburban spin out and crash into the parking lot of Southeast Career Pathways. When officers approached the vehicle, additional shots were fired. Two subjects fled from the vehicle on foot after the crash. Matthews exited the driver’s side of the vehicle, and was apprehended while attempting to climb a fence. In Matthews’ waistband, police found a stolen Springfield XD 9 mm pistol, which had only two rounds in it: one in the magazine and one in the chamber. Crime scene technicians later found twelve spent 9 mm casings in the street from where Matthews’ vehicle had traveled, and where officers first heard the shooting. Inside the vehicle, police found bags that contained fentanyl, cocaine, and a digital scale.</v>
      </c>
      <c r="W565" s="1" t="str">
        <f ca="1">IFERROR(__xludf.DUMMYFUNCTION("""COMPUTED_VALUE"""),"Illegal Activity")</f>
        <v>Illegal Activity</v>
      </c>
      <c r="X565" s="1" t="str">
        <f ca="1">IFERROR(__xludf.DUMMYFUNCTION("""COMPUTED_VALUE"""),"Both")</f>
        <v>Both</v>
      </c>
      <c r="Y565" s="1" t="str">
        <f ca="1">IFERROR(__xludf.DUMMYFUNCTION("""COMPUTED_VALUE"""),"No")</f>
        <v>No</v>
      </c>
      <c r="Z565" s="1"/>
      <c r="AA565" s="1" t="str">
        <f ca="1">IFERROR(__xludf.DUMMYFUNCTION("""COMPUTED_VALUE"""),"No")</f>
        <v>No</v>
      </c>
      <c r="AB565" s="1" t="str">
        <f ca="1">IFERROR(__xludf.DUMMYFUNCTION("""COMPUTED_VALUE"""),"No")</f>
        <v>No</v>
      </c>
      <c r="AC565" s="1" t="str">
        <f ca="1">IFERROR(__xludf.DUMMYFUNCTION("""COMPUTED_VALUE"""),"No")</f>
        <v>No</v>
      </c>
      <c r="AD565" s="1" t="str">
        <f ca="1">IFERROR(__xludf.DUMMYFUNCTION("""COMPUTED_VALUE"""),"No")</f>
        <v>No</v>
      </c>
      <c r="AE565" s="1" t="str">
        <f ca="1">IFERROR(__xludf.DUMMYFUNCTION("""COMPUTED_VALUE"""),"No")</f>
        <v>No</v>
      </c>
      <c r="AF565" s="1" t="str">
        <f ca="1">IFERROR(__xludf.DUMMYFUNCTION("""COMPUTED_VALUE"""),"No")</f>
        <v>No</v>
      </c>
      <c r="AG565" s="1" t="str">
        <f ca="1">IFERROR(__xludf.DUMMYFUNCTION("""COMPUTED_VALUE"""),"No")</f>
        <v>No</v>
      </c>
      <c r="AH565" s="1">
        <f ca="1">IFERROR(__xludf.DUMMYFUNCTION("""COMPUTED_VALUE"""),11)</f>
        <v>11</v>
      </c>
    </row>
    <row r="566" spans="1:34" ht="12.5">
      <c r="A566" s="1" t="str">
        <f ca="1">IFERROR(__xludf.DUMMYFUNCTION("""COMPUTED_VALUE"""),"20220812CASIV")</f>
        <v>20220812CASIV</v>
      </c>
      <c r="B566" s="1">
        <f ca="1">IFERROR(__xludf.DUMMYFUNCTION("""COMPUTED_VALUE"""),8)</f>
        <v>8</v>
      </c>
      <c r="C566" s="1">
        <f ca="1">IFERROR(__xludf.DUMMYFUNCTION("""COMPUTED_VALUE"""),12)</f>
        <v>12</v>
      </c>
      <c r="D566" s="1">
        <f ca="1">IFERROR(__xludf.DUMMYFUNCTION("""COMPUTED_VALUE"""),2022)</f>
        <v>2022</v>
      </c>
      <c r="E566" s="4">
        <f ca="1">IFERROR(__xludf.DUMMYFUNCTION("""COMPUTED_VALUE"""),44785)</f>
        <v>44785</v>
      </c>
      <c r="F566" s="1" t="str">
        <f ca="1">IFERROR(__xludf.DUMMYFUNCTION("""COMPUTED_VALUE"""),"Silverado High School")</f>
        <v>Silverado High School</v>
      </c>
      <c r="G566" s="1">
        <f ca="1">IFERROR(__xludf.DUMMYFUNCTION("""COMPUTED_VALUE"""),0)</f>
        <v>0</v>
      </c>
      <c r="H566" s="1">
        <f ca="1">IFERROR(__xludf.DUMMYFUNCTION("""COMPUTED_VALUE"""),0)</f>
        <v>0</v>
      </c>
      <c r="I566" s="1">
        <f ca="1">IFERROR(__xludf.DUMMYFUNCTION("""COMPUTED_VALUE"""),0)</f>
        <v>0</v>
      </c>
      <c r="J566" s="1">
        <f ca="1">IFERROR(__xludf.DUMMYFUNCTION("""COMPUTED_VALUE"""),0)</f>
        <v>0</v>
      </c>
      <c r="K566" s="1" t="str">
        <f ca="1">IFERROR(__xludf.DUMMYFUNCTION("""COMPUTED_VALUE"""),"Summer")</f>
        <v>Summer</v>
      </c>
      <c r="L566" s="1" t="str">
        <f ca="1">IFERROR(__xludf.DUMMYFUNCTION("""COMPUTED_VALUE"""),"Victorville")</f>
        <v>Victorville</v>
      </c>
      <c r="M566" s="1" t="str">
        <f ca="1">IFERROR(__xludf.DUMMYFUNCTION("""COMPUTED_VALUE"""),"CA")</f>
        <v>CA</v>
      </c>
      <c r="N566" s="1" t="str">
        <f ca="1">IFERROR(__xludf.DUMMYFUNCTION("""COMPUTED_VALUE"""),"High")</f>
        <v>High</v>
      </c>
      <c r="O566" s="1" t="str">
        <f ca="1">IFERROR(__xludf.DUMMYFUNCTION("""COMPUTED_VALUE"""),"Parking Lot")</f>
        <v>Parking Lot</v>
      </c>
      <c r="P566" s="1" t="str">
        <f ca="1">IFERROR(__xludf.DUMMYFUNCTION("""COMPUTED_VALUE"""),"Outside on School Property")</f>
        <v>Outside on School Property</v>
      </c>
      <c r="Q566" s="1" t="str">
        <f ca="1">IFERROR(__xludf.DUMMYFUNCTION("""COMPUTED_VALUE"""),"No")</f>
        <v>No</v>
      </c>
      <c r="R566" s="1" t="str">
        <f ca="1">IFERROR(__xludf.DUMMYFUNCTION("""COMPUTED_VALUE"""),"Sport Event")</f>
        <v>Sport Event</v>
      </c>
      <c r="S566" s="5">
        <f ca="1">IFERROR(__xludf.DUMMYFUNCTION("""COMPUTED_VALUE"""),0.861111111111111)</f>
        <v>0.86111111111111105</v>
      </c>
      <c r="T566" s="1">
        <f ca="1">IFERROR(__xludf.DUMMYFUNCTION("""COMPUTED_VALUE"""),1)</f>
        <v>1</v>
      </c>
      <c r="U566" s="1" t="str">
        <f ca="1">IFERROR(__xludf.DUMMYFUNCTION("""COMPUTED_VALUE"""),"Shots fired in school parking lot following football game")</f>
        <v>Shots fired in school parking lot following football game</v>
      </c>
      <c r="V566" s="1" t="str">
        <f ca="1">IFERROR(__xludf.DUMMYFUNCTION("""COMPUTED_VALUE"""),"Five shots were fired in the parking lot of the school as attendees exited the football stadium. Shooter fled. No injuries.")</f>
        <v>Five shots were fired in the parking lot of the school as attendees exited the football stadium. Shooter fled. No injuries.</v>
      </c>
      <c r="W566" s="1"/>
      <c r="X566" s="1"/>
      <c r="Y566" s="1" t="str">
        <f ca="1">IFERROR(__xludf.DUMMYFUNCTION("""COMPUTED_VALUE"""),"No")</f>
        <v>No</v>
      </c>
      <c r="Z566" s="1"/>
      <c r="AA566" s="1" t="str">
        <f ca="1">IFERROR(__xludf.DUMMYFUNCTION("""COMPUTED_VALUE"""),"No")</f>
        <v>No</v>
      </c>
      <c r="AB566" s="1" t="str">
        <f ca="1">IFERROR(__xludf.DUMMYFUNCTION("""COMPUTED_VALUE"""),"No")</f>
        <v>No</v>
      </c>
      <c r="AC566" s="1" t="str">
        <f ca="1">IFERROR(__xludf.DUMMYFUNCTION("""COMPUTED_VALUE"""),"No")</f>
        <v>No</v>
      </c>
      <c r="AD566" s="1" t="str">
        <f ca="1">IFERROR(__xludf.DUMMYFUNCTION("""COMPUTED_VALUE"""),"No")</f>
        <v>No</v>
      </c>
      <c r="AE566" s="1" t="str">
        <f ca="1">IFERROR(__xludf.DUMMYFUNCTION("""COMPUTED_VALUE"""),"No")</f>
        <v>No</v>
      </c>
      <c r="AF566" s="1"/>
      <c r="AG566" s="1" t="str">
        <f ca="1">IFERROR(__xludf.DUMMYFUNCTION("""COMPUTED_VALUE"""),"No")</f>
        <v>No</v>
      </c>
      <c r="AH566" s="1">
        <f ca="1">IFERROR(__xludf.DUMMYFUNCTION("""COMPUTED_VALUE"""),5)</f>
        <v>5</v>
      </c>
    </row>
    <row r="567" spans="1:34" ht="12.5">
      <c r="A567" s="1" t="str">
        <f ca="1">IFERROR(__xludf.DUMMYFUNCTION("""COMPUTED_VALUE"""),"20220811GAUCB")</f>
        <v>20220811GAUCB</v>
      </c>
      <c r="B567" s="1">
        <f ca="1">IFERROR(__xludf.DUMMYFUNCTION("""COMPUTED_VALUE"""),8)</f>
        <v>8</v>
      </c>
      <c r="C567" s="1">
        <f ca="1">IFERROR(__xludf.DUMMYFUNCTION("""COMPUTED_VALUE"""),11)</f>
        <v>11</v>
      </c>
      <c r="D567" s="1">
        <f ca="1">IFERROR(__xludf.DUMMYFUNCTION("""COMPUTED_VALUE"""),2022)</f>
        <v>2022</v>
      </c>
      <c r="E567" s="4">
        <f ca="1">IFERROR(__xludf.DUMMYFUNCTION("""COMPUTED_VALUE"""),44784)</f>
        <v>44784</v>
      </c>
      <c r="F567" s="1" t="str">
        <f ca="1">IFERROR(__xludf.DUMMYFUNCTION("""COMPUTED_VALUE"""),"Union County Primary School")</f>
        <v>Union County Primary School</v>
      </c>
      <c r="G567" s="1">
        <f ca="1">IFERROR(__xludf.DUMMYFUNCTION("""COMPUTED_VALUE"""),0)</f>
        <v>0</v>
      </c>
      <c r="H567" s="1">
        <f ca="1">IFERROR(__xludf.DUMMYFUNCTION("""COMPUTED_VALUE"""),0)</f>
        <v>0</v>
      </c>
      <c r="I567" s="1">
        <f ca="1">IFERROR(__xludf.DUMMYFUNCTION("""COMPUTED_VALUE"""),0)</f>
        <v>0</v>
      </c>
      <c r="J567" s="1">
        <f ca="1">IFERROR(__xludf.DUMMYFUNCTION("""COMPUTED_VALUE"""),0)</f>
        <v>0</v>
      </c>
      <c r="K567" s="1" t="str">
        <f ca="1">IFERROR(__xludf.DUMMYFUNCTION("""COMPUTED_VALUE"""),"Summer")</f>
        <v>Summer</v>
      </c>
      <c r="L567" s="1" t="str">
        <f ca="1">IFERROR(__xludf.DUMMYFUNCTION("""COMPUTED_VALUE"""),"Blairsville")</f>
        <v>Blairsville</v>
      </c>
      <c r="M567" s="1" t="str">
        <f ca="1">IFERROR(__xludf.DUMMYFUNCTION("""COMPUTED_VALUE"""),"GA")</f>
        <v>GA</v>
      </c>
      <c r="N567" s="1" t="str">
        <f ca="1">IFERROR(__xludf.DUMMYFUNCTION("""COMPUTED_VALUE"""),"Elementary")</f>
        <v>Elementary</v>
      </c>
      <c r="O567" s="1" t="str">
        <f ca="1">IFERROR(__xludf.DUMMYFUNCTION("""COMPUTED_VALUE"""),"Parking Lot")</f>
        <v>Parking Lot</v>
      </c>
      <c r="P567" s="1" t="str">
        <f ca="1">IFERROR(__xludf.DUMMYFUNCTION("""COMPUTED_VALUE"""),"Outside on School Property")</f>
        <v>Outside on School Property</v>
      </c>
      <c r="Q567" s="1" t="str">
        <f ca="1">IFERROR(__xludf.DUMMYFUNCTION("""COMPUTED_VALUE"""),"Yes")</f>
        <v>Yes</v>
      </c>
      <c r="R567" s="1" t="str">
        <f ca="1">IFERROR(__xludf.DUMMYFUNCTION("""COMPUTED_VALUE"""),"Afternoon Classes")</f>
        <v>Afternoon Classes</v>
      </c>
      <c r="S567" s="5">
        <f ca="1">IFERROR(__xludf.DUMMYFUNCTION("""COMPUTED_VALUE"""),0.59375)</f>
        <v>0.59375</v>
      </c>
      <c r="T567" s="1">
        <f ca="1">IFERROR(__xludf.DUMMYFUNCTION("""COMPUTED_VALUE"""),1)</f>
        <v>1</v>
      </c>
      <c r="U567" s="1" t="str">
        <f ca="1">IFERROR(__xludf.DUMMYFUNCTION("""COMPUTED_VALUE"""),"Maintenance employee fired multiple shots at a car in the school parking lot")</f>
        <v>Maintenance employee fired multiple shots at a car in the school parking lot</v>
      </c>
      <c r="V567" s="1" t="str">
        <f ca="1">IFERROR(__xludf.DUMMYFUNCTION("""COMPUTED_VALUE"""),"While teachers were conducting class lesson planning for the school year, a maintenance employee fired multiple shots at a vehicle in the school parking lot. Shooter fled the scene and was arrested following a manhunt. Charged with multiple felonies. ")</f>
        <v xml:space="preserve">While teachers were conducting class lesson planning for the school year, a maintenance employee fired multiple shots at a vehicle in the school parking lot. Shooter fled the scene and was arrested following a manhunt. Charged with multiple felonies. </v>
      </c>
      <c r="W567" s="1" t="str">
        <f ca="1">IFERROR(__xludf.DUMMYFUNCTION("""COMPUTED_VALUE"""),"Intentional Property Damage")</f>
        <v>Intentional Property Damage</v>
      </c>
      <c r="X567" s="1" t="str">
        <f ca="1">IFERROR(__xludf.DUMMYFUNCTION("""COMPUTED_VALUE"""),"Neither")</f>
        <v>Neither</v>
      </c>
      <c r="Y567" s="1" t="str">
        <f ca="1">IFERROR(__xludf.DUMMYFUNCTION("""COMPUTED_VALUE"""),"No")</f>
        <v>No</v>
      </c>
      <c r="Z567" s="1"/>
      <c r="AA567" s="1" t="str">
        <f ca="1">IFERROR(__xludf.DUMMYFUNCTION("""COMPUTED_VALUE"""),"No")</f>
        <v>No</v>
      </c>
      <c r="AB567" s="1" t="str">
        <f ca="1">IFERROR(__xludf.DUMMYFUNCTION("""COMPUTED_VALUE"""),"No")</f>
        <v>No</v>
      </c>
      <c r="AC567" s="1" t="str">
        <f ca="1">IFERROR(__xludf.DUMMYFUNCTION("""COMPUTED_VALUE"""),"No")</f>
        <v>No</v>
      </c>
      <c r="AD567" s="1" t="str">
        <f ca="1">IFERROR(__xludf.DUMMYFUNCTION("""COMPUTED_VALUE"""),"No")</f>
        <v>No</v>
      </c>
      <c r="AE567" s="1"/>
      <c r="AF567" s="1"/>
      <c r="AG567" s="1" t="str">
        <f ca="1">IFERROR(__xludf.DUMMYFUNCTION("""COMPUTED_VALUE"""),"No")</f>
        <v>No</v>
      </c>
      <c r="AH567" s="1">
        <f ca="1">IFERROR(__xludf.DUMMYFUNCTION("""COMPUTED_VALUE"""),99)</f>
        <v>99</v>
      </c>
    </row>
    <row r="568" spans="1:34" ht="12.5">
      <c r="A568" s="1" t="str">
        <f ca="1">IFERROR(__xludf.DUMMYFUNCTION("""COMPUTED_VALUE"""),"20220810GAMCA")</f>
        <v>20220810GAMCA</v>
      </c>
      <c r="B568" s="1">
        <f ca="1">IFERROR(__xludf.DUMMYFUNCTION("""COMPUTED_VALUE"""),8)</f>
        <v>8</v>
      </c>
      <c r="C568" s="1">
        <f ca="1">IFERROR(__xludf.DUMMYFUNCTION("""COMPUTED_VALUE"""),10)</f>
        <v>10</v>
      </c>
      <c r="D568" s="1">
        <f ca="1">IFERROR(__xludf.DUMMYFUNCTION("""COMPUTED_VALUE"""),2022)</f>
        <v>2022</v>
      </c>
      <c r="E568" s="4">
        <f ca="1">IFERROR(__xludf.DUMMYFUNCTION("""COMPUTED_VALUE"""),44783)</f>
        <v>44783</v>
      </c>
      <c r="F568" s="1" t="str">
        <f ca="1">IFERROR(__xludf.DUMMYFUNCTION("""COMPUTED_VALUE"""),"McDonough High School")</f>
        <v>McDonough High School</v>
      </c>
      <c r="G568" s="1">
        <f ca="1">IFERROR(__xludf.DUMMYFUNCTION("""COMPUTED_VALUE"""),0)</f>
        <v>0</v>
      </c>
      <c r="H568" s="1">
        <f ca="1">IFERROR(__xludf.DUMMYFUNCTION("""COMPUTED_VALUE"""),0)</f>
        <v>0</v>
      </c>
      <c r="I568" s="1">
        <f ca="1">IFERROR(__xludf.DUMMYFUNCTION("""COMPUTED_VALUE"""),0)</f>
        <v>0</v>
      </c>
      <c r="J568" s="1">
        <f ca="1">IFERROR(__xludf.DUMMYFUNCTION("""COMPUTED_VALUE"""),0)</f>
        <v>0</v>
      </c>
      <c r="K568" s="1" t="str">
        <f ca="1">IFERROR(__xludf.DUMMYFUNCTION("""COMPUTED_VALUE"""),"Summer")</f>
        <v>Summer</v>
      </c>
      <c r="L568" s="1" t="str">
        <f ca="1">IFERROR(__xludf.DUMMYFUNCTION("""COMPUTED_VALUE"""),"McDonough")</f>
        <v>McDonough</v>
      </c>
      <c r="M568" s="1" t="str">
        <f ca="1">IFERROR(__xludf.DUMMYFUNCTION("""COMPUTED_VALUE"""),"GA")</f>
        <v>GA</v>
      </c>
      <c r="N568" s="1" t="str">
        <f ca="1">IFERROR(__xludf.DUMMYFUNCTION("""COMPUTED_VALUE"""),"High")</f>
        <v>High</v>
      </c>
      <c r="O568" s="1" t="str">
        <f ca="1">IFERROR(__xludf.DUMMYFUNCTION("""COMPUTED_VALUE"""),"Gym")</f>
        <v>Gym</v>
      </c>
      <c r="P568" s="1" t="str">
        <f ca="1">IFERROR(__xludf.DUMMYFUNCTION("""COMPUTED_VALUE"""),"Inside School Building")</f>
        <v>Inside School Building</v>
      </c>
      <c r="Q568" s="1" t="str">
        <f ca="1">IFERROR(__xludf.DUMMYFUNCTION("""COMPUTED_VALUE"""),"Yes")</f>
        <v>Yes</v>
      </c>
      <c r="R568" s="1" t="str">
        <f ca="1">IFERROR(__xludf.DUMMYFUNCTION("""COMPUTED_VALUE"""),"Morning Classes")</f>
        <v>Morning Classes</v>
      </c>
      <c r="S568" s="5">
        <f ca="1">IFERROR(__xludf.DUMMYFUNCTION("""COMPUTED_VALUE"""),0.479166666666666)</f>
        <v>0.47916666666666602</v>
      </c>
      <c r="T568" s="1">
        <f ca="1">IFERROR(__xludf.DUMMYFUNCTION("""COMPUTED_VALUE"""),1)</f>
        <v>1</v>
      </c>
      <c r="U568" s="1" t="str">
        <f ca="1">IFERROR(__xludf.DUMMYFUNCTION("""COMPUTED_VALUE"""),"Gun inside backpack discharged when student dropped bag inside the gym")</f>
        <v>Gun inside backpack discharged when student dropped bag inside the gym</v>
      </c>
      <c r="V568" s="1" t="str">
        <f ca="1">IFERROR(__xludf.DUMMYFUNCTION("""COMPUTED_VALUE"""),"A gun discharged inside the backpack of an 18-year-old student when he dropped it in the gym. School went into lockdown. SRO found shooter and recovered two guns from his backpack. No injuries.")</f>
        <v>A gun discharged inside the backpack of an 18-year-old student when he dropped it in the gym. School went into lockdown. SRO found shooter and recovered two guns from his backpack. No injuries.</v>
      </c>
      <c r="W568" s="1" t="str">
        <f ca="1">IFERROR(__xludf.DUMMYFUNCTION("""COMPUTED_VALUE"""),"Accidental")</f>
        <v>Accidental</v>
      </c>
      <c r="X568" s="1" t="str">
        <f ca="1">IFERROR(__xludf.DUMMYFUNCTION("""COMPUTED_VALUE"""),"Neither")</f>
        <v>Neither</v>
      </c>
      <c r="Y568" s="1" t="str">
        <f ca="1">IFERROR(__xludf.DUMMYFUNCTION("""COMPUTED_VALUE"""),"No")</f>
        <v>No</v>
      </c>
      <c r="Z568" s="1"/>
      <c r="AA568" s="1" t="str">
        <f ca="1">IFERROR(__xludf.DUMMYFUNCTION("""COMPUTED_VALUE"""),"No")</f>
        <v>No</v>
      </c>
      <c r="AB568" s="1" t="str">
        <f ca="1">IFERROR(__xludf.DUMMYFUNCTION("""COMPUTED_VALUE"""),"No")</f>
        <v>No</v>
      </c>
      <c r="AC568" s="1" t="str">
        <f ca="1">IFERROR(__xludf.DUMMYFUNCTION("""COMPUTED_VALUE"""),"No")</f>
        <v>No</v>
      </c>
      <c r="AD568" s="1" t="str">
        <f ca="1">IFERROR(__xludf.DUMMYFUNCTION("""COMPUTED_VALUE"""),"No")</f>
        <v>No</v>
      </c>
      <c r="AE568" s="1" t="str">
        <f ca="1">IFERROR(__xludf.DUMMYFUNCTION("""COMPUTED_VALUE"""),"No")</f>
        <v>No</v>
      </c>
      <c r="AF568" s="1" t="str">
        <f ca="1">IFERROR(__xludf.DUMMYFUNCTION("""COMPUTED_VALUE"""),"No")</f>
        <v>No</v>
      </c>
      <c r="AG568" s="1" t="str">
        <f ca="1">IFERROR(__xludf.DUMMYFUNCTION("""COMPUTED_VALUE"""),"No")</f>
        <v>No</v>
      </c>
      <c r="AH568" s="1">
        <f ca="1">IFERROR(__xludf.DUMMYFUNCTION("""COMPUTED_VALUE"""),1)</f>
        <v>1</v>
      </c>
    </row>
    <row r="569" spans="1:34" ht="12.5">
      <c r="A569" s="1" t="str">
        <f ca="1">IFERROR(__xludf.DUMMYFUNCTION("""COMPUTED_VALUE"""),"20220809PACHP")</f>
        <v>20220809PACHP</v>
      </c>
      <c r="B569" s="1">
        <f ca="1">IFERROR(__xludf.DUMMYFUNCTION("""COMPUTED_VALUE"""),8)</f>
        <v>8</v>
      </c>
      <c r="C569" s="1">
        <f ca="1">IFERROR(__xludf.DUMMYFUNCTION("""COMPUTED_VALUE"""),9)</f>
        <v>9</v>
      </c>
      <c r="D569" s="1">
        <f ca="1">IFERROR(__xludf.DUMMYFUNCTION("""COMPUTED_VALUE"""),2022)</f>
        <v>2022</v>
      </c>
      <c r="E569" s="4">
        <f ca="1">IFERROR(__xludf.DUMMYFUNCTION("""COMPUTED_VALUE"""),44781)</f>
        <v>44781</v>
      </c>
      <c r="F569" s="1" t="str">
        <f ca="1">IFERROR(__xludf.DUMMYFUNCTION("""COMPUTED_VALUE"""),"Charles B. Warring Elementary School")</f>
        <v>Charles B. Warring Elementary School</v>
      </c>
      <c r="G569" s="1">
        <f ca="1">IFERROR(__xludf.DUMMYFUNCTION("""COMPUTED_VALUE"""),1)</f>
        <v>1</v>
      </c>
      <c r="H569" s="1">
        <f ca="1">IFERROR(__xludf.DUMMYFUNCTION("""COMPUTED_VALUE"""),1)</f>
        <v>1</v>
      </c>
      <c r="I569" s="1">
        <f ca="1">IFERROR(__xludf.DUMMYFUNCTION("""COMPUTED_VALUE"""),2)</f>
        <v>2</v>
      </c>
      <c r="J569" s="1">
        <f ca="1">IFERROR(__xludf.DUMMYFUNCTION("""COMPUTED_VALUE"""),0)</f>
        <v>0</v>
      </c>
      <c r="K569" s="1" t="str">
        <f ca="1">IFERROR(__xludf.DUMMYFUNCTION("""COMPUTED_VALUE"""),"Summer")</f>
        <v>Summer</v>
      </c>
      <c r="L569" s="1" t="str">
        <f ca="1">IFERROR(__xludf.DUMMYFUNCTION("""COMPUTED_VALUE"""),"Poughkeepsie")</f>
        <v>Poughkeepsie</v>
      </c>
      <c r="M569" s="1" t="str">
        <f ca="1">IFERROR(__xludf.DUMMYFUNCTION("""COMPUTED_VALUE"""),"NY")</f>
        <v>NY</v>
      </c>
      <c r="N569" s="1" t="str">
        <f ca="1">IFERROR(__xludf.DUMMYFUNCTION("""COMPUTED_VALUE"""),"Elementary")</f>
        <v>Elementary</v>
      </c>
      <c r="O569" s="1" t="str">
        <f ca="1">IFERROR(__xludf.DUMMYFUNCTION("""COMPUTED_VALUE"""),"Front of School")</f>
        <v>Front of School</v>
      </c>
      <c r="P569" s="1" t="str">
        <f ca="1">IFERROR(__xludf.DUMMYFUNCTION("""COMPUTED_VALUE"""),"Outside on School Property")</f>
        <v>Outside on School Property</v>
      </c>
      <c r="Q569" s="1" t="str">
        <f ca="1">IFERROR(__xludf.DUMMYFUNCTION("""COMPUTED_VALUE"""),"No")</f>
        <v>No</v>
      </c>
      <c r="R569" s="1" t="str">
        <f ca="1">IFERROR(__xludf.DUMMYFUNCTION("""COMPUTED_VALUE"""),"Night")</f>
        <v>Night</v>
      </c>
      <c r="S569" s="5">
        <f ca="1">IFERROR(__xludf.DUMMYFUNCTION("""COMPUTED_VALUE"""),0.0722222222222222)</f>
        <v>7.2222222222222202E-2</v>
      </c>
      <c r="T569" s="1">
        <f ca="1">IFERROR(__xludf.DUMMYFUNCTION("""COMPUTED_VALUE"""),1)</f>
        <v>1</v>
      </c>
      <c r="U569" s="1" t="str">
        <f ca="1">IFERROR(__xludf.DUMMYFUNCTION("""COMPUTED_VALUE"""),"Two men shot in front of school")</f>
        <v>Two men shot in front of school</v>
      </c>
      <c r="V569" s="1" t="str">
        <f ca="1">IFERROR(__xludf.DUMMYFUNCTION("""COMPUTED_VALUE"""),"Two men were shot in front of the school. One man was killed and his body was found next to a vehicle in front of the building. Second man was wounded and walked to a hospital. Shooter fled.")</f>
        <v>Two men were shot in front of the school. One man was killed and his body was found next to a vehicle in front of the building. Second man was wounded and walked to a hospital. Shooter fled.</v>
      </c>
      <c r="W569" s="1"/>
      <c r="X569" s="1"/>
      <c r="Y569" s="1" t="str">
        <f ca="1">IFERROR(__xludf.DUMMYFUNCTION("""COMPUTED_VALUE"""),"No")</f>
        <v>No</v>
      </c>
      <c r="Z569" s="1"/>
      <c r="AA569" s="1" t="str">
        <f ca="1">IFERROR(__xludf.DUMMYFUNCTION("""COMPUTED_VALUE"""),"No")</f>
        <v>No</v>
      </c>
      <c r="AB569" s="1" t="str">
        <f ca="1">IFERROR(__xludf.DUMMYFUNCTION("""COMPUTED_VALUE"""),"No")</f>
        <v>No</v>
      </c>
      <c r="AC569" s="1" t="str">
        <f ca="1">IFERROR(__xludf.DUMMYFUNCTION("""COMPUTED_VALUE"""),"No")</f>
        <v>No</v>
      </c>
      <c r="AD569" s="1" t="str">
        <f ca="1">IFERROR(__xludf.DUMMYFUNCTION("""COMPUTED_VALUE"""),"No")</f>
        <v>No</v>
      </c>
      <c r="AE569" s="1" t="str">
        <f ca="1">IFERROR(__xludf.DUMMYFUNCTION("""COMPUTED_VALUE"""),"No")</f>
        <v>No</v>
      </c>
      <c r="AF569" s="1"/>
      <c r="AG569" s="1" t="str">
        <f ca="1">IFERROR(__xludf.DUMMYFUNCTION("""COMPUTED_VALUE"""),"No")</f>
        <v>No</v>
      </c>
      <c r="AH569" s="1"/>
    </row>
    <row r="570" spans="1:34" ht="12.5">
      <c r="A570" s="1" t="str">
        <f ca="1">IFERROR(__xludf.DUMMYFUNCTION("""COMPUTED_VALUE"""),"20220805MATHL")</f>
        <v>20220805MATHL</v>
      </c>
      <c r="B570" s="1">
        <f ca="1">IFERROR(__xludf.DUMMYFUNCTION("""COMPUTED_VALUE"""),8)</f>
        <v>8</v>
      </c>
      <c r="C570" s="1">
        <f ca="1">IFERROR(__xludf.DUMMYFUNCTION("""COMPUTED_VALUE"""),5)</f>
        <v>5</v>
      </c>
      <c r="D570" s="1">
        <f ca="1">IFERROR(__xludf.DUMMYFUNCTION("""COMPUTED_VALUE"""),2022)</f>
        <v>2022</v>
      </c>
      <c r="E570" s="4">
        <f ca="1">IFERROR(__xludf.DUMMYFUNCTION("""COMPUTED_VALUE"""),44778)</f>
        <v>44778</v>
      </c>
      <c r="F570" s="1" t="str">
        <f ca="1">IFERROR(__xludf.DUMMYFUNCTION("""COMPUTED_VALUE"""),"Thurgood Marshall Middle School")</f>
        <v>Thurgood Marshall Middle School</v>
      </c>
      <c r="G570" s="1">
        <f ca="1">IFERROR(__xludf.DUMMYFUNCTION("""COMPUTED_VALUE"""),0)</f>
        <v>0</v>
      </c>
      <c r="H570" s="1">
        <f ca="1">IFERROR(__xludf.DUMMYFUNCTION("""COMPUTED_VALUE"""),0)</f>
        <v>0</v>
      </c>
      <c r="I570" s="1">
        <f ca="1">IFERROR(__xludf.DUMMYFUNCTION("""COMPUTED_VALUE"""),0)</f>
        <v>0</v>
      </c>
      <c r="J570" s="1">
        <f ca="1">IFERROR(__xludf.DUMMYFUNCTION("""COMPUTED_VALUE"""),0)</f>
        <v>0</v>
      </c>
      <c r="K570" s="1" t="str">
        <f ca="1">IFERROR(__xludf.DUMMYFUNCTION("""COMPUTED_VALUE"""),"Summer")</f>
        <v>Summer</v>
      </c>
      <c r="L570" s="1" t="str">
        <f ca="1">IFERROR(__xludf.DUMMYFUNCTION("""COMPUTED_VALUE"""),"Lynn")</f>
        <v>Lynn</v>
      </c>
      <c r="M570" s="1" t="str">
        <f ca="1">IFERROR(__xludf.DUMMYFUNCTION("""COMPUTED_VALUE"""),"MA")</f>
        <v>MA</v>
      </c>
      <c r="N570" s="1" t="str">
        <f ca="1">IFERROR(__xludf.DUMMYFUNCTION("""COMPUTED_VALUE"""),"Middle")</f>
        <v>Middle</v>
      </c>
      <c r="O570" s="1" t="str">
        <f ca="1">IFERROR(__xludf.DUMMYFUNCTION("""COMPUTED_VALUE"""),"Parking Lot")</f>
        <v>Parking Lot</v>
      </c>
      <c r="P570" s="1" t="str">
        <f ca="1">IFERROR(__xludf.DUMMYFUNCTION("""COMPUTED_VALUE"""),"Outside on School Property")</f>
        <v>Outside on School Property</v>
      </c>
      <c r="Q570" s="1" t="str">
        <f ca="1">IFERROR(__xludf.DUMMYFUNCTION("""COMPUTED_VALUE"""),"No")</f>
        <v>No</v>
      </c>
      <c r="R570" s="1" t="str">
        <f ca="1">IFERROR(__xludf.DUMMYFUNCTION("""COMPUTED_VALUE"""),"Sport Event")</f>
        <v>Sport Event</v>
      </c>
      <c r="S570" s="5">
        <f ca="1">IFERROR(__xludf.DUMMYFUNCTION("""COMPUTED_VALUE"""),0.944444444444444)</f>
        <v>0.94444444444444398</v>
      </c>
      <c r="T570" s="1">
        <f ca="1">IFERROR(__xludf.DUMMYFUNCTION("""COMPUTED_VALUE"""),1)</f>
        <v>1</v>
      </c>
      <c r="U570" s="1" t="str">
        <f ca="1">IFERROR(__xludf.DUMMYFUNCTION("""COMPUTED_VALUE"""),"Shots fired during fight in parking lot during basketball tournament")</f>
        <v>Shots fired during fight in parking lot during basketball tournament</v>
      </c>
      <c r="V570" s="1" t="str">
        <f ca="1">IFERROR(__xludf.DUMMYFUNCTION("""COMPUTED_VALUE"""),"A 25-year-old man fired 3 shots in the school parking lot during a fight outside a basketball tournament. No injuries. Remainder of tournament was cancelled. ")</f>
        <v xml:space="preserve">A 25-year-old man fired 3 shots in the school parking lot during a fight outside a basketball tournament. No injuries. Remainder of tournament was cancelled. </v>
      </c>
      <c r="W570" s="1" t="str">
        <f ca="1">IFERROR(__xludf.DUMMYFUNCTION("""COMPUTED_VALUE"""),"Escalation of Dispute")</f>
        <v>Escalation of Dispute</v>
      </c>
      <c r="X570" s="1" t="str">
        <f ca="1">IFERROR(__xludf.DUMMYFUNCTION("""COMPUTED_VALUE"""),"Victims Targeted")</f>
        <v>Victims Targeted</v>
      </c>
      <c r="Y570" s="1" t="str">
        <f ca="1">IFERROR(__xludf.DUMMYFUNCTION("""COMPUTED_VALUE"""),"No")</f>
        <v>No</v>
      </c>
      <c r="Z570" s="1"/>
      <c r="AA570" s="1" t="str">
        <f ca="1">IFERROR(__xludf.DUMMYFUNCTION("""COMPUTED_VALUE"""),"No")</f>
        <v>No</v>
      </c>
      <c r="AB570" s="1" t="str">
        <f ca="1">IFERROR(__xludf.DUMMYFUNCTION("""COMPUTED_VALUE"""),"No")</f>
        <v>No</v>
      </c>
      <c r="AC570" s="1" t="str">
        <f ca="1">IFERROR(__xludf.DUMMYFUNCTION("""COMPUTED_VALUE"""),"No")</f>
        <v>No</v>
      </c>
      <c r="AD570" s="1" t="str">
        <f ca="1">IFERROR(__xludf.DUMMYFUNCTION("""COMPUTED_VALUE"""),"No")</f>
        <v>No</v>
      </c>
      <c r="AE570" s="1" t="str">
        <f ca="1">IFERROR(__xludf.DUMMYFUNCTION("""COMPUTED_VALUE"""),"No")</f>
        <v>No</v>
      </c>
      <c r="AF570" s="1" t="str">
        <f ca="1">IFERROR(__xludf.DUMMYFUNCTION("""COMPUTED_VALUE"""),"No")</f>
        <v>No</v>
      </c>
      <c r="AG570" s="1" t="str">
        <f ca="1">IFERROR(__xludf.DUMMYFUNCTION("""COMPUTED_VALUE"""),"No")</f>
        <v>No</v>
      </c>
      <c r="AH570" s="1">
        <f ca="1">IFERROR(__xludf.DUMMYFUNCTION("""COMPUTED_VALUE"""),3)</f>
        <v>3</v>
      </c>
    </row>
    <row r="571" spans="1:34" ht="12.5">
      <c r="A571" s="1" t="str">
        <f ca="1">IFERROR(__xludf.DUMMYFUNCTION("""COMPUTED_VALUE"""),"20220805GAJOJ")</f>
        <v>20220805GAJOJ</v>
      </c>
      <c r="B571" s="1">
        <f ca="1">IFERROR(__xludf.DUMMYFUNCTION("""COMPUTED_VALUE"""),8)</f>
        <v>8</v>
      </c>
      <c r="C571" s="1">
        <f ca="1">IFERROR(__xludf.DUMMYFUNCTION("""COMPUTED_VALUE"""),5)</f>
        <v>5</v>
      </c>
      <c r="D571" s="1">
        <f ca="1">IFERROR(__xludf.DUMMYFUNCTION("""COMPUTED_VALUE"""),2022)</f>
        <v>2022</v>
      </c>
      <c r="E571" s="4">
        <f ca="1">IFERROR(__xludf.DUMMYFUNCTION("""COMPUTED_VALUE"""),44778)</f>
        <v>44778</v>
      </c>
      <c r="F571" s="1" t="str">
        <f ca="1">IFERROR(__xludf.DUMMYFUNCTION("""COMPUTED_VALUE"""),"Johnson County High School")</f>
        <v>Johnson County High School</v>
      </c>
      <c r="G571" s="1">
        <f ca="1">IFERROR(__xludf.DUMMYFUNCTION("""COMPUTED_VALUE"""),0)</f>
        <v>0</v>
      </c>
      <c r="H571" s="1">
        <f ca="1">IFERROR(__xludf.DUMMYFUNCTION("""COMPUTED_VALUE"""),0)</f>
        <v>0</v>
      </c>
      <c r="I571" s="1">
        <f ca="1">IFERROR(__xludf.DUMMYFUNCTION("""COMPUTED_VALUE"""),0)</f>
        <v>0</v>
      </c>
      <c r="J571" s="1">
        <f ca="1">IFERROR(__xludf.DUMMYFUNCTION("""COMPUTED_VALUE"""),0)</f>
        <v>0</v>
      </c>
      <c r="K571" s="1" t="str">
        <f ca="1">IFERROR(__xludf.DUMMYFUNCTION("""COMPUTED_VALUE"""),"Summer")</f>
        <v>Summer</v>
      </c>
      <c r="L571" s="1" t="str">
        <f ca="1">IFERROR(__xludf.DUMMYFUNCTION("""COMPUTED_VALUE"""),"Johnson County")</f>
        <v>Johnson County</v>
      </c>
      <c r="M571" s="1" t="str">
        <f ca="1">IFERROR(__xludf.DUMMYFUNCTION("""COMPUTED_VALUE"""),"GA")</f>
        <v>GA</v>
      </c>
      <c r="N571" s="1" t="str">
        <f ca="1">IFERROR(__xludf.DUMMYFUNCTION("""COMPUTED_VALUE"""),"High")</f>
        <v>High</v>
      </c>
      <c r="O571" s="1" t="str">
        <f ca="1">IFERROR(__xludf.DUMMYFUNCTION("""COMPUTED_VALUE"""),"Football Field/Track")</f>
        <v>Football Field/Track</v>
      </c>
      <c r="P571" s="1" t="str">
        <f ca="1">IFERROR(__xludf.DUMMYFUNCTION("""COMPUTED_VALUE"""),"Outside on School Property")</f>
        <v>Outside on School Property</v>
      </c>
      <c r="Q571" s="1" t="str">
        <f ca="1">IFERROR(__xludf.DUMMYFUNCTION("""COMPUTED_VALUE"""),"No")</f>
        <v>No</v>
      </c>
      <c r="R571" s="1" t="str">
        <f ca="1">IFERROR(__xludf.DUMMYFUNCTION("""COMPUTED_VALUE"""),"Sport Event")</f>
        <v>Sport Event</v>
      </c>
      <c r="S571" s="5">
        <f ca="1">IFERROR(__xludf.DUMMYFUNCTION("""COMPUTED_VALUE"""),0.875)</f>
        <v>0.875</v>
      </c>
      <c r="T571" s="1">
        <f ca="1">IFERROR(__xludf.DUMMYFUNCTION("""COMPUTED_VALUE"""),1)</f>
        <v>1</v>
      </c>
      <c r="U571" s="1" t="str">
        <f ca="1">IFERROR(__xludf.DUMMYFUNCTION("""COMPUTED_VALUE"""),"Man fired 12 shots into air next to stadium during football game")</f>
        <v>Man fired 12 shots into air next to stadium during football game</v>
      </c>
      <c r="V571" s="1" t="str">
        <f ca="1">IFERROR(__xludf.DUMMYFUNCTION("""COMPUTED_VALUE"""),"27-year-old male fired 12 shots into the air next to the football stadium during a high school game. Security witnessed shooting and immediately ran toward the shooter, then subdued him. Players and attendees fled from the stadium. Man was arrested and ch"&amp;"arged with numerous felonies. No injuries.")</f>
        <v>27-year-old male fired 12 shots into the air next to the football stadium during a high school game. Security witnessed shooting and immediately ran toward the shooter, then subdued him. Players and attendees fled from the stadium. Man was arrested and charged with numerous felonies. No injuries.</v>
      </c>
      <c r="W571" s="1"/>
      <c r="X571" s="1" t="str">
        <f ca="1">IFERROR(__xludf.DUMMYFUNCTION("""COMPUTED_VALUE"""),"Neither")</f>
        <v>Neither</v>
      </c>
      <c r="Y571" s="1" t="str">
        <f ca="1">IFERROR(__xludf.DUMMYFUNCTION("""COMPUTED_VALUE"""),"No")</f>
        <v>No</v>
      </c>
      <c r="Z571" s="1"/>
      <c r="AA571" s="1" t="str">
        <f ca="1">IFERROR(__xludf.DUMMYFUNCTION("""COMPUTED_VALUE"""),"No")</f>
        <v>No</v>
      </c>
      <c r="AB571" s="1" t="str">
        <f ca="1">IFERROR(__xludf.DUMMYFUNCTION("""COMPUTED_VALUE"""),"No")</f>
        <v>No</v>
      </c>
      <c r="AC571" s="1" t="str">
        <f ca="1">IFERROR(__xludf.DUMMYFUNCTION("""COMPUTED_VALUE"""),"No")</f>
        <v>No</v>
      </c>
      <c r="AD571" s="1" t="str">
        <f ca="1">IFERROR(__xludf.DUMMYFUNCTION("""COMPUTED_VALUE"""),"No")</f>
        <v>No</v>
      </c>
      <c r="AE571" s="1" t="str">
        <f ca="1">IFERROR(__xludf.DUMMYFUNCTION("""COMPUTED_VALUE"""),"No")</f>
        <v>No</v>
      </c>
      <c r="AF571" s="1"/>
      <c r="AG571" s="1" t="str">
        <f ca="1">IFERROR(__xludf.DUMMYFUNCTION("""COMPUTED_VALUE"""),"Yes")</f>
        <v>Yes</v>
      </c>
      <c r="AH571" s="1">
        <f ca="1">IFERROR(__xludf.DUMMYFUNCTION("""COMPUTED_VALUE"""),12)</f>
        <v>12</v>
      </c>
    </row>
    <row r="572" spans="1:34" ht="12.5">
      <c r="A572" s="1" t="str">
        <f ca="1">IFERROR(__xludf.DUMMYFUNCTION("""COMPUTED_VALUE"""),"20220803PALEP")</f>
        <v>20220803PALEP</v>
      </c>
      <c r="B572" s="1">
        <f ca="1">IFERROR(__xludf.DUMMYFUNCTION("""COMPUTED_VALUE"""),8)</f>
        <v>8</v>
      </c>
      <c r="C572" s="1">
        <f ca="1">IFERROR(__xludf.DUMMYFUNCTION("""COMPUTED_VALUE"""),3)</f>
        <v>3</v>
      </c>
      <c r="D572" s="1">
        <f ca="1">IFERROR(__xludf.DUMMYFUNCTION("""COMPUTED_VALUE"""),2022)</f>
        <v>2022</v>
      </c>
      <c r="E572" s="4">
        <f ca="1">IFERROR(__xludf.DUMMYFUNCTION("""COMPUTED_VALUE"""),44776)</f>
        <v>44776</v>
      </c>
      <c r="F572" s="1" t="str">
        <f ca="1">IFERROR(__xludf.DUMMYFUNCTION("""COMPUTED_VALUE"""),"Lewis Elkin Elementary School")</f>
        <v>Lewis Elkin Elementary School</v>
      </c>
      <c r="G572" s="1">
        <f ca="1">IFERROR(__xludf.DUMMYFUNCTION("""COMPUTED_VALUE"""),1)</f>
        <v>1</v>
      </c>
      <c r="H572" s="1">
        <f ca="1">IFERROR(__xludf.DUMMYFUNCTION("""COMPUTED_VALUE"""),1)</f>
        <v>1</v>
      </c>
      <c r="I572" s="1">
        <f ca="1">IFERROR(__xludf.DUMMYFUNCTION("""COMPUTED_VALUE"""),2)</f>
        <v>2</v>
      </c>
      <c r="J572" s="1">
        <f ca="1">IFERROR(__xludf.DUMMYFUNCTION("""COMPUTED_VALUE"""),0)</f>
        <v>0</v>
      </c>
      <c r="K572" s="1" t="str">
        <f ca="1">IFERROR(__xludf.DUMMYFUNCTION("""COMPUTED_VALUE"""),"Summer")</f>
        <v>Summer</v>
      </c>
      <c r="L572" s="1" t="str">
        <f ca="1">IFERROR(__xludf.DUMMYFUNCTION("""COMPUTED_VALUE"""),"Philadelphia")</f>
        <v>Philadelphia</v>
      </c>
      <c r="M572" s="1" t="str">
        <f ca="1">IFERROR(__xludf.DUMMYFUNCTION("""COMPUTED_VALUE"""),"PA")</f>
        <v>PA</v>
      </c>
      <c r="N572" s="1" t="str">
        <f ca="1">IFERROR(__xludf.DUMMYFUNCTION("""COMPUTED_VALUE"""),"Elementary")</f>
        <v>Elementary</v>
      </c>
      <c r="O572" s="1" t="str">
        <f ca="1">IFERROR(__xludf.DUMMYFUNCTION("""COMPUTED_VALUE"""),"Playground")</f>
        <v>Playground</v>
      </c>
      <c r="P572" s="1" t="str">
        <f ca="1">IFERROR(__xludf.DUMMYFUNCTION("""COMPUTED_VALUE"""),"Outside on School Property")</f>
        <v>Outside on School Property</v>
      </c>
      <c r="Q572" s="1" t="str">
        <f ca="1">IFERROR(__xludf.DUMMYFUNCTION("""COMPUTED_VALUE"""),"No")</f>
        <v>No</v>
      </c>
      <c r="R572" s="1" t="str">
        <f ca="1">IFERROR(__xludf.DUMMYFUNCTION("""COMPUTED_VALUE"""),"Night")</f>
        <v>Night</v>
      </c>
      <c r="S572" s="5">
        <f ca="1">IFERROR(__xludf.DUMMYFUNCTION("""COMPUTED_VALUE"""),0.916666666666666)</f>
        <v>0.91666666666666596</v>
      </c>
      <c r="T572" s="1">
        <f ca="1">IFERROR(__xludf.DUMMYFUNCTION("""COMPUTED_VALUE"""),1)</f>
        <v>1</v>
      </c>
      <c r="U572" s="1" t="str">
        <f ca="1">IFERROR(__xludf.DUMMYFUNCTION("""COMPUTED_VALUE"""),"2 men shot near school playground")</f>
        <v>2 men shot near school playground</v>
      </c>
      <c r="V572" s="1" t="str">
        <f ca="1">IFERROR(__xludf.DUMMYFUNCTION("""COMPUTED_VALUE"""),"A 26-year-old man was fatally shot and a 24-year-old man were wounded near the playground of the elementary school. Police found 16 shell casings within feet of the playground. No children were present at the time of the shooting. Shooter fled.")</f>
        <v>A 26-year-old man was fatally shot and a 24-year-old man were wounded near the playground of the elementary school. Police found 16 shell casings within feet of the playground. No children were present at the time of the shooting. Shooter fled.</v>
      </c>
      <c r="W572" s="1"/>
      <c r="X572" s="1" t="str">
        <f ca="1">IFERROR(__xludf.DUMMYFUNCTION("""COMPUTED_VALUE"""),"Victims Targeted")</f>
        <v>Victims Targeted</v>
      </c>
      <c r="Y572" s="1" t="str">
        <f ca="1">IFERROR(__xludf.DUMMYFUNCTION("""COMPUTED_VALUE"""),"No")</f>
        <v>No</v>
      </c>
      <c r="Z572" s="1"/>
      <c r="AA572" s="1" t="str">
        <f ca="1">IFERROR(__xludf.DUMMYFUNCTION("""COMPUTED_VALUE"""),"No")</f>
        <v>No</v>
      </c>
      <c r="AB572" s="1" t="str">
        <f ca="1">IFERROR(__xludf.DUMMYFUNCTION("""COMPUTED_VALUE"""),"No")</f>
        <v>No</v>
      </c>
      <c r="AC572" s="1" t="str">
        <f ca="1">IFERROR(__xludf.DUMMYFUNCTION("""COMPUTED_VALUE"""),"No")</f>
        <v>No</v>
      </c>
      <c r="AD572" s="1" t="str">
        <f ca="1">IFERROR(__xludf.DUMMYFUNCTION("""COMPUTED_VALUE"""),"No")</f>
        <v>No</v>
      </c>
      <c r="AE572" s="1" t="str">
        <f ca="1">IFERROR(__xludf.DUMMYFUNCTION("""COMPUTED_VALUE"""),"No")</f>
        <v>No</v>
      </c>
      <c r="AF572" s="1"/>
      <c r="AG572" s="1" t="str">
        <f ca="1">IFERROR(__xludf.DUMMYFUNCTION("""COMPUTED_VALUE"""),"No")</f>
        <v>No</v>
      </c>
      <c r="AH572" s="1">
        <f ca="1">IFERROR(__xludf.DUMMYFUNCTION("""COMPUTED_VALUE"""),16)</f>
        <v>16</v>
      </c>
    </row>
    <row r="573" spans="1:34" ht="12.5">
      <c r="A573" s="1" t="str">
        <f ca="1">IFERROR(__xludf.DUMMYFUNCTION("""COMPUTED_VALUE"""),"20220731CAOAO")</f>
        <v>20220731CAOAO</v>
      </c>
      <c r="B573" s="1">
        <f ca="1">IFERROR(__xludf.DUMMYFUNCTION("""COMPUTED_VALUE"""),7)</f>
        <v>7</v>
      </c>
      <c r="C573" s="1">
        <f ca="1">IFERROR(__xludf.DUMMYFUNCTION("""COMPUTED_VALUE"""),31)</f>
        <v>31</v>
      </c>
      <c r="D573" s="1">
        <f ca="1">IFERROR(__xludf.DUMMYFUNCTION("""COMPUTED_VALUE"""),2022)</f>
        <v>2022</v>
      </c>
      <c r="E573" s="4">
        <f ca="1">IFERROR(__xludf.DUMMYFUNCTION("""COMPUTED_VALUE"""),44773)</f>
        <v>44773</v>
      </c>
      <c r="F573" s="1" t="str">
        <f ca="1">IFERROR(__xludf.DUMMYFUNCTION("""COMPUTED_VALUE"""),"Oakland Technical High School")</f>
        <v>Oakland Technical High School</v>
      </c>
      <c r="G573" s="1">
        <f ca="1">IFERROR(__xludf.DUMMYFUNCTION("""COMPUTED_VALUE"""),0)</f>
        <v>0</v>
      </c>
      <c r="H573" s="1">
        <f ca="1">IFERROR(__xludf.DUMMYFUNCTION("""COMPUTED_VALUE"""),3)</f>
        <v>3</v>
      </c>
      <c r="I573" s="1">
        <f ca="1">IFERROR(__xludf.DUMMYFUNCTION("""COMPUTED_VALUE"""),3)</f>
        <v>3</v>
      </c>
      <c r="J573" s="1">
        <f ca="1">IFERROR(__xludf.DUMMYFUNCTION("""COMPUTED_VALUE"""),0)</f>
        <v>0</v>
      </c>
      <c r="K573" s="1" t="str">
        <f ca="1">IFERROR(__xludf.DUMMYFUNCTION("""COMPUTED_VALUE"""),"Summer")</f>
        <v>Summer</v>
      </c>
      <c r="L573" s="1" t="str">
        <f ca="1">IFERROR(__xludf.DUMMYFUNCTION("""COMPUTED_VALUE"""),"Oakland")</f>
        <v>Oakland</v>
      </c>
      <c r="M573" s="1" t="str">
        <f ca="1">IFERROR(__xludf.DUMMYFUNCTION("""COMPUTED_VALUE"""),"CA")</f>
        <v>CA</v>
      </c>
      <c r="N573" s="1" t="str">
        <f ca="1">IFERROR(__xludf.DUMMYFUNCTION("""COMPUTED_VALUE"""),"High")</f>
        <v>High</v>
      </c>
      <c r="O573" s="1" t="str">
        <f ca="1">IFERROR(__xludf.DUMMYFUNCTION("""COMPUTED_VALUE"""),"Football Field/Track")</f>
        <v>Football Field/Track</v>
      </c>
      <c r="P573" s="1" t="str">
        <f ca="1">IFERROR(__xludf.DUMMYFUNCTION("""COMPUTED_VALUE"""),"Outside on School Property")</f>
        <v>Outside on School Property</v>
      </c>
      <c r="Q573" s="1" t="str">
        <f ca="1">IFERROR(__xludf.DUMMYFUNCTION("""COMPUTED_VALUE"""),"No")</f>
        <v>No</v>
      </c>
      <c r="R573" s="1" t="str">
        <f ca="1">IFERROR(__xludf.DUMMYFUNCTION("""COMPUTED_VALUE"""),"Sport Event")</f>
        <v>Sport Event</v>
      </c>
      <c r="S573" s="5">
        <f ca="1">IFERROR(__xludf.DUMMYFUNCTION("""COMPUTED_VALUE"""),0.555555555555555)</f>
        <v>0.55555555555555503</v>
      </c>
      <c r="T573" s="1">
        <f ca="1">IFERROR(__xludf.DUMMYFUNCTION("""COMPUTED_VALUE"""),1)</f>
        <v>1</v>
      </c>
      <c r="U573" s="1" t="str">
        <f ca="1">IFERROR(__xludf.DUMMYFUNCTION("""COMPUTED_VALUE"""),"3 attendees shot in the stands during youth football game")</f>
        <v>3 attendees shot in the stands during youth football game</v>
      </c>
      <c r="V573" s="1" t="str">
        <f ca="1">IFERROR(__xludf.DUMMYFUNCTION("""COMPUTED_VALUE"""),"A 6-year-old girl, adult man, and adult woman were shot in the stands during a youth football game. Multiple people fired shots and shooters fled. 500 attendees ran when the shooting occurred.")</f>
        <v>A 6-year-old girl, adult man, and adult woman were shot in the stands during a youth football game. Multiple people fired shots and shooters fled. 500 attendees ran when the shooting occurred.</v>
      </c>
      <c r="W573" s="1" t="str">
        <f ca="1">IFERROR(__xludf.DUMMYFUNCTION("""COMPUTED_VALUE"""),"Escalation of Dispute")</f>
        <v>Escalation of Dispute</v>
      </c>
      <c r="X573" s="1" t="str">
        <f ca="1">IFERROR(__xludf.DUMMYFUNCTION("""COMPUTED_VALUE"""),"Both")</f>
        <v>Both</v>
      </c>
      <c r="Y573" s="1" t="str">
        <f ca="1">IFERROR(__xludf.DUMMYFUNCTION("""COMPUTED_VALUE"""),"No")</f>
        <v>No</v>
      </c>
      <c r="Z573" s="1"/>
      <c r="AA573" s="1" t="str">
        <f ca="1">IFERROR(__xludf.DUMMYFUNCTION("""COMPUTED_VALUE"""),"No")</f>
        <v>No</v>
      </c>
      <c r="AB573" s="1" t="str">
        <f ca="1">IFERROR(__xludf.DUMMYFUNCTION("""COMPUTED_VALUE"""),"No")</f>
        <v>No</v>
      </c>
      <c r="AC573" s="1" t="str">
        <f ca="1">IFERROR(__xludf.DUMMYFUNCTION("""COMPUTED_VALUE"""),"No")</f>
        <v>No</v>
      </c>
      <c r="AD573" s="1" t="str">
        <f ca="1">IFERROR(__xludf.DUMMYFUNCTION("""COMPUTED_VALUE"""),"No")</f>
        <v>No</v>
      </c>
      <c r="AE573" s="1" t="str">
        <f ca="1">IFERROR(__xludf.DUMMYFUNCTION("""COMPUTED_VALUE"""),"No")</f>
        <v>No</v>
      </c>
      <c r="AF573" s="1"/>
      <c r="AG573" s="1" t="str">
        <f ca="1">IFERROR(__xludf.DUMMYFUNCTION("""COMPUTED_VALUE"""),"No")</f>
        <v>No</v>
      </c>
      <c r="AH573" s="1">
        <f ca="1">IFERROR(__xludf.DUMMYFUNCTION("""COMPUTED_VALUE"""),99)</f>
        <v>99</v>
      </c>
    </row>
    <row r="574" spans="1:34" ht="12.5">
      <c r="A574" s="1" t="str">
        <f ca="1">IFERROR(__xludf.DUMMYFUNCTION("""COMPUTED_VALUE"""),"20220730NYRHH")</f>
        <v>20220730NYRHH</v>
      </c>
      <c r="B574" s="1">
        <f ca="1">IFERROR(__xludf.DUMMYFUNCTION("""COMPUTED_VALUE"""),7)</f>
        <v>7</v>
      </c>
      <c r="C574" s="1">
        <f ca="1">IFERROR(__xludf.DUMMYFUNCTION("""COMPUTED_VALUE"""),30)</f>
        <v>30</v>
      </c>
      <c r="D574" s="1">
        <f ca="1">IFERROR(__xludf.DUMMYFUNCTION("""COMPUTED_VALUE"""),2022)</f>
        <v>2022</v>
      </c>
      <c r="E574" s="4">
        <f ca="1">IFERROR(__xludf.DUMMYFUNCTION("""COMPUTED_VALUE"""),44772)</f>
        <v>44772</v>
      </c>
      <c r="F574" s="1" t="str">
        <f ca="1">IFERROR(__xludf.DUMMYFUNCTION("""COMPUTED_VALUE"""),"Rhodes Academy")</f>
        <v>Rhodes Academy</v>
      </c>
      <c r="G574" s="1">
        <f ca="1">IFERROR(__xludf.DUMMYFUNCTION("""COMPUTED_VALUE"""),0)</f>
        <v>0</v>
      </c>
      <c r="H574" s="1">
        <f ca="1">IFERROR(__xludf.DUMMYFUNCTION("""COMPUTED_VALUE"""),0)</f>
        <v>0</v>
      </c>
      <c r="I574" s="1">
        <f ca="1">IFERROR(__xludf.DUMMYFUNCTION("""COMPUTED_VALUE"""),0)</f>
        <v>0</v>
      </c>
      <c r="J574" s="1">
        <f ca="1">IFERROR(__xludf.DUMMYFUNCTION("""COMPUTED_VALUE"""),0)</f>
        <v>0</v>
      </c>
      <c r="K574" s="1" t="str">
        <f ca="1">IFERROR(__xludf.DUMMYFUNCTION("""COMPUTED_VALUE"""),"Summer")</f>
        <v>Summer</v>
      </c>
      <c r="L574" s="1" t="str">
        <f ca="1">IFERROR(__xludf.DUMMYFUNCTION("""COMPUTED_VALUE"""),"Hempstead")</f>
        <v>Hempstead</v>
      </c>
      <c r="M574" s="1" t="str">
        <f ca="1">IFERROR(__xludf.DUMMYFUNCTION("""COMPUTED_VALUE"""),"NY")</f>
        <v>NY</v>
      </c>
      <c r="N574" s="1" t="str">
        <f ca="1">IFERROR(__xludf.DUMMYFUNCTION("""COMPUTED_VALUE"""),"Elementary")</f>
        <v>Elementary</v>
      </c>
      <c r="O574" s="1" t="str">
        <f ca="1">IFERROR(__xludf.DUMMYFUNCTION("""COMPUTED_VALUE"""),"Classroom")</f>
        <v>Classroom</v>
      </c>
      <c r="P574" s="1" t="str">
        <f ca="1">IFERROR(__xludf.DUMMYFUNCTION("""COMPUTED_VALUE"""),"Outside on School Property")</f>
        <v>Outside on School Property</v>
      </c>
      <c r="Q574" s="1" t="str">
        <f ca="1">IFERROR(__xludf.DUMMYFUNCTION("""COMPUTED_VALUE"""),"No")</f>
        <v>No</v>
      </c>
      <c r="R574" s="1" t="str">
        <f ca="1">IFERROR(__xludf.DUMMYFUNCTION("""COMPUTED_VALUE"""),"Night")</f>
        <v>Night</v>
      </c>
      <c r="S574" s="1"/>
      <c r="T574" s="1">
        <f ca="1">IFERROR(__xludf.DUMMYFUNCTION("""COMPUTED_VALUE"""),1)</f>
        <v>1</v>
      </c>
      <c r="U574" s="1" t="str">
        <f ca="1">IFERROR(__xludf.DUMMYFUNCTION("""COMPUTED_VALUE"""),"Bullet broke classroom window")</f>
        <v>Bullet broke classroom window</v>
      </c>
      <c r="V574" s="1" t="str">
        <f ca="1">IFERROR(__xludf.DUMMYFUNCTION("""COMPUTED_VALUE"""),"Bullet broke classroom window over the weekend. School staff found a bullet and casing inside the classroom. 2 shootings occurred over the weekend near the school.")</f>
        <v>Bullet broke classroom window over the weekend. School staff found a bullet and casing inside the classroom. 2 shootings occurred over the weekend near the school.</v>
      </c>
      <c r="W574" s="1"/>
      <c r="X574" s="1" t="str">
        <f ca="1">IFERROR(__xludf.DUMMYFUNCTION("""COMPUTED_VALUE"""),"Neither")</f>
        <v>Neither</v>
      </c>
      <c r="Y574" s="1" t="str">
        <f ca="1">IFERROR(__xludf.DUMMYFUNCTION("""COMPUTED_VALUE"""),"No")</f>
        <v>No</v>
      </c>
      <c r="Z574" s="1"/>
      <c r="AA574" s="1" t="str">
        <f ca="1">IFERROR(__xludf.DUMMYFUNCTION("""COMPUTED_VALUE"""),"No")</f>
        <v>No</v>
      </c>
      <c r="AB574" s="1" t="str">
        <f ca="1">IFERROR(__xludf.DUMMYFUNCTION("""COMPUTED_VALUE"""),"No")</f>
        <v>No</v>
      </c>
      <c r="AC574" s="1" t="str">
        <f ca="1">IFERROR(__xludf.DUMMYFUNCTION("""COMPUTED_VALUE"""),"No")</f>
        <v>No</v>
      </c>
      <c r="AD574" s="1" t="str">
        <f ca="1">IFERROR(__xludf.DUMMYFUNCTION("""COMPUTED_VALUE"""),"No")</f>
        <v>No</v>
      </c>
      <c r="AE574" s="1" t="str">
        <f ca="1">IFERROR(__xludf.DUMMYFUNCTION("""COMPUTED_VALUE"""),"No")</f>
        <v>No</v>
      </c>
      <c r="AF574" s="1"/>
      <c r="AG574" s="1" t="str">
        <f ca="1">IFERROR(__xludf.DUMMYFUNCTION("""COMPUTED_VALUE"""),"No")</f>
        <v>No</v>
      </c>
      <c r="AH574" s="1">
        <f ca="1">IFERROR(__xludf.DUMMYFUNCTION("""COMPUTED_VALUE"""),99)</f>
        <v>99</v>
      </c>
    </row>
    <row r="575" spans="1:34" ht="12.5">
      <c r="A575" s="1" t="str">
        <f ca="1">IFERROR(__xludf.DUMMYFUNCTION("""COMPUTED_VALUE"""),"20220729INCOS")</f>
        <v>20220729INCOS</v>
      </c>
      <c r="B575" s="1">
        <f ca="1">IFERROR(__xludf.DUMMYFUNCTION("""COMPUTED_VALUE"""),7)</f>
        <v>7</v>
      </c>
      <c r="C575" s="1">
        <f ca="1">IFERROR(__xludf.DUMMYFUNCTION("""COMPUTED_VALUE"""),29)</f>
        <v>29</v>
      </c>
      <c r="D575" s="1">
        <f ca="1">IFERROR(__xludf.DUMMYFUNCTION("""COMPUTED_VALUE"""),2022)</f>
        <v>2022</v>
      </c>
      <c r="E575" s="4">
        <f ca="1">IFERROR(__xludf.DUMMYFUNCTION("""COMPUTED_VALUE"""),44771)</f>
        <v>44771</v>
      </c>
      <c r="F575" s="1" t="str">
        <f ca="1">IFERROR(__xludf.DUMMYFUNCTION("""COMPUTED_VALUE"""),"Coquillard Elementary School")</f>
        <v>Coquillard Elementary School</v>
      </c>
      <c r="G575" s="1">
        <f ca="1">IFERROR(__xludf.DUMMYFUNCTION("""COMPUTED_VALUE"""),0)</f>
        <v>0</v>
      </c>
      <c r="H575" s="1">
        <f ca="1">IFERROR(__xludf.DUMMYFUNCTION("""COMPUTED_VALUE"""),0)</f>
        <v>0</v>
      </c>
      <c r="I575" s="1">
        <f ca="1">IFERROR(__xludf.DUMMYFUNCTION("""COMPUTED_VALUE"""),0)</f>
        <v>0</v>
      </c>
      <c r="J575" s="1">
        <f ca="1">IFERROR(__xludf.DUMMYFUNCTION("""COMPUTED_VALUE"""),1)</f>
        <v>1</v>
      </c>
      <c r="K575" s="1" t="str">
        <f ca="1">IFERROR(__xludf.DUMMYFUNCTION("""COMPUTED_VALUE"""),"Summer")</f>
        <v>Summer</v>
      </c>
      <c r="L575" s="1" t="str">
        <f ca="1">IFERROR(__xludf.DUMMYFUNCTION("""COMPUTED_VALUE"""),"South Bend")</f>
        <v>South Bend</v>
      </c>
      <c r="M575" s="1" t="str">
        <f ca="1">IFERROR(__xludf.DUMMYFUNCTION("""COMPUTED_VALUE"""),"IN")</f>
        <v>IN</v>
      </c>
      <c r="N575" s="1" t="str">
        <f ca="1">IFERROR(__xludf.DUMMYFUNCTION("""COMPUTED_VALUE"""),"Elementary")</f>
        <v>Elementary</v>
      </c>
      <c r="O575" s="1" t="str">
        <f ca="1">IFERROR(__xludf.DUMMYFUNCTION("""COMPUTED_VALUE"""),"Field (General)")</f>
        <v>Field (General)</v>
      </c>
      <c r="P575" s="1" t="str">
        <f ca="1">IFERROR(__xludf.DUMMYFUNCTION("""COMPUTED_VALUE"""),"Outside on School Property")</f>
        <v>Outside on School Property</v>
      </c>
      <c r="Q575" s="1" t="str">
        <f ca="1">IFERROR(__xludf.DUMMYFUNCTION("""COMPUTED_VALUE"""),"No")</f>
        <v>No</v>
      </c>
      <c r="R575" s="1" t="str">
        <f ca="1">IFERROR(__xludf.DUMMYFUNCTION("""COMPUTED_VALUE"""),"Not a School Day")</f>
        <v>Not a School Day</v>
      </c>
      <c r="S575" s="5">
        <f ca="1">IFERROR(__xludf.DUMMYFUNCTION("""COMPUTED_VALUE"""),0.484722222222222)</f>
        <v>0.484722222222222</v>
      </c>
      <c r="T575" s="1">
        <f ca="1">IFERROR(__xludf.DUMMYFUNCTION("""COMPUTED_VALUE"""),40)</f>
        <v>40</v>
      </c>
      <c r="U575" s="1" t="str">
        <f ca="1">IFERROR(__xludf.DUMMYFUNCTION("""COMPUTED_VALUE"""),"Man with gun was shot after threatening suicide and threatening officers")</f>
        <v>Man with gun was shot after threatening suicide and threatening officers</v>
      </c>
      <c r="V575" s="1" t="str">
        <f ca="1">IFERROR(__xludf.DUMMYFUNCTION("""COMPUTED_VALUE"""),"Police were called for a man with a gun on the baseball field of the elementary school. During a 40 minute standoff, the man threatened suicide and threatened officers. He was fatally shot by SWAT officers.")</f>
        <v>Police were called for a man with a gun on the baseball field of the elementary school. During a 40 minute standoff, the man threatened suicide and threatened officers. He was fatally shot by SWAT officers.</v>
      </c>
      <c r="W575" s="1" t="str">
        <f ca="1">IFERROR(__xludf.DUMMYFUNCTION("""COMPUTED_VALUE"""),"Suicide/Attempted")</f>
        <v>Suicide/Attempted</v>
      </c>
      <c r="X575" s="1" t="str">
        <f ca="1">IFERROR(__xludf.DUMMYFUNCTION("""COMPUTED_VALUE"""),"Victims Targeted")</f>
        <v>Victims Targeted</v>
      </c>
      <c r="Y575" s="1" t="str">
        <f ca="1">IFERROR(__xludf.DUMMYFUNCTION("""COMPUTED_VALUE"""),"No")</f>
        <v>No</v>
      </c>
      <c r="Z575" s="1"/>
      <c r="AA575" s="1" t="str">
        <f ca="1">IFERROR(__xludf.DUMMYFUNCTION("""COMPUTED_VALUE"""),"No")</f>
        <v>No</v>
      </c>
      <c r="AB575" s="1" t="str">
        <f ca="1">IFERROR(__xludf.DUMMYFUNCTION("""COMPUTED_VALUE"""),"No")</f>
        <v>No</v>
      </c>
      <c r="AC575" s="1" t="str">
        <f ca="1">IFERROR(__xludf.DUMMYFUNCTION("""COMPUTED_VALUE"""),"Yes")</f>
        <v>Yes</v>
      </c>
      <c r="AD575" s="1" t="str">
        <f ca="1">IFERROR(__xludf.DUMMYFUNCTION("""COMPUTED_VALUE"""),"No")</f>
        <v>No</v>
      </c>
      <c r="AE575" s="1" t="str">
        <f ca="1">IFERROR(__xludf.DUMMYFUNCTION("""COMPUTED_VALUE"""),"No")</f>
        <v>No</v>
      </c>
      <c r="AF575" s="1" t="str">
        <f ca="1">IFERROR(__xludf.DUMMYFUNCTION("""COMPUTED_VALUE"""),"No")</f>
        <v>No</v>
      </c>
      <c r="AG575" s="1" t="str">
        <f ca="1">IFERROR(__xludf.DUMMYFUNCTION("""COMPUTED_VALUE"""),"No")</f>
        <v>No</v>
      </c>
      <c r="AH575" s="1"/>
    </row>
    <row r="576" spans="1:34" ht="12.5">
      <c r="A576" s="1" t="str">
        <f ca="1">IFERROR(__xludf.DUMMYFUNCTION("""COMPUTED_VALUE"""),"20220728KSMOG")</f>
        <v>20220728KSMOG</v>
      </c>
      <c r="B576" s="1">
        <f ca="1">IFERROR(__xludf.DUMMYFUNCTION("""COMPUTED_VALUE"""),7)</f>
        <v>7</v>
      </c>
      <c r="C576" s="1">
        <f ca="1">IFERROR(__xludf.DUMMYFUNCTION("""COMPUTED_VALUE"""),28)</f>
        <v>28</v>
      </c>
      <c r="D576" s="1">
        <f ca="1">IFERROR(__xludf.DUMMYFUNCTION("""COMPUTED_VALUE"""),2022)</f>
        <v>2022</v>
      </c>
      <c r="E576" s="4">
        <f ca="1">IFERROR(__xludf.DUMMYFUNCTION("""COMPUTED_VALUE"""),44770)</f>
        <v>44770</v>
      </c>
      <c r="F576" s="1" t="str">
        <f ca="1">IFERROR(__xludf.DUMMYFUNCTION("""COMPUTED_VALUE"""),"Moonlight Elementary School")</f>
        <v>Moonlight Elementary School</v>
      </c>
      <c r="G576" s="1">
        <f ca="1">IFERROR(__xludf.DUMMYFUNCTION("""COMPUTED_VALUE"""),0)</f>
        <v>0</v>
      </c>
      <c r="H576" s="1">
        <f ca="1">IFERROR(__xludf.DUMMYFUNCTION("""COMPUTED_VALUE"""),0)</f>
        <v>0</v>
      </c>
      <c r="I576" s="1">
        <f ca="1">IFERROR(__xludf.DUMMYFUNCTION("""COMPUTED_VALUE"""),0)</f>
        <v>0</v>
      </c>
      <c r="J576" s="1">
        <f ca="1">IFERROR(__xludf.DUMMYFUNCTION("""COMPUTED_VALUE"""),0)</f>
        <v>0</v>
      </c>
      <c r="K576" s="1" t="str">
        <f ca="1">IFERROR(__xludf.DUMMYFUNCTION("""COMPUTED_VALUE"""),"Summer")</f>
        <v>Summer</v>
      </c>
      <c r="L576" s="1" t="str">
        <f ca="1">IFERROR(__xludf.DUMMYFUNCTION("""COMPUTED_VALUE"""),"Gardner")</f>
        <v>Gardner</v>
      </c>
      <c r="M576" s="1" t="str">
        <f ca="1">IFERROR(__xludf.DUMMYFUNCTION("""COMPUTED_VALUE"""),"KS")</f>
        <v>KS</v>
      </c>
      <c r="N576" s="1" t="str">
        <f ca="1">IFERROR(__xludf.DUMMYFUNCTION("""COMPUTED_VALUE"""),"Elementary")</f>
        <v>Elementary</v>
      </c>
      <c r="O576" s="1" t="str">
        <f ca="1">IFERROR(__xludf.DUMMYFUNCTION("""COMPUTED_VALUE"""),"Outside on School Property")</f>
        <v>Outside on School Property</v>
      </c>
      <c r="P576" s="1" t="str">
        <f ca="1">IFERROR(__xludf.DUMMYFUNCTION("""COMPUTED_VALUE"""),"Outside on School Property")</f>
        <v>Outside on School Property</v>
      </c>
      <c r="Q576" s="1" t="str">
        <f ca="1">IFERROR(__xludf.DUMMYFUNCTION("""COMPUTED_VALUE"""),"No")</f>
        <v>No</v>
      </c>
      <c r="R576" s="1" t="str">
        <f ca="1">IFERROR(__xludf.DUMMYFUNCTION("""COMPUTED_VALUE"""),"Not a School Day")</f>
        <v>Not a School Day</v>
      </c>
      <c r="S576" s="5">
        <f ca="1">IFERROR(__xludf.DUMMYFUNCTION("""COMPUTED_VALUE"""),0.666666666666666)</f>
        <v>0.66666666666666596</v>
      </c>
      <c r="T576" s="1">
        <f ca="1">IFERROR(__xludf.DUMMYFUNCTION("""COMPUTED_VALUE"""),1)</f>
        <v>1</v>
      </c>
      <c r="U576" s="1" t="str">
        <f ca="1">IFERROR(__xludf.DUMMYFUNCTION("""COMPUTED_VALUE"""),"Suicidal man shot himself when approached by police")</f>
        <v>Suicidal man shot himself when approached by police</v>
      </c>
      <c r="V576" s="1" t="str">
        <f ca="1">IFERROR(__xludf.DUMMYFUNCTION("""COMPUTED_VALUE"""),"A 22-year-old man shot himself in front of the elementary school. Police were called for a suicidal man with a gun. When they approach him, he shot himself. He was transported to the hospital in stable condition.")</f>
        <v>A 22-year-old man shot himself in front of the elementary school. Police were called for a suicidal man with a gun. When they approach him, he shot himself. He was transported to the hospital in stable condition.</v>
      </c>
      <c r="W576" s="1" t="str">
        <f ca="1">IFERROR(__xludf.DUMMYFUNCTION("""COMPUTED_VALUE"""),"Suicide/Attempted")</f>
        <v>Suicide/Attempted</v>
      </c>
      <c r="X576" s="1" t="str">
        <f ca="1">IFERROR(__xludf.DUMMYFUNCTION("""COMPUTED_VALUE"""),"Victims Targeted")</f>
        <v>Victims Targeted</v>
      </c>
      <c r="Y576" s="1" t="str">
        <f ca="1">IFERROR(__xludf.DUMMYFUNCTION("""COMPUTED_VALUE"""),"No")</f>
        <v>No</v>
      </c>
      <c r="Z576" s="1"/>
      <c r="AA576" s="1" t="str">
        <f ca="1">IFERROR(__xludf.DUMMYFUNCTION("""COMPUTED_VALUE"""),"No")</f>
        <v>No</v>
      </c>
      <c r="AB576" s="1" t="str">
        <f ca="1">IFERROR(__xludf.DUMMYFUNCTION("""COMPUTED_VALUE"""),"No")</f>
        <v>No</v>
      </c>
      <c r="AC576" s="1" t="str">
        <f ca="1">IFERROR(__xludf.DUMMYFUNCTION("""COMPUTED_VALUE"""),"No")</f>
        <v>No</v>
      </c>
      <c r="AD576" s="1" t="str">
        <f ca="1">IFERROR(__xludf.DUMMYFUNCTION("""COMPUTED_VALUE"""),"No")</f>
        <v>No</v>
      </c>
      <c r="AE576" s="1" t="str">
        <f ca="1">IFERROR(__xludf.DUMMYFUNCTION("""COMPUTED_VALUE"""),"No")</f>
        <v>No</v>
      </c>
      <c r="AF576" s="1" t="str">
        <f ca="1">IFERROR(__xludf.DUMMYFUNCTION("""COMPUTED_VALUE"""),"No")</f>
        <v>No</v>
      </c>
      <c r="AG576" s="1" t="str">
        <f ca="1">IFERROR(__xludf.DUMMYFUNCTION("""COMPUTED_VALUE"""),"No")</f>
        <v>No</v>
      </c>
      <c r="AH576" s="1">
        <f ca="1">IFERROR(__xludf.DUMMYFUNCTION("""COMPUTED_VALUE"""),1)</f>
        <v>1</v>
      </c>
    </row>
    <row r="577" spans="1:34" ht="12.5">
      <c r="A577" s="1" t="str">
        <f ca="1">IFERROR(__xludf.DUMMYFUNCTION("""COMPUTED_VALUE"""),"20220726TXCOC")</f>
        <v>20220726TXCOC</v>
      </c>
      <c r="B577" s="1">
        <f ca="1">IFERROR(__xludf.DUMMYFUNCTION("""COMPUTED_VALUE"""),7)</f>
        <v>7</v>
      </c>
      <c r="C577" s="1">
        <f ca="1">IFERROR(__xludf.DUMMYFUNCTION("""COMPUTED_VALUE"""),26)</f>
        <v>26</v>
      </c>
      <c r="D577" s="1">
        <f ca="1">IFERROR(__xludf.DUMMYFUNCTION("""COMPUTED_VALUE"""),2022)</f>
        <v>2022</v>
      </c>
      <c r="E577" s="4">
        <f ca="1">IFERROR(__xludf.DUMMYFUNCTION("""COMPUTED_VALUE"""),44768)</f>
        <v>44768</v>
      </c>
      <c r="F577" s="1" t="str">
        <f ca="1">IFERROR(__xludf.DUMMYFUNCTION("""COMPUTED_VALUE"""),"College Station High School")</f>
        <v>College Station High School</v>
      </c>
      <c r="G577" s="1">
        <f ca="1">IFERROR(__xludf.DUMMYFUNCTION("""COMPUTED_VALUE"""),0)</f>
        <v>0</v>
      </c>
      <c r="H577" s="1">
        <f ca="1">IFERROR(__xludf.DUMMYFUNCTION("""COMPUTED_VALUE"""),0)</f>
        <v>0</v>
      </c>
      <c r="I577" s="1">
        <f ca="1">IFERROR(__xludf.DUMMYFUNCTION("""COMPUTED_VALUE"""),0)</f>
        <v>0</v>
      </c>
      <c r="J577" s="1">
        <f ca="1">IFERROR(__xludf.DUMMYFUNCTION("""COMPUTED_VALUE"""),0)</f>
        <v>0</v>
      </c>
      <c r="K577" s="1" t="str">
        <f ca="1">IFERROR(__xludf.DUMMYFUNCTION("""COMPUTED_VALUE"""),"Summer")</f>
        <v>Summer</v>
      </c>
      <c r="L577" s="1" t="str">
        <f ca="1">IFERROR(__xludf.DUMMYFUNCTION("""COMPUTED_VALUE"""),"College Station")</f>
        <v>College Station</v>
      </c>
      <c r="M577" s="1" t="str">
        <f ca="1">IFERROR(__xludf.DUMMYFUNCTION("""COMPUTED_VALUE"""),"TX")</f>
        <v>TX</v>
      </c>
      <c r="N577" s="1" t="str">
        <f ca="1">IFERROR(__xludf.DUMMYFUNCTION("""COMPUTED_VALUE"""),"High")</f>
        <v>High</v>
      </c>
      <c r="O577" s="1" t="str">
        <f ca="1">IFERROR(__xludf.DUMMYFUNCTION("""COMPUTED_VALUE"""),"Parking Lot")</f>
        <v>Parking Lot</v>
      </c>
      <c r="P577" s="1" t="str">
        <f ca="1">IFERROR(__xludf.DUMMYFUNCTION("""COMPUTED_VALUE"""),"Outside on School Property")</f>
        <v>Outside on School Property</v>
      </c>
      <c r="Q577" s="1" t="str">
        <f ca="1">IFERROR(__xludf.DUMMYFUNCTION("""COMPUTED_VALUE"""),"No")</f>
        <v>No</v>
      </c>
      <c r="R577" s="1" t="str">
        <f ca="1">IFERROR(__xludf.DUMMYFUNCTION("""COMPUTED_VALUE"""),"Evening")</f>
        <v>Evening</v>
      </c>
      <c r="S577" s="5">
        <f ca="1">IFERROR(__xludf.DUMMYFUNCTION("""COMPUTED_VALUE"""),0.7375)</f>
        <v>0.73750000000000004</v>
      </c>
      <c r="T577" s="1">
        <f ca="1">IFERROR(__xludf.DUMMYFUNCTION("""COMPUTED_VALUE"""),1)</f>
        <v>1</v>
      </c>
      <c r="U577" s="1" t="str">
        <f ca="1">IFERROR(__xludf.DUMMYFUNCTION("""COMPUTED_VALUE"""),"Man fired shots in parking lot, struck vehicles")</f>
        <v>Man fired shots in parking lot, struck vehicles</v>
      </c>
      <c r="V577" s="1" t="str">
        <f ca="1">IFERROR(__xludf.DUMMYFUNCTION("""COMPUTED_VALUE"""),"Man fired shots in the school parking lot that broke 2 windows of a vehicle. Witnesses heard gunshots and notified police. Man was seen running away from the school into the wooded area behind the building. No injuries.")</f>
        <v>Man fired shots in the school parking lot that broke 2 windows of a vehicle. Witnesses heard gunshots and notified police. Man was seen running away from the school into the wooded area behind the building. No injuries.</v>
      </c>
      <c r="W577" s="1"/>
      <c r="X577" s="1"/>
      <c r="Y577" s="1" t="str">
        <f ca="1">IFERROR(__xludf.DUMMYFUNCTION("""COMPUTED_VALUE"""),"No")</f>
        <v>No</v>
      </c>
      <c r="Z577" s="1"/>
      <c r="AA577" s="1" t="str">
        <f ca="1">IFERROR(__xludf.DUMMYFUNCTION("""COMPUTED_VALUE"""),"No")</f>
        <v>No</v>
      </c>
      <c r="AB577" s="1" t="str">
        <f ca="1">IFERROR(__xludf.DUMMYFUNCTION("""COMPUTED_VALUE"""),"No")</f>
        <v>No</v>
      </c>
      <c r="AC577" s="1" t="str">
        <f ca="1">IFERROR(__xludf.DUMMYFUNCTION("""COMPUTED_VALUE"""),"No")</f>
        <v>No</v>
      </c>
      <c r="AD577" s="1" t="str">
        <f ca="1">IFERROR(__xludf.DUMMYFUNCTION("""COMPUTED_VALUE"""),"No")</f>
        <v>No</v>
      </c>
      <c r="AE577" s="1" t="str">
        <f ca="1">IFERROR(__xludf.DUMMYFUNCTION("""COMPUTED_VALUE"""),"No")</f>
        <v>No</v>
      </c>
      <c r="AF577" s="1"/>
      <c r="AG577" s="1" t="str">
        <f ca="1">IFERROR(__xludf.DUMMYFUNCTION("""COMPUTED_VALUE"""),"No")</f>
        <v>No</v>
      </c>
      <c r="AH577" s="1">
        <f ca="1">IFERROR(__xludf.DUMMYFUNCTION("""COMPUTED_VALUE"""),99)</f>
        <v>99</v>
      </c>
    </row>
    <row r="578" spans="1:34" ht="12.5">
      <c r="A578" s="1" t="str">
        <f ca="1">IFERROR(__xludf.DUMMYFUNCTION("""COMPUTED_VALUE"""),"20220726PALAL")</f>
        <v>20220726PALAL</v>
      </c>
      <c r="B578" s="1">
        <f ca="1">IFERROR(__xludf.DUMMYFUNCTION("""COMPUTED_VALUE"""),7)</f>
        <v>7</v>
      </c>
      <c r="C578" s="1">
        <f ca="1">IFERROR(__xludf.DUMMYFUNCTION("""COMPUTED_VALUE"""),26)</f>
        <v>26</v>
      </c>
      <c r="D578" s="1">
        <f ca="1">IFERROR(__xludf.DUMMYFUNCTION("""COMPUTED_VALUE"""),2022)</f>
        <v>2022</v>
      </c>
      <c r="E578" s="4">
        <f ca="1">IFERROR(__xludf.DUMMYFUNCTION("""COMPUTED_VALUE"""),44768)</f>
        <v>44768</v>
      </c>
      <c r="F578" s="1" t="str">
        <f ca="1">IFERROR(__xludf.DUMMYFUNCTION("""COMPUTED_VALUE"""),"Lake Lehman High School")</f>
        <v>Lake Lehman High School</v>
      </c>
      <c r="G578" s="1">
        <f ca="1">IFERROR(__xludf.DUMMYFUNCTION("""COMPUTED_VALUE"""),0)</f>
        <v>0</v>
      </c>
      <c r="H578" s="1">
        <f ca="1">IFERROR(__xludf.DUMMYFUNCTION("""COMPUTED_VALUE"""),0)</f>
        <v>0</v>
      </c>
      <c r="I578" s="1">
        <f ca="1">IFERROR(__xludf.DUMMYFUNCTION("""COMPUTED_VALUE"""),0)</f>
        <v>0</v>
      </c>
      <c r="J578" s="1">
        <f ca="1">IFERROR(__xludf.DUMMYFUNCTION("""COMPUTED_VALUE"""),0)</f>
        <v>0</v>
      </c>
      <c r="K578" s="1" t="str">
        <f ca="1">IFERROR(__xludf.DUMMYFUNCTION("""COMPUTED_VALUE"""),"Summer")</f>
        <v>Summer</v>
      </c>
      <c r="L578" s="1" t="str">
        <f ca="1">IFERROR(__xludf.DUMMYFUNCTION("""COMPUTED_VALUE"""),"Lehman")</f>
        <v>Lehman</v>
      </c>
      <c r="M578" s="1" t="str">
        <f ca="1">IFERROR(__xludf.DUMMYFUNCTION("""COMPUTED_VALUE"""),"PA")</f>
        <v>PA</v>
      </c>
      <c r="N578" s="1" t="str">
        <f ca="1">IFERROR(__xludf.DUMMYFUNCTION("""COMPUTED_VALUE"""),"High")</f>
        <v>High</v>
      </c>
      <c r="O578" s="1" t="str">
        <f ca="1">IFERROR(__xludf.DUMMYFUNCTION("""COMPUTED_VALUE"""),"Gym")</f>
        <v>Gym</v>
      </c>
      <c r="P578" s="1" t="str">
        <f ca="1">IFERROR(__xludf.DUMMYFUNCTION("""COMPUTED_VALUE"""),"Outside on School Property")</f>
        <v>Outside on School Property</v>
      </c>
      <c r="Q578" s="1" t="str">
        <f ca="1">IFERROR(__xludf.DUMMYFUNCTION("""COMPUTED_VALUE"""),"No")</f>
        <v>No</v>
      </c>
      <c r="R578" s="1" t="str">
        <f ca="1">IFERROR(__xludf.DUMMYFUNCTION("""COMPUTED_VALUE"""),"Night")</f>
        <v>Night</v>
      </c>
      <c r="S578" s="5">
        <f ca="1">IFERROR(__xludf.DUMMYFUNCTION("""COMPUTED_VALUE"""),0.0625)</f>
        <v>6.25E-2</v>
      </c>
      <c r="T578" s="1">
        <f ca="1">IFERROR(__xludf.DUMMYFUNCTION("""COMPUTED_VALUE"""),1)</f>
        <v>1</v>
      </c>
      <c r="U578" s="1" t="str">
        <f ca="1">IFERROR(__xludf.DUMMYFUNCTION("""COMPUTED_VALUE"""),"Man fired shots from vehicle at school building")</f>
        <v>Man fired shots from vehicle at school building</v>
      </c>
      <c r="V578" s="1" t="str">
        <f ca="1">IFERROR(__xludf.DUMMYFUNCTION("""COMPUTED_VALUE"""),"20-year-old man fired shots at the school building breaking windows in the gym. Shooter was identified by cellphone video and arrested the week after the attack. Held without bail.")</f>
        <v>20-year-old man fired shots at the school building breaking windows in the gym. Shooter was identified by cellphone video and arrested the week after the attack. Held without bail.</v>
      </c>
      <c r="W578" s="1" t="str">
        <f ca="1">IFERROR(__xludf.DUMMYFUNCTION("""COMPUTED_VALUE"""),"Drive-by Shooting")</f>
        <v>Drive-by Shooting</v>
      </c>
      <c r="X578" s="1" t="str">
        <f ca="1">IFERROR(__xludf.DUMMYFUNCTION("""COMPUTED_VALUE"""),"Neither")</f>
        <v>Neither</v>
      </c>
      <c r="Y578" s="1" t="str">
        <f ca="1">IFERROR(__xludf.DUMMYFUNCTION("""COMPUTED_VALUE"""),"No")</f>
        <v>No</v>
      </c>
      <c r="Z578" s="1"/>
      <c r="AA578" s="1" t="str">
        <f ca="1">IFERROR(__xludf.DUMMYFUNCTION("""COMPUTED_VALUE"""),"No")</f>
        <v>No</v>
      </c>
      <c r="AB578" s="1" t="str">
        <f ca="1">IFERROR(__xludf.DUMMYFUNCTION("""COMPUTED_VALUE"""),"No")</f>
        <v>No</v>
      </c>
      <c r="AC578" s="1" t="str">
        <f ca="1">IFERROR(__xludf.DUMMYFUNCTION("""COMPUTED_VALUE"""),"No")</f>
        <v>No</v>
      </c>
      <c r="AD578" s="1" t="str">
        <f ca="1">IFERROR(__xludf.DUMMYFUNCTION("""COMPUTED_VALUE"""),"No")</f>
        <v>No</v>
      </c>
      <c r="AE578" s="1" t="str">
        <f ca="1">IFERROR(__xludf.DUMMYFUNCTION("""COMPUTED_VALUE"""),"No")</f>
        <v>No</v>
      </c>
      <c r="AF578" s="1" t="str">
        <f ca="1">IFERROR(__xludf.DUMMYFUNCTION("""COMPUTED_VALUE"""),"No")</f>
        <v>No</v>
      </c>
      <c r="AG578" s="1" t="str">
        <f ca="1">IFERROR(__xludf.DUMMYFUNCTION("""COMPUTED_VALUE"""),"No")</f>
        <v>No</v>
      </c>
      <c r="AH578" s="1">
        <f ca="1">IFERROR(__xludf.DUMMYFUNCTION("""COMPUTED_VALUE"""),99)</f>
        <v>99</v>
      </c>
    </row>
    <row r="579" spans="1:34" ht="12.5">
      <c r="A579" s="1" t="str">
        <f ca="1">IFERROR(__xludf.DUMMYFUNCTION("""COMPUTED_VALUE"""),"20220725NYBRB")</f>
        <v>20220725NYBRB</v>
      </c>
      <c r="B579" s="1">
        <f ca="1">IFERROR(__xludf.DUMMYFUNCTION("""COMPUTED_VALUE"""),7)</f>
        <v>7</v>
      </c>
      <c r="C579" s="1">
        <f ca="1">IFERROR(__xludf.DUMMYFUNCTION("""COMPUTED_VALUE"""),25)</f>
        <v>25</v>
      </c>
      <c r="D579" s="1">
        <f ca="1">IFERROR(__xludf.DUMMYFUNCTION("""COMPUTED_VALUE"""),2022)</f>
        <v>2022</v>
      </c>
      <c r="E579" s="4">
        <f ca="1">IFERROR(__xludf.DUMMYFUNCTION("""COMPUTED_VALUE"""),44767)</f>
        <v>44767</v>
      </c>
      <c r="F579" s="1" t="str">
        <f ca="1">IFERROR(__xludf.DUMMYFUNCTION("""COMPUTED_VALUE"""),"X480 Bronx Regional High School")</f>
        <v>X480 Bronx Regional High School</v>
      </c>
      <c r="G579" s="1">
        <f ca="1">IFERROR(__xludf.DUMMYFUNCTION("""COMPUTED_VALUE"""),0)</f>
        <v>0</v>
      </c>
      <c r="H579" s="1">
        <f ca="1">IFERROR(__xludf.DUMMYFUNCTION("""COMPUTED_VALUE"""),2)</f>
        <v>2</v>
      </c>
      <c r="I579" s="1">
        <f ca="1">IFERROR(__xludf.DUMMYFUNCTION("""COMPUTED_VALUE"""),2)</f>
        <v>2</v>
      </c>
      <c r="J579" s="1">
        <f ca="1">IFERROR(__xludf.DUMMYFUNCTION("""COMPUTED_VALUE"""),0)</f>
        <v>0</v>
      </c>
      <c r="K579" s="1" t="str">
        <f ca="1">IFERROR(__xludf.DUMMYFUNCTION("""COMPUTED_VALUE"""),"Summer")</f>
        <v>Summer</v>
      </c>
      <c r="L579" s="1" t="str">
        <f ca="1">IFERROR(__xludf.DUMMYFUNCTION("""COMPUTED_VALUE"""),"Bronx")</f>
        <v>Bronx</v>
      </c>
      <c r="M579" s="1" t="str">
        <f ca="1">IFERROR(__xludf.DUMMYFUNCTION("""COMPUTED_VALUE"""),"NY")</f>
        <v>NY</v>
      </c>
      <c r="N579" s="1" t="str">
        <f ca="1">IFERROR(__xludf.DUMMYFUNCTION("""COMPUTED_VALUE"""),"High")</f>
        <v>High</v>
      </c>
      <c r="O579" s="1" t="str">
        <f ca="1">IFERROR(__xludf.DUMMYFUNCTION("""COMPUTED_VALUE"""),"Basketball Court")</f>
        <v>Basketball Court</v>
      </c>
      <c r="P579" s="1" t="str">
        <f ca="1">IFERROR(__xludf.DUMMYFUNCTION("""COMPUTED_VALUE"""),"Outside on School Property")</f>
        <v>Outside on School Property</v>
      </c>
      <c r="Q579" s="1" t="str">
        <f ca="1">IFERROR(__xludf.DUMMYFUNCTION("""COMPUTED_VALUE"""),"No")</f>
        <v>No</v>
      </c>
      <c r="R579" s="1" t="str">
        <f ca="1">IFERROR(__xludf.DUMMYFUNCTION("""COMPUTED_VALUE"""),"Night")</f>
        <v>Night</v>
      </c>
      <c r="S579" s="5">
        <f ca="1">IFERROR(__xludf.DUMMYFUNCTION("""COMPUTED_VALUE"""),0.979166666666666)</f>
        <v>0.97916666666666596</v>
      </c>
      <c r="T579" s="1">
        <f ca="1">IFERROR(__xludf.DUMMYFUNCTION("""COMPUTED_VALUE"""),1)</f>
        <v>1</v>
      </c>
      <c r="U579" s="1" t="str">
        <f ca="1">IFERROR(__xludf.DUMMYFUNCTION("""COMPUTED_VALUE"""),"Teen and child shot on basketball court")</f>
        <v>Teen and child shot on basketball court</v>
      </c>
      <c r="V579" s="1" t="str">
        <f ca="1">IFERROR(__xludf.DUMMYFUNCTION("""COMPUTED_VALUE"""),"A 12-year-old girl and 16-year-old boy were shot on the school's outdoor basketball court. Shooter fled in a vehicle. Police believe the victims were mistaken for gang members.")</f>
        <v>A 12-year-old girl and 16-year-old boy were shot on the school's outdoor basketball court. Shooter fled in a vehicle. Police believe the victims were mistaken for gang members.</v>
      </c>
      <c r="W579" s="1" t="str">
        <f ca="1">IFERROR(__xludf.DUMMYFUNCTION("""COMPUTED_VALUE"""),"Drive-by Shooting")</f>
        <v>Drive-by Shooting</v>
      </c>
      <c r="X579" s="1" t="str">
        <f ca="1">IFERROR(__xludf.DUMMYFUNCTION("""COMPUTED_VALUE"""),"Both")</f>
        <v>Both</v>
      </c>
      <c r="Y579" s="1" t="str">
        <f ca="1">IFERROR(__xludf.DUMMYFUNCTION("""COMPUTED_VALUE"""),"Yes")</f>
        <v>Yes</v>
      </c>
      <c r="Z579" s="1" t="str">
        <f ca="1">IFERROR(__xludf.DUMMYFUNCTION("""COMPUTED_VALUE"""),"Shooter and driver")</f>
        <v>Shooter and driver</v>
      </c>
      <c r="AA579" s="1" t="str">
        <f ca="1">IFERROR(__xludf.DUMMYFUNCTION("""COMPUTED_VALUE"""),"No")</f>
        <v>No</v>
      </c>
      <c r="AB579" s="1" t="str">
        <f ca="1">IFERROR(__xludf.DUMMYFUNCTION("""COMPUTED_VALUE"""),"No")</f>
        <v>No</v>
      </c>
      <c r="AC579" s="1" t="str">
        <f ca="1">IFERROR(__xludf.DUMMYFUNCTION("""COMPUTED_VALUE"""),"No")</f>
        <v>No</v>
      </c>
      <c r="AD579" s="1" t="str">
        <f ca="1">IFERROR(__xludf.DUMMYFUNCTION("""COMPUTED_VALUE"""),"No")</f>
        <v>No</v>
      </c>
      <c r="AE579" s="1" t="str">
        <f ca="1">IFERROR(__xludf.DUMMYFUNCTION("""COMPUTED_VALUE"""),"No")</f>
        <v>No</v>
      </c>
      <c r="AF579" s="1" t="str">
        <f ca="1">IFERROR(__xludf.DUMMYFUNCTION("""COMPUTED_VALUE"""),"Yes")</f>
        <v>Yes</v>
      </c>
      <c r="AG579" s="1" t="str">
        <f ca="1">IFERROR(__xludf.DUMMYFUNCTION("""COMPUTED_VALUE"""),"No")</f>
        <v>No</v>
      </c>
      <c r="AH579" s="1">
        <f ca="1">IFERROR(__xludf.DUMMYFUNCTION("""COMPUTED_VALUE"""),99)</f>
        <v>99</v>
      </c>
    </row>
    <row r="580" spans="1:34" ht="12.5">
      <c r="A580" s="1" t="str">
        <f ca="1">IFERROR(__xludf.DUMMYFUNCTION("""COMPUTED_VALUE"""),"20220720CAJOV")</f>
        <v>20220720CAJOV</v>
      </c>
      <c r="B580" s="1">
        <f ca="1">IFERROR(__xludf.DUMMYFUNCTION("""COMPUTED_VALUE"""),7)</f>
        <v>7</v>
      </c>
      <c r="C580" s="1">
        <f ca="1">IFERROR(__xludf.DUMMYFUNCTION("""COMPUTED_VALUE"""),20)</f>
        <v>20</v>
      </c>
      <c r="D580" s="1">
        <f ca="1">IFERROR(__xludf.DUMMYFUNCTION("""COMPUTED_VALUE"""),2022)</f>
        <v>2022</v>
      </c>
      <c r="E580" s="4">
        <f ca="1">IFERROR(__xludf.DUMMYFUNCTION("""COMPUTED_VALUE"""),44762)</f>
        <v>44762</v>
      </c>
      <c r="F580" s="1" t="str">
        <f ca="1">IFERROR(__xludf.DUMMYFUNCTION("""COMPUTED_VALUE"""),"John Finney High School")</f>
        <v>John Finney High School</v>
      </c>
      <c r="G580" s="1">
        <f ca="1">IFERROR(__xludf.DUMMYFUNCTION("""COMPUTED_VALUE"""),0)</f>
        <v>0</v>
      </c>
      <c r="H580" s="1">
        <f ca="1">IFERROR(__xludf.DUMMYFUNCTION("""COMPUTED_VALUE"""),0)</f>
        <v>0</v>
      </c>
      <c r="I580" s="1">
        <f ca="1">IFERROR(__xludf.DUMMYFUNCTION("""COMPUTED_VALUE"""),0)</f>
        <v>0</v>
      </c>
      <c r="J580" s="1">
        <f ca="1">IFERROR(__xludf.DUMMYFUNCTION("""COMPUTED_VALUE"""),0)</f>
        <v>0</v>
      </c>
      <c r="K580" s="1" t="str">
        <f ca="1">IFERROR(__xludf.DUMMYFUNCTION("""COMPUTED_VALUE"""),"Summer")</f>
        <v>Summer</v>
      </c>
      <c r="L580" s="1" t="str">
        <f ca="1">IFERROR(__xludf.DUMMYFUNCTION("""COMPUTED_VALUE"""),"Vallejo")</f>
        <v>Vallejo</v>
      </c>
      <c r="M580" s="1" t="str">
        <f ca="1">IFERROR(__xludf.DUMMYFUNCTION("""COMPUTED_VALUE"""),"CA")</f>
        <v>CA</v>
      </c>
      <c r="N580" s="1" t="str">
        <f ca="1">IFERROR(__xludf.DUMMYFUNCTION("""COMPUTED_VALUE"""),"High")</f>
        <v>High</v>
      </c>
      <c r="O580" s="1" t="str">
        <f ca="1">IFERROR(__xludf.DUMMYFUNCTION("""COMPUTED_VALUE"""),"Field (General)")</f>
        <v>Field (General)</v>
      </c>
      <c r="P580" s="1" t="str">
        <f ca="1">IFERROR(__xludf.DUMMYFUNCTION("""COMPUTED_VALUE"""),"Outside on School Property")</f>
        <v>Outside on School Property</v>
      </c>
      <c r="Q580" s="1" t="str">
        <f ca="1">IFERROR(__xludf.DUMMYFUNCTION("""COMPUTED_VALUE"""),"Yes")</f>
        <v>Yes</v>
      </c>
      <c r="R580" s="1" t="str">
        <f ca="1">IFERROR(__xludf.DUMMYFUNCTION("""COMPUTED_VALUE"""),"Morning Classes")</f>
        <v>Morning Classes</v>
      </c>
      <c r="S580" s="5">
        <f ca="1">IFERROR(__xludf.DUMMYFUNCTION("""COMPUTED_VALUE"""),0.392361111111111)</f>
        <v>0.39236111111111099</v>
      </c>
      <c r="T580" s="1">
        <f ca="1">IFERROR(__xludf.DUMMYFUNCTION("""COMPUTED_VALUE"""),1)</f>
        <v>1</v>
      </c>
      <c r="U580" s="1" t="str">
        <f ca="1">IFERROR(__xludf.DUMMYFUNCTION("""COMPUTED_VALUE"""),"Shots fired on school field")</f>
        <v>Shots fired on school field</v>
      </c>
      <c r="V580" s="1" t="str">
        <f ca="1">IFERROR(__xludf.DUMMYFUNCTION("""COMPUTED_VALUE"""),"School went into lockdown when staff heard gun shots on the campus. An adult man ran from the field on the west side of the campus before police arrived. Police found shell casings. No injuries.")</f>
        <v>School went into lockdown when staff heard gun shots on the campus. An adult man ran from the field on the west side of the campus before police arrived. Police found shell casings. No injuries.</v>
      </c>
      <c r="W580" s="1"/>
      <c r="X580" s="1"/>
      <c r="Y580" s="1" t="str">
        <f ca="1">IFERROR(__xludf.DUMMYFUNCTION("""COMPUTED_VALUE"""),"No")</f>
        <v>No</v>
      </c>
      <c r="Z580" s="1"/>
      <c r="AA580" s="1" t="str">
        <f ca="1">IFERROR(__xludf.DUMMYFUNCTION("""COMPUTED_VALUE"""),"No")</f>
        <v>No</v>
      </c>
      <c r="AB580" s="1" t="str">
        <f ca="1">IFERROR(__xludf.DUMMYFUNCTION("""COMPUTED_VALUE"""),"No")</f>
        <v>No</v>
      </c>
      <c r="AC580" s="1" t="str">
        <f ca="1">IFERROR(__xludf.DUMMYFUNCTION("""COMPUTED_VALUE"""),"No")</f>
        <v>No</v>
      </c>
      <c r="AD580" s="1" t="str">
        <f ca="1">IFERROR(__xludf.DUMMYFUNCTION("""COMPUTED_VALUE"""),"No")</f>
        <v>No</v>
      </c>
      <c r="AE580" s="1" t="str">
        <f ca="1">IFERROR(__xludf.DUMMYFUNCTION("""COMPUTED_VALUE"""),"No")</f>
        <v>No</v>
      </c>
      <c r="AF580" s="1"/>
      <c r="AG580" s="1" t="str">
        <f ca="1">IFERROR(__xludf.DUMMYFUNCTION("""COMPUTED_VALUE"""),"No")</f>
        <v>No</v>
      </c>
      <c r="AH580" s="1">
        <f ca="1">IFERROR(__xludf.DUMMYFUNCTION("""COMPUTED_VALUE"""),99)</f>
        <v>99</v>
      </c>
    </row>
    <row r="581" spans="1:34" ht="12.5">
      <c r="A581" s="1" t="str">
        <f ca="1">IFERROR(__xludf.DUMMYFUNCTION("""COMPUTED_VALUE"""),"20220716NYCLS")</f>
        <v>20220716NYCLS</v>
      </c>
      <c r="B581" s="1">
        <f ca="1">IFERROR(__xludf.DUMMYFUNCTION("""COMPUTED_VALUE"""),7)</f>
        <v>7</v>
      </c>
      <c r="C581" s="1">
        <f ca="1">IFERROR(__xludf.DUMMYFUNCTION("""COMPUTED_VALUE"""),16)</f>
        <v>16</v>
      </c>
      <c r="D581" s="1">
        <f ca="1">IFERROR(__xludf.DUMMYFUNCTION("""COMPUTED_VALUE"""),2022)</f>
        <v>2022</v>
      </c>
      <c r="E581" s="4">
        <f ca="1">IFERROR(__xludf.DUMMYFUNCTION("""COMPUTED_VALUE"""),44758)</f>
        <v>44758</v>
      </c>
      <c r="F581" s="1" t="str">
        <f ca="1">IFERROR(__xludf.DUMMYFUNCTION("""COMPUTED_VALUE"""),"Clary Middle School")</f>
        <v>Clary Middle School</v>
      </c>
      <c r="G581" s="1">
        <f ca="1">IFERROR(__xludf.DUMMYFUNCTION("""COMPUTED_VALUE"""),0)</f>
        <v>0</v>
      </c>
      <c r="H581" s="1">
        <f ca="1">IFERROR(__xludf.DUMMYFUNCTION("""COMPUTED_VALUE"""),0)</f>
        <v>0</v>
      </c>
      <c r="I581" s="1">
        <f ca="1">IFERROR(__xludf.DUMMYFUNCTION("""COMPUTED_VALUE"""),0)</f>
        <v>0</v>
      </c>
      <c r="J581" s="1">
        <f ca="1">IFERROR(__xludf.DUMMYFUNCTION("""COMPUTED_VALUE"""),0)</f>
        <v>0</v>
      </c>
      <c r="K581" s="1" t="str">
        <f ca="1">IFERROR(__xludf.DUMMYFUNCTION("""COMPUTED_VALUE"""),"Summer")</f>
        <v>Summer</v>
      </c>
      <c r="L581" s="1" t="str">
        <f ca="1">IFERROR(__xludf.DUMMYFUNCTION("""COMPUTED_VALUE"""),"Syracuse")</f>
        <v>Syracuse</v>
      </c>
      <c r="M581" s="1" t="str">
        <f ca="1">IFERROR(__xludf.DUMMYFUNCTION("""COMPUTED_VALUE"""),"NY")</f>
        <v>NY</v>
      </c>
      <c r="N581" s="1" t="str">
        <f ca="1">IFERROR(__xludf.DUMMYFUNCTION("""COMPUTED_VALUE"""),"Middle")</f>
        <v>Middle</v>
      </c>
      <c r="O581" s="1" t="str">
        <f ca="1">IFERROR(__xludf.DUMMYFUNCTION("""COMPUTED_VALUE"""),"Parking Lot")</f>
        <v>Parking Lot</v>
      </c>
      <c r="P581" s="1" t="str">
        <f ca="1">IFERROR(__xludf.DUMMYFUNCTION("""COMPUTED_VALUE"""),"Outside on School Property")</f>
        <v>Outside on School Property</v>
      </c>
      <c r="Q581" s="1" t="str">
        <f ca="1">IFERROR(__xludf.DUMMYFUNCTION("""COMPUTED_VALUE"""),"No")</f>
        <v>No</v>
      </c>
      <c r="R581" s="1" t="str">
        <f ca="1">IFERROR(__xludf.DUMMYFUNCTION("""COMPUTED_VALUE"""),"Sport Event")</f>
        <v>Sport Event</v>
      </c>
      <c r="S581" s="5">
        <f ca="1">IFERROR(__xludf.DUMMYFUNCTION("""COMPUTED_VALUE"""),0.875)</f>
        <v>0.875</v>
      </c>
      <c r="T581" s="1">
        <f ca="1">IFERROR(__xludf.DUMMYFUNCTION("""COMPUTED_VALUE"""),1)</f>
        <v>1</v>
      </c>
      <c r="U581" s="1" t="str">
        <f ca="1">IFERROR(__xludf.DUMMYFUNCTION("""COMPUTED_VALUE"""),"Shots fired during fight in parking lot during semi-pro football game")</f>
        <v>Shots fired during fight in parking lot during semi-pro football game</v>
      </c>
      <c r="V581" s="1" t="str">
        <f ca="1">IFERROR(__xludf.DUMMYFUNCTION("""COMPUTED_VALUE"""),"Shots fired during fight in parking lot during semi-pro football game. Shooter fled. Police recovered multiple shell casings. No injuries. Stadium was evacuated and remainder of game was cancelled.")</f>
        <v>Shots fired during fight in parking lot during semi-pro football game. Shooter fled. Police recovered multiple shell casings. No injuries. Stadium was evacuated and remainder of game was cancelled.</v>
      </c>
      <c r="W581" s="1" t="str">
        <f ca="1">IFERROR(__xludf.DUMMYFUNCTION("""COMPUTED_VALUE"""),"Escalation of Dispute")</f>
        <v>Escalation of Dispute</v>
      </c>
      <c r="X581" s="1" t="str">
        <f ca="1">IFERROR(__xludf.DUMMYFUNCTION("""COMPUTED_VALUE"""),"Victims Targeted")</f>
        <v>Victims Targeted</v>
      </c>
      <c r="Y581" s="1" t="str">
        <f ca="1">IFERROR(__xludf.DUMMYFUNCTION("""COMPUTED_VALUE"""),"No")</f>
        <v>No</v>
      </c>
      <c r="Z581" s="1"/>
      <c r="AA581" s="1" t="str">
        <f ca="1">IFERROR(__xludf.DUMMYFUNCTION("""COMPUTED_VALUE"""),"No")</f>
        <v>No</v>
      </c>
      <c r="AB581" s="1" t="str">
        <f ca="1">IFERROR(__xludf.DUMMYFUNCTION("""COMPUTED_VALUE"""),"No")</f>
        <v>No</v>
      </c>
      <c r="AC581" s="1" t="str">
        <f ca="1">IFERROR(__xludf.DUMMYFUNCTION("""COMPUTED_VALUE"""),"No")</f>
        <v>No</v>
      </c>
      <c r="AD581" s="1" t="str">
        <f ca="1">IFERROR(__xludf.DUMMYFUNCTION("""COMPUTED_VALUE"""),"No")</f>
        <v>No</v>
      </c>
      <c r="AE581" s="1" t="str">
        <f ca="1">IFERROR(__xludf.DUMMYFUNCTION("""COMPUTED_VALUE"""),"No")</f>
        <v>No</v>
      </c>
      <c r="AF581" s="1" t="str">
        <f ca="1">IFERROR(__xludf.DUMMYFUNCTION("""COMPUTED_VALUE"""),"No")</f>
        <v>No</v>
      </c>
      <c r="AG581" s="1" t="str">
        <f ca="1">IFERROR(__xludf.DUMMYFUNCTION("""COMPUTED_VALUE"""),"No")</f>
        <v>No</v>
      </c>
      <c r="AH581" s="1">
        <f ca="1">IFERROR(__xludf.DUMMYFUNCTION("""COMPUTED_VALUE"""),99)</f>
        <v>99</v>
      </c>
    </row>
    <row r="582" spans="1:34" ht="12.5">
      <c r="A582" s="1" t="str">
        <f ca="1">IFERROR(__xludf.DUMMYFUNCTION("""COMPUTED_VALUE"""),"20220716GAAPF")</f>
        <v>20220716GAAPF</v>
      </c>
      <c r="B582" s="1">
        <f ca="1">IFERROR(__xludf.DUMMYFUNCTION("""COMPUTED_VALUE"""),7)</f>
        <v>7</v>
      </c>
      <c r="C582" s="1">
        <f ca="1">IFERROR(__xludf.DUMMYFUNCTION("""COMPUTED_VALUE"""),16)</f>
        <v>16</v>
      </c>
      <c r="D582" s="1">
        <f ca="1">IFERROR(__xludf.DUMMYFUNCTION("""COMPUTED_VALUE"""),2022)</f>
        <v>2022</v>
      </c>
      <c r="E582" s="4">
        <f ca="1">IFERROR(__xludf.DUMMYFUNCTION("""COMPUTED_VALUE"""),44758)</f>
        <v>44758</v>
      </c>
      <c r="F582" s="1" t="str">
        <f ca="1">IFERROR(__xludf.DUMMYFUNCTION("""COMPUTED_VALUE"""),"A. Philip Randolph Elementary School")</f>
        <v>A. Philip Randolph Elementary School</v>
      </c>
      <c r="G582" s="1">
        <f ca="1">IFERROR(__xludf.DUMMYFUNCTION("""COMPUTED_VALUE"""),0)</f>
        <v>0</v>
      </c>
      <c r="H582" s="1">
        <f ca="1">IFERROR(__xludf.DUMMYFUNCTION("""COMPUTED_VALUE"""),1)</f>
        <v>1</v>
      </c>
      <c r="I582" s="1">
        <f ca="1">IFERROR(__xludf.DUMMYFUNCTION("""COMPUTED_VALUE"""),1)</f>
        <v>1</v>
      </c>
      <c r="J582" s="1">
        <f ca="1">IFERROR(__xludf.DUMMYFUNCTION("""COMPUTED_VALUE"""),0)</f>
        <v>0</v>
      </c>
      <c r="K582" s="1" t="str">
        <f ca="1">IFERROR(__xludf.DUMMYFUNCTION("""COMPUTED_VALUE"""),"Summer")</f>
        <v>Summer</v>
      </c>
      <c r="L582" s="1" t="str">
        <f ca="1">IFERROR(__xludf.DUMMYFUNCTION("""COMPUTED_VALUE"""),"Fulton")</f>
        <v>Fulton</v>
      </c>
      <c r="M582" s="1" t="str">
        <f ca="1">IFERROR(__xludf.DUMMYFUNCTION("""COMPUTED_VALUE"""),"GA")</f>
        <v>GA</v>
      </c>
      <c r="N582" s="1" t="str">
        <f ca="1">IFERROR(__xludf.DUMMYFUNCTION("""COMPUTED_VALUE"""),"Elementary")</f>
        <v>Elementary</v>
      </c>
      <c r="O582" s="1" t="str">
        <f ca="1">IFERROR(__xludf.DUMMYFUNCTION("""COMPUTED_VALUE"""),"Parking Lot")</f>
        <v>Parking Lot</v>
      </c>
      <c r="P582" s="1" t="str">
        <f ca="1">IFERROR(__xludf.DUMMYFUNCTION("""COMPUTED_VALUE"""),"Outside on School Property")</f>
        <v>Outside on School Property</v>
      </c>
      <c r="Q582" s="1" t="str">
        <f ca="1">IFERROR(__xludf.DUMMYFUNCTION("""COMPUTED_VALUE"""),"No")</f>
        <v>No</v>
      </c>
      <c r="R582" s="1" t="str">
        <f ca="1">IFERROR(__xludf.DUMMYFUNCTION("""COMPUTED_VALUE"""),"Night")</f>
        <v>Night</v>
      </c>
      <c r="S582" s="5">
        <f ca="1">IFERROR(__xludf.DUMMYFUNCTION("""COMPUTED_VALUE"""),0.104166666666666)</f>
        <v>0.10416666666666601</v>
      </c>
      <c r="T582" s="1">
        <f ca="1">IFERROR(__xludf.DUMMYFUNCTION("""COMPUTED_VALUE"""),1)</f>
        <v>1</v>
      </c>
      <c r="U582" s="1" t="str">
        <f ca="1">IFERROR(__xludf.DUMMYFUNCTION("""COMPUTED_VALUE"""),"Man shot during fight that escalated into shooting")</f>
        <v>Man shot during fight that escalated into shooting</v>
      </c>
      <c r="V582" s="1" t="str">
        <f ca="1">IFERROR(__xludf.DUMMYFUNCTION("""COMPUTED_VALUE"""),"19-year-old man was shot during a fight in the school parking lot the escalated into a shooting. A nearby officer heard the shots and responded. Shooter fled the scene.")</f>
        <v>19-year-old man was shot during a fight in the school parking lot the escalated into a shooting. A nearby officer heard the shots and responded. Shooter fled the scene.</v>
      </c>
      <c r="W582" s="1" t="str">
        <f ca="1">IFERROR(__xludf.DUMMYFUNCTION("""COMPUTED_VALUE"""),"Escalation of Dispute")</f>
        <v>Escalation of Dispute</v>
      </c>
      <c r="X582" s="1" t="str">
        <f ca="1">IFERROR(__xludf.DUMMYFUNCTION("""COMPUTED_VALUE"""),"Victims Targeted")</f>
        <v>Victims Targeted</v>
      </c>
      <c r="Y582" s="1" t="str">
        <f ca="1">IFERROR(__xludf.DUMMYFUNCTION("""COMPUTED_VALUE"""),"No")</f>
        <v>No</v>
      </c>
      <c r="Z582" s="1"/>
      <c r="AA582" s="1" t="str">
        <f ca="1">IFERROR(__xludf.DUMMYFUNCTION("""COMPUTED_VALUE"""),"No")</f>
        <v>No</v>
      </c>
      <c r="AB582" s="1" t="str">
        <f ca="1">IFERROR(__xludf.DUMMYFUNCTION("""COMPUTED_VALUE"""),"No")</f>
        <v>No</v>
      </c>
      <c r="AC582" s="1" t="str">
        <f ca="1">IFERROR(__xludf.DUMMYFUNCTION("""COMPUTED_VALUE"""),"No")</f>
        <v>No</v>
      </c>
      <c r="AD582" s="1" t="str">
        <f ca="1">IFERROR(__xludf.DUMMYFUNCTION("""COMPUTED_VALUE"""),"No")</f>
        <v>No</v>
      </c>
      <c r="AE582" s="1" t="str">
        <f ca="1">IFERROR(__xludf.DUMMYFUNCTION("""COMPUTED_VALUE"""),"No")</f>
        <v>No</v>
      </c>
      <c r="AF582" s="1"/>
      <c r="AG582" s="1" t="str">
        <f ca="1">IFERROR(__xludf.DUMMYFUNCTION("""COMPUTED_VALUE"""),"No")</f>
        <v>No</v>
      </c>
      <c r="AH582" s="1">
        <f ca="1">IFERROR(__xludf.DUMMYFUNCTION("""COMPUTED_VALUE"""),99)</f>
        <v>99</v>
      </c>
    </row>
    <row r="583" spans="1:34" ht="12.5">
      <c r="A583" s="1" t="str">
        <f ca="1">IFERROR(__xludf.DUMMYFUNCTION("""COMPUTED_VALUE"""),"20220629CABUA")</f>
        <v>20220629CABUA</v>
      </c>
      <c r="B583" s="1">
        <f ca="1">IFERROR(__xludf.DUMMYFUNCTION("""COMPUTED_VALUE"""),6)</f>
        <v>6</v>
      </c>
      <c r="C583" s="1">
        <f ca="1">IFERROR(__xludf.DUMMYFUNCTION("""COMPUTED_VALUE"""),29)</f>
        <v>29</v>
      </c>
      <c r="D583" s="1">
        <f ca="1">IFERROR(__xludf.DUMMYFUNCTION("""COMPUTED_VALUE"""),2022)</f>
        <v>2022</v>
      </c>
      <c r="E583" s="4">
        <f ca="1">IFERROR(__xludf.DUMMYFUNCTION("""COMPUTED_VALUE"""),44741)</f>
        <v>44741</v>
      </c>
      <c r="F583" s="1" t="str">
        <f ca="1">IFERROR(__xludf.DUMMYFUNCTION("""COMPUTED_VALUE"""),"Buhach Colony High School")</f>
        <v>Buhach Colony High School</v>
      </c>
      <c r="G583" s="1">
        <f ca="1">IFERROR(__xludf.DUMMYFUNCTION("""COMPUTED_VALUE"""),0)</f>
        <v>0</v>
      </c>
      <c r="H583" s="1">
        <f ca="1">IFERROR(__xludf.DUMMYFUNCTION("""COMPUTED_VALUE"""),0)</f>
        <v>0</v>
      </c>
      <c r="I583" s="1">
        <f ca="1">IFERROR(__xludf.DUMMYFUNCTION("""COMPUTED_VALUE"""),0)</f>
        <v>0</v>
      </c>
      <c r="J583" s="1">
        <f ca="1">IFERROR(__xludf.DUMMYFUNCTION("""COMPUTED_VALUE"""),0)</f>
        <v>0</v>
      </c>
      <c r="K583" s="1" t="str">
        <f ca="1">IFERROR(__xludf.DUMMYFUNCTION("""COMPUTED_VALUE"""),"Summer")</f>
        <v>Summer</v>
      </c>
      <c r="L583" s="1" t="str">
        <f ca="1">IFERROR(__xludf.DUMMYFUNCTION("""COMPUTED_VALUE"""),"Atwater")</f>
        <v>Atwater</v>
      </c>
      <c r="M583" s="1" t="str">
        <f ca="1">IFERROR(__xludf.DUMMYFUNCTION("""COMPUTED_VALUE"""),"CA")</f>
        <v>CA</v>
      </c>
      <c r="N583" s="1" t="str">
        <f ca="1">IFERROR(__xludf.DUMMYFUNCTION("""COMPUTED_VALUE"""),"High")</f>
        <v>High</v>
      </c>
      <c r="O583" s="1" t="str">
        <f ca="1">IFERROR(__xludf.DUMMYFUNCTION("""COMPUTED_VALUE"""),"Parking Lot")</f>
        <v>Parking Lot</v>
      </c>
      <c r="P583" s="1" t="str">
        <f ca="1">IFERROR(__xludf.DUMMYFUNCTION("""COMPUTED_VALUE"""),"Outside on School Property")</f>
        <v>Outside on School Property</v>
      </c>
      <c r="Q583" s="1" t="str">
        <f ca="1">IFERROR(__xludf.DUMMYFUNCTION("""COMPUTED_VALUE"""),"No")</f>
        <v>No</v>
      </c>
      <c r="R583" s="1" t="str">
        <f ca="1">IFERROR(__xludf.DUMMYFUNCTION("""COMPUTED_VALUE"""),"Night")</f>
        <v>Night</v>
      </c>
      <c r="S583" s="5">
        <f ca="1">IFERROR(__xludf.DUMMYFUNCTION("""COMPUTED_VALUE"""),0.986111111111111)</f>
        <v>0.98611111111111105</v>
      </c>
      <c r="T583" s="1">
        <f ca="1">IFERROR(__xludf.DUMMYFUNCTION("""COMPUTED_VALUE"""),1)</f>
        <v>1</v>
      </c>
      <c r="U583" s="1" t="str">
        <f ca="1">IFERROR(__xludf.DUMMYFUNCTION("""COMPUTED_VALUE"""),"Man shot and killed in school parking lot")</f>
        <v>Man shot and killed in school parking lot</v>
      </c>
      <c r="V583" s="1" t="str">
        <f ca="1">IFERROR(__xludf.DUMMYFUNCTION("""COMPUTED_VALUE"""),"Adult man was fatally shot in the school parking lot. Shooter fled. Police believe the shooting was related to the sale of narcotics.")</f>
        <v>Adult man was fatally shot in the school parking lot. Shooter fled. Police believe the shooting was related to the sale of narcotics.</v>
      </c>
      <c r="W583" s="1" t="str">
        <f ca="1">IFERROR(__xludf.DUMMYFUNCTION("""COMPUTED_VALUE"""),"Illegal Activity")</f>
        <v>Illegal Activity</v>
      </c>
      <c r="X583" s="1" t="str">
        <f ca="1">IFERROR(__xludf.DUMMYFUNCTION("""COMPUTED_VALUE"""),"Victims Targeted")</f>
        <v>Victims Targeted</v>
      </c>
      <c r="Y583" s="1" t="str">
        <f ca="1">IFERROR(__xludf.DUMMYFUNCTION("""COMPUTED_VALUE"""),"Yes")</f>
        <v>Yes</v>
      </c>
      <c r="Z583" s="1" t="str">
        <f ca="1">IFERROR(__xludf.DUMMYFUNCTION("""COMPUTED_VALUE"""),"2 men fled")</f>
        <v>2 men fled</v>
      </c>
      <c r="AA583" s="1" t="str">
        <f ca="1">IFERROR(__xludf.DUMMYFUNCTION("""COMPUTED_VALUE"""),"No")</f>
        <v>No</v>
      </c>
      <c r="AB583" s="1" t="str">
        <f ca="1">IFERROR(__xludf.DUMMYFUNCTION("""COMPUTED_VALUE"""),"No")</f>
        <v>No</v>
      </c>
      <c r="AC583" s="1" t="str">
        <f ca="1">IFERROR(__xludf.DUMMYFUNCTION("""COMPUTED_VALUE"""),"No")</f>
        <v>No</v>
      </c>
      <c r="AD583" s="1" t="str">
        <f ca="1">IFERROR(__xludf.DUMMYFUNCTION("""COMPUTED_VALUE"""),"No")</f>
        <v>No</v>
      </c>
      <c r="AE583" s="1" t="str">
        <f ca="1">IFERROR(__xludf.DUMMYFUNCTION("""COMPUTED_VALUE"""),"No")</f>
        <v>No</v>
      </c>
      <c r="AF583" s="1" t="str">
        <f ca="1">IFERROR(__xludf.DUMMYFUNCTION("""COMPUTED_VALUE"""),"No")</f>
        <v>No</v>
      </c>
      <c r="AG583" s="1" t="str">
        <f ca="1">IFERROR(__xludf.DUMMYFUNCTION("""COMPUTED_VALUE"""),"No")</f>
        <v>No</v>
      </c>
      <c r="AH583" s="1"/>
    </row>
    <row r="584" spans="1:34" ht="12.5">
      <c r="A584" s="1" t="str">
        <f ca="1">IFERROR(__xludf.DUMMYFUNCTION("""COMPUTED_VALUE"""),"20220620ILGRC")</f>
        <v>20220620ILGRC</v>
      </c>
      <c r="B584" s="1">
        <f ca="1">IFERROR(__xludf.DUMMYFUNCTION("""COMPUTED_VALUE"""),6)</f>
        <v>6</v>
      </c>
      <c r="C584" s="1">
        <f ca="1">IFERROR(__xludf.DUMMYFUNCTION("""COMPUTED_VALUE"""),20)</f>
        <v>20</v>
      </c>
      <c r="D584" s="1">
        <f ca="1">IFERROR(__xludf.DUMMYFUNCTION("""COMPUTED_VALUE"""),2022)</f>
        <v>2022</v>
      </c>
      <c r="E584" s="4">
        <f ca="1">IFERROR(__xludf.DUMMYFUNCTION("""COMPUTED_VALUE"""),44732)</f>
        <v>44732</v>
      </c>
      <c r="F584" s="1" t="str">
        <f ca="1">IFERROR(__xludf.DUMMYFUNCTION("""COMPUTED_VALUE"""),"Gresham School of Excellence")</f>
        <v>Gresham School of Excellence</v>
      </c>
      <c r="G584" s="1">
        <f ca="1">IFERROR(__xludf.DUMMYFUNCTION("""COMPUTED_VALUE"""),0)</f>
        <v>0</v>
      </c>
      <c r="H584" s="1">
        <f ca="1">IFERROR(__xludf.DUMMYFUNCTION("""COMPUTED_VALUE"""),3)</f>
        <v>3</v>
      </c>
      <c r="I584" s="1">
        <f ca="1">IFERROR(__xludf.DUMMYFUNCTION("""COMPUTED_VALUE"""),3)</f>
        <v>3</v>
      </c>
      <c r="J584" s="1">
        <f ca="1">IFERROR(__xludf.DUMMYFUNCTION("""COMPUTED_VALUE"""),0)</f>
        <v>0</v>
      </c>
      <c r="K584" s="1" t="str">
        <f ca="1">IFERROR(__xludf.DUMMYFUNCTION("""COMPUTED_VALUE"""),"Summer")</f>
        <v>Summer</v>
      </c>
      <c r="L584" s="1" t="str">
        <f ca="1">IFERROR(__xludf.DUMMYFUNCTION("""COMPUTED_VALUE"""),"Chicago")</f>
        <v>Chicago</v>
      </c>
      <c r="M584" s="1" t="str">
        <f ca="1">IFERROR(__xludf.DUMMYFUNCTION("""COMPUTED_VALUE"""),"IL")</f>
        <v>IL</v>
      </c>
      <c r="N584" s="1" t="str">
        <f ca="1">IFERROR(__xludf.DUMMYFUNCTION("""COMPUTED_VALUE"""),"Elementary")</f>
        <v>Elementary</v>
      </c>
      <c r="O584" s="1" t="str">
        <f ca="1">IFERROR(__xludf.DUMMYFUNCTION("""COMPUTED_VALUE"""),"Field (General)")</f>
        <v>Field (General)</v>
      </c>
      <c r="P584" s="1" t="str">
        <f ca="1">IFERROR(__xludf.DUMMYFUNCTION("""COMPUTED_VALUE"""),"Outside on School Property")</f>
        <v>Outside on School Property</v>
      </c>
      <c r="Q584" s="1" t="str">
        <f ca="1">IFERROR(__xludf.DUMMYFUNCTION("""COMPUTED_VALUE"""),"No")</f>
        <v>No</v>
      </c>
      <c r="R584" s="1" t="str">
        <f ca="1">IFERROR(__xludf.DUMMYFUNCTION("""COMPUTED_VALUE"""),"Night")</f>
        <v>Night</v>
      </c>
      <c r="S584" s="5">
        <f ca="1">IFERROR(__xludf.DUMMYFUNCTION("""COMPUTED_VALUE"""),0.0416666666666666)</f>
        <v>4.1666666666666602E-2</v>
      </c>
      <c r="T584" s="1">
        <f ca="1">IFERROR(__xludf.DUMMYFUNCTION("""COMPUTED_VALUE"""),1)</f>
        <v>1</v>
      </c>
      <c r="U584" s="1" t="str">
        <f ca="1">IFERROR(__xludf.DUMMYFUNCTION("""COMPUTED_VALUE"""),"3 people shot on elementary school field")</f>
        <v>3 people shot on elementary school field</v>
      </c>
      <c r="V584" s="1" t="str">
        <f ca="1">IFERROR(__xludf.DUMMYFUNCTION("""COMPUTED_VALUE"""),"100 shots were fired on the field of the elementary school. A 29-year-old female, 16-year-old male, and 17-year-old female were wounded. Shooter fled.")</f>
        <v>100 shots were fired on the field of the elementary school. A 29-year-old female, 16-year-old male, and 17-year-old female were wounded. Shooter fled.</v>
      </c>
      <c r="W584" s="1"/>
      <c r="X584" s="1" t="str">
        <f ca="1">IFERROR(__xludf.DUMMYFUNCTION("""COMPUTED_VALUE"""),"Both")</f>
        <v>Both</v>
      </c>
      <c r="Y584" s="1" t="str">
        <f ca="1">IFERROR(__xludf.DUMMYFUNCTION("""COMPUTED_VALUE"""),"No")</f>
        <v>No</v>
      </c>
      <c r="Z584" s="1"/>
      <c r="AA584" s="1" t="str">
        <f ca="1">IFERROR(__xludf.DUMMYFUNCTION("""COMPUTED_VALUE"""),"No")</f>
        <v>No</v>
      </c>
      <c r="AB584" s="1" t="str">
        <f ca="1">IFERROR(__xludf.DUMMYFUNCTION("""COMPUTED_VALUE"""),"No")</f>
        <v>No</v>
      </c>
      <c r="AC584" s="1" t="str">
        <f ca="1">IFERROR(__xludf.DUMMYFUNCTION("""COMPUTED_VALUE"""),"No")</f>
        <v>No</v>
      </c>
      <c r="AD584" s="1" t="str">
        <f ca="1">IFERROR(__xludf.DUMMYFUNCTION("""COMPUTED_VALUE"""),"No")</f>
        <v>No</v>
      </c>
      <c r="AE584" s="1" t="str">
        <f ca="1">IFERROR(__xludf.DUMMYFUNCTION("""COMPUTED_VALUE"""),"No")</f>
        <v>No</v>
      </c>
      <c r="AF584" s="1"/>
      <c r="AG584" s="1" t="str">
        <f ca="1">IFERROR(__xludf.DUMMYFUNCTION("""COMPUTED_VALUE"""),"No")</f>
        <v>No</v>
      </c>
      <c r="AH584" s="1">
        <f ca="1">IFERROR(__xludf.DUMMYFUNCTION("""COMPUTED_VALUE"""),100)</f>
        <v>100</v>
      </c>
    </row>
    <row r="585" spans="1:34" ht="12.5">
      <c r="A585" s="1" t="str">
        <f ca="1">IFERROR(__xludf.DUMMYFUNCTION("""COMPUTED_VALUE"""),"20220613WAMAE")</f>
        <v>20220613WAMAE</v>
      </c>
      <c r="B585" s="1">
        <f ca="1">IFERROR(__xludf.DUMMYFUNCTION("""COMPUTED_VALUE"""),6)</f>
        <v>6</v>
      </c>
      <c r="C585" s="1">
        <f ca="1">IFERROR(__xludf.DUMMYFUNCTION("""COMPUTED_VALUE"""),13)</f>
        <v>13</v>
      </c>
      <c r="D585" s="1">
        <f ca="1">IFERROR(__xludf.DUMMYFUNCTION("""COMPUTED_VALUE"""),2022)</f>
        <v>2022</v>
      </c>
      <c r="E585" s="4">
        <f ca="1">IFERROR(__xludf.DUMMYFUNCTION("""COMPUTED_VALUE"""),44725)</f>
        <v>44725</v>
      </c>
      <c r="F585" s="1" t="str">
        <f ca="1">IFERROR(__xludf.DUMMYFUNCTION("""COMPUTED_VALUE"""),"Mariner High School")</f>
        <v>Mariner High School</v>
      </c>
      <c r="G585" s="1">
        <f ca="1">IFERROR(__xludf.DUMMYFUNCTION("""COMPUTED_VALUE"""),0)</f>
        <v>0</v>
      </c>
      <c r="H585" s="1">
        <f ca="1">IFERROR(__xludf.DUMMYFUNCTION("""COMPUTED_VALUE"""),0)</f>
        <v>0</v>
      </c>
      <c r="I585" s="1">
        <f ca="1">IFERROR(__xludf.DUMMYFUNCTION("""COMPUTED_VALUE"""),0)</f>
        <v>0</v>
      </c>
      <c r="J585" s="1">
        <f ca="1">IFERROR(__xludf.DUMMYFUNCTION("""COMPUTED_VALUE"""),0)</f>
        <v>0</v>
      </c>
      <c r="K585" s="1" t="str">
        <f ca="1">IFERROR(__xludf.DUMMYFUNCTION("""COMPUTED_VALUE"""),"Summer")</f>
        <v>Summer</v>
      </c>
      <c r="L585" s="1" t="str">
        <f ca="1">IFERROR(__xludf.DUMMYFUNCTION("""COMPUTED_VALUE"""),"Everett")</f>
        <v>Everett</v>
      </c>
      <c r="M585" s="1" t="str">
        <f ca="1">IFERROR(__xludf.DUMMYFUNCTION("""COMPUTED_VALUE"""),"WA")</f>
        <v>WA</v>
      </c>
      <c r="N585" s="1" t="str">
        <f ca="1">IFERROR(__xludf.DUMMYFUNCTION("""COMPUTED_VALUE"""),"High")</f>
        <v>High</v>
      </c>
      <c r="O585" s="1" t="str">
        <f ca="1">IFERROR(__xludf.DUMMYFUNCTION("""COMPUTED_VALUE"""),"Parking Lot")</f>
        <v>Parking Lot</v>
      </c>
      <c r="P585" s="1" t="str">
        <f ca="1">IFERROR(__xludf.DUMMYFUNCTION("""COMPUTED_VALUE"""),"Outside on School Property")</f>
        <v>Outside on School Property</v>
      </c>
      <c r="Q585" s="1" t="str">
        <f ca="1">IFERROR(__xludf.DUMMYFUNCTION("""COMPUTED_VALUE"""),"No")</f>
        <v>No</v>
      </c>
      <c r="R585" s="1" t="str">
        <f ca="1">IFERROR(__xludf.DUMMYFUNCTION("""COMPUTED_VALUE"""),"After School")</f>
        <v>After School</v>
      </c>
      <c r="S585" s="5">
        <f ca="1">IFERROR(__xludf.DUMMYFUNCTION("""COMPUTED_VALUE"""),0.631944444444444)</f>
        <v>0.63194444444444398</v>
      </c>
      <c r="T585" s="1">
        <f ca="1">IFERROR(__xludf.DUMMYFUNCTION("""COMPUTED_VALUE"""),1)</f>
        <v>1</v>
      </c>
      <c r="U585" s="1" t="str">
        <f ca="1">IFERROR(__xludf.DUMMYFUNCTION("""COMPUTED_VALUE"""),"Shots fired in parking lot by teen during after school activities")</f>
        <v>Shots fired in parking lot by teen during after school activities</v>
      </c>
      <c r="V585" s="1" t="str">
        <f ca="1">IFERROR(__xludf.DUMMYFUNCTION("""COMPUTED_VALUE"""),"A 15-year-old male fired shots at two teens in a vehicle in the school parking lot during a dispute. Two shots stuck the car. Shooter ran from the scene and was arrested the following day. Victims also fled and were uncooperative with police. No injuries."&amp;" School went on lockdown.")</f>
        <v>A 15-year-old male fired shots at two teens in a vehicle in the school parking lot during a dispute. Two shots stuck the car. Shooter ran from the scene and was arrested the following day. Victims also fled and were uncooperative with police. No injuries. School went on lockdown.</v>
      </c>
      <c r="W585" s="1" t="str">
        <f ca="1">IFERROR(__xludf.DUMMYFUNCTION("""COMPUTED_VALUE"""),"Escalation of Dispute")</f>
        <v>Escalation of Dispute</v>
      </c>
      <c r="X585" s="1" t="str">
        <f ca="1">IFERROR(__xludf.DUMMYFUNCTION("""COMPUTED_VALUE"""),"Victims Targeted")</f>
        <v>Victims Targeted</v>
      </c>
      <c r="Y585" s="1" t="str">
        <f ca="1">IFERROR(__xludf.DUMMYFUNCTION("""COMPUTED_VALUE"""),"No")</f>
        <v>No</v>
      </c>
      <c r="Z585" s="1"/>
      <c r="AA585" s="1" t="str">
        <f ca="1">IFERROR(__xludf.DUMMYFUNCTION("""COMPUTED_VALUE"""),"No")</f>
        <v>No</v>
      </c>
      <c r="AB585" s="1" t="str">
        <f ca="1">IFERROR(__xludf.DUMMYFUNCTION("""COMPUTED_VALUE"""),"No")</f>
        <v>No</v>
      </c>
      <c r="AC585" s="1" t="str">
        <f ca="1">IFERROR(__xludf.DUMMYFUNCTION("""COMPUTED_VALUE"""),"No")</f>
        <v>No</v>
      </c>
      <c r="AD585" s="1" t="str">
        <f ca="1">IFERROR(__xludf.DUMMYFUNCTION("""COMPUTED_VALUE"""),"No")</f>
        <v>No</v>
      </c>
      <c r="AE585" s="1" t="str">
        <f ca="1">IFERROR(__xludf.DUMMYFUNCTION("""COMPUTED_VALUE"""),"No")</f>
        <v>No</v>
      </c>
      <c r="AF585" s="1"/>
      <c r="AG585" s="1" t="str">
        <f ca="1">IFERROR(__xludf.DUMMYFUNCTION("""COMPUTED_VALUE"""),"No")</f>
        <v>No</v>
      </c>
      <c r="AH585" s="1">
        <f ca="1">IFERROR(__xludf.DUMMYFUNCTION("""COMPUTED_VALUE"""),99)</f>
        <v>99</v>
      </c>
    </row>
    <row r="586" spans="1:34" ht="12.5">
      <c r="A586" s="1" t="str">
        <f ca="1">IFERROR(__xludf.DUMMYFUNCTION("""COMPUTED_VALUE"""),"20220610ALBYB")</f>
        <v>20220610ALBYB</v>
      </c>
      <c r="B586" s="1">
        <f ca="1">IFERROR(__xludf.DUMMYFUNCTION("""COMPUTED_VALUE"""),6)</f>
        <v>6</v>
      </c>
      <c r="C586" s="1">
        <f ca="1">IFERROR(__xludf.DUMMYFUNCTION("""COMPUTED_VALUE"""),10)</f>
        <v>10</v>
      </c>
      <c r="D586" s="1">
        <f ca="1">IFERROR(__xludf.DUMMYFUNCTION("""COMPUTED_VALUE"""),2022)</f>
        <v>2022</v>
      </c>
      <c r="E586" s="4">
        <f ca="1">IFERROR(__xludf.DUMMYFUNCTION("""COMPUTED_VALUE"""),44722)</f>
        <v>44722</v>
      </c>
      <c r="F586" s="1" t="str">
        <f ca="1">IFERROR(__xludf.DUMMYFUNCTION("""COMPUTED_VALUE"""),"Byhalia High School")</f>
        <v>Byhalia High School</v>
      </c>
      <c r="G586" s="1">
        <f ca="1">IFERROR(__xludf.DUMMYFUNCTION("""COMPUTED_VALUE"""),0)</f>
        <v>0</v>
      </c>
      <c r="H586" s="1">
        <f ca="1">IFERROR(__xludf.DUMMYFUNCTION("""COMPUTED_VALUE"""),0)</f>
        <v>0</v>
      </c>
      <c r="I586" s="1">
        <f ca="1">IFERROR(__xludf.DUMMYFUNCTION("""COMPUTED_VALUE"""),0)</f>
        <v>0</v>
      </c>
      <c r="J586" s="1">
        <f ca="1">IFERROR(__xludf.DUMMYFUNCTION("""COMPUTED_VALUE"""),0)</f>
        <v>0</v>
      </c>
      <c r="K586" s="1" t="str">
        <f ca="1">IFERROR(__xludf.DUMMYFUNCTION("""COMPUTED_VALUE"""),"Summer")</f>
        <v>Summer</v>
      </c>
      <c r="L586" s="1" t="str">
        <f ca="1">IFERROR(__xludf.DUMMYFUNCTION("""COMPUTED_VALUE"""),"Byhalia")</f>
        <v>Byhalia</v>
      </c>
      <c r="M586" s="1" t="str">
        <f ca="1">IFERROR(__xludf.DUMMYFUNCTION("""COMPUTED_VALUE"""),"MS")</f>
        <v>MS</v>
      </c>
      <c r="N586" s="1" t="str">
        <f ca="1">IFERROR(__xludf.DUMMYFUNCTION("""COMPUTED_VALUE"""),"High")</f>
        <v>High</v>
      </c>
      <c r="O586" s="1" t="str">
        <f ca="1">IFERROR(__xludf.DUMMYFUNCTION("""COMPUTED_VALUE"""),"Parking Lot")</f>
        <v>Parking Lot</v>
      </c>
      <c r="P586" s="1" t="str">
        <f ca="1">IFERROR(__xludf.DUMMYFUNCTION("""COMPUTED_VALUE"""),"Outside on School Property")</f>
        <v>Outside on School Property</v>
      </c>
      <c r="Q586" s="1" t="str">
        <f ca="1">IFERROR(__xludf.DUMMYFUNCTION("""COMPUTED_VALUE"""),"Yes")</f>
        <v>Yes</v>
      </c>
      <c r="R586" s="1" t="str">
        <f ca="1">IFERROR(__xludf.DUMMYFUNCTION("""COMPUTED_VALUE"""),"Morning Classes")</f>
        <v>Morning Classes</v>
      </c>
      <c r="S586" s="5">
        <f ca="1">IFERROR(__xludf.DUMMYFUNCTION("""COMPUTED_VALUE"""),0.4375)</f>
        <v>0.4375</v>
      </c>
      <c r="T586" s="1">
        <f ca="1">IFERROR(__xludf.DUMMYFUNCTION("""COMPUTED_VALUE"""),1)</f>
        <v>1</v>
      </c>
      <c r="U586" s="1" t="str">
        <f ca="1">IFERROR(__xludf.DUMMYFUNCTION("""COMPUTED_VALUE"""),"Student fired gun in parking lot during dispute")</f>
        <v>Student fired gun in parking lot during dispute</v>
      </c>
      <c r="V586" s="1" t="str">
        <f ca="1">IFERROR(__xludf.DUMMYFUNCTION("""COMPUTED_VALUE"""),"Student (unidentified minor) fired shot during a dispute in the school parking lot. Students were at the school for summer classes and sports practice. Shooter fled in a vehicle and was later arrested. No injuries.")</f>
        <v>Student (unidentified minor) fired shot during a dispute in the school parking lot. Students were at the school for summer classes and sports practice. Shooter fled in a vehicle and was later arrested. No injuries.</v>
      </c>
      <c r="W586" s="1" t="str">
        <f ca="1">IFERROR(__xludf.DUMMYFUNCTION("""COMPUTED_VALUE"""),"Escalation of Dispute")</f>
        <v>Escalation of Dispute</v>
      </c>
      <c r="X586" s="1" t="str">
        <f ca="1">IFERROR(__xludf.DUMMYFUNCTION("""COMPUTED_VALUE"""),"Victims Targeted")</f>
        <v>Victims Targeted</v>
      </c>
      <c r="Y586" s="1"/>
      <c r="Z586" s="1"/>
      <c r="AA586" s="1" t="str">
        <f ca="1">IFERROR(__xludf.DUMMYFUNCTION("""COMPUTED_VALUE"""),"No")</f>
        <v>No</v>
      </c>
      <c r="AB586" s="1" t="str">
        <f ca="1">IFERROR(__xludf.DUMMYFUNCTION("""COMPUTED_VALUE"""),"No")</f>
        <v>No</v>
      </c>
      <c r="AC586" s="1" t="str">
        <f ca="1">IFERROR(__xludf.DUMMYFUNCTION("""COMPUTED_VALUE"""),"No")</f>
        <v>No</v>
      </c>
      <c r="AD586" s="1" t="str">
        <f ca="1">IFERROR(__xludf.DUMMYFUNCTION("""COMPUTED_VALUE"""),"No")</f>
        <v>No</v>
      </c>
      <c r="AE586" s="1" t="str">
        <f ca="1">IFERROR(__xludf.DUMMYFUNCTION("""COMPUTED_VALUE"""),"No")</f>
        <v>No</v>
      </c>
      <c r="AF586" s="1"/>
      <c r="AG586" s="1" t="str">
        <f ca="1">IFERROR(__xludf.DUMMYFUNCTION("""COMPUTED_VALUE"""),"No")</f>
        <v>No</v>
      </c>
      <c r="AH586" s="1">
        <f ca="1">IFERROR(__xludf.DUMMYFUNCTION("""COMPUTED_VALUE"""),1)</f>
        <v>1</v>
      </c>
    </row>
    <row r="587" spans="1:34" ht="12.5">
      <c r="A587" s="1" t="str">
        <f ca="1">IFERROR(__xludf.DUMMYFUNCTION("""COMPUTED_VALUE"""),"20220609ALWAG")</f>
        <v>20220609ALWAG</v>
      </c>
      <c r="B587" s="1">
        <f ca="1">IFERROR(__xludf.DUMMYFUNCTION("""COMPUTED_VALUE"""),6)</f>
        <v>6</v>
      </c>
      <c r="C587" s="1">
        <f ca="1">IFERROR(__xludf.DUMMYFUNCTION("""COMPUTED_VALUE"""),9)</f>
        <v>9</v>
      </c>
      <c r="D587" s="1">
        <f ca="1">IFERROR(__xludf.DUMMYFUNCTION("""COMPUTED_VALUE"""),2022)</f>
        <v>2022</v>
      </c>
      <c r="E587" s="4">
        <f ca="1">IFERROR(__xludf.DUMMYFUNCTION("""COMPUTED_VALUE"""),44721)</f>
        <v>44721</v>
      </c>
      <c r="F587" s="1" t="str">
        <f ca="1">IFERROR(__xludf.DUMMYFUNCTION("""COMPUTED_VALUE"""),"Walnut Park Elementary School")</f>
        <v>Walnut Park Elementary School</v>
      </c>
      <c r="G587" s="1">
        <f ca="1">IFERROR(__xludf.DUMMYFUNCTION("""COMPUTED_VALUE"""),1)</f>
        <v>1</v>
      </c>
      <c r="H587" s="1">
        <f ca="1">IFERROR(__xludf.DUMMYFUNCTION("""COMPUTED_VALUE"""),1)</f>
        <v>1</v>
      </c>
      <c r="I587" s="1">
        <f ca="1">IFERROR(__xludf.DUMMYFUNCTION("""COMPUTED_VALUE"""),2)</f>
        <v>2</v>
      </c>
      <c r="J587" s="1">
        <f ca="1">IFERROR(__xludf.DUMMYFUNCTION("""COMPUTED_VALUE"""),0)</f>
        <v>0</v>
      </c>
      <c r="K587" s="1" t="str">
        <f ca="1">IFERROR(__xludf.DUMMYFUNCTION("""COMPUTED_VALUE"""),"Summer")</f>
        <v>Summer</v>
      </c>
      <c r="L587" s="1" t="str">
        <f ca="1">IFERROR(__xludf.DUMMYFUNCTION("""COMPUTED_VALUE"""),"Gadsden")</f>
        <v>Gadsden</v>
      </c>
      <c r="M587" s="1" t="str">
        <f ca="1">IFERROR(__xludf.DUMMYFUNCTION("""COMPUTED_VALUE"""),"AL")</f>
        <v>AL</v>
      </c>
      <c r="N587" s="1" t="str">
        <f ca="1">IFERROR(__xludf.DUMMYFUNCTION("""COMPUTED_VALUE"""),"Elementary")</f>
        <v>Elementary</v>
      </c>
      <c r="O587" s="1" t="str">
        <f ca="1">IFERROR(__xludf.DUMMYFUNCTION("""COMPUTED_VALUE"""),"Front of School")</f>
        <v>Front of School</v>
      </c>
      <c r="P587" s="1" t="str">
        <f ca="1">IFERROR(__xludf.DUMMYFUNCTION("""COMPUTED_VALUE"""),"Outside on School Property")</f>
        <v>Outside on School Property</v>
      </c>
      <c r="Q587" s="1" t="str">
        <f ca="1">IFERROR(__xludf.DUMMYFUNCTION("""COMPUTED_VALUE"""),"Yes")</f>
        <v>Yes</v>
      </c>
      <c r="R587" s="1" t="str">
        <f ca="1">IFERROR(__xludf.DUMMYFUNCTION("""COMPUTED_VALUE"""),"Morning Classes")</f>
        <v>Morning Classes</v>
      </c>
      <c r="S587" s="5">
        <f ca="1">IFERROR(__xludf.DUMMYFUNCTION("""COMPUTED_VALUE"""),0.395833333333333)</f>
        <v>0.39583333333333298</v>
      </c>
      <c r="T587" s="1">
        <f ca="1">IFERROR(__xludf.DUMMYFUNCTION("""COMPUTED_VALUE"""),1)</f>
        <v>1</v>
      </c>
      <c r="U587" s="1" t="str">
        <f ca="1">IFERROR(__xludf.DUMMYFUNCTION("""COMPUTED_VALUE"""),"Man fatally shot by SRO while trying to break-in to school")</f>
        <v>Man fatally shot by SRO while trying to break-in to school</v>
      </c>
      <c r="V587" s="1" t="str">
        <f ca="1">IFERROR(__xludf.DUMMYFUNCTION("""COMPUTED_VALUE"""),"A 32-year-old man was fatally shot by a school resource officer after attempting to break-in to the school and a vehicle. When the officer approached the man, he became violent and attempted to take the officers gun. Family members said the man was suffer"&amp;"ing from severe mental illness, suicidal, and depressed. Brother believe he was attempting suicide by cop. School went on lockdown. Students and staff inside the school were not injured.")</f>
        <v>A 32-year-old man was fatally shot by a school resource officer after attempting to break-in to the school and a vehicle. When the officer approached the man, he became violent and attempted to take the officers gun. Family members said the man was suffering from severe mental illness, suicidal, and depressed. Brother believe he was attempting suicide by cop. School went on lockdown. Students and staff inside the school were not injured.</v>
      </c>
      <c r="W587" s="1" t="str">
        <f ca="1">IFERROR(__xludf.DUMMYFUNCTION("""COMPUTED_VALUE"""),"Officer-Involved Shooting")</f>
        <v>Officer-Involved Shooting</v>
      </c>
      <c r="X587" s="1"/>
      <c r="Y587" s="1"/>
      <c r="Z587" s="1"/>
      <c r="AA587" s="1"/>
      <c r="AB587" s="1"/>
      <c r="AC587" s="1"/>
      <c r="AD587" s="1"/>
      <c r="AE587" s="1"/>
      <c r="AF587" s="1"/>
      <c r="AG587" s="1" t="str">
        <f ca="1">IFERROR(__xludf.DUMMYFUNCTION("""COMPUTED_VALUE"""),"No")</f>
        <v>No</v>
      </c>
      <c r="AH587" s="1"/>
    </row>
    <row r="588" spans="1:34" ht="12.5">
      <c r="A588" s="1" t="str">
        <f ca="1">IFERROR(__xludf.DUMMYFUNCTION("""COMPUTED_VALUE"""),"20220608ARLIL")</f>
        <v>20220608ARLIL</v>
      </c>
      <c r="B588" s="1">
        <f ca="1">IFERROR(__xludf.DUMMYFUNCTION("""COMPUTED_VALUE"""),6)</f>
        <v>6</v>
      </c>
      <c r="C588" s="1">
        <f ca="1">IFERROR(__xludf.DUMMYFUNCTION("""COMPUTED_VALUE"""),8)</f>
        <v>8</v>
      </c>
      <c r="D588" s="1">
        <f ca="1">IFERROR(__xludf.DUMMYFUNCTION("""COMPUTED_VALUE"""),2022)</f>
        <v>2022</v>
      </c>
      <c r="E588" s="4">
        <f ca="1">IFERROR(__xludf.DUMMYFUNCTION("""COMPUTED_VALUE"""),44720)</f>
        <v>44720</v>
      </c>
      <c r="F588" s="1" t="str">
        <f ca="1">IFERROR(__xludf.DUMMYFUNCTION("""COMPUTED_VALUE"""),"Little Rock School District Bus")</f>
        <v>Little Rock School District Bus</v>
      </c>
      <c r="G588" s="1">
        <f ca="1">IFERROR(__xludf.DUMMYFUNCTION("""COMPUTED_VALUE"""),0)</f>
        <v>0</v>
      </c>
      <c r="H588" s="1">
        <f ca="1">IFERROR(__xludf.DUMMYFUNCTION("""COMPUTED_VALUE"""),0)</f>
        <v>0</v>
      </c>
      <c r="I588" s="1">
        <f ca="1">IFERROR(__xludf.DUMMYFUNCTION("""COMPUTED_VALUE"""),0)</f>
        <v>0</v>
      </c>
      <c r="J588" s="1">
        <f ca="1">IFERROR(__xludf.DUMMYFUNCTION("""COMPUTED_VALUE"""),0)</f>
        <v>0</v>
      </c>
      <c r="K588" s="1" t="str">
        <f ca="1">IFERROR(__xludf.DUMMYFUNCTION("""COMPUTED_VALUE"""),"Summer")</f>
        <v>Summer</v>
      </c>
      <c r="L588" s="1" t="str">
        <f ca="1">IFERROR(__xludf.DUMMYFUNCTION("""COMPUTED_VALUE"""),"Little Rock")</f>
        <v>Little Rock</v>
      </c>
      <c r="M588" s="1" t="str">
        <f ca="1">IFERROR(__xludf.DUMMYFUNCTION("""COMPUTED_VALUE"""),"AR")</f>
        <v>AR</v>
      </c>
      <c r="N588" s="1" t="str">
        <f ca="1">IFERROR(__xludf.DUMMYFUNCTION("""COMPUTED_VALUE"""),"Other")</f>
        <v>Other</v>
      </c>
      <c r="O588" s="1" t="str">
        <f ca="1">IFERROR(__xludf.DUMMYFUNCTION("""COMPUTED_VALUE"""),"School Bus")</f>
        <v>School Bus</v>
      </c>
      <c r="P588" s="1" t="str">
        <f ca="1">IFERROR(__xludf.DUMMYFUNCTION("""COMPUTED_VALUE"""),"School Bus")</f>
        <v>School Bus</v>
      </c>
      <c r="Q588" s="1" t="str">
        <f ca="1">IFERROR(__xludf.DUMMYFUNCTION("""COMPUTED_VALUE"""),"Yes")</f>
        <v>Yes</v>
      </c>
      <c r="R588" s="1" t="str">
        <f ca="1">IFERROR(__xludf.DUMMYFUNCTION("""COMPUTED_VALUE"""),"Dismissal")</f>
        <v>Dismissal</v>
      </c>
      <c r="S588" s="5">
        <f ca="1">IFERROR(__xludf.DUMMYFUNCTION("""COMPUTED_VALUE"""),0.667361111111111)</f>
        <v>0.66736111111111096</v>
      </c>
      <c r="T588" s="1">
        <f ca="1">IFERROR(__xludf.DUMMYFUNCTION("""COMPUTED_VALUE"""),1)</f>
        <v>1</v>
      </c>
      <c r="U588" s="1" t="str">
        <f ca="1">IFERROR(__xludf.DUMMYFUNCTION("""COMPUTED_VALUE"""),"Shots struck school bus driving student home")</f>
        <v>Shots struck school bus driving student home</v>
      </c>
      <c r="V588" s="1" t="str">
        <f ca="1">IFERROR(__xludf.DUMMYFUNCTION("""COMPUTED_VALUE"""),"Shots struck a school bus. Driver and student on the bus were not injured. Police said the bus was not the target of the shooting. Suspect fled and was not identified.")</f>
        <v>Shots struck a school bus. Driver and student on the bus were not injured. Police said the bus was not the target of the shooting. Suspect fled and was not identified.</v>
      </c>
      <c r="W588" s="1"/>
      <c r="X588" s="1" t="str">
        <f ca="1">IFERROR(__xludf.DUMMYFUNCTION("""COMPUTED_VALUE"""),"Both")</f>
        <v>Both</v>
      </c>
      <c r="Y588" s="1"/>
      <c r="Z588" s="1"/>
      <c r="AA588" s="1" t="str">
        <f ca="1">IFERROR(__xludf.DUMMYFUNCTION("""COMPUTED_VALUE"""),"No")</f>
        <v>No</v>
      </c>
      <c r="AB588" s="1" t="str">
        <f ca="1">IFERROR(__xludf.DUMMYFUNCTION("""COMPUTED_VALUE"""),"No")</f>
        <v>No</v>
      </c>
      <c r="AC588" s="1" t="str">
        <f ca="1">IFERROR(__xludf.DUMMYFUNCTION("""COMPUTED_VALUE"""),"No")</f>
        <v>No</v>
      </c>
      <c r="AD588" s="1" t="str">
        <f ca="1">IFERROR(__xludf.DUMMYFUNCTION("""COMPUTED_VALUE"""),"No")</f>
        <v>No</v>
      </c>
      <c r="AE588" s="1" t="str">
        <f ca="1">IFERROR(__xludf.DUMMYFUNCTION("""COMPUTED_VALUE"""),"No")</f>
        <v>No</v>
      </c>
      <c r="AF588" s="1"/>
      <c r="AG588" s="1" t="str">
        <f ca="1">IFERROR(__xludf.DUMMYFUNCTION("""COMPUTED_VALUE"""),"No")</f>
        <v>No</v>
      </c>
      <c r="AH588" s="1">
        <f ca="1">IFERROR(__xludf.DUMMYFUNCTION("""COMPUTED_VALUE"""),99)</f>
        <v>99</v>
      </c>
    </row>
    <row r="589" spans="1:34" ht="12.5">
      <c r="A589" s="1" t="str">
        <f ca="1">IFERROR(__xludf.DUMMYFUNCTION("""COMPUTED_VALUE"""),"20220607MIPED")</f>
        <v>20220607MIPED</v>
      </c>
      <c r="B589" s="1">
        <f ca="1">IFERROR(__xludf.DUMMYFUNCTION("""COMPUTED_VALUE"""),6)</f>
        <v>6</v>
      </c>
      <c r="C589" s="1">
        <f ca="1">IFERROR(__xludf.DUMMYFUNCTION("""COMPUTED_VALUE"""),7)</f>
        <v>7</v>
      </c>
      <c r="D589" s="1">
        <f ca="1">IFERROR(__xludf.DUMMYFUNCTION("""COMPUTED_VALUE"""),2022)</f>
        <v>2022</v>
      </c>
      <c r="E589" s="4">
        <f ca="1">IFERROR(__xludf.DUMMYFUNCTION("""COMPUTED_VALUE"""),44719)</f>
        <v>44719</v>
      </c>
      <c r="F589" s="1" t="str">
        <f ca="1">IFERROR(__xludf.DUMMYFUNCTION("""COMPUTED_VALUE"""),"Pershing High School")</f>
        <v>Pershing High School</v>
      </c>
      <c r="G589" s="1">
        <f ca="1">IFERROR(__xludf.DUMMYFUNCTION("""COMPUTED_VALUE"""),0)</f>
        <v>0</v>
      </c>
      <c r="H589" s="1">
        <f ca="1">IFERROR(__xludf.DUMMYFUNCTION("""COMPUTED_VALUE"""),0)</f>
        <v>0</v>
      </c>
      <c r="I589" s="1">
        <f ca="1">IFERROR(__xludf.DUMMYFUNCTION("""COMPUTED_VALUE"""),0)</f>
        <v>0</v>
      </c>
      <c r="J589" s="1">
        <f ca="1">IFERROR(__xludf.DUMMYFUNCTION("""COMPUTED_VALUE"""),0)</f>
        <v>0</v>
      </c>
      <c r="K589" s="1" t="str">
        <f ca="1">IFERROR(__xludf.DUMMYFUNCTION("""COMPUTED_VALUE"""),"Summer")</f>
        <v>Summer</v>
      </c>
      <c r="L589" s="1" t="str">
        <f ca="1">IFERROR(__xludf.DUMMYFUNCTION("""COMPUTED_VALUE"""),"Detroit")</f>
        <v>Detroit</v>
      </c>
      <c r="M589" s="1" t="str">
        <f ca="1">IFERROR(__xludf.DUMMYFUNCTION("""COMPUTED_VALUE"""),"MI")</f>
        <v>MI</v>
      </c>
      <c r="N589" s="1" t="str">
        <f ca="1">IFERROR(__xludf.DUMMYFUNCTION("""COMPUTED_VALUE"""),"High")</f>
        <v>High</v>
      </c>
      <c r="O589" s="1" t="str">
        <f ca="1">IFERROR(__xludf.DUMMYFUNCTION("""COMPUTED_VALUE"""),"Parking Lot")</f>
        <v>Parking Lot</v>
      </c>
      <c r="P589" s="1" t="str">
        <f ca="1">IFERROR(__xludf.DUMMYFUNCTION("""COMPUTED_VALUE"""),"Outside on School Property")</f>
        <v>Outside on School Property</v>
      </c>
      <c r="Q589" s="1" t="str">
        <f ca="1">IFERROR(__xludf.DUMMYFUNCTION("""COMPUTED_VALUE"""),"No")</f>
        <v>No</v>
      </c>
      <c r="R589" s="1" t="str">
        <f ca="1">IFERROR(__xludf.DUMMYFUNCTION("""COMPUTED_VALUE"""),"After School")</f>
        <v>After School</v>
      </c>
      <c r="S589" s="5">
        <f ca="1">IFERROR(__xludf.DUMMYFUNCTION("""COMPUTED_VALUE"""),0.666666666666666)</f>
        <v>0.66666666666666596</v>
      </c>
      <c r="T589" s="1">
        <f ca="1">IFERROR(__xludf.DUMMYFUNCTION("""COMPUTED_VALUE"""),1)</f>
        <v>1</v>
      </c>
      <c r="U589" s="1" t="str">
        <f ca="1">IFERROR(__xludf.DUMMYFUNCTION("""COMPUTED_VALUE"""),"Shots fired in school parking lot after dismissal")</f>
        <v>Shots fired in school parking lot after dismissal</v>
      </c>
      <c r="V589" s="1" t="str">
        <f ca="1">IFERROR(__xludf.DUMMYFUNCTION("""COMPUTED_VALUE"""),"Shots fired in the school parking lot after dismissal. Football team was practicing nearby. School police arrested multiple people involving shooter. No injuries.")</f>
        <v>Shots fired in the school parking lot after dismissal. Football team was practicing nearby. School police arrested multiple people involving shooter. No injuries.</v>
      </c>
      <c r="W589" s="1"/>
      <c r="X589" s="1"/>
      <c r="Y589" s="1"/>
      <c r="Z589" s="1"/>
      <c r="AA589" s="1" t="str">
        <f ca="1">IFERROR(__xludf.DUMMYFUNCTION("""COMPUTED_VALUE"""),"No")</f>
        <v>No</v>
      </c>
      <c r="AB589" s="1" t="str">
        <f ca="1">IFERROR(__xludf.DUMMYFUNCTION("""COMPUTED_VALUE"""),"No")</f>
        <v>No</v>
      </c>
      <c r="AC589" s="1" t="str">
        <f ca="1">IFERROR(__xludf.DUMMYFUNCTION("""COMPUTED_VALUE"""),"No")</f>
        <v>No</v>
      </c>
      <c r="AD589" s="1" t="str">
        <f ca="1">IFERROR(__xludf.DUMMYFUNCTION("""COMPUTED_VALUE"""),"No")</f>
        <v>No</v>
      </c>
      <c r="AE589" s="1" t="str">
        <f ca="1">IFERROR(__xludf.DUMMYFUNCTION("""COMPUTED_VALUE"""),"No")</f>
        <v>No</v>
      </c>
      <c r="AF589" s="1"/>
      <c r="AG589" s="1" t="str">
        <f ca="1">IFERROR(__xludf.DUMMYFUNCTION("""COMPUTED_VALUE"""),"No")</f>
        <v>No</v>
      </c>
      <c r="AH589" s="1">
        <f ca="1">IFERROR(__xludf.DUMMYFUNCTION("""COMPUTED_VALUE"""),99)</f>
        <v>99</v>
      </c>
    </row>
    <row r="590" spans="1:34" ht="12.5">
      <c r="A590" s="1" t="str">
        <f ca="1">IFERROR(__xludf.DUMMYFUNCTION("""COMPUTED_VALUE"""),"20220605INWEG")</f>
        <v>20220605INWEG</v>
      </c>
      <c r="B590" s="1">
        <f ca="1">IFERROR(__xludf.DUMMYFUNCTION("""COMPUTED_VALUE"""),6)</f>
        <v>6</v>
      </c>
      <c r="C590" s="1">
        <f ca="1">IFERROR(__xludf.DUMMYFUNCTION("""COMPUTED_VALUE"""),5)</f>
        <v>5</v>
      </c>
      <c r="D590" s="1">
        <f ca="1">IFERROR(__xludf.DUMMYFUNCTION("""COMPUTED_VALUE"""),2022)</f>
        <v>2022</v>
      </c>
      <c r="E590" s="4">
        <f ca="1">IFERROR(__xludf.DUMMYFUNCTION("""COMPUTED_VALUE"""),44717)</f>
        <v>44717</v>
      </c>
      <c r="F590" s="1" t="str">
        <f ca="1">IFERROR(__xludf.DUMMYFUNCTION("""COMPUTED_VALUE"""),"West Side Leadership Academy")</f>
        <v>West Side Leadership Academy</v>
      </c>
      <c r="G590" s="1">
        <f ca="1">IFERROR(__xludf.DUMMYFUNCTION("""COMPUTED_VALUE"""),0)</f>
        <v>0</v>
      </c>
      <c r="H590" s="1">
        <f ca="1">IFERROR(__xludf.DUMMYFUNCTION("""COMPUTED_VALUE"""),2)</f>
        <v>2</v>
      </c>
      <c r="I590" s="1">
        <f ca="1">IFERROR(__xludf.DUMMYFUNCTION("""COMPUTED_VALUE"""),2)</f>
        <v>2</v>
      </c>
      <c r="J590" s="1">
        <f ca="1">IFERROR(__xludf.DUMMYFUNCTION("""COMPUTED_VALUE"""),0)</f>
        <v>0</v>
      </c>
      <c r="K590" s="1" t="str">
        <f ca="1">IFERROR(__xludf.DUMMYFUNCTION("""COMPUTED_VALUE"""),"Summer")</f>
        <v>Summer</v>
      </c>
      <c r="L590" s="1" t="str">
        <f ca="1">IFERROR(__xludf.DUMMYFUNCTION("""COMPUTED_VALUE"""),"Gary")</f>
        <v>Gary</v>
      </c>
      <c r="M590" s="1" t="str">
        <f ca="1">IFERROR(__xludf.DUMMYFUNCTION("""COMPUTED_VALUE"""),"IN")</f>
        <v>IN</v>
      </c>
      <c r="N590" s="1" t="str">
        <f ca="1">IFERROR(__xludf.DUMMYFUNCTION("""COMPUTED_VALUE"""),"High")</f>
        <v>High</v>
      </c>
      <c r="O590" s="1" t="str">
        <f ca="1">IFERROR(__xludf.DUMMYFUNCTION("""COMPUTED_VALUE"""),"Off School Property")</f>
        <v>Off School Property</v>
      </c>
      <c r="P590" s="1" t="str">
        <f ca="1">IFERROR(__xludf.DUMMYFUNCTION("""COMPUTED_VALUE"""),"Off School Property")</f>
        <v>Off School Property</v>
      </c>
      <c r="Q590" s="1" t="str">
        <f ca="1">IFERROR(__xludf.DUMMYFUNCTION("""COMPUTED_VALUE"""),"No")</f>
        <v>No</v>
      </c>
      <c r="R590" s="1" t="str">
        <f ca="1">IFERROR(__xludf.DUMMYFUNCTION("""COMPUTED_VALUE"""),"School Event")</f>
        <v>School Event</v>
      </c>
      <c r="S590" s="5">
        <f ca="1">IFERROR(__xludf.DUMMYFUNCTION("""COMPUTED_VALUE"""),0.759027777777777)</f>
        <v>0.75902777777777697</v>
      </c>
      <c r="T590" s="1">
        <f ca="1">IFERROR(__xludf.DUMMYFUNCTION("""COMPUTED_VALUE"""),1)</f>
        <v>1</v>
      </c>
      <c r="U590" s="1" t="str">
        <f ca="1">IFERROR(__xludf.DUMMYFUNCTION("""COMPUTED_VALUE"""),"2 teens shot following high school graduation")</f>
        <v>2 teens shot following high school graduation</v>
      </c>
      <c r="V590" s="1" t="str">
        <f ca="1">IFERROR(__xludf.DUMMYFUNCTION("""COMPUTED_VALUE"""),"Two teens were shot outside of the graduation venue following the ceremony. Two teens and a 20-year-old man were arrested by police officers working security for the event.")</f>
        <v>Two teens were shot outside of the graduation venue following the ceremony. Two teens and a 20-year-old man were arrested by police officers working security for the event.</v>
      </c>
      <c r="W590" s="1" t="str">
        <f ca="1">IFERROR(__xludf.DUMMYFUNCTION("""COMPUTED_VALUE"""),"Escalation of Dispute")</f>
        <v>Escalation of Dispute</v>
      </c>
      <c r="X590" s="1" t="str">
        <f ca="1">IFERROR(__xludf.DUMMYFUNCTION("""COMPUTED_VALUE"""),"Both")</f>
        <v>Both</v>
      </c>
      <c r="Y590" s="1"/>
      <c r="Z590" s="1"/>
      <c r="AA590" s="1" t="str">
        <f ca="1">IFERROR(__xludf.DUMMYFUNCTION("""COMPUTED_VALUE"""),"No")</f>
        <v>No</v>
      </c>
      <c r="AB590" s="1" t="str">
        <f ca="1">IFERROR(__xludf.DUMMYFUNCTION("""COMPUTED_VALUE"""),"No")</f>
        <v>No</v>
      </c>
      <c r="AC590" s="1" t="str">
        <f ca="1">IFERROR(__xludf.DUMMYFUNCTION("""COMPUTED_VALUE"""),"No")</f>
        <v>No</v>
      </c>
      <c r="AD590" s="1" t="str">
        <f ca="1">IFERROR(__xludf.DUMMYFUNCTION("""COMPUTED_VALUE"""),"No")</f>
        <v>No</v>
      </c>
      <c r="AE590" s="1" t="str">
        <f ca="1">IFERROR(__xludf.DUMMYFUNCTION("""COMPUTED_VALUE"""),"No")</f>
        <v>No</v>
      </c>
      <c r="AF590" s="1"/>
      <c r="AG590" s="1" t="str">
        <f ca="1">IFERROR(__xludf.DUMMYFUNCTION("""COMPUTED_VALUE"""),"No")</f>
        <v>No</v>
      </c>
      <c r="AH590" s="1">
        <f ca="1">IFERROR(__xludf.DUMMYFUNCTION("""COMPUTED_VALUE"""),99)</f>
        <v>99</v>
      </c>
    </row>
    <row r="591" spans="1:34" ht="12.5">
      <c r="A591" s="1" t="str">
        <f ca="1">IFERROR(__xludf.DUMMYFUNCTION("""COMPUTED_VALUE"""),"20220601CAULL")</f>
        <v>20220601CAULL</v>
      </c>
      <c r="B591" s="1">
        <f ca="1">IFERROR(__xludf.DUMMYFUNCTION("""COMPUTED_VALUE"""),6)</f>
        <v>6</v>
      </c>
      <c r="C591" s="1">
        <f ca="1">IFERROR(__xludf.DUMMYFUNCTION("""COMPUTED_VALUE"""),1)</f>
        <v>1</v>
      </c>
      <c r="D591" s="1">
        <f ca="1">IFERROR(__xludf.DUMMYFUNCTION("""COMPUTED_VALUE"""),2022)</f>
        <v>2022</v>
      </c>
      <c r="E591" s="4">
        <f ca="1">IFERROR(__xludf.DUMMYFUNCTION("""COMPUTED_VALUE"""),44713)</f>
        <v>44713</v>
      </c>
      <c r="F591" s="1" t="str">
        <f ca="1">IFERROR(__xludf.DUMMYFUNCTION("""COMPUTED_VALUE"""),"Ulysses S. Grant Senior High School")</f>
        <v>Ulysses S. Grant Senior High School</v>
      </c>
      <c r="G591" s="1">
        <f ca="1">IFERROR(__xludf.DUMMYFUNCTION("""COMPUTED_VALUE"""),0)</f>
        <v>0</v>
      </c>
      <c r="H591" s="1">
        <f ca="1">IFERROR(__xludf.DUMMYFUNCTION("""COMPUTED_VALUE"""),1)</f>
        <v>1</v>
      </c>
      <c r="I591" s="1">
        <f ca="1">IFERROR(__xludf.DUMMYFUNCTION("""COMPUTED_VALUE"""),1)</f>
        <v>1</v>
      </c>
      <c r="J591" s="1">
        <f ca="1">IFERROR(__xludf.DUMMYFUNCTION("""COMPUTED_VALUE"""),0)</f>
        <v>0</v>
      </c>
      <c r="K591" s="1" t="str">
        <f ca="1">IFERROR(__xludf.DUMMYFUNCTION("""COMPUTED_VALUE"""),"Summer")</f>
        <v>Summer</v>
      </c>
      <c r="L591" s="1" t="str">
        <f ca="1">IFERROR(__xludf.DUMMYFUNCTION("""COMPUTED_VALUE"""),"Los Angeles")</f>
        <v>Los Angeles</v>
      </c>
      <c r="M591" s="1" t="str">
        <f ca="1">IFERROR(__xludf.DUMMYFUNCTION("""COMPUTED_VALUE"""),"CA")</f>
        <v>CA</v>
      </c>
      <c r="N591" s="1" t="str">
        <f ca="1">IFERROR(__xludf.DUMMYFUNCTION("""COMPUTED_VALUE"""),"High")</f>
        <v>High</v>
      </c>
      <c r="O591" s="1" t="str">
        <f ca="1">IFERROR(__xludf.DUMMYFUNCTION("""COMPUTED_VALUE"""),"Front of School")</f>
        <v>Front of School</v>
      </c>
      <c r="P591" s="1" t="str">
        <f ca="1">IFERROR(__xludf.DUMMYFUNCTION("""COMPUTED_VALUE"""),"Outside on School Property")</f>
        <v>Outside on School Property</v>
      </c>
      <c r="Q591" s="1" t="str">
        <f ca="1">IFERROR(__xludf.DUMMYFUNCTION("""COMPUTED_VALUE"""),"Yes")</f>
        <v>Yes</v>
      </c>
      <c r="R591" s="1" t="str">
        <f ca="1">IFERROR(__xludf.DUMMYFUNCTION("""COMPUTED_VALUE"""),"Dismissal")</f>
        <v>Dismissal</v>
      </c>
      <c r="S591" s="5">
        <f ca="1">IFERROR(__xludf.DUMMYFUNCTION("""COMPUTED_VALUE"""),0.642361111111111)</f>
        <v>0.64236111111111105</v>
      </c>
      <c r="T591" s="1">
        <f ca="1">IFERROR(__xludf.DUMMYFUNCTION("""COMPUTED_VALUE"""),1)</f>
        <v>1</v>
      </c>
      <c r="U591" s="1" t="str">
        <f ca="1">IFERROR(__xludf.DUMMYFUNCTION("""COMPUTED_VALUE"""),"Student shot in front of school at dismissal")</f>
        <v>Student shot in front of school at dismissal</v>
      </c>
      <c r="V591" s="1" t="str">
        <f ca="1">IFERROR(__xludf.DUMMYFUNCTION("""COMPUTED_VALUE"""),"16-year-olds student was shot in front of the school during dismissal. School went on lockdown. Shooter fled in vehicle. Police said the shooting was gang related.")</f>
        <v>16-year-olds student was shot in front of the school during dismissal. School went on lockdown. Shooter fled in vehicle. Police said the shooting was gang related.</v>
      </c>
      <c r="W591" s="1" t="str">
        <f ca="1">IFERROR(__xludf.DUMMYFUNCTION("""COMPUTED_VALUE"""),"Escalation of Dispute")</f>
        <v>Escalation of Dispute</v>
      </c>
      <c r="X591" s="1" t="str">
        <f ca="1">IFERROR(__xludf.DUMMYFUNCTION("""COMPUTED_VALUE"""),"Victims Targeted")</f>
        <v>Victims Targeted</v>
      </c>
      <c r="Y591" s="1" t="str">
        <f ca="1">IFERROR(__xludf.DUMMYFUNCTION("""COMPUTED_VALUE"""),"No")</f>
        <v>No</v>
      </c>
      <c r="Z591" s="1"/>
      <c r="AA591" s="1" t="str">
        <f ca="1">IFERROR(__xludf.DUMMYFUNCTION("""COMPUTED_VALUE"""),"No")</f>
        <v>No</v>
      </c>
      <c r="AB591" s="1" t="str">
        <f ca="1">IFERROR(__xludf.DUMMYFUNCTION("""COMPUTED_VALUE"""),"No")</f>
        <v>No</v>
      </c>
      <c r="AC591" s="1" t="str">
        <f ca="1">IFERROR(__xludf.DUMMYFUNCTION("""COMPUTED_VALUE"""),"No")</f>
        <v>No</v>
      </c>
      <c r="AD591" s="1" t="str">
        <f ca="1">IFERROR(__xludf.DUMMYFUNCTION("""COMPUTED_VALUE"""),"No")</f>
        <v>No</v>
      </c>
      <c r="AE591" s="1" t="str">
        <f ca="1">IFERROR(__xludf.DUMMYFUNCTION("""COMPUTED_VALUE"""),"No")</f>
        <v>No</v>
      </c>
      <c r="AF591" s="1" t="str">
        <f ca="1">IFERROR(__xludf.DUMMYFUNCTION("""COMPUTED_VALUE"""),"Yes")</f>
        <v>Yes</v>
      </c>
      <c r="AG591" s="1" t="str">
        <f ca="1">IFERROR(__xludf.DUMMYFUNCTION("""COMPUTED_VALUE"""),"No")</f>
        <v>No</v>
      </c>
      <c r="AH591" s="1"/>
    </row>
    <row r="592" spans="1:34" ht="12.5">
      <c r="A592" s="1" t="str">
        <f ca="1">IFERROR(__xludf.DUMMYFUNCTION("""COMPUTED_VALUE"""),"20220531LAMON")</f>
        <v>20220531LAMON</v>
      </c>
      <c r="B592" s="1">
        <f ca="1">IFERROR(__xludf.DUMMYFUNCTION("""COMPUTED_VALUE"""),5)</f>
        <v>5</v>
      </c>
      <c r="C592" s="1">
        <f ca="1">IFERROR(__xludf.DUMMYFUNCTION("""COMPUTED_VALUE"""),31)</f>
        <v>31</v>
      </c>
      <c r="D592" s="1">
        <f ca="1">IFERROR(__xludf.DUMMYFUNCTION("""COMPUTED_VALUE"""),2022)</f>
        <v>2022</v>
      </c>
      <c r="E592" s="4">
        <f ca="1">IFERROR(__xludf.DUMMYFUNCTION("""COMPUTED_VALUE"""),44712)</f>
        <v>44712</v>
      </c>
      <c r="F592" s="1" t="str">
        <f ca="1">IFERROR(__xludf.DUMMYFUNCTION("""COMPUTED_VALUE"""),"Morris Jeff High School")</f>
        <v>Morris Jeff High School</v>
      </c>
      <c r="G592" s="1">
        <f ca="1">IFERROR(__xludf.DUMMYFUNCTION("""COMPUTED_VALUE"""),0)</f>
        <v>0</v>
      </c>
      <c r="H592" s="1">
        <f ca="1">IFERROR(__xludf.DUMMYFUNCTION("""COMPUTED_VALUE"""),2)</f>
        <v>2</v>
      </c>
      <c r="I592" s="1">
        <f ca="1">IFERROR(__xludf.DUMMYFUNCTION("""COMPUTED_VALUE"""),2)</f>
        <v>2</v>
      </c>
      <c r="J592" s="1">
        <f ca="1">IFERROR(__xludf.DUMMYFUNCTION("""COMPUTED_VALUE"""),0)</f>
        <v>0</v>
      </c>
      <c r="K592" s="1" t="str">
        <f ca="1">IFERROR(__xludf.DUMMYFUNCTION("""COMPUTED_VALUE"""),"Spring")</f>
        <v>Spring</v>
      </c>
      <c r="L592" s="1" t="str">
        <f ca="1">IFERROR(__xludf.DUMMYFUNCTION("""COMPUTED_VALUE"""),"New Orleans")</f>
        <v>New Orleans</v>
      </c>
      <c r="M592" s="1" t="str">
        <f ca="1">IFERROR(__xludf.DUMMYFUNCTION("""COMPUTED_VALUE"""),"LA")</f>
        <v>LA</v>
      </c>
      <c r="N592" s="1" t="str">
        <f ca="1">IFERROR(__xludf.DUMMYFUNCTION("""COMPUTED_VALUE"""),"High")</f>
        <v>High</v>
      </c>
      <c r="O592" s="1" t="str">
        <f ca="1">IFERROR(__xludf.DUMMYFUNCTION("""COMPUTED_VALUE"""),"Off School Property")</f>
        <v>Off School Property</v>
      </c>
      <c r="P592" s="1" t="str">
        <f ca="1">IFERROR(__xludf.DUMMYFUNCTION("""COMPUTED_VALUE"""),"Off School Property")</f>
        <v>Off School Property</v>
      </c>
      <c r="Q592" s="1" t="str">
        <f ca="1">IFERROR(__xludf.DUMMYFUNCTION("""COMPUTED_VALUE"""),"Yes")</f>
        <v>Yes</v>
      </c>
      <c r="R592" s="1" t="str">
        <f ca="1">IFERROR(__xludf.DUMMYFUNCTION("""COMPUTED_VALUE"""),"School Event")</f>
        <v>School Event</v>
      </c>
      <c r="S592" s="5">
        <f ca="1">IFERROR(__xludf.DUMMYFUNCTION("""COMPUTED_VALUE"""),0.489583333333333)</f>
        <v>0.48958333333333298</v>
      </c>
      <c r="T592" s="1">
        <f ca="1">IFERROR(__xludf.DUMMYFUNCTION("""COMPUTED_VALUE"""),1)</f>
        <v>1</v>
      </c>
      <c r="U592" s="1" t="str">
        <f ca="1">IFERROR(__xludf.DUMMYFUNCTION("""COMPUTED_VALUE"""),"3 people shot following high school graduation")</f>
        <v>3 people shot following high school graduation</v>
      </c>
      <c r="V592" s="1" t="str">
        <f ca="1">IFERROR(__xludf.DUMMYFUNCTION("""COMPUTED_VALUE"""),"An 80-year-old woman was killed and two men were wounded during a shooting in the parking lot following high school graduation. Two women were fighting when the shots were fired. Graduation for the high school was held at Xavier University.")</f>
        <v>An 80-year-old woman was killed and two men were wounded during a shooting in the parking lot following high school graduation. Two women were fighting when the shots were fired. Graduation for the high school was held at Xavier University.</v>
      </c>
      <c r="W592" s="1" t="str">
        <f ca="1">IFERROR(__xludf.DUMMYFUNCTION("""COMPUTED_VALUE"""),"Escalation of Dispute")</f>
        <v>Escalation of Dispute</v>
      </c>
      <c r="X592" s="1" t="str">
        <f ca="1">IFERROR(__xludf.DUMMYFUNCTION("""COMPUTED_VALUE"""),"Both")</f>
        <v>Both</v>
      </c>
      <c r="Y592" s="1" t="str">
        <f ca="1">IFERROR(__xludf.DUMMYFUNCTION("""COMPUTED_VALUE"""),"No")</f>
        <v>No</v>
      </c>
      <c r="Z592" s="1"/>
      <c r="AA592" s="1" t="str">
        <f ca="1">IFERROR(__xludf.DUMMYFUNCTION("""COMPUTED_VALUE"""),"No")</f>
        <v>No</v>
      </c>
      <c r="AB592" s="1" t="str">
        <f ca="1">IFERROR(__xludf.DUMMYFUNCTION("""COMPUTED_VALUE"""),"No")</f>
        <v>No</v>
      </c>
      <c r="AC592" s="1" t="str">
        <f ca="1">IFERROR(__xludf.DUMMYFUNCTION("""COMPUTED_VALUE"""),"No")</f>
        <v>No</v>
      </c>
      <c r="AD592" s="1" t="str">
        <f ca="1">IFERROR(__xludf.DUMMYFUNCTION("""COMPUTED_VALUE"""),"No")</f>
        <v>No</v>
      </c>
      <c r="AE592" s="1" t="str">
        <f ca="1">IFERROR(__xludf.DUMMYFUNCTION("""COMPUTED_VALUE"""),"No")</f>
        <v>No</v>
      </c>
      <c r="AF592" s="1" t="str">
        <f ca="1">IFERROR(__xludf.DUMMYFUNCTION("""COMPUTED_VALUE"""),"No")</f>
        <v>No</v>
      </c>
      <c r="AG592" s="1" t="str">
        <f ca="1">IFERROR(__xludf.DUMMYFUNCTION("""COMPUTED_VALUE"""),"No")</f>
        <v>No</v>
      </c>
      <c r="AH592" s="1">
        <f ca="1">IFERROR(__xludf.DUMMYFUNCTION("""COMPUTED_VALUE"""),99)</f>
        <v>99</v>
      </c>
    </row>
    <row r="593" spans="1:34" ht="12.5">
      <c r="A593" s="1" t="str">
        <f ca="1">IFERROR(__xludf.DUMMYFUNCTION("""COMPUTED_VALUE"""),"20220530CAHEL")</f>
        <v>20220530CAHEL</v>
      </c>
      <c r="B593" s="1">
        <f ca="1">IFERROR(__xludf.DUMMYFUNCTION("""COMPUTED_VALUE"""),5)</f>
        <v>5</v>
      </c>
      <c r="C593" s="1">
        <f ca="1">IFERROR(__xludf.DUMMYFUNCTION("""COMPUTED_VALUE"""),30)</f>
        <v>30</v>
      </c>
      <c r="D593" s="1">
        <f ca="1">IFERROR(__xludf.DUMMYFUNCTION("""COMPUTED_VALUE"""),2022)</f>
        <v>2022</v>
      </c>
      <c r="E593" s="4">
        <f ca="1">IFERROR(__xludf.DUMMYFUNCTION("""COMPUTED_VALUE"""),44711)</f>
        <v>44711</v>
      </c>
      <c r="F593" s="1" t="str">
        <f ca="1">IFERROR(__xludf.DUMMYFUNCTION("""COMPUTED_VALUE"""),"Helix High School")</f>
        <v>Helix High School</v>
      </c>
      <c r="G593" s="1">
        <f ca="1">IFERROR(__xludf.DUMMYFUNCTION("""COMPUTED_VALUE"""),0)</f>
        <v>0</v>
      </c>
      <c r="H593" s="1">
        <f ca="1">IFERROR(__xludf.DUMMYFUNCTION("""COMPUTED_VALUE"""),1)</f>
        <v>1</v>
      </c>
      <c r="I593" s="1">
        <f ca="1">IFERROR(__xludf.DUMMYFUNCTION("""COMPUTED_VALUE"""),1)</f>
        <v>1</v>
      </c>
      <c r="J593" s="1">
        <f ca="1">IFERROR(__xludf.DUMMYFUNCTION("""COMPUTED_VALUE"""),0)</f>
        <v>0</v>
      </c>
      <c r="K593" s="1" t="str">
        <f ca="1">IFERROR(__xludf.DUMMYFUNCTION("""COMPUTED_VALUE"""),"Spring")</f>
        <v>Spring</v>
      </c>
      <c r="L593" s="1" t="str">
        <f ca="1">IFERROR(__xludf.DUMMYFUNCTION("""COMPUTED_VALUE"""),"La Mesa")</f>
        <v>La Mesa</v>
      </c>
      <c r="M593" s="1" t="str">
        <f ca="1">IFERROR(__xludf.DUMMYFUNCTION("""COMPUTED_VALUE"""),"CA")</f>
        <v>CA</v>
      </c>
      <c r="N593" s="1" t="str">
        <f ca="1">IFERROR(__xludf.DUMMYFUNCTION("""COMPUTED_VALUE"""),"High")</f>
        <v>High</v>
      </c>
      <c r="O593" s="1" t="str">
        <f ca="1">IFERROR(__xludf.DUMMYFUNCTION("""COMPUTED_VALUE"""),"Parking Lot")</f>
        <v>Parking Lot</v>
      </c>
      <c r="P593" s="1" t="str">
        <f ca="1">IFERROR(__xludf.DUMMYFUNCTION("""COMPUTED_VALUE"""),"Outside on School Property")</f>
        <v>Outside on School Property</v>
      </c>
      <c r="Q593" s="1" t="str">
        <f ca="1">IFERROR(__xludf.DUMMYFUNCTION("""COMPUTED_VALUE"""),"No")</f>
        <v>No</v>
      </c>
      <c r="R593" s="1" t="str">
        <f ca="1">IFERROR(__xludf.DUMMYFUNCTION("""COMPUTED_VALUE"""),"Evening")</f>
        <v>Evening</v>
      </c>
      <c r="S593" s="5">
        <f ca="1">IFERROR(__xludf.DUMMYFUNCTION("""COMPUTED_VALUE"""),0.763888888888888)</f>
        <v>0.76388888888888795</v>
      </c>
      <c r="T593" s="1">
        <f ca="1">IFERROR(__xludf.DUMMYFUNCTION("""COMPUTED_VALUE"""),1)</f>
        <v>1</v>
      </c>
      <c r="U593" s="1" t="str">
        <f ca="1">IFERROR(__xludf.DUMMYFUNCTION("""COMPUTED_VALUE"""),"Adult man shot in school parking lot")</f>
        <v>Adult man shot in school parking lot</v>
      </c>
      <c r="V593" s="1" t="str">
        <f ca="1">IFERROR(__xludf.DUMMYFUNCTION("""COMPUTED_VALUE"""),"Adult man was shot in the school parking lot. Shooter fled. School was closed for Memorial Day.")</f>
        <v>Adult man was shot in the school parking lot. Shooter fled. School was closed for Memorial Day.</v>
      </c>
      <c r="W593" s="1"/>
      <c r="X593" s="1" t="str">
        <f ca="1">IFERROR(__xludf.DUMMYFUNCTION("""COMPUTED_VALUE"""),"Victims Targeted")</f>
        <v>Victims Targeted</v>
      </c>
      <c r="Y593" s="1" t="str">
        <f ca="1">IFERROR(__xludf.DUMMYFUNCTION("""COMPUTED_VALUE"""),"No")</f>
        <v>No</v>
      </c>
      <c r="Z593" s="1"/>
      <c r="AA593" s="1" t="str">
        <f ca="1">IFERROR(__xludf.DUMMYFUNCTION("""COMPUTED_VALUE"""),"No")</f>
        <v>No</v>
      </c>
      <c r="AB593" s="1" t="str">
        <f ca="1">IFERROR(__xludf.DUMMYFUNCTION("""COMPUTED_VALUE"""),"No")</f>
        <v>No</v>
      </c>
      <c r="AC593" s="1" t="str">
        <f ca="1">IFERROR(__xludf.DUMMYFUNCTION("""COMPUTED_VALUE"""),"No")</f>
        <v>No</v>
      </c>
      <c r="AD593" s="1" t="str">
        <f ca="1">IFERROR(__xludf.DUMMYFUNCTION("""COMPUTED_VALUE"""),"No")</f>
        <v>No</v>
      </c>
      <c r="AE593" s="1" t="str">
        <f ca="1">IFERROR(__xludf.DUMMYFUNCTION("""COMPUTED_VALUE"""),"No")</f>
        <v>No</v>
      </c>
      <c r="AF593" s="1"/>
      <c r="AG593" s="1" t="str">
        <f ca="1">IFERROR(__xludf.DUMMYFUNCTION("""COMPUTED_VALUE"""),"No")</f>
        <v>No</v>
      </c>
      <c r="AH593" s="1">
        <f ca="1">IFERROR(__xludf.DUMMYFUNCTION("""COMPUTED_VALUE"""),99)</f>
        <v>99</v>
      </c>
    </row>
    <row r="594" spans="1:34" ht="12.5">
      <c r="A594" s="1" t="str">
        <f ca="1">IFERROR(__xludf.DUMMYFUNCTION("""COMPUTED_VALUE"""),"20220529ILDAC")</f>
        <v>20220529ILDAC</v>
      </c>
      <c r="B594" s="1">
        <f ca="1">IFERROR(__xludf.DUMMYFUNCTION("""COMPUTED_VALUE"""),5)</f>
        <v>5</v>
      </c>
      <c r="C594" s="1">
        <f ca="1">IFERROR(__xludf.DUMMYFUNCTION("""COMPUTED_VALUE"""),29)</f>
        <v>29</v>
      </c>
      <c r="D594" s="1">
        <f ca="1">IFERROR(__xludf.DUMMYFUNCTION("""COMPUTED_VALUE"""),2022)</f>
        <v>2022</v>
      </c>
      <c r="E594" s="4">
        <f ca="1">IFERROR(__xludf.DUMMYFUNCTION("""COMPUTED_VALUE"""),44710)</f>
        <v>44710</v>
      </c>
      <c r="F594" s="1" t="str">
        <f ca="1">IFERROR(__xludf.DUMMYFUNCTION("""COMPUTED_VALUE"""),"Daniel Webster Public School")</f>
        <v>Daniel Webster Public School</v>
      </c>
      <c r="G594" s="1">
        <f ca="1">IFERROR(__xludf.DUMMYFUNCTION("""COMPUTED_VALUE"""),0)</f>
        <v>0</v>
      </c>
      <c r="H594" s="1">
        <f ca="1">IFERROR(__xludf.DUMMYFUNCTION("""COMPUTED_VALUE"""),5)</f>
        <v>5</v>
      </c>
      <c r="I594" s="1">
        <f ca="1">IFERROR(__xludf.DUMMYFUNCTION("""COMPUTED_VALUE"""),5)</f>
        <v>5</v>
      </c>
      <c r="J594" s="1">
        <f ca="1">IFERROR(__xludf.DUMMYFUNCTION("""COMPUTED_VALUE"""),0)</f>
        <v>0</v>
      </c>
      <c r="K594" s="1" t="str">
        <f ca="1">IFERROR(__xludf.DUMMYFUNCTION("""COMPUTED_VALUE"""),"Spring")</f>
        <v>Spring</v>
      </c>
      <c r="L594" s="1" t="str">
        <f ca="1">IFERROR(__xludf.DUMMYFUNCTION("""COMPUTED_VALUE"""),"Chicago")</f>
        <v>Chicago</v>
      </c>
      <c r="M594" s="1" t="str">
        <f ca="1">IFERROR(__xludf.DUMMYFUNCTION("""COMPUTED_VALUE"""),"IL")</f>
        <v>IL</v>
      </c>
      <c r="N594" s="1" t="str">
        <f ca="1">IFERROR(__xludf.DUMMYFUNCTION("""COMPUTED_VALUE"""),"Elementary")</f>
        <v>Elementary</v>
      </c>
      <c r="O594" s="1" t="str">
        <f ca="1">IFERROR(__xludf.DUMMYFUNCTION("""COMPUTED_VALUE"""),"Front of School")</f>
        <v>Front of School</v>
      </c>
      <c r="P594" s="1" t="str">
        <f ca="1">IFERROR(__xludf.DUMMYFUNCTION("""COMPUTED_VALUE"""),"Outside on School Property")</f>
        <v>Outside on School Property</v>
      </c>
      <c r="Q594" s="1" t="str">
        <f ca="1">IFERROR(__xludf.DUMMYFUNCTION("""COMPUTED_VALUE"""),"No")</f>
        <v>No</v>
      </c>
      <c r="R594" s="1" t="str">
        <f ca="1">IFERROR(__xludf.DUMMYFUNCTION("""COMPUTED_VALUE"""),"Night")</f>
        <v>Night</v>
      </c>
      <c r="S594" s="5">
        <f ca="1">IFERROR(__xludf.DUMMYFUNCTION("""COMPUTED_VALUE"""),0.0625)</f>
        <v>6.25E-2</v>
      </c>
      <c r="T594" s="1">
        <f ca="1">IFERROR(__xludf.DUMMYFUNCTION("""COMPUTED_VALUE"""),1)</f>
        <v>1</v>
      </c>
      <c r="U594" s="1" t="str">
        <f ca="1">IFERROR(__xludf.DUMMYFUNCTION("""COMPUTED_VALUE"""),"5 wounded when 97 shots fired in front of school.")</f>
        <v>5 wounded when 97 shots fired in front of school.</v>
      </c>
      <c r="V594" s="1" t="str">
        <f ca="1">IFERROR(__xludf.DUMMYFUNCTION("""COMPUTED_VALUE"""),"5 people were wounded when 97 shots were fired by 3 different shoots during an event for remembering a teen killed. Victims were standing near the front doors of the school when a fight escalated into a shooting. School was closed and no students or staff"&amp;" were present.")</f>
        <v>5 people were wounded when 97 shots were fired by 3 different shoots during an event for remembering a teen killed. Victims were standing near the front doors of the school when a fight escalated into a shooting. School was closed and no students or staff were present.</v>
      </c>
      <c r="W594" s="1" t="str">
        <f ca="1">IFERROR(__xludf.DUMMYFUNCTION("""COMPUTED_VALUE"""),"Escalation of Dispute")</f>
        <v>Escalation of Dispute</v>
      </c>
      <c r="X594" s="1" t="str">
        <f ca="1">IFERROR(__xludf.DUMMYFUNCTION("""COMPUTED_VALUE"""),"Both")</f>
        <v>Both</v>
      </c>
      <c r="Y594" s="1" t="str">
        <f ca="1">IFERROR(__xludf.DUMMYFUNCTION("""COMPUTED_VALUE"""),"Yes")</f>
        <v>Yes</v>
      </c>
      <c r="Z594" s="1" t="str">
        <f ca="1">IFERROR(__xludf.DUMMYFUNCTION("""COMPUTED_VALUE"""),"3 shooters")</f>
        <v>3 shooters</v>
      </c>
      <c r="AA594" s="1" t="str">
        <f ca="1">IFERROR(__xludf.DUMMYFUNCTION("""COMPUTED_VALUE"""),"No")</f>
        <v>No</v>
      </c>
      <c r="AB594" s="1" t="str">
        <f ca="1">IFERROR(__xludf.DUMMYFUNCTION("""COMPUTED_VALUE"""),"No")</f>
        <v>No</v>
      </c>
      <c r="AC594" s="1" t="str">
        <f ca="1">IFERROR(__xludf.DUMMYFUNCTION("""COMPUTED_VALUE"""),"No")</f>
        <v>No</v>
      </c>
      <c r="AD594" s="1" t="str">
        <f ca="1">IFERROR(__xludf.DUMMYFUNCTION("""COMPUTED_VALUE"""),"No")</f>
        <v>No</v>
      </c>
      <c r="AE594" s="1" t="str">
        <f ca="1">IFERROR(__xludf.DUMMYFUNCTION("""COMPUTED_VALUE"""),"No")</f>
        <v>No</v>
      </c>
      <c r="AF594" s="1"/>
      <c r="AG594" s="1" t="str">
        <f ca="1">IFERROR(__xludf.DUMMYFUNCTION("""COMPUTED_VALUE"""),"No")</f>
        <v>No</v>
      </c>
      <c r="AH594" s="1">
        <f ca="1">IFERROR(__xludf.DUMMYFUNCTION("""COMPUTED_VALUE"""),97)</f>
        <v>97</v>
      </c>
    </row>
    <row r="595" spans="1:34" ht="12.5">
      <c r="A595" s="1" t="str">
        <f ca="1">IFERROR(__xludf.DUMMYFUNCTION("""COMPUTED_VALUE"""),"20220526TXDUA")</f>
        <v>20220526TXDUA</v>
      </c>
      <c r="B595" s="1">
        <f ca="1">IFERROR(__xludf.DUMMYFUNCTION("""COMPUTED_VALUE"""),5)</f>
        <v>5</v>
      </c>
      <c r="C595" s="1">
        <f ca="1">IFERROR(__xludf.DUMMYFUNCTION("""COMPUTED_VALUE"""),26)</f>
        <v>26</v>
      </c>
      <c r="D595" s="1">
        <f ca="1">IFERROR(__xludf.DUMMYFUNCTION("""COMPUTED_VALUE"""),2022)</f>
        <v>2022</v>
      </c>
      <c r="E595" s="4">
        <f ca="1">IFERROR(__xludf.DUMMYFUNCTION("""COMPUTED_VALUE"""),44707)</f>
        <v>44707</v>
      </c>
      <c r="F595" s="1" t="str">
        <f ca="1">IFERROR(__xludf.DUMMYFUNCTION("""COMPUTED_VALUE"""),"Duff Elementary School")</f>
        <v>Duff Elementary School</v>
      </c>
      <c r="G595" s="1">
        <f ca="1">IFERROR(__xludf.DUMMYFUNCTION("""COMPUTED_VALUE"""),0)</f>
        <v>0</v>
      </c>
      <c r="H595" s="1">
        <f ca="1">IFERROR(__xludf.DUMMYFUNCTION("""COMPUTED_VALUE"""),0)</f>
        <v>0</v>
      </c>
      <c r="I595" s="1">
        <f ca="1">IFERROR(__xludf.DUMMYFUNCTION("""COMPUTED_VALUE"""),0)</f>
        <v>0</v>
      </c>
      <c r="J595" s="1">
        <f ca="1">IFERROR(__xludf.DUMMYFUNCTION("""COMPUTED_VALUE"""),0)</f>
        <v>0</v>
      </c>
      <c r="K595" s="1" t="str">
        <f ca="1">IFERROR(__xludf.DUMMYFUNCTION("""COMPUTED_VALUE"""),"Spring")</f>
        <v>Spring</v>
      </c>
      <c r="L595" s="1" t="str">
        <f ca="1">IFERROR(__xludf.DUMMYFUNCTION("""COMPUTED_VALUE"""),"Arlington")</f>
        <v>Arlington</v>
      </c>
      <c r="M595" s="1" t="str">
        <f ca="1">IFERROR(__xludf.DUMMYFUNCTION("""COMPUTED_VALUE"""),"TX")</f>
        <v>TX</v>
      </c>
      <c r="N595" s="1" t="str">
        <f ca="1">IFERROR(__xludf.DUMMYFUNCTION("""COMPUTED_VALUE"""),"Elementary")</f>
        <v>Elementary</v>
      </c>
      <c r="O595" s="1" t="str">
        <f ca="1">IFERROR(__xludf.DUMMYFUNCTION("""COMPUTED_VALUE"""),"Front of School")</f>
        <v>Front of School</v>
      </c>
      <c r="P595" s="1" t="str">
        <f ca="1">IFERROR(__xludf.DUMMYFUNCTION("""COMPUTED_VALUE"""),"Outside on School Property")</f>
        <v>Outside on School Property</v>
      </c>
      <c r="Q595" s="1" t="str">
        <f ca="1">IFERROR(__xludf.DUMMYFUNCTION("""COMPUTED_VALUE"""),"Yes")</f>
        <v>Yes</v>
      </c>
      <c r="R595" s="1" t="str">
        <f ca="1">IFERROR(__xludf.DUMMYFUNCTION("""COMPUTED_VALUE"""),"Morning Classes")</f>
        <v>Morning Classes</v>
      </c>
      <c r="S595" s="5">
        <f ca="1">IFERROR(__xludf.DUMMYFUNCTION("""COMPUTED_VALUE"""),0.489583333333333)</f>
        <v>0.48958333333333298</v>
      </c>
      <c r="T595" s="1">
        <f ca="1">IFERROR(__xludf.DUMMYFUNCTION("""COMPUTED_VALUE"""),1)</f>
        <v>1</v>
      </c>
      <c r="U595" s="1" t="str">
        <f ca="1">IFERROR(__xludf.DUMMYFUNCTION("""COMPUTED_VALUE"""),"Man shot himself in the leg while walking toward the school office")</f>
        <v>Man shot himself in the leg while walking toward the school office</v>
      </c>
      <c r="V595" s="1" t="str">
        <f ca="1">IFERROR(__xludf.DUMMYFUNCTION("""COMPUTED_VALUE"""),"A 55-year-old man was walking into the school to pick up a child. He adjusted a handgun that he was carrying in his waistband and shot himself in the leg. School went on lockdown. He was transported to the hospital and charged with carrying a gun in a pro"&amp;"hibited place.")</f>
        <v>A 55-year-old man was walking into the school to pick up a child. He adjusted a handgun that he was carrying in his waistband and shot himself in the leg. School went on lockdown. He was transported to the hospital and charged with carrying a gun in a prohibited place.</v>
      </c>
      <c r="W595" s="1" t="str">
        <f ca="1">IFERROR(__xludf.DUMMYFUNCTION("""COMPUTED_VALUE"""),"Accidental")</f>
        <v>Accidental</v>
      </c>
      <c r="X595" s="1" t="str">
        <f ca="1">IFERROR(__xludf.DUMMYFUNCTION("""COMPUTED_VALUE"""),"Neither")</f>
        <v>Neither</v>
      </c>
      <c r="Y595" s="1" t="str">
        <f ca="1">IFERROR(__xludf.DUMMYFUNCTION("""COMPUTED_VALUE"""),"No")</f>
        <v>No</v>
      </c>
      <c r="Z595" s="1"/>
      <c r="AA595" s="1" t="str">
        <f ca="1">IFERROR(__xludf.DUMMYFUNCTION("""COMPUTED_VALUE"""),"No")</f>
        <v>No</v>
      </c>
      <c r="AB595" s="1" t="str">
        <f ca="1">IFERROR(__xludf.DUMMYFUNCTION("""COMPUTED_VALUE"""),"No")</f>
        <v>No</v>
      </c>
      <c r="AC595" s="1" t="str">
        <f ca="1">IFERROR(__xludf.DUMMYFUNCTION("""COMPUTED_VALUE"""),"No")</f>
        <v>No</v>
      </c>
      <c r="AD595" s="1" t="str">
        <f ca="1">IFERROR(__xludf.DUMMYFUNCTION("""COMPUTED_VALUE"""),"No")</f>
        <v>No</v>
      </c>
      <c r="AE595" s="1" t="str">
        <f ca="1">IFERROR(__xludf.DUMMYFUNCTION("""COMPUTED_VALUE"""),"No")</f>
        <v>No</v>
      </c>
      <c r="AF595" s="1" t="str">
        <f ca="1">IFERROR(__xludf.DUMMYFUNCTION("""COMPUTED_VALUE"""),"No")</f>
        <v>No</v>
      </c>
      <c r="AG595" s="1" t="str">
        <f ca="1">IFERROR(__xludf.DUMMYFUNCTION("""COMPUTED_VALUE"""),"No")</f>
        <v>No</v>
      </c>
      <c r="AH595" s="1">
        <f ca="1">IFERROR(__xludf.DUMMYFUNCTION("""COMPUTED_VALUE"""),1)</f>
        <v>1</v>
      </c>
    </row>
    <row r="596" spans="1:34" ht="12.5">
      <c r="A596" s="1" t="str">
        <f ca="1">IFERROR(__xludf.DUMMYFUNCTION("""COMPUTED_VALUE"""),"20220526SCMEG")</f>
        <v>20220526SCMEG</v>
      </c>
      <c r="B596" s="1">
        <f ca="1">IFERROR(__xludf.DUMMYFUNCTION("""COMPUTED_VALUE"""),5)</f>
        <v>5</v>
      </c>
      <c r="C596" s="1">
        <f ca="1">IFERROR(__xludf.DUMMYFUNCTION("""COMPUTED_VALUE"""),26)</f>
        <v>26</v>
      </c>
      <c r="D596" s="1">
        <f ca="1">IFERROR(__xludf.DUMMYFUNCTION("""COMPUTED_VALUE"""),2022)</f>
        <v>2022</v>
      </c>
      <c r="E596" s="4">
        <f ca="1">IFERROR(__xludf.DUMMYFUNCTION("""COMPUTED_VALUE"""),44707)</f>
        <v>44707</v>
      </c>
      <c r="F596" s="1" t="str">
        <f ca="1">IFERROR(__xludf.DUMMYFUNCTION("""COMPUTED_VALUE"""),"Mevers School of Excellence")</f>
        <v>Mevers School of Excellence</v>
      </c>
      <c r="G596" s="1">
        <f ca="1">IFERROR(__xludf.DUMMYFUNCTION("""COMPUTED_VALUE"""),1)</f>
        <v>1</v>
      </c>
      <c r="H596" s="1">
        <f ca="1">IFERROR(__xludf.DUMMYFUNCTION("""COMPUTED_VALUE"""),0)</f>
        <v>0</v>
      </c>
      <c r="I596" s="1">
        <f ca="1">IFERROR(__xludf.DUMMYFUNCTION("""COMPUTED_VALUE"""),1)</f>
        <v>1</v>
      </c>
      <c r="J596" s="1">
        <f ca="1">IFERROR(__xludf.DUMMYFUNCTION("""COMPUTED_VALUE"""),0)</f>
        <v>0</v>
      </c>
      <c r="K596" s="1" t="str">
        <f ca="1">IFERROR(__xludf.DUMMYFUNCTION("""COMPUTED_VALUE"""),"Spring")</f>
        <v>Spring</v>
      </c>
      <c r="L596" s="1" t="str">
        <f ca="1">IFERROR(__xludf.DUMMYFUNCTION("""COMPUTED_VALUE"""),"Goose Creek")</f>
        <v>Goose Creek</v>
      </c>
      <c r="M596" s="1" t="str">
        <f ca="1">IFERROR(__xludf.DUMMYFUNCTION("""COMPUTED_VALUE"""),"SC")</f>
        <v>SC</v>
      </c>
      <c r="N596" s="1" t="str">
        <f ca="1">IFERROR(__xludf.DUMMYFUNCTION("""COMPUTED_VALUE"""),"K-8")</f>
        <v>K-8</v>
      </c>
      <c r="O596" s="1" t="str">
        <f ca="1">IFERROR(__xludf.DUMMYFUNCTION("""COMPUTED_VALUE"""),"Parking Lot")</f>
        <v>Parking Lot</v>
      </c>
      <c r="P596" s="1" t="str">
        <f ca="1">IFERROR(__xludf.DUMMYFUNCTION("""COMPUTED_VALUE"""),"Outside on School Property")</f>
        <v>Outside on School Property</v>
      </c>
      <c r="Q596" s="1" t="str">
        <f ca="1">IFERROR(__xludf.DUMMYFUNCTION("""COMPUTED_VALUE"""),"No")</f>
        <v>No</v>
      </c>
      <c r="R596" s="1" t="str">
        <f ca="1">IFERROR(__xludf.DUMMYFUNCTION("""COMPUTED_VALUE"""),"Night")</f>
        <v>Night</v>
      </c>
      <c r="S596" s="5">
        <f ca="1">IFERROR(__xludf.DUMMYFUNCTION("""COMPUTED_VALUE"""),0.00347222222222222)</f>
        <v>3.4722222222222199E-3</v>
      </c>
      <c r="T596" s="1">
        <f ca="1">IFERROR(__xludf.DUMMYFUNCTION("""COMPUTED_VALUE"""),1)</f>
        <v>1</v>
      </c>
      <c r="U596" s="1" t="str">
        <f ca="1">IFERROR(__xludf.DUMMYFUNCTION("""COMPUTED_VALUE"""),"Man fatally shot in parking lot, found by staff member")</f>
        <v>Man fatally shot in parking lot, found by staff member</v>
      </c>
      <c r="V596" s="1" t="str">
        <f ca="1">IFERROR(__xludf.DUMMYFUNCTION("""COMPUTED_VALUE"""),"31-year-old male (off duty sheriff's deputy) was found fatally shot in the parking lot by a staff member at 6am. School was moved to remote learning. Multiple shots fired. Ruled homicide.")</f>
        <v>31-year-old male (off duty sheriff's deputy) was found fatally shot in the parking lot by a staff member at 6am. School was moved to remote learning. Multiple shots fired. Ruled homicide.</v>
      </c>
      <c r="W596" s="1"/>
      <c r="X596" s="1" t="str">
        <f ca="1">IFERROR(__xludf.DUMMYFUNCTION("""COMPUTED_VALUE"""),"Victims Targeted")</f>
        <v>Victims Targeted</v>
      </c>
      <c r="Y596" s="1"/>
      <c r="Z596" s="1"/>
      <c r="AA596" s="1" t="str">
        <f ca="1">IFERROR(__xludf.DUMMYFUNCTION("""COMPUTED_VALUE"""),"No")</f>
        <v>No</v>
      </c>
      <c r="AB596" s="1" t="str">
        <f ca="1">IFERROR(__xludf.DUMMYFUNCTION("""COMPUTED_VALUE"""),"No")</f>
        <v>No</v>
      </c>
      <c r="AC596" s="1" t="str">
        <f ca="1">IFERROR(__xludf.DUMMYFUNCTION("""COMPUTED_VALUE"""),"No")</f>
        <v>No</v>
      </c>
      <c r="AD596" s="1" t="str">
        <f ca="1">IFERROR(__xludf.DUMMYFUNCTION("""COMPUTED_VALUE"""),"No")</f>
        <v>No</v>
      </c>
      <c r="AE596" s="1"/>
      <c r="AF596" s="1"/>
      <c r="AG596" s="1" t="str">
        <f ca="1">IFERROR(__xludf.DUMMYFUNCTION("""COMPUTED_VALUE"""),"No")</f>
        <v>No</v>
      </c>
      <c r="AH596" s="1">
        <f ca="1">IFERROR(__xludf.DUMMYFUNCTION("""COMPUTED_VALUE"""),99)</f>
        <v>99</v>
      </c>
    </row>
    <row r="597" spans="1:34" ht="12.5">
      <c r="A597" s="1" t="str">
        <f ca="1">IFERROR(__xludf.DUMMYFUNCTION("""COMPUTED_VALUE"""),"20220525ILSTC")</f>
        <v>20220525ILSTC</v>
      </c>
      <c r="B597" s="1">
        <f ca="1">IFERROR(__xludf.DUMMYFUNCTION("""COMPUTED_VALUE"""),5)</f>
        <v>5</v>
      </c>
      <c r="C597" s="1">
        <f ca="1">IFERROR(__xludf.DUMMYFUNCTION("""COMPUTED_VALUE"""),25)</f>
        <v>25</v>
      </c>
      <c r="D597" s="1">
        <f ca="1">IFERROR(__xludf.DUMMYFUNCTION("""COMPUTED_VALUE"""),2022)</f>
        <v>2022</v>
      </c>
      <c r="E597" s="4">
        <f ca="1">IFERROR(__xludf.DUMMYFUNCTION("""COMPUTED_VALUE"""),44706)</f>
        <v>44706</v>
      </c>
      <c r="F597" s="1" t="str">
        <f ca="1">IFERROR(__xludf.DUMMYFUNCTION("""COMPUTED_VALUE"""),"St. Margaret of Scotland School")</f>
        <v>St. Margaret of Scotland School</v>
      </c>
      <c r="G597" s="1">
        <f ca="1">IFERROR(__xludf.DUMMYFUNCTION("""COMPUTED_VALUE"""),0)</f>
        <v>0</v>
      </c>
      <c r="H597" s="1">
        <f ca="1">IFERROR(__xludf.DUMMYFUNCTION("""COMPUTED_VALUE"""),0)</f>
        <v>0</v>
      </c>
      <c r="I597" s="1">
        <f ca="1">IFERROR(__xludf.DUMMYFUNCTION("""COMPUTED_VALUE"""),0)</f>
        <v>0</v>
      </c>
      <c r="J597" s="1">
        <f ca="1">IFERROR(__xludf.DUMMYFUNCTION("""COMPUTED_VALUE"""),0)</f>
        <v>0</v>
      </c>
      <c r="K597" s="1" t="str">
        <f ca="1">IFERROR(__xludf.DUMMYFUNCTION("""COMPUTED_VALUE"""),"Spring")</f>
        <v>Spring</v>
      </c>
      <c r="L597" s="1" t="str">
        <f ca="1">IFERROR(__xludf.DUMMYFUNCTION("""COMPUTED_VALUE"""),"Chicago")</f>
        <v>Chicago</v>
      </c>
      <c r="M597" s="1" t="str">
        <f ca="1">IFERROR(__xludf.DUMMYFUNCTION("""COMPUTED_VALUE"""),"IL")</f>
        <v>IL</v>
      </c>
      <c r="N597" s="1" t="str">
        <f ca="1">IFERROR(__xludf.DUMMYFUNCTION("""COMPUTED_VALUE"""),"K-12")</f>
        <v>K-12</v>
      </c>
      <c r="O597" s="1" t="str">
        <f ca="1">IFERROR(__xludf.DUMMYFUNCTION("""COMPUTED_VALUE"""),"Outside on School Property")</f>
        <v>Outside on School Property</v>
      </c>
      <c r="P597" s="1" t="str">
        <f ca="1">IFERROR(__xludf.DUMMYFUNCTION("""COMPUTED_VALUE"""),"Outside on School Property")</f>
        <v>Outside on School Property</v>
      </c>
      <c r="Q597" s="1" t="str">
        <f ca="1">IFERROR(__xludf.DUMMYFUNCTION("""COMPUTED_VALUE"""),"No")</f>
        <v>No</v>
      </c>
      <c r="R597" s="1" t="str">
        <f ca="1">IFERROR(__xludf.DUMMYFUNCTION("""COMPUTED_VALUE"""),"Night")</f>
        <v>Night</v>
      </c>
      <c r="S597" s="1"/>
      <c r="T597" s="1">
        <f ca="1">IFERROR(__xludf.DUMMYFUNCTION("""COMPUTED_VALUE"""),1)</f>
        <v>1</v>
      </c>
      <c r="U597" s="1" t="str">
        <f ca="1">IFERROR(__xludf.DUMMYFUNCTION("""COMPUTED_VALUE"""),"5 windows shot out")</f>
        <v>5 windows shot out</v>
      </c>
      <c r="V597" s="1" t="str">
        <f ca="1">IFERROR(__xludf.DUMMYFUNCTION("""COMPUTED_VALUE"""),"Five large windows that face an alley were shattered, with glass scattered in four classrooms and bullet holes marking several walls. The rooms are on multiple levels and usually house fourth graders, middle school students and some of the students in the"&amp;" after-school program. School was closed when the shooting occurred.")</f>
        <v>Five large windows that face an alley were shattered, with glass scattered in four classrooms and bullet holes marking several walls. The rooms are on multiple levels and usually house fourth graders, middle school students and some of the students in the after-school program. School was closed when the shooting occurred.</v>
      </c>
      <c r="W597" s="1" t="str">
        <f ca="1">IFERROR(__xludf.DUMMYFUNCTION("""COMPUTED_VALUE"""),"Intentional Property Damage")</f>
        <v>Intentional Property Damage</v>
      </c>
      <c r="X597" s="1" t="str">
        <f ca="1">IFERROR(__xludf.DUMMYFUNCTION("""COMPUTED_VALUE"""),"Neither")</f>
        <v>Neither</v>
      </c>
      <c r="Y597" s="1" t="str">
        <f ca="1">IFERROR(__xludf.DUMMYFUNCTION("""COMPUTED_VALUE"""),"No")</f>
        <v>No</v>
      </c>
      <c r="Z597" s="1"/>
      <c r="AA597" s="1" t="str">
        <f ca="1">IFERROR(__xludf.DUMMYFUNCTION("""COMPUTED_VALUE"""),"No")</f>
        <v>No</v>
      </c>
      <c r="AB597" s="1" t="str">
        <f ca="1">IFERROR(__xludf.DUMMYFUNCTION("""COMPUTED_VALUE"""),"No")</f>
        <v>No</v>
      </c>
      <c r="AC597" s="1" t="str">
        <f ca="1">IFERROR(__xludf.DUMMYFUNCTION("""COMPUTED_VALUE"""),"No")</f>
        <v>No</v>
      </c>
      <c r="AD597" s="1" t="str">
        <f ca="1">IFERROR(__xludf.DUMMYFUNCTION("""COMPUTED_VALUE"""),"No")</f>
        <v>No</v>
      </c>
      <c r="AE597" s="1" t="str">
        <f ca="1">IFERROR(__xludf.DUMMYFUNCTION("""COMPUTED_VALUE"""),"No")</f>
        <v>No</v>
      </c>
      <c r="AF597" s="1" t="str">
        <f ca="1">IFERROR(__xludf.DUMMYFUNCTION("""COMPUTED_VALUE"""),"No")</f>
        <v>No</v>
      </c>
      <c r="AG597" s="1" t="str">
        <f ca="1">IFERROR(__xludf.DUMMYFUNCTION("""COMPUTED_VALUE"""),"No")</f>
        <v>No</v>
      </c>
      <c r="AH597" s="1">
        <f ca="1">IFERROR(__xludf.DUMMYFUNCTION("""COMPUTED_VALUE"""),5)</f>
        <v>5</v>
      </c>
    </row>
    <row r="598" spans="1:34" ht="12.5">
      <c r="A598" s="1" t="str">
        <f ca="1">IFERROR(__xludf.DUMMYFUNCTION("""COMPUTED_VALUE"""),"20220524WIRIM")</f>
        <v>20220524WIRIM</v>
      </c>
      <c r="B598" s="1">
        <f ca="1">IFERROR(__xludf.DUMMYFUNCTION("""COMPUTED_VALUE"""),5)</f>
        <v>5</v>
      </c>
      <c r="C598" s="1">
        <f ca="1">IFERROR(__xludf.DUMMYFUNCTION("""COMPUTED_VALUE"""),24)</f>
        <v>24</v>
      </c>
      <c r="D598" s="1">
        <f ca="1">IFERROR(__xludf.DUMMYFUNCTION("""COMPUTED_VALUE"""),2022)</f>
        <v>2022</v>
      </c>
      <c r="E598" s="4">
        <f ca="1">IFERROR(__xludf.DUMMYFUNCTION("""COMPUTED_VALUE"""),44705)</f>
        <v>44705</v>
      </c>
      <c r="F598" s="1" t="str">
        <f ca="1">IFERROR(__xludf.DUMMYFUNCTION("""COMPUTED_VALUE"""),"Riverside University High School")</f>
        <v>Riverside University High School</v>
      </c>
      <c r="G598" s="1">
        <f ca="1">IFERROR(__xludf.DUMMYFUNCTION("""COMPUTED_VALUE"""),0)</f>
        <v>0</v>
      </c>
      <c r="H598" s="1">
        <f ca="1">IFERROR(__xludf.DUMMYFUNCTION("""COMPUTED_VALUE"""),0)</f>
        <v>0</v>
      </c>
      <c r="I598" s="1">
        <f ca="1">IFERROR(__xludf.DUMMYFUNCTION("""COMPUTED_VALUE"""),0)</f>
        <v>0</v>
      </c>
      <c r="J598" s="1">
        <f ca="1">IFERROR(__xludf.DUMMYFUNCTION("""COMPUTED_VALUE"""),0)</f>
        <v>0</v>
      </c>
      <c r="K598" s="1" t="str">
        <f ca="1">IFERROR(__xludf.DUMMYFUNCTION("""COMPUTED_VALUE"""),"Spring")</f>
        <v>Spring</v>
      </c>
      <c r="L598" s="1" t="str">
        <f ca="1">IFERROR(__xludf.DUMMYFUNCTION("""COMPUTED_VALUE"""),"Milwaukee")</f>
        <v>Milwaukee</v>
      </c>
      <c r="M598" s="1" t="str">
        <f ca="1">IFERROR(__xludf.DUMMYFUNCTION("""COMPUTED_VALUE"""),"WI")</f>
        <v>WI</v>
      </c>
      <c r="N598" s="1" t="str">
        <f ca="1">IFERROR(__xludf.DUMMYFUNCTION("""COMPUTED_VALUE"""),"High")</f>
        <v>High</v>
      </c>
      <c r="O598" s="1" t="str">
        <f ca="1">IFERROR(__xludf.DUMMYFUNCTION("""COMPUTED_VALUE"""),"Inside School Building")</f>
        <v>Inside School Building</v>
      </c>
      <c r="P598" s="1" t="str">
        <f ca="1">IFERROR(__xludf.DUMMYFUNCTION("""COMPUTED_VALUE"""),"Inside School Building")</f>
        <v>Inside School Building</v>
      </c>
      <c r="Q598" s="1" t="str">
        <f ca="1">IFERROR(__xludf.DUMMYFUNCTION("""COMPUTED_VALUE"""),"Yes")</f>
        <v>Yes</v>
      </c>
      <c r="R598" s="1" t="str">
        <f ca="1">IFERROR(__xludf.DUMMYFUNCTION("""COMPUTED_VALUE"""),"Lunch")</f>
        <v>Lunch</v>
      </c>
      <c r="S598" s="5">
        <f ca="1">IFERROR(__xludf.DUMMYFUNCTION("""COMPUTED_VALUE"""),0.520833333333333)</f>
        <v>0.52083333333333304</v>
      </c>
      <c r="T598" s="1">
        <f ca="1">IFERROR(__xludf.DUMMYFUNCTION("""COMPUTED_VALUE"""),1)</f>
        <v>1</v>
      </c>
      <c r="U598" s="1" t="str">
        <f ca="1">IFERROR(__xludf.DUMMYFUNCTION("""COMPUTED_VALUE"""),"Shot fired during fight inside the school, shooter fled")</f>
        <v>Shot fired during fight inside the school, shooter fled</v>
      </c>
      <c r="V598" s="1" t="str">
        <f ca="1">IFERROR(__xludf.DUMMYFUNCTION("""COMPUTED_VALUE"""),"Police responded for shots fired during a fight at 11:00am. Shooter fled and they did not recover evidence of a shooting. At 12:30, shot was fired inside the school during a fight. Shooter fled before police arrived but they could confirm a weapon was fir"&amp;"ed.")</f>
        <v>Police responded for shots fired during a fight at 11:00am. Shooter fled and they did not recover evidence of a shooting. At 12:30, shot was fired inside the school during a fight. Shooter fled before police arrived but they could confirm a weapon was fired.</v>
      </c>
      <c r="W598" s="1" t="str">
        <f ca="1">IFERROR(__xludf.DUMMYFUNCTION("""COMPUTED_VALUE"""),"Escalation of Dispute")</f>
        <v>Escalation of Dispute</v>
      </c>
      <c r="X598" s="1"/>
      <c r="Y598" s="1" t="str">
        <f ca="1">IFERROR(__xludf.DUMMYFUNCTION("""COMPUTED_VALUE"""),"No")</f>
        <v>No</v>
      </c>
      <c r="Z598" s="1"/>
      <c r="AA598" s="1" t="str">
        <f ca="1">IFERROR(__xludf.DUMMYFUNCTION("""COMPUTED_VALUE"""),"No")</f>
        <v>No</v>
      </c>
      <c r="AB598" s="1" t="str">
        <f ca="1">IFERROR(__xludf.DUMMYFUNCTION("""COMPUTED_VALUE"""),"No")</f>
        <v>No</v>
      </c>
      <c r="AC598" s="1" t="str">
        <f ca="1">IFERROR(__xludf.DUMMYFUNCTION("""COMPUTED_VALUE"""),"No")</f>
        <v>No</v>
      </c>
      <c r="AD598" s="1"/>
      <c r="AE598" s="1" t="str">
        <f ca="1">IFERROR(__xludf.DUMMYFUNCTION("""COMPUTED_VALUE"""),"No")</f>
        <v>No</v>
      </c>
      <c r="AF598" s="1"/>
      <c r="AG598" s="1" t="str">
        <f ca="1">IFERROR(__xludf.DUMMYFUNCTION("""COMPUTED_VALUE"""),"No")</f>
        <v>No</v>
      </c>
      <c r="AH598" s="1">
        <f ca="1">IFERROR(__xludf.DUMMYFUNCTION("""COMPUTED_VALUE"""),1)</f>
        <v>1</v>
      </c>
    </row>
    <row r="599" spans="1:34" ht="12.5">
      <c r="A599" s="1" t="str">
        <f ca="1">IFERROR(__xludf.DUMMYFUNCTION("""COMPUTED_VALUE"""),"20220524TXROU")</f>
        <v>20220524TXROU</v>
      </c>
      <c r="B599" s="1">
        <f ca="1">IFERROR(__xludf.DUMMYFUNCTION("""COMPUTED_VALUE"""),5)</f>
        <v>5</v>
      </c>
      <c r="C599" s="1">
        <f ca="1">IFERROR(__xludf.DUMMYFUNCTION("""COMPUTED_VALUE"""),24)</f>
        <v>24</v>
      </c>
      <c r="D599" s="1">
        <f ca="1">IFERROR(__xludf.DUMMYFUNCTION("""COMPUTED_VALUE"""),2022)</f>
        <v>2022</v>
      </c>
      <c r="E599" s="4">
        <f ca="1">IFERROR(__xludf.DUMMYFUNCTION("""COMPUTED_VALUE"""),44705)</f>
        <v>44705</v>
      </c>
      <c r="F599" s="1" t="str">
        <f ca="1">IFERROR(__xludf.DUMMYFUNCTION("""COMPUTED_VALUE"""),"Robb Elementary School")</f>
        <v>Robb Elementary School</v>
      </c>
      <c r="G599" s="1">
        <f ca="1">IFERROR(__xludf.DUMMYFUNCTION("""COMPUTED_VALUE"""),21)</f>
        <v>21</v>
      </c>
      <c r="H599" s="1">
        <f ca="1">IFERROR(__xludf.DUMMYFUNCTION("""COMPUTED_VALUE"""),18)</f>
        <v>18</v>
      </c>
      <c r="I599" s="1">
        <f ca="1">IFERROR(__xludf.DUMMYFUNCTION("""COMPUTED_VALUE"""),39)</f>
        <v>39</v>
      </c>
      <c r="J599" s="1">
        <f ca="1">IFERROR(__xludf.DUMMYFUNCTION("""COMPUTED_VALUE"""),1)</f>
        <v>1</v>
      </c>
      <c r="K599" s="1" t="str">
        <f ca="1">IFERROR(__xludf.DUMMYFUNCTION("""COMPUTED_VALUE"""),"Spring")</f>
        <v>Spring</v>
      </c>
      <c r="L599" s="1" t="str">
        <f ca="1">IFERROR(__xludf.DUMMYFUNCTION("""COMPUTED_VALUE"""),"Uvalde")</f>
        <v>Uvalde</v>
      </c>
      <c r="M599" s="1" t="str">
        <f ca="1">IFERROR(__xludf.DUMMYFUNCTION("""COMPUTED_VALUE"""),"TX")</f>
        <v>TX</v>
      </c>
      <c r="N599" s="1" t="str">
        <f ca="1">IFERROR(__xludf.DUMMYFUNCTION("""COMPUTED_VALUE"""),"Elementary")</f>
        <v>Elementary</v>
      </c>
      <c r="O599" s="1" t="str">
        <f ca="1">IFERROR(__xludf.DUMMYFUNCTION("""COMPUTED_VALUE"""),"Inside School Building")</f>
        <v>Inside School Building</v>
      </c>
      <c r="P599" s="1" t="str">
        <f ca="1">IFERROR(__xludf.DUMMYFUNCTION("""COMPUTED_VALUE"""),"Inside School Building")</f>
        <v>Inside School Building</v>
      </c>
      <c r="Q599" s="1" t="str">
        <f ca="1">IFERROR(__xludf.DUMMYFUNCTION("""COMPUTED_VALUE"""),"Yes")</f>
        <v>Yes</v>
      </c>
      <c r="R599" s="1" t="str">
        <f ca="1">IFERROR(__xludf.DUMMYFUNCTION("""COMPUTED_VALUE"""),"Morning Classes")</f>
        <v>Morning Classes</v>
      </c>
      <c r="S599" s="5">
        <f ca="1">IFERROR(__xludf.DUMMYFUNCTION("""COMPUTED_VALUE"""),0.479166666666666)</f>
        <v>0.47916666666666602</v>
      </c>
      <c r="T599" s="1">
        <f ca="1">IFERROR(__xludf.DUMMYFUNCTION("""COMPUTED_VALUE"""),90)</f>
        <v>90</v>
      </c>
      <c r="U599" s="1" t="str">
        <f ca="1">IFERROR(__xludf.DUMMYFUNCTION("""COMPUTED_VALUE"""),"Indiscriminate attack at school")</f>
        <v>Indiscriminate attack at school</v>
      </c>
      <c r="V599" s="1" t="str">
        <f ca="1">IFERROR(__xludf.DUMMYFUNCTION("""COMPUTED_VALUE"""),"Pending")</f>
        <v>Pending</v>
      </c>
      <c r="W599" s="1" t="str">
        <f ca="1">IFERROR(__xludf.DUMMYFUNCTION("""COMPUTED_VALUE"""),"Indiscriminate Shooting")</f>
        <v>Indiscriminate Shooting</v>
      </c>
      <c r="X599" s="1" t="str">
        <f ca="1">IFERROR(__xludf.DUMMYFUNCTION("""COMPUTED_VALUE"""),"Random Shooting")</f>
        <v>Random Shooting</v>
      </c>
      <c r="Y599" s="1" t="str">
        <f ca="1">IFERROR(__xludf.DUMMYFUNCTION("""COMPUTED_VALUE"""),"No")</f>
        <v>No</v>
      </c>
      <c r="Z599" s="1"/>
      <c r="AA599" s="1" t="str">
        <f ca="1">IFERROR(__xludf.DUMMYFUNCTION("""COMPUTED_VALUE"""),"No")</f>
        <v>No</v>
      </c>
      <c r="AB599" s="1" t="str">
        <f ca="1">IFERROR(__xludf.DUMMYFUNCTION("""COMPUTED_VALUE"""),"Yes")</f>
        <v>Yes</v>
      </c>
      <c r="AC599" s="1" t="str">
        <f ca="1">IFERROR(__xludf.DUMMYFUNCTION("""COMPUTED_VALUE"""),"No")</f>
        <v>No</v>
      </c>
      <c r="AD599" s="1"/>
      <c r="AE599" s="1"/>
      <c r="AF599" s="1" t="str">
        <f ca="1">IFERROR(__xludf.DUMMYFUNCTION("""COMPUTED_VALUE"""),"No")</f>
        <v>No</v>
      </c>
      <c r="AG599" s="1" t="str">
        <f ca="1">IFERROR(__xludf.DUMMYFUNCTION("""COMPUTED_VALUE"""),"Yes")</f>
        <v>Yes</v>
      </c>
      <c r="AH599" s="1">
        <f ca="1">IFERROR(__xludf.DUMMYFUNCTION("""COMPUTED_VALUE"""),250)</f>
        <v>250</v>
      </c>
    </row>
    <row r="600" spans="1:34" ht="12.5">
      <c r="A600" s="1" t="str">
        <f ca="1">IFERROR(__xludf.DUMMYFUNCTION("""COMPUTED_VALUE"""),"20220524DCPOW")</f>
        <v>20220524DCPOW</v>
      </c>
      <c r="B600" s="1">
        <f ca="1">IFERROR(__xludf.DUMMYFUNCTION("""COMPUTED_VALUE"""),5)</f>
        <v>5</v>
      </c>
      <c r="C600" s="1">
        <f ca="1">IFERROR(__xludf.DUMMYFUNCTION("""COMPUTED_VALUE"""),24)</f>
        <v>24</v>
      </c>
      <c r="D600" s="1">
        <f ca="1">IFERROR(__xludf.DUMMYFUNCTION("""COMPUTED_VALUE"""),2022)</f>
        <v>2022</v>
      </c>
      <c r="E600" s="4">
        <f ca="1">IFERROR(__xludf.DUMMYFUNCTION("""COMPUTED_VALUE"""),44705)</f>
        <v>44705</v>
      </c>
      <c r="F600" s="1" t="str">
        <f ca="1">IFERROR(__xludf.DUMMYFUNCTION("""COMPUTED_VALUE"""),"Powell Elementary School")</f>
        <v>Powell Elementary School</v>
      </c>
      <c r="G600" s="1">
        <f ca="1">IFERROR(__xludf.DUMMYFUNCTION("""COMPUTED_VALUE"""),0)</f>
        <v>0</v>
      </c>
      <c r="H600" s="1">
        <f ca="1">IFERROR(__xludf.DUMMYFUNCTION("""COMPUTED_VALUE"""),1)</f>
        <v>1</v>
      </c>
      <c r="I600" s="1">
        <f ca="1">IFERROR(__xludf.DUMMYFUNCTION("""COMPUTED_VALUE"""),1)</f>
        <v>1</v>
      </c>
      <c r="J600" s="1">
        <f ca="1">IFERROR(__xludf.DUMMYFUNCTION("""COMPUTED_VALUE"""),0)</f>
        <v>0</v>
      </c>
      <c r="K600" s="1" t="str">
        <f ca="1">IFERROR(__xludf.DUMMYFUNCTION("""COMPUTED_VALUE"""),"Spring")</f>
        <v>Spring</v>
      </c>
      <c r="L600" s="1" t="str">
        <f ca="1">IFERROR(__xludf.DUMMYFUNCTION("""COMPUTED_VALUE"""),"Washington")</f>
        <v>Washington</v>
      </c>
      <c r="M600" s="1" t="str">
        <f ca="1">IFERROR(__xludf.DUMMYFUNCTION("""COMPUTED_VALUE"""),"DC")</f>
        <v>DC</v>
      </c>
      <c r="N600" s="1" t="str">
        <f ca="1">IFERROR(__xludf.DUMMYFUNCTION("""COMPUTED_VALUE"""),"Elementary")</f>
        <v>Elementary</v>
      </c>
      <c r="O600" s="1" t="str">
        <f ca="1">IFERROR(__xludf.DUMMYFUNCTION("""COMPUTED_VALUE"""),"Front of School")</f>
        <v>Front of School</v>
      </c>
      <c r="P600" s="1" t="str">
        <f ca="1">IFERROR(__xludf.DUMMYFUNCTION("""COMPUTED_VALUE"""),"Outside on School Property")</f>
        <v>Outside on School Property</v>
      </c>
      <c r="Q600" s="1" t="str">
        <f ca="1">IFERROR(__xludf.DUMMYFUNCTION("""COMPUTED_VALUE"""),"No")</f>
        <v>No</v>
      </c>
      <c r="R600" s="1" t="str">
        <f ca="1">IFERROR(__xludf.DUMMYFUNCTION("""COMPUTED_VALUE"""),"After School")</f>
        <v>After School</v>
      </c>
      <c r="S600" s="5">
        <f ca="1">IFERROR(__xludf.DUMMYFUNCTION("""COMPUTED_VALUE"""),0.677083333333333)</f>
        <v>0.67708333333333304</v>
      </c>
      <c r="T600" s="1">
        <f ca="1">IFERROR(__xludf.DUMMYFUNCTION("""COMPUTED_VALUE"""),1)</f>
        <v>1</v>
      </c>
      <c r="U600" s="1" t="str">
        <f ca="1">IFERROR(__xludf.DUMMYFUNCTION("""COMPUTED_VALUE"""),"Teen shot in front of the school")</f>
        <v>Teen shot in front of the school</v>
      </c>
      <c r="V600" s="1" t="str">
        <f ca="1">IFERROR(__xludf.DUMMYFUNCTION("""COMPUTED_VALUE"""),"A 19-year-old male was shot in front of the school. Shooting occurring during a dispute between two groups. Shooter fled.")</f>
        <v>A 19-year-old male was shot in front of the school. Shooting occurring during a dispute between two groups. Shooter fled.</v>
      </c>
      <c r="W600" s="1" t="str">
        <f ca="1">IFERROR(__xludf.DUMMYFUNCTION("""COMPUTED_VALUE"""),"Escalation of Dispute")</f>
        <v>Escalation of Dispute</v>
      </c>
      <c r="X600" s="1" t="str">
        <f ca="1">IFERROR(__xludf.DUMMYFUNCTION("""COMPUTED_VALUE"""),"Victims Targeted")</f>
        <v>Victims Targeted</v>
      </c>
      <c r="Y600" s="1" t="str">
        <f ca="1">IFERROR(__xludf.DUMMYFUNCTION("""COMPUTED_VALUE"""),"No")</f>
        <v>No</v>
      </c>
      <c r="Z600" s="1"/>
      <c r="AA600" s="1" t="str">
        <f ca="1">IFERROR(__xludf.DUMMYFUNCTION("""COMPUTED_VALUE"""),"No")</f>
        <v>No</v>
      </c>
      <c r="AB600" s="1" t="str">
        <f ca="1">IFERROR(__xludf.DUMMYFUNCTION("""COMPUTED_VALUE"""),"No")</f>
        <v>No</v>
      </c>
      <c r="AC600" s="1" t="str">
        <f ca="1">IFERROR(__xludf.DUMMYFUNCTION("""COMPUTED_VALUE"""),"No")</f>
        <v>No</v>
      </c>
      <c r="AD600" s="1" t="str">
        <f ca="1">IFERROR(__xludf.DUMMYFUNCTION("""COMPUTED_VALUE"""),"No")</f>
        <v>No</v>
      </c>
      <c r="AE600" s="1" t="str">
        <f ca="1">IFERROR(__xludf.DUMMYFUNCTION("""COMPUTED_VALUE"""),"No")</f>
        <v>No</v>
      </c>
      <c r="AF600" s="1"/>
      <c r="AG600" s="1" t="str">
        <f ca="1">IFERROR(__xludf.DUMMYFUNCTION("""COMPUTED_VALUE"""),"No")</f>
        <v>No</v>
      </c>
      <c r="AH600" s="1"/>
    </row>
    <row r="601" spans="1:34" ht="12.5">
      <c r="A601" s="1" t="str">
        <f ca="1">IFERROR(__xludf.DUMMYFUNCTION("""COMPUTED_VALUE"""),"20220523PASIP")</f>
        <v>20220523PASIP</v>
      </c>
      <c r="B601" s="1">
        <f ca="1">IFERROR(__xludf.DUMMYFUNCTION("""COMPUTED_VALUE"""),5)</f>
        <v>5</v>
      </c>
      <c r="C601" s="1">
        <f ca="1">IFERROR(__xludf.DUMMYFUNCTION("""COMPUTED_VALUE"""),23)</f>
        <v>23</v>
      </c>
      <c r="D601" s="1">
        <f ca="1">IFERROR(__xludf.DUMMYFUNCTION("""COMPUTED_VALUE"""),2022)</f>
        <v>2022</v>
      </c>
      <c r="E601" s="4">
        <f ca="1">IFERROR(__xludf.DUMMYFUNCTION("""COMPUTED_VALUE"""),44704)</f>
        <v>44704</v>
      </c>
      <c r="F601" s="1" t="str">
        <f ca="1">IFERROR(__xludf.DUMMYFUNCTION("""COMPUTED_VALUE"""),"Simon Gratz High School")</f>
        <v>Simon Gratz High School</v>
      </c>
      <c r="G601" s="1">
        <f ca="1">IFERROR(__xludf.DUMMYFUNCTION("""COMPUTED_VALUE"""),0)</f>
        <v>0</v>
      </c>
      <c r="H601" s="1">
        <f ca="1">IFERROR(__xludf.DUMMYFUNCTION("""COMPUTED_VALUE"""),3)</f>
        <v>3</v>
      </c>
      <c r="I601" s="1">
        <f ca="1">IFERROR(__xludf.DUMMYFUNCTION("""COMPUTED_VALUE"""),3)</f>
        <v>3</v>
      </c>
      <c r="J601" s="1">
        <f ca="1">IFERROR(__xludf.DUMMYFUNCTION("""COMPUTED_VALUE"""),0)</f>
        <v>0</v>
      </c>
      <c r="K601" s="1" t="str">
        <f ca="1">IFERROR(__xludf.DUMMYFUNCTION("""COMPUTED_VALUE"""),"Spring")</f>
        <v>Spring</v>
      </c>
      <c r="L601" s="1" t="str">
        <f ca="1">IFERROR(__xludf.DUMMYFUNCTION("""COMPUTED_VALUE"""),"Philadelphia")</f>
        <v>Philadelphia</v>
      </c>
      <c r="M601" s="1" t="str">
        <f ca="1">IFERROR(__xludf.DUMMYFUNCTION("""COMPUTED_VALUE"""),"PA")</f>
        <v>PA</v>
      </c>
      <c r="N601" s="1" t="str">
        <f ca="1">IFERROR(__xludf.DUMMYFUNCTION("""COMPUTED_VALUE"""),"High")</f>
        <v>High</v>
      </c>
      <c r="O601" s="1" t="str">
        <f ca="1">IFERROR(__xludf.DUMMYFUNCTION("""COMPUTED_VALUE"""),"Front of School")</f>
        <v>Front of School</v>
      </c>
      <c r="P601" s="1" t="str">
        <f ca="1">IFERROR(__xludf.DUMMYFUNCTION("""COMPUTED_VALUE"""),"Outside on School Property")</f>
        <v>Outside on School Property</v>
      </c>
      <c r="Q601" s="1" t="str">
        <f ca="1">IFERROR(__xludf.DUMMYFUNCTION("""COMPUTED_VALUE"""),"Yes")</f>
        <v>Yes</v>
      </c>
      <c r="R601" s="1" t="str">
        <f ca="1">IFERROR(__xludf.DUMMYFUNCTION("""COMPUTED_VALUE"""),"Dismissal")</f>
        <v>Dismissal</v>
      </c>
      <c r="S601" s="5">
        <f ca="1">IFERROR(__xludf.DUMMYFUNCTION("""COMPUTED_VALUE"""),0.614583333333333)</f>
        <v>0.61458333333333304</v>
      </c>
      <c r="T601" s="1">
        <f ca="1">IFERROR(__xludf.DUMMYFUNCTION("""COMPUTED_VALUE"""),1)</f>
        <v>1</v>
      </c>
      <c r="U601" s="1" t="str">
        <f ca="1">IFERROR(__xludf.DUMMYFUNCTION("""COMPUTED_VALUE"""),"Three teen students shot at dismissal")</f>
        <v>Three teen students shot at dismissal</v>
      </c>
      <c r="V601" s="1" t="str">
        <f ca="1">IFERROR(__xludf.DUMMYFUNCTION("""COMPUTED_VALUE"""),"Two brothers, ages 15 and 16, as well as a 17-year-old boy had just dismissed from school when shooter in a vehicle fired 13 shots at them from the street in front of the school. Shooter fled.")</f>
        <v>Two brothers, ages 15 and 16, as well as a 17-year-old boy had just dismissed from school when shooter in a vehicle fired 13 shots at them from the street in front of the school. Shooter fled.</v>
      </c>
      <c r="W601" s="1" t="str">
        <f ca="1">IFERROR(__xludf.DUMMYFUNCTION("""COMPUTED_VALUE"""),"Drive-by Shooting")</f>
        <v>Drive-by Shooting</v>
      </c>
      <c r="X601" s="1" t="str">
        <f ca="1">IFERROR(__xludf.DUMMYFUNCTION("""COMPUTED_VALUE"""),"Both")</f>
        <v>Both</v>
      </c>
      <c r="Y601" s="1"/>
      <c r="Z601" s="1"/>
      <c r="AA601" s="1" t="str">
        <f ca="1">IFERROR(__xludf.DUMMYFUNCTION("""COMPUTED_VALUE"""),"No")</f>
        <v>No</v>
      </c>
      <c r="AB601" s="1" t="str">
        <f ca="1">IFERROR(__xludf.DUMMYFUNCTION("""COMPUTED_VALUE"""),"No")</f>
        <v>No</v>
      </c>
      <c r="AC601" s="1" t="str">
        <f ca="1">IFERROR(__xludf.DUMMYFUNCTION("""COMPUTED_VALUE"""),"No")</f>
        <v>No</v>
      </c>
      <c r="AD601" s="1" t="str">
        <f ca="1">IFERROR(__xludf.DUMMYFUNCTION("""COMPUTED_VALUE"""),"No")</f>
        <v>No</v>
      </c>
      <c r="AE601" s="1" t="str">
        <f ca="1">IFERROR(__xludf.DUMMYFUNCTION("""COMPUTED_VALUE"""),"No")</f>
        <v>No</v>
      </c>
      <c r="AF601" s="1"/>
      <c r="AG601" s="1" t="str">
        <f ca="1">IFERROR(__xludf.DUMMYFUNCTION("""COMPUTED_VALUE"""),"No")</f>
        <v>No</v>
      </c>
      <c r="AH601" s="1">
        <f ca="1">IFERROR(__xludf.DUMMYFUNCTION("""COMPUTED_VALUE"""),13)</f>
        <v>13</v>
      </c>
    </row>
    <row r="602" spans="1:34" ht="12.5">
      <c r="A602" s="1" t="str">
        <f ca="1">IFERROR(__xludf.DUMMYFUNCTION("""COMPUTED_VALUE"""),"20220520VAPOD")</f>
        <v>20220520VAPOD</v>
      </c>
      <c r="B602" s="1">
        <f ca="1">IFERROR(__xludf.DUMMYFUNCTION("""COMPUTED_VALUE"""),5)</f>
        <v>5</v>
      </c>
      <c r="C602" s="1">
        <f ca="1">IFERROR(__xludf.DUMMYFUNCTION("""COMPUTED_VALUE"""),20)</f>
        <v>20</v>
      </c>
      <c r="D602" s="1">
        <f ca="1">IFERROR(__xludf.DUMMYFUNCTION("""COMPUTED_VALUE"""),2022)</f>
        <v>2022</v>
      </c>
      <c r="E602" s="4">
        <f ca="1">IFERROR(__xludf.DUMMYFUNCTION("""COMPUTED_VALUE"""),44701)</f>
        <v>44701</v>
      </c>
      <c r="F602" s="1" t="str">
        <f ca="1">IFERROR(__xludf.DUMMYFUNCTION("""COMPUTED_VALUE"""),"Potomac High School")</f>
        <v>Potomac High School</v>
      </c>
      <c r="G602" s="1">
        <f ca="1">IFERROR(__xludf.DUMMYFUNCTION("""COMPUTED_VALUE"""),0)</f>
        <v>0</v>
      </c>
      <c r="H602" s="1">
        <f ca="1">IFERROR(__xludf.DUMMYFUNCTION("""COMPUTED_VALUE"""),0)</f>
        <v>0</v>
      </c>
      <c r="I602" s="1">
        <f ca="1">IFERROR(__xludf.DUMMYFUNCTION("""COMPUTED_VALUE"""),0)</f>
        <v>0</v>
      </c>
      <c r="J602" s="1">
        <f ca="1">IFERROR(__xludf.DUMMYFUNCTION("""COMPUTED_VALUE"""),0)</f>
        <v>0</v>
      </c>
      <c r="K602" s="1" t="str">
        <f ca="1">IFERROR(__xludf.DUMMYFUNCTION("""COMPUTED_VALUE"""),"Spring")</f>
        <v>Spring</v>
      </c>
      <c r="L602" s="1" t="str">
        <f ca="1">IFERROR(__xludf.DUMMYFUNCTION("""COMPUTED_VALUE"""),"Dumfries")</f>
        <v>Dumfries</v>
      </c>
      <c r="M602" s="1" t="str">
        <f ca="1">IFERROR(__xludf.DUMMYFUNCTION("""COMPUTED_VALUE"""),"VA")</f>
        <v>VA</v>
      </c>
      <c r="N602" s="1" t="str">
        <f ca="1">IFERROR(__xludf.DUMMYFUNCTION("""COMPUTED_VALUE"""),"High")</f>
        <v>High</v>
      </c>
      <c r="O602" s="1" t="str">
        <f ca="1">IFERROR(__xludf.DUMMYFUNCTION("""COMPUTED_VALUE"""),"Bathroom")</f>
        <v>Bathroom</v>
      </c>
      <c r="P602" s="1" t="str">
        <f ca="1">IFERROR(__xludf.DUMMYFUNCTION("""COMPUTED_VALUE"""),"Inside School Building")</f>
        <v>Inside School Building</v>
      </c>
      <c r="Q602" s="1" t="str">
        <f ca="1">IFERROR(__xludf.DUMMYFUNCTION("""COMPUTED_VALUE"""),"Yes")</f>
        <v>Yes</v>
      </c>
      <c r="R602" s="1" t="str">
        <f ca="1">IFERROR(__xludf.DUMMYFUNCTION("""COMPUTED_VALUE"""),"Morning Classes")</f>
        <v>Morning Classes</v>
      </c>
      <c r="S602" s="5">
        <f ca="1">IFERROR(__xludf.DUMMYFUNCTION("""COMPUTED_VALUE"""),0.346527777777777)</f>
        <v>0.34652777777777699</v>
      </c>
      <c r="T602" s="1">
        <f ca="1">IFERROR(__xludf.DUMMYFUNCTION("""COMPUTED_VALUE"""),1)</f>
        <v>1</v>
      </c>
      <c r="U602" s="1" t="str">
        <f ca="1">IFERROR(__xludf.DUMMYFUNCTION("""COMPUTED_VALUE"""),"Student pointed gun at another student in bathroom, arrested by SRO with loaded weapon")</f>
        <v>Student pointed gun at another student in bathroom, arrested by SRO with loaded weapon</v>
      </c>
      <c r="V602" s="1" t="str">
        <f ca="1">IFERROR(__xludf.DUMMYFUNCTION("""COMPUTED_VALUE"""),"A student pointed a handgun under a bathroom stall at another student. Student fled the bathroom and reported gun to SRO. SRO found the student with the gun in a different bathroom and arrested him. Student was also armed with 2 knives.")</f>
        <v>A student pointed a handgun under a bathroom stall at another student. Student fled the bathroom and reported gun to SRO. SRO found the student with the gun in a different bathroom and arrested him. Student was also armed with 2 knives.</v>
      </c>
      <c r="W602" s="1"/>
      <c r="X602" s="1" t="str">
        <f ca="1">IFERROR(__xludf.DUMMYFUNCTION("""COMPUTED_VALUE"""),"Victims Targeted")</f>
        <v>Victims Targeted</v>
      </c>
      <c r="Y602" s="1" t="str">
        <f ca="1">IFERROR(__xludf.DUMMYFUNCTION("""COMPUTED_VALUE"""),"No")</f>
        <v>No</v>
      </c>
      <c r="Z602" s="1"/>
      <c r="AA602" s="1" t="str">
        <f ca="1">IFERROR(__xludf.DUMMYFUNCTION("""COMPUTED_VALUE"""),"No")</f>
        <v>No</v>
      </c>
      <c r="AB602" s="1" t="str">
        <f ca="1">IFERROR(__xludf.DUMMYFUNCTION("""COMPUTED_VALUE"""),"No")</f>
        <v>No</v>
      </c>
      <c r="AC602" s="1" t="str">
        <f ca="1">IFERROR(__xludf.DUMMYFUNCTION("""COMPUTED_VALUE"""),"No")</f>
        <v>No</v>
      </c>
      <c r="AD602" s="1"/>
      <c r="AE602" s="1" t="str">
        <f ca="1">IFERROR(__xludf.DUMMYFUNCTION("""COMPUTED_VALUE"""),"No")</f>
        <v>No</v>
      </c>
      <c r="AF602" s="1"/>
      <c r="AG602" s="1" t="str">
        <f ca="1">IFERROR(__xludf.DUMMYFUNCTION("""COMPUTED_VALUE"""),"No")</f>
        <v>No</v>
      </c>
      <c r="AH602" s="1">
        <f ca="1">IFERROR(__xludf.DUMMYFUNCTION("""COMPUTED_VALUE"""),0)</f>
        <v>0</v>
      </c>
    </row>
    <row r="603" spans="1:34" ht="12.5">
      <c r="A603" s="1" t="str">
        <f ca="1">IFERROR(__xludf.DUMMYFUNCTION("""COMPUTED_VALUE"""),"20220520TNEAC")</f>
        <v>20220520TNEAC</v>
      </c>
      <c r="B603" s="1">
        <f ca="1">IFERROR(__xludf.DUMMYFUNCTION("""COMPUTED_VALUE"""),5)</f>
        <v>5</v>
      </c>
      <c r="C603" s="1">
        <f ca="1">IFERROR(__xludf.DUMMYFUNCTION("""COMPUTED_VALUE"""),20)</f>
        <v>20</v>
      </c>
      <c r="D603" s="1">
        <f ca="1">IFERROR(__xludf.DUMMYFUNCTION("""COMPUTED_VALUE"""),2022)</f>
        <v>2022</v>
      </c>
      <c r="E603" s="4">
        <f ca="1">IFERROR(__xludf.DUMMYFUNCTION("""COMPUTED_VALUE"""),44701)</f>
        <v>44701</v>
      </c>
      <c r="F603" s="1" t="str">
        <f ca="1">IFERROR(__xludf.DUMMYFUNCTION("""COMPUTED_VALUE"""),"East Lake Elementary School")</f>
        <v>East Lake Elementary School</v>
      </c>
      <c r="G603" s="1">
        <f ca="1">IFERROR(__xludf.DUMMYFUNCTION("""COMPUTED_VALUE"""),1)</f>
        <v>1</v>
      </c>
      <c r="H603" s="1">
        <f ca="1">IFERROR(__xludf.DUMMYFUNCTION("""COMPUTED_VALUE"""),0)</f>
        <v>0</v>
      </c>
      <c r="I603" s="1">
        <f ca="1">IFERROR(__xludf.DUMMYFUNCTION("""COMPUTED_VALUE"""),1)</f>
        <v>1</v>
      </c>
      <c r="J603" s="1">
        <f ca="1">IFERROR(__xludf.DUMMYFUNCTION("""COMPUTED_VALUE"""),0)</f>
        <v>0</v>
      </c>
      <c r="K603" s="1" t="str">
        <f ca="1">IFERROR(__xludf.DUMMYFUNCTION("""COMPUTED_VALUE"""),"Fall")</f>
        <v>Fall</v>
      </c>
      <c r="L603" s="1" t="str">
        <f ca="1">IFERROR(__xludf.DUMMYFUNCTION("""COMPUTED_VALUE"""),"Chattanooga")</f>
        <v>Chattanooga</v>
      </c>
      <c r="M603" s="1" t="str">
        <f ca="1">IFERROR(__xludf.DUMMYFUNCTION("""COMPUTED_VALUE"""),"TN")</f>
        <v>TN</v>
      </c>
      <c r="N603" s="1" t="str">
        <f ca="1">IFERROR(__xludf.DUMMYFUNCTION("""COMPUTED_VALUE"""),"Elementary")</f>
        <v>Elementary</v>
      </c>
      <c r="O603" s="1" t="str">
        <f ca="1">IFERROR(__xludf.DUMMYFUNCTION("""COMPUTED_VALUE"""),"Outside on School Property")</f>
        <v>Outside on School Property</v>
      </c>
      <c r="P603" s="1" t="str">
        <f ca="1">IFERROR(__xludf.DUMMYFUNCTION("""COMPUTED_VALUE"""),"Outside on School Property")</f>
        <v>Outside on School Property</v>
      </c>
      <c r="Q603" s="1" t="str">
        <f ca="1">IFERROR(__xludf.DUMMYFUNCTION("""COMPUTED_VALUE"""),"No")</f>
        <v>No</v>
      </c>
      <c r="R603" s="1" t="str">
        <f ca="1">IFERROR(__xludf.DUMMYFUNCTION("""COMPUTED_VALUE"""),"Before School")</f>
        <v>Before School</v>
      </c>
      <c r="S603" s="5">
        <f ca="1">IFERROR(__xludf.DUMMYFUNCTION("""COMPUTED_VALUE"""),0.208333333333333)</f>
        <v>0.20833333333333301</v>
      </c>
      <c r="T603" s="1">
        <f ca="1">IFERROR(__xludf.DUMMYFUNCTION("""COMPUTED_VALUE"""),1)</f>
        <v>1</v>
      </c>
      <c r="U603" s="1" t="str">
        <f ca="1">IFERROR(__xludf.DUMMYFUNCTION("""COMPUTED_VALUE"""),"Man fatally shot on school property")</f>
        <v>Man fatally shot on school property</v>
      </c>
      <c r="V603" s="1" t="str">
        <f ca="1">IFERROR(__xludf.DUMMYFUNCTION("""COMPUTED_VALUE"""),"A man was fatally shot on school property in the early morning before the school was open. Opening of school was delayed while police conducted the investigation.")</f>
        <v>A man was fatally shot on school property in the early morning before the school was open. Opening of school was delayed while police conducted the investigation.</v>
      </c>
      <c r="W603" s="1"/>
      <c r="X603" s="1" t="str">
        <f ca="1">IFERROR(__xludf.DUMMYFUNCTION("""COMPUTED_VALUE"""),"Victims Targeted")</f>
        <v>Victims Targeted</v>
      </c>
      <c r="Y603" s="1" t="str">
        <f ca="1">IFERROR(__xludf.DUMMYFUNCTION("""COMPUTED_VALUE"""),"No")</f>
        <v>No</v>
      </c>
      <c r="Z603" s="1"/>
      <c r="AA603" s="1" t="str">
        <f ca="1">IFERROR(__xludf.DUMMYFUNCTION("""COMPUTED_VALUE"""),"No")</f>
        <v>No</v>
      </c>
      <c r="AB603" s="1" t="str">
        <f ca="1">IFERROR(__xludf.DUMMYFUNCTION("""COMPUTED_VALUE"""),"No")</f>
        <v>No</v>
      </c>
      <c r="AC603" s="1" t="str">
        <f ca="1">IFERROR(__xludf.DUMMYFUNCTION("""COMPUTED_VALUE"""),"No")</f>
        <v>No</v>
      </c>
      <c r="AD603" s="1" t="str">
        <f ca="1">IFERROR(__xludf.DUMMYFUNCTION("""COMPUTED_VALUE"""),"No")</f>
        <v>No</v>
      </c>
      <c r="AE603" s="1"/>
      <c r="AF603" s="1"/>
      <c r="AG603" s="1" t="str">
        <f ca="1">IFERROR(__xludf.DUMMYFUNCTION("""COMPUTED_VALUE"""),"No")</f>
        <v>No</v>
      </c>
      <c r="AH603" s="1"/>
    </row>
    <row r="604" spans="1:34" ht="12.5">
      <c r="A604" s="1" t="str">
        <f ca="1">IFERROR(__xludf.DUMMYFUNCTION("""COMPUTED_VALUE"""),"20220520OHCAC")</f>
        <v>20220520OHCAC</v>
      </c>
      <c r="B604" s="1">
        <f ca="1">IFERROR(__xludf.DUMMYFUNCTION("""COMPUTED_VALUE"""),5)</f>
        <v>5</v>
      </c>
      <c r="C604" s="1">
        <f ca="1">IFERROR(__xludf.DUMMYFUNCTION("""COMPUTED_VALUE"""),20)</f>
        <v>20</v>
      </c>
      <c r="D604" s="1">
        <f ca="1">IFERROR(__xludf.DUMMYFUNCTION("""COMPUTED_VALUE"""),2022)</f>
        <v>2022</v>
      </c>
      <c r="E604" s="4">
        <f ca="1">IFERROR(__xludf.DUMMYFUNCTION("""COMPUTED_VALUE"""),44701)</f>
        <v>44701</v>
      </c>
      <c r="F604" s="1" t="str">
        <f ca="1">IFERROR(__xludf.DUMMYFUNCTION("""COMPUTED_VALUE"""),"Canal Winchester High School")</f>
        <v>Canal Winchester High School</v>
      </c>
      <c r="G604" s="1">
        <f ca="1">IFERROR(__xludf.DUMMYFUNCTION("""COMPUTED_VALUE"""),0)</f>
        <v>0</v>
      </c>
      <c r="H604" s="1">
        <f ca="1">IFERROR(__xludf.DUMMYFUNCTION("""COMPUTED_VALUE"""),0)</f>
        <v>0</v>
      </c>
      <c r="I604" s="1">
        <f ca="1">IFERROR(__xludf.DUMMYFUNCTION("""COMPUTED_VALUE"""),0)</f>
        <v>0</v>
      </c>
      <c r="J604" s="1">
        <f ca="1">IFERROR(__xludf.DUMMYFUNCTION("""COMPUTED_VALUE"""),0)</f>
        <v>0</v>
      </c>
      <c r="K604" s="1" t="str">
        <f ca="1">IFERROR(__xludf.DUMMYFUNCTION("""COMPUTED_VALUE"""),"Spring")</f>
        <v>Spring</v>
      </c>
      <c r="L604" s="1" t="str">
        <f ca="1">IFERROR(__xludf.DUMMYFUNCTION("""COMPUTED_VALUE"""),"Canal Winchester")</f>
        <v>Canal Winchester</v>
      </c>
      <c r="M604" s="1" t="str">
        <f ca="1">IFERROR(__xludf.DUMMYFUNCTION("""COMPUTED_VALUE"""),"OH")</f>
        <v>OH</v>
      </c>
      <c r="N604" s="1" t="str">
        <f ca="1">IFERROR(__xludf.DUMMYFUNCTION("""COMPUTED_VALUE"""),"High")</f>
        <v>High</v>
      </c>
      <c r="O604" s="1" t="str">
        <f ca="1">IFERROR(__xludf.DUMMYFUNCTION("""COMPUTED_VALUE"""),"School Bus")</f>
        <v>School Bus</v>
      </c>
      <c r="P604" s="1" t="str">
        <f ca="1">IFERROR(__xludf.DUMMYFUNCTION("""COMPUTED_VALUE"""),"School Bus")</f>
        <v>School Bus</v>
      </c>
      <c r="Q604" s="1" t="str">
        <f ca="1">IFERROR(__xludf.DUMMYFUNCTION("""COMPUTED_VALUE"""),"Yes")</f>
        <v>Yes</v>
      </c>
      <c r="R604" s="1" t="str">
        <f ca="1">IFERROR(__xludf.DUMMYFUNCTION("""COMPUTED_VALUE"""),"Dismissal")</f>
        <v>Dismissal</v>
      </c>
      <c r="S604" s="5">
        <f ca="1">IFERROR(__xludf.DUMMYFUNCTION("""COMPUTED_VALUE"""),0.625)</f>
        <v>0.625</v>
      </c>
      <c r="T604" s="1">
        <f ca="1">IFERROR(__xludf.DUMMYFUNCTION("""COMPUTED_VALUE"""),1)</f>
        <v>1</v>
      </c>
      <c r="U604" s="1" t="str">
        <f ca="1">IFERROR(__xludf.DUMMYFUNCTION("""COMPUTED_VALUE"""),"Teen shot school bus driver 3 times with BB gun")</f>
        <v>Teen shot school bus driver 3 times with BB gun</v>
      </c>
      <c r="V604" s="1" t="str">
        <f ca="1">IFERROR(__xludf.DUMMYFUNCTION("""COMPUTED_VALUE"""),"While students were getting off the school bus, a teen fired airsoft pellets at the driver causing minor injuries to wrist, shoulder, and hip. Teen was arrested and charges pending.")</f>
        <v>While students were getting off the school bus, a teen fired airsoft pellets at the driver causing minor injuries to wrist, shoulder, and hip. Teen was arrested and charges pending.</v>
      </c>
      <c r="W604" s="1"/>
      <c r="X604" s="1" t="str">
        <f ca="1">IFERROR(__xludf.DUMMYFUNCTION("""COMPUTED_VALUE"""),"Victims Targeted")</f>
        <v>Victims Targeted</v>
      </c>
      <c r="Y604" s="1" t="str">
        <f ca="1">IFERROR(__xludf.DUMMYFUNCTION("""COMPUTED_VALUE"""),"No")</f>
        <v>No</v>
      </c>
      <c r="Z604" s="1"/>
      <c r="AA604" s="1" t="str">
        <f ca="1">IFERROR(__xludf.DUMMYFUNCTION("""COMPUTED_VALUE"""),"No")</f>
        <v>No</v>
      </c>
      <c r="AB604" s="1" t="str">
        <f ca="1">IFERROR(__xludf.DUMMYFUNCTION("""COMPUTED_VALUE"""),"No")</f>
        <v>No</v>
      </c>
      <c r="AC604" s="1" t="str">
        <f ca="1">IFERROR(__xludf.DUMMYFUNCTION("""COMPUTED_VALUE"""),"No")</f>
        <v>No</v>
      </c>
      <c r="AD604" s="1" t="str">
        <f ca="1">IFERROR(__xludf.DUMMYFUNCTION("""COMPUTED_VALUE"""),"No")</f>
        <v>No</v>
      </c>
      <c r="AE604" s="1" t="str">
        <f ca="1">IFERROR(__xludf.DUMMYFUNCTION("""COMPUTED_VALUE"""),"No")</f>
        <v>No</v>
      </c>
      <c r="AF604" s="1" t="str">
        <f ca="1">IFERROR(__xludf.DUMMYFUNCTION("""COMPUTED_VALUE"""),"No")</f>
        <v>No</v>
      </c>
      <c r="AG604" s="1" t="str">
        <f ca="1">IFERROR(__xludf.DUMMYFUNCTION("""COMPUTED_VALUE"""),"No")</f>
        <v>No</v>
      </c>
      <c r="AH604" s="1">
        <f ca="1">IFERROR(__xludf.DUMMYFUNCTION("""COMPUTED_VALUE"""),3)</f>
        <v>3</v>
      </c>
    </row>
    <row r="605" spans="1:34" ht="12.5">
      <c r="A605" s="1" t="str">
        <f ca="1">IFERROR(__xludf.DUMMYFUNCTION("""COMPUTED_VALUE"""),"20220520ILSOP")</f>
        <v>20220520ILSOP</v>
      </c>
      <c r="B605" s="1">
        <f ca="1">IFERROR(__xludf.DUMMYFUNCTION("""COMPUTED_VALUE"""),5)</f>
        <v>5</v>
      </c>
      <c r="C605" s="1">
        <f ca="1">IFERROR(__xludf.DUMMYFUNCTION("""COMPUTED_VALUE"""),20)</f>
        <v>20</v>
      </c>
      <c r="D605" s="1">
        <f ca="1">IFERROR(__xludf.DUMMYFUNCTION("""COMPUTED_VALUE"""),2022)</f>
        <v>2022</v>
      </c>
      <c r="E605" s="4">
        <f ca="1">IFERROR(__xludf.DUMMYFUNCTION("""COMPUTED_VALUE"""),44701)</f>
        <v>44701</v>
      </c>
      <c r="F605" s="1" t="str">
        <f ca="1">IFERROR(__xludf.DUMMYFUNCTION("""COMPUTED_VALUE"""),"South Elementary School")</f>
        <v>South Elementary School</v>
      </c>
      <c r="G605" s="1">
        <f ca="1">IFERROR(__xludf.DUMMYFUNCTION("""COMPUTED_VALUE"""),0)</f>
        <v>0</v>
      </c>
      <c r="H605" s="1">
        <f ca="1">IFERROR(__xludf.DUMMYFUNCTION("""COMPUTED_VALUE"""),0)</f>
        <v>0</v>
      </c>
      <c r="I605" s="1">
        <f ca="1">IFERROR(__xludf.DUMMYFUNCTION("""COMPUTED_VALUE"""),0)</f>
        <v>0</v>
      </c>
      <c r="J605" s="1">
        <f ca="1">IFERROR(__xludf.DUMMYFUNCTION("""COMPUTED_VALUE"""),0)</f>
        <v>0</v>
      </c>
      <c r="K605" s="1" t="str">
        <f ca="1">IFERROR(__xludf.DUMMYFUNCTION("""COMPUTED_VALUE"""),"Spring")</f>
        <v>Spring</v>
      </c>
      <c r="L605" s="1" t="str">
        <f ca="1">IFERROR(__xludf.DUMMYFUNCTION("""COMPUTED_VALUE"""),"Pittsfield")</f>
        <v>Pittsfield</v>
      </c>
      <c r="M605" s="1" t="str">
        <f ca="1">IFERROR(__xludf.DUMMYFUNCTION("""COMPUTED_VALUE"""),"IL")</f>
        <v>IL</v>
      </c>
      <c r="N605" s="1" t="str">
        <f ca="1">IFERROR(__xludf.DUMMYFUNCTION("""COMPUTED_VALUE"""),"Elementary")</f>
        <v>Elementary</v>
      </c>
      <c r="O605" s="1" t="str">
        <f ca="1">IFERROR(__xludf.DUMMYFUNCTION("""COMPUTED_VALUE"""),"Outside on School Property")</f>
        <v>Outside on School Property</v>
      </c>
      <c r="P605" s="1" t="str">
        <f ca="1">IFERROR(__xludf.DUMMYFUNCTION("""COMPUTED_VALUE"""),"Outside on School Property")</f>
        <v>Outside on School Property</v>
      </c>
      <c r="Q605" s="1" t="str">
        <f ca="1">IFERROR(__xludf.DUMMYFUNCTION("""COMPUTED_VALUE"""),"Yes")</f>
        <v>Yes</v>
      </c>
      <c r="R605" s="1" t="str">
        <f ca="1">IFERROR(__xludf.DUMMYFUNCTION("""COMPUTED_VALUE"""),"School Start")</f>
        <v>School Start</v>
      </c>
      <c r="S605" s="5">
        <f ca="1">IFERROR(__xludf.DUMMYFUNCTION("""COMPUTED_VALUE"""),0.311111111111111)</f>
        <v>0.31111111111111101</v>
      </c>
      <c r="T605" s="1">
        <f ca="1">IFERROR(__xludf.DUMMYFUNCTION("""COMPUTED_VALUE"""),1)</f>
        <v>1</v>
      </c>
      <c r="U605" s="1" t="str">
        <f ca="1">IFERROR(__xludf.DUMMYFUNCTION("""COMPUTED_VALUE"""),"Woman hallucinating on meth fired shot near school")</f>
        <v>Woman hallucinating on meth fired shot near school</v>
      </c>
      <c r="V605" s="1" t="str">
        <f ca="1">IFERROR(__xludf.DUMMYFUNCTION("""COMPUTED_VALUE"""),"Woman hallucinating on meth fired a shot near school. She surrendered to officers when they arrived. Start of school was delayed and students were diverted from the area.")</f>
        <v>Woman hallucinating on meth fired a shot near school. She surrendered to officers when they arrived. Start of school was delayed and students were diverted from the area.</v>
      </c>
      <c r="W605" s="1" t="str">
        <f ca="1">IFERROR(__xludf.DUMMYFUNCTION("""COMPUTED_VALUE"""),"Illegal Activity")</f>
        <v>Illegal Activity</v>
      </c>
      <c r="X605" s="1" t="str">
        <f ca="1">IFERROR(__xludf.DUMMYFUNCTION("""COMPUTED_VALUE"""),"Neither")</f>
        <v>Neither</v>
      </c>
      <c r="Y605" s="1" t="str">
        <f ca="1">IFERROR(__xludf.DUMMYFUNCTION("""COMPUTED_VALUE"""),"No")</f>
        <v>No</v>
      </c>
      <c r="Z605" s="1"/>
      <c r="AA605" s="1" t="str">
        <f ca="1">IFERROR(__xludf.DUMMYFUNCTION("""COMPUTED_VALUE"""),"No")</f>
        <v>No</v>
      </c>
      <c r="AB605" s="1" t="str">
        <f ca="1">IFERROR(__xludf.DUMMYFUNCTION("""COMPUTED_VALUE"""),"No")</f>
        <v>No</v>
      </c>
      <c r="AC605" s="1" t="str">
        <f ca="1">IFERROR(__xludf.DUMMYFUNCTION("""COMPUTED_VALUE"""),"No")</f>
        <v>No</v>
      </c>
      <c r="AD605" s="1" t="str">
        <f ca="1">IFERROR(__xludf.DUMMYFUNCTION("""COMPUTED_VALUE"""),"No")</f>
        <v>No</v>
      </c>
      <c r="AE605" s="1" t="str">
        <f ca="1">IFERROR(__xludf.DUMMYFUNCTION("""COMPUTED_VALUE"""),"No")</f>
        <v>No</v>
      </c>
      <c r="AF605" s="1" t="str">
        <f ca="1">IFERROR(__xludf.DUMMYFUNCTION("""COMPUTED_VALUE"""),"No")</f>
        <v>No</v>
      </c>
      <c r="AG605" s="1" t="str">
        <f ca="1">IFERROR(__xludf.DUMMYFUNCTION("""COMPUTED_VALUE"""),"No")</f>
        <v>No</v>
      </c>
      <c r="AH605" s="1">
        <f ca="1">IFERROR(__xludf.DUMMYFUNCTION("""COMPUTED_VALUE"""),1)</f>
        <v>1</v>
      </c>
    </row>
    <row r="606" spans="1:34" ht="12.5">
      <c r="A606" s="1" t="str">
        <f ca="1">IFERROR(__xludf.DUMMYFUNCTION("""COMPUTED_VALUE"""),"20220520ALMAT")</f>
        <v>20220520ALMAT</v>
      </c>
      <c r="B606" s="1">
        <f ca="1">IFERROR(__xludf.DUMMYFUNCTION("""COMPUTED_VALUE"""),5)</f>
        <v>5</v>
      </c>
      <c r="C606" s="1">
        <f ca="1">IFERROR(__xludf.DUMMYFUNCTION("""COMPUTED_VALUE"""),20)</f>
        <v>20</v>
      </c>
      <c r="D606" s="1">
        <f ca="1">IFERROR(__xludf.DUMMYFUNCTION("""COMPUTED_VALUE"""),2022)</f>
        <v>2022</v>
      </c>
      <c r="E606" s="4">
        <f ca="1">IFERROR(__xludf.DUMMYFUNCTION("""COMPUTED_VALUE"""),44701)</f>
        <v>44701</v>
      </c>
      <c r="F606" s="1" t="str">
        <f ca="1">IFERROR(__xludf.DUMMYFUNCTION("""COMPUTED_VALUE"""),"Mary W Burroughs Elementary School")</f>
        <v>Mary W Burroughs Elementary School</v>
      </c>
      <c r="G606" s="1">
        <f ca="1">IFERROR(__xludf.DUMMYFUNCTION("""COMPUTED_VALUE"""),0)</f>
        <v>0</v>
      </c>
      <c r="H606" s="1">
        <f ca="1">IFERROR(__xludf.DUMMYFUNCTION("""COMPUTED_VALUE"""),0)</f>
        <v>0</v>
      </c>
      <c r="I606" s="1">
        <f ca="1">IFERROR(__xludf.DUMMYFUNCTION("""COMPUTED_VALUE"""),0)</f>
        <v>0</v>
      </c>
      <c r="J606" s="1">
        <f ca="1">IFERROR(__xludf.DUMMYFUNCTION("""COMPUTED_VALUE"""),0)</f>
        <v>0</v>
      </c>
      <c r="K606" s="1" t="str">
        <f ca="1">IFERROR(__xludf.DUMMYFUNCTION("""COMPUTED_VALUE"""),"Spring")</f>
        <v>Spring</v>
      </c>
      <c r="L606" s="1" t="str">
        <f ca="1">IFERROR(__xludf.DUMMYFUNCTION("""COMPUTED_VALUE"""),"Theodore")</f>
        <v>Theodore</v>
      </c>
      <c r="M606" s="1" t="str">
        <f ca="1">IFERROR(__xludf.DUMMYFUNCTION("""COMPUTED_VALUE"""),"AL")</f>
        <v>AL</v>
      </c>
      <c r="N606" s="1" t="str">
        <f ca="1">IFERROR(__xludf.DUMMYFUNCTION("""COMPUTED_VALUE"""),"Elementary")</f>
        <v>Elementary</v>
      </c>
      <c r="O606" s="1" t="str">
        <f ca="1">IFERROR(__xludf.DUMMYFUNCTION("""COMPUTED_VALUE"""),"Classroom")</f>
        <v>Classroom</v>
      </c>
      <c r="P606" s="1" t="str">
        <f ca="1">IFERROR(__xludf.DUMMYFUNCTION("""COMPUTED_VALUE"""),"Both Inside/Outside")</f>
        <v>Both Inside/Outside</v>
      </c>
      <c r="Q606" s="1" t="str">
        <f ca="1">IFERROR(__xludf.DUMMYFUNCTION("""COMPUTED_VALUE"""),"Yes")</f>
        <v>Yes</v>
      </c>
      <c r="R606" s="1" t="str">
        <f ca="1">IFERROR(__xludf.DUMMYFUNCTION("""COMPUTED_VALUE"""),"Afternoon Classes")</f>
        <v>Afternoon Classes</v>
      </c>
      <c r="S606" s="5">
        <f ca="1">IFERROR(__xludf.DUMMYFUNCTION("""COMPUTED_VALUE"""),0.5625)</f>
        <v>0.5625</v>
      </c>
      <c r="T606" s="1">
        <f ca="1">IFERROR(__xludf.DUMMYFUNCTION("""COMPUTED_VALUE"""),1)</f>
        <v>1</v>
      </c>
      <c r="U606" s="1" t="str">
        <f ca="1">IFERROR(__xludf.DUMMYFUNCTION("""COMPUTED_VALUE"""),"Bullet broke classroom window")</f>
        <v>Bullet broke classroom window</v>
      </c>
      <c r="V606" s="1" t="str">
        <f ca="1">IFERROR(__xludf.DUMMYFUNCTION("""COMPUTED_VALUE"""),"A stray bullet broke the window of a classroom. School was in session but students were not inside that classroom when the shooting occurred. No injuries. Police said the school was not targeted.")</f>
        <v>A stray bullet broke the window of a classroom. School was in session but students were not inside that classroom when the shooting occurred. No injuries. Police said the school was not targeted.</v>
      </c>
      <c r="W606" s="1" t="str">
        <f ca="1">IFERROR(__xludf.DUMMYFUNCTION("""COMPUTED_VALUE"""),"Accidental")</f>
        <v>Accidental</v>
      </c>
      <c r="X606" s="1" t="str">
        <f ca="1">IFERROR(__xludf.DUMMYFUNCTION("""COMPUTED_VALUE"""),"Neither")</f>
        <v>Neither</v>
      </c>
      <c r="Y606" s="1" t="str">
        <f ca="1">IFERROR(__xludf.DUMMYFUNCTION("""COMPUTED_VALUE"""),"No")</f>
        <v>No</v>
      </c>
      <c r="Z606" s="1"/>
      <c r="AA606" s="1" t="str">
        <f ca="1">IFERROR(__xludf.DUMMYFUNCTION("""COMPUTED_VALUE"""),"No")</f>
        <v>No</v>
      </c>
      <c r="AB606" s="1" t="str">
        <f ca="1">IFERROR(__xludf.DUMMYFUNCTION("""COMPUTED_VALUE"""),"No")</f>
        <v>No</v>
      </c>
      <c r="AC606" s="1" t="str">
        <f ca="1">IFERROR(__xludf.DUMMYFUNCTION("""COMPUTED_VALUE"""),"No")</f>
        <v>No</v>
      </c>
      <c r="AD606" s="1" t="str">
        <f ca="1">IFERROR(__xludf.DUMMYFUNCTION("""COMPUTED_VALUE"""),"No")</f>
        <v>No</v>
      </c>
      <c r="AE606" s="1" t="str">
        <f ca="1">IFERROR(__xludf.DUMMYFUNCTION("""COMPUTED_VALUE"""),"No")</f>
        <v>No</v>
      </c>
      <c r="AF606" s="1" t="str">
        <f ca="1">IFERROR(__xludf.DUMMYFUNCTION("""COMPUTED_VALUE"""),"No")</f>
        <v>No</v>
      </c>
      <c r="AG606" s="1" t="str">
        <f ca="1">IFERROR(__xludf.DUMMYFUNCTION("""COMPUTED_VALUE"""),"No")</f>
        <v>No</v>
      </c>
      <c r="AH606" s="1">
        <f ca="1">IFERROR(__xludf.DUMMYFUNCTION("""COMPUTED_VALUE"""),1)</f>
        <v>1</v>
      </c>
    </row>
    <row r="607" spans="1:34" ht="12.5">
      <c r="A607" s="1" t="str">
        <f ca="1">IFERROR(__xludf.DUMMYFUNCTION("""COMPUTED_VALUE"""),"20220519VAGER")</f>
        <v>20220519VAGER</v>
      </c>
      <c r="B607" s="1">
        <f ca="1">IFERROR(__xludf.DUMMYFUNCTION("""COMPUTED_VALUE"""),5)</f>
        <v>5</v>
      </c>
      <c r="C607" s="1">
        <f ca="1">IFERROR(__xludf.DUMMYFUNCTION("""COMPUTED_VALUE"""),19)</f>
        <v>19</v>
      </c>
      <c r="D607" s="1">
        <f ca="1">IFERROR(__xludf.DUMMYFUNCTION("""COMPUTED_VALUE"""),2022)</f>
        <v>2022</v>
      </c>
      <c r="E607" s="4">
        <f ca="1">IFERROR(__xludf.DUMMYFUNCTION("""COMPUTED_VALUE"""),44700)</f>
        <v>44700</v>
      </c>
      <c r="F607" s="1" t="str">
        <f ca="1">IFERROR(__xludf.DUMMYFUNCTION("""COMPUTED_VALUE"""),"George Wythe High School")</f>
        <v>George Wythe High School</v>
      </c>
      <c r="G607" s="1">
        <f ca="1">IFERROR(__xludf.DUMMYFUNCTION("""COMPUTED_VALUE"""),0)</f>
        <v>0</v>
      </c>
      <c r="H607" s="1">
        <f ca="1">IFERROR(__xludf.DUMMYFUNCTION("""COMPUTED_VALUE"""),0)</f>
        <v>0</v>
      </c>
      <c r="I607" s="1">
        <f ca="1">IFERROR(__xludf.DUMMYFUNCTION("""COMPUTED_VALUE"""),0)</f>
        <v>0</v>
      </c>
      <c r="J607" s="1">
        <f ca="1">IFERROR(__xludf.DUMMYFUNCTION("""COMPUTED_VALUE"""),0)</f>
        <v>0</v>
      </c>
      <c r="K607" s="1" t="str">
        <f ca="1">IFERROR(__xludf.DUMMYFUNCTION("""COMPUTED_VALUE"""),"Spring")</f>
        <v>Spring</v>
      </c>
      <c r="L607" s="1" t="str">
        <f ca="1">IFERROR(__xludf.DUMMYFUNCTION("""COMPUTED_VALUE"""),"Richmond")</f>
        <v>Richmond</v>
      </c>
      <c r="M607" s="1" t="str">
        <f ca="1">IFERROR(__xludf.DUMMYFUNCTION("""COMPUTED_VALUE"""),"VA")</f>
        <v>VA</v>
      </c>
      <c r="N607" s="1" t="str">
        <f ca="1">IFERROR(__xludf.DUMMYFUNCTION("""COMPUTED_VALUE"""),"High")</f>
        <v>High</v>
      </c>
      <c r="O607" s="1" t="str">
        <f ca="1">IFERROR(__xludf.DUMMYFUNCTION("""COMPUTED_VALUE"""),"Parking Lot")</f>
        <v>Parking Lot</v>
      </c>
      <c r="P607" s="1" t="str">
        <f ca="1">IFERROR(__xludf.DUMMYFUNCTION("""COMPUTED_VALUE"""),"Outside on School Property")</f>
        <v>Outside on School Property</v>
      </c>
      <c r="Q607" s="1" t="str">
        <f ca="1">IFERROR(__xludf.DUMMYFUNCTION("""COMPUTED_VALUE"""),"Yes")</f>
        <v>Yes</v>
      </c>
      <c r="R607" s="1" t="str">
        <f ca="1">IFERROR(__xludf.DUMMYFUNCTION("""COMPUTED_VALUE"""),"Afternoon Classes")</f>
        <v>Afternoon Classes</v>
      </c>
      <c r="S607" s="5">
        <f ca="1">IFERROR(__xludf.DUMMYFUNCTION("""COMPUTED_VALUE"""),0.592361111111111)</f>
        <v>0.59236111111111101</v>
      </c>
      <c r="T607" s="1">
        <f ca="1">IFERROR(__xludf.DUMMYFUNCTION("""COMPUTED_VALUE"""),1)</f>
        <v>1</v>
      </c>
      <c r="U607" s="1" t="str">
        <f ca="1">IFERROR(__xludf.DUMMYFUNCTION("""COMPUTED_VALUE"""),"Shots fired from a vehicle at students in the parking lot")</f>
        <v>Shots fired from a vehicle at students in the parking lot</v>
      </c>
      <c r="V607" s="1" t="str">
        <f ca="1">IFERROR(__xludf.DUMMYFUNCTION("""COMPUTED_VALUE"""),"Shots fired from a passing vehicle at students in the parking lot. No injuries. Shooter fled.")</f>
        <v>Shots fired from a passing vehicle at students in the parking lot. No injuries. Shooter fled.</v>
      </c>
      <c r="W607" s="1" t="str">
        <f ca="1">IFERROR(__xludf.DUMMYFUNCTION("""COMPUTED_VALUE"""),"Drive-by Shooting")</f>
        <v>Drive-by Shooting</v>
      </c>
      <c r="X607" s="1" t="str">
        <f ca="1">IFERROR(__xludf.DUMMYFUNCTION("""COMPUTED_VALUE"""),"Random Shooting")</f>
        <v>Random Shooting</v>
      </c>
      <c r="Y607" s="1" t="str">
        <f ca="1">IFERROR(__xludf.DUMMYFUNCTION("""COMPUTED_VALUE"""),"No")</f>
        <v>No</v>
      </c>
      <c r="Z607" s="1"/>
      <c r="AA607" s="1" t="str">
        <f ca="1">IFERROR(__xludf.DUMMYFUNCTION("""COMPUTED_VALUE"""),"No")</f>
        <v>No</v>
      </c>
      <c r="AB607" s="1" t="str">
        <f ca="1">IFERROR(__xludf.DUMMYFUNCTION("""COMPUTED_VALUE"""),"No")</f>
        <v>No</v>
      </c>
      <c r="AC607" s="1" t="str">
        <f ca="1">IFERROR(__xludf.DUMMYFUNCTION("""COMPUTED_VALUE"""),"No")</f>
        <v>No</v>
      </c>
      <c r="AD607" s="1" t="str">
        <f ca="1">IFERROR(__xludf.DUMMYFUNCTION("""COMPUTED_VALUE"""),"No")</f>
        <v>No</v>
      </c>
      <c r="AE607" s="1" t="str">
        <f ca="1">IFERROR(__xludf.DUMMYFUNCTION("""COMPUTED_VALUE"""),"No")</f>
        <v>No</v>
      </c>
      <c r="AF607" s="1"/>
      <c r="AG607" s="1" t="str">
        <f ca="1">IFERROR(__xludf.DUMMYFUNCTION("""COMPUTED_VALUE"""),"No")</f>
        <v>No</v>
      </c>
      <c r="AH607" s="1">
        <f ca="1">IFERROR(__xludf.DUMMYFUNCTION("""COMPUTED_VALUE"""),99)</f>
        <v>99</v>
      </c>
    </row>
    <row r="608" spans="1:34" ht="12.5">
      <c r="A608" s="1" t="str">
        <f ca="1">IFERROR(__xludf.DUMMYFUNCTION("""COMPUTED_VALUE"""),"20220519MIEAK")</f>
        <v>20220519MIEAK</v>
      </c>
      <c r="B608" s="1">
        <f ca="1">IFERROR(__xludf.DUMMYFUNCTION("""COMPUTED_VALUE"""),5)</f>
        <v>5</v>
      </c>
      <c r="C608" s="1">
        <f ca="1">IFERROR(__xludf.DUMMYFUNCTION("""COMPUTED_VALUE"""),19)</f>
        <v>19</v>
      </c>
      <c r="D608" s="1">
        <f ca="1">IFERROR(__xludf.DUMMYFUNCTION("""COMPUTED_VALUE"""),2022)</f>
        <v>2022</v>
      </c>
      <c r="E608" s="4">
        <f ca="1">IFERROR(__xludf.DUMMYFUNCTION("""COMPUTED_VALUE"""),44700)</f>
        <v>44700</v>
      </c>
      <c r="F608" s="1" t="str">
        <f ca="1">IFERROR(__xludf.DUMMYFUNCTION("""COMPUTED_VALUE"""),"East Kentwood High School")</f>
        <v>East Kentwood High School</v>
      </c>
      <c r="G608" s="1">
        <f ca="1">IFERROR(__xludf.DUMMYFUNCTION("""COMPUTED_VALUE"""),0)</f>
        <v>0</v>
      </c>
      <c r="H608" s="1">
        <f ca="1">IFERROR(__xludf.DUMMYFUNCTION("""COMPUTED_VALUE"""),2)</f>
        <v>2</v>
      </c>
      <c r="I608" s="1">
        <f ca="1">IFERROR(__xludf.DUMMYFUNCTION("""COMPUTED_VALUE"""),2)</f>
        <v>2</v>
      </c>
      <c r="J608" s="1">
        <f ca="1">IFERROR(__xludf.DUMMYFUNCTION("""COMPUTED_VALUE"""),0)</f>
        <v>0</v>
      </c>
      <c r="K608" s="1" t="str">
        <f ca="1">IFERROR(__xludf.DUMMYFUNCTION("""COMPUTED_VALUE"""),"Spring")</f>
        <v>Spring</v>
      </c>
      <c r="L608" s="1" t="str">
        <f ca="1">IFERROR(__xludf.DUMMYFUNCTION("""COMPUTED_VALUE"""),"Kentwood")</f>
        <v>Kentwood</v>
      </c>
      <c r="M608" s="1" t="str">
        <f ca="1">IFERROR(__xludf.DUMMYFUNCTION("""COMPUTED_VALUE"""),"MI")</f>
        <v>MI</v>
      </c>
      <c r="N608" s="1" t="str">
        <f ca="1">IFERROR(__xludf.DUMMYFUNCTION("""COMPUTED_VALUE"""),"High")</f>
        <v>High</v>
      </c>
      <c r="O608" s="1" t="str">
        <f ca="1">IFERROR(__xludf.DUMMYFUNCTION("""COMPUTED_VALUE"""),"Parking Lot")</f>
        <v>Parking Lot</v>
      </c>
      <c r="P608" s="1" t="str">
        <f ca="1">IFERROR(__xludf.DUMMYFUNCTION("""COMPUTED_VALUE"""),"Outside on School Property")</f>
        <v>Outside on School Property</v>
      </c>
      <c r="Q608" s="1" t="str">
        <f ca="1">IFERROR(__xludf.DUMMYFUNCTION("""COMPUTED_VALUE"""),"No")</f>
        <v>No</v>
      </c>
      <c r="R608" s="1" t="str">
        <f ca="1">IFERROR(__xludf.DUMMYFUNCTION("""COMPUTED_VALUE"""),"School Event")</f>
        <v>School Event</v>
      </c>
      <c r="S608" s="5">
        <f ca="1">IFERROR(__xludf.DUMMYFUNCTION("""COMPUTED_VALUE"""),0.8125)</f>
        <v>0.8125</v>
      </c>
      <c r="T608" s="1">
        <f ca="1">IFERROR(__xludf.DUMMYFUNCTION("""COMPUTED_VALUE"""),1)</f>
        <v>1</v>
      </c>
      <c r="U608" s="1" t="str">
        <f ca="1">IFERROR(__xludf.DUMMYFUNCTION("""COMPUTED_VALUE"""),"Drive-by shooting in the parking lot of the school following graduation")</f>
        <v>Drive-by shooting in the parking lot of the school following graduation</v>
      </c>
      <c r="V608" s="1" t="str">
        <f ca="1">IFERROR(__xludf.DUMMYFUNCTION("""COMPUTED_VALUE"""),"Two people were shot in the parking lot near the football stadium of the high school following the graduation ceremony. Both victims (40YOF, 16YOM) were bystanders, not intended targets. Shooter fled in vehicle.")</f>
        <v>Two people were shot in the parking lot near the football stadium of the high school following the graduation ceremony. Both victims (40YOF, 16YOM) were bystanders, not intended targets. Shooter fled in vehicle.</v>
      </c>
      <c r="W608" s="1" t="str">
        <f ca="1">IFERROR(__xludf.DUMMYFUNCTION("""COMPUTED_VALUE"""),"Drive-by Shooting")</f>
        <v>Drive-by Shooting</v>
      </c>
      <c r="X608" s="1" t="str">
        <f ca="1">IFERROR(__xludf.DUMMYFUNCTION("""COMPUTED_VALUE"""),"Both")</f>
        <v>Both</v>
      </c>
      <c r="Y608" s="1" t="str">
        <f ca="1">IFERROR(__xludf.DUMMYFUNCTION("""COMPUTED_VALUE"""),"Yes")</f>
        <v>Yes</v>
      </c>
      <c r="Z608" s="1" t="str">
        <f ca="1">IFERROR(__xludf.DUMMYFUNCTION("""COMPUTED_VALUE"""),"Driver and shooter")</f>
        <v>Driver and shooter</v>
      </c>
      <c r="AA608" s="1" t="str">
        <f ca="1">IFERROR(__xludf.DUMMYFUNCTION("""COMPUTED_VALUE"""),"No")</f>
        <v>No</v>
      </c>
      <c r="AB608" s="1" t="str">
        <f ca="1">IFERROR(__xludf.DUMMYFUNCTION("""COMPUTED_VALUE"""),"No")</f>
        <v>No</v>
      </c>
      <c r="AC608" s="1" t="str">
        <f ca="1">IFERROR(__xludf.DUMMYFUNCTION("""COMPUTED_VALUE"""),"No")</f>
        <v>No</v>
      </c>
      <c r="AD608" s="1" t="str">
        <f ca="1">IFERROR(__xludf.DUMMYFUNCTION("""COMPUTED_VALUE"""),"No")</f>
        <v>No</v>
      </c>
      <c r="AE608" s="1" t="str">
        <f ca="1">IFERROR(__xludf.DUMMYFUNCTION("""COMPUTED_VALUE"""),"No")</f>
        <v>No</v>
      </c>
      <c r="AF608" s="1"/>
      <c r="AG608" s="1" t="str">
        <f ca="1">IFERROR(__xludf.DUMMYFUNCTION("""COMPUTED_VALUE"""),"No")</f>
        <v>No</v>
      </c>
      <c r="AH608" s="1">
        <f ca="1">IFERROR(__xludf.DUMMYFUNCTION("""COMPUTED_VALUE"""),99)</f>
        <v>99</v>
      </c>
    </row>
    <row r="609" spans="1:34" ht="12.5">
      <c r="A609" s="1" t="str">
        <f ca="1">IFERROR(__xludf.DUMMYFUNCTION("""COMPUTED_VALUE"""),"20220519LAHAH")</f>
        <v>20220519LAHAH</v>
      </c>
      <c r="B609" s="1">
        <f ca="1">IFERROR(__xludf.DUMMYFUNCTION("""COMPUTED_VALUE"""),5)</f>
        <v>5</v>
      </c>
      <c r="C609" s="1">
        <f ca="1">IFERROR(__xludf.DUMMYFUNCTION("""COMPUTED_VALUE"""),19)</f>
        <v>19</v>
      </c>
      <c r="D609" s="1">
        <f ca="1">IFERROR(__xludf.DUMMYFUNCTION("""COMPUTED_VALUE"""),2022)</f>
        <v>2022</v>
      </c>
      <c r="E609" s="4">
        <f ca="1">IFERROR(__xludf.DUMMYFUNCTION("""COMPUTED_VALUE"""),44700)</f>
        <v>44700</v>
      </c>
      <c r="F609" s="1" t="str">
        <f ca="1">IFERROR(__xludf.DUMMYFUNCTION("""COMPUTED_VALUE"""),"Hammond High Magnet School")</f>
        <v>Hammond High Magnet School</v>
      </c>
      <c r="G609" s="1">
        <f ca="1">IFERROR(__xludf.DUMMYFUNCTION("""COMPUTED_VALUE"""),0)</f>
        <v>0</v>
      </c>
      <c r="H609" s="1">
        <f ca="1">IFERROR(__xludf.DUMMYFUNCTION("""COMPUTED_VALUE"""),3)</f>
        <v>3</v>
      </c>
      <c r="I609" s="1">
        <f ca="1">IFERROR(__xludf.DUMMYFUNCTION("""COMPUTED_VALUE"""),3)</f>
        <v>3</v>
      </c>
      <c r="J609" s="1">
        <f ca="1">IFERROR(__xludf.DUMMYFUNCTION("""COMPUTED_VALUE"""),0)</f>
        <v>0</v>
      </c>
      <c r="K609" s="1" t="str">
        <f ca="1">IFERROR(__xludf.DUMMYFUNCTION("""COMPUTED_VALUE"""),"Spring")</f>
        <v>Spring</v>
      </c>
      <c r="L609" s="1" t="str">
        <f ca="1">IFERROR(__xludf.DUMMYFUNCTION("""COMPUTED_VALUE"""),"Hammond")</f>
        <v>Hammond</v>
      </c>
      <c r="M609" s="1" t="str">
        <f ca="1">IFERROR(__xludf.DUMMYFUNCTION("""COMPUTED_VALUE"""),"LA")</f>
        <v>LA</v>
      </c>
      <c r="N609" s="1" t="str">
        <f ca="1">IFERROR(__xludf.DUMMYFUNCTION("""COMPUTED_VALUE"""),"High")</f>
        <v>High</v>
      </c>
      <c r="O609" s="1" t="str">
        <f ca="1">IFERROR(__xludf.DUMMYFUNCTION("""COMPUTED_VALUE"""),"Off School Property")</f>
        <v>Off School Property</v>
      </c>
      <c r="P609" s="1" t="str">
        <f ca="1">IFERROR(__xludf.DUMMYFUNCTION("""COMPUTED_VALUE"""),"Off School Property")</f>
        <v>Off School Property</v>
      </c>
      <c r="Q609" s="1" t="str">
        <f ca="1">IFERROR(__xludf.DUMMYFUNCTION("""COMPUTED_VALUE"""),"No")</f>
        <v>No</v>
      </c>
      <c r="R609" s="1" t="str">
        <f ca="1">IFERROR(__xludf.DUMMYFUNCTION("""COMPUTED_VALUE"""),"School Event")</f>
        <v>School Event</v>
      </c>
      <c r="S609" s="5">
        <f ca="1">IFERROR(__xludf.DUMMYFUNCTION("""COMPUTED_VALUE"""),0.833333333333333)</f>
        <v>0.83333333333333304</v>
      </c>
      <c r="T609" s="1">
        <f ca="1">IFERROR(__xludf.DUMMYFUNCTION("""COMPUTED_VALUE"""),1)</f>
        <v>1</v>
      </c>
      <c r="U609" s="1" t="str">
        <f ca="1">IFERROR(__xludf.DUMMYFUNCTION("""COMPUTED_VALUE"""),"Shots firing during fight that escalated following graduation ceremony")</f>
        <v>Shots firing during fight that escalated following graduation ceremony</v>
      </c>
      <c r="V609" s="1" t="str">
        <f ca="1">IFERROR(__xludf.DUMMYFUNCTION("""COMPUTED_VALUE"""),"A 20-year-old man fired 10 shots during an argument with a minor outside of the auditorium following the high school graduation ceremony held on the Southeastern University campus. 3 bystanders were shot. Shooter fled and was arrested the following day.")</f>
        <v>A 20-year-old man fired 10 shots during an argument with a minor outside of the auditorium following the high school graduation ceremony held on the Southeastern University campus. 3 bystanders were shot. Shooter fled and was arrested the following day.</v>
      </c>
      <c r="W609" s="1" t="str">
        <f ca="1">IFERROR(__xludf.DUMMYFUNCTION("""COMPUTED_VALUE"""),"Escalation of Dispute")</f>
        <v>Escalation of Dispute</v>
      </c>
      <c r="X609" s="1" t="str">
        <f ca="1">IFERROR(__xludf.DUMMYFUNCTION("""COMPUTED_VALUE"""),"Both")</f>
        <v>Both</v>
      </c>
      <c r="Y609" s="1" t="str">
        <f ca="1">IFERROR(__xludf.DUMMYFUNCTION("""COMPUTED_VALUE"""),"No")</f>
        <v>No</v>
      </c>
      <c r="Z609" s="1"/>
      <c r="AA609" s="1" t="str">
        <f ca="1">IFERROR(__xludf.DUMMYFUNCTION("""COMPUTED_VALUE"""),"No")</f>
        <v>No</v>
      </c>
      <c r="AB609" s="1" t="str">
        <f ca="1">IFERROR(__xludf.DUMMYFUNCTION("""COMPUTED_VALUE"""),"No")</f>
        <v>No</v>
      </c>
      <c r="AC609" s="1" t="str">
        <f ca="1">IFERROR(__xludf.DUMMYFUNCTION("""COMPUTED_VALUE"""),"No")</f>
        <v>No</v>
      </c>
      <c r="AD609" s="1" t="str">
        <f ca="1">IFERROR(__xludf.DUMMYFUNCTION("""COMPUTED_VALUE"""),"No")</f>
        <v>No</v>
      </c>
      <c r="AE609" s="1" t="str">
        <f ca="1">IFERROR(__xludf.DUMMYFUNCTION("""COMPUTED_VALUE"""),"No")</f>
        <v>No</v>
      </c>
      <c r="AF609" s="1" t="str">
        <f ca="1">IFERROR(__xludf.DUMMYFUNCTION("""COMPUTED_VALUE"""),"Yes")</f>
        <v>Yes</v>
      </c>
      <c r="AG609" s="1" t="str">
        <f ca="1">IFERROR(__xludf.DUMMYFUNCTION("""COMPUTED_VALUE"""),"No")</f>
        <v>No</v>
      </c>
      <c r="AH609" s="1">
        <f ca="1">IFERROR(__xludf.DUMMYFUNCTION("""COMPUTED_VALUE"""),10)</f>
        <v>10</v>
      </c>
    </row>
    <row r="610" spans="1:34" ht="12.5">
      <c r="A610" s="1" t="str">
        <f ca="1">IFERROR(__xludf.DUMMYFUNCTION("""COMPUTED_VALUE"""),"20220518TNRIM")</f>
        <v>20220518TNRIM</v>
      </c>
      <c r="B610" s="1">
        <f ca="1">IFERROR(__xludf.DUMMYFUNCTION("""COMPUTED_VALUE"""),5)</f>
        <v>5</v>
      </c>
      <c r="C610" s="1">
        <f ca="1">IFERROR(__xludf.DUMMYFUNCTION("""COMPUTED_VALUE"""),18)</f>
        <v>18</v>
      </c>
      <c r="D610" s="1">
        <f ca="1">IFERROR(__xludf.DUMMYFUNCTION("""COMPUTED_VALUE"""),2022)</f>
        <v>2022</v>
      </c>
      <c r="E610" s="4">
        <f ca="1">IFERROR(__xludf.DUMMYFUNCTION("""COMPUTED_VALUE"""),44699)</f>
        <v>44699</v>
      </c>
      <c r="F610" s="1" t="str">
        <f ca="1">IFERROR(__xludf.DUMMYFUNCTION("""COMPUTED_VALUE"""),"Riverdale High School")</f>
        <v>Riverdale High School</v>
      </c>
      <c r="G610" s="1">
        <f ca="1">IFERROR(__xludf.DUMMYFUNCTION("""COMPUTED_VALUE"""),1)</f>
        <v>1</v>
      </c>
      <c r="H610" s="1">
        <f ca="1">IFERROR(__xludf.DUMMYFUNCTION("""COMPUTED_VALUE"""),1)</f>
        <v>1</v>
      </c>
      <c r="I610" s="1">
        <f ca="1">IFERROR(__xludf.DUMMYFUNCTION("""COMPUTED_VALUE"""),2)</f>
        <v>2</v>
      </c>
      <c r="J610" s="1">
        <f ca="1">IFERROR(__xludf.DUMMYFUNCTION("""COMPUTED_VALUE"""),0)</f>
        <v>0</v>
      </c>
      <c r="K610" s="1" t="str">
        <f ca="1">IFERROR(__xludf.DUMMYFUNCTION("""COMPUTED_VALUE"""),"Spring")</f>
        <v>Spring</v>
      </c>
      <c r="L610" s="1" t="str">
        <f ca="1">IFERROR(__xludf.DUMMYFUNCTION("""COMPUTED_VALUE"""),"Murfreesboro")</f>
        <v>Murfreesboro</v>
      </c>
      <c r="M610" s="1" t="str">
        <f ca="1">IFERROR(__xludf.DUMMYFUNCTION("""COMPUTED_VALUE"""),"TN")</f>
        <v>TN</v>
      </c>
      <c r="N610" s="1" t="str">
        <f ca="1">IFERROR(__xludf.DUMMYFUNCTION("""COMPUTED_VALUE"""),"High")</f>
        <v>High</v>
      </c>
      <c r="O610" s="1" t="str">
        <f ca="1">IFERROR(__xludf.DUMMYFUNCTION("""COMPUTED_VALUE"""),"Off School Property")</f>
        <v>Off School Property</v>
      </c>
      <c r="P610" s="1" t="str">
        <f ca="1">IFERROR(__xludf.DUMMYFUNCTION("""COMPUTED_VALUE"""),"Off School Property")</f>
        <v>Off School Property</v>
      </c>
      <c r="Q610" s="1" t="str">
        <f ca="1">IFERROR(__xludf.DUMMYFUNCTION("""COMPUTED_VALUE"""),"No")</f>
        <v>No</v>
      </c>
      <c r="R610" s="1" t="str">
        <f ca="1">IFERROR(__xludf.DUMMYFUNCTION("""COMPUTED_VALUE"""),"School Event")</f>
        <v>School Event</v>
      </c>
      <c r="S610" s="5">
        <f ca="1">IFERROR(__xludf.DUMMYFUNCTION("""COMPUTED_VALUE"""),0.895833333333333)</f>
        <v>0.89583333333333304</v>
      </c>
      <c r="T610" s="1">
        <f ca="1">IFERROR(__xludf.DUMMYFUNCTION("""COMPUTED_VALUE"""),1)</f>
        <v>1</v>
      </c>
      <c r="U610" s="1" t="str">
        <f ca="1">IFERROR(__xludf.DUMMYFUNCTION("""COMPUTED_VALUE"""),"Two people shot following high school graduation on MTSU campus")</f>
        <v>Two people shot following high school graduation on MTSU campus</v>
      </c>
      <c r="V610" s="1" t="str">
        <f ca="1">IFERROR(__xludf.DUMMYFUNCTION("""COMPUTED_VALUE"""),"Two people were shot (one fatal, one critical) outside of the auditorium following graduation ceremony for Riverdale High School. The graduation was held on the MTSU campus. 6-8 shots were fired while students and parents were taking photos outside when a"&amp;" fight started between 2 men. Shooter fled. Students and parents went into the auditorium to shelter in place. MTSU campus went on lockdown. Classes were canceled at Riverdale High the following day.")</f>
        <v>Two people were shot (one fatal, one critical) outside of the auditorium following graduation ceremony for Riverdale High School. The graduation was held on the MTSU campus. 6-8 shots were fired while students and parents were taking photos outside when a fight started between 2 men. Shooter fled. Students and parents went into the auditorium to shelter in place. MTSU campus went on lockdown. Classes were canceled at Riverdale High the following day.</v>
      </c>
      <c r="W610" s="1" t="str">
        <f ca="1">IFERROR(__xludf.DUMMYFUNCTION("""COMPUTED_VALUE"""),"Escalation of Dispute")</f>
        <v>Escalation of Dispute</v>
      </c>
      <c r="X610" s="1" t="str">
        <f ca="1">IFERROR(__xludf.DUMMYFUNCTION("""COMPUTED_VALUE"""),"Both")</f>
        <v>Both</v>
      </c>
      <c r="Y610" s="1" t="str">
        <f ca="1">IFERROR(__xludf.DUMMYFUNCTION("""COMPUTED_VALUE"""),"No")</f>
        <v>No</v>
      </c>
      <c r="Z610" s="1"/>
      <c r="AA610" s="1" t="str">
        <f ca="1">IFERROR(__xludf.DUMMYFUNCTION("""COMPUTED_VALUE"""),"No")</f>
        <v>No</v>
      </c>
      <c r="AB610" s="1" t="str">
        <f ca="1">IFERROR(__xludf.DUMMYFUNCTION("""COMPUTED_VALUE"""),"No")</f>
        <v>No</v>
      </c>
      <c r="AC610" s="1" t="str">
        <f ca="1">IFERROR(__xludf.DUMMYFUNCTION("""COMPUTED_VALUE"""),"No")</f>
        <v>No</v>
      </c>
      <c r="AD610" s="1" t="str">
        <f ca="1">IFERROR(__xludf.DUMMYFUNCTION("""COMPUTED_VALUE"""),"No")</f>
        <v>No</v>
      </c>
      <c r="AE610" s="1" t="str">
        <f ca="1">IFERROR(__xludf.DUMMYFUNCTION("""COMPUTED_VALUE"""),"No")</f>
        <v>No</v>
      </c>
      <c r="AF610" s="1"/>
      <c r="AG610" s="1" t="str">
        <f ca="1">IFERROR(__xludf.DUMMYFUNCTION("""COMPUTED_VALUE"""),"No")</f>
        <v>No</v>
      </c>
      <c r="AH610" s="1">
        <f ca="1">IFERROR(__xludf.DUMMYFUNCTION("""COMPUTED_VALUE"""),8)</f>
        <v>8</v>
      </c>
    </row>
    <row r="611" spans="1:34" ht="12.5">
      <c r="A611" s="1" t="str">
        <f ca="1">IFERROR(__xludf.DUMMYFUNCTION("""COMPUTED_VALUE"""),"20220518FLPAP")</f>
        <v>20220518FLPAP</v>
      </c>
      <c r="B611" s="1">
        <f ca="1">IFERROR(__xludf.DUMMYFUNCTION("""COMPUTED_VALUE"""),5)</f>
        <v>5</v>
      </c>
      <c r="C611" s="1">
        <f ca="1">IFERROR(__xludf.DUMMYFUNCTION("""COMPUTED_VALUE"""),18)</f>
        <v>18</v>
      </c>
      <c r="D611" s="1">
        <f ca="1">IFERROR(__xludf.DUMMYFUNCTION("""COMPUTED_VALUE"""),2022)</f>
        <v>2022</v>
      </c>
      <c r="E611" s="4">
        <f ca="1">IFERROR(__xludf.DUMMYFUNCTION("""COMPUTED_VALUE"""),44699)</f>
        <v>44699</v>
      </c>
      <c r="F611" s="1" t="str">
        <f ca="1">IFERROR(__xludf.DUMMYFUNCTION("""COMPUTED_VALUE"""),"Palmetto High School")</f>
        <v>Palmetto High School</v>
      </c>
      <c r="G611" s="1">
        <f ca="1">IFERROR(__xludf.DUMMYFUNCTION("""COMPUTED_VALUE"""),0)</f>
        <v>0</v>
      </c>
      <c r="H611" s="1">
        <f ca="1">IFERROR(__xludf.DUMMYFUNCTION("""COMPUTED_VALUE"""),0)</f>
        <v>0</v>
      </c>
      <c r="I611" s="1">
        <f ca="1">IFERROR(__xludf.DUMMYFUNCTION("""COMPUTED_VALUE"""),0)</f>
        <v>0</v>
      </c>
      <c r="J611" s="1">
        <f ca="1">IFERROR(__xludf.DUMMYFUNCTION("""COMPUTED_VALUE"""),0)</f>
        <v>0</v>
      </c>
      <c r="K611" s="1" t="str">
        <f ca="1">IFERROR(__xludf.DUMMYFUNCTION("""COMPUTED_VALUE"""),"Spring")</f>
        <v>Spring</v>
      </c>
      <c r="L611" s="1" t="str">
        <f ca="1">IFERROR(__xludf.DUMMYFUNCTION("""COMPUTED_VALUE"""),"Palmetto")</f>
        <v>Palmetto</v>
      </c>
      <c r="M611" s="1" t="str">
        <f ca="1">IFERROR(__xludf.DUMMYFUNCTION("""COMPUTED_VALUE"""),"FL")</f>
        <v>FL</v>
      </c>
      <c r="N611" s="1" t="str">
        <f ca="1">IFERROR(__xludf.DUMMYFUNCTION("""COMPUTED_VALUE"""),"High")</f>
        <v>High</v>
      </c>
      <c r="O611" s="1" t="str">
        <f ca="1">IFERROR(__xludf.DUMMYFUNCTION("""COMPUTED_VALUE"""),"Football Field/Track")</f>
        <v>Football Field/Track</v>
      </c>
      <c r="P611" s="1" t="str">
        <f ca="1">IFERROR(__xludf.DUMMYFUNCTION("""COMPUTED_VALUE"""),"Outside on School Property")</f>
        <v>Outside on School Property</v>
      </c>
      <c r="Q611" s="1" t="str">
        <f ca="1">IFERROR(__xludf.DUMMYFUNCTION("""COMPUTED_VALUE"""),"No")</f>
        <v>No</v>
      </c>
      <c r="R611" s="1" t="str">
        <f ca="1">IFERROR(__xludf.DUMMYFUNCTION("""COMPUTED_VALUE"""),"Sport Event")</f>
        <v>Sport Event</v>
      </c>
      <c r="S611" s="5">
        <f ca="1">IFERROR(__xludf.DUMMYFUNCTION("""COMPUTED_VALUE"""),0.895833333333333)</f>
        <v>0.89583333333333304</v>
      </c>
      <c r="T611" s="1">
        <f ca="1">IFERROR(__xludf.DUMMYFUNCTION("""COMPUTED_VALUE"""),1)</f>
        <v>1</v>
      </c>
      <c r="U611" s="1" t="str">
        <f ca="1">IFERROR(__xludf.DUMMYFUNCTION("""COMPUTED_VALUE"""),"Shot fired during fight on sideline during football game")</f>
        <v>Shot fired during fight on sideline during football game</v>
      </c>
      <c r="V611" s="1" t="str">
        <f ca="1">IFERROR(__xludf.DUMMYFUNCTION("""COMPUTED_VALUE"""),"A shot was fired during a fight between a group of students on the sideline at the end of a football game. Students ran. Police found two handguns in the stadium. No injuries. Police and school staff were present at the game and witnessed the shooting. Ga"&amp;"me was televised on local TV, broadcast shows players lining up and then sprinting off the field when the shot is fired. When 13-year-old shooter was arrested 2 days later, a handgun was found at his house. Shooter had prior criminal history.")</f>
        <v>A shot was fired during a fight between a group of students on the sideline at the end of a football game. Students ran. Police found two handguns in the stadium. No injuries. Police and school staff were present at the game and witnessed the shooting. Game was televised on local TV, broadcast shows players lining up and then sprinting off the field when the shot is fired. When 13-year-old shooter was arrested 2 days later, a handgun was found at his house. Shooter had prior criminal history.</v>
      </c>
      <c r="W611" s="1" t="str">
        <f ca="1">IFERROR(__xludf.DUMMYFUNCTION("""COMPUTED_VALUE"""),"Escalation of Dispute")</f>
        <v>Escalation of Dispute</v>
      </c>
      <c r="X611" s="1" t="str">
        <f ca="1">IFERROR(__xludf.DUMMYFUNCTION("""COMPUTED_VALUE"""),"Victims Targeted")</f>
        <v>Victims Targeted</v>
      </c>
      <c r="Y611" s="1" t="str">
        <f ca="1">IFERROR(__xludf.DUMMYFUNCTION("""COMPUTED_VALUE"""),"No")</f>
        <v>No</v>
      </c>
      <c r="Z611" s="1"/>
      <c r="AA611" s="1" t="str">
        <f ca="1">IFERROR(__xludf.DUMMYFUNCTION("""COMPUTED_VALUE"""),"No")</f>
        <v>No</v>
      </c>
      <c r="AB611" s="1" t="str">
        <f ca="1">IFERROR(__xludf.DUMMYFUNCTION("""COMPUTED_VALUE"""),"No")</f>
        <v>No</v>
      </c>
      <c r="AC611" s="1" t="str">
        <f ca="1">IFERROR(__xludf.DUMMYFUNCTION("""COMPUTED_VALUE"""),"No")</f>
        <v>No</v>
      </c>
      <c r="AD611" s="1" t="str">
        <f ca="1">IFERROR(__xludf.DUMMYFUNCTION("""COMPUTED_VALUE"""),"No")</f>
        <v>No</v>
      </c>
      <c r="AE611" s="1" t="str">
        <f ca="1">IFERROR(__xludf.DUMMYFUNCTION("""COMPUTED_VALUE"""),"No")</f>
        <v>No</v>
      </c>
      <c r="AF611" s="1"/>
      <c r="AG611" s="1" t="str">
        <f ca="1">IFERROR(__xludf.DUMMYFUNCTION("""COMPUTED_VALUE"""),"No")</f>
        <v>No</v>
      </c>
      <c r="AH611" s="1">
        <f ca="1">IFERROR(__xludf.DUMMYFUNCTION("""COMPUTED_VALUE"""),1)</f>
        <v>1</v>
      </c>
    </row>
    <row r="612" spans="1:34" ht="12.5">
      <c r="A612" s="1" t="str">
        <f ca="1">IFERROR(__xludf.DUMMYFUNCTION("""COMPUTED_VALUE"""),"20220517ILWAC")</f>
        <v>20220517ILWAC</v>
      </c>
      <c r="B612" s="1">
        <f ca="1">IFERROR(__xludf.DUMMYFUNCTION("""COMPUTED_VALUE"""),5)</f>
        <v>5</v>
      </c>
      <c r="C612" s="1">
        <f ca="1">IFERROR(__xludf.DUMMYFUNCTION("""COMPUTED_VALUE"""),17)</f>
        <v>17</v>
      </c>
      <c r="D612" s="1">
        <f ca="1">IFERROR(__xludf.DUMMYFUNCTION("""COMPUTED_VALUE"""),2022)</f>
        <v>2022</v>
      </c>
      <c r="E612" s="4">
        <f ca="1">IFERROR(__xludf.DUMMYFUNCTION("""COMPUTED_VALUE"""),44698)</f>
        <v>44698</v>
      </c>
      <c r="F612" s="1" t="str">
        <f ca="1">IFERROR(__xludf.DUMMYFUNCTION("""COMPUTED_VALUE"""),"Walt Disney Magnet School")</f>
        <v>Walt Disney Magnet School</v>
      </c>
      <c r="G612" s="1">
        <f ca="1">IFERROR(__xludf.DUMMYFUNCTION("""COMPUTED_VALUE"""),0)</f>
        <v>0</v>
      </c>
      <c r="H612" s="1">
        <f ca="1">IFERROR(__xludf.DUMMYFUNCTION("""COMPUTED_VALUE"""),1)</f>
        <v>1</v>
      </c>
      <c r="I612" s="1">
        <f ca="1">IFERROR(__xludf.DUMMYFUNCTION("""COMPUTED_VALUE"""),1)</f>
        <v>1</v>
      </c>
      <c r="J612" s="1">
        <f ca="1">IFERROR(__xludf.DUMMYFUNCTION("""COMPUTED_VALUE"""),0)</f>
        <v>0</v>
      </c>
      <c r="K612" s="1" t="str">
        <f ca="1">IFERROR(__xludf.DUMMYFUNCTION("""COMPUTED_VALUE"""),"Spring")</f>
        <v>Spring</v>
      </c>
      <c r="L612" s="1" t="str">
        <f ca="1">IFERROR(__xludf.DUMMYFUNCTION("""COMPUTED_VALUE"""),"Chicago")</f>
        <v>Chicago</v>
      </c>
      <c r="M612" s="1" t="str">
        <f ca="1">IFERROR(__xludf.DUMMYFUNCTION("""COMPUTED_VALUE"""),"IL")</f>
        <v>IL</v>
      </c>
      <c r="N612" s="1" t="str">
        <f ca="1">IFERROR(__xludf.DUMMYFUNCTION("""COMPUTED_VALUE"""),"K-8")</f>
        <v>K-8</v>
      </c>
      <c r="O612" s="1" t="str">
        <f ca="1">IFERROR(__xludf.DUMMYFUNCTION("""COMPUTED_VALUE"""),"Classroom")</f>
        <v>Classroom</v>
      </c>
      <c r="P612" s="1" t="str">
        <f ca="1">IFERROR(__xludf.DUMMYFUNCTION("""COMPUTED_VALUE"""),"Inside School Building")</f>
        <v>Inside School Building</v>
      </c>
      <c r="Q612" s="1" t="str">
        <f ca="1">IFERROR(__xludf.DUMMYFUNCTION("""COMPUTED_VALUE"""),"Yes")</f>
        <v>Yes</v>
      </c>
      <c r="R612" s="1" t="str">
        <f ca="1">IFERROR(__xludf.DUMMYFUNCTION("""COMPUTED_VALUE"""),"Morning Classes")</f>
        <v>Morning Classes</v>
      </c>
      <c r="S612" s="5">
        <f ca="1">IFERROR(__xludf.DUMMYFUNCTION("""COMPUTED_VALUE"""),0.416666666666666)</f>
        <v>0.41666666666666602</v>
      </c>
      <c r="T612" s="1">
        <f ca="1">IFERROR(__xludf.DUMMYFUNCTION("""COMPUTED_VALUE"""),1)</f>
        <v>1</v>
      </c>
      <c r="U612" s="1" t="str">
        <f ca="1">IFERROR(__xludf.DUMMYFUNCTION("""COMPUTED_VALUE"""),"Gun inside 7-year-old students backpack fired in classroom striking classmate")</f>
        <v>Gun inside 7-year-old students backpack fired in classroom striking classmate</v>
      </c>
      <c r="V612" s="1" t="str">
        <f ca="1">IFERROR(__xludf.DUMMYFUNCTION("""COMPUTED_VALUE"""),"A gun inside a 7-year-old student's backpack fired inside the classroom striking another 7-year-old student in the abdomen. School did not close and classes continued. Mother charged with 3 counts of child endangerment.")</f>
        <v>A gun inside a 7-year-old student's backpack fired inside the classroom striking another 7-year-old student in the abdomen. School did not close and classes continued. Mother charged with 3 counts of child endangerment.</v>
      </c>
      <c r="W612" s="1" t="str">
        <f ca="1">IFERROR(__xludf.DUMMYFUNCTION("""COMPUTED_VALUE"""),"Accidental")</f>
        <v>Accidental</v>
      </c>
      <c r="X612" s="1" t="str">
        <f ca="1">IFERROR(__xludf.DUMMYFUNCTION("""COMPUTED_VALUE"""),"Random Shooting")</f>
        <v>Random Shooting</v>
      </c>
      <c r="Y612" s="1" t="str">
        <f ca="1">IFERROR(__xludf.DUMMYFUNCTION("""COMPUTED_VALUE"""),"No")</f>
        <v>No</v>
      </c>
      <c r="Z612" s="1"/>
      <c r="AA612" s="1" t="str">
        <f ca="1">IFERROR(__xludf.DUMMYFUNCTION("""COMPUTED_VALUE"""),"No")</f>
        <v>No</v>
      </c>
      <c r="AB612" s="1" t="str">
        <f ca="1">IFERROR(__xludf.DUMMYFUNCTION("""COMPUTED_VALUE"""),"No")</f>
        <v>No</v>
      </c>
      <c r="AC612" s="1" t="str">
        <f ca="1">IFERROR(__xludf.DUMMYFUNCTION("""COMPUTED_VALUE"""),"No")</f>
        <v>No</v>
      </c>
      <c r="AD612" s="1" t="str">
        <f ca="1">IFERROR(__xludf.DUMMYFUNCTION("""COMPUTED_VALUE"""),"No")</f>
        <v>No</v>
      </c>
      <c r="AE612" s="1" t="str">
        <f ca="1">IFERROR(__xludf.DUMMYFUNCTION("""COMPUTED_VALUE"""),"No")</f>
        <v>No</v>
      </c>
      <c r="AF612" s="1" t="str">
        <f ca="1">IFERROR(__xludf.DUMMYFUNCTION("""COMPUTED_VALUE"""),"No")</f>
        <v>No</v>
      </c>
      <c r="AG612" s="1" t="str">
        <f ca="1">IFERROR(__xludf.DUMMYFUNCTION("""COMPUTED_VALUE"""),"No")</f>
        <v>No</v>
      </c>
      <c r="AH612" s="1">
        <f ca="1">IFERROR(__xludf.DUMMYFUNCTION("""COMPUTED_VALUE"""),1)</f>
        <v>1</v>
      </c>
    </row>
    <row r="613" spans="1:34" ht="12.5">
      <c r="A613" s="1" t="str">
        <f ca="1">IFERROR(__xludf.DUMMYFUNCTION("""COMPUTED_VALUE"""),"20220517CASAS")</f>
        <v>20220517CASAS</v>
      </c>
      <c r="B613" s="1">
        <f ca="1">IFERROR(__xludf.DUMMYFUNCTION("""COMPUTED_VALUE"""),5)</f>
        <v>5</v>
      </c>
      <c r="C613" s="1">
        <f ca="1">IFERROR(__xludf.DUMMYFUNCTION("""COMPUTED_VALUE"""),17)</f>
        <v>17</v>
      </c>
      <c r="D613" s="1">
        <f ca="1">IFERROR(__xludf.DUMMYFUNCTION("""COMPUTED_VALUE"""),2022)</f>
        <v>2022</v>
      </c>
      <c r="E613" s="4">
        <f ca="1">IFERROR(__xludf.DUMMYFUNCTION("""COMPUTED_VALUE"""),44698)</f>
        <v>44698</v>
      </c>
      <c r="F613" s="1" t="str">
        <f ca="1">IFERROR(__xludf.DUMMYFUNCTION("""COMPUTED_VALUE"""),"School Bus")</f>
        <v>School Bus</v>
      </c>
      <c r="G613" s="1">
        <f ca="1">IFERROR(__xludf.DUMMYFUNCTION("""COMPUTED_VALUE"""),0)</f>
        <v>0</v>
      </c>
      <c r="H613" s="1">
        <f ca="1">IFERROR(__xludf.DUMMYFUNCTION("""COMPUTED_VALUE"""),0)</f>
        <v>0</v>
      </c>
      <c r="I613" s="1">
        <f ca="1">IFERROR(__xludf.DUMMYFUNCTION("""COMPUTED_VALUE"""),0)</f>
        <v>0</v>
      </c>
      <c r="J613" s="1">
        <f ca="1">IFERROR(__xludf.DUMMYFUNCTION("""COMPUTED_VALUE"""),0)</f>
        <v>0</v>
      </c>
      <c r="K613" s="1" t="str">
        <f ca="1">IFERROR(__xludf.DUMMYFUNCTION("""COMPUTED_VALUE"""),"Spring")</f>
        <v>Spring</v>
      </c>
      <c r="L613" s="1" t="str">
        <f ca="1">IFERROR(__xludf.DUMMYFUNCTION("""COMPUTED_VALUE"""),"San Francisco")</f>
        <v>San Francisco</v>
      </c>
      <c r="M613" s="1" t="str">
        <f ca="1">IFERROR(__xludf.DUMMYFUNCTION("""COMPUTED_VALUE"""),"CA")</f>
        <v>CA</v>
      </c>
      <c r="N613" s="1" t="str">
        <f ca="1">IFERROR(__xludf.DUMMYFUNCTION("""COMPUTED_VALUE"""),"Other")</f>
        <v>Other</v>
      </c>
      <c r="O613" s="1" t="str">
        <f ca="1">IFERROR(__xludf.DUMMYFUNCTION("""COMPUTED_VALUE"""),"School Bus")</f>
        <v>School Bus</v>
      </c>
      <c r="P613" s="1" t="str">
        <f ca="1">IFERROR(__xludf.DUMMYFUNCTION("""COMPUTED_VALUE"""),"School Bus")</f>
        <v>School Bus</v>
      </c>
      <c r="Q613" s="1" t="str">
        <f ca="1">IFERROR(__xludf.DUMMYFUNCTION("""COMPUTED_VALUE"""),"Yes")</f>
        <v>Yes</v>
      </c>
      <c r="R613" s="1" t="str">
        <f ca="1">IFERROR(__xludf.DUMMYFUNCTION("""COMPUTED_VALUE"""),"Morning Classes")</f>
        <v>Morning Classes</v>
      </c>
      <c r="S613" s="5">
        <f ca="1">IFERROR(__xludf.DUMMYFUNCTION("""COMPUTED_VALUE"""),0.375)</f>
        <v>0.375</v>
      </c>
      <c r="T613" s="1">
        <f ca="1">IFERROR(__xludf.DUMMYFUNCTION("""COMPUTED_VALUE"""),1)</f>
        <v>1</v>
      </c>
      <c r="U613" s="1" t="str">
        <f ca="1">IFERROR(__xludf.DUMMYFUNCTION("""COMPUTED_VALUE"""),"School bus struck multiple times during drive-by")</f>
        <v>School bus struck multiple times during drive-by</v>
      </c>
      <c r="V613" s="1" t="str">
        <f ca="1">IFERROR(__xludf.DUMMYFUNCTION("""COMPUTED_VALUE"""),"A parked school bus was struck multiple times during a drive-by shooting. Driver took cover. No students were on the bus. No injuries.")</f>
        <v>A parked school bus was struck multiple times during a drive-by shooting. Driver took cover. No students were on the bus. No injuries.</v>
      </c>
      <c r="W613" s="1" t="str">
        <f ca="1">IFERROR(__xludf.DUMMYFUNCTION("""COMPUTED_VALUE"""),"Drive-by Shooting")</f>
        <v>Drive-by Shooting</v>
      </c>
      <c r="X613" s="1" t="str">
        <f ca="1">IFERROR(__xludf.DUMMYFUNCTION("""COMPUTED_VALUE"""),"Both")</f>
        <v>Both</v>
      </c>
      <c r="Y613" s="1" t="str">
        <f ca="1">IFERROR(__xludf.DUMMYFUNCTION("""COMPUTED_VALUE"""),"No")</f>
        <v>No</v>
      </c>
      <c r="Z613" s="1"/>
      <c r="AA613" s="1" t="str">
        <f ca="1">IFERROR(__xludf.DUMMYFUNCTION("""COMPUTED_VALUE"""),"No")</f>
        <v>No</v>
      </c>
      <c r="AB613" s="1" t="str">
        <f ca="1">IFERROR(__xludf.DUMMYFUNCTION("""COMPUTED_VALUE"""),"No")</f>
        <v>No</v>
      </c>
      <c r="AC613" s="1" t="str">
        <f ca="1">IFERROR(__xludf.DUMMYFUNCTION("""COMPUTED_VALUE"""),"No")</f>
        <v>No</v>
      </c>
      <c r="AD613" s="1" t="str">
        <f ca="1">IFERROR(__xludf.DUMMYFUNCTION("""COMPUTED_VALUE"""),"No")</f>
        <v>No</v>
      </c>
      <c r="AE613" s="1" t="str">
        <f ca="1">IFERROR(__xludf.DUMMYFUNCTION("""COMPUTED_VALUE"""),"No")</f>
        <v>No</v>
      </c>
      <c r="AF613" s="1"/>
      <c r="AG613" s="1" t="str">
        <f ca="1">IFERROR(__xludf.DUMMYFUNCTION("""COMPUTED_VALUE"""),"No")</f>
        <v>No</v>
      </c>
      <c r="AH613" s="1">
        <f ca="1">IFERROR(__xludf.DUMMYFUNCTION("""COMPUTED_VALUE"""),99)</f>
        <v>99</v>
      </c>
    </row>
    <row r="614" spans="1:34" ht="12.5">
      <c r="A614" s="1" t="str">
        <f ca="1">IFERROR(__xludf.DUMMYFUNCTION("""COMPUTED_VALUE"""),"20220516TXMEM")</f>
        <v>20220516TXMEM</v>
      </c>
      <c r="B614" s="1">
        <f ca="1">IFERROR(__xludf.DUMMYFUNCTION("""COMPUTED_VALUE"""),5)</f>
        <v>5</v>
      </c>
      <c r="C614" s="1">
        <f ca="1">IFERROR(__xludf.DUMMYFUNCTION("""COMPUTED_VALUE"""),16)</f>
        <v>16</v>
      </c>
      <c r="D614" s="1">
        <f ca="1">IFERROR(__xludf.DUMMYFUNCTION("""COMPUTED_VALUE"""),2022)</f>
        <v>2022</v>
      </c>
      <c r="E614" s="4">
        <f ca="1">IFERROR(__xludf.DUMMYFUNCTION("""COMPUTED_VALUE"""),44697)</f>
        <v>44697</v>
      </c>
      <c r="F614" s="1" t="str">
        <f ca="1">IFERROR(__xludf.DUMMYFUNCTION("""COMPUTED_VALUE"""),"Mexia High School")</f>
        <v>Mexia High School</v>
      </c>
      <c r="G614" s="1">
        <f ca="1">IFERROR(__xludf.DUMMYFUNCTION("""COMPUTED_VALUE"""),0)</f>
        <v>0</v>
      </c>
      <c r="H614" s="1">
        <f ca="1">IFERROR(__xludf.DUMMYFUNCTION("""COMPUTED_VALUE"""),0)</f>
        <v>0</v>
      </c>
      <c r="I614" s="1">
        <f ca="1">IFERROR(__xludf.DUMMYFUNCTION("""COMPUTED_VALUE"""),0)</f>
        <v>0</v>
      </c>
      <c r="J614" s="1">
        <f ca="1">IFERROR(__xludf.DUMMYFUNCTION("""COMPUTED_VALUE"""),0)</f>
        <v>0</v>
      </c>
      <c r="K614" s="1" t="str">
        <f ca="1">IFERROR(__xludf.DUMMYFUNCTION("""COMPUTED_VALUE"""),"Spring")</f>
        <v>Spring</v>
      </c>
      <c r="L614" s="1" t="str">
        <f ca="1">IFERROR(__xludf.DUMMYFUNCTION("""COMPUTED_VALUE"""),"Mexia")</f>
        <v>Mexia</v>
      </c>
      <c r="M614" s="1" t="str">
        <f ca="1">IFERROR(__xludf.DUMMYFUNCTION("""COMPUTED_VALUE"""),"TX")</f>
        <v>TX</v>
      </c>
      <c r="N614" s="1" t="str">
        <f ca="1">IFERROR(__xludf.DUMMYFUNCTION("""COMPUTED_VALUE"""),"High")</f>
        <v>High</v>
      </c>
      <c r="O614" s="1" t="str">
        <f ca="1">IFERROR(__xludf.DUMMYFUNCTION("""COMPUTED_VALUE"""),"Bathroom")</f>
        <v>Bathroom</v>
      </c>
      <c r="P614" s="1" t="str">
        <f ca="1">IFERROR(__xludf.DUMMYFUNCTION("""COMPUTED_VALUE"""),"Inside School Building")</f>
        <v>Inside School Building</v>
      </c>
      <c r="Q614" s="1" t="str">
        <f ca="1">IFERROR(__xludf.DUMMYFUNCTION("""COMPUTED_VALUE"""),"Yes")</f>
        <v>Yes</v>
      </c>
      <c r="R614" s="1" t="str">
        <f ca="1">IFERROR(__xludf.DUMMYFUNCTION("""COMPUTED_VALUE"""),"Morning Classes")</f>
        <v>Morning Classes</v>
      </c>
      <c r="S614" s="5">
        <f ca="1">IFERROR(__xludf.DUMMYFUNCTION("""COMPUTED_VALUE"""),0.472222222222222)</f>
        <v>0.47222222222222199</v>
      </c>
      <c r="T614" s="1">
        <f ca="1">IFERROR(__xludf.DUMMYFUNCTION("""COMPUTED_VALUE"""),1)</f>
        <v>1</v>
      </c>
      <c r="U614" s="1" t="str">
        <f ca="1">IFERROR(__xludf.DUMMYFUNCTION("""COMPUTED_VALUE"""),"Shot fired in bathroom, suspect and loaded gun found on campus")</f>
        <v>Shot fired in bathroom, suspect and loaded gun found on campus</v>
      </c>
      <c r="V614" s="1" t="str">
        <f ca="1">IFERROR(__xludf.DUMMYFUNCTION("""COMPUTED_VALUE"""),"Students and staff went into lockdown when they heard a gunshot inside the school. Bullet hole was found in the bathroom. Police arrested an unidentified juvenile and recovered a loaded handgun. No other students or staff were injured. School dismissed an"&amp;"d cancelled classes the following day.")</f>
        <v>Students and staff went into lockdown when they heard a gunshot inside the school. Bullet hole was found in the bathroom. Police arrested an unidentified juvenile and recovered a loaded handgun. No other students or staff were injured. School dismissed and cancelled classes the following day.</v>
      </c>
      <c r="W614" s="1" t="str">
        <f ca="1">IFERROR(__xludf.DUMMYFUNCTION("""COMPUTED_VALUE"""),"Accidental")</f>
        <v>Accidental</v>
      </c>
      <c r="X614" s="1" t="str">
        <f ca="1">IFERROR(__xludf.DUMMYFUNCTION("""COMPUTED_VALUE"""),"Neither")</f>
        <v>Neither</v>
      </c>
      <c r="Y614" s="1"/>
      <c r="Z614" s="1"/>
      <c r="AA614" s="1" t="str">
        <f ca="1">IFERROR(__xludf.DUMMYFUNCTION("""COMPUTED_VALUE"""),"No")</f>
        <v>No</v>
      </c>
      <c r="AB614" s="1" t="str">
        <f ca="1">IFERROR(__xludf.DUMMYFUNCTION("""COMPUTED_VALUE"""),"No")</f>
        <v>No</v>
      </c>
      <c r="AC614" s="1" t="str">
        <f ca="1">IFERROR(__xludf.DUMMYFUNCTION("""COMPUTED_VALUE"""),"No")</f>
        <v>No</v>
      </c>
      <c r="AD614" s="1" t="str">
        <f ca="1">IFERROR(__xludf.DUMMYFUNCTION("""COMPUTED_VALUE"""),"No")</f>
        <v>No</v>
      </c>
      <c r="AE614" s="1" t="str">
        <f ca="1">IFERROR(__xludf.DUMMYFUNCTION("""COMPUTED_VALUE"""),"No")</f>
        <v>No</v>
      </c>
      <c r="AF614" s="1"/>
      <c r="AG614" s="1" t="str">
        <f ca="1">IFERROR(__xludf.DUMMYFUNCTION("""COMPUTED_VALUE"""),"No")</f>
        <v>No</v>
      </c>
      <c r="AH614" s="1">
        <f ca="1">IFERROR(__xludf.DUMMYFUNCTION("""COMPUTED_VALUE"""),1)</f>
        <v>1</v>
      </c>
    </row>
    <row r="615" spans="1:34" ht="12.5">
      <c r="A615" s="1" t="str">
        <f ca="1">IFERROR(__xludf.DUMMYFUNCTION("""COMPUTED_VALUE"""),"20220515NHBEB")</f>
        <v>20220515NHBEB</v>
      </c>
      <c r="B615" s="1">
        <f ca="1">IFERROR(__xludf.DUMMYFUNCTION("""COMPUTED_VALUE"""),5)</f>
        <v>5</v>
      </c>
      <c r="C615" s="1">
        <f ca="1">IFERROR(__xludf.DUMMYFUNCTION("""COMPUTED_VALUE"""),15)</f>
        <v>15</v>
      </c>
      <c r="D615" s="1">
        <f ca="1">IFERROR(__xludf.DUMMYFUNCTION("""COMPUTED_VALUE"""),2022)</f>
        <v>2022</v>
      </c>
      <c r="E615" s="4">
        <f ca="1">IFERROR(__xludf.DUMMYFUNCTION("""COMPUTED_VALUE"""),44696)</f>
        <v>44696</v>
      </c>
      <c r="F615" s="1" t="str">
        <f ca="1">IFERROR(__xludf.DUMMYFUNCTION("""COMPUTED_VALUE"""),"Belmont Elementary School")</f>
        <v>Belmont Elementary School</v>
      </c>
      <c r="G615" s="1">
        <f ca="1">IFERROR(__xludf.DUMMYFUNCTION("""COMPUTED_VALUE"""),0)</f>
        <v>0</v>
      </c>
      <c r="H615" s="1">
        <f ca="1">IFERROR(__xludf.DUMMYFUNCTION("""COMPUTED_VALUE"""),0)</f>
        <v>0</v>
      </c>
      <c r="I615" s="1">
        <f ca="1">IFERROR(__xludf.DUMMYFUNCTION("""COMPUTED_VALUE"""),0)</f>
        <v>0</v>
      </c>
      <c r="J615" s="1">
        <f ca="1">IFERROR(__xludf.DUMMYFUNCTION("""COMPUTED_VALUE"""),0)</f>
        <v>0</v>
      </c>
      <c r="K615" s="1" t="str">
        <f ca="1">IFERROR(__xludf.DUMMYFUNCTION("""COMPUTED_VALUE"""),"Spring")</f>
        <v>Spring</v>
      </c>
      <c r="L615" s="1" t="str">
        <f ca="1">IFERROR(__xludf.DUMMYFUNCTION("""COMPUTED_VALUE"""),"Belmont")</f>
        <v>Belmont</v>
      </c>
      <c r="M615" s="1" t="str">
        <f ca="1">IFERROR(__xludf.DUMMYFUNCTION("""COMPUTED_VALUE"""),"NH")</f>
        <v>NH</v>
      </c>
      <c r="N615" s="1" t="str">
        <f ca="1">IFERROR(__xludf.DUMMYFUNCTION("""COMPUTED_VALUE"""),"Elementary")</f>
        <v>Elementary</v>
      </c>
      <c r="O615" s="1" t="str">
        <f ca="1">IFERROR(__xludf.DUMMYFUNCTION("""COMPUTED_VALUE"""),"Parking Lot")</f>
        <v>Parking Lot</v>
      </c>
      <c r="P615" s="1" t="str">
        <f ca="1">IFERROR(__xludf.DUMMYFUNCTION("""COMPUTED_VALUE"""),"Outside on School Property")</f>
        <v>Outside on School Property</v>
      </c>
      <c r="Q615" s="1" t="str">
        <f ca="1">IFERROR(__xludf.DUMMYFUNCTION("""COMPUTED_VALUE"""),"No")</f>
        <v>No</v>
      </c>
      <c r="R615" s="1" t="str">
        <f ca="1">IFERROR(__xludf.DUMMYFUNCTION("""COMPUTED_VALUE"""),"Not a School Day")</f>
        <v>Not a School Day</v>
      </c>
      <c r="S615" s="5">
        <f ca="1">IFERROR(__xludf.DUMMYFUNCTION("""COMPUTED_VALUE"""),0.416666666666666)</f>
        <v>0.41666666666666602</v>
      </c>
      <c r="T615" s="1">
        <f ca="1">IFERROR(__xludf.DUMMYFUNCTION("""COMPUTED_VALUE"""),1)</f>
        <v>1</v>
      </c>
      <c r="U615" s="1" t="str">
        <f ca="1">IFERROR(__xludf.DUMMYFUNCTION("""COMPUTED_VALUE"""),"Children shot with pellet guns fired during drive-by")</f>
        <v>Children shot with pellet guns fired during drive-by</v>
      </c>
      <c r="V615" s="1" t="str">
        <f ca="1">IFERROR(__xludf.DUMMYFUNCTION("""COMPUTED_VALUE"""),"A 13-year-old boy and 12-year-old girl were playing in the school parking lot when a vehicle with multiple teens fired airsoft guns at them. Incident was recorded on school's CCTV cameras. Shooters fled. Victims had minor injuries.")</f>
        <v>A 13-year-old boy and 12-year-old girl were playing in the school parking lot when a vehicle with multiple teens fired airsoft guns at them. Incident was recorded on school's CCTV cameras. Shooters fled. Victims had minor injuries.</v>
      </c>
      <c r="W615" s="1" t="str">
        <f ca="1">IFERROR(__xludf.DUMMYFUNCTION("""COMPUTED_VALUE"""),"Drive-by Shooting")</f>
        <v>Drive-by Shooting</v>
      </c>
      <c r="X615" s="1" t="str">
        <f ca="1">IFERROR(__xludf.DUMMYFUNCTION("""COMPUTED_VALUE"""),"Random Shooting")</f>
        <v>Random Shooting</v>
      </c>
      <c r="Y615" s="1" t="str">
        <f ca="1">IFERROR(__xludf.DUMMYFUNCTION("""COMPUTED_VALUE"""),"Yes")</f>
        <v>Yes</v>
      </c>
      <c r="Z615" s="1" t="str">
        <f ca="1">IFERROR(__xludf.DUMMYFUNCTION("""COMPUTED_VALUE"""),"Teens in car")</f>
        <v>Teens in car</v>
      </c>
      <c r="AA615" s="1" t="str">
        <f ca="1">IFERROR(__xludf.DUMMYFUNCTION("""COMPUTED_VALUE"""),"No")</f>
        <v>No</v>
      </c>
      <c r="AB615" s="1" t="str">
        <f ca="1">IFERROR(__xludf.DUMMYFUNCTION("""COMPUTED_VALUE"""),"No")</f>
        <v>No</v>
      </c>
      <c r="AC615" s="1" t="str">
        <f ca="1">IFERROR(__xludf.DUMMYFUNCTION("""COMPUTED_VALUE"""),"No")</f>
        <v>No</v>
      </c>
      <c r="AD615" s="1" t="str">
        <f ca="1">IFERROR(__xludf.DUMMYFUNCTION("""COMPUTED_VALUE"""),"No")</f>
        <v>No</v>
      </c>
      <c r="AE615" s="1" t="str">
        <f ca="1">IFERROR(__xludf.DUMMYFUNCTION("""COMPUTED_VALUE"""),"No")</f>
        <v>No</v>
      </c>
      <c r="AF615" s="1" t="str">
        <f ca="1">IFERROR(__xludf.DUMMYFUNCTION("""COMPUTED_VALUE"""),"No")</f>
        <v>No</v>
      </c>
      <c r="AG615" s="1" t="str">
        <f ca="1">IFERROR(__xludf.DUMMYFUNCTION("""COMPUTED_VALUE"""),"No")</f>
        <v>No</v>
      </c>
      <c r="AH615" s="1">
        <f ca="1">IFERROR(__xludf.DUMMYFUNCTION("""COMPUTED_VALUE"""),4)</f>
        <v>4</v>
      </c>
    </row>
    <row r="616" spans="1:34" ht="12.5">
      <c r="A616" s="1" t="str">
        <f ca="1">IFERROR(__xludf.DUMMYFUNCTION("""COMPUTED_VALUE"""),"20220515ILMEP")</f>
        <v>20220515ILMEP</v>
      </c>
      <c r="B616" s="1">
        <f ca="1">IFERROR(__xludf.DUMMYFUNCTION("""COMPUTED_VALUE"""),5)</f>
        <v>5</v>
      </c>
      <c r="C616" s="1">
        <f ca="1">IFERROR(__xludf.DUMMYFUNCTION("""COMPUTED_VALUE"""),15)</f>
        <v>15</v>
      </c>
      <c r="D616" s="1">
        <f ca="1">IFERROR(__xludf.DUMMYFUNCTION("""COMPUTED_VALUE"""),2022)</f>
        <v>2022</v>
      </c>
      <c r="E616" s="4">
        <f ca="1">IFERROR(__xludf.DUMMYFUNCTION("""COMPUTED_VALUE"""),44696)</f>
        <v>44696</v>
      </c>
      <c r="F616" s="1" t="str">
        <f ca="1">IFERROR(__xludf.DUMMYFUNCTION("""COMPUTED_VALUE"""),"Meadow View Elementary School")</f>
        <v>Meadow View Elementary School</v>
      </c>
      <c r="G616" s="1">
        <f ca="1">IFERROR(__xludf.DUMMYFUNCTION("""COMPUTED_VALUE"""),0)</f>
        <v>0</v>
      </c>
      <c r="H616" s="1">
        <f ca="1">IFERROR(__xludf.DUMMYFUNCTION("""COMPUTED_VALUE"""),1)</f>
        <v>1</v>
      </c>
      <c r="I616" s="1">
        <f ca="1">IFERROR(__xludf.DUMMYFUNCTION("""COMPUTED_VALUE"""),1)</f>
        <v>1</v>
      </c>
      <c r="J616" s="1">
        <f ca="1">IFERROR(__xludf.DUMMYFUNCTION("""COMPUTED_VALUE"""),0)</f>
        <v>0</v>
      </c>
      <c r="K616" s="1" t="str">
        <f ca="1">IFERROR(__xludf.DUMMYFUNCTION("""COMPUTED_VALUE"""),"Spring")</f>
        <v>Spring</v>
      </c>
      <c r="L616" s="1" t="str">
        <f ca="1">IFERROR(__xludf.DUMMYFUNCTION("""COMPUTED_VALUE"""),"Plainfield")</f>
        <v>Plainfield</v>
      </c>
      <c r="M616" s="1" t="str">
        <f ca="1">IFERROR(__xludf.DUMMYFUNCTION("""COMPUTED_VALUE"""),"IL")</f>
        <v>IL</v>
      </c>
      <c r="N616" s="1" t="str">
        <f ca="1">IFERROR(__xludf.DUMMYFUNCTION("""COMPUTED_VALUE"""),"Elementary")</f>
        <v>Elementary</v>
      </c>
      <c r="O616" s="1" t="str">
        <f ca="1">IFERROR(__xludf.DUMMYFUNCTION("""COMPUTED_VALUE"""),"Field (General)")</f>
        <v>Field (General)</v>
      </c>
      <c r="P616" s="1" t="str">
        <f ca="1">IFERROR(__xludf.DUMMYFUNCTION("""COMPUTED_VALUE"""),"Outside on School Property")</f>
        <v>Outside on School Property</v>
      </c>
      <c r="Q616" s="1" t="str">
        <f ca="1">IFERROR(__xludf.DUMMYFUNCTION("""COMPUTED_VALUE"""),"No")</f>
        <v>No</v>
      </c>
      <c r="R616" s="1" t="str">
        <f ca="1">IFERROR(__xludf.DUMMYFUNCTION("""COMPUTED_VALUE"""),"Evening")</f>
        <v>Evening</v>
      </c>
      <c r="S616" s="5">
        <f ca="1">IFERROR(__xludf.DUMMYFUNCTION("""COMPUTED_VALUE"""),0.8125)</f>
        <v>0.8125</v>
      </c>
      <c r="T616" s="1">
        <f ca="1">IFERROR(__xludf.DUMMYFUNCTION("""COMPUTED_VALUE"""),1)</f>
        <v>1</v>
      </c>
      <c r="U616" s="1" t="str">
        <f ca="1">IFERROR(__xludf.DUMMYFUNCTION("""COMPUTED_VALUE"""),"Teen shot on the school field, shooter fled")</f>
        <v>Teen shot on the school field, shooter fled</v>
      </c>
      <c r="V616" s="1" t="str">
        <f ca="1">IFERROR(__xludf.DUMMYFUNCTION("""COMPUTED_VALUE"""),"A 17-year-old teen was shot in the leg on the school field. Shooter fled. Police said the shooting was an isolated incident. 16-year-old teen arrested 2 days later and charged as an adult with attempted murder and other felonies. 9mm handgun recovered.")</f>
        <v>A 17-year-old teen was shot in the leg on the school field. Shooter fled. Police said the shooting was an isolated incident. 16-year-old teen arrested 2 days later and charged as an adult with attempted murder and other felonies. 9mm handgun recovered.</v>
      </c>
      <c r="W616" s="1"/>
      <c r="X616" s="1" t="str">
        <f ca="1">IFERROR(__xludf.DUMMYFUNCTION("""COMPUTED_VALUE"""),"Victims Targeted")</f>
        <v>Victims Targeted</v>
      </c>
      <c r="Y616" s="1" t="str">
        <f ca="1">IFERROR(__xludf.DUMMYFUNCTION("""COMPUTED_VALUE"""),"No")</f>
        <v>No</v>
      </c>
      <c r="Z616" s="1"/>
      <c r="AA616" s="1" t="str">
        <f ca="1">IFERROR(__xludf.DUMMYFUNCTION("""COMPUTED_VALUE"""),"No")</f>
        <v>No</v>
      </c>
      <c r="AB616" s="1" t="str">
        <f ca="1">IFERROR(__xludf.DUMMYFUNCTION("""COMPUTED_VALUE"""),"No")</f>
        <v>No</v>
      </c>
      <c r="AC616" s="1" t="str">
        <f ca="1">IFERROR(__xludf.DUMMYFUNCTION("""COMPUTED_VALUE"""),"No")</f>
        <v>No</v>
      </c>
      <c r="AD616" s="1" t="str">
        <f ca="1">IFERROR(__xludf.DUMMYFUNCTION("""COMPUTED_VALUE"""),"No")</f>
        <v>No</v>
      </c>
      <c r="AE616" s="1" t="str">
        <f ca="1">IFERROR(__xludf.DUMMYFUNCTION("""COMPUTED_VALUE"""),"No")</f>
        <v>No</v>
      </c>
      <c r="AF616" s="1"/>
      <c r="AG616" s="1" t="str">
        <f ca="1">IFERROR(__xludf.DUMMYFUNCTION("""COMPUTED_VALUE"""),"No")</f>
        <v>No</v>
      </c>
      <c r="AH616" s="1"/>
    </row>
    <row r="617" spans="1:34" ht="12.5">
      <c r="A617" s="1" t="str">
        <f ca="1">IFERROR(__xludf.DUMMYFUNCTION("""COMPUTED_VALUE"""),"20220513GASOM")</f>
        <v>20220513GASOM</v>
      </c>
      <c r="B617" s="1">
        <f ca="1">IFERROR(__xludf.DUMMYFUNCTION("""COMPUTED_VALUE"""),5)</f>
        <v>5</v>
      </c>
      <c r="C617" s="1">
        <f ca="1">IFERROR(__xludf.DUMMYFUNCTION("""COMPUTED_VALUE"""),13)</f>
        <v>13</v>
      </c>
      <c r="D617" s="1">
        <f ca="1">IFERROR(__xludf.DUMMYFUNCTION("""COMPUTED_VALUE"""),2022)</f>
        <v>2022</v>
      </c>
      <c r="E617" s="4">
        <f ca="1">IFERROR(__xludf.DUMMYFUNCTION("""COMPUTED_VALUE"""),44694)</f>
        <v>44694</v>
      </c>
      <c r="F617" s="1" t="str">
        <f ca="1">IFERROR(__xludf.DUMMYFUNCTION("""COMPUTED_VALUE"""),"Southwest High School")</f>
        <v>Southwest High School</v>
      </c>
      <c r="G617" s="1">
        <f ca="1">IFERROR(__xludf.DUMMYFUNCTION("""COMPUTED_VALUE"""),0)</f>
        <v>0</v>
      </c>
      <c r="H617" s="1">
        <f ca="1">IFERROR(__xludf.DUMMYFUNCTION("""COMPUTED_VALUE"""),1)</f>
        <v>1</v>
      </c>
      <c r="I617" s="1">
        <f ca="1">IFERROR(__xludf.DUMMYFUNCTION("""COMPUTED_VALUE"""),1)</f>
        <v>1</v>
      </c>
      <c r="J617" s="1">
        <f ca="1">IFERROR(__xludf.DUMMYFUNCTION("""COMPUTED_VALUE"""),0)</f>
        <v>0</v>
      </c>
      <c r="K617" s="1" t="str">
        <f ca="1">IFERROR(__xludf.DUMMYFUNCTION("""COMPUTED_VALUE"""),"Spring")</f>
        <v>Spring</v>
      </c>
      <c r="L617" s="1" t="str">
        <f ca="1">IFERROR(__xludf.DUMMYFUNCTION("""COMPUTED_VALUE"""),"Macon")</f>
        <v>Macon</v>
      </c>
      <c r="M617" s="1" t="str">
        <f ca="1">IFERROR(__xludf.DUMMYFUNCTION("""COMPUTED_VALUE"""),"GA")</f>
        <v>GA</v>
      </c>
      <c r="N617" s="1" t="str">
        <f ca="1">IFERROR(__xludf.DUMMYFUNCTION("""COMPUTED_VALUE"""),"High")</f>
        <v>High</v>
      </c>
      <c r="O617" s="1" t="str">
        <f ca="1">IFERROR(__xludf.DUMMYFUNCTION("""COMPUTED_VALUE"""),"Parking Lot")</f>
        <v>Parking Lot</v>
      </c>
      <c r="P617" s="1" t="str">
        <f ca="1">IFERROR(__xludf.DUMMYFUNCTION("""COMPUTED_VALUE"""),"Outside on School Property")</f>
        <v>Outside on School Property</v>
      </c>
      <c r="Q617" s="1" t="str">
        <f ca="1">IFERROR(__xludf.DUMMYFUNCTION("""COMPUTED_VALUE"""),"No")</f>
        <v>No</v>
      </c>
      <c r="R617" s="1" t="str">
        <f ca="1">IFERROR(__xludf.DUMMYFUNCTION("""COMPUTED_VALUE"""),"Evening")</f>
        <v>Evening</v>
      </c>
      <c r="S617" s="5">
        <f ca="1">IFERROR(__xludf.DUMMYFUNCTION("""COMPUTED_VALUE"""),0.825694444444444)</f>
        <v>0.82569444444444395</v>
      </c>
      <c r="T617" s="1">
        <f ca="1">IFERROR(__xludf.DUMMYFUNCTION("""COMPUTED_VALUE"""),1)</f>
        <v>1</v>
      </c>
      <c r="U617" s="1" t="str">
        <f ca="1">IFERROR(__xludf.DUMMYFUNCTION("""COMPUTED_VALUE"""),"Adult man shot and critically injured in school parking lot")</f>
        <v>Adult man shot and critically injured in school parking lot</v>
      </c>
      <c r="V617" s="1" t="str">
        <f ca="1">IFERROR(__xludf.DUMMYFUNCTION("""COMPUTED_VALUE"""),"A 21-year-old man was shot and critically injured in the school parking lot. No other details available.")</f>
        <v>A 21-year-old man was shot and critically injured in the school parking lot. No other details available.</v>
      </c>
      <c r="W617" s="1"/>
      <c r="X617" s="1"/>
      <c r="Y617" s="1"/>
      <c r="Z617" s="1"/>
      <c r="AA617" s="1" t="str">
        <f ca="1">IFERROR(__xludf.DUMMYFUNCTION("""COMPUTED_VALUE"""),"No")</f>
        <v>No</v>
      </c>
      <c r="AB617" s="1" t="str">
        <f ca="1">IFERROR(__xludf.DUMMYFUNCTION("""COMPUTED_VALUE"""),"No")</f>
        <v>No</v>
      </c>
      <c r="AC617" s="1" t="str">
        <f ca="1">IFERROR(__xludf.DUMMYFUNCTION("""COMPUTED_VALUE"""),"No")</f>
        <v>No</v>
      </c>
      <c r="AD617" s="1" t="str">
        <f ca="1">IFERROR(__xludf.DUMMYFUNCTION("""COMPUTED_VALUE"""),"No")</f>
        <v>No</v>
      </c>
      <c r="AE617" s="1" t="str">
        <f ca="1">IFERROR(__xludf.DUMMYFUNCTION("""COMPUTED_VALUE"""),"No")</f>
        <v>No</v>
      </c>
      <c r="AF617" s="1"/>
      <c r="AG617" s="1" t="str">
        <f ca="1">IFERROR(__xludf.DUMMYFUNCTION("""COMPUTED_VALUE"""),"No")</f>
        <v>No</v>
      </c>
      <c r="AH617" s="1"/>
    </row>
    <row r="618" spans="1:34" ht="12.5">
      <c r="A618" s="1" t="str">
        <f ca="1">IFERROR(__xludf.DUMMYFUNCTION("""COMPUTED_VALUE"""),"20220513FLALW")</f>
        <v>20220513FLALW</v>
      </c>
      <c r="B618" s="1">
        <f ca="1">IFERROR(__xludf.DUMMYFUNCTION("""COMPUTED_VALUE"""),5)</f>
        <v>5</v>
      </c>
      <c r="C618" s="1">
        <f ca="1">IFERROR(__xludf.DUMMYFUNCTION("""COMPUTED_VALUE"""),13)</f>
        <v>13</v>
      </c>
      <c r="D618" s="1">
        <f ca="1">IFERROR(__xludf.DUMMYFUNCTION("""COMPUTED_VALUE"""),2022)</f>
        <v>2022</v>
      </c>
      <c r="E618" s="4">
        <f ca="1">IFERROR(__xludf.DUMMYFUNCTION("""COMPUTED_VALUE"""),44694)</f>
        <v>44694</v>
      </c>
      <c r="F618" s="1" t="str">
        <f ca="1">IFERROR(__xludf.DUMMYFUNCTION("""COMPUTED_VALUE"""),"Alexander W. Dreyfoos School of the Arts")</f>
        <v>Alexander W. Dreyfoos School of the Arts</v>
      </c>
      <c r="G618" s="1">
        <f ca="1">IFERROR(__xludf.DUMMYFUNCTION("""COMPUTED_VALUE"""),1)</f>
        <v>1</v>
      </c>
      <c r="H618" s="1">
        <f ca="1">IFERROR(__xludf.DUMMYFUNCTION("""COMPUTED_VALUE"""),0)</f>
        <v>0</v>
      </c>
      <c r="I618" s="1">
        <f ca="1">IFERROR(__xludf.DUMMYFUNCTION("""COMPUTED_VALUE"""),1)</f>
        <v>1</v>
      </c>
      <c r="J618" s="1">
        <f ca="1">IFERROR(__xludf.DUMMYFUNCTION("""COMPUTED_VALUE"""),0)</f>
        <v>0</v>
      </c>
      <c r="K618" s="1" t="str">
        <f ca="1">IFERROR(__xludf.DUMMYFUNCTION("""COMPUTED_VALUE"""),"Spring")</f>
        <v>Spring</v>
      </c>
      <c r="L618" s="1" t="str">
        <f ca="1">IFERROR(__xludf.DUMMYFUNCTION("""COMPUTED_VALUE"""),"West Palm Beach")</f>
        <v>West Palm Beach</v>
      </c>
      <c r="M618" s="1" t="str">
        <f ca="1">IFERROR(__xludf.DUMMYFUNCTION("""COMPUTED_VALUE"""),"FL")</f>
        <v>FL</v>
      </c>
      <c r="N618" s="1" t="str">
        <f ca="1">IFERROR(__xludf.DUMMYFUNCTION("""COMPUTED_VALUE"""),"High")</f>
        <v>High</v>
      </c>
      <c r="O618" s="1" t="str">
        <f ca="1">IFERROR(__xludf.DUMMYFUNCTION("""COMPUTED_VALUE"""),"Beside Building")</f>
        <v>Beside Building</v>
      </c>
      <c r="P618" s="1" t="str">
        <f ca="1">IFERROR(__xludf.DUMMYFUNCTION("""COMPUTED_VALUE"""),"Outside on School Property")</f>
        <v>Outside on School Property</v>
      </c>
      <c r="Q618" s="1" t="str">
        <f ca="1">IFERROR(__xludf.DUMMYFUNCTION("""COMPUTED_VALUE"""),"Yes")</f>
        <v>Yes</v>
      </c>
      <c r="R618" s="1" t="str">
        <f ca="1">IFERROR(__xludf.DUMMYFUNCTION("""COMPUTED_VALUE"""),"Lunch")</f>
        <v>Lunch</v>
      </c>
      <c r="S618" s="5">
        <f ca="1">IFERROR(__xludf.DUMMYFUNCTION("""COMPUTED_VALUE"""),0.5)</f>
        <v>0.5</v>
      </c>
      <c r="T618" s="1">
        <f ca="1">IFERROR(__xludf.DUMMYFUNCTION("""COMPUTED_VALUE"""),1)</f>
        <v>1</v>
      </c>
      <c r="U618" s="1" t="str">
        <f ca="1">IFERROR(__xludf.DUMMYFUNCTION("""COMPUTED_VALUE"""),"Van crashed through campus gate, driver fought school police office, second officer shot him")</f>
        <v>Van crashed through campus gate, driver fought school police office, second officer shot him</v>
      </c>
      <c r="V618" s="1" t="str">
        <f ca="1">IFERROR(__xludf.DUMMYFUNCTION("""COMPUTED_VALUE"""),"Police received 911 calls for an van driving erratically near the campus. Van crashed through the campus gate and driver attempted to get inside the school auditorium. Lunch had just ended and students outside had gone back into classrooms. During fight w"&amp;"ith SRO, a city police officer fatally shot the man. No students or staff were injured. School went on lockdown. 33-year-old man was a former honor student at the school who was struggling with mental illness. The night prior to the incident, he was taken"&amp;" by police to the hospital for mental health evaluation and released hours later.")</f>
        <v>Police received 911 calls for an van driving erratically near the campus. Van crashed through the campus gate and driver attempted to get inside the school auditorium. Lunch had just ended and students outside had gone back into classrooms. During fight with SRO, a city police officer fatally shot the man. No students or staff were injured. School went on lockdown. 33-year-old man was a former honor student at the school who was struggling with mental illness. The night prior to the incident, he was taken by police to the hospital for mental health evaluation and released hours later.</v>
      </c>
      <c r="W618" s="1" t="str">
        <f ca="1">IFERROR(__xludf.DUMMYFUNCTION("""COMPUTED_VALUE"""),"Officer-Involved Shooting")</f>
        <v>Officer-Involved Shooting</v>
      </c>
      <c r="X618" s="1"/>
      <c r="Y618" s="1"/>
      <c r="Z618" s="1"/>
      <c r="AA618" s="1"/>
      <c r="AB618" s="1"/>
      <c r="AC618" s="1" t="str">
        <f ca="1">IFERROR(__xludf.DUMMYFUNCTION("""COMPUTED_VALUE"""),"Yes")</f>
        <v>Yes</v>
      </c>
      <c r="AD618" s="1"/>
      <c r="AE618" s="1"/>
      <c r="AF618" s="1"/>
      <c r="AG618" s="1" t="str">
        <f ca="1">IFERROR(__xludf.DUMMYFUNCTION("""COMPUTED_VALUE"""),"No")</f>
        <v>No</v>
      </c>
      <c r="AH618" s="1"/>
    </row>
    <row r="619" spans="1:34" ht="12.5">
      <c r="A619" s="1" t="str">
        <f ca="1">IFERROR(__xludf.DUMMYFUNCTION("""COMPUTED_VALUE"""),"20220512TXHEH")</f>
        <v>20220512TXHEH</v>
      </c>
      <c r="B619" s="1">
        <f ca="1">IFERROR(__xludf.DUMMYFUNCTION("""COMPUTED_VALUE"""),5)</f>
        <v>5</v>
      </c>
      <c r="C619" s="1">
        <f ca="1">IFERROR(__xludf.DUMMYFUNCTION("""COMPUTED_VALUE"""),12)</f>
        <v>12</v>
      </c>
      <c r="D619" s="1">
        <f ca="1">IFERROR(__xludf.DUMMYFUNCTION("""COMPUTED_VALUE"""),2022)</f>
        <v>2022</v>
      </c>
      <c r="E619" s="4">
        <f ca="1">IFERROR(__xludf.DUMMYFUNCTION("""COMPUTED_VALUE"""),44693)</f>
        <v>44693</v>
      </c>
      <c r="F619" s="1" t="str">
        <f ca="1">IFERROR(__xludf.DUMMYFUNCTION("""COMPUTED_VALUE"""),"Heights High School")</f>
        <v>Heights High School</v>
      </c>
      <c r="G619" s="1">
        <f ca="1">IFERROR(__xludf.DUMMYFUNCTION("""COMPUTED_VALUE"""),0)</f>
        <v>0</v>
      </c>
      <c r="H619" s="1">
        <f ca="1">IFERROR(__xludf.DUMMYFUNCTION("""COMPUTED_VALUE"""),1)</f>
        <v>1</v>
      </c>
      <c r="I619" s="1">
        <f ca="1">IFERROR(__xludf.DUMMYFUNCTION("""COMPUTED_VALUE"""),1)</f>
        <v>1</v>
      </c>
      <c r="J619" s="1">
        <f ca="1">IFERROR(__xludf.DUMMYFUNCTION("""COMPUTED_VALUE"""),0)</f>
        <v>0</v>
      </c>
      <c r="K619" s="1" t="str">
        <f ca="1">IFERROR(__xludf.DUMMYFUNCTION("""COMPUTED_VALUE"""),"Spring")</f>
        <v>Spring</v>
      </c>
      <c r="L619" s="1" t="str">
        <f ca="1">IFERROR(__xludf.DUMMYFUNCTION("""COMPUTED_VALUE"""),"Houston")</f>
        <v>Houston</v>
      </c>
      <c r="M619" s="1" t="str">
        <f ca="1">IFERROR(__xludf.DUMMYFUNCTION("""COMPUTED_VALUE"""),"TX")</f>
        <v>TX</v>
      </c>
      <c r="N619" s="1" t="str">
        <f ca="1">IFERROR(__xludf.DUMMYFUNCTION("""COMPUTED_VALUE"""),"High")</f>
        <v>High</v>
      </c>
      <c r="O619" s="1" t="str">
        <f ca="1">IFERROR(__xludf.DUMMYFUNCTION("""COMPUTED_VALUE"""),"Parking Lot")</f>
        <v>Parking Lot</v>
      </c>
      <c r="P619" s="1" t="str">
        <f ca="1">IFERROR(__xludf.DUMMYFUNCTION("""COMPUTED_VALUE"""),"Outside on School Property")</f>
        <v>Outside on School Property</v>
      </c>
      <c r="Q619" s="1" t="str">
        <f ca="1">IFERROR(__xludf.DUMMYFUNCTION("""COMPUTED_VALUE"""),"Yes")</f>
        <v>Yes</v>
      </c>
      <c r="R619" s="1" t="str">
        <f ca="1">IFERROR(__xludf.DUMMYFUNCTION("""COMPUTED_VALUE"""),"Afternoon Classes")</f>
        <v>Afternoon Classes</v>
      </c>
      <c r="S619" s="5">
        <f ca="1">IFERROR(__xludf.DUMMYFUNCTION("""COMPUTED_VALUE"""),0.552083333333333)</f>
        <v>0.55208333333333304</v>
      </c>
      <c r="T619" s="1">
        <f ca="1">IFERROR(__xludf.DUMMYFUNCTION("""COMPUTED_VALUE"""),1)</f>
        <v>1</v>
      </c>
      <c r="U619" s="1" t="str">
        <f ca="1">IFERROR(__xludf.DUMMYFUNCTION("""COMPUTED_VALUE"""),"Student shot in school parking lot during afternoon classes")</f>
        <v>Student shot in school parking lot during afternoon classes</v>
      </c>
      <c r="V619" s="1" t="str">
        <f ca="1">IFERROR(__xludf.DUMMYFUNCTION("""COMPUTED_VALUE"""),"A student was shot in the school parking lot during afternoon classes and transported to the hospital. School went on lockdown and then dismissed at normal time. Police said there was no threat to other students. An 18-year-old male student was arrested t"&amp;"he following day. Police believe 5 people were involved in the shooting.")</f>
        <v>A student was shot in the school parking lot during afternoon classes and transported to the hospital. School went on lockdown and then dismissed at normal time. Police said there was no threat to other students. An 18-year-old male student was arrested the following day. Police believe 5 people were involved in the shooting.</v>
      </c>
      <c r="W619" s="1"/>
      <c r="X619" s="1" t="str">
        <f ca="1">IFERROR(__xludf.DUMMYFUNCTION("""COMPUTED_VALUE"""),"Victims Targeted")</f>
        <v>Victims Targeted</v>
      </c>
      <c r="Y619" s="1" t="str">
        <f ca="1">IFERROR(__xludf.DUMMYFUNCTION("""COMPUTED_VALUE"""),"Yes")</f>
        <v>Yes</v>
      </c>
      <c r="Z619" s="1" t="str">
        <f ca="1">IFERROR(__xludf.DUMMYFUNCTION("""COMPUTED_VALUE"""),"5 people involved")</f>
        <v>5 people involved</v>
      </c>
      <c r="AA619" s="1" t="str">
        <f ca="1">IFERROR(__xludf.DUMMYFUNCTION("""COMPUTED_VALUE"""),"No")</f>
        <v>No</v>
      </c>
      <c r="AB619" s="1" t="str">
        <f ca="1">IFERROR(__xludf.DUMMYFUNCTION("""COMPUTED_VALUE"""),"No")</f>
        <v>No</v>
      </c>
      <c r="AC619" s="1" t="str">
        <f ca="1">IFERROR(__xludf.DUMMYFUNCTION("""COMPUTED_VALUE"""),"No")</f>
        <v>No</v>
      </c>
      <c r="AD619" s="1" t="str">
        <f ca="1">IFERROR(__xludf.DUMMYFUNCTION("""COMPUTED_VALUE"""),"No")</f>
        <v>No</v>
      </c>
      <c r="AE619" s="1" t="str">
        <f ca="1">IFERROR(__xludf.DUMMYFUNCTION("""COMPUTED_VALUE"""),"No")</f>
        <v>No</v>
      </c>
      <c r="AF619" s="1"/>
      <c r="AG619" s="1" t="str">
        <f ca="1">IFERROR(__xludf.DUMMYFUNCTION("""COMPUTED_VALUE"""),"No")</f>
        <v>No</v>
      </c>
      <c r="AH619" s="1"/>
    </row>
    <row r="620" spans="1:34" ht="12.5">
      <c r="A620" s="1" t="str">
        <f ca="1">IFERROR(__xludf.DUMMYFUNCTION("""COMPUTED_VALUE"""),"20220512ARHOH")</f>
        <v>20220512ARHOH</v>
      </c>
      <c r="B620" s="1">
        <f ca="1">IFERROR(__xludf.DUMMYFUNCTION("""COMPUTED_VALUE"""),5)</f>
        <v>5</v>
      </c>
      <c r="C620" s="1">
        <f ca="1">IFERROR(__xludf.DUMMYFUNCTION("""COMPUTED_VALUE"""),12)</f>
        <v>12</v>
      </c>
      <c r="D620" s="1">
        <f ca="1">IFERROR(__xludf.DUMMYFUNCTION("""COMPUTED_VALUE"""),2022)</f>
        <v>2022</v>
      </c>
      <c r="E620" s="4">
        <f ca="1">IFERROR(__xludf.DUMMYFUNCTION("""COMPUTED_VALUE"""),44693)</f>
        <v>44693</v>
      </c>
      <c r="F620" s="1" t="str">
        <f ca="1">IFERROR(__xludf.DUMMYFUNCTION("""COMPUTED_VALUE"""),"Hot Springs High School")</f>
        <v>Hot Springs High School</v>
      </c>
      <c r="G620" s="1">
        <f ca="1">IFERROR(__xludf.DUMMYFUNCTION("""COMPUTED_VALUE"""),1)</f>
        <v>1</v>
      </c>
      <c r="H620" s="1">
        <f ca="1">IFERROR(__xludf.DUMMYFUNCTION("""COMPUTED_VALUE"""),2)</f>
        <v>2</v>
      </c>
      <c r="I620" s="1">
        <f ca="1">IFERROR(__xludf.DUMMYFUNCTION("""COMPUTED_VALUE"""),3)</f>
        <v>3</v>
      </c>
      <c r="J620" s="1">
        <f ca="1">IFERROR(__xludf.DUMMYFUNCTION("""COMPUTED_VALUE"""),0)</f>
        <v>0</v>
      </c>
      <c r="K620" s="1" t="str">
        <f ca="1">IFERROR(__xludf.DUMMYFUNCTION("""COMPUTED_VALUE"""),"Spring")</f>
        <v>Spring</v>
      </c>
      <c r="L620" s="1" t="str">
        <f ca="1">IFERROR(__xludf.DUMMYFUNCTION("""COMPUTED_VALUE"""),"Hot Springs")</f>
        <v>Hot Springs</v>
      </c>
      <c r="M620" s="1" t="str">
        <f ca="1">IFERROR(__xludf.DUMMYFUNCTION("""COMPUTED_VALUE"""),"AR")</f>
        <v>AR</v>
      </c>
      <c r="N620" s="1" t="str">
        <f ca="1">IFERROR(__xludf.DUMMYFUNCTION("""COMPUTED_VALUE"""),"High")</f>
        <v>High</v>
      </c>
      <c r="O620" s="1" t="str">
        <f ca="1">IFERROR(__xludf.DUMMYFUNCTION("""COMPUTED_VALUE"""),"Off School Property")</f>
        <v>Off School Property</v>
      </c>
      <c r="P620" s="1" t="str">
        <f ca="1">IFERROR(__xludf.DUMMYFUNCTION("""COMPUTED_VALUE"""),"Outside on School Property")</f>
        <v>Outside on School Property</v>
      </c>
      <c r="Q620" s="1" t="str">
        <f ca="1">IFERROR(__xludf.DUMMYFUNCTION("""COMPUTED_VALUE"""),"No")</f>
        <v>No</v>
      </c>
      <c r="R620" s="1" t="str">
        <f ca="1">IFERROR(__xludf.DUMMYFUNCTION("""COMPUTED_VALUE"""),"School Event")</f>
        <v>School Event</v>
      </c>
      <c r="S620" s="5">
        <f ca="1">IFERROR(__xludf.DUMMYFUNCTION("""COMPUTED_VALUE"""),0.791666666666666)</f>
        <v>0.79166666666666596</v>
      </c>
      <c r="T620" s="1">
        <f ca="1">IFERROR(__xludf.DUMMYFUNCTION("""COMPUTED_VALUE"""),1)</f>
        <v>1</v>
      </c>
      <c r="U620" s="1" t="str">
        <f ca="1">IFERROR(__xludf.DUMMYFUNCTION("""COMPUTED_VALUE"""),"4 people shot in parking lot following graduation ceremony")</f>
        <v>4 people shot in parking lot following graduation ceremony</v>
      </c>
      <c r="V620" s="1" t="str">
        <f ca="1">IFERROR(__xludf.DUMMYFUNCTION("""COMPUTED_VALUE"""),"Shots were fired during a fight in the parking lot following the graduation ceremony. Students and family members were taking photos outside of the building when the shooting started. The graduation was held at the city's convention center. An adult man w"&amp;"as killed, 2 others were shot, and the shooter (25-year-old man) was shot by a police officer. Shooter was wounded and fled the area. Found at a local hospital and arrested.")</f>
        <v>Shots were fired during a fight in the parking lot following the graduation ceremony. Students and family members were taking photos outside of the building when the shooting started. The graduation was held at the city's convention center. An adult man was killed, 2 others were shot, and the shooter (25-year-old man) was shot by a police officer. Shooter was wounded and fled the area. Found at a local hospital and arrested.</v>
      </c>
      <c r="W620" s="1" t="str">
        <f ca="1">IFERROR(__xludf.DUMMYFUNCTION("""COMPUTED_VALUE"""),"Escalation of Dispute")</f>
        <v>Escalation of Dispute</v>
      </c>
      <c r="X620" s="1" t="str">
        <f ca="1">IFERROR(__xludf.DUMMYFUNCTION("""COMPUTED_VALUE"""),"Both")</f>
        <v>Both</v>
      </c>
      <c r="Y620" s="1" t="str">
        <f ca="1">IFERROR(__xludf.DUMMYFUNCTION("""COMPUTED_VALUE"""),"No")</f>
        <v>No</v>
      </c>
      <c r="Z620" s="1"/>
      <c r="AA620" s="1" t="str">
        <f ca="1">IFERROR(__xludf.DUMMYFUNCTION("""COMPUTED_VALUE"""),"No")</f>
        <v>No</v>
      </c>
      <c r="AB620" s="1" t="str">
        <f ca="1">IFERROR(__xludf.DUMMYFUNCTION("""COMPUTED_VALUE"""),"No")</f>
        <v>No</v>
      </c>
      <c r="AC620" s="1" t="str">
        <f ca="1">IFERROR(__xludf.DUMMYFUNCTION("""COMPUTED_VALUE"""),"No")</f>
        <v>No</v>
      </c>
      <c r="AD620" s="1" t="str">
        <f ca="1">IFERROR(__xludf.DUMMYFUNCTION("""COMPUTED_VALUE"""),"No")</f>
        <v>No</v>
      </c>
      <c r="AE620" s="1" t="str">
        <f ca="1">IFERROR(__xludf.DUMMYFUNCTION("""COMPUTED_VALUE"""),"No")</f>
        <v>No</v>
      </c>
      <c r="AF620" s="1" t="str">
        <f ca="1">IFERROR(__xludf.DUMMYFUNCTION("""COMPUTED_VALUE"""),"No")</f>
        <v>No</v>
      </c>
      <c r="AG620" s="1" t="str">
        <f ca="1">IFERROR(__xludf.DUMMYFUNCTION("""COMPUTED_VALUE"""),"No")</f>
        <v>No</v>
      </c>
      <c r="AH620" s="1">
        <f ca="1">IFERROR(__xludf.DUMMYFUNCTION("""COMPUTED_VALUE"""),99)</f>
        <v>99</v>
      </c>
    </row>
    <row r="621" spans="1:34" ht="12.5">
      <c r="A621" s="1" t="str">
        <f ca="1">IFERROR(__xludf.DUMMYFUNCTION("""COMPUTED_VALUE"""),"20220511FLJAJ")</f>
        <v>20220511FLJAJ</v>
      </c>
      <c r="B621" s="1">
        <f ca="1">IFERROR(__xludf.DUMMYFUNCTION("""COMPUTED_VALUE"""),5)</f>
        <v>5</v>
      </c>
      <c r="C621" s="1">
        <f ca="1">IFERROR(__xludf.DUMMYFUNCTION("""COMPUTED_VALUE"""),11)</f>
        <v>11</v>
      </c>
      <c r="D621" s="1">
        <f ca="1">IFERROR(__xludf.DUMMYFUNCTION("""COMPUTED_VALUE"""),2022)</f>
        <v>2022</v>
      </c>
      <c r="E621" s="4">
        <f ca="1">IFERROR(__xludf.DUMMYFUNCTION("""COMPUTED_VALUE"""),44692)</f>
        <v>44692</v>
      </c>
      <c r="F621" s="1" t="str">
        <f ca="1">IFERROR(__xludf.DUMMYFUNCTION("""COMPUTED_VALUE"""),"Andrew Jackson High School")</f>
        <v>Andrew Jackson High School</v>
      </c>
      <c r="G621" s="1">
        <f ca="1">IFERROR(__xludf.DUMMYFUNCTION("""COMPUTED_VALUE"""),0)</f>
        <v>0</v>
      </c>
      <c r="H621" s="1">
        <f ca="1">IFERROR(__xludf.DUMMYFUNCTION("""COMPUTED_VALUE"""),1)</f>
        <v>1</v>
      </c>
      <c r="I621" s="1">
        <f ca="1">IFERROR(__xludf.DUMMYFUNCTION("""COMPUTED_VALUE"""),1)</f>
        <v>1</v>
      </c>
      <c r="J621" s="1">
        <f ca="1">IFERROR(__xludf.DUMMYFUNCTION("""COMPUTED_VALUE"""),0)</f>
        <v>0</v>
      </c>
      <c r="K621" s="1" t="str">
        <f ca="1">IFERROR(__xludf.DUMMYFUNCTION("""COMPUTED_VALUE"""),"Spring")</f>
        <v>Spring</v>
      </c>
      <c r="L621" s="1" t="str">
        <f ca="1">IFERROR(__xludf.DUMMYFUNCTION("""COMPUTED_VALUE"""),"Jacksonville")</f>
        <v>Jacksonville</v>
      </c>
      <c r="M621" s="1" t="str">
        <f ca="1">IFERROR(__xludf.DUMMYFUNCTION("""COMPUTED_VALUE"""),"FL")</f>
        <v>FL</v>
      </c>
      <c r="N621" s="1" t="str">
        <f ca="1">IFERROR(__xludf.DUMMYFUNCTION("""COMPUTED_VALUE"""),"High")</f>
        <v>High</v>
      </c>
      <c r="O621" s="1" t="str">
        <f ca="1">IFERROR(__xludf.DUMMYFUNCTION("""COMPUTED_VALUE"""),"Beside Building")</f>
        <v>Beside Building</v>
      </c>
      <c r="P621" s="1" t="str">
        <f ca="1">IFERROR(__xludf.DUMMYFUNCTION("""COMPUTED_VALUE"""),"Outside on School Property")</f>
        <v>Outside on School Property</v>
      </c>
      <c r="Q621" s="1" t="str">
        <f ca="1">IFERROR(__xludf.DUMMYFUNCTION("""COMPUTED_VALUE"""),"Yes")</f>
        <v>Yes</v>
      </c>
      <c r="R621" s="1" t="str">
        <f ca="1">IFERROR(__xludf.DUMMYFUNCTION("""COMPUTED_VALUE"""),"Dismissal")</f>
        <v>Dismissal</v>
      </c>
      <c r="S621" s="5">
        <f ca="1">IFERROR(__xludf.DUMMYFUNCTION("""COMPUTED_VALUE"""),0.625)</f>
        <v>0.625</v>
      </c>
      <c r="T621" s="1">
        <f ca="1">IFERROR(__xludf.DUMMYFUNCTION("""COMPUTED_VALUE"""),1)</f>
        <v>1</v>
      </c>
      <c r="U621" s="1" t="str">
        <f ca="1">IFERROR(__xludf.DUMMYFUNCTION("""COMPUTED_VALUE"""),"Student shot exiting school during drive-by")</f>
        <v>Student shot exiting school during drive-by</v>
      </c>
      <c r="V621" s="1" t="str">
        <f ca="1">IFERROR(__xludf.DUMMYFUNCTION("""COMPUTED_VALUE"""),"A group of 8 students were leaving the school gym at dismissal when shots were fired at them from a vehicle. 17-year-old student was critically injured. Students ran back into school and went on lockdown. Shooter fled and was not identified.")</f>
        <v>A group of 8 students were leaving the school gym at dismissal when shots were fired at them from a vehicle. 17-year-old student was critically injured. Students ran back into school and went on lockdown. Shooter fled and was not identified.</v>
      </c>
      <c r="W621" s="1" t="str">
        <f ca="1">IFERROR(__xludf.DUMMYFUNCTION("""COMPUTED_VALUE"""),"Drive-by Shooting")</f>
        <v>Drive-by Shooting</v>
      </c>
      <c r="X621" s="1" t="str">
        <f ca="1">IFERROR(__xludf.DUMMYFUNCTION("""COMPUTED_VALUE"""),"Victims Targeted")</f>
        <v>Victims Targeted</v>
      </c>
      <c r="Y621" s="1" t="str">
        <f ca="1">IFERROR(__xludf.DUMMYFUNCTION("""COMPUTED_VALUE"""),"Yes")</f>
        <v>Yes</v>
      </c>
      <c r="Z621" s="1"/>
      <c r="AA621" s="1" t="str">
        <f ca="1">IFERROR(__xludf.DUMMYFUNCTION("""COMPUTED_VALUE"""),"No")</f>
        <v>No</v>
      </c>
      <c r="AB621" s="1" t="str">
        <f ca="1">IFERROR(__xludf.DUMMYFUNCTION("""COMPUTED_VALUE"""),"No")</f>
        <v>No</v>
      </c>
      <c r="AC621" s="1" t="str">
        <f ca="1">IFERROR(__xludf.DUMMYFUNCTION("""COMPUTED_VALUE"""),"No")</f>
        <v>No</v>
      </c>
      <c r="AD621" s="1" t="str">
        <f ca="1">IFERROR(__xludf.DUMMYFUNCTION("""COMPUTED_VALUE"""),"No")</f>
        <v>No</v>
      </c>
      <c r="AE621" s="1" t="str">
        <f ca="1">IFERROR(__xludf.DUMMYFUNCTION("""COMPUTED_VALUE"""),"No")</f>
        <v>No</v>
      </c>
      <c r="AF621" s="1"/>
      <c r="AG621" s="1" t="str">
        <f ca="1">IFERROR(__xludf.DUMMYFUNCTION("""COMPUTED_VALUE"""),"No")</f>
        <v>No</v>
      </c>
      <c r="AH621" s="1">
        <f ca="1">IFERROR(__xludf.DUMMYFUNCTION("""COMPUTED_VALUE"""),10)</f>
        <v>10</v>
      </c>
    </row>
    <row r="622" spans="1:34" ht="12.5">
      <c r="A622" s="1" t="str">
        <f ca="1">IFERROR(__xludf.DUMMYFUNCTION("""COMPUTED_VALUE"""),"20220509NYEDS")</f>
        <v>20220509NYEDS</v>
      </c>
      <c r="B622" s="1">
        <f ca="1">IFERROR(__xludf.DUMMYFUNCTION("""COMPUTED_VALUE"""),5)</f>
        <v>5</v>
      </c>
      <c r="C622" s="1">
        <f ca="1">IFERROR(__xludf.DUMMYFUNCTION("""COMPUTED_VALUE"""),9)</f>
        <v>9</v>
      </c>
      <c r="D622" s="1">
        <f ca="1">IFERROR(__xludf.DUMMYFUNCTION("""COMPUTED_VALUE"""),2022)</f>
        <v>2022</v>
      </c>
      <c r="E622" s="4">
        <f ca="1">IFERROR(__xludf.DUMMYFUNCTION("""COMPUTED_VALUE"""),44690)</f>
        <v>44690</v>
      </c>
      <c r="F622" s="1" t="str">
        <f ca="1">IFERROR(__xludf.DUMMYFUNCTION("""COMPUTED_VALUE"""),"Eden Ii Institute")</f>
        <v>Eden Ii Institute</v>
      </c>
      <c r="G622" s="1">
        <f ca="1">IFERROR(__xludf.DUMMYFUNCTION("""COMPUTED_VALUE"""),1)</f>
        <v>1</v>
      </c>
      <c r="H622" s="1">
        <f ca="1">IFERROR(__xludf.DUMMYFUNCTION("""COMPUTED_VALUE"""),0)</f>
        <v>0</v>
      </c>
      <c r="I622" s="1">
        <f ca="1">IFERROR(__xludf.DUMMYFUNCTION("""COMPUTED_VALUE"""),1)</f>
        <v>1</v>
      </c>
      <c r="J622" s="1">
        <f ca="1">IFERROR(__xludf.DUMMYFUNCTION("""COMPUTED_VALUE"""),0)</f>
        <v>0</v>
      </c>
      <c r="K622" s="1" t="str">
        <f ca="1">IFERROR(__xludf.DUMMYFUNCTION("""COMPUTED_VALUE"""),"Spring")</f>
        <v>Spring</v>
      </c>
      <c r="L622" s="1" t="str">
        <f ca="1">IFERROR(__xludf.DUMMYFUNCTION("""COMPUTED_VALUE"""),"Staten Island")</f>
        <v>Staten Island</v>
      </c>
      <c r="M622" s="1" t="str">
        <f ca="1">IFERROR(__xludf.DUMMYFUNCTION("""COMPUTED_VALUE"""),"NY")</f>
        <v>NY</v>
      </c>
      <c r="N622" s="1" t="str">
        <f ca="1">IFERROR(__xludf.DUMMYFUNCTION("""COMPUTED_VALUE"""),"Other")</f>
        <v>Other</v>
      </c>
      <c r="O622" s="1" t="str">
        <f ca="1">IFERROR(__xludf.DUMMYFUNCTION("""COMPUTED_VALUE"""),"Front of School")</f>
        <v>Front of School</v>
      </c>
      <c r="P622" s="1" t="str">
        <f ca="1">IFERROR(__xludf.DUMMYFUNCTION("""COMPUTED_VALUE"""),"Outside on School Property")</f>
        <v>Outside on School Property</v>
      </c>
      <c r="Q622" s="1" t="str">
        <f ca="1">IFERROR(__xludf.DUMMYFUNCTION("""COMPUTED_VALUE"""),"Yes")</f>
        <v>Yes</v>
      </c>
      <c r="R622" s="1" t="str">
        <f ca="1">IFERROR(__xludf.DUMMYFUNCTION("""COMPUTED_VALUE"""),"Afternoon Classes")</f>
        <v>Afternoon Classes</v>
      </c>
      <c r="S622" s="5">
        <f ca="1">IFERROR(__xludf.DUMMYFUNCTION("""COMPUTED_VALUE"""),0.635416666666666)</f>
        <v>0.63541666666666596</v>
      </c>
      <c r="T622" s="1">
        <f ca="1">IFERROR(__xludf.DUMMYFUNCTION("""COMPUTED_VALUE"""),1)</f>
        <v>1</v>
      </c>
      <c r="U622" s="1" t="str">
        <f ca="1">IFERROR(__xludf.DUMMYFUNCTION("""COMPUTED_VALUE"""),"Man fatally shot by front door to school")</f>
        <v>Man fatally shot by front door to school</v>
      </c>
      <c r="V622" s="1" t="str">
        <f ca="1">IFERROR(__xludf.DUMMYFUNCTION("""COMPUTED_VALUE"""),"A 26-year-old man was fatally shot during a fight with 2 other men near the front door of the school. Shooter fled in a vehicle. School went on lockdown for 90 minute while police investigated. Unclear if men had any relation to the school.")</f>
        <v>A 26-year-old man was fatally shot during a fight with 2 other men near the front door of the school. Shooter fled in a vehicle. School went on lockdown for 90 minute while police investigated. Unclear if men had any relation to the school.</v>
      </c>
      <c r="W622" s="1" t="str">
        <f ca="1">IFERROR(__xludf.DUMMYFUNCTION("""COMPUTED_VALUE"""),"Escalation of Dispute")</f>
        <v>Escalation of Dispute</v>
      </c>
      <c r="X622" s="1" t="str">
        <f ca="1">IFERROR(__xludf.DUMMYFUNCTION("""COMPUTED_VALUE"""),"Victims Targeted")</f>
        <v>Victims Targeted</v>
      </c>
      <c r="Y622" s="1" t="str">
        <f ca="1">IFERROR(__xludf.DUMMYFUNCTION("""COMPUTED_VALUE"""),"Yes")</f>
        <v>Yes</v>
      </c>
      <c r="Z622" s="1" t="str">
        <f ca="1">IFERROR(__xludf.DUMMYFUNCTION("""COMPUTED_VALUE"""),"2 men")</f>
        <v>2 men</v>
      </c>
      <c r="AA622" s="1" t="str">
        <f ca="1">IFERROR(__xludf.DUMMYFUNCTION("""COMPUTED_VALUE"""),"No")</f>
        <v>No</v>
      </c>
      <c r="AB622" s="1" t="str">
        <f ca="1">IFERROR(__xludf.DUMMYFUNCTION("""COMPUTED_VALUE"""),"No")</f>
        <v>No</v>
      </c>
      <c r="AC622" s="1" t="str">
        <f ca="1">IFERROR(__xludf.DUMMYFUNCTION("""COMPUTED_VALUE"""),"No")</f>
        <v>No</v>
      </c>
      <c r="AD622" s="1" t="str">
        <f ca="1">IFERROR(__xludf.DUMMYFUNCTION("""COMPUTED_VALUE"""),"No")</f>
        <v>No</v>
      </c>
      <c r="AE622" s="1" t="str">
        <f ca="1">IFERROR(__xludf.DUMMYFUNCTION("""COMPUTED_VALUE"""),"No")</f>
        <v>No</v>
      </c>
      <c r="AF622" s="1"/>
      <c r="AG622" s="1" t="str">
        <f ca="1">IFERROR(__xludf.DUMMYFUNCTION("""COMPUTED_VALUE"""),"No")</f>
        <v>No</v>
      </c>
      <c r="AH622" s="1">
        <f ca="1">IFERROR(__xludf.DUMMYFUNCTION("""COMPUTED_VALUE"""),99)</f>
        <v>99</v>
      </c>
    </row>
    <row r="623" spans="1:34" ht="12.5">
      <c r="A623" s="1" t="str">
        <f ca="1">IFERROR(__xludf.DUMMYFUNCTION("""COMPUTED_VALUE"""),"20220509GARIS")</f>
        <v>20220509GARIS</v>
      </c>
      <c r="B623" s="1">
        <f ca="1">IFERROR(__xludf.DUMMYFUNCTION("""COMPUTED_VALUE"""),5)</f>
        <v>5</v>
      </c>
      <c r="C623" s="1">
        <f ca="1">IFERROR(__xludf.DUMMYFUNCTION("""COMPUTED_VALUE"""),9)</f>
        <v>9</v>
      </c>
      <c r="D623" s="1">
        <f ca="1">IFERROR(__xludf.DUMMYFUNCTION("""COMPUTED_VALUE"""),2022)</f>
        <v>2022</v>
      </c>
      <c r="E623" s="4">
        <f ca="1">IFERROR(__xludf.DUMMYFUNCTION("""COMPUTED_VALUE"""),44690)</f>
        <v>44690</v>
      </c>
      <c r="F623" s="1" t="str">
        <f ca="1">IFERROR(__xludf.DUMMYFUNCTION("""COMPUTED_VALUE"""),"Riverside Elementary School")</f>
        <v>Riverside Elementary School</v>
      </c>
      <c r="G623" s="1">
        <f ca="1">IFERROR(__xludf.DUMMYFUNCTION("""COMPUTED_VALUE"""),0)</f>
        <v>0</v>
      </c>
      <c r="H623" s="1">
        <f ca="1">IFERROR(__xludf.DUMMYFUNCTION("""COMPUTED_VALUE"""),0)</f>
        <v>0</v>
      </c>
      <c r="I623" s="1">
        <f ca="1">IFERROR(__xludf.DUMMYFUNCTION("""COMPUTED_VALUE"""),0)</f>
        <v>0</v>
      </c>
      <c r="J623" s="1">
        <f ca="1">IFERROR(__xludf.DUMMYFUNCTION("""COMPUTED_VALUE"""),0)</f>
        <v>0</v>
      </c>
      <c r="K623" s="1" t="str">
        <f ca="1">IFERROR(__xludf.DUMMYFUNCTION("""COMPUTED_VALUE"""),"Spring")</f>
        <v>Spring</v>
      </c>
      <c r="L623" s="1" t="str">
        <f ca="1">IFERROR(__xludf.DUMMYFUNCTION("""COMPUTED_VALUE"""),"Suwanee")</f>
        <v>Suwanee</v>
      </c>
      <c r="M623" s="1" t="str">
        <f ca="1">IFERROR(__xludf.DUMMYFUNCTION("""COMPUTED_VALUE"""),"GA")</f>
        <v>GA</v>
      </c>
      <c r="N623" s="1" t="str">
        <f ca="1">IFERROR(__xludf.DUMMYFUNCTION("""COMPUTED_VALUE"""),"Elementary")</f>
        <v>Elementary</v>
      </c>
      <c r="O623" s="1" t="str">
        <f ca="1">IFERROR(__xludf.DUMMYFUNCTION("""COMPUTED_VALUE"""),"School Bus")</f>
        <v>School Bus</v>
      </c>
      <c r="P623" s="1" t="str">
        <f ca="1">IFERROR(__xludf.DUMMYFUNCTION("""COMPUTED_VALUE"""),"School Bus")</f>
        <v>School Bus</v>
      </c>
      <c r="Q623" s="1" t="str">
        <f ca="1">IFERROR(__xludf.DUMMYFUNCTION("""COMPUTED_VALUE"""),"Yes")</f>
        <v>Yes</v>
      </c>
      <c r="R623" s="1" t="str">
        <f ca="1">IFERROR(__xludf.DUMMYFUNCTION("""COMPUTED_VALUE"""),"School Start")</f>
        <v>School Start</v>
      </c>
      <c r="S623" s="5">
        <f ca="1">IFERROR(__xludf.DUMMYFUNCTION("""COMPUTED_VALUE"""),0.302083333333333)</f>
        <v>0.30208333333333298</v>
      </c>
      <c r="T623" s="1">
        <f ca="1">IFERROR(__xludf.DUMMYFUNCTION("""COMPUTED_VALUE"""),1)</f>
        <v>1</v>
      </c>
      <c r="U623" s="1" t="str">
        <f ca="1">IFERROR(__xludf.DUMMYFUNCTION("""COMPUTED_VALUE"""),"Woman fired 12 shots at occupied school bus")</f>
        <v>Woman fired 12 shots at occupied school bus</v>
      </c>
      <c r="V623" s="1" t="str">
        <f ca="1">IFERROR(__xludf.DUMMYFUNCTION("""COMPUTED_VALUE"""),"A 57-year-old woman fired 12 shots at a school bus in front of her house. Two shots were through the windshield and just missed the driver. Students on the bus were not injured. Driver told students to take cover and kept driving to the school. Shooter ar"&amp;"rested and charged with charged with four counts of first-degree cruelty to children, five counts of aggravated assault, possession of a firearm during the commission of certain felonies, and unauthorized discharge of a firearm near a public street. Prior"&amp;" to the shooting, neighbors said the woman had thrown rocks at the school bus. She also walked in the middle of the street and would not let the bus pass her.")</f>
        <v>A 57-year-old woman fired 12 shots at a school bus in front of her house. Two shots were through the windshield and just missed the driver. Students on the bus were not injured. Driver told students to take cover and kept driving to the school. Shooter arrested and charged with charged with four counts of first-degree cruelty to children, five counts of aggravated assault, possession of a firearm during the commission of certain felonies, and unauthorized discharge of a firearm near a public street. Prior to the shooting, neighbors said the woman had thrown rocks at the school bus. She also walked in the middle of the street and would not let the bus pass her.</v>
      </c>
      <c r="W623" s="1"/>
      <c r="X623" s="1" t="str">
        <f ca="1">IFERROR(__xludf.DUMMYFUNCTION("""COMPUTED_VALUE"""),"Victims Targeted")</f>
        <v>Victims Targeted</v>
      </c>
      <c r="Y623" s="1" t="str">
        <f ca="1">IFERROR(__xludf.DUMMYFUNCTION("""COMPUTED_VALUE"""),"No")</f>
        <v>No</v>
      </c>
      <c r="Z623" s="1"/>
      <c r="AA623" s="1" t="str">
        <f ca="1">IFERROR(__xludf.DUMMYFUNCTION("""COMPUTED_VALUE"""),"No")</f>
        <v>No</v>
      </c>
      <c r="AB623" s="1" t="str">
        <f ca="1">IFERROR(__xludf.DUMMYFUNCTION("""COMPUTED_VALUE"""),"No")</f>
        <v>No</v>
      </c>
      <c r="AC623" s="1" t="str">
        <f ca="1">IFERROR(__xludf.DUMMYFUNCTION("""COMPUTED_VALUE"""),"No")</f>
        <v>No</v>
      </c>
      <c r="AD623" s="1" t="str">
        <f ca="1">IFERROR(__xludf.DUMMYFUNCTION("""COMPUTED_VALUE"""),"No")</f>
        <v>No</v>
      </c>
      <c r="AE623" s="1" t="str">
        <f ca="1">IFERROR(__xludf.DUMMYFUNCTION("""COMPUTED_VALUE"""),"No")</f>
        <v>No</v>
      </c>
      <c r="AF623" s="1" t="str">
        <f ca="1">IFERROR(__xludf.DUMMYFUNCTION("""COMPUTED_VALUE"""),"No")</f>
        <v>No</v>
      </c>
      <c r="AG623" s="1" t="str">
        <f ca="1">IFERROR(__xludf.DUMMYFUNCTION("""COMPUTED_VALUE"""),"No")</f>
        <v>No</v>
      </c>
      <c r="AH623" s="1">
        <f ca="1">IFERROR(__xludf.DUMMYFUNCTION("""COMPUTED_VALUE"""),12)</f>
        <v>12</v>
      </c>
    </row>
    <row r="624" spans="1:34" ht="12.5">
      <c r="A624" s="1" t="str">
        <f ca="1">IFERROR(__xludf.DUMMYFUNCTION("""COMPUTED_VALUE"""),"20220505OHLOL")</f>
        <v>20220505OHLOL</v>
      </c>
      <c r="B624" s="1">
        <f ca="1">IFERROR(__xludf.DUMMYFUNCTION("""COMPUTED_VALUE"""),5)</f>
        <v>5</v>
      </c>
      <c r="C624" s="1">
        <f ca="1">IFERROR(__xludf.DUMMYFUNCTION("""COMPUTED_VALUE"""),5)</f>
        <v>5</v>
      </c>
      <c r="D624" s="1">
        <f ca="1">IFERROR(__xludf.DUMMYFUNCTION("""COMPUTED_VALUE"""),2022)</f>
        <v>2022</v>
      </c>
      <c r="E624" s="4">
        <f ca="1">IFERROR(__xludf.DUMMYFUNCTION("""COMPUTED_VALUE"""),44686)</f>
        <v>44686</v>
      </c>
      <c r="F624" s="1" t="str">
        <f ca="1">IFERROR(__xludf.DUMMYFUNCTION("""COMPUTED_VALUE"""),"Lowellville K-12 School")</f>
        <v>Lowellville K-12 School</v>
      </c>
      <c r="G624" s="1">
        <f ca="1">IFERROR(__xludf.DUMMYFUNCTION("""COMPUTED_VALUE"""),0)</f>
        <v>0</v>
      </c>
      <c r="H624" s="1">
        <f ca="1">IFERROR(__xludf.DUMMYFUNCTION("""COMPUTED_VALUE"""),0)</f>
        <v>0</v>
      </c>
      <c r="I624" s="1">
        <f ca="1">IFERROR(__xludf.DUMMYFUNCTION("""COMPUTED_VALUE"""),0)</f>
        <v>0</v>
      </c>
      <c r="J624" s="1">
        <f ca="1">IFERROR(__xludf.DUMMYFUNCTION("""COMPUTED_VALUE"""),1)</f>
        <v>1</v>
      </c>
      <c r="K624" s="1" t="str">
        <f ca="1">IFERROR(__xludf.DUMMYFUNCTION("""COMPUTED_VALUE"""),"Spring")</f>
        <v>Spring</v>
      </c>
      <c r="L624" s="1" t="str">
        <f ca="1">IFERROR(__xludf.DUMMYFUNCTION("""COMPUTED_VALUE"""),"Lowellville")</f>
        <v>Lowellville</v>
      </c>
      <c r="M624" s="1" t="str">
        <f ca="1">IFERROR(__xludf.DUMMYFUNCTION("""COMPUTED_VALUE"""),"OH")</f>
        <v>OH</v>
      </c>
      <c r="N624" s="1" t="str">
        <f ca="1">IFERROR(__xludf.DUMMYFUNCTION("""COMPUTED_VALUE"""),"K-12")</f>
        <v>K-12</v>
      </c>
      <c r="O624" s="1" t="str">
        <f ca="1">IFERROR(__xludf.DUMMYFUNCTION("""COMPUTED_VALUE"""),"Cafeteria")</f>
        <v>Cafeteria</v>
      </c>
      <c r="P624" s="1" t="str">
        <f ca="1">IFERROR(__xludf.DUMMYFUNCTION("""COMPUTED_VALUE"""),"Inside School Building")</f>
        <v>Inside School Building</v>
      </c>
      <c r="Q624" s="1" t="str">
        <f ca="1">IFERROR(__xludf.DUMMYFUNCTION("""COMPUTED_VALUE"""),"Yes")</f>
        <v>Yes</v>
      </c>
      <c r="R624" s="1" t="str">
        <f ca="1">IFERROR(__xludf.DUMMYFUNCTION("""COMPUTED_VALUE"""),"Morning Classes")</f>
        <v>Morning Classes</v>
      </c>
      <c r="S624" s="5">
        <f ca="1">IFERROR(__xludf.DUMMYFUNCTION("""COMPUTED_VALUE"""),0.4375)</f>
        <v>0.4375</v>
      </c>
      <c r="T624" s="1">
        <f ca="1">IFERROR(__xludf.DUMMYFUNCTION("""COMPUTED_VALUE"""),1)</f>
        <v>1</v>
      </c>
      <c r="U624" s="1" t="str">
        <f ca="1">IFERROR(__xludf.DUMMYFUNCTION("""COMPUTED_VALUE"""),"Student commit suicide in the school cafeteria")</f>
        <v>Student commit suicide in the school cafeteria</v>
      </c>
      <c r="V624" s="1" t="str">
        <f ca="1">IFERROR(__xludf.DUMMYFUNCTION("""COMPUTED_VALUE"""),"A student commit suicide in the school cafeteria. The police chief was working as the SRO at the school and was nearby when the shooting occurred. He provided aid and secured the area. School went on lockdown and then students were evacuated to the footba"&amp;"ll field. An armed parent tried to enter the school and was arrested. No other students and staff were injured.")</f>
        <v>A student commit suicide in the school cafeteria. The police chief was working as the SRO at the school and was nearby when the shooting occurred. He provided aid and secured the area. School went on lockdown and then students were evacuated to the football field. An armed parent tried to enter the school and was arrested. No other students and staff were injured.</v>
      </c>
      <c r="W624" s="1" t="str">
        <f ca="1">IFERROR(__xludf.DUMMYFUNCTION("""COMPUTED_VALUE"""),"Suicide/Attempted")</f>
        <v>Suicide/Attempted</v>
      </c>
      <c r="X624" s="1" t="str">
        <f ca="1">IFERROR(__xludf.DUMMYFUNCTION("""COMPUTED_VALUE"""),"Victims Targeted")</f>
        <v>Victims Targeted</v>
      </c>
      <c r="Y624" s="1" t="str">
        <f ca="1">IFERROR(__xludf.DUMMYFUNCTION("""COMPUTED_VALUE"""),"No")</f>
        <v>No</v>
      </c>
      <c r="Z624" s="1"/>
      <c r="AA624" s="1" t="str">
        <f ca="1">IFERROR(__xludf.DUMMYFUNCTION("""COMPUTED_VALUE"""),"No")</f>
        <v>No</v>
      </c>
      <c r="AB624" s="1" t="str">
        <f ca="1">IFERROR(__xludf.DUMMYFUNCTION("""COMPUTED_VALUE"""),"No")</f>
        <v>No</v>
      </c>
      <c r="AC624" s="1" t="str">
        <f ca="1">IFERROR(__xludf.DUMMYFUNCTION("""COMPUTED_VALUE"""),"No")</f>
        <v>No</v>
      </c>
      <c r="AD624" s="1"/>
      <c r="AE624" s="1" t="str">
        <f ca="1">IFERROR(__xludf.DUMMYFUNCTION("""COMPUTED_VALUE"""),"No")</f>
        <v>No</v>
      </c>
      <c r="AF624" s="1" t="str">
        <f ca="1">IFERROR(__xludf.DUMMYFUNCTION("""COMPUTED_VALUE"""),"No")</f>
        <v>No</v>
      </c>
      <c r="AG624" s="1" t="str">
        <f ca="1">IFERROR(__xludf.DUMMYFUNCTION("""COMPUTED_VALUE"""),"No")</f>
        <v>No</v>
      </c>
      <c r="AH624" s="1">
        <f ca="1">IFERROR(__xludf.DUMMYFUNCTION("""COMPUTED_VALUE"""),1)</f>
        <v>1</v>
      </c>
    </row>
    <row r="625" spans="1:34" ht="12.5">
      <c r="A625" s="1" t="str">
        <f ca="1">IFERROR(__xludf.DUMMYFUNCTION("""COMPUTED_VALUE"""),"20220505ALDOD")</f>
        <v>20220505ALDOD</v>
      </c>
      <c r="B625" s="1">
        <f ca="1">IFERROR(__xludf.DUMMYFUNCTION("""COMPUTED_VALUE"""),5)</f>
        <v>5</v>
      </c>
      <c r="C625" s="1">
        <f ca="1">IFERROR(__xludf.DUMMYFUNCTION("""COMPUTED_VALUE"""),5)</f>
        <v>5</v>
      </c>
      <c r="D625" s="1">
        <f ca="1">IFERROR(__xludf.DUMMYFUNCTION("""COMPUTED_VALUE"""),2022)</f>
        <v>2022</v>
      </c>
      <c r="E625" s="4">
        <f ca="1">IFERROR(__xludf.DUMMYFUNCTION("""COMPUTED_VALUE"""),44686)</f>
        <v>44686</v>
      </c>
      <c r="F625" s="1" t="str">
        <f ca="1">IFERROR(__xludf.DUMMYFUNCTION("""COMPUTED_VALUE"""),"Dothan City School Bus")</f>
        <v>Dothan City School Bus</v>
      </c>
      <c r="G625" s="1">
        <f ca="1">IFERROR(__xludf.DUMMYFUNCTION("""COMPUTED_VALUE"""),0)</f>
        <v>0</v>
      </c>
      <c r="H625" s="1">
        <f ca="1">IFERROR(__xludf.DUMMYFUNCTION("""COMPUTED_VALUE"""),0)</f>
        <v>0</v>
      </c>
      <c r="I625" s="1">
        <f ca="1">IFERROR(__xludf.DUMMYFUNCTION("""COMPUTED_VALUE"""),0)</f>
        <v>0</v>
      </c>
      <c r="J625" s="1">
        <f ca="1">IFERROR(__xludf.DUMMYFUNCTION("""COMPUTED_VALUE"""),0)</f>
        <v>0</v>
      </c>
      <c r="K625" s="1" t="str">
        <f ca="1">IFERROR(__xludf.DUMMYFUNCTION("""COMPUTED_VALUE"""),"Spring")</f>
        <v>Spring</v>
      </c>
      <c r="L625" s="1" t="str">
        <f ca="1">IFERROR(__xludf.DUMMYFUNCTION("""COMPUTED_VALUE"""),"Dothan")</f>
        <v>Dothan</v>
      </c>
      <c r="M625" s="1" t="str">
        <f ca="1">IFERROR(__xludf.DUMMYFUNCTION("""COMPUTED_VALUE"""),"AL")</f>
        <v>AL</v>
      </c>
      <c r="N625" s="1" t="str">
        <f ca="1">IFERROR(__xludf.DUMMYFUNCTION("""COMPUTED_VALUE"""),"K-12")</f>
        <v>K-12</v>
      </c>
      <c r="O625" s="1" t="str">
        <f ca="1">IFERROR(__xludf.DUMMYFUNCTION("""COMPUTED_VALUE"""),"School Bus")</f>
        <v>School Bus</v>
      </c>
      <c r="P625" s="1" t="str">
        <f ca="1">IFERROR(__xludf.DUMMYFUNCTION("""COMPUTED_VALUE"""),"School Bus")</f>
        <v>School Bus</v>
      </c>
      <c r="Q625" s="1" t="str">
        <f ca="1">IFERROR(__xludf.DUMMYFUNCTION("""COMPUTED_VALUE"""),"No")</f>
        <v>No</v>
      </c>
      <c r="R625" s="1" t="str">
        <f ca="1">IFERROR(__xludf.DUMMYFUNCTION("""COMPUTED_VALUE"""),"After School")</f>
        <v>After School</v>
      </c>
      <c r="S625" s="5">
        <f ca="1">IFERROR(__xludf.DUMMYFUNCTION("""COMPUTED_VALUE"""),0.625)</f>
        <v>0.625</v>
      </c>
      <c r="T625" s="1">
        <f ca="1">IFERROR(__xludf.DUMMYFUNCTION("""COMPUTED_VALUE"""),1)</f>
        <v>1</v>
      </c>
      <c r="U625" s="1" t="str">
        <f ca="1">IFERROR(__xludf.DUMMYFUNCTION("""COMPUTED_VALUE"""),"Man fired BBs at moving school bus and other vehicles")</f>
        <v>Man fired BBs at moving school bus and other vehicles</v>
      </c>
      <c r="V625" s="1" t="str">
        <f ca="1">IFERROR(__xludf.DUMMYFUNCTION("""COMPUTED_VALUE"""),"A 20-year-old man fired BBs at a moving school bus and two other vehicles near his home. Charged with 3 felonies and held on $45,000 bond. No students were on the bus.")</f>
        <v>A 20-year-old man fired BBs at a moving school bus and two other vehicles near his home. Charged with 3 felonies and held on $45,000 bond. No students were on the bus.</v>
      </c>
      <c r="W625" s="1" t="str">
        <f ca="1">IFERROR(__xludf.DUMMYFUNCTION("""COMPUTED_VALUE"""),"Intentional Property Damage")</f>
        <v>Intentional Property Damage</v>
      </c>
      <c r="X625" s="1" t="str">
        <f ca="1">IFERROR(__xludf.DUMMYFUNCTION("""COMPUTED_VALUE"""),"Random Shooting")</f>
        <v>Random Shooting</v>
      </c>
      <c r="Y625" s="1" t="str">
        <f ca="1">IFERROR(__xludf.DUMMYFUNCTION("""COMPUTED_VALUE"""),"No")</f>
        <v>No</v>
      </c>
      <c r="Z625" s="1"/>
      <c r="AA625" s="1" t="str">
        <f ca="1">IFERROR(__xludf.DUMMYFUNCTION("""COMPUTED_VALUE"""),"No")</f>
        <v>No</v>
      </c>
      <c r="AB625" s="1" t="str">
        <f ca="1">IFERROR(__xludf.DUMMYFUNCTION("""COMPUTED_VALUE"""),"No")</f>
        <v>No</v>
      </c>
      <c r="AC625" s="1" t="str">
        <f ca="1">IFERROR(__xludf.DUMMYFUNCTION("""COMPUTED_VALUE"""),"No")</f>
        <v>No</v>
      </c>
      <c r="AD625" s="1" t="str">
        <f ca="1">IFERROR(__xludf.DUMMYFUNCTION("""COMPUTED_VALUE"""),"No")</f>
        <v>No</v>
      </c>
      <c r="AE625" s="1" t="str">
        <f ca="1">IFERROR(__xludf.DUMMYFUNCTION("""COMPUTED_VALUE"""),"No")</f>
        <v>No</v>
      </c>
      <c r="AF625" s="1" t="str">
        <f ca="1">IFERROR(__xludf.DUMMYFUNCTION("""COMPUTED_VALUE"""),"No")</f>
        <v>No</v>
      </c>
      <c r="AG625" s="1" t="str">
        <f ca="1">IFERROR(__xludf.DUMMYFUNCTION("""COMPUTED_VALUE"""),"No")</f>
        <v>No</v>
      </c>
      <c r="AH625" s="1">
        <f ca="1">IFERROR(__xludf.DUMMYFUNCTION("""COMPUTED_VALUE"""),99)</f>
        <v>99</v>
      </c>
    </row>
    <row r="626" spans="1:34" ht="12.5">
      <c r="A626" s="1" t="str">
        <f ca="1">IFERROR(__xludf.DUMMYFUNCTION("""COMPUTED_VALUE"""),"20220503CAARS")</f>
        <v>20220503CAARS</v>
      </c>
      <c r="B626" s="1">
        <f ca="1">IFERROR(__xludf.DUMMYFUNCTION("""COMPUTED_VALUE"""),5)</f>
        <v>5</v>
      </c>
      <c r="C626" s="1">
        <f ca="1">IFERROR(__xludf.DUMMYFUNCTION("""COMPUTED_VALUE"""),3)</f>
        <v>3</v>
      </c>
      <c r="D626" s="1">
        <f ca="1">IFERROR(__xludf.DUMMYFUNCTION("""COMPUTED_VALUE"""),2022)</f>
        <v>2022</v>
      </c>
      <c r="E626" s="4">
        <f ca="1">IFERROR(__xludf.DUMMYFUNCTION("""COMPUTED_VALUE"""),44684)</f>
        <v>44684</v>
      </c>
      <c r="F626" s="1" t="str">
        <f ca="1">IFERROR(__xludf.DUMMYFUNCTION("""COMPUTED_VALUE"""),"Arrowview Middle School")</f>
        <v>Arrowview Middle School</v>
      </c>
      <c r="G626" s="1">
        <f ca="1">IFERROR(__xludf.DUMMYFUNCTION("""COMPUTED_VALUE"""),0)</f>
        <v>0</v>
      </c>
      <c r="H626" s="1">
        <f ca="1">IFERROR(__xludf.DUMMYFUNCTION("""COMPUTED_VALUE"""),0)</f>
        <v>0</v>
      </c>
      <c r="I626" s="1">
        <f ca="1">IFERROR(__xludf.DUMMYFUNCTION("""COMPUTED_VALUE"""),0)</f>
        <v>0</v>
      </c>
      <c r="J626" s="1">
        <f ca="1">IFERROR(__xludf.DUMMYFUNCTION("""COMPUTED_VALUE"""),0)</f>
        <v>0</v>
      </c>
      <c r="K626" s="1" t="str">
        <f ca="1">IFERROR(__xludf.DUMMYFUNCTION("""COMPUTED_VALUE"""),"Spring")</f>
        <v>Spring</v>
      </c>
      <c r="L626" s="1" t="str">
        <f ca="1">IFERROR(__xludf.DUMMYFUNCTION("""COMPUTED_VALUE"""),"San Bernardino")</f>
        <v>San Bernardino</v>
      </c>
      <c r="M626" s="1" t="str">
        <f ca="1">IFERROR(__xludf.DUMMYFUNCTION("""COMPUTED_VALUE"""),"CA")</f>
        <v>CA</v>
      </c>
      <c r="N626" s="1" t="str">
        <f ca="1">IFERROR(__xludf.DUMMYFUNCTION("""COMPUTED_VALUE"""),"Middle")</f>
        <v>Middle</v>
      </c>
      <c r="O626" s="1" t="str">
        <f ca="1">IFERROR(__xludf.DUMMYFUNCTION("""COMPUTED_VALUE"""),"Outside on School Property")</f>
        <v>Outside on School Property</v>
      </c>
      <c r="P626" s="1" t="str">
        <f ca="1">IFERROR(__xludf.DUMMYFUNCTION("""COMPUTED_VALUE"""),"Outside on School Property")</f>
        <v>Outside on School Property</v>
      </c>
      <c r="Q626" s="1" t="str">
        <f ca="1">IFERROR(__xludf.DUMMYFUNCTION("""COMPUTED_VALUE"""),"No")</f>
        <v>No</v>
      </c>
      <c r="R626" s="1" t="str">
        <f ca="1">IFERROR(__xludf.DUMMYFUNCTION("""COMPUTED_VALUE"""),"Before School")</f>
        <v>Before School</v>
      </c>
      <c r="S626" s="5">
        <f ca="1">IFERROR(__xludf.DUMMYFUNCTION("""COMPUTED_VALUE"""),0.239583333333333)</f>
        <v>0.23958333333333301</v>
      </c>
      <c r="T626" s="1">
        <f ca="1">IFERROR(__xludf.DUMMYFUNCTION("""COMPUTED_VALUE"""),1)</f>
        <v>1</v>
      </c>
      <c r="U626" s="1" t="str">
        <f ca="1">IFERROR(__xludf.DUMMYFUNCTION("""COMPUTED_VALUE"""),"Shots fired during drive-by struck school building")</f>
        <v>Shots fired during drive-by struck school building</v>
      </c>
      <c r="V626" s="1" t="str">
        <f ca="1">IFERROR(__xludf.DUMMYFUNCTION("""COMPUTED_VALUE"""),"Shots fired during a drive-by struck the school building. Vehicle crashed nearby. Students and staff had not arrived at the school at the time of the shooting (early morning).")</f>
        <v>Shots fired during a drive-by struck the school building. Vehicle crashed nearby. Students and staff had not arrived at the school at the time of the shooting (early morning).</v>
      </c>
      <c r="W626" s="1" t="str">
        <f ca="1">IFERROR(__xludf.DUMMYFUNCTION("""COMPUTED_VALUE"""),"Drive-by Shooting")</f>
        <v>Drive-by Shooting</v>
      </c>
      <c r="X626" s="1" t="str">
        <f ca="1">IFERROR(__xludf.DUMMYFUNCTION("""COMPUTED_VALUE"""),"Both")</f>
        <v>Both</v>
      </c>
      <c r="Y626" s="1"/>
      <c r="Z626" s="1"/>
      <c r="AA626" s="1" t="str">
        <f ca="1">IFERROR(__xludf.DUMMYFUNCTION("""COMPUTED_VALUE"""),"No")</f>
        <v>No</v>
      </c>
      <c r="AB626" s="1" t="str">
        <f ca="1">IFERROR(__xludf.DUMMYFUNCTION("""COMPUTED_VALUE"""),"No")</f>
        <v>No</v>
      </c>
      <c r="AC626" s="1" t="str">
        <f ca="1">IFERROR(__xludf.DUMMYFUNCTION("""COMPUTED_VALUE"""),"No")</f>
        <v>No</v>
      </c>
      <c r="AD626" s="1" t="str">
        <f ca="1">IFERROR(__xludf.DUMMYFUNCTION("""COMPUTED_VALUE"""),"No")</f>
        <v>No</v>
      </c>
      <c r="AE626" s="1" t="str">
        <f ca="1">IFERROR(__xludf.DUMMYFUNCTION("""COMPUTED_VALUE"""),"No")</f>
        <v>No</v>
      </c>
      <c r="AF626" s="1"/>
      <c r="AG626" s="1" t="str">
        <f ca="1">IFERROR(__xludf.DUMMYFUNCTION("""COMPUTED_VALUE"""),"No")</f>
        <v>No</v>
      </c>
      <c r="AH626" s="1">
        <f ca="1">IFERROR(__xludf.DUMMYFUNCTION("""COMPUTED_VALUE"""),99)</f>
        <v>99</v>
      </c>
    </row>
    <row r="627" spans="1:34" ht="12.5">
      <c r="A627" s="1" t="str">
        <f ca="1">IFERROR(__xludf.DUMMYFUNCTION("""COMPUTED_VALUE"""),"20220501VALOM")</f>
        <v>20220501VALOM</v>
      </c>
      <c r="B627" s="1">
        <f ca="1">IFERROR(__xludf.DUMMYFUNCTION("""COMPUTED_VALUE"""),5)</f>
        <v>5</v>
      </c>
      <c r="C627" s="1">
        <f ca="1">IFERROR(__xludf.DUMMYFUNCTION("""COMPUTED_VALUE"""),1)</f>
        <v>1</v>
      </c>
      <c r="D627" s="1">
        <f ca="1">IFERROR(__xludf.DUMMYFUNCTION("""COMPUTED_VALUE"""),2022)</f>
        <v>2022</v>
      </c>
      <c r="E627" s="4">
        <f ca="1">IFERROR(__xludf.DUMMYFUNCTION("""COMPUTED_VALUE"""),44682)</f>
        <v>44682</v>
      </c>
      <c r="F627" s="1" t="str">
        <f ca="1">IFERROR(__xludf.DUMMYFUNCTION("""COMPUTED_VALUE"""),"Louise A. Benton Middle School")</f>
        <v>Louise A. Benton Middle School</v>
      </c>
      <c r="G627" s="1">
        <f ca="1">IFERROR(__xludf.DUMMYFUNCTION("""COMPUTED_VALUE"""),0)</f>
        <v>0</v>
      </c>
      <c r="H627" s="1">
        <f ca="1">IFERROR(__xludf.DUMMYFUNCTION("""COMPUTED_VALUE"""),2)</f>
        <v>2</v>
      </c>
      <c r="I627" s="1">
        <f ca="1">IFERROR(__xludf.DUMMYFUNCTION("""COMPUTED_VALUE"""),2)</f>
        <v>2</v>
      </c>
      <c r="J627" s="1">
        <f ca="1">IFERROR(__xludf.DUMMYFUNCTION("""COMPUTED_VALUE"""),0)</f>
        <v>0</v>
      </c>
      <c r="K627" s="1" t="str">
        <f ca="1">IFERROR(__xludf.DUMMYFUNCTION("""COMPUTED_VALUE"""),"Spring")</f>
        <v>Spring</v>
      </c>
      <c r="L627" s="1" t="str">
        <f ca="1">IFERROR(__xludf.DUMMYFUNCTION("""COMPUTED_VALUE"""),"Manassas")</f>
        <v>Manassas</v>
      </c>
      <c r="M627" s="1" t="str">
        <f ca="1">IFERROR(__xludf.DUMMYFUNCTION("""COMPUTED_VALUE"""),"VA")</f>
        <v>VA</v>
      </c>
      <c r="N627" s="1" t="str">
        <f ca="1">IFERROR(__xludf.DUMMYFUNCTION("""COMPUTED_VALUE"""),"Middle")</f>
        <v>Middle</v>
      </c>
      <c r="O627" s="1" t="str">
        <f ca="1">IFERROR(__xludf.DUMMYFUNCTION("""COMPUTED_VALUE"""),"Football Field/Track")</f>
        <v>Football Field/Track</v>
      </c>
      <c r="P627" s="1" t="str">
        <f ca="1">IFERROR(__xludf.DUMMYFUNCTION("""COMPUTED_VALUE"""),"Outside on School Property")</f>
        <v>Outside on School Property</v>
      </c>
      <c r="Q627" s="1" t="str">
        <f ca="1">IFERROR(__xludf.DUMMYFUNCTION("""COMPUTED_VALUE"""),"No")</f>
        <v>No</v>
      </c>
      <c r="R627" s="1" t="str">
        <f ca="1">IFERROR(__xludf.DUMMYFUNCTION("""COMPUTED_VALUE"""),"Sport Event")</f>
        <v>Sport Event</v>
      </c>
      <c r="S627" s="5">
        <f ca="1">IFERROR(__xludf.DUMMYFUNCTION("""COMPUTED_VALUE"""),0.427083333333333)</f>
        <v>0.42708333333333298</v>
      </c>
      <c r="T627" s="1">
        <f ca="1">IFERROR(__xludf.DUMMYFUNCTION("""COMPUTED_VALUE"""),1)</f>
        <v>1</v>
      </c>
      <c r="U627" s="1" t="str">
        <f ca="1">IFERROR(__xludf.DUMMYFUNCTION("""COMPUTED_VALUE"""),"Two men shot during youth flag football tournament")</f>
        <v>Two men shot during youth flag football tournament</v>
      </c>
      <c r="V627" s="1" t="str">
        <f ca="1">IFERROR(__xludf.DUMMYFUNCTION("""COMPUTED_VALUE"""),"Two adult men were shot during an argument at a youth flag football tournament held on the middle school's field. One victim was flown to a trauma center. Shooter fled before police arrived. 300 children were present for the tournament.")</f>
        <v>Two adult men were shot during an argument at a youth flag football tournament held on the middle school's field. One victim was flown to a trauma center. Shooter fled before police arrived. 300 children were present for the tournament.</v>
      </c>
      <c r="W627" s="1" t="str">
        <f ca="1">IFERROR(__xludf.DUMMYFUNCTION("""COMPUTED_VALUE"""),"Escalation of Dispute")</f>
        <v>Escalation of Dispute</v>
      </c>
      <c r="X627" s="1" t="str">
        <f ca="1">IFERROR(__xludf.DUMMYFUNCTION("""COMPUTED_VALUE"""),"Victims Targeted")</f>
        <v>Victims Targeted</v>
      </c>
      <c r="Y627" s="1" t="str">
        <f ca="1">IFERROR(__xludf.DUMMYFUNCTION("""COMPUTED_VALUE"""),"No")</f>
        <v>No</v>
      </c>
      <c r="Z627" s="1"/>
      <c r="AA627" s="1" t="str">
        <f ca="1">IFERROR(__xludf.DUMMYFUNCTION("""COMPUTED_VALUE"""),"No")</f>
        <v>No</v>
      </c>
      <c r="AB627" s="1" t="str">
        <f ca="1">IFERROR(__xludf.DUMMYFUNCTION("""COMPUTED_VALUE"""),"No")</f>
        <v>No</v>
      </c>
      <c r="AC627" s="1" t="str">
        <f ca="1">IFERROR(__xludf.DUMMYFUNCTION("""COMPUTED_VALUE"""),"No")</f>
        <v>No</v>
      </c>
      <c r="AD627" s="1" t="str">
        <f ca="1">IFERROR(__xludf.DUMMYFUNCTION("""COMPUTED_VALUE"""),"No")</f>
        <v>No</v>
      </c>
      <c r="AE627" s="1" t="str">
        <f ca="1">IFERROR(__xludf.DUMMYFUNCTION("""COMPUTED_VALUE"""),"No")</f>
        <v>No</v>
      </c>
      <c r="AF627" s="1" t="str">
        <f ca="1">IFERROR(__xludf.DUMMYFUNCTION("""COMPUTED_VALUE"""),"No")</f>
        <v>No</v>
      </c>
      <c r="AG627" s="1" t="str">
        <f ca="1">IFERROR(__xludf.DUMMYFUNCTION("""COMPUTED_VALUE"""),"No")</f>
        <v>No</v>
      </c>
      <c r="AH627" s="1">
        <f ca="1">IFERROR(__xludf.DUMMYFUNCTION("""COMPUTED_VALUE"""),99)</f>
        <v>99</v>
      </c>
    </row>
    <row r="628" spans="1:34" ht="12.5">
      <c r="A628" s="1" t="str">
        <f ca="1">IFERROR(__xludf.DUMMYFUNCTION("""COMPUTED_VALUE"""),"20220501OHHAC")</f>
        <v>20220501OHHAC</v>
      </c>
      <c r="B628" s="1">
        <f ca="1">IFERROR(__xludf.DUMMYFUNCTION("""COMPUTED_VALUE"""),5)</f>
        <v>5</v>
      </c>
      <c r="C628" s="1">
        <f ca="1">IFERROR(__xludf.DUMMYFUNCTION("""COMPUTED_VALUE"""),1)</f>
        <v>1</v>
      </c>
      <c r="D628" s="1">
        <f ca="1">IFERROR(__xludf.DUMMYFUNCTION("""COMPUTED_VALUE"""),2022)</f>
        <v>2022</v>
      </c>
      <c r="E628" s="4">
        <f ca="1">IFERROR(__xludf.DUMMYFUNCTION("""COMPUTED_VALUE"""),44682)</f>
        <v>44682</v>
      </c>
      <c r="F628" s="1" t="str">
        <f ca="1">IFERROR(__xludf.DUMMYFUNCTION("""COMPUTED_VALUE"""),"Hamilton Stem Academy")</f>
        <v>Hamilton Stem Academy</v>
      </c>
      <c r="G628" s="1">
        <f ca="1">IFERROR(__xludf.DUMMYFUNCTION("""COMPUTED_VALUE"""),1)</f>
        <v>1</v>
      </c>
      <c r="H628" s="1">
        <f ca="1">IFERROR(__xludf.DUMMYFUNCTION("""COMPUTED_VALUE"""),0)</f>
        <v>0</v>
      </c>
      <c r="I628" s="1">
        <f ca="1">IFERROR(__xludf.DUMMYFUNCTION("""COMPUTED_VALUE"""),1)</f>
        <v>1</v>
      </c>
      <c r="J628" s="1">
        <f ca="1">IFERROR(__xludf.DUMMYFUNCTION("""COMPUTED_VALUE"""),0)</f>
        <v>0</v>
      </c>
      <c r="K628" s="1" t="str">
        <f ca="1">IFERROR(__xludf.DUMMYFUNCTION("""COMPUTED_VALUE"""),"Spring")</f>
        <v>Spring</v>
      </c>
      <c r="L628" s="1" t="str">
        <f ca="1">IFERROR(__xludf.DUMMYFUNCTION("""COMPUTED_VALUE"""),"Columbus")</f>
        <v>Columbus</v>
      </c>
      <c r="M628" s="1" t="str">
        <f ca="1">IFERROR(__xludf.DUMMYFUNCTION("""COMPUTED_VALUE"""),"OH")</f>
        <v>OH</v>
      </c>
      <c r="N628" s="1" t="str">
        <f ca="1">IFERROR(__xludf.DUMMYFUNCTION("""COMPUTED_VALUE"""),"Elementary")</f>
        <v>Elementary</v>
      </c>
      <c r="O628" s="1" t="str">
        <f ca="1">IFERROR(__xludf.DUMMYFUNCTION("""COMPUTED_VALUE"""),"Parking Lot")</f>
        <v>Parking Lot</v>
      </c>
      <c r="P628" s="1" t="str">
        <f ca="1">IFERROR(__xludf.DUMMYFUNCTION("""COMPUTED_VALUE"""),"Outside on School Property")</f>
        <v>Outside on School Property</v>
      </c>
      <c r="Q628" s="1" t="str">
        <f ca="1">IFERROR(__xludf.DUMMYFUNCTION("""COMPUTED_VALUE"""),"No")</f>
        <v>No</v>
      </c>
      <c r="R628" s="1" t="str">
        <f ca="1">IFERROR(__xludf.DUMMYFUNCTION("""COMPUTED_VALUE"""),"Not a School Day")</f>
        <v>Not a School Day</v>
      </c>
      <c r="S628" s="5">
        <f ca="1">IFERROR(__xludf.DUMMYFUNCTION("""COMPUTED_VALUE"""),0.5625)</f>
        <v>0.5625</v>
      </c>
      <c r="T628" s="1">
        <f ca="1">IFERROR(__xludf.DUMMYFUNCTION("""COMPUTED_VALUE"""),1)</f>
        <v>1</v>
      </c>
      <c r="U628" s="1" t="str">
        <f ca="1">IFERROR(__xludf.DUMMYFUNCTION("""COMPUTED_VALUE"""),"Man found fatally shot in the school parking lot")</f>
        <v>Man found fatally shot in the school parking lot</v>
      </c>
      <c r="V628" s="1" t="str">
        <f ca="1">IFERROR(__xludf.DUMMYFUNCTION("""COMPUTED_VALUE"""),"A man was found fatally shot inside a vehicle in the school parking lot. Shooter fled. Shooting may have occurred on Friday and the body was not discovered until Sunday afternoon. Police ruled the case a homicide.")</f>
        <v>A man was found fatally shot inside a vehicle in the school parking lot. Shooter fled. Shooting may have occurred on Friday and the body was not discovered until Sunday afternoon. Police ruled the case a homicide.</v>
      </c>
      <c r="W628" s="1"/>
      <c r="X628" s="1" t="str">
        <f ca="1">IFERROR(__xludf.DUMMYFUNCTION("""COMPUTED_VALUE"""),"Victims Targeted")</f>
        <v>Victims Targeted</v>
      </c>
      <c r="Y628" s="1"/>
      <c r="Z628" s="1"/>
      <c r="AA628" s="1" t="str">
        <f ca="1">IFERROR(__xludf.DUMMYFUNCTION("""COMPUTED_VALUE"""),"No")</f>
        <v>No</v>
      </c>
      <c r="AB628" s="1" t="str">
        <f ca="1">IFERROR(__xludf.DUMMYFUNCTION("""COMPUTED_VALUE"""),"No")</f>
        <v>No</v>
      </c>
      <c r="AC628" s="1" t="str">
        <f ca="1">IFERROR(__xludf.DUMMYFUNCTION("""COMPUTED_VALUE"""),"No")</f>
        <v>No</v>
      </c>
      <c r="AD628" s="1" t="str">
        <f ca="1">IFERROR(__xludf.DUMMYFUNCTION("""COMPUTED_VALUE"""),"No")</f>
        <v>No</v>
      </c>
      <c r="AE628" s="1"/>
      <c r="AF628" s="1"/>
      <c r="AG628" s="1" t="str">
        <f ca="1">IFERROR(__xludf.DUMMYFUNCTION("""COMPUTED_VALUE"""),"No")</f>
        <v>No</v>
      </c>
      <c r="AH628" s="1"/>
    </row>
    <row r="629" spans="1:34" ht="12.5">
      <c r="A629" s="1" t="str">
        <f ca="1">IFERROR(__xludf.DUMMYFUNCTION("""COMPUTED_VALUE"""),"20220430PAMCJ")</f>
        <v>20220430PAMCJ</v>
      </c>
      <c r="B629" s="1">
        <f ca="1">IFERROR(__xludf.DUMMYFUNCTION("""COMPUTED_VALUE"""),4)</f>
        <v>4</v>
      </c>
      <c r="C629" s="1">
        <f ca="1">IFERROR(__xludf.DUMMYFUNCTION("""COMPUTED_VALUE"""),30)</f>
        <v>30</v>
      </c>
      <c r="D629" s="1">
        <f ca="1">IFERROR(__xludf.DUMMYFUNCTION("""COMPUTED_VALUE"""),2022)</f>
        <v>2022</v>
      </c>
      <c r="E629" s="4">
        <f ca="1">IFERROR(__xludf.DUMMYFUNCTION("""COMPUTED_VALUE"""),44681)</f>
        <v>44681</v>
      </c>
      <c r="F629" s="1" t="str">
        <f ca="1">IFERROR(__xludf.DUMMYFUNCTION("""COMPUTED_VALUE"""),"McKee Middle School (McKee Stadium)")</f>
        <v>McKee Middle School (McKee Stadium)</v>
      </c>
      <c r="G629" s="1">
        <f ca="1">IFERROR(__xludf.DUMMYFUNCTION("""COMPUTED_VALUE"""),0)</f>
        <v>0</v>
      </c>
      <c r="H629" s="1">
        <f ca="1">IFERROR(__xludf.DUMMYFUNCTION("""COMPUTED_VALUE"""),0)</f>
        <v>0</v>
      </c>
      <c r="I629" s="1">
        <f ca="1">IFERROR(__xludf.DUMMYFUNCTION("""COMPUTED_VALUE"""),0)</f>
        <v>0</v>
      </c>
      <c r="J629" s="1">
        <f ca="1">IFERROR(__xludf.DUMMYFUNCTION("""COMPUTED_VALUE"""),0)</f>
        <v>0</v>
      </c>
      <c r="K629" s="1" t="str">
        <f ca="1">IFERROR(__xludf.DUMMYFUNCTION("""COMPUTED_VALUE"""),"Spring")</f>
        <v>Spring</v>
      </c>
      <c r="L629" s="1" t="str">
        <f ca="1">IFERROR(__xludf.DUMMYFUNCTION("""COMPUTED_VALUE"""),"Jeannette City")</f>
        <v>Jeannette City</v>
      </c>
      <c r="M629" s="1" t="str">
        <f ca="1">IFERROR(__xludf.DUMMYFUNCTION("""COMPUTED_VALUE"""),"PA")</f>
        <v>PA</v>
      </c>
      <c r="N629" s="1" t="str">
        <f ca="1">IFERROR(__xludf.DUMMYFUNCTION("""COMPUTED_VALUE"""),"Middle")</f>
        <v>Middle</v>
      </c>
      <c r="O629" s="1" t="str">
        <f ca="1">IFERROR(__xludf.DUMMYFUNCTION("""COMPUTED_VALUE"""),"Football Field/Track")</f>
        <v>Football Field/Track</v>
      </c>
      <c r="P629" s="1" t="str">
        <f ca="1">IFERROR(__xludf.DUMMYFUNCTION("""COMPUTED_VALUE"""),"Outside on School Property")</f>
        <v>Outside on School Property</v>
      </c>
      <c r="Q629" s="1" t="str">
        <f ca="1">IFERROR(__xludf.DUMMYFUNCTION("""COMPUTED_VALUE"""),"No")</f>
        <v>No</v>
      </c>
      <c r="R629" s="1" t="str">
        <f ca="1">IFERROR(__xludf.DUMMYFUNCTION("""COMPUTED_VALUE"""),"Sport Event")</f>
        <v>Sport Event</v>
      </c>
      <c r="S629" s="5">
        <f ca="1">IFERROR(__xludf.DUMMYFUNCTION("""COMPUTED_VALUE"""),0.427083333333333)</f>
        <v>0.42708333333333298</v>
      </c>
      <c r="T629" s="1">
        <f ca="1">IFERROR(__xludf.DUMMYFUNCTION("""COMPUTED_VALUE"""),1)</f>
        <v>1</v>
      </c>
      <c r="U629" s="1" t="str">
        <f ca="1">IFERROR(__xludf.DUMMYFUNCTION("""COMPUTED_VALUE"""),"Shot fired during youth football game at stadium, both men involved fled")</f>
        <v>Shot fired during youth football game at stadium, both men involved fled</v>
      </c>
      <c r="V629" s="1" t="str">
        <f ca="1">IFERROR(__xludf.DUMMYFUNCTION("""COMPUTED_VALUE"""),"Shot was fired into the ground during a fight between two men at a flag football game. Both men fled. No injuries.Man was murdered during a high school football game at the stadium in 2019.")</f>
        <v>Shot was fired into the ground during a fight between two men at a flag football game. Both men fled. No injuries.Man was murdered during a high school football game at the stadium in 2019.</v>
      </c>
      <c r="W629" s="1" t="str">
        <f ca="1">IFERROR(__xludf.DUMMYFUNCTION("""COMPUTED_VALUE"""),"Escalation of Dispute")</f>
        <v>Escalation of Dispute</v>
      </c>
      <c r="X629" s="1" t="str">
        <f ca="1">IFERROR(__xludf.DUMMYFUNCTION("""COMPUTED_VALUE"""),"Victims Targeted")</f>
        <v>Victims Targeted</v>
      </c>
      <c r="Y629" s="1" t="str">
        <f ca="1">IFERROR(__xludf.DUMMYFUNCTION("""COMPUTED_VALUE"""),"No")</f>
        <v>No</v>
      </c>
      <c r="Z629" s="1"/>
      <c r="AA629" s="1" t="str">
        <f ca="1">IFERROR(__xludf.DUMMYFUNCTION("""COMPUTED_VALUE"""),"No")</f>
        <v>No</v>
      </c>
      <c r="AB629" s="1" t="str">
        <f ca="1">IFERROR(__xludf.DUMMYFUNCTION("""COMPUTED_VALUE"""),"No")</f>
        <v>No</v>
      </c>
      <c r="AC629" s="1" t="str">
        <f ca="1">IFERROR(__xludf.DUMMYFUNCTION("""COMPUTED_VALUE"""),"No")</f>
        <v>No</v>
      </c>
      <c r="AD629" s="1" t="str">
        <f ca="1">IFERROR(__xludf.DUMMYFUNCTION("""COMPUTED_VALUE"""),"No")</f>
        <v>No</v>
      </c>
      <c r="AE629" s="1" t="str">
        <f ca="1">IFERROR(__xludf.DUMMYFUNCTION("""COMPUTED_VALUE"""),"No")</f>
        <v>No</v>
      </c>
      <c r="AF629" s="1" t="str">
        <f ca="1">IFERROR(__xludf.DUMMYFUNCTION("""COMPUTED_VALUE"""),"No")</f>
        <v>No</v>
      </c>
      <c r="AG629" s="1" t="str">
        <f ca="1">IFERROR(__xludf.DUMMYFUNCTION("""COMPUTED_VALUE"""),"No")</f>
        <v>No</v>
      </c>
      <c r="AH629" s="1">
        <f ca="1">IFERROR(__xludf.DUMMYFUNCTION("""COMPUTED_VALUE"""),1)</f>
        <v>1</v>
      </c>
    </row>
    <row r="630" spans="1:34" ht="12.5">
      <c r="A630" s="1" t="str">
        <f ca="1">IFERROR(__xludf.DUMMYFUNCTION("""COMPUTED_VALUE"""),"20220427TXMOS")</f>
        <v>20220427TXMOS</v>
      </c>
      <c r="B630" s="1">
        <f ca="1">IFERROR(__xludf.DUMMYFUNCTION("""COMPUTED_VALUE"""),4)</f>
        <v>4</v>
      </c>
      <c r="C630" s="1">
        <f ca="1">IFERROR(__xludf.DUMMYFUNCTION("""COMPUTED_VALUE"""),27)</f>
        <v>27</v>
      </c>
      <c r="D630" s="1">
        <f ca="1">IFERROR(__xludf.DUMMYFUNCTION("""COMPUTED_VALUE"""),2022)</f>
        <v>2022</v>
      </c>
      <c r="E630" s="4">
        <f ca="1">IFERROR(__xludf.DUMMYFUNCTION("""COMPUTED_VALUE"""),44678)</f>
        <v>44678</v>
      </c>
      <c r="F630" s="1" t="str">
        <f ca="1">IFERROR(__xludf.DUMMYFUNCTION("""COMPUTED_VALUE"""),"Morrill Elementary School")</f>
        <v>Morrill Elementary School</v>
      </c>
      <c r="G630" s="1">
        <f ca="1">IFERROR(__xludf.DUMMYFUNCTION("""COMPUTED_VALUE"""),0)</f>
        <v>0</v>
      </c>
      <c r="H630" s="1">
        <f ca="1">IFERROR(__xludf.DUMMYFUNCTION("""COMPUTED_VALUE"""),1)</f>
        <v>1</v>
      </c>
      <c r="I630" s="1">
        <f ca="1">IFERROR(__xludf.DUMMYFUNCTION("""COMPUTED_VALUE"""),1)</f>
        <v>1</v>
      </c>
      <c r="J630" s="1">
        <f ca="1">IFERROR(__xludf.DUMMYFUNCTION("""COMPUTED_VALUE"""),0)</f>
        <v>0</v>
      </c>
      <c r="K630" s="1" t="str">
        <f ca="1">IFERROR(__xludf.DUMMYFUNCTION("""COMPUTED_VALUE"""),"Spring")</f>
        <v>Spring</v>
      </c>
      <c r="L630" s="1" t="str">
        <f ca="1">IFERROR(__xludf.DUMMYFUNCTION("""COMPUTED_VALUE"""),"San Antonio")</f>
        <v>San Antonio</v>
      </c>
      <c r="M630" s="1" t="str">
        <f ca="1">IFERROR(__xludf.DUMMYFUNCTION("""COMPUTED_VALUE"""),"TX")</f>
        <v>TX</v>
      </c>
      <c r="N630" s="1" t="str">
        <f ca="1">IFERROR(__xludf.DUMMYFUNCTION("""COMPUTED_VALUE"""),"Elementary")</f>
        <v>Elementary</v>
      </c>
      <c r="O630" s="1" t="str">
        <f ca="1">IFERROR(__xludf.DUMMYFUNCTION("""COMPUTED_VALUE"""),"Front of School")</f>
        <v>Front of School</v>
      </c>
      <c r="P630" s="1" t="str">
        <f ca="1">IFERROR(__xludf.DUMMYFUNCTION("""COMPUTED_VALUE"""),"Outside on School Property")</f>
        <v>Outside on School Property</v>
      </c>
      <c r="Q630" s="1" t="str">
        <f ca="1">IFERROR(__xludf.DUMMYFUNCTION("""COMPUTED_VALUE"""),"No")</f>
        <v>No</v>
      </c>
      <c r="R630" s="1" t="str">
        <f ca="1">IFERROR(__xludf.DUMMYFUNCTION("""COMPUTED_VALUE"""),"Evening")</f>
        <v>Evening</v>
      </c>
      <c r="S630" s="5">
        <f ca="1">IFERROR(__xludf.DUMMYFUNCTION("""COMPUTED_VALUE"""),0.845833333333333)</f>
        <v>0.84583333333333299</v>
      </c>
      <c r="T630" s="1">
        <f ca="1">IFERROR(__xludf.DUMMYFUNCTION("""COMPUTED_VALUE"""),1)</f>
        <v>1</v>
      </c>
      <c r="U630" s="1" t="str">
        <f ca="1">IFERROR(__xludf.DUMMYFUNCTION("""COMPUTED_VALUE"""),"Police shot man attempting to break-in to school building")</f>
        <v>Police shot man attempting to break-in to school building</v>
      </c>
      <c r="V630" s="1" t="str">
        <f ca="1">IFERROR(__xludf.DUMMYFUNCTION("""COMPUTED_VALUE"""),"Janitor called police for a man attempting to break-in to the school. When police questioned the man, he grabbed an officers baton and struck the officer with it. During a struggle, a police officer shot the man. No students or staff were injured.")</f>
        <v>Janitor called police for a man attempting to break-in to the school. When police questioned the man, he grabbed an officers baton and struck the officer with it. During a struggle, a police officer shot the man. No students or staff were injured.</v>
      </c>
      <c r="W630" s="1" t="str">
        <f ca="1">IFERROR(__xludf.DUMMYFUNCTION("""COMPUTED_VALUE"""),"Officer-Involved Shooting")</f>
        <v>Officer-Involved Shooting</v>
      </c>
      <c r="X630" s="1"/>
      <c r="Y630" s="1"/>
      <c r="Z630" s="1"/>
      <c r="AA630" s="1"/>
      <c r="AB630" s="1"/>
      <c r="AC630" s="1" t="str">
        <f ca="1">IFERROR(__xludf.DUMMYFUNCTION("""COMPUTED_VALUE"""),"Yes")</f>
        <v>Yes</v>
      </c>
      <c r="AD630" s="1"/>
      <c r="AE630" s="1"/>
      <c r="AF630" s="1"/>
      <c r="AG630" s="1"/>
      <c r="AH630" s="1"/>
    </row>
    <row r="631" spans="1:34" ht="12.5">
      <c r="A631" s="1" t="str">
        <f ca="1">IFERROR(__xludf.DUMMYFUNCTION("""COMPUTED_VALUE"""),"20220427INCOS")</f>
        <v>20220427INCOS</v>
      </c>
      <c r="B631" s="1">
        <f ca="1">IFERROR(__xludf.DUMMYFUNCTION("""COMPUTED_VALUE"""),4)</f>
        <v>4</v>
      </c>
      <c r="C631" s="1">
        <f ca="1">IFERROR(__xludf.DUMMYFUNCTION("""COMPUTED_VALUE"""),27)</f>
        <v>27</v>
      </c>
      <c r="D631" s="1">
        <f ca="1">IFERROR(__xludf.DUMMYFUNCTION("""COMPUTED_VALUE"""),2022)</f>
        <v>2022</v>
      </c>
      <c r="E631" s="4">
        <f ca="1">IFERROR(__xludf.DUMMYFUNCTION("""COMPUTED_VALUE"""),44678)</f>
        <v>44678</v>
      </c>
      <c r="F631" s="1" t="str">
        <f ca="1">IFERROR(__xludf.DUMMYFUNCTION("""COMPUTED_VALUE"""),"Coquillard Elementary School")</f>
        <v>Coquillard Elementary School</v>
      </c>
      <c r="G631" s="1">
        <f ca="1">IFERROR(__xludf.DUMMYFUNCTION("""COMPUTED_VALUE"""),0)</f>
        <v>0</v>
      </c>
      <c r="H631" s="1">
        <f ca="1">IFERROR(__xludf.DUMMYFUNCTION("""COMPUTED_VALUE"""),0)</f>
        <v>0</v>
      </c>
      <c r="I631" s="1">
        <f ca="1">IFERROR(__xludf.DUMMYFUNCTION("""COMPUTED_VALUE"""),0)</f>
        <v>0</v>
      </c>
      <c r="J631" s="1">
        <f ca="1">IFERROR(__xludf.DUMMYFUNCTION("""COMPUTED_VALUE"""),0)</f>
        <v>0</v>
      </c>
      <c r="K631" s="1" t="str">
        <f ca="1">IFERROR(__xludf.DUMMYFUNCTION("""COMPUTED_VALUE"""),"Spring")</f>
        <v>Spring</v>
      </c>
      <c r="L631" s="1" t="str">
        <f ca="1">IFERROR(__xludf.DUMMYFUNCTION("""COMPUTED_VALUE"""),"South Bend")</f>
        <v>South Bend</v>
      </c>
      <c r="M631" s="1" t="str">
        <f ca="1">IFERROR(__xludf.DUMMYFUNCTION("""COMPUTED_VALUE"""),"IN")</f>
        <v>IN</v>
      </c>
      <c r="N631" s="1" t="str">
        <f ca="1">IFERROR(__xludf.DUMMYFUNCTION("""COMPUTED_VALUE"""),"Elementary")</f>
        <v>Elementary</v>
      </c>
      <c r="O631" s="1" t="str">
        <f ca="1">IFERROR(__xludf.DUMMYFUNCTION("""COMPUTED_VALUE"""),"School Bus")</f>
        <v>School Bus</v>
      </c>
      <c r="P631" s="1" t="str">
        <f ca="1">IFERROR(__xludf.DUMMYFUNCTION("""COMPUTED_VALUE"""),"School Bus")</f>
        <v>School Bus</v>
      </c>
      <c r="Q631" s="1" t="str">
        <f ca="1">IFERROR(__xludf.DUMMYFUNCTION("""COMPUTED_VALUE"""),"Yes")</f>
        <v>Yes</v>
      </c>
      <c r="R631" s="1" t="str">
        <f ca="1">IFERROR(__xludf.DUMMYFUNCTION("""COMPUTED_VALUE"""),"Dismissal")</f>
        <v>Dismissal</v>
      </c>
      <c r="S631" s="5">
        <f ca="1">IFERROR(__xludf.DUMMYFUNCTION("""COMPUTED_VALUE"""),0.666666666666666)</f>
        <v>0.66666666666666596</v>
      </c>
      <c r="T631" s="1">
        <f ca="1">IFERROR(__xludf.DUMMYFUNCTION("""COMPUTED_VALUE"""),1)</f>
        <v>1</v>
      </c>
      <c r="U631" s="1" t="str">
        <f ca="1">IFERROR(__xludf.DUMMYFUNCTION("""COMPUTED_VALUE"""),"Student got off bus and fired a BB gun back at the bus, breaking a window")</f>
        <v>Student got off bus and fired a BB gun back at the bus, breaking a window</v>
      </c>
      <c r="V631" s="1" t="str">
        <f ca="1">IFERROR(__xludf.DUMMYFUNCTION("""COMPUTED_VALUE"""),"A student got off the school bus and then fired a BB gun at the bus breaking a window. 3 students were on the bus and they were not injured. Police were notified and the school is investigating.")</f>
        <v>A student got off the school bus and then fired a BB gun at the bus breaking a window. 3 students were on the bus and they were not injured. Police were notified and the school is investigating.</v>
      </c>
      <c r="W631" s="1" t="str">
        <f ca="1">IFERROR(__xludf.DUMMYFUNCTION("""COMPUTED_VALUE"""),"Intentional Property Damage")</f>
        <v>Intentional Property Damage</v>
      </c>
      <c r="X631" s="1" t="str">
        <f ca="1">IFERROR(__xludf.DUMMYFUNCTION("""COMPUTED_VALUE"""),"Neither")</f>
        <v>Neither</v>
      </c>
      <c r="Y631" s="1" t="str">
        <f ca="1">IFERROR(__xludf.DUMMYFUNCTION("""COMPUTED_VALUE"""),"No")</f>
        <v>No</v>
      </c>
      <c r="Z631" s="1"/>
      <c r="AA631" s="1" t="str">
        <f ca="1">IFERROR(__xludf.DUMMYFUNCTION("""COMPUTED_VALUE"""),"No")</f>
        <v>No</v>
      </c>
      <c r="AB631" s="1" t="str">
        <f ca="1">IFERROR(__xludf.DUMMYFUNCTION("""COMPUTED_VALUE"""),"No")</f>
        <v>No</v>
      </c>
      <c r="AC631" s="1" t="str">
        <f ca="1">IFERROR(__xludf.DUMMYFUNCTION("""COMPUTED_VALUE"""),"No")</f>
        <v>No</v>
      </c>
      <c r="AD631" s="1"/>
      <c r="AE631" s="1" t="str">
        <f ca="1">IFERROR(__xludf.DUMMYFUNCTION("""COMPUTED_VALUE"""),"No")</f>
        <v>No</v>
      </c>
      <c r="AF631" s="1" t="str">
        <f ca="1">IFERROR(__xludf.DUMMYFUNCTION("""COMPUTED_VALUE"""),"No")</f>
        <v>No</v>
      </c>
      <c r="AG631" s="1" t="str">
        <f ca="1">IFERROR(__xludf.DUMMYFUNCTION("""COMPUTED_VALUE"""),"No")</f>
        <v>No</v>
      </c>
      <c r="AH631" s="1">
        <f ca="1">IFERROR(__xludf.DUMMYFUNCTION("""COMPUTED_VALUE"""),1)</f>
        <v>1</v>
      </c>
    </row>
    <row r="632" spans="1:34" ht="12.5">
      <c r="A632" s="1" t="str">
        <f ca="1">IFERROR(__xludf.DUMMYFUNCTION("""COMPUTED_VALUE"""),"20220426MIASI")</f>
        <v>20220426MIASI</v>
      </c>
      <c r="B632" s="1">
        <f ca="1">IFERROR(__xludf.DUMMYFUNCTION("""COMPUTED_VALUE"""),4)</f>
        <v>4</v>
      </c>
      <c r="C632" s="1">
        <f ca="1">IFERROR(__xludf.DUMMYFUNCTION("""COMPUTED_VALUE"""),26)</f>
        <v>26</v>
      </c>
      <c r="D632" s="1">
        <f ca="1">IFERROR(__xludf.DUMMYFUNCTION("""COMPUTED_VALUE"""),2022)</f>
        <v>2022</v>
      </c>
      <c r="E632" s="4">
        <f ca="1">IFERROR(__xludf.DUMMYFUNCTION("""COMPUTED_VALUE"""),44677)</f>
        <v>44677</v>
      </c>
      <c r="F632" s="1" t="str">
        <f ca="1">IFERROR(__xludf.DUMMYFUNCTION("""COMPUTED_VALUE"""),"Aspen Ridge School")</f>
        <v>Aspen Ridge School</v>
      </c>
      <c r="G632" s="1">
        <f ca="1">IFERROR(__xludf.DUMMYFUNCTION("""COMPUTED_VALUE"""),0)</f>
        <v>0</v>
      </c>
      <c r="H632" s="1">
        <f ca="1">IFERROR(__xludf.DUMMYFUNCTION("""COMPUTED_VALUE"""),0)</f>
        <v>0</v>
      </c>
      <c r="I632" s="1">
        <f ca="1">IFERROR(__xludf.DUMMYFUNCTION("""COMPUTED_VALUE"""),0)</f>
        <v>0</v>
      </c>
      <c r="J632" s="1">
        <f ca="1">IFERROR(__xludf.DUMMYFUNCTION("""COMPUTED_VALUE"""),1)</f>
        <v>1</v>
      </c>
      <c r="K632" s="1" t="str">
        <f ca="1">IFERROR(__xludf.DUMMYFUNCTION("""COMPUTED_VALUE"""),"Spring")</f>
        <v>Spring</v>
      </c>
      <c r="L632" s="1" t="str">
        <f ca="1">IFERROR(__xludf.DUMMYFUNCTION("""COMPUTED_VALUE"""),"Ishpeming Township")</f>
        <v>Ishpeming Township</v>
      </c>
      <c r="M632" s="1" t="str">
        <f ca="1">IFERROR(__xludf.DUMMYFUNCTION("""COMPUTED_VALUE"""),"MI")</f>
        <v>MI</v>
      </c>
      <c r="N632" s="1" t="str">
        <f ca="1">IFERROR(__xludf.DUMMYFUNCTION("""COMPUTED_VALUE"""),"K-8")</f>
        <v>K-8</v>
      </c>
      <c r="O632" s="1" t="str">
        <f ca="1">IFERROR(__xludf.DUMMYFUNCTION("""COMPUTED_VALUE"""),"Bathroom")</f>
        <v>Bathroom</v>
      </c>
      <c r="P632" s="1" t="str">
        <f ca="1">IFERROR(__xludf.DUMMYFUNCTION("""COMPUTED_VALUE"""),"Inside School Building")</f>
        <v>Inside School Building</v>
      </c>
      <c r="Q632" s="1" t="str">
        <f ca="1">IFERROR(__xludf.DUMMYFUNCTION("""COMPUTED_VALUE"""),"Yes")</f>
        <v>Yes</v>
      </c>
      <c r="R632" s="1" t="str">
        <f ca="1">IFERROR(__xludf.DUMMYFUNCTION("""COMPUTED_VALUE"""),"Afternoon Classes")</f>
        <v>Afternoon Classes</v>
      </c>
      <c r="S632" s="5">
        <f ca="1">IFERROR(__xludf.DUMMYFUNCTION("""COMPUTED_VALUE"""),0.520833333333333)</f>
        <v>0.52083333333333304</v>
      </c>
      <c r="T632" s="1">
        <f ca="1">IFERROR(__xludf.DUMMYFUNCTION("""COMPUTED_VALUE"""),1)</f>
        <v>1</v>
      </c>
      <c r="U632" s="1" t="str">
        <f ca="1">IFERROR(__xludf.DUMMYFUNCTION("""COMPUTED_VALUE"""),"Student commit suicide in bathroom")</f>
        <v>Student commit suicide in bathroom</v>
      </c>
      <c r="V632" s="1" t="str">
        <f ca="1">IFERROR(__xludf.DUMMYFUNCTION("""COMPUTED_VALUE"""),"A police officer was giving a presentation at the school when he heard a gunshot. School went on lockdown. Trooper found a student who died from a self-inflicted gunshot wound in the bathroom.")</f>
        <v>A police officer was giving a presentation at the school when he heard a gunshot. School went on lockdown. Trooper found a student who died from a self-inflicted gunshot wound in the bathroom.</v>
      </c>
      <c r="W632" s="1" t="str">
        <f ca="1">IFERROR(__xludf.DUMMYFUNCTION("""COMPUTED_VALUE"""),"Suicide/Attempted")</f>
        <v>Suicide/Attempted</v>
      </c>
      <c r="X632" s="1" t="str">
        <f ca="1">IFERROR(__xludf.DUMMYFUNCTION("""COMPUTED_VALUE"""),"Victims Targeted")</f>
        <v>Victims Targeted</v>
      </c>
      <c r="Y632" s="1" t="str">
        <f ca="1">IFERROR(__xludf.DUMMYFUNCTION("""COMPUTED_VALUE"""),"No")</f>
        <v>No</v>
      </c>
      <c r="Z632" s="1"/>
      <c r="AA632" s="1" t="str">
        <f ca="1">IFERROR(__xludf.DUMMYFUNCTION("""COMPUTED_VALUE"""),"No")</f>
        <v>No</v>
      </c>
      <c r="AB632" s="1" t="str">
        <f ca="1">IFERROR(__xludf.DUMMYFUNCTION("""COMPUTED_VALUE"""),"No")</f>
        <v>No</v>
      </c>
      <c r="AC632" s="1" t="str">
        <f ca="1">IFERROR(__xludf.DUMMYFUNCTION("""COMPUTED_VALUE"""),"No")</f>
        <v>No</v>
      </c>
      <c r="AD632" s="1"/>
      <c r="AE632" s="1" t="str">
        <f ca="1">IFERROR(__xludf.DUMMYFUNCTION("""COMPUTED_VALUE"""),"No")</f>
        <v>No</v>
      </c>
      <c r="AF632" s="1" t="str">
        <f ca="1">IFERROR(__xludf.DUMMYFUNCTION("""COMPUTED_VALUE"""),"No")</f>
        <v>No</v>
      </c>
      <c r="AG632" s="1" t="str">
        <f ca="1">IFERROR(__xludf.DUMMYFUNCTION("""COMPUTED_VALUE"""),"No")</f>
        <v>No</v>
      </c>
      <c r="AH632" s="1">
        <f ca="1">IFERROR(__xludf.DUMMYFUNCTION("""COMPUTED_VALUE"""),1)</f>
        <v>1</v>
      </c>
    </row>
    <row r="633" spans="1:34" ht="12.5">
      <c r="A633" s="1" t="str">
        <f ca="1">IFERROR(__xludf.DUMMYFUNCTION("""COMPUTED_VALUE"""),"20220426GASOM")</f>
        <v>20220426GASOM</v>
      </c>
      <c r="B633" s="1">
        <f ca="1">IFERROR(__xludf.DUMMYFUNCTION("""COMPUTED_VALUE"""),4)</f>
        <v>4</v>
      </c>
      <c r="C633" s="1">
        <f ca="1">IFERROR(__xludf.DUMMYFUNCTION("""COMPUTED_VALUE"""),26)</f>
        <v>26</v>
      </c>
      <c r="D633" s="1">
        <f ca="1">IFERROR(__xludf.DUMMYFUNCTION("""COMPUTED_VALUE"""),2022)</f>
        <v>2022</v>
      </c>
      <c r="E633" s="4">
        <f ca="1">IFERROR(__xludf.DUMMYFUNCTION("""COMPUTED_VALUE"""),44677)</f>
        <v>44677</v>
      </c>
      <c r="F633" s="1" t="str">
        <f ca="1">IFERROR(__xludf.DUMMYFUNCTION("""COMPUTED_VALUE"""),"Southwest High School")</f>
        <v>Southwest High School</v>
      </c>
      <c r="G633" s="1">
        <f ca="1">IFERROR(__xludf.DUMMYFUNCTION("""COMPUTED_VALUE"""),1)</f>
        <v>1</v>
      </c>
      <c r="H633" s="1">
        <f ca="1">IFERROR(__xludf.DUMMYFUNCTION("""COMPUTED_VALUE"""),0)</f>
        <v>0</v>
      </c>
      <c r="I633" s="1">
        <f ca="1">IFERROR(__xludf.DUMMYFUNCTION("""COMPUTED_VALUE"""),1)</f>
        <v>1</v>
      </c>
      <c r="J633" s="1">
        <f ca="1">IFERROR(__xludf.DUMMYFUNCTION("""COMPUTED_VALUE"""),0)</f>
        <v>0</v>
      </c>
      <c r="K633" s="1" t="str">
        <f ca="1">IFERROR(__xludf.DUMMYFUNCTION("""COMPUTED_VALUE"""),"Spring")</f>
        <v>Spring</v>
      </c>
      <c r="L633" s="1" t="str">
        <f ca="1">IFERROR(__xludf.DUMMYFUNCTION("""COMPUTED_VALUE"""),"Macon")</f>
        <v>Macon</v>
      </c>
      <c r="M633" s="1" t="str">
        <f ca="1">IFERROR(__xludf.DUMMYFUNCTION("""COMPUTED_VALUE"""),"GA")</f>
        <v>GA</v>
      </c>
      <c r="N633" s="1" t="str">
        <f ca="1">IFERROR(__xludf.DUMMYFUNCTION("""COMPUTED_VALUE"""),"High")</f>
        <v>High</v>
      </c>
      <c r="O633" s="1" t="str">
        <f ca="1">IFERROR(__xludf.DUMMYFUNCTION("""COMPUTED_VALUE"""),"Parking Lot")</f>
        <v>Parking Lot</v>
      </c>
      <c r="P633" s="1" t="str">
        <f ca="1">IFERROR(__xludf.DUMMYFUNCTION("""COMPUTED_VALUE"""),"Outside on School Property")</f>
        <v>Outside on School Property</v>
      </c>
      <c r="Q633" s="1" t="str">
        <f ca="1">IFERROR(__xludf.DUMMYFUNCTION("""COMPUTED_VALUE"""),"No")</f>
        <v>No</v>
      </c>
      <c r="R633" s="1" t="str">
        <f ca="1">IFERROR(__xludf.DUMMYFUNCTION("""COMPUTED_VALUE"""),"Night")</f>
        <v>Night</v>
      </c>
      <c r="S633" s="5">
        <f ca="1">IFERROR(__xludf.DUMMYFUNCTION("""COMPUTED_VALUE"""),0.9375)</f>
        <v>0.9375</v>
      </c>
      <c r="T633" s="1">
        <f ca="1">IFERROR(__xludf.DUMMYFUNCTION("""COMPUTED_VALUE"""),1)</f>
        <v>1</v>
      </c>
      <c r="U633" s="1" t="str">
        <f ca="1">IFERROR(__xludf.DUMMYFUNCTION("""COMPUTED_VALUE"""),"Teen fatally shot multiple times, body left in school parking lot")</f>
        <v>Teen fatally shot multiple times, body left in school parking lot</v>
      </c>
      <c r="V633" s="1" t="str">
        <f ca="1">IFERROR(__xludf.DUMMYFUNCTION("""COMPUTED_VALUE"""),"A 15-year-old teen was shot multiple times in the parking lot of a sporting goods store .8 miles from the school. His body was left in the parking lot of the school. Shooter fled.")</f>
        <v>A 15-year-old teen was shot multiple times in the parking lot of a sporting goods store .8 miles from the school. His body was left in the parking lot of the school. Shooter fled.</v>
      </c>
      <c r="W633" s="1"/>
      <c r="X633" s="1" t="str">
        <f ca="1">IFERROR(__xludf.DUMMYFUNCTION("""COMPUTED_VALUE"""),"Victims Targeted")</f>
        <v>Victims Targeted</v>
      </c>
      <c r="Y633" s="1" t="str">
        <f ca="1">IFERROR(__xludf.DUMMYFUNCTION("""COMPUTED_VALUE"""),"Yes")</f>
        <v>Yes</v>
      </c>
      <c r="Z633" s="1"/>
      <c r="AA633" s="1" t="str">
        <f ca="1">IFERROR(__xludf.DUMMYFUNCTION("""COMPUTED_VALUE"""),"No")</f>
        <v>No</v>
      </c>
      <c r="AB633" s="1" t="str">
        <f ca="1">IFERROR(__xludf.DUMMYFUNCTION("""COMPUTED_VALUE"""),"No")</f>
        <v>No</v>
      </c>
      <c r="AC633" s="1" t="str">
        <f ca="1">IFERROR(__xludf.DUMMYFUNCTION("""COMPUTED_VALUE"""),"No")</f>
        <v>No</v>
      </c>
      <c r="AD633" s="1" t="str">
        <f ca="1">IFERROR(__xludf.DUMMYFUNCTION("""COMPUTED_VALUE"""),"No")</f>
        <v>No</v>
      </c>
      <c r="AE633" s="1" t="str">
        <f ca="1">IFERROR(__xludf.DUMMYFUNCTION("""COMPUTED_VALUE"""),"No")</f>
        <v>No</v>
      </c>
      <c r="AF633" s="1"/>
      <c r="AG633" s="1" t="str">
        <f ca="1">IFERROR(__xludf.DUMMYFUNCTION("""COMPUTED_VALUE"""),"No")</f>
        <v>No</v>
      </c>
      <c r="AH633" s="1"/>
    </row>
    <row r="634" spans="1:34" ht="12.5">
      <c r="A634" s="1" t="str">
        <f ca="1">IFERROR(__xludf.DUMMYFUNCTION("""COMPUTED_VALUE"""),"20220425WIWIM")</f>
        <v>20220425WIWIM</v>
      </c>
      <c r="B634" s="1">
        <f ca="1">IFERROR(__xludf.DUMMYFUNCTION("""COMPUTED_VALUE"""),4)</f>
        <v>4</v>
      </c>
      <c r="C634" s="1">
        <f ca="1">IFERROR(__xludf.DUMMYFUNCTION("""COMPUTED_VALUE"""),25)</f>
        <v>25</v>
      </c>
      <c r="D634" s="1">
        <f ca="1">IFERROR(__xludf.DUMMYFUNCTION("""COMPUTED_VALUE"""),2022)</f>
        <v>2022</v>
      </c>
      <c r="E634" s="4">
        <f ca="1">IFERROR(__xludf.DUMMYFUNCTION("""COMPUTED_VALUE"""),44676)</f>
        <v>44676</v>
      </c>
      <c r="F634" s="1" t="str">
        <f ca="1">IFERROR(__xludf.DUMMYFUNCTION("""COMPUTED_VALUE"""),"Wisconsin Conservatory of Lifelong Learning")</f>
        <v>Wisconsin Conservatory of Lifelong Learning</v>
      </c>
      <c r="G634" s="1">
        <f ca="1">IFERROR(__xludf.DUMMYFUNCTION("""COMPUTED_VALUE"""),0)</f>
        <v>0</v>
      </c>
      <c r="H634" s="1">
        <f ca="1">IFERROR(__xludf.DUMMYFUNCTION("""COMPUTED_VALUE"""),0)</f>
        <v>0</v>
      </c>
      <c r="I634" s="1">
        <f ca="1">IFERROR(__xludf.DUMMYFUNCTION("""COMPUTED_VALUE"""),0)</f>
        <v>0</v>
      </c>
      <c r="J634" s="1">
        <f ca="1">IFERROR(__xludf.DUMMYFUNCTION("""COMPUTED_VALUE"""),0)</f>
        <v>0</v>
      </c>
      <c r="K634" s="1" t="str">
        <f ca="1">IFERROR(__xludf.DUMMYFUNCTION("""COMPUTED_VALUE"""),"Spring")</f>
        <v>Spring</v>
      </c>
      <c r="L634" s="1" t="str">
        <f ca="1">IFERROR(__xludf.DUMMYFUNCTION("""COMPUTED_VALUE"""),"Milwaukee")</f>
        <v>Milwaukee</v>
      </c>
      <c r="M634" s="1" t="str">
        <f ca="1">IFERROR(__xludf.DUMMYFUNCTION("""COMPUTED_VALUE"""),"WI")</f>
        <v>WI</v>
      </c>
      <c r="N634" s="6">
        <f ca="1">IFERROR(__xludf.DUMMYFUNCTION("""COMPUTED_VALUE"""),44724)</f>
        <v>44724</v>
      </c>
      <c r="O634" s="1" t="str">
        <f ca="1">IFERROR(__xludf.DUMMYFUNCTION("""COMPUTED_VALUE"""),"Front of School")</f>
        <v>Front of School</v>
      </c>
      <c r="P634" s="1" t="str">
        <f ca="1">IFERROR(__xludf.DUMMYFUNCTION("""COMPUTED_VALUE"""),"Outside on School Property")</f>
        <v>Outside on School Property</v>
      </c>
      <c r="Q634" s="1" t="str">
        <f ca="1">IFERROR(__xludf.DUMMYFUNCTION("""COMPUTED_VALUE"""),"Yes")</f>
        <v>Yes</v>
      </c>
      <c r="R634" s="1" t="str">
        <f ca="1">IFERROR(__xludf.DUMMYFUNCTION("""COMPUTED_VALUE"""),"Dismissal")</f>
        <v>Dismissal</v>
      </c>
      <c r="S634" s="5">
        <f ca="1">IFERROR(__xludf.DUMMYFUNCTION("""COMPUTED_VALUE"""),0.625)</f>
        <v>0.625</v>
      </c>
      <c r="T634" s="1">
        <f ca="1">IFERROR(__xludf.DUMMYFUNCTION("""COMPUTED_VALUE"""),1)</f>
        <v>1</v>
      </c>
      <c r="U634" s="1" t="str">
        <f ca="1">IFERROR(__xludf.DUMMYFUNCTION("""COMPUTED_VALUE"""),"Multiple people fired shots during a fight striking 2 schools buses")</f>
        <v>Multiple people fired shots during a fight striking 2 schools buses</v>
      </c>
      <c r="V634" s="1" t="str">
        <f ca="1">IFERROR(__xludf.DUMMYFUNCTION("""COMPUTED_VALUE"""),"Multiple people fired shots during a fight outside of the school. Shots struck two school buses. School went on lockdown and delayed dismissal. Shooters fled.")</f>
        <v>Multiple people fired shots during a fight outside of the school. Shots struck two school buses. School went on lockdown and delayed dismissal. Shooters fled.</v>
      </c>
      <c r="W634" s="1" t="str">
        <f ca="1">IFERROR(__xludf.DUMMYFUNCTION("""COMPUTED_VALUE"""),"Escalation of Dispute")</f>
        <v>Escalation of Dispute</v>
      </c>
      <c r="X634" s="1" t="str">
        <f ca="1">IFERROR(__xludf.DUMMYFUNCTION("""COMPUTED_VALUE"""),"Victims Targeted")</f>
        <v>Victims Targeted</v>
      </c>
      <c r="Y634" s="1" t="str">
        <f ca="1">IFERROR(__xludf.DUMMYFUNCTION("""COMPUTED_VALUE"""),"Yes")</f>
        <v>Yes</v>
      </c>
      <c r="Z634" s="1" t="str">
        <f ca="1">IFERROR(__xludf.DUMMYFUNCTION("""COMPUTED_VALUE"""),"Multiple shooters")</f>
        <v>Multiple shooters</v>
      </c>
      <c r="AA634" s="1" t="str">
        <f ca="1">IFERROR(__xludf.DUMMYFUNCTION("""COMPUTED_VALUE"""),"No")</f>
        <v>No</v>
      </c>
      <c r="AB634" s="1" t="str">
        <f ca="1">IFERROR(__xludf.DUMMYFUNCTION("""COMPUTED_VALUE"""),"No")</f>
        <v>No</v>
      </c>
      <c r="AC634" s="1" t="str">
        <f ca="1">IFERROR(__xludf.DUMMYFUNCTION("""COMPUTED_VALUE"""),"No")</f>
        <v>No</v>
      </c>
      <c r="AD634" s="1" t="str">
        <f ca="1">IFERROR(__xludf.DUMMYFUNCTION("""COMPUTED_VALUE"""),"No")</f>
        <v>No</v>
      </c>
      <c r="AE634" s="1" t="str">
        <f ca="1">IFERROR(__xludf.DUMMYFUNCTION("""COMPUTED_VALUE"""),"No")</f>
        <v>No</v>
      </c>
      <c r="AF634" s="1"/>
      <c r="AG634" s="1" t="str">
        <f ca="1">IFERROR(__xludf.DUMMYFUNCTION("""COMPUTED_VALUE"""),"No")</f>
        <v>No</v>
      </c>
      <c r="AH634" s="1">
        <f ca="1">IFERROR(__xludf.DUMMYFUNCTION("""COMPUTED_VALUE"""),99)</f>
        <v>99</v>
      </c>
    </row>
    <row r="635" spans="1:34" ht="12.5">
      <c r="A635" s="1" t="str">
        <f ca="1">IFERROR(__xludf.DUMMYFUNCTION("""COMPUTED_VALUE"""),"20220425GAMAM")</f>
        <v>20220425GAMAM</v>
      </c>
      <c r="B635" s="1">
        <f ca="1">IFERROR(__xludf.DUMMYFUNCTION("""COMPUTED_VALUE"""),4)</f>
        <v>4</v>
      </c>
      <c r="C635" s="1">
        <f ca="1">IFERROR(__xludf.DUMMYFUNCTION("""COMPUTED_VALUE"""),25)</f>
        <v>25</v>
      </c>
      <c r="D635" s="1">
        <f ca="1">IFERROR(__xludf.DUMMYFUNCTION("""COMPUTED_VALUE"""),2022)</f>
        <v>2022</v>
      </c>
      <c r="E635" s="4">
        <f ca="1">IFERROR(__xludf.DUMMYFUNCTION("""COMPUTED_VALUE"""),44676)</f>
        <v>44676</v>
      </c>
      <c r="F635" s="1" t="str">
        <f ca="1">IFERROR(__xludf.DUMMYFUNCTION("""COMPUTED_VALUE"""),"Marietta City Schools Bus Yard")</f>
        <v>Marietta City Schools Bus Yard</v>
      </c>
      <c r="G635" s="1">
        <f ca="1">IFERROR(__xludf.DUMMYFUNCTION("""COMPUTED_VALUE"""),0)</f>
        <v>0</v>
      </c>
      <c r="H635" s="1">
        <f ca="1">IFERROR(__xludf.DUMMYFUNCTION("""COMPUTED_VALUE"""),0)</f>
        <v>0</v>
      </c>
      <c r="I635" s="1">
        <f ca="1">IFERROR(__xludf.DUMMYFUNCTION("""COMPUTED_VALUE"""),0)</f>
        <v>0</v>
      </c>
      <c r="J635" s="1">
        <f ca="1">IFERROR(__xludf.DUMMYFUNCTION("""COMPUTED_VALUE"""),0)</f>
        <v>0</v>
      </c>
      <c r="K635" s="1" t="str">
        <f ca="1">IFERROR(__xludf.DUMMYFUNCTION("""COMPUTED_VALUE"""),"Spring")</f>
        <v>Spring</v>
      </c>
      <c r="L635" s="1" t="str">
        <f ca="1">IFERROR(__xludf.DUMMYFUNCTION("""COMPUTED_VALUE"""),"Marietta")</f>
        <v>Marietta</v>
      </c>
      <c r="M635" s="1" t="str">
        <f ca="1">IFERROR(__xludf.DUMMYFUNCTION("""COMPUTED_VALUE"""),"GA")</f>
        <v>GA</v>
      </c>
      <c r="N635" s="1" t="str">
        <f ca="1">IFERROR(__xludf.DUMMYFUNCTION("""COMPUTED_VALUE"""),"Other")</f>
        <v>Other</v>
      </c>
      <c r="O635" s="1" t="str">
        <f ca="1">IFERROR(__xludf.DUMMYFUNCTION("""COMPUTED_VALUE"""),"Parking Lot (Bus)")</f>
        <v>Parking Lot (Bus)</v>
      </c>
      <c r="P635" s="1" t="str">
        <f ca="1">IFERROR(__xludf.DUMMYFUNCTION("""COMPUTED_VALUE"""),"School Bus")</f>
        <v>School Bus</v>
      </c>
      <c r="Q635" s="1" t="str">
        <f ca="1">IFERROR(__xludf.DUMMYFUNCTION("""COMPUTED_VALUE"""),"No")</f>
        <v>No</v>
      </c>
      <c r="R635" s="1" t="str">
        <f ca="1">IFERROR(__xludf.DUMMYFUNCTION("""COMPUTED_VALUE"""),"Night")</f>
        <v>Night</v>
      </c>
      <c r="S635" s="5">
        <f ca="1">IFERROR(__xludf.DUMMYFUNCTION("""COMPUTED_VALUE"""),0.875)</f>
        <v>0.875</v>
      </c>
      <c r="T635" s="1">
        <f ca="1">IFERROR(__xludf.DUMMYFUNCTION("""COMPUTED_VALUE"""),10)</f>
        <v>10</v>
      </c>
      <c r="U635" s="1" t="str">
        <f ca="1">IFERROR(__xludf.DUMMYFUNCTION("""COMPUTED_VALUE"""),"Woman fired pellet gun at 15 school buses")</f>
        <v>Woman fired pellet gun at 15 school buses</v>
      </c>
      <c r="V635" s="1" t="str">
        <f ca="1">IFERROR(__xludf.DUMMYFUNCTION("""COMPUTED_VALUE"""),"An adult woman fired a pellet gun at the windshields of 15 school buses. Some of the buses were shot multiple times. Damage was found in the morning and shooting was recorded on CCTV.")</f>
        <v>An adult woman fired a pellet gun at the windshields of 15 school buses. Some of the buses were shot multiple times. Damage was found in the morning and shooting was recorded on CCTV.</v>
      </c>
      <c r="W635" s="1" t="str">
        <f ca="1">IFERROR(__xludf.DUMMYFUNCTION("""COMPUTED_VALUE"""),"Intentional Property Damage")</f>
        <v>Intentional Property Damage</v>
      </c>
      <c r="X635" s="1" t="str">
        <f ca="1">IFERROR(__xludf.DUMMYFUNCTION("""COMPUTED_VALUE"""),"Random Shooting")</f>
        <v>Random Shooting</v>
      </c>
      <c r="Y635" s="1" t="str">
        <f ca="1">IFERROR(__xludf.DUMMYFUNCTION("""COMPUTED_VALUE"""),"No")</f>
        <v>No</v>
      </c>
      <c r="Z635" s="1"/>
      <c r="AA635" s="1" t="str">
        <f ca="1">IFERROR(__xludf.DUMMYFUNCTION("""COMPUTED_VALUE"""),"No")</f>
        <v>No</v>
      </c>
      <c r="AB635" s="1" t="str">
        <f ca="1">IFERROR(__xludf.DUMMYFUNCTION("""COMPUTED_VALUE"""),"No")</f>
        <v>No</v>
      </c>
      <c r="AC635" s="1" t="str">
        <f ca="1">IFERROR(__xludf.DUMMYFUNCTION("""COMPUTED_VALUE"""),"No")</f>
        <v>No</v>
      </c>
      <c r="AD635" s="1" t="str">
        <f ca="1">IFERROR(__xludf.DUMMYFUNCTION("""COMPUTED_VALUE"""),"No")</f>
        <v>No</v>
      </c>
      <c r="AE635" s="1" t="str">
        <f ca="1">IFERROR(__xludf.DUMMYFUNCTION("""COMPUTED_VALUE"""),"No")</f>
        <v>No</v>
      </c>
      <c r="AF635" s="1" t="str">
        <f ca="1">IFERROR(__xludf.DUMMYFUNCTION("""COMPUTED_VALUE"""),"No")</f>
        <v>No</v>
      </c>
      <c r="AG635" s="1" t="str">
        <f ca="1">IFERROR(__xludf.DUMMYFUNCTION("""COMPUTED_VALUE"""),"No")</f>
        <v>No</v>
      </c>
      <c r="AH635" s="1">
        <f ca="1">IFERROR(__xludf.DUMMYFUNCTION("""COMPUTED_VALUE"""),99)</f>
        <v>99</v>
      </c>
    </row>
    <row r="636" spans="1:34" ht="12.5">
      <c r="A636" s="1" t="str">
        <f ca="1">IFERROR(__xludf.DUMMYFUNCTION("""COMPUTED_VALUE"""),"20220424MOHAF")</f>
        <v>20220424MOHAF</v>
      </c>
      <c r="B636" s="1">
        <f ca="1">IFERROR(__xludf.DUMMYFUNCTION("""COMPUTED_VALUE"""),4)</f>
        <v>4</v>
      </c>
      <c r="C636" s="1">
        <f ca="1">IFERROR(__xludf.DUMMYFUNCTION("""COMPUTED_VALUE"""),24)</f>
        <v>24</v>
      </c>
      <c r="D636" s="1">
        <f ca="1">IFERROR(__xludf.DUMMYFUNCTION("""COMPUTED_VALUE"""),2022)</f>
        <v>2022</v>
      </c>
      <c r="E636" s="4">
        <f ca="1">IFERROR(__xludf.DUMMYFUNCTION("""COMPUTED_VALUE"""),44675)</f>
        <v>44675</v>
      </c>
      <c r="F636" s="1" t="str">
        <f ca="1">IFERROR(__xludf.DUMMYFUNCTION("""COMPUTED_VALUE"""),"Hazelwood Central High School")</f>
        <v>Hazelwood Central High School</v>
      </c>
      <c r="G636" s="1">
        <f ca="1">IFERROR(__xludf.DUMMYFUNCTION("""COMPUTED_VALUE"""),1)</f>
        <v>1</v>
      </c>
      <c r="H636" s="1">
        <f ca="1">IFERROR(__xludf.DUMMYFUNCTION("""COMPUTED_VALUE"""),0)</f>
        <v>0</v>
      </c>
      <c r="I636" s="1">
        <f ca="1">IFERROR(__xludf.DUMMYFUNCTION("""COMPUTED_VALUE"""),1)</f>
        <v>1</v>
      </c>
      <c r="J636" s="1">
        <f ca="1">IFERROR(__xludf.DUMMYFUNCTION("""COMPUTED_VALUE"""),0)</f>
        <v>0</v>
      </c>
      <c r="K636" s="1" t="str">
        <f ca="1">IFERROR(__xludf.DUMMYFUNCTION("""COMPUTED_VALUE"""),"Spring")</f>
        <v>Spring</v>
      </c>
      <c r="L636" s="1" t="str">
        <f ca="1">IFERROR(__xludf.DUMMYFUNCTION("""COMPUTED_VALUE"""),"Florissant")</f>
        <v>Florissant</v>
      </c>
      <c r="M636" s="1" t="str">
        <f ca="1">IFERROR(__xludf.DUMMYFUNCTION("""COMPUTED_VALUE"""),"MO")</f>
        <v>MO</v>
      </c>
      <c r="N636" s="1" t="str">
        <f ca="1">IFERROR(__xludf.DUMMYFUNCTION("""COMPUTED_VALUE"""),"High")</f>
        <v>High</v>
      </c>
      <c r="O636" s="1" t="str">
        <f ca="1">IFERROR(__xludf.DUMMYFUNCTION("""COMPUTED_VALUE"""),"Parking Lot")</f>
        <v>Parking Lot</v>
      </c>
      <c r="P636" s="1" t="str">
        <f ca="1">IFERROR(__xludf.DUMMYFUNCTION("""COMPUTED_VALUE"""),"Outside on School Property")</f>
        <v>Outside on School Property</v>
      </c>
      <c r="Q636" s="1" t="str">
        <f ca="1">IFERROR(__xludf.DUMMYFUNCTION("""COMPUTED_VALUE"""),"No")</f>
        <v>No</v>
      </c>
      <c r="R636" s="1" t="str">
        <f ca="1">IFERROR(__xludf.DUMMYFUNCTION("""COMPUTED_VALUE"""),"Not a School Day")</f>
        <v>Not a School Day</v>
      </c>
      <c r="S636" s="5">
        <f ca="1">IFERROR(__xludf.DUMMYFUNCTION("""COMPUTED_VALUE"""),0.25)</f>
        <v>0.25</v>
      </c>
      <c r="T636" s="1">
        <f ca="1">IFERROR(__xludf.DUMMYFUNCTION("""COMPUTED_VALUE"""),1)</f>
        <v>1</v>
      </c>
      <c r="U636" s="1" t="str">
        <f ca="1">IFERROR(__xludf.DUMMYFUNCTION("""COMPUTED_VALUE"""),"Two teens fatally shot cab driver in school parking lot during robbery")</f>
        <v>Two teens fatally shot cab driver in school parking lot during robbery</v>
      </c>
      <c r="V636" s="1" t="str">
        <f ca="1">IFERROR(__xludf.DUMMYFUNCTION("""COMPUTED_VALUE"""),"A adult man was found fatally shot in the school parking lot. Two teens fatally shot a cab driver during an attempted robbery. Arrested 2 days later.")</f>
        <v>A adult man was found fatally shot in the school parking lot. Two teens fatally shot a cab driver during an attempted robbery. Arrested 2 days later.</v>
      </c>
      <c r="W636" s="1" t="str">
        <f ca="1">IFERROR(__xludf.DUMMYFUNCTION("""COMPUTED_VALUE"""),"Illegal Activity")</f>
        <v>Illegal Activity</v>
      </c>
      <c r="X636" s="1" t="str">
        <f ca="1">IFERROR(__xludf.DUMMYFUNCTION("""COMPUTED_VALUE"""),"Victims Targeted")</f>
        <v>Victims Targeted</v>
      </c>
      <c r="Y636" s="1" t="str">
        <f ca="1">IFERROR(__xludf.DUMMYFUNCTION("""COMPUTED_VALUE"""),"Yes")</f>
        <v>Yes</v>
      </c>
      <c r="Z636" s="1" t="str">
        <f ca="1">IFERROR(__xludf.DUMMYFUNCTION("""COMPUTED_VALUE"""),"Two teens")</f>
        <v>Two teens</v>
      </c>
      <c r="AA636" s="1" t="str">
        <f ca="1">IFERROR(__xludf.DUMMYFUNCTION("""COMPUTED_VALUE"""),"No")</f>
        <v>No</v>
      </c>
      <c r="AB636" s="1" t="str">
        <f ca="1">IFERROR(__xludf.DUMMYFUNCTION("""COMPUTED_VALUE"""),"No")</f>
        <v>No</v>
      </c>
      <c r="AC636" s="1" t="str">
        <f ca="1">IFERROR(__xludf.DUMMYFUNCTION("""COMPUTED_VALUE"""),"No")</f>
        <v>No</v>
      </c>
      <c r="AD636" s="1" t="str">
        <f ca="1">IFERROR(__xludf.DUMMYFUNCTION("""COMPUTED_VALUE"""),"No")</f>
        <v>No</v>
      </c>
      <c r="AE636" s="1" t="str">
        <f ca="1">IFERROR(__xludf.DUMMYFUNCTION("""COMPUTED_VALUE"""),"No")</f>
        <v>No</v>
      </c>
      <c r="AF636" s="1"/>
      <c r="AG636" s="1" t="str">
        <f ca="1">IFERROR(__xludf.DUMMYFUNCTION("""COMPUTED_VALUE"""),"No")</f>
        <v>No</v>
      </c>
      <c r="AH636" s="1"/>
    </row>
    <row r="637" spans="1:34" ht="12.5">
      <c r="A637" s="1" t="str">
        <f ca="1">IFERROR(__xludf.DUMMYFUNCTION("""COMPUTED_VALUE"""),"20220422ORHOS")</f>
        <v>20220422ORHOS</v>
      </c>
      <c r="B637" s="1">
        <f ca="1">IFERROR(__xludf.DUMMYFUNCTION("""COMPUTED_VALUE"""),4)</f>
        <v>4</v>
      </c>
      <c r="C637" s="1">
        <f ca="1">IFERROR(__xludf.DUMMYFUNCTION("""COMPUTED_VALUE"""),22)</f>
        <v>22</v>
      </c>
      <c r="D637" s="1">
        <f ca="1">IFERROR(__xludf.DUMMYFUNCTION("""COMPUTED_VALUE"""),2022)</f>
        <v>2022</v>
      </c>
      <c r="E637" s="4">
        <f ca="1">IFERROR(__xludf.DUMMYFUNCTION("""COMPUTED_VALUE"""),44673)</f>
        <v>44673</v>
      </c>
      <c r="F637" s="1" t="str">
        <f ca="1">IFERROR(__xludf.DUMMYFUNCTION("""COMPUTED_VALUE"""),"Houck Middle School")</f>
        <v>Houck Middle School</v>
      </c>
      <c r="G637" s="1">
        <f ca="1">IFERROR(__xludf.DUMMYFUNCTION("""COMPUTED_VALUE"""),0)</f>
        <v>0</v>
      </c>
      <c r="H637" s="1">
        <f ca="1">IFERROR(__xludf.DUMMYFUNCTION("""COMPUTED_VALUE"""),0)</f>
        <v>0</v>
      </c>
      <c r="I637" s="1">
        <f ca="1">IFERROR(__xludf.DUMMYFUNCTION("""COMPUTED_VALUE"""),0)</f>
        <v>0</v>
      </c>
      <c r="J637" s="1">
        <f ca="1">IFERROR(__xludf.DUMMYFUNCTION("""COMPUTED_VALUE"""),0)</f>
        <v>0</v>
      </c>
      <c r="K637" s="1" t="str">
        <f ca="1">IFERROR(__xludf.DUMMYFUNCTION("""COMPUTED_VALUE"""),"Spring")</f>
        <v>Spring</v>
      </c>
      <c r="L637" s="1" t="str">
        <f ca="1">IFERROR(__xludf.DUMMYFUNCTION("""COMPUTED_VALUE"""),"Salem")</f>
        <v>Salem</v>
      </c>
      <c r="M637" s="1" t="str">
        <f ca="1">IFERROR(__xludf.DUMMYFUNCTION("""COMPUTED_VALUE"""),"OR")</f>
        <v>OR</v>
      </c>
      <c r="N637" s="1" t="str">
        <f ca="1">IFERROR(__xludf.DUMMYFUNCTION("""COMPUTED_VALUE"""),"Middle")</f>
        <v>Middle</v>
      </c>
      <c r="O637" s="1" t="str">
        <f ca="1">IFERROR(__xludf.DUMMYFUNCTION("""COMPUTED_VALUE"""),"Outside on School Property")</f>
        <v>Outside on School Property</v>
      </c>
      <c r="P637" s="1" t="str">
        <f ca="1">IFERROR(__xludf.DUMMYFUNCTION("""COMPUTED_VALUE"""),"Outside on School Property")</f>
        <v>Outside on School Property</v>
      </c>
      <c r="Q637" s="1" t="str">
        <f ca="1">IFERROR(__xludf.DUMMYFUNCTION("""COMPUTED_VALUE"""),"No")</f>
        <v>No</v>
      </c>
      <c r="R637" s="1" t="str">
        <f ca="1">IFERROR(__xludf.DUMMYFUNCTION("""COMPUTED_VALUE"""),"Night")</f>
        <v>Night</v>
      </c>
      <c r="S637" s="5">
        <f ca="1">IFERROR(__xludf.DUMMYFUNCTION("""COMPUTED_VALUE"""),0.996527777777777)</f>
        <v>0.99652777777777701</v>
      </c>
      <c r="T637" s="1">
        <f ca="1">IFERROR(__xludf.DUMMYFUNCTION("""COMPUTED_VALUE"""),1)</f>
        <v>1</v>
      </c>
      <c r="U637" s="1" t="str">
        <f ca="1">IFERROR(__xludf.DUMMYFUNCTION("""COMPUTED_VALUE"""),"Teen fired shots near school")</f>
        <v>Teen fired shots near school</v>
      </c>
      <c r="V637" s="1" t="str">
        <f ca="1">IFERROR(__xludf.DUMMYFUNCTION("""COMPUTED_VALUE"""),"A teen fired shot near the school and fled the area. Tracked by K-9 and arrested away from school. No injuries.")</f>
        <v>A teen fired shot near the school and fled the area. Tracked by K-9 and arrested away from school. No injuries.</v>
      </c>
      <c r="W637" s="1"/>
      <c r="X637" s="1"/>
      <c r="Y637" s="1" t="str">
        <f ca="1">IFERROR(__xludf.DUMMYFUNCTION("""COMPUTED_VALUE"""),"No")</f>
        <v>No</v>
      </c>
      <c r="Z637" s="1"/>
      <c r="AA637" s="1" t="str">
        <f ca="1">IFERROR(__xludf.DUMMYFUNCTION("""COMPUTED_VALUE"""),"No")</f>
        <v>No</v>
      </c>
      <c r="AB637" s="1" t="str">
        <f ca="1">IFERROR(__xludf.DUMMYFUNCTION("""COMPUTED_VALUE"""),"No")</f>
        <v>No</v>
      </c>
      <c r="AC637" s="1" t="str">
        <f ca="1">IFERROR(__xludf.DUMMYFUNCTION("""COMPUTED_VALUE"""),"No")</f>
        <v>No</v>
      </c>
      <c r="AD637" s="1" t="str">
        <f ca="1">IFERROR(__xludf.DUMMYFUNCTION("""COMPUTED_VALUE"""),"No")</f>
        <v>No</v>
      </c>
      <c r="AE637" s="1" t="str">
        <f ca="1">IFERROR(__xludf.DUMMYFUNCTION("""COMPUTED_VALUE"""),"No")</f>
        <v>No</v>
      </c>
      <c r="AF637" s="1"/>
      <c r="AG637" s="1" t="str">
        <f ca="1">IFERROR(__xludf.DUMMYFUNCTION("""COMPUTED_VALUE"""),"No")</f>
        <v>No</v>
      </c>
      <c r="AH637" s="1">
        <f ca="1">IFERROR(__xludf.DUMMYFUNCTION("""COMPUTED_VALUE"""),99)</f>
        <v>99</v>
      </c>
    </row>
    <row r="638" spans="1:34" ht="12.5">
      <c r="A638" s="1" t="str">
        <f ca="1">IFERROR(__xludf.DUMMYFUNCTION("""COMPUTED_VALUE"""),"20220422DCEDW")</f>
        <v>20220422DCEDW</v>
      </c>
      <c r="B638" s="1">
        <f ca="1">IFERROR(__xludf.DUMMYFUNCTION("""COMPUTED_VALUE"""),4)</f>
        <v>4</v>
      </c>
      <c r="C638" s="1">
        <f ca="1">IFERROR(__xludf.DUMMYFUNCTION("""COMPUTED_VALUE"""),22)</f>
        <v>22</v>
      </c>
      <c r="D638" s="1">
        <f ca="1">IFERROR(__xludf.DUMMYFUNCTION("""COMPUTED_VALUE"""),2022)</f>
        <v>2022</v>
      </c>
      <c r="E638" s="4">
        <f ca="1">IFERROR(__xludf.DUMMYFUNCTION("""COMPUTED_VALUE"""),44673)</f>
        <v>44673</v>
      </c>
      <c r="F638" s="1" t="str">
        <f ca="1">IFERROR(__xludf.DUMMYFUNCTION("""COMPUTED_VALUE"""),"Edmund Burke School")</f>
        <v>Edmund Burke School</v>
      </c>
      <c r="G638" s="1">
        <f ca="1">IFERROR(__xludf.DUMMYFUNCTION("""COMPUTED_VALUE"""),0)</f>
        <v>0</v>
      </c>
      <c r="H638" s="1">
        <f ca="1">IFERROR(__xludf.DUMMYFUNCTION("""COMPUTED_VALUE"""),4)</f>
        <v>4</v>
      </c>
      <c r="I638" s="1">
        <f ca="1">IFERROR(__xludf.DUMMYFUNCTION("""COMPUTED_VALUE"""),4)</f>
        <v>4</v>
      </c>
      <c r="J638" s="1">
        <f ca="1">IFERROR(__xludf.DUMMYFUNCTION("""COMPUTED_VALUE"""),1)</f>
        <v>1</v>
      </c>
      <c r="K638" s="1" t="str">
        <f ca="1">IFERROR(__xludf.DUMMYFUNCTION("""COMPUTED_VALUE"""),"Spring")</f>
        <v>Spring</v>
      </c>
      <c r="L638" s="1" t="str">
        <f ca="1">IFERROR(__xludf.DUMMYFUNCTION("""COMPUTED_VALUE"""),"Washington")</f>
        <v>Washington</v>
      </c>
      <c r="M638" s="1" t="str">
        <f ca="1">IFERROR(__xludf.DUMMYFUNCTION("""COMPUTED_VALUE"""),"DC")</f>
        <v>DC</v>
      </c>
      <c r="N638" s="1" t="str">
        <f ca="1">IFERROR(__xludf.DUMMYFUNCTION("""COMPUTED_VALUE"""),"6-12")</f>
        <v>6-12</v>
      </c>
      <c r="O638" s="1" t="str">
        <f ca="1">IFERROR(__xludf.DUMMYFUNCTION("""COMPUTED_VALUE"""),"Hallway")</f>
        <v>Hallway</v>
      </c>
      <c r="P638" s="1" t="str">
        <f ca="1">IFERROR(__xludf.DUMMYFUNCTION("""COMPUTED_VALUE"""),"Both Inside/Outside")</f>
        <v>Both Inside/Outside</v>
      </c>
      <c r="Q638" s="1" t="str">
        <f ca="1">IFERROR(__xludf.DUMMYFUNCTION("""COMPUTED_VALUE"""),"Yes")</f>
        <v>Yes</v>
      </c>
      <c r="R638" s="1" t="str">
        <f ca="1">IFERROR(__xludf.DUMMYFUNCTION("""COMPUTED_VALUE"""),"Afternoon Classes")</f>
        <v>Afternoon Classes</v>
      </c>
      <c r="S638" s="5">
        <f ca="1">IFERROR(__xludf.DUMMYFUNCTION("""COMPUTED_VALUE"""),0.638888888888888)</f>
        <v>0.63888888888888795</v>
      </c>
      <c r="T638" s="1">
        <f ca="1">IFERROR(__xludf.DUMMYFUNCTION("""COMPUTED_VALUE"""),180)</f>
        <v>180</v>
      </c>
      <c r="U638" s="1" t="str">
        <f ca="1">IFERROR(__xludf.DUMMYFUNCTION("""COMPUTED_VALUE"""),"Gunman fired at school from nearby apartment building")</f>
        <v>Gunman fired at school from nearby apartment building</v>
      </c>
      <c r="V638" s="1" t="str">
        <f ca="1">IFERROR(__xludf.DUMMYFUNCTION("""COMPUTED_VALUE"""),"A 23-year-old man fired at students inside a glass pedestrian bridge on the school campus from his 5th floor apartment building across the street. Shots broke glass windows on both sides of the bridge. A 12-year-old female student on the bridge was wounde"&amp;"d. A 16-year-old female student was cut by flying glass. First 60 shots were fired in 18 seconds. 200 total rounds fired. Students ran and school went into lockdown. Shooter then wounded school security guard, parent waiting in a vehicle to pick-up a chil"&amp;"d, and another adult pedestrian. Shooter commit suicide when police raided his apartment hours later. Shooter had a camera setup in the hallway to watch police arriving at his apartment. Days prior to shooting, shooter edited wikipedia pages related to sc"&amp;"hool shootings and described himself as ""AR-15 Aficionado"". 6 firearms including rifles and handguns were found in his apartment. Shooting was live streamed with camera inside rifle scope showing the attack. While waiting for police, shooter made edits "&amp;"to the Edmund Burke School Wikipedia page to add his attack. Commit suicide in the bathroom.")</f>
        <v>A 23-year-old man fired at students inside a glass pedestrian bridge on the school campus from his 5th floor apartment building across the street. Shots broke glass windows on both sides of the bridge. A 12-year-old female student on the bridge was wounded. A 16-year-old female student was cut by flying glass. First 60 shots were fired in 18 seconds. 200 total rounds fired. Students ran and school went into lockdown. Shooter then wounded school security guard, parent waiting in a vehicle to pick-up a child, and another adult pedestrian. Shooter commit suicide when police raided his apartment hours later. Shooter had a camera setup in the hallway to watch police arriving at his apartment. Days prior to shooting, shooter edited wikipedia pages related to school shootings and described himself as "AR-15 Aficionado". 6 firearms including rifles and handguns were found in his apartment. Shooting was live streamed with camera inside rifle scope showing the attack. While waiting for police, shooter made edits to the Edmund Burke School Wikipedia page to add his attack. Commit suicide in the bathroom.</v>
      </c>
      <c r="W638" s="1" t="str">
        <f ca="1">IFERROR(__xludf.DUMMYFUNCTION("""COMPUTED_VALUE"""),"Indiscriminate Shooting")</f>
        <v>Indiscriminate Shooting</v>
      </c>
      <c r="X638" s="1" t="str">
        <f ca="1">IFERROR(__xludf.DUMMYFUNCTION("""COMPUTED_VALUE"""),"Random Shooting")</f>
        <v>Random Shooting</v>
      </c>
      <c r="Y638" s="1" t="str">
        <f ca="1">IFERROR(__xludf.DUMMYFUNCTION("""COMPUTED_VALUE"""),"No")</f>
        <v>No</v>
      </c>
      <c r="Z638" s="1"/>
      <c r="AA638" s="1" t="str">
        <f ca="1">IFERROR(__xludf.DUMMYFUNCTION("""COMPUTED_VALUE"""),"No")</f>
        <v>No</v>
      </c>
      <c r="AB638" s="1" t="str">
        <f ca="1">IFERROR(__xludf.DUMMYFUNCTION("""COMPUTED_VALUE"""),"Yes")</f>
        <v>Yes</v>
      </c>
      <c r="AC638" s="1" t="str">
        <f ca="1">IFERROR(__xludf.DUMMYFUNCTION("""COMPUTED_VALUE"""),"No")</f>
        <v>No</v>
      </c>
      <c r="AD638" s="1"/>
      <c r="AE638" s="1" t="str">
        <f ca="1">IFERROR(__xludf.DUMMYFUNCTION("""COMPUTED_VALUE"""),"No")</f>
        <v>No</v>
      </c>
      <c r="AF638" s="1" t="str">
        <f ca="1">IFERROR(__xludf.DUMMYFUNCTION("""COMPUTED_VALUE"""),"No")</f>
        <v>No</v>
      </c>
      <c r="AG638" s="1" t="str">
        <f ca="1">IFERROR(__xludf.DUMMYFUNCTION("""COMPUTED_VALUE"""),"Yes")</f>
        <v>Yes</v>
      </c>
      <c r="AH638" s="1">
        <f ca="1">IFERROR(__xludf.DUMMYFUNCTION("""COMPUTED_VALUE"""),200)</f>
        <v>200</v>
      </c>
    </row>
    <row r="639" spans="1:34" ht="12.5">
      <c r="A639" s="1" t="str">
        <f ca="1">IFERROR(__xludf.DUMMYFUNCTION("""COMPUTED_VALUE"""),"20220422CAMOR")</f>
        <v>20220422CAMOR</v>
      </c>
      <c r="B639" s="1">
        <f ca="1">IFERROR(__xludf.DUMMYFUNCTION("""COMPUTED_VALUE"""),4)</f>
        <v>4</v>
      </c>
      <c r="C639" s="1">
        <f ca="1">IFERROR(__xludf.DUMMYFUNCTION("""COMPUTED_VALUE"""),22)</f>
        <v>22</v>
      </c>
      <c r="D639" s="1">
        <f ca="1">IFERROR(__xludf.DUMMYFUNCTION("""COMPUTED_VALUE"""),2022)</f>
        <v>2022</v>
      </c>
      <c r="E639" s="4">
        <f ca="1">IFERROR(__xludf.DUMMYFUNCTION("""COMPUTED_VALUE"""),44673)</f>
        <v>44673</v>
      </c>
      <c r="F639" s="1" t="str">
        <f ca="1">IFERROR(__xludf.DUMMYFUNCTION("""COMPUTED_VALUE"""),"Mountain View Middle School")</f>
        <v>Mountain View Middle School</v>
      </c>
      <c r="G639" s="1">
        <f ca="1">IFERROR(__xludf.DUMMYFUNCTION("""COMPUTED_VALUE"""),0)</f>
        <v>0</v>
      </c>
      <c r="H639" s="1">
        <f ca="1">IFERROR(__xludf.DUMMYFUNCTION("""COMPUTED_VALUE"""),0)</f>
        <v>0</v>
      </c>
      <c r="I639" s="1">
        <f ca="1">IFERROR(__xludf.DUMMYFUNCTION("""COMPUTED_VALUE"""),0)</f>
        <v>0</v>
      </c>
      <c r="J639" s="1">
        <f ca="1">IFERROR(__xludf.DUMMYFUNCTION("""COMPUTED_VALUE"""),0)</f>
        <v>0</v>
      </c>
      <c r="K639" s="1" t="str">
        <f ca="1">IFERROR(__xludf.DUMMYFUNCTION("""COMPUTED_VALUE"""),"Spring")</f>
        <v>Spring</v>
      </c>
      <c r="L639" s="1" t="str">
        <f ca="1">IFERROR(__xludf.DUMMYFUNCTION("""COMPUTED_VALUE"""),"Redding")</f>
        <v>Redding</v>
      </c>
      <c r="M639" s="1" t="str">
        <f ca="1">IFERROR(__xludf.DUMMYFUNCTION("""COMPUTED_VALUE"""),"CA")</f>
        <v>CA</v>
      </c>
      <c r="N639" s="1" t="str">
        <f ca="1">IFERROR(__xludf.DUMMYFUNCTION("""COMPUTED_VALUE"""),"Middle")</f>
        <v>Middle</v>
      </c>
      <c r="O639" s="1" t="str">
        <f ca="1">IFERROR(__xludf.DUMMYFUNCTION("""COMPUTED_VALUE"""),"Field (General)")</f>
        <v>Field (General)</v>
      </c>
      <c r="P639" s="1" t="str">
        <f ca="1">IFERROR(__xludf.DUMMYFUNCTION("""COMPUTED_VALUE"""),"Outside on School Property")</f>
        <v>Outside on School Property</v>
      </c>
      <c r="Q639" s="1" t="str">
        <f ca="1">IFERROR(__xludf.DUMMYFUNCTION("""COMPUTED_VALUE"""),"No")</f>
        <v>No</v>
      </c>
      <c r="R639" s="1" t="str">
        <f ca="1">IFERROR(__xludf.DUMMYFUNCTION("""COMPUTED_VALUE"""),"Sport Event")</f>
        <v>Sport Event</v>
      </c>
      <c r="S639" s="5">
        <f ca="1">IFERROR(__xludf.DUMMYFUNCTION("""COMPUTED_VALUE"""),0.75)</f>
        <v>0.75</v>
      </c>
      <c r="T639" s="1">
        <f ca="1">IFERROR(__xludf.DUMMYFUNCTION("""COMPUTED_VALUE"""),1)</f>
        <v>1</v>
      </c>
      <c r="U639" s="1" t="str">
        <f ca="1">IFERROR(__xludf.DUMMYFUNCTION("""COMPUTED_VALUE"""),"Shots fired at adult men on the baseball field behind the school")</f>
        <v>Shots fired at adult men on the baseball field behind the school</v>
      </c>
      <c r="V639" s="1" t="str">
        <f ca="1">IFERROR(__xludf.DUMMYFUNCTION("""COMPUTED_VALUE"""),"Group of adults were playing baseball on the field behind the school when shots were fired at them. Shooting was recorded on video. A Daddy/Daughter event was taking place at the school. No injuries. Shots fired from a long distance and no suspect identif"&amp;"ied.")</f>
        <v>Group of adults were playing baseball on the field behind the school when shots were fired at them. Shooting was recorded on video. A Daddy/Daughter event was taking place at the school. No injuries. Shots fired from a long distance and no suspect identified.</v>
      </c>
      <c r="W639" s="1"/>
      <c r="X639" s="1" t="str">
        <f ca="1">IFERROR(__xludf.DUMMYFUNCTION("""COMPUTED_VALUE"""),"Random Shooting")</f>
        <v>Random Shooting</v>
      </c>
      <c r="Y639" s="1"/>
      <c r="Z639" s="1"/>
      <c r="AA639" s="1" t="str">
        <f ca="1">IFERROR(__xludf.DUMMYFUNCTION("""COMPUTED_VALUE"""),"No")</f>
        <v>No</v>
      </c>
      <c r="AB639" s="1" t="str">
        <f ca="1">IFERROR(__xludf.DUMMYFUNCTION("""COMPUTED_VALUE"""),"No")</f>
        <v>No</v>
      </c>
      <c r="AC639" s="1" t="str">
        <f ca="1">IFERROR(__xludf.DUMMYFUNCTION("""COMPUTED_VALUE"""),"No")</f>
        <v>No</v>
      </c>
      <c r="AD639" s="1" t="str">
        <f ca="1">IFERROR(__xludf.DUMMYFUNCTION("""COMPUTED_VALUE"""),"No")</f>
        <v>No</v>
      </c>
      <c r="AE639" s="1" t="str">
        <f ca="1">IFERROR(__xludf.DUMMYFUNCTION("""COMPUTED_VALUE"""),"No")</f>
        <v>No</v>
      </c>
      <c r="AF639" s="1" t="str">
        <f ca="1">IFERROR(__xludf.DUMMYFUNCTION("""COMPUTED_VALUE"""),"No")</f>
        <v>No</v>
      </c>
      <c r="AG639" s="1" t="str">
        <f ca="1">IFERROR(__xludf.DUMMYFUNCTION("""COMPUTED_VALUE"""),"No")</f>
        <v>No</v>
      </c>
      <c r="AH639" s="1">
        <f ca="1">IFERROR(__xludf.DUMMYFUNCTION("""COMPUTED_VALUE"""),6)</f>
        <v>6</v>
      </c>
    </row>
    <row r="640" spans="1:34" ht="12.5">
      <c r="A640" s="1" t="str">
        <f ca="1">IFERROR(__xludf.DUMMYFUNCTION("""COMPUTED_VALUE"""),"20220421NDMOM")</f>
        <v>20220421NDMOM</v>
      </c>
      <c r="B640" s="1">
        <f ca="1">IFERROR(__xludf.DUMMYFUNCTION("""COMPUTED_VALUE"""),4)</f>
        <v>4</v>
      </c>
      <c r="C640" s="1">
        <f ca="1">IFERROR(__xludf.DUMMYFUNCTION("""COMPUTED_VALUE"""),21)</f>
        <v>21</v>
      </c>
      <c r="D640" s="1">
        <f ca="1">IFERROR(__xludf.DUMMYFUNCTION("""COMPUTED_VALUE"""),2022)</f>
        <v>2022</v>
      </c>
      <c r="E640" s="4">
        <f ca="1">IFERROR(__xludf.DUMMYFUNCTION("""COMPUTED_VALUE"""),44672)</f>
        <v>44672</v>
      </c>
      <c r="F640" s="1" t="str">
        <f ca="1">IFERROR(__xludf.DUMMYFUNCTION("""COMPUTED_VALUE"""),"Mott-Regent High School")</f>
        <v>Mott-Regent High School</v>
      </c>
      <c r="G640" s="1">
        <f ca="1">IFERROR(__xludf.DUMMYFUNCTION("""COMPUTED_VALUE"""),1)</f>
        <v>1</v>
      </c>
      <c r="H640" s="1">
        <f ca="1">IFERROR(__xludf.DUMMYFUNCTION("""COMPUTED_VALUE"""),0)</f>
        <v>0</v>
      </c>
      <c r="I640" s="1">
        <f ca="1">IFERROR(__xludf.DUMMYFUNCTION("""COMPUTED_VALUE"""),1)</f>
        <v>1</v>
      </c>
      <c r="J640" s="1">
        <f ca="1">IFERROR(__xludf.DUMMYFUNCTION("""COMPUTED_VALUE"""),0)</f>
        <v>0</v>
      </c>
      <c r="K640" s="1" t="str">
        <f ca="1">IFERROR(__xludf.DUMMYFUNCTION("""COMPUTED_VALUE"""),"Spring")</f>
        <v>Spring</v>
      </c>
      <c r="L640" s="1" t="str">
        <f ca="1">IFERROR(__xludf.DUMMYFUNCTION("""COMPUTED_VALUE"""),"Mott")</f>
        <v>Mott</v>
      </c>
      <c r="M640" s="1" t="str">
        <f ca="1">IFERROR(__xludf.DUMMYFUNCTION("""COMPUTED_VALUE"""),"ND")</f>
        <v>ND</v>
      </c>
      <c r="N640" s="1" t="str">
        <f ca="1">IFERROR(__xludf.DUMMYFUNCTION("""COMPUTED_VALUE"""),"K-12")</f>
        <v>K-12</v>
      </c>
      <c r="O640" s="1" t="str">
        <f ca="1">IFERROR(__xludf.DUMMYFUNCTION("""COMPUTED_VALUE"""),"Entryway")</f>
        <v>Entryway</v>
      </c>
      <c r="P640" s="1" t="str">
        <f ca="1">IFERROR(__xludf.DUMMYFUNCTION("""COMPUTED_VALUE"""),"Inside School Building")</f>
        <v>Inside School Building</v>
      </c>
      <c r="Q640" s="1" t="str">
        <f ca="1">IFERROR(__xludf.DUMMYFUNCTION("""COMPUTED_VALUE"""),"Yes")</f>
        <v>Yes</v>
      </c>
      <c r="R640" s="1" t="str">
        <f ca="1">IFERROR(__xludf.DUMMYFUNCTION("""COMPUTED_VALUE"""),"Afternoon Classes")</f>
        <v>Afternoon Classes</v>
      </c>
      <c r="S640" s="5">
        <f ca="1">IFERROR(__xludf.DUMMYFUNCTION("""COMPUTED_VALUE"""),0.623611111111111)</f>
        <v>0.62361111111111101</v>
      </c>
      <c r="T640" s="1">
        <f ca="1">IFERROR(__xludf.DUMMYFUNCTION("""COMPUTED_VALUE"""),1)</f>
        <v>1</v>
      </c>
      <c r="U640" s="1" t="str">
        <f ca="1">IFERROR(__xludf.DUMMYFUNCTION("""COMPUTED_VALUE"""),"Man fatally shot by police when he refused to leave the school")</f>
        <v>Man fatally shot by police when he refused to leave the school</v>
      </c>
      <c r="V640" s="1" t="str">
        <f ca="1">IFERROR(__xludf.DUMMYFUNCTION("""COMPUTED_VALUE"""),"A 34-year-old man was fatally shot by police when he refused to leave the school and assaulted an officer. School staff called police for a man causing a disturbance in the building. No students or staff were injured. School went on lockdown and students "&amp;"dismissed to their parents from the rear of the school building.")</f>
        <v>A 34-year-old man was fatally shot by police when he refused to leave the school and assaulted an officer. School staff called police for a man causing a disturbance in the building. No students or staff were injured. School went on lockdown and students dismissed to their parents from the rear of the school building.</v>
      </c>
      <c r="W640" s="1" t="str">
        <f ca="1">IFERROR(__xludf.DUMMYFUNCTION("""COMPUTED_VALUE"""),"Officer-Involved Shooting")</f>
        <v>Officer-Involved Shooting</v>
      </c>
      <c r="X640" s="1"/>
      <c r="Y640" s="1"/>
      <c r="Z640" s="1"/>
      <c r="AA640" s="1"/>
      <c r="AB640" s="1"/>
      <c r="AC640" s="1"/>
      <c r="AD640" s="1"/>
      <c r="AE640" s="1"/>
      <c r="AF640" s="1"/>
      <c r="AG640" s="1" t="str">
        <f ca="1">IFERROR(__xludf.DUMMYFUNCTION("""COMPUTED_VALUE"""),"No")</f>
        <v>No</v>
      </c>
      <c r="AH640" s="1"/>
    </row>
    <row r="641" spans="1:34" ht="12.5">
      <c r="A641" s="1" t="str">
        <f ca="1">IFERROR(__xludf.DUMMYFUNCTION("""COMPUTED_VALUE"""),"20220416IAMED")</f>
        <v>20220416IAMED</v>
      </c>
      <c r="B641" s="1">
        <f ca="1">IFERROR(__xludf.DUMMYFUNCTION("""COMPUTED_VALUE"""),4)</f>
        <v>4</v>
      </c>
      <c r="C641" s="1">
        <f ca="1">IFERROR(__xludf.DUMMYFUNCTION("""COMPUTED_VALUE"""),16)</f>
        <v>16</v>
      </c>
      <c r="D641" s="1">
        <f ca="1">IFERROR(__xludf.DUMMYFUNCTION("""COMPUTED_VALUE"""),2022)</f>
        <v>2022</v>
      </c>
      <c r="E641" s="4">
        <f ca="1">IFERROR(__xludf.DUMMYFUNCTION("""COMPUTED_VALUE"""),44667)</f>
        <v>44667</v>
      </c>
      <c r="F641" s="1" t="str">
        <f ca="1">IFERROR(__xludf.DUMMYFUNCTION("""COMPUTED_VALUE"""),"Meredith Middle School")</f>
        <v>Meredith Middle School</v>
      </c>
      <c r="G641" s="1">
        <f ca="1">IFERROR(__xludf.DUMMYFUNCTION("""COMPUTED_VALUE"""),0)</f>
        <v>0</v>
      </c>
      <c r="H641" s="1">
        <f ca="1">IFERROR(__xludf.DUMMYFUNCTION("""COMPUTED_VALUE"""),1)</f>
        <v>1</v>
      </c>
      <c r="I641" s="1">
        <f ca="1">IFERROR(__xludf.DUMMYFUNCTION("""COMPUTED_VALUE"""),1)</f>
        <v>1</v>
      </c>
      <c r="J641" s="1">
        <f ca="1">IFERROR(__xludf.DUMMYFUNCTION("""COMPUTED_VALUE"""),0)</f>
        <v>0</v>
      </c>
      <c r="K641" s="1" t="str">
        <f ca="1">IFERROR(__xludf.DUMMYFUNCTION("""COMPUTED_VALUE"""),"Spring")</f>
        <v>Spring</v>
      </c>
      <c r="L641" s="1" t="str">
        <f ca="1">IFERROR(__xludf.DUMMYFUNCTION("""COMPUTED_VALUE"""),"Des Moines")</f>
        <v>Des Moines</v>
      </c>
      <c r="M641" s="1" t="str">
        <f ca="1">IFERROR(__xludf.DUMMYFUNCTION("""COMPUTED_VALUE"""),"IA")</f>
        <v>IA</v>
      </c>
      <c r="N641" s="1" t="str">
        <f ca="1">IFERROR(__xludf.DUMMYFUNCTION("""COMPUTED_VALUE"""),"Middle")</f>
        <v>Middle</v>
      </c>
      <c r="O641" s="1" t="str">
        <f ca="1">IFERROR(__xludf.DUMMYFUNCTION("""COMPUTED_VALUE"""),"Front of School")</f>
        <v>Front of School</v>
      </c>
      <c r="P641" s="1" t="str">
        <f ca="1">IFERROR(__xludf.DUMMYFUNCTION("""COMPUTED_VALUE"""),"Outside on School Property")</f>
        <v>Outside on School Property</v>
      </c>
      <c r="Q641" s="1" t="str">
        <f ca="1">IFERROR(__xludf.DUMMYFUNCTION("""COMPUTED_VALUE"""),"No")</f>
        <v>No</v>
      </c>
      <c r="R641" s="1" t="str">
        <f ca="1">IFERROR(__xludf.DUMMYFUNCTION("""COMPUTED_VALUE"""),"Evening")</f>
        <v>Evening</v>
      </c>
      <c r="S641" s="5">
        <f ca="1">IFERROR(__xludf.DUMMYFUNCTION("""COMPUTED_VALUE"""),0.784722222222222)</f>
        <v>0.78472222222222199</v>
      </c>
      <c r="T641" s="1">
        <f ca="1">IFERROR(__xludf.DUMMYFUNCTION("""COMPUTED_VALUE"""),1)</f>
        <v>1</v>
      </c>
      <c r="U641" s="1" t="str">
        <f ca="1">IFERROR(__xludf.DUMMYFUNCTION("""COMPUTED_VALUE"""),"Person shot in front of the school")</f>
        <v>Person shot in front of the school</v>
      </c>
      <c r="V641" s="1" t="str">
        <f ca="1">IFERROR(__xludf.DUMMYFUNCTION("""COMPUTED_VALUE"""),"Neighbors heard multiple shots and a person was found wounded in front of the school. Shooter fled.")</f>
        <v>Neighbors heard multiple shots and a person was found wounded in front of the school. Shooter fled.</v>
      </c>
      <c r="W641" s="1"/>
      <c r="X641" s="1"/>
      <c r="Y641" s="1" t="str">
        <f ca="1">IFERROR(__xludf.DUMMYFUNCTION("""COMPUTED_VALUE"""),"No")</f>
        <v>No</v>
      </c>
      <c r="Z641" s="1"/>
      <c r="AA641" s="1" t="str">
        <f ca="1">IFERROR(__xludf.DUMMYFUNCTION("""COMPUTED_VALUE"""),"No")</f>
        <v>No</v>
      </c>
      <c r="AB641" s="1" t="str">
        <f ca="1">IFERROR(__xludf.DUMMYFUNCTION("""COMPUTED_VALUE"""),"No")</f>
        <v>No</v>
      </c>
      <c r="AC641" s="1" t="str">
        <f ca="1">IFERROR(__xludf.DUMMYFUNCTION("""COMPUTED_VALUE"""),"No")</f>
        <v>No</v>
      </c>
      <c r="AD641" s="1" t="str">
        <f ca="1">IFERROR(__xludf.DUMMYFUNCTION("""COMPUTED_VALUE"""),"No")</f>
        <v>No</v>
      </c>
      <c r="AE641" s="1"/>
      <c r="AF641" s="1"/>
      <c r="AG641" s="1" t="str">
        <f ca="1">IFERROR(__xludf.DUMMYFUNCTION("""COMPUTED_VALUE"""),"No")</f>
        <v>No</v>
      </c>
      <c r="AH641" s="1">
        <f ca="1">IFERROR(__xludf.DUMMYFUNCTION("""COMPUTED_VALUE"""),99)</f>
        <v>99</v>
      </c>
    </row>
    <row r="642" spans="1:34" ht="12.5">
      <c r="A642" s="1" t="str">
        <f ca="1">IFERROR(__xludf.DUMMYFUNCTION("""COMPUTED_VALUE"""),"20220415VAGAW")</f>
        <v>20220415VAGAW</v>
      </c>
      <c r="B642" s="1">
        <f ca="1">IFERROR(__xludf.DUMMYFUNCTION("""COMPUTED_VALUE"""),4)</f>
        <v>4</v>
      </c>
      <c r="C642" s="1">
        <f ca="1">IFERROR(__xludf.DUMMYFUNCTION("""COMPUTED_VALUE"""),15)</f>
        <v>15</v>
      </c>
      <c r="D642" s="1">
        <f ca="1">IFERROR(__xludf.DUMMYFUNCTION("""COMPUTED_VALUE"""),2022)</f>
        <v>2022</v>
      </c>
      <c r="E642" s="4">
        <f ca="1">IFERROR(__xludf.DUMMYFUNCTION("""COMPUTED_VALUE"""),44666)</f>
        <v>44666</v>
      </c>
      <c r="F642" s="1" t="str">
        <f ca="1">IFERROR(__xludf.DUMMYFUNCTION("""COMPUTED_VALUE"""),"Gar-Field High School")</f>
        <v>Gar-Field High School</v>
      </c>
      <c r="G642" s="1">
        <f ca="1">IFERROR(__xludf.DUMMYFUNCTION("""COMPUTED_VALUE"""),0)</f>
        <v>0</v>
      </c>
      <c r="H642" s="1">
        <f ca="1">IFERROR(__xludf.DUMMYFUNCTION("""COMPUTED_VALUE"""),1)</f>
        <v>1</v>
      </c>
      <c r="I642" s="1">
        <f ca="1">IFERROR(__xludf.DUMMYFUNCTION("""COMPUTED_VALUE"""),1)</f>
        <v>1</v>
      </c>
      <c r="J642" s="1">
        <f ca="1">IFERROR(__xludf.DUMMYFUNCTION("""COMPUTED_VALUE"""),0)</f>
        <v>0</v>
      </c>
      <c r="K642" s="1" t="str">
        <f ca="1">IFERROR(__xludf.DUMMYFUNCTION("""COMPUTED_VALUE"""),"Spring")</f>
        <v>Spring</v>
      </c>
      <c r="L642" s="1" t="str">
        <f ca="1">IFERROR(__xludf.DUMMYFUNCTION("""COMPUTED_VALUE"""),"Woodbridge")</f>
        <v>Woodbridge</v>
      </c>
      <c r="M642" s="1" t="str">
        <f ca="1">IFERROR(__xludf.DUMMYFUNCTION("""COMPUTED_VALUE"""),"VA")</f>
        <v>VA</v>
      </c>
      <c r="N642" s="1" t="str">
        <f ca="1">IFERROR(__xludf.DUMMYFUNCTION("""COMPUTED_VALUE"""),"High")</f>
        <v>High</v>
      </c>
      <c r="O642" s="1" t="str">
        <f ca="1">IFERROR(__xludf.DUMMYFUNCTION("""COMPUTED_VALUE"""),"Field (General)")</f>
        <v>Field (General)</v>
      </c>
      <c r="P642" s="1" t="str">
        <f ca="1">IFERROR(__xludf.DUMMYFUNCTION("""COMPUTED_VALUE"""),"Outside on School Property")</f>
        <v>Outside on School Property</v>
      </c>
      <c r="Q642" s="1" t="str">
        <f ca="1">IFERROR(__xludf.DUMMYFUNCTION("""COMPUTED_VALUE"""),"No")</f>
        <v>No</v>
      </c>
      <c r="R642" s="1" t="str">
        <f ca="1">IFERROR(__xludf.DUMMYFUNCTION("""COMPUTED_VALUE"""),"School Event")</f>
        <v>School Event</v>
      </c>
      <c r="S642" s="5">
        <f ca="1">IFERROR(__xludf.DUMMYFUNCTION("""COMPUTED_VALUE"""),0.895833333333333)</f>
        <v>0.89583333333333304</v>
      </c>
      <c r="T642" s="1">
        <f ca="1">IFERROR(__xludf.DUMMYFUNCTION("""COMPUTED_VALUE"""),1)</f>
        <v>1</v>
      </c>
      <c r="U642" s="1" t="str">
        <f ca="1">IFERROR(__xludf.DUMMYFUNCTION("""COMPUTED_VALUE"""),"Teenage girl shot in the leg during carnival held at school")</f>
        <v>Teenage girl shot in the leg during carnival held at school</v>
      </c>
      <c r="V642" s="1" t="str">
        <f ca="1">IFERROR(__xludf.DUMMYFUNCTION("""COMPUTED_VALUE"""),"A teenage girl was shot in the leg and flown to a trauma center following a shooting during a carnival held at the school. Shooting occurred during a large fight and shooter fled. Attendees, many were teenage students, ran from the area when shots were fi"&amp;"red. Police setup a family reunification center at a nearby church.")</f>
        <v>A teenage girl was shot in the leg and flown to a trauma center following a shooting during a carnival held at the school. Shooting occurred during a large fight and shooter fled. Attendees, many were teenage students, ran from the area when shots were fired. Police setup a family reunification center at a nearby church.</v>
      </c>
      <c r="W642" s="1" t="str">
        <f ca="1">IFERROR(__xludf.DUMMYFUNCTION("""COMPUTED_VALUE"""),"Escalation of Dispute")</f>
        <v>Escalation of Dispute</v>
      </c>
      <c r="X642" s="1" t="str">
        <f ca="1">IFERROR(__xludf.DUMMYFUNCTION("""COMPUTED_VALUE"""),"Both")</f>
        <v>Both</v>
      </c>
      <c r="Y642" s="1" t="str">
        <f ca="1">IFERROR(__xludf.DUMMYFUNCTION("""COMPUTED_VALUE"""),"No")</f>
        <v>No</v>
      </c>
      <c r="Z642" s="1"/>
      <c r="AA642" s="1" t="str">
        <f ca="1">IFERROR(__xludf.DUMMYFUNCTION("""COMPUTED_VALUE"""),"No")</f>
        <v>No</v>
      </c>
      <c r="AB642" s="1" t="str">
        <f ca="1">IFERROR(__xludf.DUMMYFUNCTION("""COMPUTED_VALUE"""),"No")</f>
        <v>No</v>
      </c>
      <c r="AC642" s="1" t="str">
        <f ca="1">IFERROR(__xludf.DUMMYFUNCTION("""COMPUTED_VALUE"""),"No")</f>
        <v>No</v>
      </c>
      <c r="AD642" s="1" t="str">
        <f ca="1">IFERROR(__xludf.DUMMYFUNCTION("""COMPUTED_VALUE"""),"No")</f>
        <v>No</v>
      </c>
      <c r="AE642" s="1" t="str">
        <f ca="1">IFERROR(__xludf.DUMMYFUNCTION("""COMPUTED_VALUE"""),"No")</f>
        <v>No</v>
      </c>
      <c r="AF642" s="1" t="str">
        <f ca="1">IFERROR(__xludf.DUMMYFUNCTION("""COMPUTED_VALUE"""),"No")</f>
        <v>No</v>
      </c>
      <c r="AG642" s="1" t="str">
        <f ca="1">IFERROR(__xludf.DUMMYFUNCTION("""COMPUTED_VALUE"""),"No")</f>
        <v>No</v>
      </c>
      <c r="AH642" s="1">
        <f ca="1">IFERROR(__xludf.DUMMYFUNCTION("""COMPUTED_VALUE"""),99)</f>
        <v>99</v>
      </c>
    </row>
    <row r="643" spans="1:34" ht="12.5">
      <c r="A643" s="1" t="str">
        <f ca="1">IFERROR(__xludf.DUMMYFUNCTION("""COMPUTED_VALUE"""),"20220414MSNEP")</f>
        <v>20220414MSNEP</v>
      </c>
      <c r="B643" s="1">
        <f ca="1">IFERROR(__xludf.DUMMYFUNCTION("""COMPUTED_VALUE"""),4)</f>
        <v>4</v>
      </c>
      <c r="C643" s="1">
        <f ca="1">IFERROR(__xludf.DUMMYFUNCTION("""COMPUTED_VALUE"""),14)</f>
        <v>14</v>
      </c>
      <c r="D643" s="1">
        <f ca="1">IFERROR(__xludf.DUMMYFUNCTION("""COMPUTED_VALUE"""),2022)</f>
        <v>2022</v>
      </c>
      <c r="E643" s="4">
        <f ca="1">IFERROR(__xludf.DUMMYFUNCTION("""COMPUTED_VALUE"""),44665)</f>
        <v>44665</v>
      </c>
      <c r="F643" s="1" t="str">
        <f ca="1">IFERROR(__xludf.DUMMYFUNCTION("""COMPUTED_VALUE"""),"Neshoba Central High School")</f>
        <v>Neshoba Central High School</v>
      </c>
      <c r="G643" s="1">
        <f ca="1">IFERROR(__xludf.DUMMYFUNCTION("""COMPUTED_VALUE"""),0)</f>
        <v>0</v>
      </c>
      <c r="H643" s="1">
        <f ca="1">IFERROR(__xludf.DUMMYFUNCTION("""COMPUTED_VALUE"""),2)</f>
        <v>2</v>
      </c>
      <c r="I643" s="1">
        <f ca="1">IFERROR(__xludf.DUMMYFUNCTION("""COMPUTED_VALUE"""),2)</f>
        <v>2</v>
      </c>
      <c r="J643" s="1">
        <f ca="1">IFERROR(__xludf.DUMMYFUNCTION("""COMPUTED_VALUE"""),0)</f>
        <v>0</v>
      </c>
      <c r="K643" s="1" t="str">
        <f ca="1">IFERROR(__xludf.DUMMYFUNCTION("""COMPUTED_VALUE"""),"Spring")</f>
        <v>Spring</v>
      </c>
      <c r="L643" s="1" t="str">
        <f ca="1">IFERROR(__xludf.DUMMYFUNCTION("""COMPUTED_VALUE"""),"Philadelphia")</f>
        <v>Philadelphia</v>
      </c>
      <c r="M643" s="1" t="str">
        <f ca="1">IFERROR(__xludf.DUMMYFUNCTION("""COMPUTED_VALUE"""),"MS")</f>
        <v>MS</v>
      </c>
      <c r="N643" s="1" t="str">
        <f ca="1">IFERROR(__xludf.DUMMYFUNCTION("""COMPUTED_VALUE"""),"High")</f>
        <v>High</v>
      </c>
      <c r="O643" s="1" t="str">
        <f ca="1">IFERROR(__xludf.DUMMYFUNCTION("""COMPUTED_VALUE"""),"Football Field/Track")</f>
        <v>Football Field/Track</v>
      </c>
      <c r="P643" s="1" t="str">
        <f ca="1">IFERROR(__xludf.DUMMYFUNCTION("""COMPUTED_VALUE"""),"Outside on School Property")</f>
        <v>Outside on School Property</v>
      </c>
      <c r="Q643" s="1" t="str">
        <f ca="1">IFERROR(__xludf.DUMMYFUNCTION("""COMPUTED_VALUE"""),"Yes")</f>
        <v>Yes</v>
      </c>
      <c r="R643" s="1" t="str">
        <f ca="1">IFERROR(__xludf.DUMMYFUNCTION("""COMPUTED_VALUE"""),"Lunch")</f>
        <v>Lunch</v>
      </c>
      <c r="S643" s="5">
        <f ca="1">IFERROR(__xludf.DUMMYFUNCTION("""COMPUTED_VALUE"""),0.510416666666666)</f>
        <v>0.51041666666666596</v>
      </c>
      <c r="T643" s="1">
        <f ca="1">IFERROR(__xludf.DUMMYFUNCTION("""COMPUTED_VALUE"""),1)</f>
        <v>1</v>
      </c>
      <c r="U643" s="1" t="str">
        <f ca="1">IFERROR(__xludf.DUMMYFUNCTION("""COMPUTED_VALUE"""),"3 teens fired high powered pellet guns at football team during practice")</f>
        <v>3 teens fired high powered pellet guns at football team during practice</v>
      </c>
      <c r="V643" s="1" t="str">
        <f ca="1">IFERROR(__xludf.DUMMYFUNCTION("""COMPUTED_VALUE"""),"Three teens from rival high school fired high powered pellet guns at the football team during practice. The teens were hiding in the trees near the field and left the rifles when they ran from the area. All three arrested and charged with aggravated assau"&amp;"lt. One player was transported to the hospital with a pellet lodged in his neck.")</f>
        <v>Three teens from rival high school fired high powered pellet guns at the football team during practice. The teens were hiding in the trees near the field and left the rifles when they ran from the area. All three arrested and charged with aggravated assault. One player was transported to the hospital with a pellet lodged in his neck.</v>
      </c>
      <c r="W643" s="1" t="str">
        <f ca="1">IFERROR(__xludf.DUMMYFUNCTION("""COMPUTED_VALUE"""),"Indiscriminate Shooting")</f>
        <v>Indiscriminate Shooting</v>
      </c>
      <c r="X643" s="1" t="str">
        <f ca="1">IFERROR(__xludf.DUMMYFUNCTION("""COMPUTED_VALUE"""),"Random Shooting")</f>
        <v>Random Shooting</v>
      </c>
      <c r="Y643" s="1" t="str">
        <f ca="1">IFERROR(__xludf.DUMMYFUNCTION("""COMPUTED_VALUE"""),"Yes")</f>
        <v>Yes</v>
      </c>
      <c r="Z643" s="1" t="str">
        <f ca="1">IFERROR(__xludf.DUMMYFUNCTION("""COMPUTED_VALUE"""),"Three teens")</f>
        <v>Three teens</v>
      </c>
      <c r="AA643" s="1" t="str">
        <f ca="1">IFERROR(__xludf.DUMMYFUNCTION("""COMPUTED_VALUE"""),"No")</f>
        <v>No</v>
      </c>
      <c r="AB643" s="1" t="str">
        <f ca="1">IFERROR(__xludf.DUMMYFUNCTION("""COMPUTED_VALUE"""),"No")</f>
        <v>No</v>
      </c>
      <c r="AC643" s="1" t="str">
        <f ca="1">IFERROR(__xludf.DUMMYFUNCTION("""COMPUTED_VALUE"""),"No")</f>
        <v>No</v>
      </c>
      <c r="AD643" s="1" t="str">
        <f ca="1">IFERROR(__xludf.DUMMYFUNCTION("""COMPUTED_VALUE"""),"No")</f>
        <v>No</v>
      </c>
      <c r="AE643" s="1" t="str">
        <f ca="1">IFERROR(__xludf.DUMMYFUNCTION("""COMPUTED_VALUE"""),"No")</f>
        <v>No</v>
      </c>
      <c r="AF643" s="1" t="str">
        <f ca="1">IFERROR(__xludf.DUMMYFUNCTION("""COMPUTED_VALUE"""),"No")</f>
        <v>No</v>
      </c>
      <c r="AG643" s="1" t="str">
        <f ca="1">IFERROR(__xludf.DUMMYFUNCTION("""COMPUTED_VALUE"""),"No")</f>
        <v>No</v>
      </c>
      <c r="AH643" s="1">
        <f ca="1">IFERROR(__xludf.DUMMYFUNCTION("""COMPUTED_VALUE"""),99)</f>
        <v>99</v>
      </c>
    </row>
    <row r="644" spans="1:34" ht="12.5">
      <c r="A644" s="1" t="str">
        <f ca="1">IFERROR(__xludf.DUMMYFUNCTION("""COMPUTED_VALUE"""),"20220413MISHS")</f>
        <v>20220413MISHS</v>
      </c>
      <c r="B644" s="1">
        <f ca="1">IFERROR(__xludf.DUMMYFUNCTION("""COMPUTED_VALUE"""),4)</f>
        <v>4</v>
      </c>
      <c r="C644" s="1">
        <f ca="1">IFERROR(__xludf.DUMMYFUNCTION("""COMPUTED_VALUE"""),13)</f>
        <v>13</v>
      </c>
      <c r="D644" s="1">
        <f ca="1">IFERROR(__xludf.DUMMYFUNCTION("""COMPUTED_VALUE"""),2022)</f>
        <v>2022</v>
      </c>
      <c r="E644" s="4">
        <f ca="1">IFERROR(__xludf.DUMMYFUNCTION("""COMPUTED_VALUE"""),44664)</f>
        <v>44664</v>
      </c>
      <c r="F644" s="1" t="str">
        <f ca="1">IFERROR(__xludf.DUMMYFUNCTION("""COMPUTED_VALUE"""),"Shelters Elementary School")</f>
        <v>Shelters Elementary School</v>
      </c>
      <c r="G644" s="1">
        <f ca="1">IFERROR(__xludf.DUMMYFUNCTION("""COMPUTED_VALUE"""),0)</f>
        <v>0</v>
      </c>
      <c r="H644" s="1">
        <f ca="1">IFERROR(__xludf.DUMMYFUNCTION("""COMPUTED_VALUE"""),0)</f>
        <v>0</v>
      </c>
      <c r="I644" s="1">
        <f ca="1">IFERROR(__xludf.DUMMYFUNCTION("""COMPUTED_VALUE"""),0)</f>
        <v>0</v>
      </c>
      <c r="J644" s="1">
        <f ca="1">IFERROR(__xludf.DUMMYFUNCTION("""COMPUTED_VALUE"""),0)</f>
        <v>0</v>
      </c>
      <c r="K644" s="1" t="str">
        <f ca="1">IFERROR(__xludf.DUMMYFUNCTION("""COMPUTED_VALUE"""),"Spring")</f>
        <v>Spring</v>
      </c>
      <c r="L644" s="1" t="str">
        <f ca="1">IFERROR(__xludf.DUMMYFUNCTION("""COMPUTED_VALUE"""),"Southgate")</f>
        <v>Southgate</v>
      </c>
      <c r="M644" s="1" t="str">
        <f ca="1">IFERROR(__xludf.DUMMYFUNCTION("""COMPUTED_VALUE"""),"MI")</f>
        <v>MI</v>
      </c>
      <c r="N644" s="1" t="str">
        <f ca="1">IFERROR(__xludf.DUMMYFUNCTION("""COMPUTED_VALUE"""),"Elementary")</f>
        <v>Elementary</v>
      </c>
      <c r="O644" s="1" t="str">
        <f ca="1">IFERROR(__xludf.DUMMYFUNCTION("""COMPUTED_VALUE"""),"Playground")</f>
        <v>Playground</v>
      </c>
      <c r="P644" s="1" t="str">
        <f ca="1">IFERROR(__xludf.DUMMYFUNCTION("""COMPUTED_VALUE"""),"Outside on School Property")</f>
        <v>Outside on School Property</v>
      </c>
      <c r="Q644" s="1" t="str">
        <f ca="1">IFERROR(__xludf.DUMMYFUNCTION("""COMPUTED_VALUE"""),"Yes")</f>
        <v>Yes</v>
      </c>
      <c r="R644" s="1" t="str">
        <f ca="1">IFERROR(__xludf.DUMMYFUNCTION("""COMPUTED_VALUE"""),"Afternoon Classes")</f>
        <v>Afternoon Classes</v>
      </c>
      <c r="S644" s="5">
        <f ca="1">IFERROR(__xludf.DUMMYFUNCTION("""COMPUTED_VALUE"""),0.541666666666666)</f>
        <v>0.54166666666666596</v>
      </c>
      <c r="T644" s="1">
        <f ca="1">IFERROR(__xludf.DUMMYFUNCTION("""COMPUTED_VALUE"""),1)</f>
        <v>1</v>
      </c>
      <c r="U644" s="1" t="str">
        <f ca="1">IFERROR(__xludf.DUMMYFUNCTION("""COMPUTED_VALUE"""),"Student shot another student with a BB gun during recess")</f>
        <v>Student shot another student with a BB gun during recess</v>
      </c>
      <c r="V644" s="1" t="str">
        <f ca="1">IFERROR(__xludf.DUMMYFUNCTION("""COMPUTED_VALUE"""),"An 11-year-old male student shot a classmate on the playground during recess with a BB gun that was a replica of a real handgun. Student was detained by the SRO. Criminal charges pending.")</f>
        <v>An 11-year-old male student shot a classmate on the playground during recess with a BB gun that was a replica of a real handgun. Student was detained by the SRO. Criminal charges pending.</v>
      </c>
      <c r="W644" s="1"/>
      <c r="X644" s="1" t="str">
        <f ca="1">IFERROR(__xludf.DUMMYFUNCTION("""COMPUTED_VALUE"""),"Victims Targeted")</f>
        <v>Victims Targeted</v>
      </c>
      <c r="Y644" s="1" t="str">
        <f ca="1">IFERROR(__xludf.DUMMYFUNCTION("""COMPUTED_VALUE"""),"No")</f>
        <v>No</v>
      </c>
      <c r="Z644" s="1"/>
      <c r="AA644" s="1" t="str">
        <f ca="1">IFERROR(__xludf.DUMMYFUNCTION("""COMPUTED_VALUE"""),"No")</f>
        <v>No</v>
      </c>
      <c r="AB644" s="1" t="str">
        <f ca="1">IFERROR(__xludf.DUMMYFUNCTION("""COMPUTED_VALUE"""),"No")</f>
        <v>No</v>
      </c>
      <c r="AC644" s="1" t="str">
        <f ca="1">IFERROR(__xludf.DUMMYFUNCTION("""COMPUTED_VALUE"""),"No")</f>
        <v>No</v>
      </c>
      <c r="AD644" s="1"/>
      <c r="AE644" s="1" t="str">
        <f ca="1">IFERROR(__xludf.DUMMYFUNCTION("""COMPUTED_VALUE"""),"No")</f>
        <v>No</v>
      </c>
      <c r="AF644" s="1" t="str">
        <f ca="1">IFERROR(__xludf.DUMMYFUNCTION("""COMPUTED_VALUE"""),"No")</f>
        <v>No</v>
      </c>
      <c r="AG644" s="1" t="str">
        <f ca="1">IFERROR(__xludf.DUMMYFUNCTION("""COMPUTED_VALUE"""),"No")</f>
        <v>No</v>
      </c>
      <c r="AH644" s="1">
        <f ca="1">IFERROR(__xludf.DUMMYFUNCTION("""COMPUTED_VALUE"""),1)</f>
        <v>1</v>
      </c>
    </row>
    <row r="645" spans="1:34" ht="12.5">
      <c r="A645" s="1" t="str">
        <f ca="1">IFERROR(__xludf.DUMMYFUNCTION("""COMPUTED_VALUE"""),"20220411ARPIP")</f>
        <v>20220411ARPIP</v>
      </c>
      <c r="B645" s="1">
        <f ca="1">IFERROR(__xludf.DUMMYFUNCTION("""COMPUTED_VALUE"""),4)</f>
        <v>4</v>
      </c>
      <c r="C645" s="1">
        <f ca="1">IFERROR(__xludf.DUMMYFUNCTION("""COMPUTED_VALUE"""),11)</f>
        <v>11</v>
      </c>
      <c r="D645" s="1">
        <f ca="1">IFERROR(__xludf.DUMMYFUNCTION("""COMPUTED_VALUE"""),2022)</f>
        <v>2022</v>
      </c>
      <c r="E645" s="4">
        <f ca="1">IFERROR(__xludf.DUMMYFUNCTION("""COMPUTED_VALUE"""),44662)</f>
        <v>44662</v>
      </c>
      <c r="F645" s="1" t="str">
        <f ca="1">IFERROR(__xludf.DUMMYFUNCTION("""COMPUTED_VALUE"""),"Pine Bluff High School")</f>
        <v>Pine Bluff High School</v>
      </c>
      <c r="G645" s="1">
        <f ca="1">IFERROR(__xludf.DUMMYFUNCTION("""COMPUTED_VALUE"""),0)</f>
        <v>0</v>
      </c>
      <c r="H645" s="1">
        <f ca="1">IFERROR(__xludf.DUMMYFUNCTION("""COMPUTED_VALUE"""),0)</f>
        <v>0</v>
      </c>
      <c r="I645" s="1">
        <f ca="1">IFERROR(__xludf.DUMMYFUNCTION("""COMPUTED_VALUE"""),0)</f>
        <v>0</v>
      </c>
      <c r="J645" s="1">
        <f ca="1">IFERROR(__xludf.DUMMYFUNCTION("""COMPUTED_VALUE"""),0)</f>
        <v>0</v>
      </c>
      <c r="K645" s="1" t="str">
        <f ca="1">IFERROR(__xludf.DUMMYFUNCTION("""COMPUTED_VALUE"""),"Spring")</f>
        <v>Spring</v>
      </c>
      <c r="L645" s="1" t="str">
        <f ca="1">IFERROR(__xludf.DUMMYFUNCTION("""COMPUTED_VALUE"""),"Pine Bluff")</f>
        <v>Pine Bluff</v>
      </c>
      <c r="M645" s="1" t="str">
        <f ca="1">IFERROR(__xludf.DUMMYFUNCTION("""COMPUTED_VALUE"""),"AR")</f>
        <v>AR</v>
      </c>
      <c r="N645" s="1" t="str">
        <f ca="1">IFERROR(__xludf.DUMMYFUNCTION("""COMPUTED_VALUE"""),"High")</f>
        <v>High</v>
      </c>
      <c r="O645" s="1" t="str">
        <f ca="1">IFERROR(__xludf.DUMMYFUNCTION("""COMPUTED_VALUE"""),"Parking Lot")</f>
        <v>Parking Lot</v>
      </c>
      <c r="P645" s="1" t="str">
        <f ca="1">IFERROR(__xludf.DUMMYFUNCTION("""COMPUTED_VALUE"""),"Outside on School Property")</f>
        <v>Outside on School Property</v>
      </c>
      <c r="Q645" s="1" t="str">
        <f ca="1">IFERROR(__xludf.DUMMYFUNCTION("""COMPUTED_VALUE"""),"Yes")</f>
        <v>Yes</v>
      </c>
      <c r="R645" s="1" t="str">
        <f ca="1">IFERROR(__xludf.DUMMYFUNCTION("""COMPUTED_VALUE"""),"Afternoon Classes")</f>
        <v>Afternoon Classes</v>
      </c>
      <c r="S645" s="5">
        <f ca="1">IFERROR(__xludf.DUMMYFUNCTION("""COMPUTED_VALUE"""),0.614583333333333)</f>
        <v>0.61458333333333304</v>
      </c>
      <c r="T645" s="1">
        <f ca="1">IFERROR(__xludf.DUMMYFUNCTION("""COMPUTED_VALUE"""),1)</f>
        <v>1</v>
      </c>
      <c r="U645" s="1" t="str">
        <f ca="1">IFERROR(__xludf.DUMMYFUNCTION("""COMPUTED_VALUE"""),"Officer assigned school heard gunshots in parking lot")</f>
        <v>Officer assigned school heard gunshots in parking lot</v>
      </c>
      <c r="V645" s="1" t="str">
        <f ca="1">IFERROR(__xludf.DUMMYFUNCTION("""COMPUTED_VALUE"""),"Off duty police officer working at the school heard gunshots fired in the parking lot. School went on lockdown. No victims. An unidentified juvenile was detained.")</f>
        <v>Off duty police officer working at the school heard gunshots fired in the parking lot. School went on lockdown. No victims. An unidentified juvenile was detained.</v>
      </c>
      <c r="W645" s="1"/>
      <c r="X645" s="1"/>
      <c r="Y645" s="1" t="str">
        <f ca="1">IFERROR(__xludf.DUMMYFUNCTION("""COMPUTED_VALUE"""),"No")</f>
        <v>No</v>
      </c>
      <c r="Z645" s="1"/>
      <c r="AA645" s="1" t="str">
        <f ca="1">IFERROR(__xludf.DUMMYFUNCTION("""COMPUTED_VALUE"""),"No")</f>
        <v>No</v>
      </c>
      <c r="AB645" s="1" t="str">
        <f ca="1">IFERROR(__xludf.DUMMYFUNCTION("""COMPUTED_VALUE"""),"No")</f>
        <v>No</v>
      </c>
      <c r="AC645" s="1" t="str">
        <f ca="1">IFERROR(__xludf.DUMMYFUNCTION("""COMPUTED_VALUE"""),"No")</f>
        <v>No</v>
      </c>
      <c r="AD645" s="1" t="str">
        <f ca="1">IFERROR(__xludf.DUMMYFUNCTION("""COMPUTED_VALUE"""),"No")</f>
        <v>No</v>
      </c>
      <c r="AE645" s="1" t="str">
        <f ca="1">IFERROR(__xludf.DUMMYFUNCTION("""COMPUTED_VALUE"""),"No")</f>
        <v>No</v>
      </c>
      <c r="AF645" s="1"/>
      <c r="AG645" s="1" t="str">
        <f ca="1">IFERROR(__xludf.DUMMYFUNCTION("""COMPUTED_VALUE"""),"No")</f>
        <v>No</v>
      </c>
      <c r="AH645" s="1">
        <f ca="1">IFERROR(__xludf.DUMMYFUNCTION("""COMPUTED_VALUE"""),99)</f>
        <v>99</v>
      </c>
    </row>
    <row r="646" spans="1:34" ht="12.5">
      <c r="A646" s="1" t="str">
        <f ca="1">IFERROR(__xludf.DUMMYFUNCTION("""COMPUTED_VALUE"""),"20220410MALYL")</f>
        <v>20220410MALYL</v>
      </c>
      <c r="B646" s="1">
        <f ca="1">IFERROR(__xludf.DUMMYFUNCTION("""COMPUTED_VALUE"""),4)</f>
        <v>4</v>
      </c>
      <c r="C646" s="1">
        <f ca="1">IFERROR(__xludf.DUMMYFUNCTION("""COMPUTED_VALUE"""),10)</f>
        <v>10</v>
      </c>
      <c r="D646" s="1">
        <f ca="1">IFERROR(__xludf.DUMMYFUNCTION("""COMPUTED_VALUE"""),2022)</f>
        <v>2022</v>
      </c>
      <c r="E646" s="4">
        <f ca="1">IFERROR(__xludf.DUMMYFUNCTION("""COMPUTED_VALUE"""),44661)</f>
        <v>44661</v>
      </c>
      <c r="F646" s="1" t="str">
        <f ca="1">IFERROR(__xludf.DUMMYFUNCTION("""COMPUTED_VALUE"""),"Lynn English High School")</f>
        <v>Lynn English High School</v>
      </c>
      <c r="G646" s="1">
        <f ca="1">IFERROR(__xludf.DUMMYFUNCTION("""COMPUTED_VALUE"""),1)</f>
        <v>1</v>
      </c>
      <c r="H646" s="1">
        <f ca="1">IFERROR(__xludf.DUMMYFUNCTION("""COMPUTED_VALUE"""),0)</f>
        <v>0</v>
      </c>
      <c r="I646" s="1">
        <f ca="1">IFERROR(__xludf.DUMMYFUNCTION("""COMPUTED_VALUE"""),1)</f>
        <v>1</v>
      </c>
      <c r="J646" s="1">
        <f ca="1">IFERROR(__xludf.DUMMYFUNCTION("""COMPUTED_VALUE"""),0)</f>
        <v>0</v>
      </c>
      <c r="K646" s="1" t="str">
        <f ca="1">IFERROR(__xludf.DUMMYFUNCTION("""COMPUTED_VALUE"""),"Spring")</f>
        <v>Spring</v>
      </c>
      <c r="L646" s="1" t="str">
        <f ca="1">IFERROR(__xludf.DUMMYFUNCTION("""COMPUTED_VALUE"""),"Lynn")</f>
        <v>Lynn</v>
      </c>
      <c r="M646" s="1" t="str">
        <f ca="1">IFERROR(__xludf.DUMMYFUNCTION("""COMPUTED_VALUE"""),"MA")</f>
        <v>MA</v>
      </c>
      <c r="N646" s="1" t="str">
        <f ca="1">IFERROR(__xludf.DUMMYFUNCTION("""COMPUTED_VALUE"""),"High")</f>
        <v>High</v>
      </c>
      <c r="O646" s="1" t="str">
        <f ca="1">IFERROR(__xludf.DUMMYFUNCTION("""COMPUTED_VALUE"""),"Parking Lot")</f>
        <v>Parking Lot</v>
      </c>
      <c r="P646" s="1" t="str">
        <f ca="1">IFERROR(__xludf.DUMMYFUNCTION("""COMPUTED_VALUE"""),"Outside on School Property")</f>
        <v>Outside on School Property</v>
      </c>
      <c r="Q646" s="1" t="str">
        <f ca="1">IFERROR(__xludf.DUMMYFUNCTION("""COMPUTED_VALUE"""),"No")</f>
        <v>No</v>
      </c>
      <c r="R646" s="1" t="str">
        <f ca="1">IFERROR(__xludf.DUMMYFUNCTION("""COMPUTED_VALUE"""),"Night")</f>
        <v>Night</v>
      </c>
      <c r="S646" s="5">
        <f ca="1">IFERROR(__xludf.DUMMYFUNCTION("""COMPUTED_VALUE"""),0.0416666666666666)</f>
        <v>4.1666666666666602E-2</v>
      </c>
      <c r="T646" s="1">
        <f ca="1">IFERROR(__xludf.DUMMYFUNCTION("""COMPUTED_VALUE"""),1)</f>
        <v>1</v>
      </c>
      <c r="U646" s="1" t="str">
        <f ca="1">IFERROR(__xludf.DUMMYFUNCTION("""COMPUTED_VALUE"""),"Man fatally shot near the loading dock behind the school")</f>
        <v>Man fatally shot near the loading dock behind the school</v>
      </c>
      <c r="V646" s="1" t="str">
        <f ca="1">IFERROR(__xludf.DUMMYFUNCTION("""COMPUTED_VALUE"""),"A 20-year-old man was fatally shot 4 times near the loading dock in the parking lot behind the school. Neighbors heard the shots and called police. Shooter fled.")</f>
        <v>A 20-year-old man was fatally shot 4 times near the loading dock in the parking lot behind the school. Neighbors heard the shots and called police. Shooter fled.</v>
      </c>
      <c r="W646" s="1"/>
      <c r="X646" s="1" t="str">
        <f ca="1">IFERROR(__xludf.DUMMYFUNCTION("""COMPUTED_VALUE"""),"Victims Targeted")</f>
        <v>Victims Targeted</v>
      </c>
      <c r="Y646" s="1" t="str">
        <f ca="1">IFERROR(__xludf.DUMMYFUNCTION("""COMPUTED_VALUE"""),"No")</f>
        <v>No</v>
      </c>
      <c r="Z646" s="1"/>
      <c r="AA646" s="1" t="str">
        <f ca="1">IFERROR(__xludf.DUMMYFUNCTION("""COMPUTED_VALUE"""),"No")</f>
        <v>No</v>
      </c>
      <c r="AB646" s="1" t="str">
        <f ca="1">IFERROR(__xludf.DUMMYFUNCTION("""COMPUTED_VALUE"""),"No")</f>
        <v>No</v>
      </c>
      <c r="AC646" s="1" t="str">
        <f ca="1">IFERROR(__xludf.DUMMYFUNCTION("""COMPUTED_VALUE"""),"No")</f>
        <v>No</v>
      </c>
      <c r="AD646" s="1" t="str">
        <f ca="1">IFERROR(__xludf.DUMMYFUNCTION("""COMPUTED_VALUE"""),"No")</f>
        <v>No</v>
      </c>
      <c r="AE646" s="1" t="str">
        <f ca="1">IFERROR(__xludf.DUMMYFUNCTION("""COMPUTED_VALUE"""),"No")</f>
        <v>No</v>
      </c>
      <c r="AF646" s="1"/>
      <c r="AG646" s="1" t="str">
        <f ca="1">IFERROR(__xludf.DUMMYFUNCTION("""COMPUTED_VALUE"""),"No")</f>
        <v>No</v>
      </c>
      <c r="AH646" s="1">
        <f ca="1">IFERROR(__xludf.DUMMYFUNCTION("""COMPUTED_VALUE"""),4)</f>
        <v>4</v>
      </c>
    </row>
    <row r="647" spans="1:34" ht="12.5">
      <c r="A647" s="1" t="str">
        <f ca="1">IFERROR(__xludf.DUMMYFUNCTION("""COMPUTED_VALUE"""),"20220406WVRIR")</f>
        <v>20220406WVRIR</v>
      </c>
      <c r="B647" s="1">
        <f ca="1">IFERROR(__xludf.DUMMYFUNCTION("""COMPUTED_VALUE"""),4)</f>
        <v>4</v>
      </c>
      <c r="C647" s="1">
        <f ca="1">IFERROR(__xludf.DUMMYFUNCTION("""COMPUTED_VALUE"""),6)</f>
        <v>6</v>
      </c>
      <c r="D647" s="1">
        <f ca="1">IFERROR(__xludf.DUMMYFUNCTION("""COMPUTED_VALUE"""),2022)</f>
        <v>2022</v>
      </c>
      <c r="E647" s="4">
        <f ca="1">IFERROR(__xludf.DUMMYFUNCTION("""COMPUTED_VALUE"""),44657)</f>
        <v>44657</v>
      </c>
      <c r="F647" s="1" t="str">
        <f ca="1">IFERROR(__xludf.DUMMYFUNCTION("""COMPUTED_VALUE"""),"Ripley Middle School")</f>
        <v>Ripley Middle School</v>
      </c>
      <c r="G647" s="1">
        <f ca="1">IFERROR(__xludf.DUMMYFUNCTION("""COMPUTED_VALUE"""),0)</f>
        <v>0</v>
      </c>
      <c r="H647" s="1">
        <f ca="1">IFERROR(__xludf.DUMMYFUNCTION("""COMPUTED_VALUE"""),0)</f>
        <v>0</v>
      </c>
      <c r="I647" s="1">
        <f ca="1">IFERROR(__xludf.DUMMYFUNCTION("""COMPUTED_VALUE"""),0)</f>
        <v>0</v>
      </c>
      <c r="J647" s="1">
        <f ca="1">IFERROR(__xludf.DUMMYFUNCTION("""COMPUTED_VALUE"""),0)</f>
        <v>0</v>
      </c>
      <c r="K647" s="1" t="str">
        <f ca="1">IFERROR(__xludf.DUMMYFUNCTION("""COMPUTED_VALUE"""),"Spring")</f>
        <v>Spring</v>
      </c>
      <c r="L647" s="1" t="str">
        <f ca="1">IFERROR(__xludf.DUMMYFUNCTION("""COMPUTED_VALUE"""),"Ripley")</f>
        <v>Ripley</v>
      </c>
      <c r="M647" s="1" t="str">
        <f ca="1">IFERROR(__xludf.DUMMYFUNCTION("""COMPUTED_VALUE"""),"WV")</f>
        <v>WV</v>
      </c>
      <c r="N647" s="1" t="str">
        <f ca="1">IFERROR(__xludf.DUMMYFUNCTION("""COMPUTED_VALUE"""),"Middle")</f>
        <v>Middle</v>
      </c>
      <c r="O647" s="1" t="str">
        <f ca="1">IFERROR(__xludf.DUMMYFUNCTION("""COMPUTED_VALUE"""),"School Bus")</f>
        <v>School Bus</v>
      </c>
      <c r="P647" s="1" t="str">
        <f ca="1">IFERROR(__xludf.DUMMYFUNCTION("""COMPUTED_VALUE"""),"School Bus")</f>
        <v>School Bus</v>
      </c>
      <c r="Q647" s="1" t="str">
        <f ca="1">IFERROR(__xludf.DUMMYFUNCTION("""COMPUTED_VALUE"""),"Yes")</f>
        <v>Yes</v>
      </c>
      <c r="R647" s="1" t="str">
        <f ca="1">IFERROR(__xludf.DUMMYFUNCTION("""COMPUTED_VALUE"""),"School Start")</f>
        <v>School Start</v>
      </c>
      <c r="S647" s="5">
        <f ca="1">IFERROR(__xludf.DUMMYFUNCTION("""COMPUTED_VALUE"""),0.333333333333333)</f>
        <v>0.33333333333333298</v>
      </c>
      <c r="T647" s="1">
        <f ca="1">IFERROR(__xludf.DUMMYFUNCTION("""COMPUTED_VALUE"""),1)</f>
        <v>1</v>
      </c>
      <c r="U647" s="1" t="str">
        <f ca="1">IFERROR(__xludf.DUMMYFUNCTION("""COMPUTED_VALUE"""),"Student brandished gun on school bus, subdued by other students, planned execution of student")</f>
        <v>Student brandished gun on school bus, subdued by other students, planned execution of student</v>
      </c>
      <c r="V647" s="1" t="str">
        <f ca="1">IFERROR(__xludf.DUMMYFUNCTION("""COMPUTED_VALUE"""),"A 15-year-old student brandished a handgun on a school bus and was subdued by other students. They took out the magazine and gave it to the bus driver who evacuated the bus. Gun was stolen in burglary by shooter's older brother (16-year-old student). They"&amp;" planned to execute a student at the school that day.")</f>
        <v>A 15-year-old student brandished a handgun on a school bus and was subdued by other students. They took out the magazine and gave it to the bus driver who evacuated the bus. Gun was stolen in burglary by shooter's older brother (16-year-old student). They planned to execute a student at the school that day.</v>
      </c>
      <c r="W647" s="1"/>
      <c r="X647" s="1" t="str">
        <f ca="1">IFERROR(__xludf.DUMMYFUNCTION("""COMPUTED_VALUE"""),"Victims Targeted")</f>
        <v>Victims Targeted</v>
      </c>
      <c r="Y647" s="1" t="str">
        <f ca="1">IFERROR(__xludf.DUMMYFUNCTION("""COMPUTED_VALUE"""),"Yes")</f>
        <v>Yes</v>
      </c>
      <c r="Z647" s="1" t="str">
        <f ca="1">IFERROR(__xludf.DUMMYFUNCTION("""COMPUTED_VALUE"""),"Two brothers, both students")</f>
        <v>Two brothers, both students</v>
      </c>
      <c r="AA647" s="1" t="str">
        <f ca="1">IFERROR(__xludf.DUMMYFUNCTION("""COMPUTED_VALUE"""),"No")</f>
        <v>No</v>
      </c>
      <c r="AB647" s="1" t="str">
        <f ca="1">IFERROR(__xludf.DUMMYFUNCTION("""COMPUTED_VALUE"""),"No")</f>
        <v>No</v>
      </c>
      <c r="AC647" s="1" t="str">
        <f ca="1">IFERROR(__xludf.DUMMYFUNCTION("""COMPUTED_VALUE"""),"No")</f>
        <v>No</v>
      </c>
      <c r="AD647" s="1"/>
      <c r="AE647" s="1" t="str">
        <f ca="1">IFERROR(__xludf.DUMMYFUNCTION("""COMPUTED_VALUE"""),"No")</f>
        <v>No</v>
      </c>
      <c r="AF647" s="1" t="str">
        <f ca="1">IFERROR(__xludf.DUMMYFUNCTION("""COMPUTED_VALUE"""),"No")</f>
        <v>No</v>
      </c>
      <c r="AG647" s="1" t="str">
        <f ca="1">IFERROR(__xludf.DUMMYFUNCTION("""COMPUTED_VALUE"""),"No")</f>
        <v>No</v>
      </c>
      <c r="AH647" s="1">
        <f ca="1">IFERROR(__xludf.DUMMYFUNCTION("""COMPUTED_VALUE"""),0)</f>
        <v>0</v>
      </c>
    </row>
    <row r="648" spans="1:34" ht="12.5">
      <c r="A648" s="1" t="str">
        <f ca="1">IFERROR(__xludf.DUMMYFUNCTION("""COMPUTED_VALUE"""),"20220406WASTM")</f>
        <v>20220406WASTM</v>
      </c>
      <c r="B648" s="1">
        <f ca="1">IFERROR(__xludf.DUMMYFUNCTION("""COMPUTED_VALUE"""),4)</f>
        <v>4</v>
      </c>
      <c r="C648" s="1">
        <f ca="1">IFERROR(__xludf.DUMMYFUNCTION("""COMPUTED_VALUE"""),6)</f>
        <v>6</v>
      </c>
      <c r="D648" s="1">
        <f ca="1">IFERROR(__xludf.DUMMYFUNCTION("""COMPUTED_VALUE"""),2022)</f>
        <v>2022</v>
      </c>
      <c r="E648" s="4">
        <f ca="1">IFERROR(__xludf.DUMMYFUNCTION("""COMPUTED_VALUE"""),44657)</f>
        <v>44657</v>
      </c>
      <c r="F648" s="1" t="str">
        <f ca="1">IFERROR(__xludf.DUMMYFUNCTION("""COMPUTED_VALUE"""),"St. Monica Catholic School")</f>
        <v>St. Monica Catholic School</v>
      </c>
      <c r="G648" s="1">
        <f ca="1">IFERROR(__xludf.DUMMYFUNCTION("""COMPUTED_VALUE"""),0)</f>
        <v>0</v>
      </c>
      <c r="H648" s="1">
        <f ca="1">IFERROR(__xludf.DUMMYFUNCTION("""COMPUTED_VALUE"""),0)</f>
        <v>0</v>
      </c>
      <c r="I648" s="1">
        <f ca="1">IFERROR(__xludf.DUMMYFUNCTION("""COMPUTED_VALUE"""),0)</f>
        <v>0</v>
      </c>
      <c r="J648" s="1">
        <f ca="1">IFERROR(__xludf.DUMMYFUNCTION("""COMPUTED_VALUE"""),0)</f>
        <v>0</v>
      </c>
      <c r="K648" s="1" t="str">
        <f ca="1">IFERROR(__xludf.DUMMYFUNCTION("""COMPUTED_VALUE"""),"Spring")</f>
        <v>Spring</v>
      </c>
      <c r="L648" s="1" t="str">
        <f ca="1">IFERROR(__xludf.DUMMYFUNCTION("""COMPUTED_VALUE"""),"Mercer Island")</f>
        <v>Mercer Island</v>
      </c>
      <c r="M648" s="1" t="str">
        <f ca="1">IFERROR(__xludf.DUMMYFUNCTION("""COMPUTED_VALUE"""),"WA")</f>
        <v>WA</v>
      </c>
      <c r="N648" s="1" t="str">
        <f ca="1">IFERROR(__xludf.DUMMYFUNCTION("""COMPUTED_VALUE"""),"Elementary")</f>
        <v>Elementary</v>
      </c>
      <c r="O648" s="1" t="str">
        <f ca="1">IFERROR(__xludf.DUMMYFUNCTION("""COMPUTED_VALUE"""),"Playground")</f>
        <v>Playground</v>
      </c>
      <c r="P648" s="1" t="str">
        <f ca="1">IFERROR(__xludf.DUMMYFUNCTION("""COMPUTED_VALUE"""),"Outside on School Property")</f>
        <v>Outside on School Property</v>
      </c>
      <c r="Q648" s="1" t="str">
        <f ca="1">IFERROR(__xludf.DUMMYFUNCTION("""COMPUTED_VALUE"""),"Yes")</f>
        <v>Yes</v>
      </c>
      <c r="R648" s="1" t="str">
        <f ca="1">IFERROR(__xludf.DUMMYFUNCTION("""COMPUTED_VALUE"""),"Afternoon Classes")</f>
        <v>Afternoon Classes</v>
      </c>
      <c r="S648" s="5">
        <f ca="1">IFERROR(__xludf.DUMMYFUNCTION("""COMPUTED_VALUE"""),0.5625)</f>
        <v>0.5625</v>
      </c>
      <c r="T648" s="1">
        <f ca="1">IFERROR(__xludf.DUMMYFUNCTION("""COMPUTED_VALUE"""),1)</f>
        <v>1</v>
      </c>
      <c r="U648" s="1" t="str">
        <f ca="1">IFERROR(__xludf.DUMMYFUNCTION("""COMPUTED_VALUE"""),"Pellet gun fired from vehicle at students on the playground")</f>
        <v>Pellet gun fired from vehicle at students on the playground</v>
      </c>
      <c r="V648" s="1" t="str">
        <f ca="1">IFERROR(__xludf.DUMMYFUNCTION("""COMPUTED_VALUE"""),"Pellets were fired from the backseat of an SUV at students on the playground. Shooter fled in vehicle. Students reported feeling stings but did not have any injuries.")</f>
        <v>Pellets were fired from the backseat of an SUV at students on the playground. Shooter fled in vehicle. Students reported feeling stings but did not have any injuries.</v>
      </c>
      <c r="W648" s="1" t="str">
        <f ca="1">IFERROR(__xludf.DUMMYFUNCTION("""COMPUTED_VALUE"""),"Drive-by Shooting")</f>
        <v>Drive-by Shooting</v>
      </c>
      <c r="X648" s="1" t="str">
        <f ca="1">IFERROR(__xludf.DUMMYFUNCTION("""COMPUTED_VALUE"""),"Random Shooting")</f>
        <v>Random Shooting</v>
      </c>
      <c r="Y648" s="1" t="str">
        <f ca="1">IFERROR(__xludf.DUMMYFUNCTION("""COMPUTED_VALUE"""),"Yes")</f>
        <v>Yes</v>
      </c>
      <c r="Z648" s="1" t="str">
        <f ca="1">IFERROR(__xludf.DUMMYFUNCTION("""COMPUTED_VALUE"""),"Driver and shooter")</f>
        <v>Driver and shooter</v>
      </c>
      <c r="AA648" s="1" t="str">
        <f ca="1">IFERROR(__xludf.DUMMYFUNCTION("""COMPUTED_VALUE"""),"No")</f>
        <v>No</v>
      </c>
      <c r="AB648" s="1" t="str">
        <f ca="1">IFERROR(__xludf.DUMMYFUNCTION("""COMPUTED_VALUE"""),"No")</f>
        <v>No</v>
      </c>
      <c r="AC648" s="1" t="str">
        <f ca="1">IFERROR(__xludf.DUMMYFUNCTION("""COMPUTED_VALUE"""),"No")</f>
        <v>No</v>
      </c>
      <c r="AD648" s="1" t="str">
        <f ca="1">IFERROR(__xludf.DUMMYFUNCTION("""COMPUTED_VALUE"""),"No")</f>
        <v>No</v>
      </c>
      <c r="AE648" s="1" t="str">
        <f ca="1">IFERROR(__xludf.DUMMYFUNCTION("""COMPUTED_VALUE"""),"No")</f>
        <v>No</v>
      </c>
      <c r="AF648" s="1" t="str">
        <f ca="1">IFERROR(__xludf.DUMMYFUNCTION("""COMPUTED_VALUE"""),"No")</f>
        <v>No</v>
      </c>
      <c r="AG648" s="1" t="str">
        <f ca="1">IFERROR(__xludf.DUMMYFUNCTION("""COMPUTED_VALUE"""),"No")</f>
        <v>No</v>
      </c>
      <c r="AH648" s="1">
        <f ca="1">IFERROR(__xludf.DUMMYFUNCTION("""COMPUTED_VALUE"""),99)</f>
        <v>99</v>
      </c>
    </row>
    <row r="649" spans="1:34" ht="12.5">
      <c r="A649" s="1" t="str">
        <f ca="1">IFERROR(__xludf.DUMMYFUNCTION("""COMPUTED_VALUE"""),"20220406ORROP")</f>
        <v>20220406ORROP</v>
      </c>
      <c r="B649" s="1">
        <f ca="1">IFERROR(__xludf.DUMMYFUNCTION("""COMPUTED_VALUE"""),4)</f>
        <v>4</v>
      </c>
      <c r="C649" s="1">
        <f ca="1">IFERROR(__xludf.DUMMYFUNCTION("""COMPUTED_VALUE"""),6)</f>
        <v>6</v>
      </c>
      <c r="D649" s="1">
        <f ca="1">IFERROR(__xludf.DUMMYFUNCTION("""COMPUTED_VALUE"""),2022)</f>
        <v>2022</v>
      </c>
      <c r="E649" s="4">
        <f ca="1">IFERROR(__xludf.DUMMYFUNCTION("""COMPUTED_VALUE"""),44657)</f>
        <v>44657</v>
      </c>
      <c r="F649" s="1" t="str">
        <f ca="1">IFERROR(__xludf.DUMMYFUNCTION("""COMPUTED_VALUE"""),"Roosevelt High School")</f>
        <v>Roosevelt High School</v>
      </c>
      <c r="G649" s="1">
        <f ca="1">IFERROR(__xludf.DUMMYFUNCTION("""COMPUTED_VALUE"""),0)</f>
        <v>0</v>
      </c>
      <c r="H649" s="1">
        <f ca="1">IFERROR(__xludf.DUMMYFUNCTION("""COMPUTED_VALUE"""),1)</f>
        <v>1</v>
      </c>
      <c r="I649" s="1">
        <f ca="1">IFERROR(__xludf.DUMMYFUNCTION("""COMPUTED_VALUE"""),1)</f>
        <v>1</v>
      </c>
      <c r="J649" s="1">
        <f ca="1">IFERROR(__xludf.DUMMYFUNCTION("""COMPUTED_VALUE"""),0)</f>
        <v>0</v>
      </c>
      <c r="K649" s="1" t="str">
        <f ca="1">IFERROR(__xludf.DUMMYFUNCTION("""COMPUTED_VALUE"""),"Spring")</f>
        <v>Spring</v>
      </c>
      <c r="L649" s="1" t="str">
        <f ca="1">IFERROR(__xludf.DUMMYFUNCTION("""COMPUTED_VALUE"""),"Portland")</f>
        <v>Portland</v>
      </c>
      <c r="M649" s="1" t="str">
        <f ca="1">IFERROR(__xludf.DUMMYFUNCTION("""COMPUTED_VALUE"""),"OR")</f>
        <v>OR</v>
      </c>
      <c r="N649" s="1" t="str">
        <f ca="1">IFERROR(__xludf.DUMMYFUNCTION("""COMPUTED_VALUE"""),"High")</f>
        <v>High</v>
      </c>
      <c r="O649" s="1" t="str">
        <f ca="1">IFERROR(__xludf.DUMMYFUNCTION("""COMPUTED_VALUE"""),"Parking Lot")</f>
        <v>Parking Lot</v>
      </c>
      <c r="P649" s="1" t="str">
        <f ca="1">IFERROR(__xludf.DUMMYFUNCTION("""COMPUTED_VALUE"""),"Outside on School Property")</f>
        <v>Outside on School Property</v>
      </c>
      <c r="Q649" s="1" t="str">
        <f ca="1">IFERROR(__xludf.DUMMYFUNCTION("""COMPUTED_VALUE"""),"No")</f>
        <v>No</v>
      </c>
      <c r="R649" s="1" t="str">
        <f ca="1">IFERROR(__xludf.DUMMYFUNCTION("""COMPUTED_VALUE"""),"Night")</f>
        <v>Night</v>
      </c>
      <c r="S649" s="5">
        <f ca="1">IFERROR(__xludf.DUMMYFUNCTION("""COMPUTED_VALUE"""),0.895833333333333)</f>
        <v>0.89583333333333304</v>
      </c>
      <c r="T649" s="1">
        <f ca="1">IFERROR(__xludf.DUMMYFUNCTION("""COMPUTED_VALUE"""),1)</f>
        <v>1</v>
      </c>
      <c r="U649" s="1" t="str">
        <f ca="1">IFERROR(__xludf.DUMMYFUNCTION("""COMPUTED_VALUE"""),"Person shot in school parking lot")</f>
        <v>Person shot in school parking lot</v>
      </c>
      <c r="V649" s="1" t="str">
        <f ca="1">IFERROR(__xludf.DUMMYFUNCTION("""COMPUTED_VALUE"""),"An unidentified person was shot in the school parking lot next to a school van. Shooter fled.")</f>
        <v>An unidentified person was shot in the school parking lot next to a school van. Shooter fled.</v>
      </c>
      <c r="W649" s="1"/>
      <c r="X649" s="1" t="str">
        <f ca="1">IFERROR(__xludf.DUMMYFUNCTION("""COMPUTED_VALUE"""),"Victims Targeted")</f>
        <v>Victims Targeted</v>
      </c>
      <c r="Y649" s="1" t="str">
        <f ca="1">IFERROR(__xludf.DUMMYFUNCTION("""COMPUTED_VALUE"""),"No")</f>
        <v>No</v>
      </c>
      <c r="Z649" s="1"/>
      <c r="AA649" s="1" t="str">
        <f ca="1">IFERROR(__xludf.DUMMYFUNCTION("""COMPUTED_VALUE"""),"No")</f>
        <v>No</v>
      </c>
      <c r="AB649" s="1" t="str">
        <f ca="1">IFERROR(__xludf.DUMMYFUNCTION("""COMPUTED_VALUE"""),"No")</f>
        <v>No</v>
      </c>
      <c r="AC649" s="1" t="str">
        <f ca="1">IFERROR(__xludf.DUMMYFUNCTION("""COMPUTED_VALUE"""),"No")</f>
        <v>No</v>
      </c>
      <c r="AD649" s="1" t="str">
        <f ca="1">IFERROR(__xludf.DUMMYFUNCTION("""COMPUTED_VALUE"""),"No")</f>
        <v>No</v>
      </c>
      <c r="AE649" s="1" t="str">
        <f ca="1">IFERROR(__xludf.DUMMYFUNCTION("""COMPUTED_VALUE"""),"No")</f>
        <v>No</v>
      </c>
      <c r="AF649" s="1"/>
      <c r="AG649" s="1" t="str">
        <f ca="1">IFERROR(__xludf.DUMMYFUNCTION("""COMPUTED_VALUE"""),"No")</f>
        <v>No</v>
      </c>
      <c r="AH649" s="1">
        <f ca="1">IFERROR(__xludf.DUMMYFUNCTION("""COMPUTED_VALUE"""),1)</f>
        <v>1</v>
      </c>
    </row>
    <row r="650" spans="1:34" ht="12.5">
      <c r="A650" s="1" t="str">
        <f ca="1">IFERROR(__xludf.DUMMYFUNCTION("""COMPUTED_VALUE"""),"20220405PAERE")</f>
        <v>20220405PAERE</v>
      </c>
      <c r="B650" s="1">
        <f ca="1">IFERROR(__xludf.DUMMYFUNCTION("""COMPUTED_VALUE"""),4)</f>
        <v>4</v>
      </c>
      <c r="C650" s="1">
        <f ca="1">IFERROR(__xludf.DUMMYFUNCTION("""COMPUTED_VALUE"""),5)</f>
        <v>5</v>
      </c>
      <c r="D650" s="1">
        <f ca="1">IFERROR(__xludf.DUMMYFUNCTION("""COMPUTED_VALUE"""),2022)</f>
        <v>2022</v>
      </c>
      <c r="E650" s="4">
        <f ca="1">IFERROR(__xludf.DUMMYFUNCTION("""COMPUTED_VALUE"""),44656)</f>
        <v>44656</v>
      </c>
      <c r="F650" s="1" t="str">
        <f ca="1">IFERROR(__xludf.DUMMYFUNCTION("""COMPUTED_VALUE"""),"Erie High School")</f>
        <v>Erie High School</v>
      </c>
      <c r="G650" s="1">
        <f ca="1">IFERROR(__xludf.DUMMYFUNCTION("""COMPUTED_VALUE"""),0)</f>
        <v>0</v>
      </c>
      <c r="H650" s="1">
        <f ca="1">IFERROR(__xludf.DUMMYFUNCTION("""COMPUTED_VALUE"""),1)</f>
        <v>1</v>
      </c>
      <c r="I650" s="1">
        <f ca="1">IFERROR(__xludf.DUMMYFUNCTION("""COMPUTED_VALUE"""),1)</f>
        <v>1</v>
      </c>
      <c r="J650" s="1">
        <f ca="1">IFERROR(__xludf.DUMMYFUNCTION("""COMPUTED_VALUE"""),0)</f>
        <v>0</v>
      </c>
      <c r="K650" s="1" t="str">
        <f ca="1">IFERROR(__xludf.DUMMYFUNCTION("""COMPUTED_VALUE"""),"Spring")</f>
        <v>Spring</v>
      </c>
      <c r="L650" s="1" t="str">
        <f ca="1">IFERROR(__xludf.DUMMYFUNCTION("""COMPUTED_VALUE"""),"Erie")</f>
        <v>Erie</v>
      </c>
      <c r="M650" s="1" t="str">
        <f ca="1">IFERROR(__xludf.DUMMYFUNCTION("""COMPUTED_VALUE"""),"PA")</f>
        <v>PA</v>
      </c>
      <c r="N650" s="1" t="str">
        <f ca="1">IFERROR(__xludf.DUMMYFUNCTION("""COMPUTED_VALUE"""),"High")</f>
        <v>High</v>
      </c>
      <c r="O650" s="1" t="str">
        <f ca="1">IFERROR(__xludf.DUMMYFUNCTION("""COMPUTED_VALUE"""),"Hallway")</f>
        <v>Hallway</v>
      </c>
      <c r="P650" s="1" t="str">
        <f ca="1">IFERROR(__xludf.DUMMYFUNCTION("""COMPUTED_VALUE"""),"Inside School Building")</f>
        <v>Inside School Building</v>
      </c>
      <c r="Q650" s="1" t="str">
        <f ca="1">IFERROR(__xludf.DUMMYFUNCTION("""COMPUTED_VALUE"""),"Yes")</f>
        <v>Yes</v>
      </c>
      <c r="R650" s="1" t="str">
        <f ca="1">IFERROR(__xludf.DUMMYFUNCTION("""COMPUTED_VALUE"""),"Morning Classes")</f>
        <v>Morning Classes</v>
      </c>
      <c r="S650" s="5">
        <f ca="1">IFERROR(__xludf.DUMMYFUNCTION("""COMPUTED_VALUE"""),0.402777777777777)</f>
        <v>0.40277777777777701</v>
      </c>
      <c r="T650" s="1">
        <f ca="1">IFERROR(__xludf.DUMMYFUNCTION("""COMPUTED_VALUE"""),1)</f>
        <v>1</v>
      </c>
      <c r="U650" s="1" t="str">
        <f ca="1">IFERROR(__xludf.DUMMYFUNCTION("""COMPUTED_VALUE"""),"Shot shot another student twice in the hallway between classes")</f>
        <v>Shot shot another student twice in the hallway between classes</v>
      </c>
      <c r="V650" s="1" t="str">
        <f ca="1">IFERROR(__xludf.DUMMYFUNCTION("""COMPUTED_VALUE"""),"A student (unidentified minor) fired 5 shots at a classmate in the hallway while classes were changing. Victim was targeted and shot 3 times. Shooter fled the scene. School went on lockdown and dismissed. School will remain closed until April 18 (13 days "&amp;"after shooting).")</f>
        <v>A student (unidentified minor) fired 5 shots at a classmate in the hallway while classes were changing. Victim was targeted and shot 3 times. Shooter fled the scene. School went on lockdown and dismissed. School will remain closed until April 18 (13 days after shooting).</v>
      </c>
      <c r="W650" s="1"/>
      <c r="X650" s="1" t="str">
        <f ca="1">IFERROR(__xludf.DUMMYFUNCTION("""COMPUTED_VALUE"""),"Victims Targeted")</f>
        <v>Victims Targeted</v>
      </c>
      <c r="Y650" s="1" t="str">
        <f ca="1">IFERROR(__xludf.DUMMYFUNCTION("""COMPUTED_VALUE"""),"No")</f>
        <v>No</v>
      </c>
      <c r="Z650" s="1"/>
      <c r="AA650" s="1" t="str">
        <f ca="1">IFERROR(__xludf.DUMMYFUNCTION("""COMPUTED_VALUE"""),"No")</f>
        <v>No</v>
      </c>
      <c r="AB650" s="1" t="str">
        <f ca="1">IFERROR(__xludf.DUMMYFUNCTION("""COMPUTED_VALUE"""),"No")</f>
        <v>No</v>
      </c>
      <c r="AC650" s="1" t="str">
        <f ca="1">IFERROR(__xludf.DUMMYFUNCTION("""COMPUTED_VALUE"""),"No")</f>
        <v>No</v>
      </c>
      <c r="AD650" s="1"/>
      <c r="AE650" s="1" t="str">
        <f ca="1">IFERROR(__xludf.DUMMYFUNCTION("""COMPUTED_VALUE"""),"No")</f>
        <v>No</v>
      </c>
      <c r="AF650" s="1"/>
      <c r="AG650" s="1" t="str">
        <f ca="1">IFERROR(__xludf.DUMMYFUNCTION("""COMPUTED_VALUE"""),"No")</f>
        <v>No</v>
      </c>
      <c r="AH650" s="1">
        <f ca="1">IFERROR(__xludf.DUMMYFUNCTION("""COMPUTED_VALUE"""),5)</f>
        <v>5</v>
      </c>
    </row>
    <row r="651" spans="1:34" ht="12.5">
      <c r="A651" s="1" t="str">
        <f ca="1">IFERROR(__xludf.DUMMYFUNCTION("""COMPUTED_VALUE"""),"20220403INBLB")</f>
        <v>20220403INBLB</v>
      </c>
      <c r="B651" s="1">
        <f ca="1">IFERROR(__xludf.DUMMYFUNCTION("""COMPUTED_VALUE"""),4)</f>
        <v>4</v>
      </c>
      <c r="C651" s="1">
        <f ca="1">IFERROR(__xludf.DUMMYFUNCTION("""COMPUTED_VALUE"""),3)</f>
        <v>3</v>
      </c>
      <c r="D651" s="1">
        <f ca="1">IFERROR(__xludf.DUMMYFUNCTION("""COMPUTED_VALUE"""),2022)</f>
        <v>2022</v>
      </c>
      <c r="E651" s="4">
        <f ca="1">IFERROR(__xludf.DUMMYFUNCTION("""COMPUTED_VALUE"""),44654)</f>
        <v>44654</v>
      </c>
      <c r="F651" s="1" t="str">
        <f ca="1">IFERROR(__xludf.DUMMYFUNCTION("""COMPUTED_VALUE"""),"Bloomington High School South")</f>
        <v>Bloomington High School South</v>
      </c>
      <c r="G651" s="1">
        <f ca="1">IFERROR(__xludf.DUMMYFUNCTION("""COMPUTED_VALUE"""),0)</f>
        <v>0</v>
      </c>
      <c r="H651" s="1">
        <f ca="1">IFERROR(__xludf.DUMMYFUNCTION("""COMPUTED_VALUE"""),1)</f>
        <v>1</v>
      </c>
      <c r="I651" s="1">
        <f ca="1">IFERROR(__xludf.DUMMYFUNCTION("""COMPUTED_VALUE"""),1)</f>
        <v>1</v>
      </c>
      <c r="J651" s="1">
        <f ca="1">IFERROR(__xludf.DUMMYFUNCTION("""COMPUTED_VALUE"""),0)</f>
        <v>0</v>
      </c>
      <c r="K651" s="1" t="str">
        <f ca="1">IFERROR(__xludf.DUMMYFUNCTION("""COMPUTED_VALUE"""),"Spring")</f>
        <v>Spring</v>
      </c>
      <c r="L651" s="1" t="str">
        <f ca="1">IFERROR(__xludf.DUMMYFUNCTION("""COMPUTED_VALUE"""),"Bloomington")</f>
        <v>Bloomington</v>
      </c>
      <c r="M651" s="1" t="str">
        <f ca="1">IFERROR(__xludf.DUMMYFUNCTION("""COMPUTED_VALUE"""),"IN")</f>
        <v>IN</v>
      </c>
      <c r="N651" s="1" t="str">
        <f ca="1">IFERROR(__xludf.DUMMYFUNCTION("""COMPUTED_VALUE"""),"High")</f>
        <v>High</v>
      </c>
      <c r="O651" s="1" t="str">
        <f ca="1">IFERROR(__xludf.DUMMYFUNCTION("""COMPUTED_VALUE"""),"Parking Lot")</f>
        <v>Parking Lot</v>
      </c>
      <c r="P651" s="1" t="str">
        <f ca="1">IFERROR(__xludf.DUMMYFUNCTION("""COMPUTED_VALUE"""),"Outside on School Property")</f>
        <v>Outside on School Property</v>
      </c>
      <c r="Q651" s="1" t="str">
        <f ca="1">IFERROR(__xludf.DUMMYFUNCTION("""COMPUTED_VALUE"""),"No")</f>
        <v>No</v>
      </c>
      <c r="R651" s="1" t="str">
        <f ca="1">IFERROR(__xludf.DUMMYFUNCTION("""COMPUTED_VALUE"""),"Evening")</f>
        <v>Evening</v>
      </c>
      <c r="S651" s="5">
        <f ca="1">IFERROR(__xludf.DUMMYFUNCTION("""COMPUTED_VALUE"""),0.798611111111111)</f>
        <v>0.79861111111111105</v>
      </c>
      <c r="T651" s="1">
        <f ca="1">IFERROR(__xludf.DUMMYFUNCTION("""COMPUTED_VALUE"""),1)</f>
        <v>1</v>
      </c>
      <c r="U651" s="1" t="str">
        <f ca="1">IFERROR(__xludf.DUMMYFUNCTION("""COMPUTED_VALUE"""),"Three teens shot at, one injured, in school parking lot")</f>
        <v>Three teens shot at, one injured, in school parking lot</v>
      </c>
      <c r="V651" s="1" t="str">
        <f ca="1">IFERROR(__xludf.DUMMYFUNCTION("""COMPUTED_VALUE"""),"An 18-year-old male in a vehicle fired shots at 3 teens walking in the school parking lot. 17-year-old male was struck in the leg. After reviewing CCTV footage, police determined that a 15-year-old male in the group fired shots back at the vehicle. Shoote"&amp;"r fled and was arrested on 4/14/2022. Second shooter also charged.")</f>
        <v>An 18-year-old male in a vehicle fired shots at 3 teens walking in the school parking lot. 17-year-old male was struck in the leg. After reviewing CCTV footage, police determined that a 15-year-old male in the group fired shots back at the vehicle. Shooter fled and was arrested on 4/14/2022. Second shooter also charged.</v>
      </c>
      <c r="W651" s="1" t="str">
        <f ca="1">IFERROR(__xludf.DUMMYFUNCTION("""COMPUTED_VALUE"""),"Drive-by Shooting")</f>
        <v>Drive-by Shooting</v>
      </c>
      <c r="X651" s="1" t="str">
        <f ca="1">IFERROR(__xludf.DUMMYFUNCTION("""COMPUTED_VALUE"""),"Victims Targeted")</f>
        <v>Victims Targeted</v>
      </c>
      <c r="Y651" s="1" t="str">
        <f ca="1">IFERROR(__xludf.DUMMYFUNCTION("""COMPUTED_VALUE"""),"No")</f>
        <v>No</v>
      </c>
      <c r="Z651" s="1"/>
      <c r="AA651" s="1" t="str">
        <f ca="1">IFERROR(__xludf.DUMMYFUNCTION("""COMPUTED_VALUE"""),"No")</f>
        <v>No</v>
      </c>
      <c r="AB651" s="1" t="str">
        <f ca="1">IFERROR(__xludf.DUMMYFUNCTION("""COMPUTED_VALUE"""),"No")</f>
        <v>No</v>
      </c>
      <c r="AC651" s="1" t="str">
        <f ca="1">IFERROR(__xludf.DUMMYFUNCTION("""COMPUTED_VALUE"""),"No")</f>
        <v>No</v>
      </c>
      <c r="AD651" s="1" t="str">
        <f ca="1">IFERROR(__xludf.DUMMYFUNCTION("""COMPUTED_VALUE"""),"No")</f>
        <v>No</v>
      </c>
      <c r="AE651" s="1" t="str">
        <f ca="1">IFERROR(__xludf.DUMMYFUNCTION("""COMPUTED_VALUE"""),"No")</f>
        <v>No</v>
      </c>
      <c r="AF651" s="1"/>
      <c r="AG651" s="1" t="str">
        <f ca="1">IFERROR(__xludf.DUMMYFUNCTION("""COMPUTED_VALUE"""),"No")</f>
        <v>No</v>
      </c>
      <c r="AH651" s="1">
        <f ca="1">IFERROR(__xludf.DUMMYFUNCTION("""COMPUTED_VALUE"""),99)</f>
        <v>99</v>
      </c>
    </row>
    <row r="652" spans="1:34" ht="12.5">
      <c r="A652" s="1" t="str">
        <f ca="1">IFERROR(__xludf.DUMMYFUNCTION("""COMPUTED_VALUE"""),"20220331SCTAG")</f>
        <v>20220331SCTAG</v>
      </c>
      <c r="B652" s="1">
        <f ca="1">IFERROR(__xludf.DUMMYFUNCTION("""COMPUTED_VALUE"""),3)</f>
        <v>3</v>
      </c>
      <c r="C652" s="1">
        <f ca="1">IFERROR(__xludf.DUMMYFUNCTION("""COMPUTED_VALUE"""),31)</f>
        <v>31</v>
      </c>
      <c r="D652" s="1">
        <f ca="1">IFERROR(__xludf.DUMMYFUNCTION("""COMPUTED_VALUE"""),2022)</f>
        <v>2022</v>
      </c>
      <c r="E652" s="4">
        <f ca="1">IFERROR(__xludf.DUMMYFUNCTION("""COMPUTED_VALUE"""),44651)</f>
        <v>44651</v>
      </c>
      <c r="F652" s="1" t="str">
        <f ca="1">IFERROR(__xludf.DUMMYFUNCTION("""COMPUTED_VALUE"""),"Tanglewood Middle School")</f>
        <v>Tanglewood Middle School</v>
      </c>
      <c r="G652" s="1">
        <f ca="1">IFERROR(__xludf.DUMMYFUNCTION("""COMPUTED_VALUE"""),1)</f>
        <v>1</v>
      </c>
      <c r="H652" s="1">
        <f ca="1">IFERROR(__xludf.DUMMYFUNCTION("""COMPUTED_VALUE"""),0)</f>
        <v>0</v>
      </c>
      <c r="I652" s="1">
        <f ca="1">IFERROR(__xludf.DUMMYFUNCTION("""COMPUTED_VALUE"""),1)</f>
        <v>1</v>
      </c>
      <c r="J652" s="1">
        <f ca="1">IFERROR(__xludf.DUMMYFUNCTION("""COMPUTED_VALUE"""),0)</f>
        <v>0</v>
      </c>
      <c r="K652" s="1" t="str">
        <f ca="1">IFERROR(__xludf.DUMMYFUNCTION("""COMPUTED_VALUE"""),"Spring")</f>
        <v>Spring</v>
      </c>
      <c r="L652" s="1" t="str">
        <f ca="1">IFERROR(__xludf.DUMMYFUNCTION("""COMPUTED_VALUE"""),"Greenville")</f>
        <v>Greenville</v>
      </c>
      <c r="M652" s="1" t="str">
        <f ca="1">IFERROR(__xludf.DUMMYFUNCTION("""COMPUTED_VALUE"""),"SC")</f>
        <v>SC</v>
      </c>
      <c r="N652" s="1" t="str">
        <f ca="1">IFERROR(__xludf.DUMMYFUNCTION("""COMPUTED_VALUE"""),"Middle")</f>
        <v>Middle</v>
      </c>
      <c r="O652" s="1" t="str">
        <f ca="1">IFERROR(__xludf.DUMMYFUNCTION("""COMPUTED_VALUE"""),"Hallway")</f>
        <v>Hallway</v>
      </c>
      <c r="P652" s="1" t="str">
        <f ca="1">IFERROR(__xludf.DUMMYFUNCTION("""COMPUTED_VALUE"""),"Inside School Building")</f>
        <v>Inside School Building</v>
      </c>
      <c r="Q652" s="1" t="str">
        <f ca="1">IFERROR(__xludf.DUMMYFUNCTION("""COMPUTED_VALUE"""),"Yes")</f>
        <v>Yes</v>
      </c>
      <c r="R652" s="1" t="str">
        <f ca="1">IFERROR(__xludf.DUMMYFUNCTION("""COMPUTED_VALUE"""),"Afternoon Classes")</f>
        <v>Afternoon Classes</v>
      </c>
      <c r="S652" s="5">
        <f ca="1">IFERROR(__xludf.DUMMYFUNCTION("""COMPUTED_VALUE"""),0.520833333333333)</f>
        <v>0.52083333333333304</v>
      </c>
      <c r="T652" s="1">
        <f ca="1">IFERROR(__xludf.DUMMYFUNCTION("""COMPUTED_VALUE"""),1)</f>
        <v>1</v>
      </c>
      <c r="U652" s="1" t="str">
        <f ca="1">IFERROR(__xludf.DUMMYFUNCTION("""COMPUTED_VALUE"""),"Student fatally shot another student in the hallway while classes were changing")</f>
        <v>Student fatally shot another student in the hallway while classes were changing</v>
      </c>
      <c r="V652" s="1" t="str">
        <f ca="1">IFERROR(__xludf.DUMMYFUNCTION("""COMPUTED_VALUE"""),"A 12-year-old student fatally shot another 12-year-old student in the hallway while classes were changing. Students witnessed the shooting and said the shooter fired one shot that struck the victim in his chest. SRO responded and called for assistance. Sh"&amp;"ooter fled and was found hiding in the neighborhood near the school. School went on lockdown and was dismissed.")</f>
        <v>A 12-year-old student fatally shot another 12-year-old student in the hallway while classes were changing. Students witnessed the shooting and said the shooter fired one shot that struck the victim in his chest. SRO responded and called for assistance. Shooter fled and was found hiding in the neighborhood near the school. School went on lockdown and was dismissed.</v>
      </c>
      <c r="W652" s="1" t="str">
        <f ca="1">IFERROR(__xludf.DUMMYFUNCTION("""COMPUTED_VALUE"""),"Escalation of Dispute")</f>
        <v>Escalation of Dispute</v>
      </c>
      <c r="X652" s="1" t="str">
        <f ca="1">IFERROR(__xludf.DUMMYFUNCTION("""COMPUTED_VALUE"""),"Victims Targeted")</f>
        <v>Victims Targeted</v>
      </c>
      <c r="Y652" s="1" t="str">
        <f ca="1">IFERROR(__xludf.DUMMYFUNCTION("""COMPUTED_VALUE"""),"No")</f>
        <v>No</v>
      </c>
      <c r="Z652" s="1"/>
      <c r="AA652" s="1" t="str">
        <f ca="1">IFERROR(__xludf.DUMMYFUNCTION("""COMPUTED_VALUE"""),"No")</f>
        <v>No</v>
      </c>
      <c r="AB652" s="1" t="str">
        <f ca="1">IFERROR(__xludf.DUMMYFUNCTION("""COMPUTED_VALUE"""),"No")</f>
        <v>No</v>
      </c>
      <c r="AC652" s="1" t="str">
        <f ca="1">IFERROR(__xludf.DUMMYFUNCTION("""COMPUTED_VALUE"""),"No")</f>
        <v>No</v>
      </c>
      <c r="AD652" s="1"/>
      <c r="AE652" s="1" t="str">
        <f ca="1">IFERROR(__xludf.DUMMYFUNCTION("""COMPUTED_VALUE"""),"No")</f>
        <v>No</v>
      </c>
      <c r="AF652" s="1" t="str">
        <f ca="1">IFERROR(__xludf.DUMMYFUNCTION("""COMPUTED_VALUE"""),"No")</f>
        <v>No</v>
      </c>
      <c r="AG652" s="1" t="str">
        <f ca="1">IFERROR(__xludf.DUMMYFUNCTION("""COMPUTED_VALUE"""),"No")</f>
        <v>No</v>
      </c>
      <c r="AH652" s="1">
        <f ca="1">IFERROR(__xludf.DUMMYFUNCTION("""COMPUTED_VALUE"""),1)</f>
        <v>1</v>
      </c>
    </row>
    <row r="653" spans="1:34" ht="12.5">
      <c r="A653" s="1" t="str">
        <f ca="1">IFERROR(__xludf.DUMMYFUNCTION("""COMPUTED_VALUE"""),"20220331PAACP")</f>
        <v>20220331PAACP</v>
      </c>
      <c r="B653" s="1">
        <f ca="1">IFERROR(__xludf.DUMMYFUNCTION("""COMPUTED_VALUE"""),3)</f>
        <v>3</v>
      </c>
      <c r="C653" s="1">
        <f ca="1">IFERROR(__xludf.DUMMYFUNCTION("""COMPUTED_VALUE"""),31)</f>
        <v>31</v>
      </c>
      <c r="D653" s="1">
        <f ca="1">IFERROR(__xludf.DUMMYFUNCTION("""COMPUTED_VALUE"""),2022)</f>
        <v>2022</v>
      </c>
      <c r="E653" s="4">
        <f ca="1">IFERROR(__xludf.DUMMYFUNCTION("""COMPUTED_VALUE"""),44651)</f>
        <v>44651</v>
      </c>
      <c r="F653" s="1" t="str">
        <f ca="1">IFERROR(__xludf.DUMMYFUNCTION("""COMPUTED_VALUE"""),"West Philadelphia Achievement Charter Elementary School")</f>
        <v>West Philadelphia Achievement Charter Elementary School</v>
      </c>
      <c r="G653" s="1">
        <f ca="1">IFERROR(__xludf.DUMMYFUNCTION("""COMPUTED_VALUE"""),0)</f>
        <v>0</v>
      </c>
      <c r="H653" s="1">
        <f ca="1">IFERROR(__xludf.DUMMYFUNCTION("""COMPUTED_VALUE"""),0)</f>
        <v>0</v>
      </c>
      <c r="I653" s="1">
        <f ca="1">IFERROR(__xludf.DUMMYFUNCTION("""COMPUTED_VALUE"""),0)</f>
        <v>0</v>
      </c>
      <c r="J653" s="1">
        <f ca="1">IFERROR(__xludf.DUMMYFUNCTION("""COMPUTED_VALUE"""),0)</f>
        <v>0</v>
      </c>
      <c r="K653" s="1" t="str">
        <f ca="1">IFERROR(__xludf.DUMMYFUNCTION("""COMPUTED_VALUE"""),"Spring")</f>
        <v>Spring</v>
      </c>
      <c r="L653" s="1" t="str">
        <f ca="1">IFERROR(__xludf.DUMMYFUNCTION("""COMPUTED_VALUE"""),"Philadelphia")</f>
        <v>Philadelphia</v>
      </c>
      <c r="M653" s="1" t="str">
        <f ca="1">IFERROR(__xludf.DUMMYFUNCTION("""COMPUTED_VALUE"""),"PA")</f>
        <v>PA</v>
      </c>
      <c r="N653" s="1" t="str">
        <f ca="1">IFERROR(__xludf.DUMMYFUNCTION("""COMPUTED_VALUE"""),"Elementary")</f>
        <v>Elementary</v>
      </c>
      <c r="O653" s="1" t="str">
        <f ca="1">IFERROR(__xludf.DUMMYFUNCTION("""COMPUTED_VALUE"""),"Playground")</f>
        <v>Playground</v>
      </c>
      <c r="P653" s="1" t="str">
        <f ca="1">IFERROR(__xludf.DUMMYFUNCTION("""COMPUTED_VALUE"""),"Outside on School Property")</f>
        <v>Outside on School Property</v>
      </c>
      <c r="Q653" s="1" t="str">
        <f ca="1">IFERROR(__xludf.DUMMYFUNCTION("""COMPUTED_VALUE"""),"Yes")</f>
        <v>Yes</v>
      </c>
      <c r="R653" s="1" t="str">
        <f ca="1">IFERROR(__xludf.DUMMYFUNCTION("""COMPUTED_VALUE"""),"School Start")</f>
        <v>School Start</v>
      </c>
      <c r="S653" s="5">
        <f ca="1">IFERROR(__xludf.DUMMYFUNCTION("""COMPUTED_VALUE"""),0.364583333333333)</f>
        <v>0.36458333333333298</v>
      </c>
      <c r="T653" s="1">
        <f ca="1">IFERROR(__xludf.DUMMYFUNCTION("""COMPUTED_VALUE"""),1)</f>
        <v>1</v>
      </c>
      <c r="U653" s="1" t="str">
        <f ca="1">IFERROR(__xludf.DUMMYFUNCTION("""COMPUTED_VALUE"""),"Gun inside a 8-year-old students backpack discharged in school courtyard")</f>
        <v>Gun inside a 8-year-old students backpack discharged in school courtyard</v>
      </c>
      <c r="V653" s="1" t="str">
        <f ca="1">IFERROR(__xludf.DUMMYFUNCTION("""COMPUTED_VALUE"""),"A teacher heard a gunshot and found a weapon that discharged inside an 8-year-old student's backpack in the courtyard of the school. School went on lockdown. Student was arrested.")</f>
        <v>A teacher heard a gunshot and found a weapon that discharged inside an 8-year-old student's backpack in the courtyard of the school. School went on lockdown. Student was arrested.</v>
      </c>
      <c r="W653" s="1" t="str">
        <f ca="1">IFERROR(__xludf.DUMMYFUNCTION("""COMPUTED_VALUE"""),"Accidental")</f>
        <v>Accidental</v>
      </c>
      <c r="X653" s="1" t="str">
        <f ca="1">IFERROR(__xludf.DUMMYFUNCTION("""COMPUTED_VALUE"""),"Neither")</f>
        <v>Neither</v>
      </c>
      <c r="Y653" s="1" t="str">
        <f ca="1">IFERROR(__xludf.DUMMYFUNCTION("""COMPUTED_VALUE"""),"No")</f>
        <v>No</v>
      </c>
      <c r="Z653" s="1"/>
      <c r="AA653" s="1" t="str">
        <f ca="1">IFERROR(__xludf.DUMMYFUNCTION("""COMPUTED_VALUE"""),"No")</f>
        <v>No</v>
      </c>
      <c r="AB653" s="1" t="str">
        <f ca="1">IFERROR(__xludf.DUMMYFUNCTION("""COMPUTED_VALUE"""),"No")</f>
        <v>No</v>
      </c>
      <c r="AC653" s="1" t="str">
        <f ca="1">IFERROR(__xludf.DUMMYFUNCTION("""COMPUTED_VALUE"""),"No")</f>
        <v>No</v>
      </c>
      <c r="AD653" s="1" t="str">
        <f ca="1">IFERROR(__xludf.DUMMYFUNCTION("""COMPUTED_VALUE"""),"No")</f>
        <v>No</v>
      </c>
      <c r="AE653" s="1" t="str">
        <f ca="1">IFERROR(__xludf.DUMMYFUNCTION("""COMPUTED_VALUE"""),"No")</f>
        <v>No</v>
      </c>
      <c r="AF653" s="1" t="str">
        <f ca="1">IFERROR(__xludf.DUMMYFUNCTION("""COMPUTED_VALUE"""),"No")</f>
        <v>No</v>
      </c>
      <c r="AG653" s="1" t="str">
        <f ca="1">IFERROR(__xludf.DUMMYFUNCTION("""COMPUTED_VALUE"""),"No")</f>
        <v>No</v>
      </c>
      <c r="AH653" s="1">
        <f ca="1">IFERROR(__xludf.DUMMYFUNCTION("""COMPUTED_VALUE"""),1)</f>
        <v>1</v>
      </c>
    </row>
    <row r="654" spans="1:34" ht="12.5">
      <c r="A654" s="1" t="str">
        <f ca="1">IFERROR(__xludf.DUMMYFUNCTION("""COMPUTED_VALUE"""),"20220330GABOA")</f>
        <v>20220330GABOA</v>
      </c>
      <c r="B654" s="1">
        <f ca="1">IFERROR(__xludf.DUMMYFUNCTION("""COMPUTED_VALUE"""),3)</f>
        <v>3</v>
      </c>
      <c r="C654" s="1">
        <f ca="1">IFERROR(__xludf.DUMMYFUNCTION("""COMPUTED_VALUE"""),30)</f>
        <v>30</v>
      </c>
      <c r="D654" s="1">
        <f ca="1">IFERROR(__xludf.DUMMYFUNCTION("""COMPUTED_VALUE"""),2022)</f>
        <v>2022</v>
      </c>
      <c r="E654" s="4">
        <f ca="1">IFERROR(__xludf.DUMMYFUNCTION("""COMPUTED_VALUE"""),44650)</f>
        <v>44650</v>
      </c>
      <c r="F654" s="1" t="str">
        <f ca="1">IFERROR(__xludf.DUMMYFUNCTION("""COMPUTED_VALUE"""),"Booker T Washington High School")</f>
        <v>Booker T Washington High School</v>
      </c>
      <c r="G654" s="1">
        <f ca="1">IFERROR(__xludf.DUMMYFUNCTION("""COMPUTED_VALUE"""),0)</f>
        <v>0</v>
      </c>
      <c r="H654" s="1">
        <f ca="1">IFERROR(__xludf.DUMMYFUNCTION("""COMPUTED_VALUE"""),0)</f>
        <v>0</v>
      </c>
      <c r="I654" s="1">
        <f ca="1">IFERROR(__xludf.DUMMYFUNCTION("""COMPUTED_VALUE"""),0)</f>
        <v>0</v>
      </c>
      <c r="J654" s="1">
        <f ca="1">IFERROR(__xludf.DUMMYFUNCTION("""COMPUTED_VALUE"""),0)</f>
        <v>0</v>
      </c>
      <c r="K654" s="1" t="str">
        <f ca="1">IFERROR(__xludf.DUMMYFUNCTION("""COMPUTED_VALUE"""),"Spring")</f>
        <v>Spring</v>
      </c>
      <c r="L654" s="1" t="str">
        <f ca="1">IFERROR(__xludf.DUMMYFUNCTION("""COMPUTED_VALUE"""),"Atlanta")</f>
        <v>Atlanta</v>
      </c>
      <c r="M654" s="1" t="str">
        <f ca="1">IFERROR(__xludf.DUMMYFUNCTION("""COMPUTED_VALUE"""),"GA")</f>
        <v>GA</v>
      </c>
      <c r="N654" s="1" t="str">
        <f ca="1">IFERROR(__xludf.DUMMYFUNCTION("""COMPUTED_VALUE"""),"High")</f>
        <v>High</v>
      </c>
      <c r="O654" s="1" t="str">
        <f ca="1">IFERROR(__xludf.DUMMYFUNCTION("""COMPUTED_VALUE"""),"Front of School")</f>
        <v>Front of School</v>
      </c>
      <c r="P654" s="1" t="str">
        <f ca="1">IFERROR(__xludf.DUMMYFUNCTION("""COMPUTED_VALUE"""),"Outside on School Property")</f>
        <v>Outside on School Property</v>
      </c>
      <c r="Q654" s="1" t="str">
        <f ca="1">IFERROR(__xludf.DUMMYFUNCTION("""COMPUTED_VALUE"""),"Yes")</f>
        <v>Yes</v>
      </c>
      <c r="R654" s="1" t="str">
        <f ca="1">IFERROR(__xludf.DUMMYFUNCTION("""COMPUTED_VALUE"""),"Dismissal")</f>
        <v>Dismissal</v>
      </c>
      <c r="S654" s="5">
        <f ca="1">IFERROR(__xludf.DUMMYFUNCTION("""COMPUTED_VALUE"""),0.604166666666666)</f>
        <v>0.60416666666666596</v>
      </c>
      <c r="T654" s="1">
        <f ca="1">IFERROR(__xludf.DUMMYFUNCTION("""COMPUTED_VALUE"""),1)</f>
        <v>1</v>
      </c>
      <c r="U654" s="1" t="str">
        <f ca="1">IFERROR(__xludf.DUMMYFUNCTION("""COMPUTED_VALUE"""),"Mother brandished gun during fight between students, shot by SRO")</f>
        <v>Mother brandished gun during fight between students, shot by SRO</v>
      </c>
      <c r="V654" s="1" t="str">
        <f ca="1">IFERROR(__xludf.DUMMYFUNCTION("""COMPUTED_VALUE"""),"A 30-year-old female parent pulled a gun out of her purse during a fight between multiple students at dismissal. She pointed the gun at students and another parent. When the SRO ordered her to drop the gun, she refused and he shot her in the hand. Arreste"&amp;"d and charged with multiple felonies.")</f>
        <v>A 30-year-old female parent pulled a gun out of her purse during a fight between multiple students at dismissal. She pointed the gun at students and another parent. When the SRO ordered her to drop the gun, she refused and he shot her in the hand. Arrested and charged with multiple felonies.</v>
      </c>
      <c r="W654" s="1" t="str">
        <f ca="1">IFERROR(__xludf.DUMMYFUNCTION("""COMPUTED_VALUE"""),"Escalation of Dispute")</f>
        <v>Escalation of Dispute</v>
      </c>
      <c r="X654" s="1" t="str">
        <f ca="1">IFERROR(__xludf.DUMMYFUNCTION("""COMPUTED_VALUE"""),"Neither")</f>
        <v>Neither</v>
      </c>
      <c r="Y654" s="1" t="str">
        <f ca="1">IFERROR(__xludf.DUMMYFUNCTION("""COMPUTED_VALUE"""),"No")</f>
        <v>No</v>
      </c>
      <c r="Z654" s="1"/>
      <c r="AA654" s="1" t="str">
        <f ca="1">IFERROR(__xludf.DUMMYFUNCTION("""COMPUTED_VALUE"""),"No")</f>
        <v>No</v>
      </c>
      <c r="AB654" s="1" t="str">
        <f ca="1">IFERROR(__xludf.DUMMYFUNCTION("""COMPUTED_VALUE"""),"No")</f>
        <v>No</v>
      </c>
      <c r="AC654" s="1" t="str">
        <f ca="1">IFERROR(__xludf.DUMMYFUNCTION("""COMPUTED_VALUE"""),"No")</f>
        <v>No</v>
      </c>
      <c r="AD654" s="1" t="str">
        <f ca="1">IFERROR(__xludf.DUMMYFUNCTION("""COMPUTED_VALUE"""),"No")</f>
        <v>No</v>
      </c>
      <c r="AE654" s="1" t="str">
        <f ca="1">IFERROR(__xludf.DUMMYFUNCTION("""COMPUTED_VALUE"""),"No")</f>
        <v>No</v>
      </c>
      <c r="AF654" s="1" t="str">
        <f ca="1">IFERROR(__xludf.DUMMYFUNCTION("""COMPUTED_VALUE"""),"No")</f>
        <v>No</v>
      </c>
      <c r="AG654" s="1" t="str">
        <f ca="1">IFERROR(__xludf.DUMMYFUNCTION("""COMPUTED_VALUE"""),"No")</f>
        <v>No</v>
      </c>
      <c r="AH654" s="1">
        <f ca="1">IFERROR(__xludf.DUMMYFUNCTION("""COMPUTED_VALUE"""),1)</f>
        <v>1</v>
      </c>
    </row>
    <row r="655" spans="1:34" ht="12.5">
      <c r="A655" s="1" t="str">
        <f ca="1">IFERROR(__xludf.DUMMYFUNCTION("""COMPUTED_VALUE"""),"20220330AZKIK")</f>
        <v>20220330AZKIK</v>
      </c>
      <c r="B655" s="1">
        <f ca="1">IFERROR(__xludf.DUMMYFUNCTION("""COMPUTED_VALUE"""),3)</f>
        <v>3</v>
      </c>
      <c r="C655" s="1">
        <f ca="1">IFERROR(__xludf.DUMMYFUNCTION("""COMPUTED_VALUE"""),30)</f>
        <v>30</v>
      </c>
      <c r="D655" s="1">
        <f ca="1">IFERROR(__xludf.DUMMYFUNCTION("""COMPUTED_VALUE"""),2022)</f>
        <v>2022</v>
      </c>
      <c r="E655" s="4">
        <f ca="1">IFERROR(__xludf.DUMMYFUNCTION("""COMPUTED_VALUE"""),44650)</f>
        <v>44650</v>
      </c>
      <c r="F655" s="1" t="str">
        <f ca="1">IFERROR(__xludf.DUMMYFUNCTION("""COMPUTED_VALUE"""),"Kingman High School")</f>
        <v>Kingman High School</v>
      </c>
      <c r="G655" s="1">
        <f ca="1">IFERROR(__xludf.DUMMYFUNCTION("""COMPUTED_VALUE"""),0)</f>
        <v>0</v>
      </c>
      <c r="H655" s="1">
        <f ca="1">IFERROR(__xludf.DUMMYFUNCTION("""COMPUTED_VALUE"""),1)</f>
        <v>1</v>
      </c>
      <c r="I655" s="1">
        <f ca="1">IFERROR(__xludf.DUMMYFUNCTION("""COMPUTED_VALUE"""),1)</f>
        <v>1</v>
      </c>
      <c r="J655" s="1">
        <f ca="1">IFERROR(__xludf.DUMMYFUNCTION("""COMPUTED_VALUE"""),0)</f>
        <v>0</v>
      </c>
      <c r="K655" s="1" t="str">
        <f ca="1">IFERROR(__xludf.DUMMYFUNCTION("""COMPUTED_VALUE"""),"Spring")</f>
        <v>Spring</v>
      </c>
      <c r="L655" s="1" t="str">
        <f ca="1">IFERROR(__xludf.DUMMYFUNCTION("""COMPUTED_VALUE"""),"Kingman")</f>
        <v>Kingman</v>
      </c>
      <c r="M655" s="1" t="str">
        <f ca="1">IFERROR(__xludf.DUMMYFUNCTION("""COMPUTED_VALUE"""),"AZ")</f>
        <v>AZ</v>
      </c>
      <c r="N655" s="1" t="str">
        <f ca="1">IFERROR(__xludf.DUMMYFUNCTION("""COMPUTED_VALUE"""),"High")</f>
        <v>High</v>
      </c>
      <c r="O655" s="1" t="str">
        <f ca="1">IFERROR(__xludf.DUMMYFUNCTION("""COMPUTED_VALUE"""),"School Bus")</f>
        <v>School Bus</v>
      </c>
      <c r="P655" s="1" t="str">
        <f ca="1">IFERROR(__xludf.DUMMYFUNCTION("""COMPUTED_VALUE"""),"School Bus")</f>
        <v>School Bus</v>
      </c>
      <c r="Q655" s="1" t="str">
        <f ca="1">IFERROR(__xludf.DUMMYFUNCTION("""COMPUTED_VALUE"""),"Yes")</f>
        <v>Yes</v>
      </c>
      <c r="R655" s="1" t="str">
        <f ca="1">IFERROR(__xludf.DUMMYFUNCTION("""COMPUTED_VALUE"""),"Dismissal")</f>
        <v>Dismissal</v>
      </c>
      <c r="S655" s="5">
        <f ca="1">IFERROR(__xludf.DUMMYFUNCTION("""COMPUTED_VALUE"""),0.625)</f>
        <v>0.625</v>
      </c>
      <c r="T655" s="1">
        <f ca="1">IFERROR(__xludf.DUMMYFUNCTION("""COMPUTED_VALUE"""),1)</f>
        <v>1</v>
      </c>
      <c r="U655" s="1" t="str">
        <f ca="1">IFERROR(__xludf.DUMMYFUNCTION("""COMPUTED_VALUE"""),"Student shot in the leg on the school bus")</f>
        <v>Student shot in the leg on the school bus</v>
      </c>
      <c r="V655" s="1" t="str">
        <f ca="1">IFERROR(__xludf.DUMMYFUNCTION("""COMPUTED_VALUE"""),"14-year-old student shot a 15-year-old student in the leg while on the school bus. Driver did not hear the shot. Shooter discarded the weapon when he got off the bus and was arrested later. Victim was transported to the hospital by his parents.")</f>
        <v>14-year-old student shot a 15-year-old student in the leg while on the school bus. Driver did not hear the shot. Shooter discarded the weapon when he got off the bus and was arrested later. Victim was transported to the hospital by his parents.</v>
      </c>
      <c r="W655" s="1" t="str">
        <f ca="1">IFERROR(__xludf.DUMMYFUNCTION("""COMPUTED_VALUE"""),"Accidental")</f>
        <v>Accidental</v>
      </c>
      <c r="X655" s="1" t="str">
        <f ca="1">IFERROR(__xludf.DUMMYFUNCTION("""COMPUTED_VALUE"""),"Neither")</f>
        <v>Neither</v>
      </c>
      <c r="Y655" s="1" t="str">
        <f ca="1">IFERROR(__xludf.DUMMYFUNCTION("""COMPUTED_VALUE"""),"No")</f>
        <v>No</v>
      </c>
      <c r="Z655" s="1"/>
      <c r="AA655" s="1" t="str">
        <f ca="1">IFERROR(__xludf.DUMMYFUNCTION("""COMPUTED_VALUE"""),"No")</f>
        <v>No</v>
      </c>
      <c r="AB655" s="1" t="str">
        <f ca="1">IFERROR(__xludf.DUMMYFUNCTION("""COMPUTED_VALUE"""),"No")</f>
        <v>No</v>
      </c>
      <c r="AC655" s="1" t="str">
        <f ca="1">IFERROR(__xludf.DUMMYFUNCTION("""COMPUTED_VALUE"""),"No")</f>
        <v>No</v>
      </c>
      <c r="AD655" s="1" t="str">
        <f ca="1">IFERROR(__xludf.DUMMYFUNCTION("""COMPUTED_VALUE"""),"No")</f>
        <v>No</v>
      </c>
      <c r="AE655" s="1" t="str">
        <f ca="1">IFERROR(__xludf.DUMMYFUNCTION("""COMPUTED_VALUE"""),"No")</f>
        <v>No</v>
      </c>
      <c r="AF655" s="1" t="str">
        <f ca="1">IFERROR(__xludf.DUMMYFUNCTION("""COMPUTED_VALUE"""),"No")</f>
        <v>No</v>
      </c>
      <c r="AG655" s="1" t="str">
        <f ca="1">IFERROR(__xludf.DUMMYFUNCTION("""COMPUTED_VALUE"""),"No")</f>
        <v>No</v>
      </c>
      <c r="AH655" s="1">
        <f ca="1">IFERROR(__xludf.DUMMYFUNCTION("""COMPUTED_VALUE"""),1)</f>
        <v>1</v>
      </c>
    </row>
    <row r="656" spans="1:34" ht="12.5">
      <c r="A656" s="1" t="str">
        <f ca="1">IFERROR(__xludf.DUMMYFUNCTION("""COMPUTED_VALUE"""),"20220329VALUR")</f>
        <v>20220329VALUR</v>
      </c>
      <c r="B656" s="1">
        <f ca="1">IFERROR(__xludf.DUMMYFUNCTION("""COMPUTED_VALUE"""),3)</f>
        <v>3</v>
      </c>
      <c r="C656" s="1">
        <f ca="1">IFERROR(__xludf.DUMMYFUNCTION("""COMPUTED_VALUE"""),29)</f>
        <v>29</v>
      </c>
      <c r="D656" s="1">
        <f ca="1">IFERROR(__xludf.DUMMYFUNCTION("""COMPUTED_VALUE"""),2022)</f>
        <v>2022</v>
      </c>
      <c r="E656" s="4">
        <f ca="1">IFERROR(__xludf.DUMMYFUNCTION("""COMPUTED_VALUE"""),44649)</f>
        <v>44649</v>
      </c>
      <c r="F656" s="1" t="str">
        <f ca="1">IFERROR(__xludf.DUMMYFUNCTION("""COMPUTED_VALUE"""),"Lucy Addison Middle School")</f>
        <v>Lucy Addison Middle School</v>
      </c>
      <c r="G656" s="1">
        <f ca="1">IFERROR(__xludf.DUMMYFUNCTION("""COMPUTED_VALUE"""),0)</f>
        <v>0</v>
      </c>
      <c r="H656" s="1">
        <f ca="1">IFERROR(__xludf.DUMMYFUNCTION("""COMPUTED_VALUE"""),0)</f>
        <v>0</v>
      </c>
      <c r="I656" s="1">
        <f ca="1">IFERROR(__xludf.DUMMYFUNCTION("""COMPUTED_VALUE"""),0)</f>
        <v>0</v>
      </c>
      <c r="J656" s="1">
        <f ca="1">IFERROR(__xludf.DUMMYFUNCTION("""COMPUTED_VALUE"""),0)</f>
        <v>0</v>
      </c>
      <c r="K656" s="1" t="str">
        <f ca="1">IFERROR(__xludf.DUMMYFUNCTION("""COMPUTED_VALUE"""),"Spring")</f>
        <v>Spring</v>
      </c>
      <c r="L656" s="1" t="str">
        <f ca="1">IFERROR(__xludf.DUMMYFUNCTION("""COMPUTED_VALUE"""),"Roanoke")</f>
        <v>Roanoke</v>
      </c>
      <c r="M656" s="1" t="str">
        <f ca="1">IFERROR(__xludf.DUMMYFUNCTION("""COMPUTED_VALUE"""),"VA")</f>
        <v>VA</v>
      </c>
      <c r="N656" s="1" t="str">
        <f ca="1">IFERROR(__xludf.DUMMYFUNCTION("""COMPUTED_VALUE"""),"Middle")</f>
        <v>Middle</v>
      </c>
      <c r="O656" s="1" t="str">
        <f ca="1">IFERROR(__xludf.DUMMYFUNCTION("""COMPUTED_VALUE"""),"Bathroom")</f>
        <v>Bathroom</v>
      </c>
      <c r="P656" s="1" t="str">
        <f ca="1">IFERROR(__xludf.DUMMYFUNCTION("""COMPUTED_VALUE"""),"Inside School Building")</f>
        <v>Inside School Building</v>
      </c>
      <c r="Q656" s="1" t="str">
        <f ca="1">IFERROR(__xludf.DUMMYFUNCTION("""COMPUTED_VALUE"""),"Yes")</f>
        <v>Yes</v>
      </c>
      <c r="R656" s="1" t="str">
        <f ca="1">IFERROR(__xludf.DUMMYFUNCTION("""COMPUTED_VALUE"""),"Afternoon Classes")</f>
        <v>Afternoon Classes</v>
      </c>
      <c r="S656" s="5">
        <f ca="1">IFERROR(__xludf.DUMMYFUNCTION("""COMPUTED_VALUE"""),0.59375)</f>
        <v>0.59375</v>
      </c>
      <c r="T656" s="1">
        <f ca="1">IFERROR(__xludf.DUMMYFUNCTION("""COMPUTED_VALUE"""),1)</f>
        <v>1</v>
      </c>
      <c r="U656" s="1" t="str">
        <f ca="1">IFERROR(__xludf.DUMMYFUNCTION("""COMPUTED_VALUE"""),"Student fired gun in bathroom")</f>
        <v>Student fired gun in bathroom</v>
      </c>
      <c r="V656" s="1" t="str">
        <f ca="1">IFERROR(__xludf.DUMMYFUNCTION("""COMPUTED_VALUE"""),"A student fired a gun in the bathroom, left weapon, and left the bathroom. Students and staff heard hear the shot, notified the SRO, and the school went on lockdown for 1 hour. The SRO was able to identify the student responsible and the student was arres"&amp;"ted.")</f>
        <v>A student fired a gun in the bathroom, left weapon, and left the bathroom. Students and staff heard hear the shot, notified the SRO, and the school went on lockdown for 1 hour. The SRO was able to identify the student responsible and the student was arrested.</v>
      </c>
      <c r="W656" s="1"/>
      <c r="X656" s="1" t="str">
        <f ca="1">IFERROR(__xludf.DUMMYFUNCTION("""COMPUTED_VALUE"""),"Neither")</f>
        <v>Neither</v>
      </c>
      <c r="Y656" s="1" t="str">
        <f ca="1">IFERROR(__xludf.DUMMYFUNCTION("""COMPUTED_VALUE"""),"No")</f>
        <v>No</v>
      </c>
      <c r="Z656" s="1"/>
      <c r="AA656" s="1" t="str">
        <f ca="1">IFERROR(__xludf.DUMMYFUNCTION("""COMPUTED_VALUE"""),"No")</f>
        <v>No</v>
      </c>
      <c r="AB656" s="1" t="str">
        <f ca="1">IFERROR(__xludf.DUMMYFUNCTION("""COMPUTED_VALUE"""),"No")</f>
        <v>No</v>
      </c>
      <c r="AC656" s="1" t="str">
        <f ca="1">IFERROR(__xludf.DUMMYFUNCTION("""COMPUTED_VALUE"""),"No")</f>
        <v>No</v>
      </c>
      <c r="AD656" s="1" t="str">
        <f ca="1">IFERROR(__xludf.DUMMYFUNCTION("""COMPUTED_VALUE"""),"No")</f>
        <v>No</v>
      </c>
      <c r="AE656" s="1" t="str">
        <f ca="1">IFERROR(__xludf.DUMMYFUNCTION("""COMPUTED_VALUE"""),"No")</f>
        <v>No</v>
      </c>
      <c r="AF656" s="1" t="str">
        <f ca="1">IFERROR(__xludf.DUMMYFUNCTION("""COMPUTED_VALUE"""),"No")</f>
        <v>No</v>
      </c>
      <c r="AG656" s="1" t="str">
        <f ca="1">IFERROR(__xludf.DUMMYFUNCTION("""COMPUTED_VALUE"""),"No")</f>
        <v>No</v>
      </c>
      <c r="AH656" s="1">
        <f ca="1">IFERROR(__xludf.DUMMYFUNCTION("""COMPUTED_VALUE"""),1)</f>
        <v>1</v>
      </c>
    </row>
    <row r="657" spans="1:34" ht="12.5">
      <c r="A657" s="1" t="str">
        <f ca="1">IFERROR(__xludf.DUMMYFUNCTION("""COMPUTED_VALUE"""),"20220329NVWEL")</f>
        <v>20220329NVWEL</v>
      </c>
      <c r="B657" s="1">
        <f ca="1">IFERROR(__xludf.DUMMYFUNCTION("""COMPUTED_VALUE"""),3)</f>
        <v>3</v>
      </c>
      <c r="C657" s="1">
        <f ca="1">IFERROR(__xludf.DUMMYFUNCTION("""COMPUTED_VALUE"""),29)</f>
        <v>29</v>
      </c>
      <c r="D657" s="1">
        <f ca="1">IFERROR(__xludf.DUMMYFUNCTION("""COMPUTED_VALUE"""),2022)</f>
        <v>2022</v>
      </c>
      <c r="E657" s="4">
        <f ca="1">IFERROR(__xludf.DUMMYFUNCTION("""COMPUTED_VALUE"""),44649)</f>
        <v>44649</v>
      </c>
      <c r="F657" s="1" t="str">
        <f ca="1">IFERROR(__xludf.DUMMYFUNCTION("""COMPUTED_VALUE"""),"Western High School")</f>
        <v>Western High School</v>
      </c>
      <c r="G657" s="1">
        <f ca="1">IFERROR(__xludf.DUMMYFUNCTION("""COMPUTED_VALUE"""),0)</f>
        <v>0</v>
      </c>
      <c r="H657" s="1">
        <f ca="1">IFERROR(__xludf.DUMMYFUNCTION("""COMPUTED_VALUE"""),2)</f>
        <v>2</v>
      </c>
      <c r="I657" s="1">
        <f ca="1">IFERROR(__xludf.DUMMYFUNCTION("""COMPUTED_VALUE"""),2)</f>
        <v>2</v>
      </c>
      <c r="J657" s="1">
        <f ca="1">IFERROR(__xludf.DUMMYFUNCTION("""COMPUTED_VALUE"""),0)</f>
        <v>0</v>
      </c>
      <c r="K657" s="1" t="str">
        <f ca="1">IFERROR(__xludf.DUMMYFUNCTION("""COMPUTED_VALUE"""),"Spring")</f>
        <v>Spring</v>
      </c>
      <c r="L657" s="1" t="str">
        <f ca="1">IFERROR(__xludf.DUMMYFUNCTION("""COMPUTED_VALUE"""),"Las Vegas")</f>
        <v>Las Vegas</v>
      </c>
      <c r="M657" s="1" t="str">
        <f ca="1">IFERROR(__xludf.DUMMYFUNCTION("""COMPUTED_VALUE"""),"NV")</f>
        <v>NV</v>
      </c>
      <c r="N657" s="1" t="str">
        <f ca="1">IFERROR(__xludf.DUMMYFUNCTION("""COMPUTED_VALUE"""),"High")</f>
        <v>High</v>
      </c>
      <c r="O657" s="1" t="str">
        <f ca="1">IFERROR(__xludf.DUMMYFUNCTION("""COMPUTED_VALUE"""),"Parking Lot")</f>
        <v>Parking Lot</v>
      </c>
      <c r="P657" s="1" t="str">
        <f ca="1">IFERROR(__xludf.DUMMYFUNCTION("""COMPUTED_VALUE"""),"Outside on School Property")</f>
        <v>Outside on School Property</v>
      </c>
      <c r="Q657" s="1" t="str">
        <f ca="1">IFERROR(__xludf.DUMMYFUNCTION("""COMPUTED_VALUE"""),"Yes")</f>
        <v>Yes</v>
      </c>
      <c r="R657" s="1" t="str">
        <f ca="1">IFERROR(__xludf.DUMMYFUNCTION("""COMPUTED_VALUE"""),"Dismissal")</f>
        <v>Dismissal</v>
      </c>
      <c r="S657" s="5">
        <f ca="1">IFERROR(__xludf.DUMMYFUNCTION("""COMPUTED_VALUE"""),0.59375)</f>
        <v>0.59375</v>
      </c>
      <c r="T657" s="1">
        <f ca="1">IFERROR(__xludf.DUMMYFUNCTION("""COMPUTED_VALUE"""),1)</f>
        <v>1</v>
      </c>
      <c r="U657" s="1" t="str">
        <f ca="1">IFERROR(__xludf.DUMMYFUNCTION("""COMPUTED_VALUE"""),"SRO fired at vehicle that struck student in parking lot")</f>
        <v>SRO fired at vehicle that struck student in parking lot</v>
      </c>
      <c r="V657" s="1" t="str">
        <f ca="1">IFERROR(__xludf.DUMMYFUNCTION("""COMPUTED_VALUE"""),"During a fight at dismissal, two teens in a vehicle struck a student in the school parking lot. The vehicle continued to drive at a high rate of speed and the SRO fired shots at the vehicle injuring the two occupants. Teens in vehicle fled and were taken "&amp;"to hospital by family members. Student struck by vehicle had minor injuries. School did not go into lockdown and dismissal continued.")</f>
        <v>During a fight at dismissal, two teens in a vehicle struck a student in the school parking lot. The vehicle continued to drive at a high rate of speed and the SRO fired shots at the vehicle injuring the two occupants. Teens in vehicle fled and were taken to hospital by family members. Student struck by vehicle had minor injuries. School did not go into lockdown and dismissal continued.</v>
      </c>
      <c r="W657" s="1" t="str">
        <f ca="1">IFERROR(__xludf.DUMMYFUNCTION("""COMPUTED_VALUE"""),"Officer-Involved Shooting")</f>
        <v>Officer-Involved Shooting</v>
      </c>
      <c r="X657" s="1"/>
      <c r="Y657" s="1"/>
      <c r="Z657" s="1"/>
      <c r="AA657" s="1"/>
      <c r="AB657" s="1"/>
      <c r="AC657" s="1" t="str">
        <f ca="1">IFERROR(__xludf.DUMMYFUNCTION("""COMPUTED_VALUE"""),"Yes")</f>
        <v>Yes</v>
      </c>
      <c r="AD657" s="1"/>
      <c r="AE657" s="1"/>
      <c r="AF657" s="1"/>
      <c r="AG657" s="1" t="str">
        <f ca="1">IFERROR(__xludf.DUMMYFUNCTION("""COMPUTED_VALUE"""),"No")</f>
        <v>No</v>
      </c>
      <c r="AH657" s="1">
        <f ca="1">IFERROR(__xludf.DUMMYFUNCTION("""COMPUTED_VALUE"""),99)</f>
        <v>99</v>
      </c>
    </row>
    <row r="658" spans="1:34" ht="12.5">
      <c r="A658" s="1" t="str">
        <f ca="1">IFERROR(__xludf.DUMMYFUNCTION("""COMPUTED_VALUE"""),"20220328TXNOF")</f>
        <v>20220328TXNOF</v>
      </c>
      <c r="B658" s="1">
        <f ca="1">IFERROR(__xludf.DUMMYFUNCTION("""COMPUTED_VALUE"""),3)</f>
        <v>3</v>
      </c>
      <c r="C658" s="1">
        <f ca="1">IFERROR(__xludf.DUMMYFUNCTION("""COMPUTED_VALUE"""),28)</f>
        <v>28</v>
      </c>
      <c r="D658" s="1">
        <f ca="1">IFERROR(__xludf.DUMMYFUNCTION("""COMPUTED_VALUE"""),2022)</f>
        <v>2022</v>
      </c>
      <c r="E658" s="4">
        <f ca="1">IFERROR(__xludf.DUMMYFUNCTION("""COMPUTED_VALUE"""),44648)</f>
        <v>44648</v>
      </c>
      <c r="F658" s="1" t="str">
        <f ca="1">IFERROR(__xludf.DUMMYFUNCTION("""COMPUTED_VALUE"""),"North Crowley High School")</f>
        <v>North Crowley High School</v>
      </c>
      <c r="G658" s="1">
        <f ca="1">IFERROR(__xludf.DUMMYFUNCTION("""COMPUTED_VALUE"""),0)</f>
        <v>0</v>
      </c>
      <c r="H658" s="1">
        <f ca="1">IFERROR(__xludf.DUMMYFUNCTION("""COMPUTED_VALUE"""),0)</f>
        <v>0</v>
      </c>
      <c r="I658" s="1">
        <f ca="1">IFERROR(__xludf.DUMMYFUNCTION("""COMPUTED_VALUE"""),0)</f>
        <v>0</v>
      </c>
      <c r="J658" s="1">
        <f ca="1">IFERROR(__xludf.DUMMYFUNCTION("""COMPUTED_VALUE"""),0)</f>
        <v>0</v>
      </c>
      <c r="K658" s="1" t="str">
        <f ca="1">IFERROR(__xludf.DUMMYFUNCTION("""COMPUTED_VALUE"""),"Spring")</f>
        <v>Spring</v>
      </c>
      <c r="L658" s="1" t="str">
        <f ca="1">IFERROR(__xludf.DUMMYFUNCTION("""COMPUTED_VALUE"""),"Fort Worth")</f>
        <v>Fort Worth</v>
      </c>
      <c r="M658" s="1" t="str">
        <f ca="1">IFERROR(__xludf.DUMMYFUNCTION("""COMPUTED_VALUE"""),"TX")</f>
        <v>TX</v>
      </c>
      <c r="N658" s="1" t="str">
        <f ca="1">IFERROR(__xludf.DUMMYFUNCTION("""COMPUTED_VALUE"""),"High")</f>
        <v>High</v>
      </c>
      <c r="O658" s="1" t="str">
        <f ca="1">IFERROR(__xludf.DUMMYFUNCTION("""COMPUTED_VALUE"""),"Parking Lot")</f>
        <v>Parking Lot</v>
      </c>
      <c r="P658" s="1" t="str">
        <f ca="1">IFERROR(__xludf.DUMMYFUNCTION("""COMPUTED_VALUE"""),"Outside on School Property")</f>
        <v>Outside on School Property</v>
      </c>
      <c r="Q658" s="1" t="str">
        <f ca="1">IFERROR(__xludf.DUMMYFUNCTION("""COMPUTED_VALUE"""),"No")</f>
        <v>No</v>
      </c>
      <c r="R658" s="1" t="str">
        <f ca="1">IFERROR(__xludf.DUMMYFUNCTION("""COMPUTED_VALUE"""),"After School")</f>
        <v>After School</v>
      </c>
      <c r="S658" s="5">
        <f ca="1">IFERROR(__xludf.DUMMYFUNCTION("""COMPUTED_VALUE"""),0.6875)</f>
        <v>0.6875</v>
      </c>
      <c r="T658" s="1">
        <f ca="1">IFERROR(__xludf.DUMMYFUNCTION("""COMPUTED_VALUE"""),1)</f>
        <v>1</v>
      </c>
      <c r="U658" s="1" t="str">
        <f ca="1">IFERROR(__xludf.DUMMYFUNCTION("""COMPUTED_VALUE"""),"Shots fired from a vehicle in the student parking lot")</f>
        <v>Shots fired from a vehicle in the student parking lot</v>
      </c>
      <c r="V658" s="1" t="str">
        <f ca="1">IFERROR(__xludf.DUMMYFUNCTION("""COMPUTED_VALUE"""),"Shots were fired from a vehicle in the student parking lot. No injuries. School went on lockdown for 25 minutes.")</f>
        <v>Shots were fired from a vehicle in the student parking lot. No injuries. School went on lockdown for 25 minutes.</v>
      </c>
      <c r="W658" s="1" t="str">
        <f ca="1">IFERROR(__xludf.DUMMYFUNCTION("""COMPUTED_VALUE"""),"Drive-by Shooting")</f>
        <v>Drive-by Shooting</v>
      </c>
      <c r="X658" s="1"/>
      <c r="Y658" s="1" t="str">
        <f ca="1">IFERROR(__xludf.DUMMYFUNCTION("""COMPUTED_VALUE"""),"No")</f>
        <v>No</v>
      </c>
      <c r="Z658" s="1"/>
      <c r="AA658" s="1" t="str">
        <f ca="1">IFERROR(__xludf.DUMMYFUNCTION("""COMPUTED_VALUE"""),"No")</f>
        <v>No</v>
      </c>
      <c r="AB658" s="1" t="str">
        <f ca="1">IFERROR(__xludf.DUMMYFUNCTION("""COMPUTED_VALUE"""),"No")</f>
        <v>No</v>
      </c>
      <c r="AC658" s="1" t="str">
        <f ca="1">IFERROR(__xludf.DUMMYFUNCTION("""COMPUTED_VALUE"""),"No")</f>
        <v>No</v>
      </c>
      <c r="AD658" s="1" t="str">
        <f ca="1">IFERROR(__xludf.DUMMYFUNCTION("""COMPUTED_VALUE"""),"No")</f>
        <v>No</v>
      </c>
      <c r="AE658" s="1" t="str">
        <f ca="1">IFERROR(__xludf.DUMMYFUNCTION("""COMPUTED_VALUE"""),"No")</f>
        <v>No</v>
      </c>
      <c r="AF658" s="1" t="str">
        <f ca="1">IFERROR(__xludf.DUMMYFUNCTION("""COMPUTED_VALUE"""),"No")</f>
        <v>No</v>
      </c>
      <c r="AG658" s="1" t="str">
        <f ca="1">IFERROR(__xludf.DUMMYFUNCTION("""COMPUTED_VALUE"""),"No")</f>
        <v>No</v>
      </c>
      <c r="AH658" s="1">
        <f ca="1">IFERROR(__xludf.DUMMYFUNCTION("""COMPUTED_VALUE"""),99)</f>
        <v>99</v>
      </c>
    </row>
    <row r="659" spans="1:34" ht="12.5">
      <c r="A659" s="1" t="str">
        <f ca="1">IFERROR(__xludf.DUMMYFUNCTION("""COMPUTED_VALUE"""),"20220328NCOAC")</f>
        <v>20220328NCOAC</v>
      </c>
      <c r="B659" s="1">
        <f ca="1">IFERROR(__xludf.DUMMYFUNCTION("""COMPUTED_VALUE"""),3)</f>
        <v>3</v>
      </c>
      <c r="C659" s="1">
        <f ca="1">IFERROR(__xludf.DUMMYFUNCTION("""COMPUTED_VALUE"""),28)</f>
        <v>28</v>
      </c>
      <c r="D659" s="1">
        <f ca="1">IFERROR(__xludf.DUMMYFUNCTION("""COMPUTED_VALUE"""),2022)</f>
        <v>2022</v>
      </c>
      <c r="E659" s="4">
        <f ca="1">IFERROR(__xludf.DUMMYFUNCTION("""COMPUTED_VALUE"""),44648)</f>
        <v>44648</v>
      </c>
      <c r="F659" s="1" t="str">
        <f ca="1">IFERROR(__xludf.DUMMYFUNCTION("""COMPUTED_VALUE"""),"Oakdale Elementary School")</f>
        <v>Oakdale Elementary School</v>
      </c>
      <c r="G659" s="1">
        <f ca="1">IFERROR(__xludf.DUMMYFUNCTION("""COMPUTED_VALUE"""),0)</f>
        <v>0</v>
      </c>
      <c r="H659" s="1">
        <f ca="1">IFERROR(__xludf.DUMMYFUNCTION("""COMPUTED_VALUE"""),1)</f>
        <v>1</v>
      </c>
      <c r="I659" s="1">
        <f ca="1">IFERROR(__xludf.DUMMYFUNCTION("""COMPUTED_VALUE"""),1)</f>
        <v>1</v>
      </c>
      <c r="J659" s="1">
        <f ca="1">IFERROR(__xludf.DUMMYFUNCTION("""COMPUTED_VALUE"""),0)</f>
        <v>0</v>
      </c>
      <c r="K659" s="1" t="str">
        <f ca="1">IFERROR(__xludf.DUMMYFUNCTION("""COMPUTED_VALUE"""),"Spring")</f>
        <v>Spring</v>
      </c>
      <c r="L659" s="1" t="str">
        <f ca="1">IFERROR(__xludf.DUMMYFUNCTION("""COMPUTED_VALUE"""),"Charlotte")</f>
        <v>Charlotte</v>
      </c>
      <c r="M659" s="1" t="str">
        <f ca="1">IFERROR(__xludf.DUMMYFUNCTION("""COMPUTED_VALUE"""),"NC")</f>
        <v>NC</v>
      </c>
      <c r="N659" s="1" t="str">
        <f ca="1">IFERROR(__xludf.DUMMYFUNCTION("""COMPUTED_VALUE"""),"Elementary")</f>
        <v>Elementary</v>
      </c>
      <c r="O659" s="1" t="str">
        <f ca="1">IFERROR(__xludf.DUMMYFUNCTION("""COMPUTED_VALUE"""),"Parking Lot")</f>
        <v>Parking Lot</v>
      </c>
      <c r="P659" s="1" t="str">
        <f ca="1">IFERROR(__xludf.DUMMYFUNCTION("""COMPUTED_VALUE"""),"Outside on School Property")</f>
        <v>Outside on School Property</v>
      </c>
      <c r="Q659" s="1" t="str">
        <f ca="1">IFERROR(__xludf.DUMMYFUNCTION("""COMPUTED_VALUE"""),"No")</f>
        <v>No</v>
      </c>
      <c r="R659" s="1" t="str">
        <f ca="1">IFERROR(__xludf.DUMMYFUNCTION("""COMPUTED_VALUE"""),"Not a School Day")</f>
        <v>Not a School Day</v>
      </c>
      <c r="S659" s="5">
        <f ca="1">IFERROR(__xludf.DUMMYFUNCTION("""COMPUTED_VALUE"""),0.479166666666666)</f>
        <v>0.47916666666666602</v>
      </c>
      <c r="T659" s="1">
        <f ca="1">IFERROR(__xludf.DUMMYFUNCTION("""COMPUTED_VALUE"""),1)</f>
        <v>1</v>
      </c>
      <c r="U659" s="1" t="str">
        <f ca="1">IFERROR(__xludf.DUMMYFUNCTION("""COMPUTED_VALUE"""),"Teen shot during attempted robbery in school parking lot")</f>
        <v>Teen shot during attempted robbery in school parking lot</v>
      </c>
      <c r="V659" s="1" t="str">
        <f ca="1">IFERROR(__xludf.DUMMYFUNCTION("""COMPUTED_VALUE"""),"16-year-old was shot by an 18-year-old during an attempted robbery in the school parking lot. Class was not in session for teacher workday. Staff inside locked down the building.")</f>
        <v>16-year-old was shot by an 18-year-old during an attempted robbery in the school parking lot. Class was not in session for teacher workday. Staff inside locked down the building.</v>
      </c>
      <c r="W659" s="1" t="str">
        <f ca="1">IFERROR(__xludf.DUMMYFUNCTION("""COMPUTED_VALUE"""),"Illegal Activity")</f>
        <v>Illegal Activity</v>
      </c>
      <c r="X659" s="1" t="str">
        <f ca="1">IFERROR(__xludf.DUMMYFUNCTION("""COMPUTED_VALUE"""),"Victims Targeted")</f>
        <v>Victims Targeted</v>
      </c>
      <c r="Y659" s="1" t="str">
        <f ca="1">IFERROR(__xludf.DUMMYFUNCTION("""COMPUTED_VALUE"""),"No")</f>
        <v>No</v>
      </c>
      <c r="Z659" s="1"/>
      <c r="AA659" s="1" t="str">
        <f ca="1">IFERROR(__xludf.DUMMYFUNCTION("""COMPUTED_VALUE"""),"No")</f>
        <v>No</v>
      </c>
      <c r="AB659" s="1" t="str">
        <f ca="1">IFERROR(__xludf.DUMMYFUNCTION("""COMPUTED_VALUE"""),"No")</f>
        <v>No</v>
      </c>
      <c r="AC659" s="1" t="str">
        <f ca="1">IFERROR(__xludf.DUMMYFUNCTION("""COMPUTED_VALUE"""),"No")</f>
        <v>No</v>
      </c>
      <c r="AD659" s="1" t="str">
        <f ca="1">IFERROR(__xludf.DUMMYFUNCTION("""COMPUTED_VALUE"""),"No")</f>
        <v>No</v>
      </c>
      <c r="AE659" s="1" t="str">
        <f ca="1">IFERROR(__xludf.DUMMYFUNCTION("""COMPUTED_VALUE"""),"No")</f>
        <v>No</v>
      </c>
      <c r="AF659" s="1" t="str">
        <f ca="1">IFERROR(__xludf.DUMMYFUNCTION("""COMPUTED_VALUE"""),"No")</f>
        <v>No</v>
      </c>
      <c r="AG659" s="1" t="str">
        <f ca="1">IFERROR(__xludf.DUMMYFUNCTION("""COMPUTED_VALUE"""),"No")</f>
        <v>No</v>
      </c>
      <c r="AH659" s="1">
        <f ca="1">IFERROR(__xludf.DUMMYFUNCTION("""COMPUTED_VALUE"""),1)</f>
        <v>1</v>
      </c>
    </row>
    <row r="660" spans="1:34" ht="12.5">
      <c r="A660" s="1" t="str">
        <f ca="1">IFERROR(__xludf.DUMMYFUNCTION("""COMPUTED_VALUE"""),"20220325UTHIS")</f>
        <v>20220325UTHIS</v>
      </c>
      <c r="B660" s="1">
        <f ca="1">IFERROR(__xludf.DUMMYFUNCTION("""COMPUTED_VALUE"""),3)</f>
        <v>3</v>
      </c>
      <c r="C660" s="1">
        <f ca="1">IFERROR(__xludf.DUMMYFUNCTION("""COMPUTED_VALUE"""),25)</f>
        <v>25</v>
      </c>
      <c r="D660" s="1">
        <f ca="1">IFERROR(__xludf.DUMMYFUNCTION("""COMPUTED_VALUE"""),2022)</f>
        <v>2022</v>
      </c>
      <c r="E660" s="4">
        <f ca="1">IFERROR(__xludf.DUMMYFUNCTION("""COMPUTED_VALUE"""),44645)</f>
        <v>44645</v>
      </c>
      <c r="F660" s="1" t="str">
        <f ca="1">IFERROR(__xludf.DUMMYFUNCTION("""COMPUTED_VALUE"""),"Highland High School")</f>
        <v>Highland High School</v>
      </c>
      <c r="G660" s="1">
        <f ca="1">IFERROR(__xludf.DUMMYFUNCTION("""COMPUTED_VALUE"""),0)</f>
        <v>0</v>
      </c>
      <c r="H660" s="1">
        <f ca="1">IFERROR(__xludf.DUMMYFUNCTION("""COMPUTED_VALUE"""),0)</f>
        <v>0</v>
      </c>
      <c r="I660" s="1">
        <f ca="1">IFERROR(__xludf.DUMMYFUNCTION("""COMPUTED_VALUE"""),0)</f>
        <v>0</v>
      </c>
      <c r="J660" s="1">
        <f ca="1">IFERROR(__xludf.DUMMYFUNCTION("""COMPUTED_VALUE"""),0)</f>
        <v>0</v>
      </c>
      <c r="K660" s="1" t="str">
        <f ca="1">IFERROR(__xludf.DUMMYFUNCTION("""COMPUTED_VALUE"""),"Spring")</f>
        <v>Spring</v>
      </c>
      <c r="L660" s="1" t="str">
        <f ca="1">IFERROR(__xludf.DUMMYFUNCTION("""COMPUTED_VALUE"""),"Salt Lake City")</f>
        <v>Salt Lake City</v>
      </c>
      <c r="M660" s="1" t="str">
        <f ca="1">IFERROR(__xludf.DUMMYFUNCTION("""COMPUTED_VALUE"""),"UT")</f>
        <v>UT</v>
      </c>
      <c r="N660" s="1" t="str">
        <f ca="1">IFERROR(__xludf.DUMMYFUNCTION("""COMPUTED_VALUE"""),"High")</f>
        <v>High</v>
      </c>
      <c r="O660" s="1" t="str">
        <f ca="1">IFERROR(__xludf.DUMMYFUNCTION("""COMPUTED_VALUE"""),"Parking Lot")</f>
        <v>Parking Lot</v>
      </c>
      <c r="P660" s="1" t="str">
        <f ca="1">IFERROR(__xludf.DUMMYFUNCTION("""COMPUTED_VALUE"""),"Outside on School Property")</f>
        <v>Outside on School Property</v>
      </c>
      <c r="Q660" s="1" t="str">
        <f ca="1">IFERROR(__xludf.DUMMYFUNCTION("""COMPUTED_VALUE"""),"Yes")</f>
        <v>Yes</v>
      </c>
      <c r="R660" s="1" t="str">
        <f ca="1">IFERROR(__xludf.DUMMYFUNCTION("""COMPUTED_VALUE"""),"Lunch")</f>
        <v>Lunch</v>
      </c>
      <c r="S660" s="5">
        <f ca="1">IFERROR(__xludf.DUMMYFUNCTION("""COMPUTED_VALUE"""),0.5)</f>
        <v>0.5</v>
      </c>
      <c r="T660" s="1">
        <f ca="1">IFERROR(__xludf.DUMMYFUNCTION("""COMPUTED_VALUE"""),1)</f>
        <v>1</v>
      </c>
      <c r="U660" s="1" t="str">
        <f ca="1">IFERROR(__xludf.DUMMYFUNCTION("""COMPUTED_VALUE"""),"Teens fired pellet gun at vehicle for TikTok challenge, real bullets fired back")</f>
        <v>Teens fired pellet gun at vehicle for TikTok challenge, real bullets fired back</v>
      </c>
      <c r="V660" s="1" t="str">
        <f ca="1">IFERROR(__xludf.DUMMYFUNCTION("""COMPUTED_VALUE"""),"Teens were outside in the school parking lot during lunch and fired gel pellet guns at a vehicle as part of TikTok challenge. Vehicle circled around, drive confronted teens with real gun, fired bullets at their car, and then fled.")</f>
        <v>Teens were outside in the school parking lot during lunch and fired gel pellet guns at a vehicle as part of TikTok challenge. Vehicle circled around, drive confronted teens with real gun, fired bullets at their car, and then fled.</v>
      </c>
      <c r="W660" s="1" t="str">
        <f ca="1">IFERROR(__xludf.DUMMYFUNCTION("""COMPUTED_VALUE"""),"Drive-by Shooting")</f>
        <v>Drive-by Shooting</v>
      </c>
      <c r="X660" s="1" t="str">
        <f ca="1">IFERROR(__xludf.DUMMYFUNCTION("""COMPUTED_VALUE"""),"Random Shooting")</f>
        <v>Random Shooting</v>
      </c>
      <c r="Y660" s="1" t="str">
        <f ca="1">IFERROR(__xludf.DUMMYFUNCTION("""COMPUTED_VALUE"""),"No")</f>
        <v>No</v>
      </c>
      <c r="Z660" s="1"/>
      <c r="AA660" s="1" t="str">
        <f ca="1">IFERROR(__xludf.DUMMYFUNCTION("""COMPUTED_VALUE"""),"No")</f>
        <v>No</v>
      </c>
      <c r="AB660" s="1" t="str">
        <f ca="1">IFERROR(__xludf.DUMMYFUNCTION("""COMPUTED_VALUE"""),"No")</f>
        <v>No</v>
      </c>
      <c r="AC660" s="1" t="str">
        <f ca="1">IFERROR(__xludf.DUMMYFUNCTION("""COMPUTED_VALUE"""),"No")</f>
        <v>No</v>
      </c>
      <c r="AD660" s="1" t="str">
        <f ca="1">IFERROR(__xludf.DUMMYFUNCTION("""COMPUTED_VALUE"""),"No")</f>
        <v>No</v>
      </c>
      <c r="AE660" s="1" t="str">
        <f ca="1">IFERROR(__xludf.DUMMYFUNCTION("""COMPUTED_VALUE"""),"No")</f>
        <v>No</v>
      </c>
      <c r="AF660" s="1" t="str">
        <f ca="1">IFERROR(__xludf.DUMMYFUNCTION("""COMPUTED_VALUE"""),"No")</f>
        <v>No</v>
      </c>
      <c r="AG660" s="1" t="str">
        <f ca="1">IFERROR(__xludf.DUMMYFUNCTION("""COMPUTED_VALUE"""),"No")</f>
        <v>No</v>
      </c>
      <c r="AH660" s="1">
        <f ca="1">IFERROR(__xludf.DUMMYFUNCTION("""COMPUTED_VALUE"""),99)</f>
        <v>99</v>
      </c>
    </row>
    <row r="661" spans="1:34" ht="12.5">
      <c r="A661" s="1" t="str">
        <f ca="1">IFERROR(__xludf.DUMMYFUNCTION("""COMPUTED_VALUE"""),"20220325TXROR")</f>
        <v>20220325TXROR</v>
      </c>
      <c r="B661" s="1">
        <f ca="1">IFERROR(__xludf.DUMMYFUNCTION("""COMPUTED_VALUE"""),3)</f>
        <v>3</v>
      </c>
      <c r="C661" s="1">
        <f ca="1">IFERROR(__xludf.DUMMYFUNCTION("""COMPUTED_VALUE"""),25)</f>
        <v>25</v>
      </c>
      <c r="D661" s="1">
        <f ca="1">IFERROR(__xludf.DUMMYFUNCTION("""COMPUTED_VALUE"""),2022)</f>
        <v>2022</v>
      </c>
      <c r="E661" s="4">
        <f ca="1">IFERROR(__xludf.DUMMYFUNCTION("""COMPUTED_VALUE"""),44645)</f>
        <v>44645</v>
      </c>
      <c r="F661" s="1" t="str">
        <f ca="1">IFERROR(__xludf.DUMMYFUNCTION("""COMPUTED_VALUE"""),"Royse City High School")</f>
        <v>Royse City High School</v>
      </c>
      <c r="G661" s="1">
        <f ca="1">IFERROR(__xludf.DUMMYFUNCTION("""COMPUTED_VALUE"""),0)</f>
        <v>0</v>
      </c>
      <c r="H661" s="1">
        <f ca="1">IFERROR(__xludf.DUMMYFUNCTION("""COMPUTED_VALUE"""),0)</f>
        <v>0</v>
      </c>
      <c r="I661" s="1">
        <f ca="1">IFERROR(__xludf.DUMMYFUNCTION("""COMPUTED_VALUE"""),0)</f>
        <v>0</v>
      </c>
      <c r="J661" s="1">
        <f ca="1">IFERROR(__xludf.DUMMYFUNCTION("""COMPUTED_VALUE"""),0)</f>
        <v>0</v>
      </c>
      <c r="K661" s="1" t="str">
        <f ca="1">IFERROR(__xludf.DUMMYFUNCTION("""COMPUTED_VALUE"""),"Spring")</f>
        <v>Spring</v>
      </c>
      <c r="L661" s="1" t="str">
        <f ca="1">IFERROR(__xludf.DUMMYFUNCTION("""COMPUTED_VALUE"""),"Royse City")</f>
        <v>Royse City</v>
      </c>
      <c r="M661" s="1" t="str">
        <f ca="1">IFERROR(__xludf.DUMMYFUNCTION("""COMPUTED_VALUE"""),"TX")</f>
        <v>TX</v>
      </c>
      <c r="N661" s="1" t="str">
        <f ca="1">IFERROR(__xludf.DUMMYFUNCTION("""COMPUTED_VALUE"""),"High")</f>
        <v>High</v>
      </c>
      <c r="O661" s="1" t="str">
        <f ca="1">IFERROR(__xludf.DUMMYFUNCTION("""COMPUTED_VALUE"""),"Parking Lot")</f>
        <v>Parking Lot</v>
      </c>
      <c r="P661" s="1" t="str">
        <f ca="1">IFERROR(__xludf.DUMMYFUNCTION("""COMPUTED_VALUE"""),"Outside on School Property")</f>
        <v>Outside on School Property</v>
      </c>
      <c r="Q661" s="1" t="str">
        <f ca="1">IFERROR(__xludf.DUMMYFUNCTION("""COMPUTED_VALUE"""),"Yes")</f>
        <v>Yes</v>
      </c>
      <c r="R661" s="1" t="str">
        <f ca="1">IFERROR(__xludf.DUMMYFUNCTION("""COMPUTED_VALUE"""),"School Start")</f>
        <v>School Start</v>
      </c>
      <c r="S661" s="5">
        <f ca="1">IFERROR(__xludf.DUMMYFUNCTION("""COMPUTED_VALUE"""),0.34375)</f>
        <v>0.34375</v>
      </c>
      <c r="T661" s="1">
        <f ca="1">IFERROR(__xludf.DUMMYFUNCTION("""COMPUTED_VALUE"""),1)</f>
        <v>1</v>
      </c>
      <c r="U661" s="1" t="str">
        <f ca="1">IFERROR(__xludf.DUMMYFUNCTION("""COMPUTED_VALUE"""),"Active shooter response to school for 5 students firing pellet guns for TikTok challenge")</f>
        <v>Active shooter response to school for 5 students firing pellet guns for TikTok challenge</v>
      </c>
      <c r="V661" s="1" t="str">
        <f ca="1">IFERROR(__xludf.DUMMYFUNCTION("""COMPUTED_VALUE"""),"Police responded for multiple reports of an active shooter at the high school. School went into lockdown for 3 hours. Police found 5 students with gel pellet guns who were filming a TikTok challenge to shoot random people. No criminal charges filed.")</f>
        <v>Police responded for multiple reports of an active shooter at the high school. School went into lockdown for 3 hours. Police found 5 students with gel pellet guns who were filming a TikTok challenge to shoot random people. No criminal charges filed.</v>
      </c>
      <c r="W661" s="1" t="str">
        <f ca="1">IFERROR(__xludf.DUMMYFUNCTION("""COMPUTED_VALUE"""),"Indiscriminate Shooting")</f>
        <v>Indiscriminate Shooting</v>
      </c>
      <c r="X661" s="1" t="str">
        <f ca="1">IFERROR(__xludf.DUMMYFUNCTION("""COMPUTED_VALUE"""),"Random Shooting")</f>
        <v>Random Shooting</v>
      </c>
      <c r="Y661" s="1" t="str">
        <f ca="1">IFERROR(__xludf.DUMMYFUNCTION("""COMPUTED_VALUE"""),"Yes")</f>
        <v>Yes</v>
      </c>
      <c r="Z661" s="1" t="str">
        <f ca="1">IFERROR(__xludf.DUMMYFUNCTION("""COMPUTED_VALUE"""),"5 students")</f>
        <v>5 students</v>
      </c>
      <c r="AA661" s="1" t="str">
        <f ca="1">IFERROR(__xludf.DUMMYFUNCTION("""COMPUTED_VALUE"""),"No")</f>
        <v>No</v>
      </c>
      <c r="AB661" s="1" t="str">
        <f ca="1">IFERROR(__xludf.DUMMYFUNCTION("""COMPUTED_VALUE"""),"No")</f>
        <v>No</v>
      </c>
      <c r="AC661" s="1" t="str">
        <f ca="1">IFERROR(__xludf.DUMMYFUNCTION("""COMPUTED_VALUE"""),"No")</f>
        <v>No</v>
      </c>
      <c r="AD661" s="1" t="str">
        <f ca="1">IFERROR(__xludf.DUMMYFUNCTION("""COMPUTED_VALUE"""),"No")</f>
        <v>No</v>
      </c>
      <c r="AE661" s="1" t="str">
        <f ca="1">IFERROR(__xludf.DUMMYFUNCTION("""COMPUTED_VALUE"""),"No")</f>
        <v>No</v>
      </c>
      <c r="AF661" s="1" t="str">
        <f ca="1">IFERROR(__xludf.DUMMYFUNCTION("""COMPUTED_VALUE"""),"No")</f>
        <v>No</v>
      </c>
      <c r="AG661" s="1" t="str">
        <f ca="1">IFERROR(__xludf.DUMMYFUNCTION("""COMPUTED_VALUE"""),"No")</f>
        <v>No</v>
      </c>
      <c r="AH661" s="1">
        <f ca="1">IFERROR(__xludf.DUMMYFUNCTION("""COMPUTED_VALUE"""),99)</f>
        <v>99</v>
      </c>
    </row>
    <row r="662" spans="1:34" ht="12.5">
      <c r="A662" s="1" t="str">
        <f ca="1">IFERROR(__xludf.DUMMYFUNCTION("""COMPUTED_VALUE"""),"20220325TNBRM")</f>
        <v>20220325TNBRM</v>
      </c>
      <c r="B662" s="1">
        <f ca="1">IFERROR(__xludf.DUMMYFUNCTION("""COMPUTED_VALUE"""),3)</f>
        <v>3</v>
      </c>
      <c r="C662" s="1">
        <f ca="1">IFERROR(__xludf.DUMMYFUNCTION("""COMPUTED_VALUE"""),25)</f>
        <v>25</v>
      </c>
      <c r="D662" s="1">
        <f ca="1">IFERROR(__xludf.DUMMYFUNCTION("""COMPUTED_VALUE"""),2022)</f>
        <v>2022</v>
      </c>
      <c r="E662" s="4">
        <f ca="1">IFERROR(__xludf.DUMMYFUNCTION("""COMPUTED_VALUE"""),44645)</f>
        <v>44645</v>
      </c>
      <c r="F662" s="1" t="str">
        <f ca="1">IFERROR(__xludf.DUMMYFUNCTION("""COMPUTED_VALUE"""),"Brighton High School")</f>
        <v>Brighton High School</v>
      </c>
      <c r="G662" s="1">
        <f ca="1">IFERROR(__xludf.DUMMYFUNCTION("""COMPUTED_VALUE"""),0)</f>
        <v>0</v>
      </c>
      <c r="H662" s="1">
        <f ca="1">IFERROR(__xludf.DUMMYFUNCTION("""COMPUTED_VALUE"""),0)</f>
        <v>0</v>
      </c>
      <c r="I662" s="1">
        <f ca="1">IFERROR(__xludf.DUMMYFUNCTION("""COMPUTED_VALUE"""),0)</f>
        <v>0</v>
      </c>
      <c r="J662" s="1">
        <f ca="1">IFERROR(__xludf.DUMMYFUNCTION("""COMPUTED_VALUE"""),0)</f>
        <v>0</v>
      </c>
      <c r="K662" s="1" t="str">
        <f ca="1">IFERROR(__xludf.DUMMYFUNCTION("""COMPUTED_VALUE"""),"Spring")</f>
        <v>Spring</v>
      </c>
      <c r="L662" s="1" t="str">
        <f ca="1">IFERROR(__xludf.DUMMYFUNCTION("""COMPUTED_VALUE"""),"Memphis")</f>
        <v>Memphis</v>
      </c>
      <c r="M662" s="1" t="str">
        <f ca="1">IFERROR(__xludf.DUMMYFUNCTION("""COMPUTED_VALUE"""),"TN")</f>
        <v>TN</v>
      </c>
      <c r="N662" s="1" t="str">
        <f ca="1">IFERROR(__xludf.DUMMYFUNCTION("""COMPUTED_VALUE"""),"High")</f>
        <v>High</v>
      </c>
      <c r="O662" s="1" t="str">
        <f ca="1">IFERROR(__xludf.DUMMYFUNCTION("""COMPUTED_VALUE"""),"Parking Lot")</f>
        <v>Parking Lot</v>
      </c>
      <c r="P662" s="1" t="str">
        <f ca="1">IFERROR(__xludf.DUMMYFUNCTION("""COMPUTED_VALUE"""),"Outside on School Property")</f>
        <v>Outside on School Property</v>
      </c>
      <c r="Q662" s="1" t="str">
        <f ca="1">IFERROR(__xludf.DUMMYFUNCTION("""COMPUTED_VALUE"""),"No")</f>
        <v>No</v>
      </c>
      <c r="R662" s="1" t="str">
        <f ca="1">IFERROR(__xludf.DUMMYFUNCTION("""COMPUTED_VALUE"""),"Evening")</f>
        <v>Evening</v>
      </c>
      <c r="S662" s="1"/>
      <c r="T662" s="1">
        <f ca="1">IFERROR(__xludf.DUMMYFUNCTION("""COMPUTED_VALUE"""),1)</f>
        <v>1</v>
      </c>
      <c r="U662" s="1" t="str">
        <f ca="1">IFERROR(__xludf.DUMMYFUNCTION("""COMPUTED_VALUE"""),"Shots fired during candlelight vigil for former student")</f>
        <v>Shots fired during candlelight vigil for former student</v>
      </c>
      <c r="V662" s="1" t="str">
        <f ca="1">IFERROR(__xludf.DUMMYFUNCTION("""COMPUTED_VALUE"""),"5 shots were fired from a vehicle at a crowd of 80 people gathered for a candlelight vigil at the school. Shooter fled, was pursued by police, and arrested. Charged with 20 counts of reckless endangerment.")</f>
        <v>5 shots were fired from a vehicle at a crowd of 80 people gathered for a candlelight vigil at the school. Shooter fled, was pursued by police, and arrested. Charged with 20 counts of reckless endangerment.</v>
      </c>
      <c r="W662" s="1" t="str">
        <f ca="1">IFERROR(__xludf.DUMMYFUNCTION("""COMPUTED_VALUE"""),"Drive-by Shooting")</f>
        <v>Drive-by Shooting</v>
      </c>
      <c r="X662" s="1" t="str">
        <f ca="1">IFERROR(__xludf.DUMMYFUNCTION("""COMPUTED_VALUE"""),"Both")</f>
        <v>Both</v>
      </c>
      <c r="Y662" s="1" t="str">
        <f ca="1">IFERROR(__xludf.DUMMYFUNCTION("""COMPUTED_VALUE"""),"No")</f>
        <v>No</v>
      </c>
      <c r="Z662" s="1"/>
      <c r="AA662" s="1" t="str">
        <f ca="1">IFERROR(__xludf.DUMMYFUNCTION("""COMPUTED_VALUE"""),"No")</f>
        <v>No</v>
      </c>
      <c r="AB662" s="1" t="str">
        <f ca="1">IFERROR(__xludf.DUMMYFUNCTION("""COMPUTED_VALUE"""),"No")</f>
        <v>No</v>
      </c>
      <c r="AC662" s="1" t="str">
        <f ca="1">IFERROR(__xludf.DUMMYFUNCTION("""COMPUTED_VALUE"""),"No")</f>
        <v>No</v>
      </c>
      <c r="AD662" s="1" t="str">
        <f ca="1">IFERROR(__xludf.DUMMYFUNCTION("""COMPUTED_VALUE"""),"No")</f>
        <v>No</v>
      </c>
      <c r="AE662" s="1" t="str">
        <f ca="1">IFERROR(__xludf.DUMMYFUNCTION("""COMPUTED_VALUE"""),"No")</f>
        <v>No</v>
      </c>
      <c r="AF662" s="1"/>
      <c r="AG662" s="1" t="str">
        <f ca="1">IFERROR(__xludf.DUMMYFUNCTION("""COMPUTED_VALUE"""),"No")</f>
        <v>No</v>
      </c>
      <c r="AH662" s="1">
        <f ca="1">IFERROR(__xludf.DUMMYFUNCTION("""COMPUTED_VALUE"""),5)</f>
        <v>5</v>
      </c>
    </row>
    <row r="663" spans="1:34" ht="12.5">
      <c r="A663" s="1" t="str">
        <f ca="1">IFERROR(__xludf.DUMMYFUNCTION("""COMPUTED_VALUE"""),"20220324VARIW")</f>
        <v>20220324VARIW</v>
      </c>
      <c r="B663" s="1">
        <f ca="1">IFERROR(__xludf.DUMMYFUNCTION("""COMPUTED_VALUE"""),3)</f>
        <v>3</v>
      </c>
      <c r="C663" s="1">
        <f ca="1">IFERROR(__xludf.DUMMYFUNCTION("""COMPUTED_VALUE"""),24)</f>
        <v>24</v>
      </c>
      <c r="D663" s="1">
        <f ca="1">IFERROR(__xludf.DUMMYFUNCTION("""COMPUTED_VALUE"""),2022)</f>
        <v>2022</v>
      </c>
      <c r="E663" s="4">
        <f ca="1">IFERROR(__xludf.DUMMYFUNCTION("""COMPUTED_VALUE"""),44644)</f>
        <v>44644</v>
      </c>
      <c r="F663" s="1" t="str">
        <f ca="1">IFERROR(__xludf.DUMMYFUNCTION("""COMPUTED_VALUE"""),"Rippon Middle School")</f>
        <v>Rippon Middle School</v>
      </c>
      <c r="G663" s="1">
        <f ca="1">IFERROR(__xludf.DUMMYFUNCTION("""COMPUTED_VALUE"""),0)</f>
        <v>0</v>
      </c>
      <c r="H663" s="1">
        <f ca="1">IFERROR(__xludf.DUMMYFUNCTION("""COMPUTED_VALUE"""),0)</f>
        <v>0</v>
      </c>
      <c r="I663" s="1">
        <f ca="1">IFERROR(__xludf.DUMMYFUNCTION("""COMPUTED_VALUE"""),0)</f>
        <v>0</v>
      </c>
      <c r="J663" s="1">
        <f ca="1">IFERROR(__xludf.DUMMYFUNCTION("""COMPUTED_VALUE"""),0)</f>
        <v>0</v>
      </c>
      <c r="K663" s="1" t="str">
        <f ca="1">IFERROR(__xludf.DUMMYFUNCTION("""COMPUTED_VALUE"""),"Spring")</f>
        <v>Spring</v>
      </c>
      <c r="L663" s="1" t="str">
        <f ca="1">IFERROR(__xludf.DUMMYFUNCTION("""COMPUTED_VALUE"""),"Woodbridge")</f>
        <v>Woodbridge</v>
      </c>
      <c r="M663" s="1" t="str">
        <f ca="1">IFERROR(__xludf.DUMMYFUNCTION("""COMPUTED_VALUE"""),"VA")</f>
        <v>VA</v>
      </c>
      <c r="N663" s="1" t="str">
        <f ca="1">IFERROR(__xludf.DUMMYFUNCTION("""COMPUTED_VALUE"""),"Middle")</f>
        <v>Middle</v>
      </c>
      <c r="O663" s="1" t="str">
        <f ca="1">IFERROR(__xludf.DUMMYFUNCTION("""COMPUTED_VALUE"""),"Beside Building")</f>
        <v>Beside Building</v>
      </c>
      <c r="P663" s="1" t="str">
        <f ca="1">IFERROR(__xludf.DUMMYFUNCTION("""COMPUTED_VALUE"""),"Outside on School Property")</f>
        <v>Outside on School Property</v>
      </c>
      <c r="Q663" s="1" t="str">
        <f ca="1">IFERROR(__xludf.DUMMYFUNCTION("""COMPUTED_VALUE"""),"Yes")</f>
        <v>Yes</v>
      </c>
      <c r="R663" s="1" t="str">
        <f ca="1">IFERROR(__xludf.DUMMYFUNCTION("""COMPUTED_VALUE"""),"Morning Classes")</f>
        <v>Morning Classes</v>
      </c>
      <c r="S663" s="5">
        <f ca="1">IFERROR(__xludf.DUMMYFUNCTION("""COMPUTED_VALUE"""),0.465972222222222)</f>
        <v>0.46597222222222201</v>
      </c>
      <c r="T663" s="1">
        <f ca="1">IFERROR(__xludf.DUMMYFUNCTION("""COMPUTED_VALUE"""),1)</f>
        <v>1</v>
      </c>
      <c r="U663" s="1" t="str">
        <f ca="1">IFERROR(__xludf.DUMMYFUNCTION("""COMPUTED_VALUE"""),"Man in ski mask with rifle and shotgun fired shot outside of school, arrested by SRO")</f>
        <v>Man in ski mask with rifle and shotgun fired shot outside of school, arrested by SRO</v>
      </c>
      <c r="V663" s="1" t="str">
        <f ca="1">IFERROR(__xludf.DUMMYFUNCTION("""COMPUTED_VALUE"""),"A 20-year-old man was involved in a domestic dispute near the school. He walked on school property with a rifle and shotgun wearing a ski mask. He fired a shot and the school went on lockdown. SRO responded and he surrendered next to the building. Arreste"&amp;"d and held without bond.")</f>
        <v>A 20-year-old man was involved in a domestic dispute near the school. He walked on school property with a rifle and shotgun wearing a ski mask. He fired a shot and the school went on lockdown. SRO responded and he surrendered next to the building. Arrested and held without bond.</v>
      </c>
      <c r="W663" s="1" t="str">
        <f ca="1">IFERROR(__xludf.DUMMYFUNCTION("""COMPUTED_VALUE"""),"Domestic w/ Targeted Victim")</f>
        <v>Domestic w/ Targeted Victim</v>
      </c>
      <c r="X663" s="1" t="str">
        <f ca="1">IFERROR(__xludf.DUMMYFUNCTION("""COMPUTED_VALUE"""),"Neither")</f>
        <v>Neither</v>
      </c>
      <c r="Y663" s="1" t="str">
        <f ca="1">IFERROR(__xludf.DUMMYFUNCTION("""COMPUTED_VALUE"""),"No")</f>
        <v>No</v>
      </c>
      <c r="Z663" s="1"/>
      <c r="AA663" s="1" t="str">
        <f ca="1">IFERROR(__xludf.DUMMYFUNCTION("""COMPUTED_VALUE"""),"No")</f>
        <v>No</v>
      </c>
      <c r="AB663" s="1" t="str">
        <f ca="1">IFERROR(__xludf.DUMMYFUNCTION("""COMPUTED_VALUE"""),"No")</f>
        <v>No</v>
      </c>
      <c r="AC663" s="1" t="str">
        <f ca="1">IFERROR(__xludf.DUMMYFUNCTION("""COMPUTED_VALUE"""),"No")</f>
        <v>No</v>
      </c>
      <c r="AD663" s="1" t="str">
        <f ca="1">IFERROR(__xludf.DUMMYFUNCTION("""COMPUTED_VALUE"""),"No")</f>
        <v>No</v>
      </c>
      <c r="AE663" s="1" t="str">
        <f ca="1">IFERROR(__xludf.DUMMYFUNCTION("""COMPUTED_VALUE"""),"Yes")</f>
        <v>Yes</v>
      </c>
      <c r="AF663" s="1" t="str">
        <f ca="1">IFERROR(__xludf.DUMMYFUNCTION("""COMPUTED_VALUE"""),"No")</f>
        <v>No</v>
      </c>
      <c r="AG663" s="1" t="str">
        <f ca="1">IFERROR(__xludf.DUMMYFUNCTION("""COMPUTED_VALUE"""),"No")</f>
        <v>No</v>
      </c>
      <c r="AH663" s="1">
        <f ca="1">IFERROR(__xludf.DUMMYFUNCTION("""COMPUTED_VALUE"""),2)</f>
        <v>2</v>
      </c>
    </row>
    <row r="664" spans="1:34" ht="12.5">
      <c r="A664" s="1" t="str">
        <f ca="1">IFERROR(__xludf.DUMMYFUNCTION("""COMPUTED_VALUE"""),"20220322VAJAR")</f>
        <v>20220322VAJAR</v>
      </c>
      <c r="B664" s="1">
        <f ca="1">IFERROR(__xludf.DUMMYFUNCTION("""COMPUTED_VALUE"""),3)</f>
        <v>3</v>
      </c>
      <c r="C664" s="1">
        <f ca="1">IFERROR(__xludf.DUMMYFUNCTION("""COMPUTED_VALUE"""),22)</f>
        <v>22</v>
      </c>
      <c r="D664" s="1">
        <f ca="1">IFERROR(__xludf.DUMMYFUNCTION("""COMPUTED_VALUE"""),2022)</f>
        <v>2022</v>
      </c>
      <c r="E664" s="4">
        <f ca="1">IFERROR(__xludf.DUMMYFUNCTION("""COMPUTED_VALUE"""),44642)</f>
        <v>44642</v>
      </c>
      <c r="F664" s="1" t="str">
        <f ca="1">IFERROR(__xludf.DUMMYFUNCTION("""COMPUTED_VALUE"""),"James Madison Middle School")</f>
        <v>James Madison Middle School</v>
      </c>
      <c r="G664" s="1">
        <f ca="1">IFERROR(__xludf.DUMMYFUNCTION("""COMPUTED_VALUE"""),0)</f>
        <v>0</v>
      </c>
      <c r="H664" s="1">
        <f ca="1">IFERROR(__xludf.DUMMYFUNCTION("""COMPUTED_VALUE"""),0)</f>
        <v>0</v>
      </c>
      <c r="I664" s="1">
        <f ca="1">IFERROR(__xludf.DUMMYFUNCTION("""COMPUTED_VALUE"""),0)</f>
        <v>0</v>
      </c>
      <c r="J664" s="1">
        <f ca="1">IFERROR(__xludf.DUMMYFUNCTION("""COMPUTED_VALUE"""),0)</f>
        <v>0</v>
      </c>
      <c r="K664" s="1" t="str">
        <f ca="1">IFERROR(__xludf.DUMMYFUNCTION("""COMPUTED_VALUE"""),"Spring")</f>
        <v>Spring</v>
      </c>
      <c r="L664" s="1" t="str">
        <f ca="1">IFERROR(__xludf.DUMMYFUNCTION("""COMPUTED_VALUE"""),"Roanoke")</f>
        <v>Roanoke</v>
      </c>
      <c r="M664" s="1" t="str">
        <f ca="1">IFERROR(__xludf.DUMMYFUNCTION("""COMPUTED_VALUE"""),"VA")</f>
        <v>VA</v>
      </c>
      <c r="N664" s="1" t="str">
        <f ca="1">IFERROR(__xludf.DUMMYFUNCTION("""COMPUTED_VALUE"""),"Middle")</f>
        <v>Middle</v>
      </c>
      <c r="O664" s="1" t="str">
        <f ca="1">IFERROR(__xludf.DUMMYFUNCTION("""COMPUTED_VALUE"""),"School Bus")</f>
        <v>School Bus</v>
      </c>
      <c r="P664" s="1" t="str">
        <f ca="1">IFERROR(__xludf.DUMMYFUNCTION("""COMPUTED_VALUE"""),"School Bus")</f>
        <v>School Bus</v>
      </c>
      <c r="Q664" s="1" t="str">
        <f ca="1">IFERROR(__xludf.DUMMYFUNCTION("""COMPUTED_VALUE"""),"Yes")</f>
        <v>Yes</v>
      </c>
      <c r="R664" s="1" t="str">
        <f ca="1">IFERROR(__xludf.DUMMYFUNCTION("""COMPUTED_VALUE"""),"Dismissal")</f>
        <v>Dismissal</v>
      </c>
      <c r="S664" s="5">
        <f ca="1">IFERROR(__xludf.DUMMYFUNCTION("""COMPUTED_VALUE"""),0.666666666666666)</f>
        <v>0.66666666666666596</v>
      </c>
      <c r="T664" s="1">
        <f ca="1">IFERROR(__xludf.DUMMYFUNCTION("""COMPUTED_VALUE"""),1)</f>
        <v>1</v>
      </c>
      <c r="U664" s="1" t="str">
        <f ca="1">IFERROR(__xludf.DUMMYFUNCTION("""COMPUTED_VALUE"""),"School bus tire shot while driving students home after school")</f>
        <v>School bus tire shot while driving students home after school</v>
      </c>
      <c r="V664" s="1" t="str">
        <f ca="1">IFERROR(__xludf.DUMMYFUNCTION("""COMPUTED_VALUE"""),"The right front tire of a school bus carrying students was struck by a bullet. The drive was able to maintain control of the bus and contact police. Police also responded to reports of a person shot nearby. Police were not able to locate a shooter or vict"&amp;"im.")</f>
        <v>The right front tire of a school bus carrying students was struck by a bullet. The drive was able to maintain control of the bus and contact police. Police also responded to reports of a person shot nearby. Police were not able to locate a shooter or victim.</v>
      </c>
      <c r="W664" s="1"/>
      <c r="X664" s="1" t="str">
        <f ca="1">IFERROR(__xludf.DUMMYFUNCTION("""COMPUTED_VALUE"""),"Victims Targeted")</f>
        <v>Victims Targeted</v>
      </c>
      <c r="Y664" s="1" t="str">
        <f ca="1">IFERROR(__xludf.DUMMYFUNCTION("""COMPUTED_VALUE"""),"No")</f>
        <v>No</v>
      </c>
      <c r="Z664" s="1"/>
      <c r="AA664" s="1" t="str">
        <f ca="1">IFERROR(__xludf.DUMMYFUNCTION("""COMPUTED_VALUE"""),"No")</f>
        <v>No</v>
      </c>
      <c r="AB664" s="1" t="str">
        <f ca="1">IFERROR(__xludf.DUMMYFUNCTION("""COMPUTED_VALUE"""),"No")</f>
        <v>No</v>
      </c>
      <c r="AC664" s="1" t="str">
        <f ca="1">IFERROR(__xludf.DUMMYFUNCTION("""COMPUTED_VALUE"""),"No")</f>
        <v>No</v>
      </c>
      <c r="AD664" s="1" t="str">
        <f ca="1">IFERROR(__xludf.DUMMYFUNCTION("""COMPUTED_VALUE"""),"No")</f>
        <v>No</v>
      </c>
      <c r="AE664" s="1" t="str">
        <f ca="1">IFERROR(__xludf.DUMMYFUNCTION("""COMPUTED_VALUE"""),"No")</f>
        <v>No</v>
      </c>
      <c r="AF664" s="1"/>
      <c r="AG664" s="1" t="str">
        <f ca="1">IFERROR(__xludf.DUMMYFUNCTION("""COMPUTED_VALUE"""),"No")</f>
        <v>No</v>
      </c>
      <c r="AH664" s="1">
        <f ca="1">IFERROR(__xludf.DUMMYFUNCTION("""COMPUTED_VALUE"""),99)</f>
        <v>99</v>
      </c>
    </row>
    <row r="665" spans="1:34" ht="12.5">
      <c r="A665" s="1" t="str">
        <f ca="1">IFERROR(__xludf.DUMMYFUNCTION("""COMPUTED_VALUE"""),"20220322TXWOD")</f>
        <v>20220322TXWOD</v>
      </c>
      <c r="B665" s="1">
        <f ca="1">IFERROR(__xludf.DUMMYFUNCTION("""COMPUTED_VALUE"""),3)</f>
        <v>3</v>
      </c>
      <c r="C665" s="1">
        <f ca="1">IFERROR(__xludf.DUMMYFUNCTION("""COMPUTED_VALUE"""),22)</f>
        <v>22</v>
      </c>
      <c r="D665" s="1">
        <f ca="1">IFERROR(__xludf.DUMMYFUNCTION("""COMPUTED_VALUE"""),2022)</f>
        <v>2022</v>
      </c>
      <c r="E665" s="4">
        <f ca="1">IFERROR(__xludf.DUMMYFUNCTION("""COMPUTED_VALUE"""),44642)</f>
        <v>44642</v>
      </c>
      <c r="F665" s="1" t="str">
        <f ca="1">IFERROR(__xludf.DUMMYFUNCTION("""COMPUTED_VALUE"""),"Woodrow Wilson High School")</f>
        <v>Woodrow Wilson High School</v>
      </c>
      <c r="G665" s="1">
        <f ca="1">IFERROR(__xludf.DUMMYFUNCTION("""COMPUTED_VALUE"""),0)</f>
        <v>0</v>
      </c>
      <c r="H665" s="1">
        <f ca="1">IFERROR(__xludf.DUMMYFUNCTION("""COMPUTED_VALUE"""),0)</f>
        <v>0</v>
      </c>
      <c r="I665" s="1">
        <f ca="1">IFERROR(__xludf.DUMMYFUNCTION("""COMPUTED_VALUE"""),0)</f>
        <v>0</v>
      </c>
      <c r="J665" s="1">
        <f ca="1">IFERROR(__xludf.DUMMYFUNCTION("""COMPUTED_VALUE"""),0)</f>
        <v>0</v>
      </c>
      <c r="K665" s="1" t="str">
        <f ca="1">IFERROR(__xludf.DUMMYFUNCTION("""COMPUTED_VALUE"""),"Spring")</f>
        <v>Spring</v>
      </c>
      <c r="L665" s="1" t="str">
        <f ca="1">IFERROR(__xludf.DUMMYFUNCTION("""COMPUTED_VALUE"""),"Dallas")</f>
        <v>Dallas</v>
      </c>
      <c r="M665" s="1" t="str">
        <f ca="1">IFERROR(__xludf.DUMMYFUNCTION("""COMPUTED_VALUE"""),"TX")</f>
        <v>TX</v>
      </c>
      <c r="N665" s="1" t="str">
        <f ca="1">IFERROR(__xludf.DUMMYFUNCTION("""COMPUTED_VALUE"""),"High")</f>
        <v>High</v>
      </c>
      <c r="O665" s="1" t="str">
        <f ca="1">IFERROR(__xludf.DUMMYFUNCTION("""COMPUTED_VALUE"""),"Football Field/Track")</f>
        <v>Football Field/Track</v>
      </c>
      <c r="P665" s="1" t="str">
        <f ca="1">IFERROR(__xludf.DUMMYFUNCTION("""COMPUTED_VALUE"""),"Outside on School Property")</f>
        <v>Outside on School Property</v>
      </c>
      <c r="Q665" s="1" t="str">
        <f ca="1">IFERROR(__xludf.DUMMYFUNCTION("""COMPUTED_VALUE"""),"Yes")</f>
        <v>Yes</v>
      </c>
      <c r="R665" s="1" t="str">
        <f ca="1">IFERROR(__xludf.DUMMYFUNCTION("""COMPUTED_VALUE"""),"Dismissal")</f>
        <v>Dismissal</v>
      </c>
      <c r="S665" s="5">
        <f ca="1">IFERROR(__xludf.DUMMYFUNCTION("""COMPUTED_VALUE"""),0.625)</f>
        <v>0.625</v>
      </c>
      <c r="T665" s="1">
        <f ca="1">IFERROR(__xludf.DUMMYFUNCTION("""COMPUTED_VALUE"""),1)</f>
        <v>1</v>
      </c>
      <c r="U665" s="1" t="str">
        <f ca="1">IFERROR(__xludf.DUMMYFUNCTION("""COMPUTED_VALUE"""),"Shots fired at dismissal during fight")</f>
        <v>Shots fired at dismissal during fight</v>
      </c>
      <c r="V665" s="1" t="str">
        <f ca="1">IFERROR(__xludf.DUMMYFUNCTION("""COMPUTED_VALUE"""),"Shots were fired during a fight near the football field at dismissal. Shooter fled. No injuries.")</f>
        <v>Shots were fired during a fight near the football field at dismissal. Shooter fled. No injuries.</v>
      </c>
      <c r="W665" s="1" t="str">
        <f ca="1">IFERROR(__xludf.DUMMYFUNCTION("""COMPUTED_VALUE"""),"Escalation of Dispute")</f>
        <v>Escalation of Dispute</v>
      </c>
      <c r="X665" s="1" t="str">
        <f ca="1">IFERROR(__xludf.DUMMYFUNCTION("""COMPUTED_VALUE"""),"Victims Targeted")</f>
        <v>Victims Targeted</v>
      </c>
      <c r="Y665" s="1" t="str">
        <f ca="1">IFERROR(__xludf.DUMMYFUNCTION("""COMPUTED_VALUE"""),"No")</f>
        <v>No</v>
      </c>
      <c r="Z665" s="1"/>
      <c r="AA665" s="1" t="str">
        <f ca="1">IFERROR(__xludf.DUMMYFUNCTION("""COMPUTED_VALUE"""),"No")</f>
        <v>No</v>
      </c>
      <c r="AB665" s="1" t="str">
        <f ca="1">IFERROR(__xludf.DUMMYFUNCTION("""COMPUTED_VALUE"""),"No")</f>
        <v>No</v>
      </c>
      <c r="AC665" s="1" t="str">
        <f ca="1">IFERROR(__xludf.DUMMYFUNCTION("""COMPUTED_VALUE"""),"No")</f>
        <v>No</v>
      </c>
      <c r="AD665" s="1" t="str">
        <f ca="1">IFERROR(__xludf.DUMMYFUNCTION("""COMPUTED_VALUE"""),"No")</f>
        <v>No</v>
      </c>
      <c r="AE665" s="1" t="str">
        <f ca="1">IFERROR(__xludf.DUMMYFUNCTION("""COMPUTED_VALUE"""),"No")</f>
        <v>No</v>
      </c>
      <c r="AF665" s="1" t="str">
        <f ca="1">IFERROR(__xludf.DUMMYFUNCTION("""COMPUTED_VALUE"""),"No")</f>
        <v>No</v>
      </c>
      <c r="AG665" s="1" t="str">
        <f ca="1">IFERROR(__xludf.DUMMYFUNCTION("""COMPUTED_VALUE"""),"No")</f>
        <v>No</v>
      </c>
      <c r="AH665" s="1">
        <f ca="1">IFERROR(__xludf.DUMMYFUNCTION("""COMPUTED_VALUE"""),99)</f>
        <v>99</v>
      </c>
    </row>
    <row r="666" spans="1:34" ht="12.5">
      <c r="A666" s="1" t="str">
        <f ca="1">IFERROR(__xludf.DUMMYFUNCTION("""COMPUTED_VALUE"""),"20220322FLNEN")</f>
        <v>20220322FLNEN</v>
      </c>
      <c r="B666" s="1">
        <f ca="1">IFERROR(__xludf.DUMMYFUNCTION("""COMPUTED_VALUE"""),3)</f>
        <v>3</v>
      </c>
      <c r="C666" s="1">
        <f ca="1">IFERROR(__xludf.DUMMYFUNCTION("""COMPUTED_VALUE"""),22)</f>
        <v>22</v>
      </c>
      <c r="D666" s="1">
        <f ca="1">IFERROR(__xludf.DUMMYFUNCTION("""COMPUTED_VALUE"""),2022)</f>
        <v>2022</v>
      </c>
      <c r="E666" s="4">
        <f ca="1">IFERROR(__xludf.DUMMYFUNCTION("""COMPUTED_VALUE"""),44642)</f>
        <v>44642</v>
      </c>
      <c r="F666" s="1" t="str">
        <f ca="1">IFERROR(__xludf.DUMMYFUNCTION("""COMPUTED_VALUE"""),"New Smyrna Beach High School")</f>
        <v>New Smyrna Beach High School</v>
      </c>
      <c r="G666" s="1">
        <f ca="1">IFERROR(__xludf.DUMMYFUNCTION("""COMPUTED_VALUE"""),0)</f>
        <v>0</v>
      </c>
      <c r="H666" s="1">
        <f ca="1">IFERROR(__xludf.DUMMYFUNCTION("""COMPUTED_VALUE"""),0)</f>
        <v>0</v>
      </c>
      <c r="I666" s="1">
        <f ca="1">IFERROR(__xludf.DUMMYFUNCTION("""COMPUTED_VALUE"""),0)</f>
        <v>0</v>
      </c>
      <c r="J666" s="1">
        <f ca="1">IFERROR(__xludf.DUMMYFUNCTION("""COMPUTED_VALUE"""),0)</f>
        <v>0</v>
      </c>
      <c r="K666" s="1" t="str">
        <f ca="1">IFERROR(__xludf.DUMMYFUNCTION("""COMPUTED_VALUE"""),"Spring")</f>
        <v>Spring</v>
      </c>
      <c r="L666" s="1" t="str">
        <f ca="1">IFERROR(__xludf.DUMMYFUNCTION("""COMPUTED_VALUE"""),"New Smyrna Beach")</f>
        <v>New Smyrna Beach</v>
      </c>
      <c r="M666" s="1" t="str">
        <f ca="1">IFERROR(__xludf.DUMMYFUNCTION("""COMPUTED_VALUE"""),"FL")</f>
        <v>FL</v>
      </c>
      <c r="N666" s="1" t="str">
        <f ca="1">IFERROR(__xludf.DUMMYFUNCTION("""COMPUTED_VALUE"""),"High")</f>
        <v>High</v>
      </c>
      <c r="O666" s="1" t="str">
        <f ca="1">IFERROR(__xludf.DUMMYFUNCTION("""COMPUTED_VALUE"""),"Parking Lot")</f>
        <v>Parking Lot</v>
      </c>
      <c r="P666" s="1" t="str">
        <f ca="1">IFERROR(__xludf.DUMMYFUNCTION("""COMPUTED_VALUE"""),"Outside on School Property")</f>
        <v>Outside on School Property</v>
      </c>
      <c r="Q666" s="1" t="str">
        <f ca="1">IFERROR(__xludf.DUMMYFUNCTION("""COMPUTED_VALUE"""),"Yes")</f>
        <v>Yes</v>
      </c>
      <c r="R666" s="1" t="str">
        <f ca="1">IFERROR(__xludf.DUMMYFUNCTION("""COMPUTED_VALUE"""),"Dismissal")</f>
        <v>Dismissal</v>
      </c>
      <c r="S666" s="5">
        <f ca="1">IFERROR(__xludf.DUMMYFUNCTION("""COMPUTED_VALUE"""),0.638888888888888)</f>
        <v>0.63888888888888795</v>
      </c>
      <c r="T666" s="1">
        <f ca="1">IFERROR(__xludf.DUMMYFUNCTION("""COMPUTED_VALUE"""),1)</f>
        <v>1</v>
      </c>
      <c r="U666" s="1" t="str">
        <f ca="1">IFERROR(__xludf.DUMMYFUNCTION("""COMPUTED_VALUE"""),"Student shot school employee multiple times in the face with pellet gun")</f>
        <v>Student shot school employee multiple times in the face with pellet gun</v>
      </c>
      <c r="V666" s="1" t="str">
        <f ca="1">IFERROR(__xludf.DUMMYFUNCTION("""COMPUTED_VALUE"""),"A 17-year-old male student shot a female school employee multiple times in the face with a gel pellet gun in the school parking lot. He filmed the shooting for a TikTok challenge. Charged with felony battery of a school employee.")</f>
        <v>A 17-year-old male student shot a female school employee multiple times in the face with a gel pellet gun in the school parking lot. He filmed the shooting for a TikTok challenge. Charged with felony battery of a school employee.</v>
      </c>
      <c r="W666" s="1" t="str">
        <f ca="1">IFERROR(__xludf.DUMMYFUNCTION("""COMPUTED_VALUE"""),"Drive-by Shooting")</f>
        <v>Drive-by Shooting</v>
      </c>
      <c r="X666" s="1" t="str">
        <f ca="1">IFERROR(__xludf.DUMMYFUNCTION("""COMPUTED_VALUE"""),"Victims Targeted")</f>
        <v>Victims Targeted</v>
      </c>
      <c r="Y666" s="1" t="str">
        <f ca="1">IFERROR(__xludf.DUMMYFUNCTION("""COMPUTED_VALUE"""),"No")</f>
        <v>No</v>
      </c>
      <c r="Z666" s="1"/>
      <c r="AA666" s="1" t="str">
        <f ca="1">IFERROR(__xludf.DUMMYFUNCTION("""COMPUTED_VALUE"""),"No")</f>
        <v>No</v>
      </c>
      <c r="AB666" s="1" t="str">
        <f ca="1">IFERROR(__xludf.DUMMYFUNCTION("""COMPUTED_VALUE"""),"No")</f>
        <v>No</v>
      </c>
      <c r="AC666" s="1" t="str">
        <f ca="1">IFERROR(__xludf.DUMMYFUNCTION("""COMPUTED_VALUE"""),"No")</f>
        <v>No</v>
      </c>
      <c r="AD666" s="1" t="str">
        <f ca="1">IFERROR(__xludf.DUMMYFUNCTION("""COMPUTED_VALUE"""),"No")</f>
        <v>No</v>
      </c>
      <c r="AE666" s="1" t="str">
        <f ca="1">IFERROR(__xludf.DUMMYFUNCTION("""COMPUTED_VALUE"""),"No")</f>
        <v>No</v>
      </c>
      <c r="AF666" s="1" t="str">
        <f ca="1">IFERROR(__xludf.DUMMYFUNCTION("""COMPUTED_VALUE"""),"No")</f>
        <v>No</v>
      </c>
      <c r="AG666" s="1" t="str">
        <f ca="1">IFERROR(__xludf.DUMMYFUNCTION("""COMPUTED_VALUE"""),"No")</f>
        <v>No</v>
      </c>
      <c r="AH666" s="1">
        <f ca="1">IFERROR(__xludf.DUMMYFUNCTION("""COMPUTED_VALUE"""),99)</f>
        <v>99</v>
      </c>
    </row>
    <row r="667" spans="1:34" ht="12.5">
      <c r="A667" s="1" t="str">
        <f ca="1">IFERROR(__xludf.DUMMYFUNCTION("""COMPUTED_VALUE"""),"20220321MSLEP")</f>
        <v>20220321MSLEP</v>
      </c>
      <c r="B667" s="1">
        <f ca="1">IFERROR(__xludf.DUMMYFUNCTION("""COMPUTED_VALUE"""),3)</f>
        <v>3</v>
      </c>
      <c r="C667" s="1">
        <f ca="1">IFERROR(__xludf.DUMMYFUNCTION("""COMPUTED_VALUE"""),21)</f>
        <v>21</v>
      </c>
      <c r="D667" s="1">
        <f ca="1">IFERROR(__xludf.DUMMYFUNCTION("""COMPUTED_VALUE"""),2022)</f>
        <v>2022</v>
      </c>
      <c r="E667" s="4">
        <f ca="1">IFERROR(__xludf.DUMMYFUNCTION("""COMPUTED_VALUE"""),44641)</f>
        <v>44641</v>
      </c>
      <c r="F667" s="1" t="str">
        <f ca="1">IFERROR(__xludf.DUMMYFUNCTION("""COMPUTED_VALUE"""),"Leap of Faith Middle School")</f>
        <v>Leap of Faith Middle School</v>
      </c>
      <c r="G667" s="1">
        <f ca="1">IFERROR(__xludf.DUMMYFUNCTION("""COMPUTED_VALUE"""),0)</f>
        <v>0</v>
      </c>
      <c r="H667" s="1">
        <f ca="1">IFERROR(__xludf.DUMMYFUNCTION("""COMPUTED_VALUE"""),0)</f>
        <v>0</v>
      </c>
      <c r="I667" s="1">
        <f ca="1">IFERROR(__xludf.DUMMYFUNCTION("""COMPUTED_VALUE"""),0)</f>
        <v>0</v>
      </c>
      <c r="J667" s="1">
        <f ca="1">IFERROR(__xludf.DUMMYFUNCTION("""COMPUTED_VALUE"""),0)</f>
        <v>0</v>
      </c>
      <c r="K667" s="1" t="str">
        <f ca="1">IFERROR(__xludf.DUMMYFUNCTION("""COMPUTED_VALUE"""),"Spring")</f>
        <v>Spring</v>
      </c>
      <c r="L667" s="1" t="str">
        <f ca="1">IFERROR(__xludf.DUMMYFUNCTION("""COMPUTED_VALUE"""),"Pascagoula")</f>
        <v>Pascagoula</v>
      </c>
      <c r="M667" s="1" t="str">
        <f ca="1">IFERROR(__xludf.DUMMYFUNCTION("""COMPUTED_VALUE"""),"MS")</f>
        <v>MS</v>
      </c>
      <c r="N667" s="1" t="str">
        <f ca="1">IFERROR(__xludf.DUMMYFUNCTION("""COMPUTED_VALUE"""),"Middle")</f>
        <v>Middle</v>
      </c>
      <c r="O667" s="1" t="str">
        <f ca="1">IFERROR(__xludf.DUMMYFUNCTION("""COMPUTED_VALUE"""),"Inside School Building")</f>
        <v>Inside School Building</v>
      </c>
      <c r="P667" s="1" t="str">
        <f ca="1">IFERROR(__xludf.DUMMYFUNCTION("""COMPUTED_VALUE"""),"Both Inside/Outside")</f>
        <v>Both Inside/Outside</v>
      </c>
      <c r="Q667" s="1" t="str">
        <f ca="1">IFERROR(__xludf.DUMMYFUNCTION("""COMPUTED_VALUE"""),"Yes")</f>
        <v>Yes</v>
      </c>
      <c r="R667" s="1" t="str">
        <f ca="1">IFERROR(__xludf.DUMMYFUNCTION("""COMPUTED_VALUE"""),"Afternoon Classes")</f>
        <v>Afternoon Classes</v>
      </c>
      <c r="S667" s="5">
        <f ca="1">IFERROR(__xludf.DUMMYFUNCTION("""COMPUTED_VALUE"""),0.541666666666666)</f>
        <v>0.54166666666666596</v>
      </c>
      <c r="T667" s="1">
        <f ca="1">IFERROR(__xludf.DUMMYFUNCTION("""COMPUTED_VALUE"""),1)</f>
        <v>1</v>
      </c>
      <c r="U667" s="1" t="str">
        <f ca="1">IFERROR(__xludf.DUMMYFUNCTION("""COMPUTED_VALUE"""),"Shots fired outside school, gunman broken into school building fleeing police")</f>
        <v>Shots fired outside school, gunman broken into school building fleeing police</v>
      </c>
      <c r="V667" s="1" t="str">
        <f ca="1">IFERROR(__xludf.DUMMYFUNCTION("""COMPUTED_VALUE"""),"Police in the area heard shots fired near the school building. A gunman fleeing police broke into the school building. Police evacuated students and staff, set up a parameter, and arrested multiple suspects. Shots were fired outside the Friday prior (4 da"&amp;"ys earlier striking the school building). No staff or students were injured in either incident.")</f>
        <v>Police in the area heard shots fired near the school building. A gunman fleeing police broke into the school building. Police evacuated students and staff, set up a parameter, and arrested multiple suspects. Shots were fired outside the Friday prior (4 days earlier striking the school building). No staff or students were injured in either incident.</v>
      </c>
      <c r="W667" s="1" t="str">
        <f ca="1">IFERROR(__xludf.DUMMYFUNCTION("""COMPUTED_VALUE"""),"Illegal Activity")</f>
        <v>Illegal Activity</v>
      </c>
      <c r="X667" s="1" t="str">
        <f ca="1">IFERROR(__xludf.DUMMYFUNCTION("""COMPUTED_VALUE"""),"Victims Targeted")</f>
        <v>Victims Targeted</v>
      </c>
      <c r="Y667" s="1" t="str">
        <f ca="1">IFERROR(__xludf.DUMMYFUNCTION("""COMPUTED_VALUE"""),"Yes")</f>
        <v>Yes</v>
      </c>
      <c r="Z667" s="1" t="str">
        <f ca="1">IFERROR(__xludf.DUMMYFUNCTION("""COMPUTED_VALUE"""),"Multiple men arrested")</f>
        <v>Multiple men arrested</v>
      </c>
      <c r="AA667" s="1" t="str">
        <f ca="1">IFERROR(__xludf.DUMMYFUNCTION("""COMPUTED_VALUE"""),"No")</f>
        <v>No</v>
      </c>
      <c r="AB667" s="1" t="str">
        <f ca="1">IFERROR(__xludf.DUMMYFUNCTION("""COMPUTED_VALUE"""),"No")</f>
        <v>No</v>
      </c>
      <c r="AC667" s="1" t="str">
        <f ca="1">IFERROR(__xludf.DUMMYFUNCTION("""COMPUTED_VALUE"""),"No")</f>
        <v>No</v>
      </c>
      <c r="AD667" s="1" t="str">
        <f ca="1">IFERROR(__xludf.DUMMYFUNCTION("""COMPUTED_VALUE"""),"No")</f>
        <v>No</v>
      </c>
      <c r="AE667" s="1" t="str">
        <f ca="1">IFERROR(__xludf.DUMMYFUNCTION("""COMPUTED_VALUE"""),"No")</f>
        <v>No</v>
      </c>
      <c r="AF667" s="1"/>
      <c r="AG667" s="1" t="str">
        <f ca="1">IFERROR(__xludf.DUMMYFUNCTION("""COMPUTED_VALUE"""),"No")</f>
        <v>No</v>
      </c>
      <c r="AH667" s="1">
        <f ca="1">IFERROR(__xludf.DUMMYFUNCTION("""COMPUTED_VALUE"""),99)</f>
        <v>99</v>
      </c>
    </row>
    <row r="668" spans="1:34" ht="12.5">
      <c r="A668" s="1" t="str">
        <f ca="1">IFERROR(__xludf.DUMMYFUNCTION("""COMPUTED_VALUE"""),"20220321MIMAK")</f>
        <v>20220321MIMAK</v>
      </c>
      <c r="B668" s="1">
        <f ca="1">IFERROR(__xludf.DUMMYFUNCTION("""COMPUTED_VALUE"""),3)</f>
        <v>3</v>
      </c>
      <c r="C668" s="1">
        <f ca="1">IFERROR(__xludf.DUMMYFUNCTION("""COMPUTED_VALUE"""),21)</f>
        <v>21</v>
      </c>
      <c r="D668" s="1">
        <f ca="1">IFERROR(__xludf.DUMMYFUNCTION("""COMPUTED_VALUE"""),2022)</f>
        <v>2022</v>
      </c>
      <c r="E668" s="4">
        <f ca="1">IFERROR(__xludf.DUMMYFUNCTION("""COMPUTED_VALUE"""),44641)</f>
        <v>44641</v>
      </c>
      <c r="F668" s="1" t="str">
        <f ca="1">IFERROR(__xludf.DUMMYFUNCTION("""COMPUTED_VALUE"""),"Mahone Middle School")</f>
        <v>Mahone Middle School</v>
      </c>
      <c r="G668" s="1">
        <f ca="1">IFERROR(__xludf.DUMMYFUNCTION("""COMPUTED_VALUE"""),0)</f>
        <v>0</v>
      </c>
      <c r="H668" s="1">
        <f ca="1">IFERROR(__xludf.DUMMYFUNCTION("""COMPUTED_VALUE"""),0)</f>
        <v>0</v>
      </c>
      <c r="I668" s="1">
        <f ca="1">IFERROR(__xludf.DUMMYFUNCTION("""COMPUTED_VALUE"""),0)</f>
        <v>0</v>
      </c>
      <c r="J668" s="1">
        <f ca="1">IFERROR(__xludf.DUMMYFUNCTION("""COMPUTED_VALUE"""),0)</f>
        <v>0</v>
      </c>
      <c r="K668" s="1" t="str">
        <f ca="1">IFERROR(__xludf.DUMMYFUNCTION("""COMPUTED_VALUE"""),"Spring")</f>
        <v>Spring</v>
      </c>
      <c r="L668" s="1" t="str">
        <f ca="1">IFERROR(__xludf.DUMMYFUNCTION("""COMPUTED_VALUE"""),"Kenosha")</f>
        <v>Kenosha</v>
      </c>
      <c r="M668" s="1" t="str">
        <f ca="1">IFERROR(__xludf.DUMMYFUNCTION("""COMPUTED_VALUE"""),"WI")</f>
        <v>WI</v>
      </c>
      <c r="N668" s="1" t="str">
        <f ca="1">IFERROR(__xludf.DUMMYFUNCTION("""COMPUTED_VALUE"""),"Middle")</f>
        <v>Middle</v>
      </c>
      <c r="O668" s="1" t="str">
        <f ca="1">IFERROR(__xludf.DUMMYFUNCTION("""COMPUTED_VALUE"""),"Parking Lot")</f>
        <v>Parking Lot</v>
      </c>
      <c r="P668" s="1" t="str">
        <f ca="1">IFERROR(__xludf.DUMMYFUNCTION("""COMPUTED_VALUE"""),"Outside on School Property")</f>
        <v>Outside on School Property</v>
      </c>
      <c r="Q668" s="1" t="str">
        <f ca="1">IFERROR(__xludf.DUMMYFUNCTION("""COMPUTED_VALUE"""),"Yes")</f>
        <v>Yes</v>
      </c>
      <c r="R668" s="1" t="str">
        <f ca="1">IFERROR(__xludf.DUMMYFUNCTION("""COMPUTED_VALUE"""),"Dismissal")</f>
        <v>Dismissal</v>
      </c>
      <c r="S668" s="5">
        <f ca="1">IFERROR(__xludf.DUMMYFUNCTION("""COMPUTED_VALUE"""),0.142361111111111)</f>
        <v>0.14236111111111099</v>
      </c>
      <c r="T668" s="1">
        <f ca="1">IFERROR(__xludf.DUMMYFUNCTION("""COMPUTED_VALUE"""),1)</f>
        <v>1</v>
      </c>
      <c r="U668" s="1" t="str">
        <f ca="1">IFERROR(__xludf.DUMMYFUNCTION("""COMPUTED_VALUE"""),"Parent pointed a gun and threatened another parent in the pick-up line")</f>
        <v>Parent pointed a gun and threatened another parent in the pick-up line</v>
      </c>
      <c r="V668" s="1" t="str">
        <f ca="1">IFERROR(__xludf.DUMMYFUNCTION("""COMPUTED_VALUE"""),"A 36-year-old female parent pointed a gun at another parent and threatened to shoot him during a dispute in the pick-up line of the school at dismissal. She did not fired the weapon and fled the area. She was arrested the following morning and charged wit"&amp;"h four felonies.")</f>
        <v>A 36-year-old female parent pointed a gun at another parent and threatened to shoot him during a dispute in the pick-up line of the school at dismissal. She did not fired the weapon and fled the area. She was arrested the following morning and charged with four felonies.</v>
      </c>
      <c r="W668" s="1" t="str">
        <f ca="1">IFERROR(__xludf.DUMMYFUNCTION("""COMPUTED_VALUE"""),"Escalation of Dispute")</f>
        <v>Escalation of Dispute</v>
      </c>
      <c r="X668" s="1" t="str">
        <f ca="1">IFERROR(__xludf.DUMMYFUNCTION("""COMPUTED_VALUE"""),"Victims Targeted")</f>
        <v>Victims Targeted</v>
      </c>
      <c r="Y668" s="1" t="str">
        <f ca="1">IFERROR(__xludf.DUMMYFUNCTION("""COMPUTED_VALUE"""),"No")</f>
        <v>No</v>
      </c>
      <c r="Z668" s="1"/>
      <c r="AA668" s="1" t="str">
        <f ca="1">IFERROR(__xludf.DUMMYFUNCTION("""COMPUTED_VALUE"""),"No")</f>
        <v>No</v>
      </c>
      <c r="AB668" s="1" t="str">
        <f ca="1">IFERROR(__xludf.DUMMYFUNCTION("""COMPUTED_VALUE"""),"No")</f>
        <v>No</v>
      </c>
      <c r="AC668" s="1" t="str">
        <f ca="1">IFERROR(__xludf.DUMMYFUNCTION("""COMPUTED_VALUE"""),"No")</f>
        <v>No</v>
      </c>
      <c r="AD668" s="1" t="str">
        <f ca="1">IFERROR(__xludf.DUMMYFUNCTION("""COMPUTED_VALUE"""),"No")</f>
        <v>No</v>
      </c>
      <c r="AE668" s="1" t="str">
        <f ca="1">IFERROR(__xludf.DUMMYFUNCTION("""COMPUTED_VALUE"""),"No")</f>
        <v>No</v>
      </c>
      <c r="AF668" s="1" t="str">
        <f ca="1">IFERROR(__xludf.DUMMYFUNCTION("""COMPUTED_VALUE"""),"No")</f>
        <v>No</v>
      </c>
      <c r="AG668" s="1" t="str">
        <f ca="1">IFERROR(__xludf.DUMMYFUNCTION("""COMPUTED_VALUE"""),"No")</f>
        <v>No</v>
      </c>
      <c r="AH668" s="1">
        <f ca="1">IFERROR(__xludf.DUMMYFUNCTION("""COMPUTED_VALUE"""),0)</f>
        <v>0</v>
      </c>
    </row>
    <row r="669" spans="1:34" ht="12.5">
      <c r="A669" s="1" t="str">
        <f ca="1">IFERROR(__xludf.DUMMYFUNCTION("""COMPUTED_VALUE"""),"20220321AZDES")</f>
        <v>20220321AZDES</v>
      </c>
      <c r="B669" s="1">
        <f ca="1">IFERROR(__xludf.DUMMYFUNCTION("""COMPUTED_VALUE"""),3)</f>
        <v>3</v>
      </c>
      <c r="C669" s="1">
        <f ca="1">IFERROR(__xludf.DUMMYFUNCTION("""COMPUTED_VALUE"""),21)</f>
        <v>21</v>
      </c>
      <c r="D669" s="1">
        <f ca="1">IFERROR(__xludf.DUMMYFUNCTION("""COMPUTED_VALUE"""),2022)</f>
        <v>2022</v>
      </c>
      <c r="E669" s="4">
        <f ca="1">IFERROR(__xludf.DUMMYFUNCTION("""COMPUTED_VALUE"""),44641)</f>
        <v>44641</v>
      </c>
      <c r="F669" s="1" t="str">
        <f ca="1">IFERROR(__xludf.DUMMYFUNCTION("""COMPUTED_VALUE"""),"Desert Canyon Middle School")</f>
        <v>Desert Canyon Middle School</v>
      </c>
      <c r="G669" s="1">
        <f ca="1">IFERROR(__xludf.DUMMYFUNCTION("""COMPUTED_VALUE"""),0)</f>
        <v>0</v>
      </c>
      <c r="H669" s="1">
        <f ca="1">IFERROR(__xludf.DUMMYFUNCTION("""COMPUTED_VALUE"""),0)</f>
        <v>0</v>
      </c>
      <c r="I669" s="1">
        <f ca="1">IFERROR(__xludf.DUMMYFUNCTION("""COMPUTED_VALUE"""),0)</f>
        <v>0</v>
      </c>
      <c r="J669" s="1">
        <f ca="1">IFERROR(__xludf.DUMMYFUNCTION("""COMPUTED_VALUE"""),0)</f>
        <v>0</v>
      </c>
      <c r="K669" s="1" t="str">
        <f ca="1">IFERROR(__xludf.DUMMYFUNCTION("""COMPUTED_VALUE"""),"Spring")</f>
        <v>Spring</v>
      </c>
      <c r="L669" s="1" t="str">
        <f ca="1">IFERROR(__xludf.DUMMYFUNCTION("""COMPUTED_VALUE"""),"Scottsdale")</f>
        <v>Scottsdale</v>
      </c>
      <c r="M669" s="1" t="str">
        <f ca="1">IFERROR(__xludf.DUMMYFUNCTION("""COMPUTED_VALUE"""),"AZ")</f>
        <v>AZ</v>
      </c>
      <c r="N669" s="1" t="str">
        <f ca="1">IFERROR(__xludf.DUMMYFUNCTION("""COMPUTED_VALUE"""),"Middle")</f>
        <v>Middle</v>
      </c>
      <c r="O669" s="1" t="str">
        <f ca="1">IFERROR(__xludf.DUMMYFUNCTION("""COMPUTED_VALUE"""),"Outside on School Property")</f>
        <v>Outside on School Property</v>
      </c>
      <c r="P669" s="1" t="str">
        <f ca="1">IFERROR(__xludf.DUMMYFUNCTION("""COMPUTED_VALUE"""),"Outside on School Property")</f>
        <v>Outside on School Property</v>
      </c>
      <c r="Q669" s="1" t="str">
        <f ca="1">IFERROR(__xludf.DUMMYFUNCTION("""COMPUTED_VALUE"""),"Yes")</f>
        <v>Yes</v>
      </c>
      <c r="R669" s="1" t="str">
        <f ca="1">IFERROR(__xludf.DUMMYFUNCTION("""COMPUTED_VALUE"""),"Morning Classes")</f>
        <v>Morning Classes</v>
      </c>
      <c r="S669" s="5">
        <f ca="1">IFERROR(__xludf.DUMMYFUNCTION("""COMPUTED_VALUE"""),0.46875)</f>
        <v>0.46875</v>
      </c>
      <c r="T669" s="1">
        <f ca="1">IFERROR(__xludf.DUMMYFUNCTION("""COMPUTED_VALUE"""),1)</f>
        <v>1</v>
      </c>
      <c r="U669" s="1" t="str">
        <f ca="1">IFERROR(__xludf.DUMMYFUNCTION("""COMPUTED_VALUE"""),"Man fired shots on soccer field, school went on lockdown")</f>
        <v>Man fired shots on soccer field, school went on lockdown</v>
      </c>
      <c r="V669" s="1" t="str">
        <f ca="1">IFERROR(__xludf.DUMMYFUNCTION("""COMPUTED_VALUE"""),"A 31-year-old man fired shots on the on the soccer field during morning classes. School went on lockdown. No students or staff were injured. Police arrested the shooter and said that he did not target the school. Motive unknown.")</f>
        <v>A 31-year-old man fired shots on the on the soccer field during morning classes. School went on lockdown. No students or staff were injured. Police arrested the shooter and said that he did not target the school. Motive unknown.</v>
      </c>
      <c r="W669" s="1"/>
      <c r="X669" s="1" t="str">
        <f ca="1">IFERROR(__xludf.DUMMYFUNCTION("""COMPUTED_VALUE"""),"Neither")</f>
        <v>Neither</v>
      </c>
      <c r="Y669" s="1" t="str">
        <f ca="1">IFERROR(__xludf.DUMMYFUNCTION("""COMPUTED_VALUE"""),"No")</f>
        <v>No</v>
      </c>
      <c r="Z669" s="1"/>
      <c r="AA669" s="1" t="str">
        <f ca="1">IFERROR(__xludf.DUMMYFUNCTION("""COMPUTED_VALUE"""),"No")</f>
        <v>No</v>
      </c>
      <c r="AB669" s="1" t="str">
        <f ca="1">IFERROR(__xludf.DUMMYFUNCTION("""COMPUTED_VALUE"""),"No")</f>
        <v>No</v>
      </c>
      <c r="AC669" s="1" t="str">
        <f ca="1">IFERROR(__xludf.DUMMYFUNCTION("""COMPUTED_VALUE"""),"No")</f>
        <v>No</v>
      </c>
      <c r="AD669" s="1" t="str">
        <f ca="1">IFERROR(__xludf.DUMMYFUNCTION("""COMPUTED_VALUE"""),"No")</f>
        <v>No</v>
      </c>
      <c r="AE669" s="1" t="str">
        <f ca="1">IFERROR(__xludf.DUMMYFUNCTION("""COMPUTED_VALUE"""),"No")</f>
        <v>No</v>
      </c>
      <c r="AF669" s="1" t="str">
        <f ca="1">IFERROR(__xludf.DUMMYFUNCTION("""COMPUTED_VALUE"""),"No")</f>
        <v>No</v>
      </c>
      <c r="AG669" s="1" t="str">
        <f ca="1">IFERROR(__xludf.DUMMYFUNCTION("""COMPUTED_VALUE"""),"No")</f>
        <v>No</v>
      </c>
      <c r="AH669" s="1">
        <f ca="1">IFERROR(__xludf.DUMMYFUNCTION("""COMPUTED_VALUE"""),2)</f>
        <v>2</v>
      </c>
    </row>
    <row r="670" spans="1:34" ht="12.5">
      <c r="A670" s="1" t="str">
        <f ca="1">IFERROR(__xludf.DUMMYFUNCTION("""COMPUTED_VALUE"""),"20220319ALCEL")</f>
        <v>20220319ALCEL</v>
      </c>
      <c r="B670" s="1">
        <f ca="1">IFERROR(__xludf.DUMMYFUNCTION("""COMPUTED_VALUE"""),3)</f>
        <v>3</v>
      </c>
      <c r="C670" s="1">
        <f ca="1">IFERROR(__xludf.DUMMYFUNCTION("""COMPUTED_VALUE"""),19)</f>
        <v>19</v>
      </c>
      <c r="D670" s="1">
        <f ca="1">IFERROR(__xludf.DUMMYFUNCTION("""COMPUTED_VALUE"""),2022)</f>
        <v>2022</v>
      </c>
      <c r="E670" s="4">
        <f ca="1">IFERROR(__xludf.DUMMYFUNCTION("""COMPUTED_VALUE"""),44639)</f>
        <v>44639</v>
      </c>
      <c r="F670" s="1" t="str">
        <f ca="1">IFERROR(__xludf.DUMMYFUNCTION("""COMPUTED_VALUE"""),"Central Baldwin Middle School")</f>
        <v>Central Baldwin Middle School</v>
      </c>
      <c r="G670" s="1">
        <f ca="1">IFERROR(__xludf.DUMMYFUNCTION("""COMPUTED_VALUE"""),0)</f>
        <v>0</v>
      </c>
      <c r="H670" s="1">
        <f ca="1">IFERROR(__xludf.DUMMYFUNCTION("""COMPUTED_VALUE"""),0)</f>
        <v>0</v>
      </c>
      <c r="I670" s="1">
        <f ca="1">IFERROR(__xludf.DUMMYFUNCTION("""COMPUTED_VALUE"""),0)</f>
        <v>0</v>
      </c>
      <c r="J670" s="1">
        <f ca="1">IFERROR(__xludf.DUMMYFUNCTION("""COMPUTED_VALUE"""),0)</f>
        <v>0</v>
      </c>
      <c r="K670" s="1" t="str">
        <f ca="1">IFERROR(__xludf.DUMMYFUNCTION("""COMPUTED_VALUE"""),"Spring")</f>
        <v>Spring</v>
      </c>
      <c r="L670" s="1" t="str">
        <f ca="1">IFERROR(__xludf.DUMMYFUNCTION("""COMPUTED_VALUE"""),"Loxley")</f>
        <v>Loxley</v>
      </c>
      <c r="M670" s="1" t="str">
        <f ca="1">IFERROR(__xludf.DUMMYFUNCTION("""COMPUTED_VALUE"""),"AL")</f>
        <v>AL</v>
      </c>
      <c r="N670" s="1" t="str">
        <f ca="1">IFERROR(__xludf.DUMMYFUNCTION("""COMPUTED_VALUE"""),"Middle")</f>
        <v>Middle</v>
      </c>
      <c r="O670" s="1" t="str">
        <f ca="1">IFERROR(__xludf.DUMMYFUNCTION("""COMPUTED_VALUE"""),"Parking Lot")</f>
        <v>Parking Lot</v>
      </c>
      <c r="P670" s="1" t="str">
        <f ca="1">IFERROR(__xludf.DUMMYFUNCTION("""COMPUTED_VALUE"""),"Outside on School Property")</f>
        <v>Outside on School Property</v>
      </c>
      <c r="Q670" s="1" t="str">
        <f ca="1">IFERROR(__xludf.DUMMYFUNCTION("""COMPUTED_VALUE"""),"No")</f>
        <v>No</v>
      </c>
      <c r="R670" s="1" t="str">
        <f ca="1">IFERROR(__xludf.DUMMYFUNCTION("""COMPUTED_VALUE"""),"Not a School Day")</f>
        <v>Not a School Day</v>
      </c>
      <c r="S670" s="5">
        <f ca="1">IFERROR(__xludf.DUMMYFUNCTION("""COMPUTED_VALUE"""),0.576388888888888)</f>
        <v>0.57638888888888795</v>
      </c>
      <c r="T670" s="1">
        <f ca="1">IFERROR(__xludf.DUMMYFUNCTION("""COMPUTED_VALUE"""),1)</f>
        <v>1</v>
      </c>
      <c r="U670" s="1" t="str">
        <f ca="1">IFERROR(__xludf.DUMMYFUNCTION("""COMPUTED_VALUE"""),"Shots fired during robbery in parking lot")</f>
        <v>Shots fired during robbery in parking lot</v>
      </c>
      <c r="V670" s="1" t="str">
        <f ca="1">IFERROR(__xludf.DUMMYFUNCTION("""COMPUTED_VALUE"""),"Shot were fired at an adult man during a robbery in the school parking lot. Shots missed the victim. 3 suspects fled and were later arrested.")</f>
        <v>Shot were fired at an adult man during a robbery in the school parking lot. Shots missed the victim. 3 suspects fled and were later arrested.</v>
      </c>
      <c r="W670" s="1" t="str">
        <f ca="1">IFERROR(__xludf.DUMMYFUNCTION("""COMPUTED_VALUE"""),"Illegal Activity")</f>
        <v>Illegal Activity</v>
      </c>
      <c r="X670" s="1" t="str">
        <f ca="1">IFERROR(__xludf.DUMMYFUNCTION("""COMPUTED_VALUE"""),"Victims Targeted")</f>
        <v>Victims Targeted</v>
      </c>
      <c r="Y670" s="1" t="str">
        <f ca="1">IFERROR(__xludf.DUMMYFUNCTION("""COMPUTED_VALUE"""),"Yes")</f>
        <v>Yes</v>
      </c>
      <c r="Z670" s="1"/>
      <c r="AA670" s="1" t="str">
        <f ca="1">IFERROR(__xludf.DUMMYFUNCTION("""COMPUTED_VALUE"""),"No")</f>
        <v>No</v>
      </c>
      <c r="AB670" s="1" t="str">
        <f ca="1">IFERROR(__xludf.DUMMYFUNCTION("""COMPUTED_VALUE"""),"No")</f>
        <v>No</v>
      </c>
      <c r="AC670" s="1" t="str">
        <f ca="1">IFERROR(__xludf.DUMMYFUNCTION("""COMPUTED_VALUE"""),"No")</f>
        <v>No</v>
      </c>
      <c r="AD670" s="1" t="str">
        <f ca="1">IFERROR(__xludf.DUMMYFUNCTION("""COMPUTED_VALUE"""),"No")</f>
        <v>No</v>
      </c>
      <c r="AE670" s="1" t="str">
        <f ca="1">IFERROR(__xludf.DUMMYFUNCTION("""COMPUTED_VALUE"""),"No")</f>
        <v>No</v>
      </c>
      <c r="AF670" s="1" t="str">
        <f ca="1">IFERROR(__xludf.DUMMYFUNCTION("""COMPUTED_VALUE"""),"No")</f>
        <v>No</v>
      </c>
      <c r="AG670" s="1" t="str">
        <f ca="1">IFERROR(__xludf.DUMMYFUNCTION("""COMPUTED_VALUE"""),"No")</f>
        <v>No</v>
      </c>
      <c r="AH670" s="1">
        <f ca="1">IFERROR(__xludf.DUMMYFUNCTION("""COMPUTED_VALUE"""),99)</f>
        <v>99</v>
      </c>
    </row>
    <row r="671" spans="1:34" ht="12.5">
      <c r="A671" s="1" t="str">
        <f ca="1">IFERROR(__xludf.DUMMYFUNCTION("""COMPUTED_VALUE"""),"20220318RICEP")</f>
        <v>20220318RICEP</v>
      </c>
      <c r="B671" s="1">
        <f ca="1">IFERROR(__xludf.DUMMYFUNCTION("""COMPUTED_VALUE"""),3)</f>
        <v>3</v>
      </c>
      <c r="C671" s="1">
        <f ca="1">IFERROR(__xludf.DUMMYFUNCTION("""COMPUTED_VALUE"""),18)</f>
        <v>18</v>
      </c>
      <c r="D671" s="1">
        <f ca="1">IFERROR(__xludf.DUMMYFUNCTION("""COMPUTED_VALUE"""),2022)</f>
        <v>2022</v>
      </c>
      <c r="E671" s="4">
        <f ca="1">IFERROR(__xludf.DUMMYFUNCTION("""COMPUTED_VALUE"""),44638)</f>
        <v>44638</v>
      </c>
      <c r="F671" s="1" t="str">
        <f ca="1">IFERROR(__xludf.DUMMYFUNCTION("""COMPUTED_VALUE"""),"Central High School")</f>
        <v>Central High School</v>
      </c>
      <c r="G671" s="1">
        <f ca="1">IFERROR(__xludf.DUMMYFUNCTION("""COMPUTED_VALUE"""),0)</f>
        <v>0</v>
      </c>
      <c r="H671" s="1">
        <f ca="1">IFERROR(__xludf.DUMMYFUNCTION("""COMPUTED_VALUE"""),0)</f>
        <v>0</v>
      </c>
      <c r="I671" s="1">
        <f ca="1">IFERROR(__xludf.DUMMYFUNCTION("""COMPUTED_VALUE"""),0)</f>
        <v>0</v>
      </c>
      <c r="J671" s="1">
        <f ca="1">IFERROR(__xludf.DUMMYFUNCTION("""COMPUTED_VALUE"""),0)</f>
        <v>0</v>
      </c>
      <c r="K671" s="1" t="str">
        <f ca="1">IFERROR(__xludf.DUMMYFUNCTION("""COMPUTED_VALUE"""),"Spring")</f>
        <v>Spring</v>
      </c>
      <c r="L671" s="1" t="str">
        <f ca="1">IFERROR(__xludf.DUMMYFUNCTION("""COMPUTED_VALUE"""),"Providence")</f>
        <v>Providence</v>
      </c>
      <c r="M671" s="1" t="str">
        <f ca="1">IFERROR(__xludf.DUMMYFUNCTION("""COMPUTED_VALUE"""),"RI")</f>
        <v>RI</v>
      </c>
      <c r="N671" s="1" t="str">
        <f ca="1">IFERROR(__xludf.DUMMYFUNCTION("""COMPUTED_VALUE"""),"High")</f>
        <v>High</v>
      </c>
      <c r="O671" s="1" t="str">
        <f ca="1">IFERROR(__xludf.DUMMYFUNCTION("""COMPUTED_VALUE"""),"Parking Lot")</f>
        <v>Parking Lot</v>
      </c>
      <c r="P671" s="1" t="str">
        <f ca="1">IFERROR(__xludf.DUMMYFUNCTION("""COMPUTED_VALUE"""),"Outside on School Property")</f>
        <v>Outside on School Property</v>
      </c>
      <c r="Q671" s="1" t="str">
        <f ca="1">IFERROR(__xludf.DUMMYFUNCTION("""COMPUTED_VALUE"""),"Yes")</f>
        <v>Yes</v>
      </c>
      <c r="R671" s="1" t="str">
        <f ca="1">IFERROR(__xludf.DUMMYFUNCTION("""COMPUTED_VALUE"""),"Dismissal")</f>
        <v>Dismissal</v>
      </c>
      <c r="S671" s="5">
        <f ca="1">IFERROR(__xludf.DUMMYFUNCTION("""COMPUTED_VALUE"""),0.618055555555555)</f>
        <v>0.61805555555555503</v>
      </c>
      <c r="T671" s="1">
        <f ca="1">IFERROR(__xludf.DUMMYFUNCTION("""COMPUTED_VALUE"""),1)</f>
        <v>1</v>
      </c>
      <c r="U671" s="1" t="str">
        <f ca="1">IFERROR(__xludf.DUMMYFUNCTION("""COMPUTED_VALUE"""),"Students fired pellet gun in parking lot, dragged staff member with vehicle")</f>
        <v>Students fired pellet gun in parking lot, dragged staff member with vehicle</v>
      </c>
      <c r="V671" s="1" t="str">
        <f ca="1">IFERROR(__xludf.DUMMYFUNCTION("""COMPUTED_VALUE"""),"Two students fired a pellet gun from a vehicle in the school parking lot as part of a TikTok challenge to film themselves shooting random people. A school employee attempted to wrestle the gun away and was dragged by the vehicle. The shooter was charged w"&amp;"ith simple assault and the driver was charged with aggravated assault for dragging the staff member with the vehicle.")</f>
        <v>Two students fired a pellet gun from a vehicle in the school parking lot as part of a TikTok challenge to film themselves shooting random people. A school employee attempted to wrestle the gun away and was dragged by the vehicle. The shooter was charged with simple assault and the driver was charged with aggravated assault for dragging the staff member with the vehicle.</v>
      </c>
      <c r="W671" s="1" t="str">
        <f ca="1">IFERROR(__xludf.DUMMYFUNCTION("""COMPUTED_VALUE"""),"Drive-by Shooting")</f>
        <v>Drive-by Shooting</v>
      </c>
      <c r="X671" s="1" t="str">
        <f ca="1">IFERROR(__xludf.DUMMYFUNCTION("""COMPUTED_VALUE"""),"Random Shooting")</f>
        <v>Random Shooting</v>
      </c>
      <c r="Y671" s="1" t="str">
        <f ca="1">IFERROR(__xludf.DUMMYFUNCTION("""COMPUTED_VALUE"""),"Yes")</f>
        <v>Yes</v>
      </c>
      <c r="Z671" s="1" t="str">
        <f ca="1">IFERROR(__xludf.DUMMYFUNCTION("""COMPUTED_VALUE"""),"Driver and shooter")</f>
        <v>Driver and shooter</v>
      </c>
      <c r="AA671" s="1" t="str">
        <f ca="1">IFERROR(__xludf.DUMMYFUNCTION("""COMPUTED_VALUE"""),"No")</f>
        <v>No</v>
      </c>
      <c r="AB671" s="1" t="str">
        <f ca="1">IFERROR(__xludf.DUMMYFUNCTION("""COMPUTED_VALUE"""),"No")</f>
        <v>No</v>
      </c>
      <c r="AC671" s="1" t="str">
        <f ca="1">IFERROR(__xludf.DUMMYFUNCTION("""COMPUTED_VALUE"""),"No")</f>
        <v>No</v>
      </c>
      <c r="AD671" s="1" t="str">
        <f ca="1">IFERROR(__xludf.DUMMYFUNCTION("""COMPUTED_VALUE"""),"No")</f>
        <v>No</v>
      </c>
      <c r="AE671" s="1" t="str">
        <f ca="1">IFERROR(__xludf.DUMMYFUNCTION("""COMPUTED_VALUE"""),"No")</f>
        <v>No</v>
      </c>
      <c r="AF671" s="1" t="str">
        <f ca="1">IFERROR(__xludf.DUMMYFUNCTION("""COMPUTED_VALUE"""),"No")</f>
        <v>No</v>
      </c>
      <c r="AG671" s="1" t="str">
        <f ca="1">IFERROR(__xludf.DUMMYFUNCTION("""COMPUTED_VALUE"""),"No")</f>
        <v>No</v>
      </c>
      <c r="AH671" s="1">
        <f ca="1">IFERROR(__xludf.DUMMYFUNCTION("""COMPUTED_VALUE"""),99)</f>
        <v>99</v>
      </c>
    </row>
    <row r="672" spans="1:34" ht="12.5">
      <c r="A672" s="1" t="str">
        <f ca="1">IFERROR(__xludf.DUMMYFUNCTION("""COMPUTED_VALUE"""),"20220318ILBAB")</f>
        <v>20220318ILBAB</v>
      </c>
      <c r="B672" s="1">
        <f ca="1">IFERROR(__xludf.DUMMYFUNCTION("""COMPUTED_VALUE"""),3)</f>
        <v>3</v>
      </c>
      <c r="C672" s="1">
        <f ca="1">IFERROR(__xludf.DUMMYFUNCTION("""COMPUTED_VALUE"""),18)</f>
        <v>18</v>
      </c>
      <c r="D672" s="1">
        <f ca="1">IFERROR(__xludf.DUMMYFUNCTION("""COMPUTED_VALUE"""),2022)</f>
        <v>2022</v>
      </c>
      <c r="E672" s="4">
        <f ca="1">IFERROR(__xludf.DUMMYFUNCTION("""COMPUTED_VALUE"""),44638)</f>
        <v>44638</v>
      </c>
      <c r="F672" s="1" t="str">
        <f ca="1">IFERROR(__xludf.DUMMYFUNCTION("""COMPUTED_VALUE"""),"Barrington High School")</f>
        <v>Barrington High School</v>
      </c>
      <c r="G672" s="1">
        <f ca="1">IFERROR(__xludf.DUMMYFUNCTION("""COMPUTED_VALUE"""),0)</f>
        <v>0</v>
      </c>
      <c r="H672" s="1">
        <f ca="1">IFERROR(__xludf.DUMMYFUNCTION("""COMPUTED_VALUE"""),0)</f>
        <v>0</v>
      </c>
      <c r="I672" s="1">
        <f ca="1">IFERROR(__xludf.DUMMYFUNCTION("""COMPUTED_VALUE"""),0)</f>
        <v>0</v>
      </c>
      <c r="J672" s="1">
        <f ca="1">IFERROR(__xludf.DUMMYFUNCTION("""COMPUTED_VALUE"""),0)</f>
        <v>0</v>
      </c>
      <c r="K672" s="1" t="str">
        <f ca="1">IFERROR(__xludf.DUMMYFUNCTION("""COMPUTED_VALUE"""),"Spring")</f>
        <v>Spring</v>
      </c>
      <c r="L672" s="1" t="str">
        <f ca="1">IFERROR(__xludf.DUMMYFUNCTION("""COMPUTED_VALUE"""),"Barrington")</f>
        <v>Barrington</v>
      </c>
      <c r="M672" s="1" t="str">
        <f ca="1">IFERROR(__xludf.DUMMYFUNCTION("""COMPUTED_VALUE"""),"IL")</f>
        <v>IL</v>
      </c>
      <c r="N672" s="1" t="str">
        <f ca="1">IFERROR(__xludf.DUMMYFUNCTION("""COMPUTED_VALUE"""),"High")</f>
        <v>High</v>
      </c>
      <c r="O672" s="1" t="str">
        <f ca="1">IFERROR(__xludf.DUMMYFUNCTION("""COMPUTED_VALUE"""),"Front of School")</f>
        <v>Front of School</v>
      </c>
      <c r="P672" s="1" t="str">
        <f ca="1">IFERROR(__xludf.DUMMYFUNCTION("""COMPUTED_VALUE"""),"Both Inside/Outside")</f>
        <v>Both Inside/Outside</v>
      </c>
      <c r="Q672" s="1" t="str">
        <f ca="1">IFERROR(__xludf.DUMMYFUNCTION("""COMPUTED_VALUE"""),"Yes")</f>
        <v>Yes</v>
      </c>
      <c r="R672" s="1" t="str">
        <f ca="1">IFERROR(__xludf.DUMMYFUNCTION("""COMPUTED_VALUE"""),"School Start")</f>
        <v>School Start</v>
      </c>
      <c r="S672" s="5">
        <f ca="1">IFERROR(__xludf.DUMMYFUNCTION("""COMPUTED_VALUE"""),0.333333333333333)</f>
        <v>0.33333333333333298</v>
      </c>
      <c r="T672" s="1">
        <f ca="1">IFERROR(__xludf.DUMMYFUNCTION("""COMPUTED_VALUE"""),1)</f>
        <v>1</v>
      </c>
      <c r="U672" s="1" t="str">
        <f ca="1">IFERROR(__xludf.DUMMYFUNCTION("""COMPUTED_VALUE"""),"Two teens shot with pellet guns walking into school")</f>
        <v>Two teens shot with pellet guns walking into school</v>
      </c>
      <c r="V672" s="1" t="str">
        <f ca="1">IFERROR(__xludf.DUMMYFUNCTION("""COMPUTED_VALUE"""),"Two LDBTQ students were shot with pellet guns by teens in vehicle while walking into school. Shooters chased the students into the school cafeteria. Shoot was part of TikTok challenge to shoot at people with gel pellet guns.")</f>
        <v>Two LDBTQ students were shot with pellet guns by teens in vehicle while walking into school. Shooters chased the students into the school cafeteria. Shoot was part of TikTok challenge to shoot at people with gel pellet guns.</v>
      </c>
      <c r="W672" s="1" t="str">
        <f ca="1">IFERROR(__xludf.DUMMYFUNCTION("""COMPUTED_VALUE"""),"Drive-by Shooting")</f>
        <v>Drive-by Shooting</v>
      </c>
      <c r="X672" s="1" t="str">
        <f ca="1">IFERROR(__xludf.DUMMYFUNCTION("""COMPUTED_VALUE"""),"Victims Targeted")</f>
        <v>Victims Targeted</v>
      </c>
      <c r="Y672" s="1" t="str">
        <f ca="1">IFERROR(__xludf.DUMMYFUNCTION("""COMPUTED_VALUE"""),"Yes")</f>
        <v>Yes</v>
      </c>
      <c r="Z672" s="1"/>
      <c r="AA672" s="1" t="str">
        <f ca="1">IFERROR(__xludf.DUMMYFUNCTION("""COMPUTED_VALUE"""),"No")</f>
        <v>No</v>
      </c>
      <c r="AB672" s="1" t="str">
        <f ca="1">IFERROR(__xludf.DUMMYFUNCTION("""COMPUTED_VALUE"""),"No")</f>
        <v>No</v>
      </c>
      <c r="AC672" s="1" t="str">
        <f ca="1">IFERROR(__xludf.DUMMYFUNCTION("""COMPUTED_VALUE"""),"No")</f>
        <v>No</v>
      </c>
      <c r="AD672" s="1" t="str">
        <f ca="1">IFERROR(__xludf.DUMMYFUNCTION("""COMPUTED_VALUE"""),"No")</f>
        <v>No</v>
      </c>
      <c r="AE672" s="1" t="str">
        <f ca="1">IFERROR(__xludf.DUMMYFUNCTION("""COMPUTED_VALUE"""),"No")</f>
        <v>No</v>
      </c>
      <c r="AF672" s="1" t="str">
        <f ca="1">IFERROR(__xludf.DUMMYFUNCTION("""COMPUTED_VALUE"""),"No")</f>
        <v>No</v>
      </c>
      <c r="AG672" s="1" t="str">
        <f ca="1">IFERROR(__xludf.DUMMYFUNCTION("""COMPUTED_VALUE"""),"No")</f>
        <v>No</v>
      </c>
      <c r="AH672" s="1">
        <f ca="1">IFERROR(__xludf.DUMMYFUNCTION("""COMPUTED_VALUE"""),99)</f>
        <v>99</v>
      </c>
    </row>
    <row r="673" spans="1:34" ht="12.5">
      <c r="A673" s="1" t="str">
        <f ca="1">IFERROR(__xludf.DUMMYFUNCTION("""COMPUTED_VALUE"""),"20220317AKREW")</f>
        <v>20220317AKREW</v>
      </c>
      <c r="B673" s="1">
        <f ca="1">IFERROR(__xludf.DUMMYFUNCTION("""COMPUTED_VALUE"""),3)</f>
        <v>3</v>
      </c>
      <c r="C673" s="1">
        <f ca="1">IFERROR(__xludf.DUMMYFUNCTION("""COMPUTED_VALUE"""),17)</f>
        <v>17</v>
      </c>
      <c r="D673" s="1">
        <f ca="1">IFERROR(__xludf.DUMMYFUNCTION("""COMPUTED_VALUE"""),2022)</f>
        <v>2022</v>
      </c>
      <c r="E673" s="4">
        <f ca="1">IFERROR(__xludf.DUMMYFUNCTION("""COMPUTED_VALUE"""),44637)</f>
        <v>44637</v>
      </c>
      <c r="F673" s="1" t="str">
        <f ca="1">IFERROR(__xludf.DUMMYFUNCTION("""COMPUTED_VALUE"""),"Redington Jr/Sr High School")</f>
        <v>Redington Jr/Sr High School</v>
      </c>
      <c r="G673" s="1">
        <f ca="1">IFERROR(__xludf.DUMMYFUNCTION("""COMPUTED_VALUE"""),0)</f>
        <v>0</v>
      </c>
      <c r="H673" s="1">
        <f ca="1">IFERROR(__xludf.DUMMYFUNCTION("""COMPUTED_VALUE"""),0)</f>
        <v>0</v>
      </c>
      <c r="I673" s="1">
        <f ca="1">IFERROR(__xludf.DUMMYFUNCTION("""COMPUTED_VALUE"""),0)</f>
        <v>0</v>
      </c>
      <c r="J673" s="1">
        <f ca="1">IFERROR(__xludf.DUMMYFUNCTION("""COMPUTED_VALUE"""),0)</f>
        <v>0</v>
      </c>
      <c r="K673" s="1" t="str">
        <f ca="1">IFERROR(__xludf.DUMMYFUNCTION("""COMPUTED_VALUE"""),"Spring")</f>
        <v>Spring</v>
      </c>
      <c r="L673" s="1" t="str">
        <f ca="1">IFERROR(__xludf.DUMMYFUNCTION("""COMPUTED_VALUE"""),"Wasilla")</f>
        <v>Wasilla</v>
      </c>
      <c r="M673" s="1" t="str">
        <f ca="1">IFERROR(__xludf.DUMMYFUNCTION("""COMPUTED_VALUE"""),"AK")</f>
        <v>AK</v>
      </c>
      <c r="N673" s="6">
        <f ca="1">IFERROR(__xludf.DUMMYFUNCTION("""COMPUTED_VALUE"""),44724)</f>
        <v>44724</v>
      </c>
      <c r="O673" s="1" t="str">
        <f ca="1">IFERROR(__xludf.DUMMYFUNCTION("""COMPUTED_VALUE"""),"Beside Building")</f>
        <v>Beside Building</v>
      </c>
      <c r="P673" s="1" t="str">
        <f ca="1">IFERROR(__xludf.DUMMYFUNCTION("""COMPUTED_VALUE"""),"Outside on School Property")</f>
        <v>Outside on School Property</v>
      </c>
      <c r="Q673" s="1" t="str">
        <f ca="1">IFERROR(__xludf.DUMMYFUNCTION("""COMPUTED_VALUE"""),"Yes")</f>
        <v>Yes</v>
      </c>
      <c r="R673" s="1" t="str">
        <f ca="1">IFERROR(__xludf.DUMMYFUNCTION("""COMPUTED_VALUE"""),"Dismissal")</f>
        <v>Dismissal</v>
      </c>
      <c r="S673" s="5">
        <f ca="1">IFERROR(__xludf.DUMMYFUNCTION("""COMPUTED_VALUE"""),0.604166666666666)</f>
        <v>0.60416666666666596</v>
      </c>
      <c r="T673" s="1">
        <f ca="1">IFERROR(__xludf.DUMMYFUNCTION("""COMPUTED_VALUE"""),1)</f>
        <v>1</v>
      </c>
      <c r="U673" s="1" t="str">
        <f ca="1">IFERROR(__xludf.DUMMYFUNCTION("""COMPUTED_VALUE"""),"Student fired shot at dismissal, detained by school staff")</f>
        <v>Student fired shot at dismissal, detained by school staff</v>
      </c>
      <c r="V673" s="1" t="str">
        <f ca="1">IFERROR(__xludf.DUMMYFUNCTION("""COMPUTED_VALUE"""),"A student fired one shot at dismissal. Student was detained by school staff until police arrived. No injuries. School did not lock down and normal activities continued.")</f>
        <v>A student fired one shot at dismissal. Student was detained by school staff until police arrived. No injuries. School did not lock down and normal activities continued.</v>
      </c>
      <c r="W673" s="1"/>
      <c r="X673" s="1"/>
      <c r="Y673" s="1" t="str">
        <f ca="1">IFERROR(__xludf.DUMMYFUNCTION("""COMPUTED_VALUE"""),"No")</f>
        <v>No</v>
      </c>
      <c r="Z673" s="1"/>
      <c r="AA673" s="1" t="str">
        <f ca="1">IFERROR(__xludf.DUMMYFUNCTION("""COMPUTED_VALUE"""),"No")</f>
        <v>No</v>
      </c>
      <c r="AB673" s="1" t="str">
        <f ca="1">IFERROR(__xludf.DUMMYFUNCTION("""COMPUTED_VALUE"""),"No")</f>
        <v>No</v>
      </c>
      <c r="AC673" s="1" t="str">
        <f ca="1">IFERROR(__xludf.DUMMYFUNCTION("""COMPUTED_VALUE"""),"No")</f>
        <v>No</v>
      </c>
      <c r="AD673" s="1" t="str">
        <f ca="1">IFERROR(__xludf.DUMMYFUNCTION("""COMPUTED_VALUE"""),"No")</f>
        <v>No</v>
      </c>
      <c r="AE673" s="1" t="str">
        <f ca="1">IFERROR(__xludf.DUMMYFUNCTION("""COMPUTED_VALUE"""),"No")</f>
        <v>No</v>
      </c>
      <c r="AF673" s="1" t="str">
        <f ca="1">IFERROR(__xludf.DUMMYFUNCTION("""COMPUTED_VALUE"""),"No")</f>
        <v>No</v>
      </c>
      <c r="AG673" s="1" t="str">
        <f ca="1">IFERROR(__xludf.DUMMYFUNCTION("""COMPUTED_VALUE"""),"No")</f>
        <v>No</v>
      </c>
      <c r="AH673" s="1">
        <f ca="1">IFERROR(__xludf.DUMMYFUNCTION("""COMPUTED_VALUE"""),1)</f>
        <v>1</v>
      </c>
    </row>
    <row r="674" spans="1:34" ht="12.5">
      <c r="A674" s="1" t="str">
        <f ca="1">IFERROR(__xludf.DUMMYFUNCTION("""COMPUTED_VALUE"""),"20220316CALOR")</f>
        <v>20220316CALOR</v>
      </c>
      <c r="B674" s="1">
        <f ca="1">IFERROR(__xludf.DUMMYFUNCTION("""COMPUTED_VALUE"""),3)</f>
        <v>3</v>
      </c>
      <c r="C674" s="1">
        <f ca="1">IFERROR(__xludf.DUMMYFUNCTION("""COMPUTED_VALUE"""),16)</f>
        <v>16</v>
      </c>
      <c r="D674" s="1">
        <f ca="1">IFERROR(__xludf.DUMMYFUNCTION("""COMPUTED_VALUE"""),2022)</f>
        <v>2022</v>
      </c>
      <c r="E674" s="4">
        <f ca="1">IFERROR(__xludf.DUMMYFUNCTION("""COMPUTED_VALUE"""),44636)</f>
        <v>44636</v>
      </c>
      <c r="F674" s="1" t="str">
        <f ca="1">IFERROR(__xludf.DUMMYFUNCTION("""COMPUTED_VALUE"""),"Loma Vista Middle School")</f>
        <v>Loma Vista Middle School</v>
      </c>
      <c r="G674" s="1">
        <f ca="1">IFERROR(__xludf.DUMMYFUNCTION("""COMPUTED_VALUE"""),0)</f>
        <v>0</v>
      </c>
      <c r="H674" s="1">
        <f ca="1">IFERROR(__xludf.DUMMYFUNCTION("""COMPUTED_VALUE"""),0)</f>
        <v>0</v>
      </c>
      <c r="I674" s="1">
        <f ca="1">IFERROR(__xludf.DUMMYFUNCTION("""COMPUTED_VALUE"""),0)</f>
        <v>0</v>
      </c>
      <c r="J674" s="1">
        <f ca="1">IFERROR(__xludf.DUMMYFUNCTION("""COMPUTED_VALUE"""),0)</f>
        <v>0</v>
      </c>
      <c r="K674" s="1" t="str">
        <f ca="1">IFERROR(__xludf.DUMMYFUNCTION("""COMPUTED_VALUE"""),"Spring")</f>
        <v>Spring</v>
      </c>
      <c r="L674" s="1" t="str">
        <f ca="1">IFERROR(__xludf.DUMMYFUNCTION("""COMPUTED_VALUE"""),"Riverside")</f>
        <v>Riverside</v>
      </c>
      <c r="M674" s="1" t="str">
        <f ca="1">IFERROR(__xludf.DUMMYFUNCTION("""COMPUTED_VALUE"""),"CA")</f>
        <v>CA</v>
      </c>
      <c r="N674" s="1" t="str">
        <f ca="1">IFERROR(__xludf.DUMMYFUNCTION("""COMPUTED_VALUE"""),"Middle")</f>
        <v>Middle</v>
      </c>
      <c r="O674" s="1" t="str">
        <f ca="1">IFERROR(__xludf.DUMMYFUNCTION("""COMPUTED_VALUE"""),"Classroom")</f>
        <v>Classroom</v>
      </c>
      <c r="P674" s="1" t="str">
        <f ca="1">IFERROR(__xludf.DUMMYFUNCTION("""COMPUTED_VALUE"""),"Inside School Building")</f>
        <v>Inside School Building</v>
      </c>
      <c r="Q674" s="1" t="str">
        <f ca="1">IFERROR(__xludf.DUMMYFUNCTION("""COMPUTED_VALUE"""),"Yes")</f>
        <v>Yes</v>
      </c>
      <c r="R674" s="1" t="str">
        <f ca="1">IFERROR(__xludf.DUMMYFUNCTION("""COMPUTED_VALUE"""),"Afternoon Classes")</f>
        <v>Afternoon Classes</v>
      </c>
      <c r="S674" s="5">
        <f ca="1">IFERROR(__xludf.DUMMYFUNCTION("""COMPUTED_VALUE"""),0.708333333333333)</f>
        <v>0.70833333333333304</v>
      </c>
      <c r="T674" s="1">
        <f ca="1">IFERROR(__xludf.DUMMYFUNCTION("""COMPUTED_VALUE"""),1)</f>
        <v>1</v>
      </c>
      <c r="U674" s="1" t="str">
        <f ca="1">IFERROR(__xludf.DUMMYFUNCTION("""COMPUTED_VALUE"""),"Student fired shot while showing off gun inside school")</f>
        <v>Student fired shot while showing off gun inside school</v>
      </c>
      <c r="V674" s="1" t="str">
        <f ca="1">IFERROR(__xludf.DUMMYFUNCTION("""COMPUTED_VALUE"""),"A 12-year-old student was showing off a handgun inside a multipurpose room when he accidentally fired, striking a table. He dropped the gun and fled. School went on lockdown. Student was arrested off campus.")</f>
        <v>A 12-year-old student was showing off a handgun inside a multipurpose room when he accidentally fired, striking a table. He dropped the gun and fled. School went on lockdown. Student was arrested off campus.</v>
      </c>
      <c r="W674" s="1" t="str">
        <f ca="1">IFERROR(__xludf.DUMMYFUNCTION("""COMPUTED_VALUE"""),"Accidental")</f>
        <v>Accidental</v>
      </c>
      <c r="X674" s="1" t="str">
        <f ca="1">IFERROR(__xludf.DUMMYFUNCTION("""COMPUTED_VALUE"""),"Neither")</f>
        <v>Neither</v>
      </c>
      <c r="Y674" s="1" t="str">
        <f ca="1">IFERROR(__xludf.DUMMYFUNCTION("""COMPUTED_VALUE"""),"No")</f>
        <v>No</v>
      </c>
      <c r="Z674" s="1"/>
      <c r="AA674" s="1" t="str">
        <f ca="1">IFERROR(__xludf.DUMMYFUNCTION("""COMPUTED_VALUE"""),"No")</f>
        <v>No</v>
      </c>
      <c r="AB674" s="1" t="str">
        <f ca="1">IFERROR(__xludf.DUMMYFUNCTION("""COMPUTED_VALUE"""),"No")</f>
        <v>No</v>
      </c>
      <c r="AC674" s="1" t="str">
        <f ca="1">IFERROR(__xludf.DUMMYFUNCTION("""COMPUTED_VALUE"""),"No")</f>
        <v>No</v>
      </c>
      <c r="AD674" s="1" t="str">
        <f ca="1">IFERROR(__xludf.DUMMYFUNCTION("""COMPUTED_VALUE"""),"No")</f>
        <v>No</v>
      </c>
      <c r="AE674" s="1" t="str">
        <f ca="1">IFERROR(__xludf.DUMMYFUNCTION("""COMPUTED_VALUE"""),"No")</f>
        <v>No</v>
      </c>
      <c r="AF674" s="1" t="str">
        <f ca="1">IFERROR(__xludf.DUMMYFUNCTION("""COMPUTED_VALUE"""),"No")</f>
        <v>No</v>
      </c>
      <c r="AG674" s="1" t="str">
        <f ca="1">IFERROR(__xludf.DUMMYFUNCTION("""COMPUTED_VALUE"""),"No")</f>
        <v>No</v>
      </c>
      <c r="AH674" s="1">
        <f ca="1">IFERROR(__xludf.DUMMYFUNCTION("""COMPUTED_VALUE"""),1)</f>
        <v>1</v>
      </c>
    </row>
    <row r="675" spans="1:34" ht="12.5">
      <c r="A675" s="1" t="str">
        <f ca="1">IFERROR(__xludf.DUMMYFUNCTION("""COMPUTED_VALUE"""),"20220315WAEIY")</f>
        <v>20220315WAEIY</v>
      </c>
      <c r="B675" s="1">
        <f ca="1">IFERROR(__xludf.DUMMYFUNCTION("""COMPUTED_VALUE"""),3)</f>
        <v>3</v>
      </c>
      <c r="C675" s="1">
        <f ca="1">IFERROR(__xludf.DUMMYFUNCTION("""COMPUTED_VALUE"""),15)</f>
        <v>15</v>
      </c>
      <c r="D675" s="1">
        <f ca="1">IFERROR(__xludf.DUMMYFUNCTION("""COMPUTED_VALUE"""),2022)</f>
        <v>2022</v>
      </c>
      <c r="E675" s="4">
        <f ca="1">IFERROR(__xludf.DUMMYFUNCTION("""COMPUTED_VALUE"""),44635)</f>
        <v>44635</v>
      </c>
      <c r="F675" s="1" t="str">
        <f ca="1">IFERROR(__xludf.DUMMYFUNCTION("""COMPUTED_VALUE"""),"Eisenhower High School")</f>
        <v>Eisenhower High School</v>
      </c>
      <c r="G675" s="1">
        <f ca="1">IFERROR(__xludf.DUMMYFUNCTION("""COMPUTED_VALUE"""),1)</f>
        <v>1</v>
      </c>
      <c r="H675" s="1">
        <f ca="1">IFERROR(__xludf.DUMMYFUNCTION("""COMPUTED_VALUE"""),1)</f>
        <v>1</v>
      </c>
      <c r="I675" s="1">
        <f ca="1">IFERROR(__xludf.DUMMYFUNCTION("""COMPUTED_VALUE"""),2)</f>
        <v>2</v>
      </c>
      <c r="J675" s="1">
        <f ca="1">IFERROR(__xludf.DUMMYFUNCTION("""COMPUTED_VALUE"""),0)</f>
        <v>0</v>
      </c>
      <c r="K675" s="1" t="str">
        <f ca="1">IFERROR(__xludf.DUMMYFUNCTION("""COMPUTED_VALUE"""),"Winter")</f>
        <v>Winter</v>
      </c>
      <c r="L675" s="1" t="str">
        <f ca="1">IFERROR(__xludf.DUMMYFUNCTION("""COMPUTED_VALUE"""),"Yakima")</f>
        <v>Yakima</v>
      </c>
      <c r="M675" s="1" t="str">
        <f ca="1">IFERROR(__xludf.DUMMYFUNCTION("""COMPUTED_VALUE"""),"WA")</f>
        <v>WA</v>
      </c>
      <c r="N675" s="1" t="str">
        <f ca="1">IFERROR(__xludf.DUMMYFUNCTION("""COMPUTED_VALUE"""),"High")</f>
        <v>High</v>
      </c>
      <c r="O675" s="1" t="str">
        <f ca="1">IFERROR(__xludf.DUMMYFUNCTION("""COMPUTED_VALUE"""),"Parking Lot")</f>
        <v>Parking Lot</v>
      </c>
      <c r="P675" s="1" t="str">
        <f ca="1">IFERROR(__xludf.DUMMYFUNCTION("""COMPUTED_VALUE"""),"Outside on School Property")</f>
        <v>Outside on School Property</v>
      </c>
      <c r="Q675" s="1" t="str">
        <f ca="1">IFERROR(__xludf.DUMMYFUNCTION("""COMPUTED_VALUE"""),"Yes")</f>
        <v>Yes</v>
      </c>
      <c r="R675" s="1" t="str">
        <f ca="1">IFERROR(__xludf.DUMMYFUNCTION("""COMPUTED_VALUE"""),"Dismissal")</f>
        <v>Dismissal</v>
      </c>
      <c r="S675" s="5">
        <f ca="1">IFERROR(__xludf.DUMMYFUNCTION("""COMPUTED_VALUE"""),0.625)</f>
        <v>0.625</v>
      </c>
      <c r="T675" s="1">
        <f ca="1">IFERROR(__xludf.DUMMYFUNCTION("""COMPUTED_VALUE"""),1)</f>
        <v>1</v>
      </c>
      <c r="U675" s="1" t="str">
        <f ca="1">IFERROR(__xludf.DUMMYFUNCTION("""COMPUTED_VALUE"""),"Two students shot in parking lot at dismissal")</f>
        <v>Two students shot in parking lot at dismissal</v>
      </c>
      <c r="V675" s="1" t="str">
        <f ca="1">IFERROR(__xludf.DUMMYFUNCTION("""COMPUTED_VALUE"""),"A 16-year-old male and 18-year-old male student were shot during an argument in the school parking lot at dismissal. Shooter was targeting the 18-year-old and accidentally shot his 16-year-old cousin (fatal). Shooter fled. Police arrested a 15-year-old la"&amp;"ter that night. School went on lockdown and students were shuttled to a neighboring elementary school to reunite with their parents.")</f>
        <v>A 16-year-old male and 18-year-old male student were shot during an argument in the school parking lot at dismissal. Shooter was targeting the 18-year-old and accidentally shot his 16-year-old cousin (fatal). Shooter fled. Police arrested a 15-year-old later that night. School went on lockdown and students were shuttled to a neighboring elementary school to reunite with their parents.</v>
      </c>
      <c r="W675" s="1" t="str">
        <f ca="1">IFERROR(__xludf.DUMMYFUNCTION("""COMPUTED_VALUE"""),"Escalation of Dispute")</f>
        <v>Escalation of Dispute</v>
      </c>
      <c r="X675" s="1" t="str">
        <f ca="1">IFERROR(__xludf.DUMMYFUNCTION("""COMPUTED_VALUE"""),"Both")</f>
        <v>Both</v>
      </c>
      <c r="Y675" s="1" t="str">
        <f ca="1">IFERROR(__xludf.DUMMYFUNCTION("""COMPUTED_VALUE"""),"No")</f>
        <v>No</v>
      </c>
      <c r="Z675" s="1"/>
      <c r="AA675" s="1" t="str">
        <f ca="1">IFERROR(__xludf.DUMMYFUNCTION("""COMPUTED_VALUE"""),"No")</f>
        <v>No</v>
      </c>
      <c r="AB675" s="1" t="str">
        <f ca="1">IFERROR(__xludf.DUMMYFUNCTION("""COMPUTED_VALUE"""),"No")</f>
        <v>No</v>
      </c>
      <c r="AC675" s="1" t="str">
        <f ca="1">IFERROR(__xludf.DUMMYFUNCTION("""COMPUTED_VALUE"""),"No")</f>
        <v>No</v>
      </c>
      <c r="AD675" s="1" t="str">
        <f ca="1">IFERROR(__xludf.DUMMYFUNCTION("""COMPUTED_VALUE"""),"No")</f>
        <v>No</v>
      </c>
      <c r="AE675" s="1" t="str">
        <f ca="1">IFERROR(__xludf.DUMMYFUNCTION("""COMPUTED_VALUE"""),"No")</f>
        <v>No</v>
      </c>
      <c r="AF675" s="1" t="str">
        <f ca="1">IFERROR(__xludf.DUMMYFUNCTION("""COMPUTED_VALUE"""),"Yes")</f>
        <v>Yes</v>
      </c>
      <c r="AG675" s="1" t="str">
        <f ca="1">IFERROR(__xludf.DUMMYFUNCTION("""COMPUTED_VALUE"""),"No")</f>
        <v>No</v>
      </c>
      <c r="AH675" s="1">
        <f ca="1">IFERROR(__xludf.DUMMYFUNCTION("""COMPUTED_VALUE"""),99)</f>
        <v>99</v>
      </c>
    </row>
    <row r="676" spans="1:34" ht="12.5">
      <c r="A676" s="1" t="str">
        <f ca="1">IFERROR(__xludf.DUMMYFUNCTION("""COMPUTED_VALUE"""),"20220315MDPAB")</f>
        <v>20220315MDPAB</v>
      </c>
      <c r="B676" s="1">
        <f ca="1">IFERROR(__xludf.DUMMYFUNCTION("""COMPUTED_VALUE"""),3)</f>
        <v>3</v>
      </c>
      <c r="C676" s="1">
        <f ca="1">IFERROR(__xludf.DUMMYFUNCTION("""COMPUTED_VALUE"""),15)</f>
        <v>15</v>
      </c>
      <c r="D676" s="1">
        <f ca="1">IFERROR(__xludf.DUMMYFUNCTION("""COMPUTED_VALUE"""),2022)</f>
        <v>2022</v>
      </c>
      <c r="E676" s="4">
        <f ca="1">IFERROR(__xludf.DUMMYFUNCTION("""COMPUTED_VALUE"""),44635)</f>
        <v>44635</v>
      </c>
      <c r="F676" s="1" t="str">
        <f ca="1">IFERROR(__xludf.DUMMYFUNCTION("""COMPUTED_VALUE"""),"Paul Lawrence Dunbar High School")</f>
        <v>Paul Lawrence Dunbar High School</v>
      </c>
      <c r="G676" s="1">
        <f ca="1">IFERROR(__xludf.DUMMYFUNCTION("""COMPUTED_VALUE"""),0)</f>
        <v>0</v>
      </c>
      <c r="H676" s="1">
        <f ca="1">IFERROR(__xludf.DUMMYFUNCTION("""COMPUTED_VALUE"""),1)</f>
        <v>1</v>
      </c>
      <c r="I676" s="1">
        <f ca="1">IFERROR(__xludf.DUMMYFUNCTION("""COMPUTED_VALUE"""),1)</f>
        <v>1</v>
      </c>
      <c r="J676" s="1">
        <f ca="1">IFERROR(__xludf.DUMMYFUNCTION("""COMPUTED_VALUE"""),0)</f>
        <v>0</v>
      </c>
      <c r="K676" s="1" t="str">
        <f ca="1">IFERROR(__xludf.DUMMYFUNCTION("""COMPUTED_VALUE"""),"Spring")</f>
        <v>Spring</v>
      </c>
      <c r="L676" s="1" t="str">
        <f ca="1">IFERROR(__xludf.DUMMYFUNCTION("""COMPUTED_VALUE"""),"Baltimore")</f>
        <v>Baltimore</v>
      </c>
      <c r="M676" s="1" t="str">
        <f ca="1">IFERROR(__xludf.DUMMYFUNCTION("""COMPUTED_VALUE"""),"MD")</f>
        <v>MD</v>
      </c>
      <c r="N676" s="1" t="str">
        <f ca="1">IFERROR(__xludf.DUMMYFUNCTION("""COMPUTED_VALUE"""),"High")</f>
        <v>High</v>
      </c>
      <c r="O676" s="1" t="str">
        <f ca="1">IFERROR(__xludf.DUMMYFUNCTION("""COMPUTED_VALUE"""),"Beside Building")</f>
        <v>Beside Building</v>
      </c>
      <c r="P676" s="1" t="str">
        <f ca="1">IFERROR(__xludf.DUMMYFUNCTION("""COMPUTED_VALUE"""),"Outside on School Property")</f>
        <v>Outside on School Property</v>
      </c>
      <c r="Q676" s="1" t="str">
        <f ca="1">IFERROR(__xludf.DUMMYFUNCTION("""COMPUTED_VALUE"""),"Yes")</f>
        <v>Yes</v>
      </c>
      <c r="R676" s="1" t="str">
        <f ca="1">IFERROR(__xludf.DUMMYFUNCTION("""COMPUTED_VALUE"""),"Dismissal")</f>
        <v>Dismissal</v>
      </c>
      <c r="S676" s="5">
        <f ca="1">IFERROR(__xludf.DUMMYFUNCTION("""COMPUTED_VALUE"""),0.638888888888888)</f>
        <v>0.63888888888888795</v>
      </c>
      <c r="T676" s="1">
        <f ca="1">IFERROR(__xludf.DUMMYFUNCTION("""COMPUTED_VALUE"""),1)</f>
        <v>1</v>
      </c>
      <c r="U676" s="1" t="str">
        <f ca="1">IFERROR(__xludf.DUMMYFUNCTION("""COMPUTED_VALUE"""),"Student shot during dispute at dismissal")</f>
        <v>Student shot during dispute at dismissal</v>
      </c>
      <c r="V676" s="1" t="str">
        <f ca="1">IFERROR(__xludf.DUMMYFUNCTION("""COMPUTED_VALUE"""),"An 18-year-old student was shot during a dispute with a group of people at dismissal. Unclear if the shooter was a student. Shooter fled.")</f>
        <v>An 18-year-old student was shot during a dispute with a group of people at dismissal. Unclear if the shooter was a student. Shooter fled.</v>
      </c>
      <c r="W676" s="1" t="str">
        <f ca="1">IFERROR(__xludf.DUMMYFUNCTION("""COMPUTED_VALUE"""),"Escalation of Dispute")</f>
        <v>Escalation of Dispute</v>
      </c>
      <c r="X676" s="1" t="str">
        <f ca="1">IFERROR(__xludf.DUMMYFUNCTION("""COMPUTED_VALUE"""),"Victims Targeted")</f>
        <v>Victims Targeted</v>
      </c>
      <c r="Y676" s="1" t="str">
        <f ca="1">IFERROR(__xludf.DUMMYFUNCTION("""COMPUTED_VALUE"""),"No")</f>
        <v>No</v>
      </c>
      <c r="Z676" s="1"/>
      <c r="AA676" s="1" t="str">
        <f ca="1">IFERROR(__xludf.DUMMYFUNCTION("""COMPUTED_VALUE"""),"No")</f>
        <v>No</v>
      </c>
      <c r="AB676" s="1" t="str">
        <f ca="1">IFERROR(__xludf.DUMMYFUNCTION("""COMPUTED_VALUE"""),"No")</f>
        <v>No</v>
      </c>
      <c r="AC676" s="1" t="str">
        <f ca="1">IFERROR(__xludf.DUMMYFUNCTION("""COMPUTED_VALUE"""),"No")</f>
        <v>No</v>
      </c>
      <c r="AD676" s="1" t="str">
        <f ca="1">IFERROR(__xludf.DUMMYFUNCTION("""COMPUTED_VALUE"""),"No")</f>
        <v>No</v>
      </c>
      <c r="AE676" s="1" t="str">
        <f ca="1">IFERROR(__xludf.DUMMYFUNCTION("""COMPUTED_VALUE"""),"No")</f>
        <v>No</v>
      </c>
      <c r="AF676" s="1"/>
      <c r="AG676" s="1" t="str">
        <f ca="1">IFERROR(__xludf.DUMMYFUNCTION("""COMPUTED_VALUE"""),"No")</f>
        <v>No</v>
      </c>
      <c r="AH676" s="1">
        <f ca="1">IFERROR(__xludf.DUMMYFUNCTION("""COMPUTED_VALUE"""),1)</f>
        <v>1</v>
      </c>
    </row>
    <row r="677" spans="1:34" ht="12.5">
      <c r="A677" s="1" t="str">
        <f ca="1">IFERROR(__xludf.DUMMYFUNCTION("""COMPUTED_VALUE"""),"20220315MATEB")</f>
        <v>20220315MATEB</v>
      </c>
      <c r="B677" s="1">
        <f ca="1">IFERROR(__xludf.DUMMYFUNCTION("""COMPUTED_VALUE"""),3)</f>
        <v>3</v>
      </c>
      <c r="C677" s="1">
        <f ca="1">IFERROR(__xludf.DUMMYFUNCTION("""COMPUTED_VALUE"""),15)</f>
        <v>15</v>
      </c>
      <c r="D677" s="1">
        <f ca="1">IFERROR(__xludf.DUMMYFUNCTION("""COMPUTED_VALUE"""),2022)</f>
        <v>2022</v>
      </c>
      <c r="E677" s="4">
        <f ca="1">IFERROR(__xludf.DUMMYFUNCTION("""COMPUTED_VALUE"""),44635)</f>
        <v>44635</v>
      </c>
      <c r="F677" s="1" t="str">
        <f ca="1">IFERROR(__xludf.DUMMYFUNCTION("""COMPUTED_VALUE"""),"Tech Academy Boston")</f>
        <v>Tech Academy Boston</v>
      </c>
      <c r="G677" s="1">
        <f ca="1">IFERROR(__xludf.DUMMYFUNCTION("""COMPUTED_VALUE"""),0)</f>
        <v>0</v>
      </c>
      <c r="H677" s="1">
        <f ca="1">IFERROR(__xludf.DUMMYFUNCTION("""COMPUTED_VALUE"""),2)</f>
        <v>2</v>
      </c>
      <c r="I677" s="1">
        <f ca="1">IFERROR(__xludf.DUMMYFUNCTION("""COMPUTED_VALUE"""),2)</f>
        <v>2</v>
      </c>
      <c r="J677" s="1">
        <f ca="1">IFERROR(__xludf.DUMMYFUNCTION("""COMPUTED_VALUE"""),0)</f>
        <v>0</v>
      </c>
      <c r="K677" s="1" t="str">
        <f ca="1">IFERROR(__xludf.DUMMYFUNCTION("""COMPUTED_VALUE"""),"Spring")</f>
        <v>Spring</v>
      </c>
      <c r="L677" s="1" t="str">
        <f ca="1">IFERROR(__xludf.DUMMYFUNCTION("""COMPUTED_VALUE"""),"Boston")</f>
        <v>Boston</v>
      </c>
      <c r="M677" s="1" t="str">
        <f ca="1">IFERROR(__xludf.DUMMYFUNCTION("""COMPUTED_VALUE"""),"MA")</f>
        <v>MA</v>
      </c>
      <c r="N677" s="1" t="str">
        <f ca="1">IFERROR(__xludf.DUMMYFUNCTION("""COMPUTED_VALUE"""),"High")</f>
        <v>High</v>
      </c>
      <c r="O677" s="1" t="str">
        <f ca="1">IFERROR(__xludf.DUMMYFUNCTION("""COMPUTED_VALUE"""),"Beside Building")</f>
        <v>Beside Building</v>
      </c>
      <c r="P677" s="1" t="str">
        <f ca="1">IFERROR(__xludf.DUMMYFUNCTION("""COMPUTED_VALUE"""),"Outside on School Property")</f>
        <v>Outside on School Property</v>
      </c>
      <c r="Q677" s="1" t="str">
        <f ca="1">IFERROR(__xludf.DUMMYFUNCTION("""COMPUTED_VALUE"""),"No")</f>
        <v>No</v>
      </c>
      <c r="R677" s="1" t="str">
        <f ca="1">IFERROR(__xludf.DUMMYFUNCTION("""COMPUTED_VALUE"""),"Sport Event")</f>
        <v>Sport Event</v>
      </c>
      <c r="S677" s="5">
        <f ca="1">IFERROR(__xludf.DUMMYFUNCTION("""COMPUTED_VALUE"""),0.736111111111111)</f>
        <v>0.73611111111111105</v>
      </c>
      <c r="T677" s="1">
        <f ca="1">IFERROR(__xludf.DUMMYFUNCTION("""COMPUTED_VALUE"""),1)</f>
        <v>1</v>
      </c>
      <c r="U677" s="1" t="str">
        <f ca="1">IFERROR(__xludf.DUMMYFUNCTION("""COMPUTED_VALUE"""),"Shots fired at a group of students and staff outside school")</f>
        <v>Shots fired at a group of students and staff outside school</v>
      </c>
      <c r="V677" s="1" t="str">
        <f ca="1">IFERROR(__xludf.DUMMYFUNCTION("""COMPUTED_VALUE"""),"Shots were fired at a group of students and staff standing outside of the school while waiting to get on a bus to an away basketball game. A 31-year-old teacher and a 17-year-old student were wounded. Two shooters fled and were arrested 2 weeks later (16-"&amp;"year-old male and 17-year-old male). Both had loaded guns that matched the crime scene.")</f>
        <v>Shots were fired at a group of students and staff standing outside of the school while waiting to get on a bus to an away basketball game. A 31-year-old teacher and a 17-year-old student were wounded. Two shooters fled and were arrested 2 weeks later (16-year-old male and 17-year-old male). Both had loaded guns that matched the crime scene.</v>
      </c>
      <c r="W677" s="1" t="str">
        <f ca="1">IFERROR(__xludf.DUMMYFUNCTION("""COMPUTED_VALUE"""),"Drive-by Shooting")</f>
        <v>Drive-by Shooting</v>
      </c>
      <c r="X677" s="1" t="str">
        <f ca="1">IFERROR(__xludf.DUMMYFUNCTION("""COMPUTED_VALUE"""),"Both")</f>
        <v>Both</v>
      </c>
      <c r="Y677" s="1" t="str">
        <f ca="1">IFERROR(__xludf.DUMMYFUNCTION("""COMPUTED_VALUE"""),"Yes")</f>
        <v>Yes</v>
      </c>
      <c r="Z677" s="1" t="str">
        <f ca="1">IFERROR(__xludf.DUMMYFUNCTION("""COMPUTED_VALUE"""),"Two teens")</f>
        <v>Two teens</v>
      </c>
      <c r="AA677" s="1" t="str">
        <f ca="1">IFERROR(__xludf.DUMMYFUNCTION("""COMPUTED_VALUE"""),"No")</f>
        <v>No</v>
      </c>
      <c r="AB677" s="1" t="str">
        <f ca="1">IFERROR(__xludf.DUMMYFUNCTION("""COMPUTED_VALUE"""),"No")</f>
        <v>No</v>
      </c>
      <c r="AC677" s="1" t="str">
        <f ca="1">IFERROR(__xludf.DUMMYFUNCTION("""COMPUTED_VALUE"""),"No")</f>
        <v>No</v>
      </c>
      <c r="AD677" s="1" t="str">
        <f ca="1">IFERROR(__xludf.DUMMYFUNCTION("""COMPUTED_VALUE"""),"No")</f>
        <v>No</v>
      </c>
      <c r="AE677" s="1" t="str">
        <f ca="1">IFERROR(__xludf.DUMMYFUNCTION("""COMPUTED_VALUE"""),"No")</f>
        <v>No</v>
      </c>
      <c r="AF677" s="1"/>
      <c r="AG677" s="1" t="str">
        <f ca="1">IFERROR(__xludf.DUMMYFUNCTION("""COMPUTED_VALUE"""),"No")</f>
        <v>No</v>
      </c>
      <c r="AH677" s="1">
        <f ca="1">IFERROR(__xludf.DUMMYFUNCTION("""COMPUTED_VALUE"""),12)</f>
        <v>12</v>
      </c>
    </row>
    <row r="678" spans="1:34" ht="12.5">
      <c r="A678" s="1" t="str">
        <f ca="1">IFERROR(__xludf.DUMMYFUNCTION("""COMPUTED_VALUE"""),"20220315GAFOF")</f>
        <v>20220315GAFOF</v>
      </c>
      <c r="B678" s="1">
        <f ca="1">IFERROR(__xludf.DUMMYFUNCTION("""COMPUTED_VALUE"""),3)</f>
        <v>3</v>
      </c>
      <c r="C678" s="1">
        <f ca="1">IFERROR(__xludf.DUMMYFUNCTION("""COMPUTED_VALUE"""),15)</f>
        <v>15</v>
      </c>
      <c r="D678" s="1">
        <f ca="1">IFERROR(__xludf.DUMMYFUNCTION("""COMPUTED_VALUE"""),2022)</f>
        <v>2022</v>
      </c>
      <c r="E678" s="4">
        <f ca="1">IFERROR(__xludf.DUMMYFUNCTION("""COMPUTED_VALUE"""),44635)</f>
        <v>44635</v>
      </c>
      <c r="F678" s="1" t="str">
        <f ca="1">IFERROR(__xludf.DUMMYFUNCTION("""COMPUTED_VALUE"""),"Forest Park Middle School")</f>
        <v>Forest Park Middle School</v>
      </c>
      <c r="G678" s="1">
        <f ca="1">IFERROR(__xludf.DUMMYFUNCTION("""COMPUTED_VALUE"""),0)</f>
        <v>0</v>
      </c>
      <c r="H678" s="1">
        <f ca="1">IFERROR(__xludf.DUMMYFUNCTION("""COMPUTED_VALUE"""),0)</f>
        <v>0</v>
      </c>
      <c r="I678" s="1">
        <f ca="1">IFERROR(__xludf.DUMMYFUNCTION("""COMPUTED_VALUE"""),0)</f>
        <v>0</v>
      </c>
      <c r="J678" s="1">
        <f ca="1">IFERROR(__xludf.DUMMYFUNCTION("""COMPUTED_VALUE"""),0)</f>
        <v>0</v>
      </c>
      <c r="K678" s="1" t="str">
        <f ca="1">IFERROR(__xludf.DUMMYFUNCTION("""COMPUTED_VALUE"""),"Spring")</f>
        <v>Spring</v>
      </c>
      <c r="L678" s="1" t="str">
        <f ca="1">IFERROR(__xludf.DUMMYFUNCTION("""COMPUTED_VALUE"""),"Forest Park")</f>
        <v>Forest Park</v>
      </c>
      <c r="M678" s="1" t="str">
        <f ca="1">IFERROR(__xludf.DUMMYFUNCTION("""COMPUTED_VALUE"""),"GA")</f>
        <v>GA</v>
      </c>
      <c r="N678" s="1" t="str">
        <f ca="1">IFERROR(__xludf.DUMMYFUNCTION("""COMPUTED_VALUE"""),"Middle")</f>
        <v>Middle</v>
      </c>
      <c r="O678" s="1" t="str">
        <f ca="1">IFERROR(__xludf.DUMMYFUNCTION("""COMPUTED_VALUE"""),"Office")</f>
        <v>Office</v>
      </c>
      <c r="P678" s="1" t="str">
        <f ca="1">IFERROR(__xludf.DUMMYFUNCTION("""COMPUTED_VALUE"""),"Inside School Building")</f>
        <v>Inside School Building</v>
      </c>
      <c r="Q678" s="1" t="str">
        <f ca="1">IFERROR(__xludf.DUMMYFUNCTION("""COMPUTED_VALUE"""),"No")</f>
        <v>No</v>
      </c>
      <c r="R678" s="1" t="str">
        <f ca="1">IFERROR(__xludf.DUMMYFUNCTION("""COMPUTED_VALUE"""),"Night")</f>
        <v>Night</v>
      </c>
      <c r="S678" s="1"/>
      <c r="T678" s="1">
        <f ca="1">IFERROR(__xludf.DUMMYFUNCTION("""COMPUTED_VALUE"""),1)</f>
        <v>1</v>
      </c>
      <c r="U678" s="1" t="str">
        <f ca="1">IFERROR(__xludf.DUMMYFUNCTION("""COMPUTED_VALUE"""),"Shots fired when school police confronted intruder")</f>
        <v>Shots fired when school police confronted intruder</v>
      </c>
      <c r="V678" s="1" t="str">
        <f ca="1">IFERROR(__xludf.DUMMYFUNCTION("""COMPUTED_VALUE"""),"Shot was fired while school police were investigating an alarm and intruder inside the office of the school after hours. No injury. Unclear if police or the intruder fired the shot.")</f>
        <v>Shot was fired while school police were investigating an alarm and intruder inside the office of the school after hours. No injury. Unclear if police or the intruder fired the shot.</v>
      </c>
      <c r="W678" s="1" t="str">
        <f ca="1">IFERROR(__xludf.DUMMYFUNCTION("""COMPUTED_VALUE"""),"Illegal Activity")</f>
        <v>Illegal Activity</v>
      </c>
      <c r="X678" s="1"/>
      <c r="Y678" s="1" t="str">
        <f ca="1">IFERROR(__xludf.DUMMYFUNCTION("""COMPUTED_VALUE"""),"No")</f>
        <v>No</v>
      </c>
      <c r="Z678" s="1"/>
      <c r="AA678" s="1" t="str">
        <f ca="1">IFERROR(__xludf.DUMMYFUNCTION("""COMPUTED_VALUE"""),"No")</f>
        <v>No</v>
      </c>
      <c r="AB678" s="1" t="str">
        <f ca="1">IFERROR(__xludf.DUMMYFUNCTION("""COMPUTED_VALUE"""),"No")</f>
        <v>No</v>
      </c>
      <c r="AC678" s="1" t="str">
        <f ca="1">IFERROR(__xludf.DUMMYFUNCTION("""COMPUTED_VALUE"""),"No")</f>
        <v>No</v>
      </c>
      <c r="AD678" s="1" t="str">
        <f ca="1">IFERROR(__xludf.DUMMYFUNCTION("""COMPUTED_VALUE"""),"No")</f>
        <v>No</v>
      </c>
      <c r="AE678" s="1" t="str">
        <f ca="1">IFERROR(__xludf.DUMMYFUNCTION("""COMPUTED_VALUE"""),"No")</f>
        <v>No</v>
      </c>
      <c r="AF678" s="1" t="str">
        <f ca="1">IFERROR(__xludf.DUMMYFUNCTION("""COMPUTED_VALUE"""),"No")</f>
        <v>No</v>
      </c>
      <c r="AG678" s="1" t="str">
        <f ca="1">IFERROR(__xludf.DUMMYFUNCTION("""COMPUTED_VALUE"""),"No")</f>
        <v>No</v>
      </c>
      <c r="AH678" s="1">
        <f ca="1">IFERROR(__xludf.DUMMYFUNCTION("""COMPUTED_VALUE"""),1)</f>
        <v>1</v>
      </c>
    </row>
    <row r="679" spans="1:34" ht="12.5">
      <c r="A679" s="1" t="str">
        <f ca="1">IFERROR(__xludf.DUMMYFUNCTION("""COMPUTED_VALUE"""),"20220314CAKRP")</f>
        <v>20220314CAKRP</v>
      </c>
      <c r="B679" s="1">
        <f ca="1">IFERROR(__xludf.DUMMYFUNCTION("""COMPUTED_VALUE"""),3)</f>
        <v>3</v>
      </c>
      <c r="C679" s="1">
        <f ca="1">IFERROR(__xludf.DUMMYFUNCTION("""COMPUTED_VALUE"""),14)</f>
        <v>14</v>
      </c>
      <c r="D679" s="1">
        <f ca="1">IFERROR(__xludf.DUMMYFUNCTION("""COMPUTED_VALUE"""),2022)</f>
        <v>2022</v>
      </c>
      <c r="E679" s="4">
        <f ca="1">IFERROR(__xludf.DUMMYFUNCTION("""COMPUTED_VALUE"""),44634)</f>
        <v>44634</v>
      </c>
      <c r="F679" s="1" t="str">
        <f ca="1">IFERROR(__xludf.DUMMYFUNCTION("""COMPUTED_VALUE"""),"Kraemer Middle School")</f>
        <v>Kraemer Middle School</v>
      </c>
      <c r="G679" s="1">
        <f ca="1">IFERROR(__xludf.DUMMYFUNCTION("""COMPUTED_VALUE"""),0)</f>
        <v>0</v>
      </c>
      <c r="H679" s="1">
        <f ca="1">IFERROR(__xludf.DUMMYFUNCTION("""COMPUTED_VALUE"""),0)</f>
        <v>0</v>
      </c>
      <c r="I679" s="1">
        <f ca="1">IFERROR(__xludf.DUMMYFUNCTION("""COMPUTED_VALUE"""),0)</f>
        <v>0</v>
      </c>
      <c r="J679" s="1">
        <f ca="1">IFERROR(__xludf.DUMMYFUNCTION("""COMPUTED_VALUE"""),1)</f>
        <v>1</v>
      </c>
      <c r="K679" s="1" t="str">
        <f ca="1">IFERROR(__xludf.DUMMYFUNCTION("""COMPUTED_VALUE"""),"Spring")</f>
        <v>Spring</v>
      </c>
      <c r="L679" s="1" t="str">
        <f ca="1">IFERROR(__xludf.DUMMYFUNCTION("""COMPUTED_VALUE"""),"Placentia")</f>
        <v>Placentia</v>
      </c>
      <c r="M679" s="1" t="str">
        <f ca="1">IFERROR(__xludf.DUMMYFUNCTION("""COMPUTED_VALUE"""),"CA")</f>
        <v>CA</v>
      </c>
      <c r="N679" s="1" t="str">
        <f ca="1">IFERROR(__xludf.DUMMYFUNCTION("""COMPUTED_VALUE"""),"Middle")</f>
        <v>Middle</v>
      </c>
      <c r="O679" s="1" t="str">
        <f ca="1">IFERROR(__xludf.DUMMYFUNCTION("""COMPUTED_VALUE"""),"Office")</f>
        <v>Office</v>
      </c>
      <c r="P679" s="1" t="str">
        <f ca="1">IFERROR(__xludf.DUMMYFUNCTION("""COMPUTED_VALUE"""),"Inside School Building")</f>
        <v>Inside School Building</v>
      </c>
      <c r="Q679" s="1" t="str">
        <f ca="1">IFERROR(__xludf.DUMMYFUNCTION("""COMPUTED_VALUE"""),"Yes")</f>
        <v>Yes</v>
      </c>
      <c r="R679" s="1" t="str">
        <f ca="1">IFERROR(__xludf.DUMMYFUNCTION("""COMPUTED_VALUE"""),"Morning Classes")</f>
        <v>Morning Classes</v>
      </c>
      <c r="S679" s="5">
        <f ca="1">IFERROR(__xludf.DUMMYFUNCTION("""COMPUTED_VALUE"""),0.375)</f>
        <v>0.375</v>
      </c>
      <c r="T679" s="1">
        <f ca="1">IFERROR(__xludf.DUMMYFUNCTION("""COMPUTED_VALUE"""),1)</f>
        <v>1</v>
      </c>
      <c r="U679" s="1" t="str">
        <f ca="1">IFERROR(__xludf.DUMMYFUNCTION("""COMPUTED_VALUE"""),"School administrator commit suicide with firearm in office during school")</f>
        <v>School administrator commit suicide with firearm in office during school</v>
      </c>
      <c r="V679" s="1" t="str">
        <f ca="1">IFERROR(__xludf.DUMMYFUNCTION("""COMPUTED_VALUE"""),"An adult school administrator commit suicide with a firearm in the bathroom of the school office during morning classes. School went on lockdown and then dismissed.")</f>
        <v>An adult school administrator commit suicide with a firearm in the bathroom of the school office during morning classes. School went on lockdown and then dismissed.</v>
      </c>
      <c r="W679" s="1" t="str">
        <f ca="1">IFERROR(__xludf.DUMMYFUNCTION("""COMPUTED_VALUE"""),"Suicide/Attempted")</f>
        <v>Suicide/Attempted</v>
      </c>
      <c r="X679" s="1" t="str">
        <f ca="1">IFERROR(__xludf.DUMMYFUNCTION("""COMPUTED_VALUE"""),"Victims Targeted")</f>
        <v>Victims Targeted</v>
      </c>
      <c r="Y679" s="1" t="str">
        <f ca="1">IFERROR(__xludf.DUMMYFUNCTION("""COMPUTED_VALUE"""),"No")</f>
        <v>No</v>
      </c>
      <c r="Z679" s="1" t="str">
        <f ca="1">IFERROR(__xludf.DUMMYFUNCTION("""COMPUTED_VALUE"""),"No")</f>
        <v>No</v>
      </c>
      <c r="AA679" s="1"/>
      <c r="AB679" s="1" t="str">
        <f ca="1">IFERROR(__xludf.DUMMYFUNCTION("""COMPUTED_VALUE"""),"No")</f>
        <v>No</v>
      </c>
      <c r="AC679" s="1" t="str">
        <f ca="1">IFERROR(__xludf.DUMMYFUNCTION("""COMPUTED_VALUE"""),"No")</f>
        <v>No</v>
      </c>
      <c r="AD679" s="1" t="str">
        <f ca="1">IFERROR(__xludf.DUMMYFUNCTION("""COMPUTED_VALUE"""),"No")</f>
        <v>No</v>
      </c>
      <c r="AE679" s="1" t="str">
        <f ca="1">IFERROR(__xludf.DUMMYFUNCTION("""COMPUTED_VALUE"""),"No")</f>
        <v>No</v>
      </c>
      <c r="AF679" s="1" t="str">
        <f ca="1">IFERROR(__xludf.DUMMYFUNCTION("""COMPUTED_VALUE"""),"No")</f>
        <v>No</v>
      </c>
      <c r="AG679" s="1" t="str">
        <f ca="1">IFERROR(__xludf.DUMMYFUNCTION("""COMPUTED_VALUE"""),"No")</f>
        <v>No</v>
      </c>
      <c r="AH679" s="1">
        <f ca="1">IFERROR(__xludf.DUMMYFUNCTION("""COMPUTED_VALUE"""),1)</f>
        <v>1</v>
      </c>
    </row>
    <row r="680" spans="1:34" ht="12.5">
      <c r="A680" s="1" t="str">
        <f ca="1">IFERROR(__xludf.DUMMYFUNCTION("""COMPUTED_VALUE"""),"20220313PANEP")</f>
        <v>20220313PANEP</v>
      </c>
      <c r="B680" s="1">
        <f ca="1">IFERROR(__xludf.DUMMYFUNCTION("""COMPUTED_VALUE"""),3)</f>
        <v>3</v>
      </c>
      <c r="C680" s="1">
        <f ca="1">IFERROR(__xludf.DUMMYFUNCTION("""COMPUTED_VALUE"""),13)</f>
        <v>13</v>
      </c>
      <c r="D680" s="1">
        <f ca="1">IFERROR(__xludf.DUMMYFUNCTION("""COMPUTED_VALUE"""),2022)</f>
        <v>2022</v>
      </c>
      <c r="E680" s="4">
        <f ca="1">IFERROR(__xludf.DUMMYFUNCTION("""COMPUTED_VALUE"""),44633)</f>
        <v>44633</v>
      </c>
      <c r="F680" s="1" t="str">
        <f ca="1">IFERROR(__xludf.DUMMYFUNCTION("""COMPUTED_VALUE"""),"New Foundations Charter School")</f>
        <v>New Foundations Charter School</v>
      </c>
      <c r="G680" s="1">
        <f ca="1">IFERROR(__xludf.DUMMYFUNCTION("""COMPUTED_VALUE"""),0)</f>
        <v>0</v>
      </c>
      <c r="H680" s="1">
        <f ca="1">IFERROR(__xludf.DUMMYFUNCTION("""COMPUTED_VALUE"""),0)</f>
        <v>0</v>
      </c>
      <c r="I680" s="1">
        <f ca="1">IFERROR(__xludf.DUMMYFUNCTION("""COMPUTED_VALUE"""),0)</f>
        <v>0</v>
      </c>
      <c r="J680" s="1">
        <f ca="1">IFERROR(__xludf.DUMMYFUNCTION("""COMPUTED_VALUE"""),0)</f>
        <v>0</v>
      </c>
      <c r="K680" s="1" t="str">
        <f ca="1">IFERROR(__xludf.DUMMYFUNCTION("""COMPUTED_VALUE"""),"Spring")</f>
        <v>Spring</v>
      </c>
      <c r="L680" s="1" t="str">
        <f ca="1">IFERROR(__xludf.DUMMYFUNCTION("""COMPUTED_VALUE"""),"Philadelphia")</f>
        <v>Philadelphia</v>
      </c>
      <c r="M680" s="1" t="str">
        <f ca="1">IFERROR(__xludf.DUMMYFUNCTION("""COMPUTED_VALUE"""),"PA")</f>
        <v>PA</v>
      </c>
      <c r="N680" s="1" t="str">
        <f ca="1">IFERROR(__xludf.DUMMYFUNCTION("""COMPUTED_VALUE"""),"K-8")</f>
        <v>K-8</v>
      </c>
      <c r="O680" s="1" t="str">
        <f ca="1">IFERROR(__xludf.DUMMYFUNCTION("""COMPUTED_VALUE"""),"Classroom")</f>
        <v>Classroom</v>
      </c>
      <c r="P680" s="1" t="str">
        <f ca="1">IFERROR(__xludf.DUMMYFUNCTION("""COMPUTED_VALUE"""),"Both Inside/Outside")</f>
        <v>Both Inside/Outside</v>
      </c>
      <c r="Q680" s="1" t="str">
        <f ca="1">IFERROR(__xludf.DUMMYFUNCTION("""COMPUTED_VALUE"""),"No")</f>
        <v>No</v>
      </c>
      <c r="R680" s="1" t="str">
        <f ca="1">IFERROR(__xludf.DUMMYFUNCTION("""COMPUTED_VALUE"""),"Not a School Day")</f>
        <v>Not a School Day</v>
      </c>
      <c r="S680" s="1"/>
      <c r="T680" s="1">
        <f ca="1">IFERROR(__xludf.DUMMYFUNCTION("""COMPUTED_VALUE"""),1)</f>
        <v>1</v>
      </c>
      <c r="U680" s="1" t="str">
        <f ca="1">IFERROR(__xludf.DUMMYFUNCTION("""COMPUTED_VALUE"""),"Classroom window broken by gunshot, bullet found in classroom")</f>
        <v>Classroom window broken by gunshot, bullet found in classroom</v>
      </c>
      <c r="V680" s="1" t="str">
        <f ca="1">IFERROR(__xludf.DUMMYFUNCTION("""COMPUTED_VALUE"""),"A bullet was found inside a classroom. Window was shattered. Police believe the shot was fired over the weekend and found by staff on Monday morning.")</f>
        <v>A bullet was found inside a classroom. Window was shattered. Police believe the shot was fired over the weekend and found by staff on Monday morning.</v>
      </c>
      <c r="W680" s="1"/>
      <c r="X680" s="1"/>
      <c r="Y680" s="1" t="str">
        <f ca="1">IFERROR(__xludf.DUMMYFUNCTION("""COMPUTED_VALUE"""),"No")</f>
        <v>No</v>
      </c>
      <c r="Z680" s="1"/>
      <c r="AA680" s="1" t="str">
        <f ca="1">IFERROR(__xludf.DUMMYFUNCTION("""COMPUTED_VALUE"""),"No")</f>
        <v>No</v>
      </c>
      <c r="AB680" s="1" t="str">
        <f ca="1">IFERROR(__xludf.DUMMYFUNCTION("""COMPUTED_VALUE"""),"No")</f>
        <v>No</v>
      </c>
      <c r="AC680" s="1" t="str">
        <f ca="1">IFERROR(__xludf.DUMMYFUNCTION("""COMPUTED_VALUE"""),"No")</f>
        <v>No</v>
      </c>
      <c r="AD680" s="1" t="str">
        <f ca="1">IFERROR(__xludf.DUMMYFUNCTION("""COMPUTED_VALUE"""),"No")</f>
        <v>No</v>
      </c>
      <c r="AE680" s="1" t="str">
        <f ca="1">IFERROR(__xludf.DUMMYFUNCTION("""COMPUTED_VALUE"""),"No")</f>
        <v>No</v>
      </c>
      <c r="AF680" s="1"/>
      <c r="AG680" s="1" t="str">
        <f ca="1">IFERROR(__xludf.DUMMYFUNCTION("""COMPUTED_VALUE"""),"No")</f>
        <v>No</v>
      </c>
      <c r="AH680" s="1"/>
    </row>
    <row r="681" spans="1:34" ht="12.5">
      <c r="A681" s="1" t="str">
        <f ca="1">IFERROR(__xludf.DUMMYFUNCTION("""COMPUTED_VALUE"""),"20220311WIJER")</f>
        <v>20220311WIJER</v>
      </c>
      <c r="B681" s="1">
        <f ca="1">IFERROR(__xludf.DUMMYFUNCTION("""COMPUTED_VALUE"""),3)</f>
        <v>3</v>
      </c>
      <c r="C681" s="1">
        <f ca="1">IFERROR(__xludf.DUMMYFUNCTION("""COMPUTED_VALUE"""),11)</f>
        <v>11</v>
      </c>
      <c r="D681" s="1">
        <f ca="1">IFERROR(__xludf.DUMMYFUNCTION("""COMPUTED_VALUE"""),2022)</f>
        <v>2022</v>
      </c>
      <c r="E681" s="4">
        <f ca="1">IFERROR(__xludf.DUMMYFUNCTION("""COMPUTED_VALUE"""),44631)</f>
        <v>44631</v>
      </c>
      <c r="F681" s="1" t="str">
        <f ca="1">IFERROR(__xludf.DUMMYFUNCTION("""COMPUTED_VALUE"""),"Jerstad-Agerholm Elementary School")</f>
        <v>Jerstad-Agerholm Elementary School</v>
      </c>
      <c r="G681" s="1">
        <f ca="1">IFERROR(__xludf.DUMMYFUNCTION("""COMPUTED_VALUE"""),0)</f>
        <v>0</v>
      </c>
      <c r="H681" s="1">
        <f ca="1">IFERROR(__xludf.DUMMYFUNCTION("""COMPUTED_VALUE"""),0)</f>
        <v>0</v>
      </c>
      <c r="I681" s="1">
        <f ca="1">IFERROR(__xludf.DUMMYFUNCTION("""COMPUTED_VALUE"""),0)</f>
        <v>0</v>
      </c>
      <c r="J681" s="1">
        <f ca="1">IFERROR(__xludf.DUMMYFUNCTION("""COMPUTED_VALUE"""),0)</f>
        <v>0</v>
      </c>
      <c r="K681" s="1" t="str">
        <f ca="1">IFERROR(__xludf.DUMMYFUNCTION("""COMPUTED_VALUE"""),"Spring")</f>
        <v>Spring</v>
      </c>
      <c r="L681" s="1" t="str">
        <f ca="1">IFERROR(__xludf.DUMMYFUNCTION("""COMPUTED_VALUE"""),"Racine")</f>
        <v>Racine</v>
      </c>
      <c r="M681" s="1" t="str">
        <f ca="1">IFERROR(__xludf.DUMMYFUNCTION("""COMPUTED_VALUE"""),"WI")</f>
        <v>WI</v>
      </c>
      <c r="N681" s="1" t="str">
        <f ca="1">IFERROR(__xludf.DUMMYFUNCTION("""COMPUTED_VALUE"""),"Elementary")</f>
        <v>Elementary</v>
      </c>
      <c r="O681" s="1" t="str">
        <f ca="1">IFERROR(__xludf.DUMMYFUNCTION("""COMPUTED_VALUE"""),"Bathroom")</f>
        <v>Bathroom</v>
      </c>
      <c r="P681" s="1" t="str">
        <f ca="1">IFERROR(__xludf.DUMMYFUNCTION("""COMPUTED_VALUE"""),"Inside School Building")</f>
        <v>Inside School Building</v>
      </c>
      <c r="Q681" s="1" t="str">
        <f ca="1">IFERROR(__xludf.DUMMYFUNCTION("""COMPUTED_VALUE"""),"Yes")</f>
        <v>Yes</v>
      </c>
      <c r="R681" s="1"/>
      <c r="S681" s="1"/>
      <c r="T681" s="1">
        <f ca="1">IFERROR(__xludf.DUMMYFUNCTION("""COMPUTED_VALUE"""),1)</f>
        <v>1</v>
      </c>
      <c r="U681" s="1" t="str">
        <f ca="1">IFERROR(__xludf.DUMMYFUNCTION("""COMPUTED_VALUE"""),"Student fired shot inside school bathroom")</f>
        <v>Student fired shot inside school bathroom</v>
      </c>
      <c r="V681" s="1" t="str">
        <f ca="1">IFERROR(__xludf.DUMMYFUNCTION("""COMPUTED_VALUE"""),"An elementary school student (age not released) fired a shot into the floor inside the school bathroom. Two students were arrested.")</f>
        <v>An elementary school student (age not released) fired a shot into the floor inside the school bathroom. Two students were arrested.</v>
      </c>
      <c r="W681" s="1" t="str">
        <f ca="1">IFERROR(__xludf.DUMMYFUNCTION("""COMPUTED_VALUE"""),"Accidental")</f>
        <v>Accidental</v>
      </c>
      <c r="X681" s="1" t="str">
        <f ca="1">IFERROR(__xludf.DUMMYFUNCTION("""COMPUTED_VALUE"""),"Neither")</f>
        <v>Neither</v>
      </c>
      <c r="Y681" s="1" t="str">
        <f ca="1">IFERROR(__xludf.DUMMYFUNCTION("""COMPUTED_VALUE"""),"Yes")</f>
        <v>Yes</v>
      </c>
      <c r="Z681" s="1" t="str">
        <f ca="1">IFERROR(__xludf.DUMMYFUNCTION("""COMPUTED_VALUE"""),"Two students arrested")</f>
        <v>Two students arrested</v>
      </c>
      <c r="AA681" s="1" t="str">
        <f ca="1">IFERROR(__xludf.DUMMYFUNCTION("""COMPUTED_VALUE"""),"No")</f>
        <v>No</v>
      </c>
      <c r="AB681" s="1" t="str">
        <f ca="1">IFERROR(__xludf.DUMMYFUNCTION("""COMPUTED_VALUE"""),"No")</f>
        <v>No</v>
      </c>
      <c r="AC681" s="1" t="str">
        <f ca="1">IFERROR(__xludf.DUMMYFUNCTION("""COMPUTED_VALUE"""),"No")</f>
        <v>No</v>
      </c>
      <c r="AD681" s="1" t="str">
        <f ca="1">IFERROR(__xludf.DUMMYFUNCTION("""COMPUTED_VALUE"""),"No")</f>
        <v>No</v>
      </c>
      <c r="AE681" s="1" t="str">
        <f ca="1">IFERROR(__xludf.DUMMYFUNCTION("""COMPUTED_VALUE"""),"No")</f>
        <v>No</v>
      </c>
      <c r="AF681" s="1" t="str">
        <f ca="1">IFERROR(__xludf.DUMMYFUNCTION("""COMPUTED_VALUE"""),"No")</f>
        <v>No</v>
      </c>
      <c r="AG681" s="1" t="str">
        <f ca="1">IFERROR(__xludf.DUMMYFUNCTION("""COMPUTED_VALUE"""),"No")</f>
        <v>No</v>
      </c>
      <c r="AH681" s="1">
        <f ca="1">IFERROR(__xludf.DUMMYFUNCTION("""COMPUTED_VALUE"""),1)</f>
        <v>1</v>
      </c>
    </row>
    <row r="682" spans="1:34" ht="12.5">
      <c r="A682" s="1" t="str">
        <f ca="1">IFERROR(__xludf.DUMMYFUNCTION("""COMPUTED_VALUE"""),"20220311OHMAM")</f>
        <v>20220311OHMAM</v>
      </c>
      <c r="B682" s="1">
        <f ca="1">IFERROR(__xludf.DUMMYFUNCTION("""COMPUTED_VALUE"""),3)</f>
        <v>3</v>
      </c>
      <c r="C682" s="1">
        <f ca="1">IFERROR(__xludf.DUMMYFUNCTION("""COMPUTED_VALUE"""),18)</f>
        <v>18</v>
      </c>
      <c r="D682" s="1">
        <f ca="1">IFERROR(__xludf.DUMMYFUNCTION("""COMPUTED_VALUE"""),2022)</f>
        <v>2022</v>
      </c>
      <c r="E682" s="4">
        <f ca="1">IFERROR(__xludf.DUMMYFUNCTION("""COMPUTED_VALUE"""),44638)</f>
        <v>44638</v>
      </c>
      <c r="F682" s="1" t="str">
        <f ca="1">IFERROR(__xludf.DUMMYFUNCTION("""COMPUTED_VALUE"""),"Madison High School")</f>
        <v>Madison High School</v>
      </c>
      <c r="G682" s="1">
        <f ca="1">IFERROR(__xludf.DUMMYFUNCTION("""COMPUTED_VALUE"""),0)</f>
        <v>0</v>
      </c>
      <c r="H682" s="1">
        <f ca="1">IFERROR(__xludf.DUMMYFUNCTION("""COMPUTED_VALUE"""),0)</f>
        <v>0</v>
      </c>
      <c r="I682" s="1">
        <f ca="1">IFERROR(__xludf.DUMMYFUNCTION("""COMPUTED_VALUE"""),0)</f>
        <v>0</v>
      </c>
      <c r="J682" s="1">
        <f ca="1">IFERROR(__xludf.DUMMYFUNCTION("""COMPUTED_VALUE"""),0)</f>
        <v>0</v>
      </c>
      <c r="K682" s="1" t="str">
        <f ca="1">IFERROR(__xludf.DUMMYFUNCTION("""COMPUTED_VALUE"""),"Spring")</f>
        <v>Spring</v>
      </c>
      <c r="L682" s="1" t="str">
        <f ca="1">IFERROR(__xludf.DUMMYFUNCTION("""COMPUTED_VALUE"""),"Mansfield")</f>
        <v>Mansfield</v>
      </c>
      <c r="M682" s="1" t="str">
        <f ca="1">IFERROR(__xludf.DUMMYFUNCTION("""COMPUTED_VALUE"""),"OH")</f>
        <v>OH</v>
      </c>
      <c r="N682" s="1" t="str">
        <f ca="1">IFERROR(__xludf.DUMMYFUNCTION("""COMPUTED_VALUE"""),"High")</f>
        <v>High</v>
      </c>
      <c r="O682" s="1" t="str">
        <f ca="1">IFERROR(__xludf.DUMMYFUNCTION("""COMPUTED_VALUE"""),"School Bus")</f>
        <v>School Bus</v>
      </c>
      <c r="P682" s="1" t="str">
        <f ca="1">IFERROR(__xludf.DUMMYFUNCTION("""COMPUTED_VALUE"""),"School Bus")</f>
        <v>School Bus</v>
      </c>
      <c r="Q682" s="1" t="str">
        <f ca="1">IFERROR(__xludf.DUMMYFUNCTION("""COMPUTED_VALUE"""),"Yes")</f>
        <v>Yes</v>
      </c>
      <c r="R682" s="1" t="str">
        <f ca="1">IFERROR(__xludf.DUMMYFUNCTION("""COMPUTED_VALUE"""),"Morning Classes")</f>
        <v>Morning Classes</v>
      </c>
      <c r="S682" s="5">
        <f ca="1">IFERROR(__xludf.DUMMYFUNCTION("""COMPUTED_VALUE"""),0.416666666666666)</f>
        <v>0.41666666666666602</v>
      </c>
      <c r="T682" s="1">
        <f ca="1">IFERROR(__xludf.DUMMYFUNCTION("""COMPUTED_VALUE"""),1)</f>
        <v>1</v>
      </c>
      <c r="U682" s="1" t="str">
        <f ca="1">IFERROR(__xludf.DUMMYFUNCTION("""COMPUTED_VALUE"""),"School van with coach and 4 students was struck by a bullet while driving")</f>
        <v>School van with coach and 4 students was struck by a bullet while driving</v>
      </c>
      <c r="V682" s="1" t="str">
        <f ca="1">IFERROR(__xludf.DUMMYFUNCTION("""COMPUTED_VALUE"""),"A school van driven by the wrestling coach with 4 students inside was struck by a bullet while driving to a tournament on I-71. Man was running down the highway and fired shots at multiple vehicles. When vehicles stopped, he fired at a car with parents be"&amp;"hind the bus. Shooter was injured by police during shootout and then arrested..")</f>
        <v>A school van driven by the wrestling coach with 4 students inside was struck by a bullet while driving to a tournament on I-71. Man was running down the highway and fired shots at multiple vehicles. When vehicles stopped, he fired at a car with parents behind the bus. Shooter was injured by police during shootout and then arrested..</v>
      </c>
      <c r="W682" s="1" t="str">
        <f ca="1">IFERROR(__xludf.DUMMYFUNCTION("""COMPUTED_VALUE"""),"Indiscriminate Shooting")</f>
        <v>Indiscriminate Shooting</v>
      </c>
      <c r="X682" s="1" t="str">
        <f ca="1">IFERROR(__xludf.DUMMYFUNCTION("""COMPUTED_VALUE"""),"Random Shooting")</f>
        <v>Random Shooting</v>
      </c>
      <c r="Y682" s="1" t="str">
        <f ca="1">IFERROR(__xludf.DUMMYFUNCTION("""COMPUTED_VALUE"""),"No")</f>
        <v>No</v>
      </c>
      <c r="Z682" s="1"/>
      <c r="AA682" s="1" t="str">
        <f ca="1">IFERROR(__xludf.DUMMYFUNCTION("""COMPUTED_VALUE"""),"No")</f>
        <v>No</v>
      </c>
      <c r="AB682" s="1" t="str">
        <f ca="1">IFERROR(__xludf.DUMMYFUNCTION("""COMPUTED_VALUE"""),"No")</f>
        <v>No</v>
      </c>
      <c r="AC682" s="1" t="str">
        <f ca="1">IFERROR(__xludf.DUMMYFUNCTION("""COMPUTED_VALUE"""),"No")</f>
        <v>No</v>
      </c>
      <c r="AD682" s="1" t="str">
        <f ca="1">IFERROR(__xludf.DUMMYFUNCTION("""COMPUTED_VALUE"""),"No")</f>
        <v>No</v>
      </c>
      <c r="AE682" s="1" t="str">
        <f ca="1">IFERROR(__xludf.DUMMYFUNCTION("""COMPUTED_VALUE"""),"No")</f>
        <v>No</v>
      </c>
      <c r="AF682" s="1" t="str">
        <f ca="1">IFERROR(__xludf.DUMMYFUNCTION("""COMPUTED_VALUE"""),"No")</f>
        <v>No</v>
      </c>
      <c r="AG682" s="1" t="str">
        <f ca="1">IFERROR(__xludf.DUMMYFUNCTION("""COMPUTED_VALUE"""),"No")</f>
        <v>No</v>
      </c>
      <c r="AH682" s="1"/>
    </row>
    <row r="683" spans="1:34" ht="12.5">
      <c r="A683" s="1" t="str">
        <f ca="1">IFERROR(__xludf.DUMMYFUNCTION("""COMPUTED_VALUE"""),"20220311OHFAP")</f>
        <v>20220311OHFAP</v>
      </c>
      <c r="B683" s="1">
        <f ca="1">IFERROR(__xludf.DUMMYFUNCTION("""COMPUTED_VALUE"""),3)</f>
        <v>3</v>
      </c>
      <c r="C683" s="1">
        <f ca="1">IFERROR(__xludf.DUMMYFUNCTION("""COMPUTED_VALUE"""),11)</f>
        <v>11</v>
      </c>
      <c r="D683" s="1">
        <f ca="1">IFERROR(__xludf.DUMMYFUNCTION("""COMPUTED_VALUE"""),2022)</f>
        <v>2022</v>
      </c>
      <c r="E683" s="4">
        <f ca="1">IFERROR(__xludf.DUMMYFUNCTION("""COMPUTED_VALUE"""),44631)</f>
        <v>44631</v>
      </c>
      <c r="F683" s="1" t="str">
        <f ca="1">IFERROR(__xludf.DUMMYFUNCTION("""COMPUTED_VALUE"""),"Fairland Middle School")</f>
        <v>Fairland Middle School</v>
      </c>
      <c r="G683" s="1">
        <f ca="1">IFERROR(__xludf.DUMMYFUNCTION("""COMPUTED_VALUE"""),0)</f>
        <v>0</v>
      </c>
      <c r="H683" s="1">
        <f ca="1">IFERROR(__xludf.DUMMYFUNCTION("""COMPUTED_VALUE"""),0)</f>
        <v>0</v>
      </c>
      <c r="I683" s="1">
        <f ca="1">IFERROR(__xludf.DUMMYFUNCTION("""COMPUTED_VALUE"""),0)</f>
        <v>0</v>
      </c>
      <c r="J683" s="1">
        <f ca="1">IFERROR(__xludf.DUMMYFUNCTION("""COMPUTED_VALUE"""),0)</f>
        <v>0</v>
      </c>
      <c r="K683" s="1" t="str">
        <f ca="1">IFERROR(__xludf.DUMMYFUNCTION("""COMPUTED_VALUE"""),"Spring")</f>
        <v>Spring</v>
      </c>
      <c r="L683" s="1" t="str">
        <f ca="1">IFERROR(__xludf.DUMMYFUNCTION("""COMPUTED_VALUE"""),"Proctorville")</f>
        <v>Proctorville</v>
      </c>
      <c r="M683" s="1" t="str">
        <f ca="1">IFERROR(__xludf.DUMMYFUNCTION("""COMPUTED_VALUE"""),"OH")</f>
        <v>OH</v>
      </c>
      <c r="N683" s="1" t="str">
        <f ca="1">IFERROR(__xludf.DUMMYFUNCTION("""COMPUTED_VALUE"""),"Middle")</f>
        <v>Middle</v>
      </c>
      <c r="O683" s="1" t="str">
        <f ca="1">IFERROR(__xludf.DUMMYFUNCTION("""COMPUTED_VALUE"""),"Outside on School Property")</f>
        <v>Outside on School Property</v>
      </c>
      <c r="P683" s="1" t="str">
        <f ca="1">IFERROR(__xludf.DUMMYFUNCTION("""COMPUTED_VALUE"""),"Off School Property")</f>
        <v>Off School Property</v>
      </c>
      <c r="Q683" s="1" t="str">
        <f ca="1">IFERROR(__xludf.DUMMYFUNCTION("""COMPUTED_VALUE"""),"Yes")</f>
        <v>Yes</v>
      </c>
      <c r="R683" s="1" t="str">
        <f ca="1">IFERROR(__xludf.DUMMYFUNCTION("""COMPUTED_VALUE"""),"Lunch")</f>
        <v>Lunch</v>
      </c>
      <c r="S683" s="5">
        <f ca="1">IFERROR(__xludf.DUMMYFUNCTION("""COMPUTED_VALUE"""),0.5)</f>
        <v>0.5</v>
      </c>
      <c r="T683" s="1">
        <f ca="1">IFERROR(__xludf.DUMMYFUNCTION("""COMPUTED_VALUE"""),1)</f>
        <v>1</v>
      </c>
      <c r="U683" s="1" t="str">
        <f ca="1">IFERROR(__xludf.DUMMYFUNCTION("""COMPUTED_VALUE"""),"Fair employee fired three shots at fleeing robber climbing fence to school property")</f>
        <v>Fair employee fired three shots at fleeing robber climbing fence to school property</v>
      </c>
      <c r="V683" s="1" t="str">
        <f ca="1">IFERROR(__xludf.DUMMYFUNCTION("""COMPUTED_VALUE"""),"A man attempted to rob a trailer at the state fairground next to the school. A fair employee chased him and when he tried to climb the fence between the fairground and neighboring school, the employee fired 3 shots at him. School went into lockdown. Fair "&amp;"employee charged with firing a weapon in a school zone.")</f>
        <v>A man attempted to rob a trailer at the state fairground next to the school. A fair employee chased him and when he tried to climb the fence between the fairground and neighboring school, the employee fired 3 shots at him. School went into lockdown. Fair employee charged with firing a weapon in a school zone.</v>
      </c>
      <c r="W683" s="1" t="str">
        <f ca="1">IFERROR(__xludf.DUMMYFUNCTION("""COMPUTED_VALUE"""),"Illegal Activity")</f>
        <v>Illegal Activity</v>
      </c>
      <c r="X683" s="1" t="str">
        <f ca="1">IFERROR(__xludf.DUMMYFUNCTION("""COMPUTED_VALUE"""),"Victims Targeted")</f>
        <v>Victims Targeted</v>
      </c>
      <c r="Y683" s="1" t="str">
        <f ca="1">IFERROR(__xludf.DUMMYFUNCTION("""COMPUTED_VALUE"""),"No")</f>
        <v>No</v>
      </c>
      <c r="Z683" s="1"/>
      <c r="AA683" s="1" t="str">
        <f ca="1">IFERROR(__xludf.DUMMYFUNCTION("""COMPUTED_VALUE"""),"No")</f>
        <v>No</v>
      </c>
      <c r="AB683" s="1" t="str">
        <f ca="1">IFERROR(__xludf.DUMMYFUNCTION("""COMPUTED_VALUE"""),"No")</f>
        <v>No</v>
      </c>
      <c r="AC683" s="1" t="str">
        <f ca="1">IFERROR(__xludf.DUMMYFUNCTION("""COMPUTED_VALUE"""),"No")</f>
        <v>No</v>
      </c>
      <c r="AD683" s="1" t="str">
        <f ca="1">IFERROR(__xludf.DUMMYFUNCTION("""COMPUTED_VALUE"""),"No")</f>
        <v>No</v>
      </c>
      <c r="AE683" s="1" t="str">
        <f ca="1">IFERROR(__xludf.DUMMYFUNCTION("""COMPUTED_VALUE"""),"No")</f>
        <v>No</v>
      </c>
      <c r="AF683" s="1" t="str">
        <f ca="1">IFERROR(__xludf.DUMMYFUNCTION("""COMPUTED_VALUE"""),"No")</f>
        <v>No</v>
      </c>
      <c r="AG683" s="1" t="str">
        <f ca="1">IFERROR(__xludf.DUMMYFUNCTION("""COMPUTED_VALUE"""),"No")</f>
        <v>No</v>
      </c>
      <c r="AH683" s="1">
        <f ca="1">IFERROR(__xludf.DUMMYFUNCTION("""COMPUTED_VALUE"""),3)</f>
        <v>3</v>
      </c>
    </row>
    <row r="684" spans="1:34" ht="12.5">
      <c r="A684" s="1" t="str">
        <f ca="1">IFERROR(__xludf.DUMMYFUNCTION("""COMPUTED_VALUE"""),"20220311CADER")</f>
        <v>20220311CADER</v>
      </c>
      <c r="B684" s="1">
        <f ca="1">IFERROR(__xludf.DUMMYFUNCTION("""COMPUTED_VALUE"""),3)</f>
        <v>3</v>
      </c>
      <c r="C684" s="1">
        <f ca="1">IFERROR(__xludf.DUMMYFUNCTION("""COMPUTED_VALUE"""),11)</f>
        <v>11</v>
      </c>
      <c r="D684" s="1">
        <f ca="1">IFERROR(__xludf.DUMMYFUNCTION("""COMPUTED_VALUE"""),2022)</f>
        <v>2022</v>
      </c>
      <c r="E684" s="4">
        <f ca="1">IFERROR(__xludf.DUMMYFUNCTION("""COMPUTED_VALUE"""),44631)</f>
        <v>44631</v>
      </c>
      <c r="F684" s="1" t="str">
        <f ca="1">IFERROR(__xludf.DUMMYFUNCTION("""COMPUTED_VALUE"""),"De Anza High School")</f>
        <v>De Anza High School</v>
      </c>
      <c r="G684" s="1">
        <f ca="1">IFERROR(__xludf.DUMMYFUNCTION("""COMPUTED_VALUE"""),0)</f>
        <v>0</v>
      </c>
      <c r="H684" s="1">
        <f ca="1">IFERROR(__xludf.DUMMYFUNCTION("""COMPUTED_VALUE"""),1)</f>
        <v>1</v>
      </c>
      <c r="I684" s="1">
        <f ca="1">IFERROR(__xludf.DUMMYFUNCTION("""COMPUTED_VALUE"""),1)</f>
        <v>1</v>
      </c>
      <c r="J684" s="1">
        <f ca="1">IFERROR(__xludf.DUMMYFUNCTION("""COMPUTED_VALUE"""),0)</f>
        <v>0</v>
      </c>
      <c r="K684" s="1" t="str">
        <f ca="1">IFERROR(__xludf.DUMMYFUNCTION("""COMPUTED_VALUE"""),"Spring")</f>
        <v>Spring</v>
      </c>
      <c r="L684" s="1" t="str">
        <f ca="1">IFERROR(__xludf.DUMMYFUNCTION("""COMPUTED_VALUE"""),"Richmond")</f>
        <v>Richmond</v>
      </c>
      <c r="M684" s="1" t="str">
        <f ca="1">IFERROR(__xludf.DUMMYFUNCTION("""COMPUTED_VALUE"""),"CA")</f>
        <v>CA</v>
      </c>
      <c r="N684" s="1" t="str">
        <f ca="1">IFERROR(__xludf.DUMMYFUNCTION("""COMPUTED_VALUE"""),"High")</f>
        <v>High</v>
      </c>
      <c r="O684" s="1" t="str">
        <f ca="1">IFERROR(__xludf.DUMMYFUNCTION("""COMPUTED_VALUE"""),"Outside on School Property")</f>
        <v>Outside on School Property</v>
      </c>
      <c r="P684" s="1" t="str">
        <f ca="1">IFERROR(__xludf.DUMMYFUNCTION("""COMPUTED_VALUE"""),"Outside on School Property")</f>
        <v>Outside on School Property</v>
      </c>
      <c r="Q684" s="1" t="str">
        <f ca="1">IFERROR(__xludf.DUMMYFUNCTION("""COMPUTED_VALUE"""),"Yes")</f>
        <v>Yes</v>
      </c>
      <c r="R684" s="1" t="str">
        <f ca="1">IFERROR(__xludf.DUMMYFUNCTION("""COMPUTED_VALUE"""),"Dismissal")</f>
        <v>Dismissal</v>
      </c>
      <c r="S684" s="5">
        <f ca="1">IFERROR(__xludf.DUMMYFUNCTION("""COMPUTED_VALUE"""),0.625)</f>
        <v>0.625</v>
      </c>
      <c r="T684" s="1">
        <f ca="1">IFERROR(__xludf.DUMMYFUNCTION("""COMPUTED_VALUE"""),1)</f>
        <v>1</v>
      </c>
      <c r="U684" s="1" t="str">
        <f ca="1">IFERROR(__xludf.DUMMYFUNCTION("""COMPUTED_VALUE"""),"Shots fired during fight at dismissal")</f>
        <v>Shots fired during fight at dismissal</v>
      </c>
      <c r="V684" s="1" t="str">
        <f ca="1">IFERROR(__xludf.DUMMYFUNCTION("""COMPUTED_VALUE"""),"Shots fired during a fight at dismissal. No students or staff were struck. One student was injured from the fight. Shooter fled.")</f>
        <v>Shots fired during a fight at dismissal. No students or staff were struck. One student was injured from the fight. Shooter fled.</v>
      </c>
      <c r="W684" s="1" t="str">
        <f ca="1">IFERROR(__xludf.DUMMYFUNCTION("""COMPUTED_VALUE"""),"Escalation of Dispute")</f>
        <v>Escalation of Dispute</v>
      </c>
      <c r="X684" s="1" t="str">
        <f ca="1">IFERROR(__xludf.DUMMYFUNCTION("""COMPUTED_VALUE"""),"Both")</f>
        <v>Both</v>
      </c>
      <c r="Y684" s="1" t="str">
        <f ca="1">IFERROR(__xludf.DUMMYFUNCTION("""COMPUTED_VALUE"""),"No")</f>
        <v>No</v>
      </c>
      <c r="Z684" s="1"/>
      <c r="AA684" s="1" t="str">
        <f ca="1">IFERROR(__xludf.DUMMYFUNCTION("""COMPUTED_VALUE"""),"No")</f>
        <v>No</v>
      </c>
      <c r="AB684" s="1" t="str">
        <f ca="1">IFERROR(__xludf.DUMMYFUNCTION("""COMPUTED_VALUE"""),"No")</f>
        <v>No</v>
      </c>
      <c r="AC684" s="1" t="str">
        <f ca="1">IFERROR(__xludf.DUMMYFUNCTION("""COMPUTED_VALUE"""),"No")</f>
        <v>No</v>
      </c>
      <c r="AD684" s="1" t="str">
        <f ca="1">IFERROR(__xludf.DUMMYFUNCTION("""COMPUTED_VALUE"""),"No")</f>
        <v>No</v>
      </c>
      <c r="AE684" s="1" t="str">
        <f ca="1">IFERROR(__xludf.DUMMYFUNCTION("""COMPUTED_VALUE"""),"No")</f>
        <v>No</v>
      </c>
      <c r="AF684" s="1"/>
      <c r="AG684" s="1" t="str">
        <f ca="1">IFERROR(__xludf.DUMMYFUNCTION("""COMPUTED_VALUE"""),"No")</f>
        <v>No</v>
      </c>
      <c r="AH684" s="1">
        <f ca="1">IFERROR(__xludf.DUMMYFUNCTION("""COMPUTED_VALUE"""),99)</f>
        <v>99</v>
      </c>
    </row>
    <row r="685" spans="1:34" ht="12.5">
      <c r="A685" s="1" t="str">
        <f ca="1">IFERROR(__xludf.DUMMYFUNCTION("""COMPUTED_VALUE"""),"20220310TNHAM")</f>
        <v>20220310TNHAM</v>
      </c>
      <c r="B685" s="1">
        <f ca="1">IFERROR(__xludf.DUMMYFUNCTION("""COMPUTED_VALUE"""),3)</f>
        <v>3</v>
      </c>
      <c r="C685" s="1">
        <f ca="1">IFERROR(__xludf.DUMMYFUNCTION("""COMPUTED_VALUE"""),10)</f>
        <v>10</v>
      </c>
      <c r="D685" s="1">
        <f ca="1">IFERROR(__xludf.DUMMYFUNCTION("""COMPUTED_VALUE"""),2022)</f>
        <v>2022</v>
      </c>
      <c r="E685" s="4">
        <f ca="1">IFERROR(__xludf.DUMMYFUNCTION("""COMPUTED_VALUE"""),44630)</f>
        <v>44630</v>
      </c>
      <c r="F685" s="1" t="str">
        <f ca="1">IFERROR(__xludf.DUMMYFUNCTION("""COMPUTED_VALUE"""),"Hamilton Middle School")</f>
        <v>Hamilton Middle School</v>
      </c>
      <c r="G685" s="1">
        <f ca="1">IFERROR(__xludf.DUMMYFUNCTION("""COMPUTED_VALUE"""),0)</f>
        <v>0</v>
      </c>
      <c r="H685" s="1">
        <f ca="1">IFERROR(__xludf.DUMMYFUNCTION("""COMPUTED_VALUE"""),0)</f>
        <v>0</v>
      </c>
      <c r="I685" s="1">
        <f ca="1">IFERROR(__xludf.DUMMYFUNCTION("""COMPUTED_VALUE"""),0)</f>
        <v>0</v>
      </c>
      <c r="J685" s="1">
        <f ca="1">IFERROR(__xludf.DUMMYFUNCTION("""COMPUTED_VALUE"""),0)</f>
        <v>0</v>
      </c>
      <c r="K685" s="1" t="str">
        <f ca="1">IFERROR(__xludf.DUMMYFUNCTION("""COMPUTED_VALUE"""),"Spring")</f>
        <v>Spring</v>
      </c>
      <c r="L685" s="1" t="str">
        <f ca="1">IFERROR(__xludf.DUMMYFUNCTION("""COMPUTED_VALUE"""),"Memphis")</f>
        <v>Memphis</v>
      </c>
      <c r="M685" s="1" t="str">
        <f ca="1">IFERROR(__xludf.DUMMYFUNCTION("""COMPUTED_VALUE"""),"TN")</f>
        <v>TN</v>
      </c>
      <c r="N685" s="1" t="str">
        <f ca="1">IFERROR(__xludf.DUMMYFUNCTION("""COMPUTED_VALUE"""),"K-8")</f>
        <v>K-8</v>
      </c>
      <c r="O685" s="1" t="str">
        <f ca="1">IFERROR(__xludf.DUMMYFUNCTION("""COMPUTED_VALUE"""),"Front of School")</f>
        <v>Front of School</v>
      </c>
      <c r="P685" s="1" t="str">
        <f ca="1">IFERROR(__xludf.DUMMYFUNCTION("""COMPUTED_VALUE"""),"Outside on School Property")</f>
        <v>Outside on School Property</v>
      </c>
      <c r="Q685" s="1" t="str">
        <f ca="1">IFERROR(__xludf.DUMMYFUNCTION("""COMPUTED_VALUE"""),"Yes")</f>
        <v>Yes</v>
      </c>
      <c r="R685" s="1" t="str">
        <f ca="1">IFERROR(__xludf.DUMMYFUNCTION("""COMPUTED_VALUE"""),"School Start")</f>
        <v>School Start</v>
      </c>
      <c r="S685" s="5">
        <f ca="1">IFERROR(__xludf.DUMMYFUNCTION("""COMPUTED_VALUE"""),0.333333333333333)</f>
        <v>0.33333333333333298</v>
      </c>
      <c r="T685" s="1">
        <f ca="1">IFERROR(__xludf.DUMMYFUNCTION("""COMPUTED_VALUE"""),1)</f>
        <v>1</v>
      </c>
      <c r="U685" s="1" t="str">
        <f ca="1">IFERROR(__xludf.DUMMYFUNCTION("""COMPUTED_VALUE"""),"Mother threatened 5 students with gun during argument")</f>
        <v>Mother threatened 5 students with gun during argument</v>
      </c>
      <c r="V685" s="1" t="str">
        <f ca="1">IFERROR(__xludf.DUMMYFUNCTION("""COMPUTED_VALUE"""),"A parent pointed a handgun at and threatened 5 students during an argument in front of the school. Arrested and charged with 5 counts of aggravated assault. Admitted pointing handgun at students to police.")</f>
        <v>A parent pointed a handgun at and threatened 5 students during an argument in front of the school. Arrested and charged with 5 counts of aggravated assault. Admitted pointing handgun at students to police.</v>
      </c>
      <c r="W685" s="1" t="str">
        <f ca="1">IFERROR(__xludf.DUMMYFUNCTION("""COMPUTED_VALUE"""),"Escalation of Dispute")</f>
        <v>Escalation of Dispute</v>
      </c>
      <c r="X685" s="1" t="str">
        <f ca="1">IFERROR(__xludf.DUMMYFUNCTION("""COMPUTED_VALUE"""),"Victims Targeted")</f>
        <v>Victims Targeted</v>
      </c>
      <c r="Y685" s="1" t="str">
        <f ca="1">IFERROR(__xludf.DUMMYFUNCTION("""COMPUTED_VALUE"""),"No")</f>
        <v>No</v>
      </c>
      <c r="Z685" s="1"/>
      <c r="AA685" s="1" t="str">
        <f ca="1">IFERROR(__xludf.DUMMYFUNCTION("""COMPUTED_VALUE"""),"No")</f>
        <v>No</v>
      </c>
      <c r="AB685" s="1" t="str">
        <f ca="1">IFERROR(__xludf.DUMMYFUNCTION("""COMPUTED_VALUE"""),"No")</f>
        <v>No</v>
      </c>
      <c r="AC685" s="1" t="str">
        <f ca="1">IFERROR(__xludf.DUMMYFUNCTION("""COMPUTED_VALUE"""),"No")</f>
        <v>No</v>
      </c>
      <c r="AD685" s="1" t="str">
        <f ca="1">IFERROR(__xludf.DUMMYFUNCTION("""COMPUTED_VALUE"""),"No")</f>
        <v>No</v>
      </c>
      <c r="AE685" s="1" t="str">
        <f ca="1">IFERROR(__xludf.DUMMYFUNCTION("""COMPUTED_VALUE"""),"NO")</f>
        <v>NO</v>
      </c>
      <c r="AF685" s="1" t="str">
        <f ca="1">IFERROR(__xludf.DUMMYFUNCTION("""COMPUTED_VALUE"""),"No")</f>
        <v>No</v>
      </c>
      <c r="AG685" s="1" t="str">
        <f ca="1">IFERROR(__xludf.DUMMYFUNCTION("""COMPUTED_VALUE"""),"No")</f>
        <v>No</v>
      </c>
      <c r="AH685" s="1">
        <f ca="1">IFERROR(__xludf.DUMMYFUNCTION("""COMPUTED_VALUE"""),0)</f>
        <v>0</v>
      </c>
    </row>
    <row r="686" spans="1:34" ht="12.5">
      <c r="A686" s="1" t="str">
        <f ca="1">IFERROR(__xludf.DUMMYFUNCTION("""COMPUTED_VALUE"""),"20220310MDCOL")</f>
        <v>20220310MDCOL</v>
      </c>
      <c r="B686" s="1">
        <f ca="1">IFERROR(__xludf.DUMMYFUNCTION("""COMPUTED_VALUE"""),3)</f>
        <v>3</v>
      </c>
      <c r="C686" s="1">
        <f ca="1">IFERROR(__xludf.DUMMYFUNCTION("""COMPUTED_VALUE"""),10)</f>
        <v>10</v>
      </c>
      <c r="D686" s="1">
        <f ca="1">IFERROR(__xludf.DUMMYFUNCTION("""COMPUTED_VALUE"""),2022)</f>
        <v>2022</v>
      </c>
      <c r="E686" s="4">
        <f ca="1">IFERROR(__xludf.DUMMYFUNCTION("""COMPUTED_VALUE"""),44630)</f>
        <v>44630</v>
      </c>
      <c r="F686" s="1" t="str">
        <f ca="1">IFERROR(__xludf.DUMMYFUNCTION("""COMPUTED_VALUE"""),"Cora L. Rice Elementary School")</f>
        <v>Cora L. Rice Elementary School</v>
      </c>
      <c r="G686" s="1">
        <f ca="1">IFERROR(__xludf.DUMMYFUNCTION("""COMPUTED_VALUE"""),1)</f>
        <v>1</v>
      </c>
      <c r="H686" s="1">
        <f ca="1">IFERROR(__xludf.DUMMYFUNCTION("""COMPUTED_VALUE"""),0)</f>
        <v>0</v>
      </c>
      <c r="I686" s="1">
        <f ca="1">IFERROR(__xludf.DUMMYFUNCTION("""COMPUTED_VALUE"""),1)</f>
        <v>1</v>
      </c>
      <c r="J686" s="1">
        <f ca="1">IFERROR(__xludf.DUMMYFUNCTION("""COMPUTED_VALUE"""),0)</f>
        <v>0</v>
      </c>
      <c r="K686" s="1" t="str">
        <f ca="1">IFERROR(__xludf.DUMMYFUNCTION("""COMPUTED_VALUE"""),"Spring")</f>
        <v>Spring</v>
      </c>
      <c r="L686" s="1" t="str">
        <f ca="1">IFERROR(__xludf.DUMMYFUNCTION("""COMPUTED_VALUE"""),"Landover")</f>
        <v>Landover</v>
      </c>
      <c r="M686" s="1" t="str">
        <f ca="1">IFERROR(__xludf.DUMMYFUNCTION("""COMPUTED_VALUE"""),"MD")</f>
        <v>MD</v>
      </c>
      <c r="N686" s="1" t="str">
        <f ca="1">IFERROR(__xludf.DUMMYFUNCTION("""COMPUTED_VALUE"""),"Elementary")</f>
        <v>Elementary</v>
      </c>
      <c r="O686" s="1" t="str">
        <f ca="1">IFERROR(__xludf.DUMMYFUNCTION("""COMPUTED_VALUE"""),"Front of School")</f>
        <v>Front of School</v>
      </c>
      <c r="P686" s="1" t="str">
        <f ca="1">IFERROR(__xludf.DUMMYFUNCTION("""COMPUTED_VALUE"""),"Outside on School Property")</f>
        <v>Outside on School Property</v>
      </c>
      <c r="Q686" s="1" t="str">
        <f ca="1">IFERROR(__xludf.DUMMYFUNCTION("""COMPUTED_VALUE"""),"Yes")</f>
        <v>Yes</v>
      </c>
      <c r="R686" s="1" t="str">
        <f ca="1">IFERROR(__xludf.DUMMYFUNCTION("""COMPUTED_VALUE"""),"Dismissal")</f>
        <v>Dismissal</v>
      </c>
      <c r="S686" s="5">
        <f ca="1">IFERROR(__xludf.DUMMYFUNCTION("""COMPUTED_VALUE"""),0.09375)</f>
        <v>9.375E-2</v>
      </c>
      <c r="T686" s="1">
        <f ca="1">IFERROR(__xludf.DUMMYFUNCTION("""COMPUTED_VALUE"""),1)</f>
        <v>1</v>
      </c>
      <c r="U686" s="1" t="str">
        <f ca="1">IFERROR(__xludf.DUMMYFUNCTION("""COMPUTED_VALUE"""),"Adult man killed and school bus struck by bullet at dismissal")</f>
        <v>Adult man killed and school bus struck by bullet at dismissal</v>
      </c>
      <c r="V686" s="1" t="str">
        <f ca="1">IFERROR(__xludf.DUMMYFUNCTION("""COMPUTED_VALUE"""),"An adult male was fatally shot and a parked school bus and other cars in front of the school were damaged by bullets. Shooting occurred at dismissal while children were outside and walking home. Shooter fled.")</f>
        <v>An adult male was fatally shot and a parked school bus and other cars in front of the school were damaged by bullets. Shooting occurred at dismissal while children were outside and walking home. Shooter fled.</v>
      </c>
      <c r="W686" s="1"/>
      <c r="X686" s="1" t="str">
        <f ca="1">IFERROR(__xludf.DUMMYFUNCTION("""COMPUTED_VALUE"""),"Victims Targeted")</f>
        <v>Victims Targeted</v>
      </c>
      <c r="Y686" s="1" t="str">
        <f ca="1">IFERROR(__xludf.DUMMYFUNCTION("""COMPUTED_VALUE"""),"No")</f>
        <v>No</v>
      </c>
      <c r="Z686" s="1"/>
      <c r="AA686" s="1" t="str">
        <f ca="1">IFERROR(__xludf.DUMMYFUNCTION("""COMPUTED_VALUE"""),"No")</f>
        <v>No</v>
      </c>
      <c r="AB686" s="1" t="str">
        <f ca="1">IFERROR(__xludf.DUMMYFUNCTION("""COMPUTED_VALUE"""),"No")</f>
        <v>No</v>
      </c>
      <c r="AC686" s="1" t="str">
        <f ca="1">IFERROR(__xludf.DUMMYFUNCTION("""COMPUTED_VALUE"""),"No")</f>
        <v>No</v>
      </c>
      <c r="AD686" s="1" t="str">
        <f ca="1">IFERROR(__xludf.DUMMYFUNCTION("""COMPUTED_VALUE"""),"No")</f>
        <v>No</v>
      </c>
      <c r="AE686" s="1" t="str">
        <f ca="1">IFERROR(__xludf.DUMMYFUNCTION("""COMPUTED_VALUE"""),"No")</f>
        <v>No</v>
      </c>
      <c r="AF686" s="1"/>
      <c r="AG686" s="1" t="str">
        <f ca="1">IFERROR(__xludf.DUMMYFUNCTION("""COMPUTED_VALUE"""),"No")</f>
        <v>No</v>
      </c>
      <c r="AH686" s="1">
        <f ca="1">IFERROR(__xludf.DUMMYFUNCTION("""COMPUTED_VALUE"""),99)</f>
        <v>99</v>
      </c>
    </row>
    <row r="687" spans="1:34" ht="12.5">
      <c r="A687" s="1" t="str">
        <f ca="1">IFERROR(__xludf.DUMMYFUNCTION("""COMPUTED_VALUE"""),"20220310COROH")</f>
        <v>20220310COROH</v>
      </c>
      <c r="B687" s="1">
        <f ca="1">IFERROR(__xludf.DUMMYFUNCTION("""COMPUTED_VALUE"""),3)</f>
        <v>3</v>
      </c>
      <c r="C687" s="1">
        <f ca="1">IFERROR(__xludf.DUMMYFUNCTION("""COMPUTED_VALUE"""),10)</f>
        <v>10</v>
      </c>
      <c r="D687" s="1">
        <f ca="1">IFERROR(__xludf.DUMMYFUNCTION("""COMPUTED_VALUE"""),2022)</f>
        <v>2022</v>
      </c>
      <c r="E687" s="4">
        <f ca="1">IFERROR(__xludf.DUMMYFUNCTION("""COMPUTED_VALUE"""),44630)</f>
        <v>44630</v>
      </c>
      <c r="F687" s="1" t="str">
        <f ca="1">IFERROR(__xludf.DUMMYFUNCTION("""COMPUTED_VALUE"""),"Rock Canyon High School")</f>
        <v>Rock Canyon High School</v>
      </c>
      <c r="G687" s="1">
        <f ca="1">IFERROR(__xludf.DUMMYFUNCTION("""COMPUTED_VALUE"""),0)</f>
        <v>0</v>
      </c>
      <c r="H687" s="1">
        <f ca="1">IFERROR(__xludf.DUMMYFUNCTION("""COMPUTED_VALUE"""),0)</f>
        <v>0</v>
      </c>
      <c r="I687" s="1">
        <f ca="1">IFERROR(__xludf.DUMMYFUNCTION("""COMPUTED_VALUE"""),0)</f>
        <v>0</v>
      </c>
      <c r="J687" s="1">
        <f ca="1">IFERROR(__xludf.DUMMYFUNCTION("""COMPUTED_VALUE"""),0)</f>
        <v>0</v>
      </c>
      <c r="K687" s="1" t="str">
        <f ca="1">IFERROR(__xludf.DUMMYFUNCTION("""COMPUTED_VALUE"""),"Spring")</f>
        <v>Spring</v>
      </c>
      <c r="L687" s="1" t="str">
        <f ca="1">IFERROR(__xludf.DUMMYFUNCTION("""COMPUTED_VALUE"""),"Highlands Ranch")</f>
        <v>Highlands Ranch</v>
      </c>
      <c r="M687" s="1" t="str">
        <f ca="1">IFERROR(__xludf.DUMMYFUNCTION("""COMPUTED_VALUE"""),"CO")</f>
        <v>CO</v>
      </c>
      <c r="N687" s="1" t="str">
        <f ca="1">IFERROR(__xludf.DUMMYFUNCTION("""COMPUTED_VALUE"""),"High")</f>
        <v>High</v>
      </c>
      <c r="O687" s="1" t="str">
        <f ca="1">IFERROR(__xludf.DUMMYFUNCTION("""COMPUTED_VALUE"""),"Parking Lot")</f>
        <v>Parking Lot</v>
      </c>
      <c r="P687" s="1" t="str">
        <f ca="1">IFERROR(__xludf.DUMMYFUNCTION("""COMPUTED_VALUE"""),"Outside on School Property")</f>
        <v>Outside on School Property</v>
      </c>
      <c r="Q687" s="1" t="str">
        <f ca="1">IFERROR(__xludf.DUMMYFUNCTION("""COMPUTED_VALUE"""),"Yes")</f>
        <v>Yes</v>
      </c>
      <c r="R687" s="1" t="str">
        <f ca="1">IFERROR(__xludf.DUMMYFUNCTION("""COMPUTED_VALUE"""),"Morning Classes")</f>
        <v>Morning Classes</v>
      </c>
      <c r="S687" s="5">
        <f ca="1">IFERROR(__xludf.DUMMYFUNCTION("""COMPUTED_VALUE"""),0.390277777777777)</f>
        <v>0.390277777777777</v>
      </c>
      <c r="T687" s="1">
        <f ca="1">IFERROR(__xludf.DUMMYFUNCTION("""COMPUTED_VALUE"""),1)</f>
        <v>1</v>
      </c>
      <c r="U687" s="1" t="str">
        <f ca="1">IFERROR(__xludf.DUMMYFUNCTION("""COMPUTED_VALUE"""),"Student fired toy rifle in the parking lot causing lockdown")</f>
        <v>Student fired toy rifle in the parking lot causing lockdown</v>
      </c>
      <c r="V687" s="1" t="str">
        <f ca="1">IFERROR(__xludf.DUMMYFUNCTION("""COMPUTED_VALUE"""),"Police were called for a person shooting a rifle in the parking lot of the school. A 17-year-old student was firing a water pellet rifle at the school. Student was detained and school went on lockdown for 1 hour.")</f>
        <v>Police were called for a person shooting a rifle in the parking lot of the school. A 17-year-old student was firing a water pellet rifle at the school. Student was detained and school went on lockdown for 1 hour.</v>
      </c>
      <c r="W687" s="1"/>
      <c r="X687" s="1" t="str">
        <f ca="1">IFERROR(__xludf.DUMMYFUNCTION("""COMPUTED_VALUE"""),"Neither")</f>
        <v>Neither</v>
      </c>
      <c r="Y687" s="1" t="str">
        <f ca="1">IFERROR(__xludf.DUMMYFUNCTION("""COMPUTED_VALUE"""),"No")</f>
        <v>No</v>
      </c>
      <c r="Z687" s="1"/>
      <c r="AA687" s="1" t="str">
        <f ca="1">IFERROR(__xludf.DUMMYFUNCTION("""COMPUTED_VALUE"""),"No")</f>
        <v>No</v>
      </c>
      <c r="AB687" s="1" t="str">
        <f ca="1">IFERROR(__xludf.DUMMYFUNCTION("""COMPUTED_VALUE"""),"No")</f>
        <v>No</v>
      </c>
      <c r="AC687" s="1" t="str">
        <f ca="1">IFERROR(__xludf.DUMMYFUNCTION("""COMPUTED_VALUE"""),"No")</f>
        <v>No</v>
      </c>
      <c r="AD687" s="1" t="str">
        <f ca="1">IFERROR(__xludf.DUMMYFUNCTION("""COMPUTED_VALUE"""),"No")</f>
        <v>No</v>
      </c>
      <c r="AE687" s="1" t="str">
        <f ca="1">IFERROR(__xludf.DUMMYFUNCTION("""COMPUTED_VALUE"""),"No")</f>
        <v>No</v>
      </c>
      <c r="AF687" s="1" t="str">
        <f ca="1">IFERROR(__xludf.DUMMYFUNCTION("""COMPUTED_VALUE"""),"No")</f>
        <v>No</v>
      </c>
      <c r="AG687" s="1" t="str">
        <f ca="1">IFERROR(__xludf.DUMMYFUNCTION("""COMPUTED_VALUE"""),"No")</f>
        <v>No</v>
      </c>
      <c r="AH687" s="1">
        <f ca="1">IFERROR(__xludf.DUMMYFUNCTION("""COMPUTED_VALUE"""),4)</f>
        <v>4</v>
      </c>
    </row>
    <row r="688" spans="1:34" ht="12.5">
      <c r="A688" s="1" t="str">
        <f ca="1">IFERROR(__xludf.DUMMYFUNCTION("""COMPUTED_VALUE"""),"20220309TXNOH")</f>
        <v>20220309TXNOH</v>
      </c>
      <c r="B688" s="1">
        <f ca="1">IFERROR(__xludf.DUMMYFUNCTION("""COMPUTED_VALUE"""),3)</f>
        <v>3</v>
      </c>
      <c r="C688" s="1">
        <f ca="1">IFERROR(__xludf.DUMMYFUNCTION("""COMPUTED_VALUE"""),9)</f>
        <v>9</v>
      </c>
      <c r="D688" s="1">
        <f ca="1">IFERROR(__xludf.DUMMYFUNCTION("""COMPUTED_VALUE"""),2022)</f>
        <v>2022</v>
      </c>
      <c r="E688" s="4">
        <f ca="1">IFERROR(__xludf.DUMMYFUNCTION("""COMPUTED_VALUE"""),44629)</f>
        <v>44629</v>
      </c>
      <c r="F688" s="1" t="str">
        <f ca="1">IFERROR(__xludf.DUMMYFUNCTION("""COMPUTED_VALUE"""),"Kimball High School")</f>
        <v>Kimball High School</v>
      </c>
      <c r="G688" s="1">
        <f ca="1">IFERROR(__xludf.DUMMYFUNCTION("""COMPUTED_VALUE"""),0)</f>
        <v>0</v>
      </c>
      <c r="H688" s="1">
        <f ca="1">IFERROR(__xludf.DUMMYFUNCTION("""COMPUTED_VALUE"""),1)</f>
        <v>1</v>
      </c>
      <c r="I688" s="1">
        <f ca="1">IFERROR(__xludf.DUMMYFUNCTION("""COMPUTED_VALUE"""),1)</f>
        <v>1</v>
      </c>
      <c r="J688" s="1">
        <f ca="1">IFERROR(__xludf.DUMMYFUNCTION("""COMPUTED_VALUE"""),0)</f>
        <v>0</v>
      </c>
      <c r="K688" s="1" t="str">
        <f ca="1">IFERROR(__xludf.DUMMYFUNCTION("""COMPUTED_VALUE"""),"Spring")</f>
        <v>Spring</v>
      </c>
      <c r="L688" s="1" t="str">
        <f ca="1">IFERROR(__xludf.DUMMYFUNCTION("""COMPUTED_VALUE"""),"Houston")</f>
        <v>Houston</v>
      </c>
      <c r="M688" s="1" t="str">
        <f ca="1">IFERROR(__xludf.DUMMYFUNCTION("""COMPUTED_VALUE"""),"TX")</f>
        <v>TX</v>
      </c>
      <c r="N688" s="1" t="str">
        <f ca="1">IFERROR(__xludf.DUMMYFUNCTION("""COMPUTED_VALUE"""),"High")</f>
        <v>High</v>
      </c>
      <c r="O688" s="1" t="str">
        <f ca="1">IFERROR(__xludf.DUMMYFUNCTION("""COMPUTED_VALUE"""),"School Bus")</f>
        <v>School Bus</v>
      </c>
      <c r="P688" s="1" t="str">
        <f ca="1">IFERROR(__xludf.DUMMYFUNCTION("""COMPUTED_VALUE"""),"School Bus")</f>
        <v>School Bus</v>
      </c>
      <c r="Q688" s="1" t="str">
        <f ca="1">IFERROR(__xludf.DUMMYFUNCTION("""COMPUTED_VALUE"""),"No")</f>
        <v>No</v>
      </c>
      <c r="R688" s="1" t="str">
        <f ca="1">IFERROR(__xludf.DUMMYFUNCTION("""COMPUTED_VALUE"""),"Sport Event")</f>
        <v>Sport Event</v>
      </c>
      <c r="S688" s="5">
        <f ca="1">IFERROR(__xludf.DUMMYFUNCTION("""COMPUTED_VALUE"""),0.791666666666666)</f>
        <v>0.79166666666666596</v>
      </c>
      <c r="T688" s="1">
        <f ca="1">IFERROR(__xludf.DUMMYFUNCTION("""COMPUTED_VALUE"""),1)</f>
        <v>1</v>
      </c>
      <c r="U688" s="1" t="str">
        <f ca="1">IFERROR(__xludf.DUMMYFUNCTION("""COMPUTED_VALUE"""),"Team trainer shot in foot on bus after high school game")</f>
        <v>Team trainer shot in foot on bus after high school game</v>
      </c>
      <c r="V688" s="1" t="str">
        <f ca="1">IFERROR(__xludf.DUMMYFUNCTION("""COMPUTED_VALUE"""),"A team trainer was shot in the foot on the team bus following a basketball practice. The team was from Dallas and visiting Houston for a tournament. Bus was on Northside ISD property when the shooting occurred. A player had the gun in his bag and it disch"&amp;"arged when he moved it.")</f>
        <v>A team trainer was shot in the foot on the team bus following a basketball practice. The team was from Dallas and visiting Houston for a tournament. Bus was on Northside ISD property when the shooting occurred. A player had the gun in his bag and it discharged when he moved it.</v>
      </c>
      <c r="W688" s="1" t="str">
        <f ca="1">IFERROR(__xludf.DUMMYFUNCTION("""COMPUTED_VALUE"""),"Accidental")</f>
        <v>Accidental</v>
      </c>
      <c r="X688" s="1" t="str">
        <f ca="1">IFERROR(__xludf.DUMMYFUNCTION("""COMPUTED_VALUE"""),"Random Shooting")</f>
        <v>Random Shooting</v>
      </c>
      <c r="Y688" s="1" t="str">
        <f ca="1">IFERROR(__xludf.DUMMYFUNCTION("""COMPUTED_VALUE"""),"No")</f>
        <v>No</v>
      </c>
      <c r="Z688" s="1"/>
      <c r="AA688" s="1" t="str">
        <f ca="1">IFERROR(__xludf.DUMMYFUNCTION("""COMPUTED_VALUE"""),"No")</f>
        <v>No</v>
      </c>
      <c r="AB688" s="1" t="str">
        <f ca="1">IFERROR(__xludf.DUMMYFUNCTION("""COMPUTED_VALUE"""),"No")</f>
        <v>No</v>
      </c>
      <c r="AC688" s="1" t="str">
        <f ca="1">IFERROR(__xludf.DUMMYFUNCTION("""COMPUTED_VALUE"""),"No")</f>
        <v>No</v>
      </c>
      <c r="AD688" s="1" t="str">
        <f ca="1">IFERROR(__xludf.DUMMYFUNCTION("""COMPUTED_VALUE"""),"No")</f>
        <v>No</v>
      </c>
      <c r="AE688" s="1" t="str">
        <f ca="1">IFERROR(__xludf.DUMMYFUNCTION("""COMPUTED_VALUE"""),"No")</f>
        <v>No</v>
      </c>
      <c r="AF688" s="1" t="str">
        <f ca="1">IFERROR(__xludf.DUMMYFUNCTION("""COMPUTED_VALUE"""),"No")</f>
        <v>No</v>
      </c>
      <c r="AG688" s="1" t="str">
        <f ca="1">IFERROR(__xludf.DUMMYFUNCTION("""COMPUTED_VALUE"""),"No")</f>
        <v>No</v>
      </c>
      <c r="AH688" s="1">
        <f ca="1">IFERROR(__xludf.DUMMYFUNCTION("""COMPUTED_VALUE"""),1)</f>
        <v>1</v>
      </c>
    </row>
    <row r="689" spans="1:34" ht="12.5">
      <c r="A689" s="1" t="str">
        <f ca="1">IFERROR(__xludf.DUMMYFUNCTION("""COMPUTED_VALUE"""),"20220309NMESE")</f>
        <v>20220309NMESE</v>
      </c>
      <c r="B689" s="1">
        <f ca="1">IFERROR(__xludf.DUMMYFUNCTION("""COMPUTED_VALUE"""),3)</f>
        <v>3</v>
      </c>
      <c r="C689" s="1">
        <f ca="1">IFERROR(__xludf.DUMMYFUNCTION("""COMPUTED_VALUE"""),9)</f>
        <v>9</v>
      </c>
      <c r="D689" s="1">
        <f ca="1">IFERROR(__xludf.DUMMYFUNCTION("""COMPUTED_VALUE"""),2022)</f>
        <v>2022</v>
      </c>
      <c r="E689" s="4">
        <f ca="1">IFERROR(__xludf.DUMMYFUNCTION("""COMPUTED_VALUE"""),44629)</f>
        <v>44629</v>
      </c>
      <c r="F689" s="1" t="str">
        <f ca="1">IFERROR(__xludf.DUMMYFUNCTION("""COMPUTED_VALUE"""),"Espanola Valley High School")</f>
        <v>Espanola Valley High School</v>
      </c>
      <c r="G689" s="1">
        <f ca="1">IFERROR(__xludf.DUMMYFUNCTION("""COMPUTED_VALUE"""),0)</f>
        <v>0</v>
      </c>
      <c r="H689" s="1">
        <f ca="1">IFERROR(__xludf.DUMMYFUNCTION("""COMPUTED_VALUE"""),0)</f>
        <v>0</v>
      </c>
      <c r="I689" s="1">
        <f ca="1">IFERROR(__xludf.DUMMYFUNCTION("""COMPUTED_VALUE"""),0)</f>
        <v>0</v>
      </c>
      <c r="J689" s="1">
        <f ca="1">IFERROR(__xludf.DUMMYFUNCTION("""COMPUTED_VALUE"""),0)</f>
        <v>0</v>
      </c>
      <c r="K689" s="1" t="str">
        <f ca="1">IFERROR(__xludf.DUMMYFUNCTION("""COMPUTED_VALUE"""),"Spring")</f>
        <v>Spring</v>
      </c>
      <c r="L689" s="1" t="str">
        <f ca="1">IFERROR(__xludf.DUMMYFUNCTION("""COMPUTED_VALUE"""),"Espanola")</f>
        <v>Espanola</v>
      </c>
      <c r="M689" s="1" t="str">
        <f ca="1">IFERROR(__xludf.DUMMYFUNCTION("""COMPUTED_VALUE"""),"NM")</f>
        <v>NM</v>
      </c>
      <c r="N689" s="1" t="str">
        <f ca="1">IFERROR(__xludf.DUMMYFUNCTION("""COMPUTED_VALUE"""),"High")</f>
        <v>High</v>
      </c>
      <c r="O689" s="1" t="str">
        <f ca="1">IFERROR(__xludf.DUMMYFUNCTION("""COMPUTED_VALUE"""),"Parking Lot")</f>
        <v>Parking Lot</v>
      </c>
      <c r="P689" s="1" t="str">
        <f ca="1">IFERROR(__xludf.DUMMYFUNCTION("""COMPUTED_VALUE"""),"Outside on School Property")</f>
        <v>Outside on School Property</v>
      </c>
      <c r="Q689" s="1" t="str">
        <f ca="1">IFERROR(__xludf.DUMMYFUNCTION("""COMPUTED_VALUE"""),"No")</f>
        <v>No</v>
      </c>
      <c r="R689" s="1" t="str">
        <f ca="1">IFERROR(__xludf.DUMMYFUNCTION("""COMPUTED_VALUE"""),"Sport Event")</f>
        <v>Sport Event</v>
      </c>
      <c r="S689" s="5">
        <f ca="1">IFERROR(__xludf.DUMMYFUNCTION("""COMPUTED_VALUE"""),0.875)</f>
        <v>0.875</v>
      </c>
      <c r="T689" s="1">
        <f ca="1">IFERROR(__xludf.DUMMYFUNCTION("""COMPUTED_VALUE"""),1)</f>
        <v>1</v>
      </c>
      <c r="U689" s="1" t="str">
        <f ca="1">IFERROR(__xludf.DUMMYFUNCTION("""COMPUTED_VALUE"""),"Paintballs fired a team bus in parking lot")</f>
        <v>Paintballs fired a team bus in parking lot</v>
      </c>
      <c r="V689" s="1" t="str">
        <f ca="1">IFERROR(__xludf.DUMMYFUNCTION("""COMPUTED_VALUE"""),"Following loss in rivalry to visiting team in basketball game, paintballs were shot at the team bus. Players inside texted parents that they were being shot at. Shooter fled. Police and school system are investigating.")</f>
        <v>Following loss in rivalry to visiting team in basketball game, paintballs were shot at the team bus. Players inside texted parents that they were being shot at. Shooter fled. Police and school system are investigating.</v>
      </c>
      <c r="W689" s="1" t="str">
        <f ca="1">IFERROR(__xludf.DUMMYFUNCTION("""COMPUTED_VALUE"""),"Intentional Property Damage")</f>
        <v>Intentional Property Damage</v>
      </c>
      <c r="X689" s="1" t="str">
        <f ca="1">IFERROR(__xludf.DUMMYFUNCTION("""COMPUTED_VALUE"""),"Neither")</f>
        <v>Neither</v>
      </c>
      <c r="Y689" s="1" t="str">
        <f ca="1">IFERROR(__xludf.DUMMYFUNCTION("""COMPUTED_VALUE"""),"No")</f>
        <v>No</v>
      </c>
      <c r="Z689" s="1"/>
      <c r="AA689" s="1" t="str">
        <f ca="1">IFERROR(__xludf.DUMMYFUNCTION("""COMPUTED_VALUE"""),"No")</f>
        <v>No</v>
      </c>
      <c r="AB689" s="1" t="str">
        <f ca="1">IFERROR(__xludf.DUMMYFUNCTION("""COMPUTED_VALUE"""),"No")</f>
        <v>No</v>
      </c>
      <c r="AC689" s="1" t="str">
        <f ca="1">IFERROR(__xludf.DUMMYFUNCTION("""COMPUTED_VALUE"""),"No")</f>
        <v>No</v>
      </c>
      <c r="AD689" s="1" t="str">
        <f ca="1">IFERROR(__xludf.DUMMYFUNCTION("""COMPUTED_VALUE"""),"No")</f>
        <v>No</v>
      </c>
      <c r="AE689" s="1" t="str">
        <f ca="1">IFERROR(__xludf.DUMMYFUNCTION("""COMPUTED_VALUE"""),"No")</f>
        <v>No</v>
      </c>
      <c r="AF689" s="1"/>
      <c r="AG689" s="1" t="str">
        <f ca="1">IFERROR(__xludf.DUMMYFUNCTION("""COMPUTED_VALUE"""),"No")</f>
        <v>No</v>
      </c>
      <c r="AH689" s="1">
        <f ca="1">IFERROR(__xludf.DUMMYFUNCTION("""COMPUTED_VALUE"""),99)</f>
        <v>99</v>
      </c>
    </row>
    <row r="690" spans="1:34" ht="12.5">
      <c r="A690" s="1" t="str">
        <f ca="1">IFERROR(__xludf.DUMMYFUNCTION("""COMPUTED_VALUE"""),"20220309FLNOM")</f>
        <v>20220309FLNOM</v>
      </c>
      <c r="B690" s="1">
        <f ca="1">IFERROR(__xludf.DUMMYFUNCTION("""COMPUTED_VALUE"""),3)</f>
        <v>3</v>
      </c>
      <c r="C690" s="1">
        <f ca="1">IFERROR(__xludf.DUMMYFUNCTION("""COMPUTED_VALUE"""),9)</f>
        <v>9</v>
      </c>
      <c r="D690" s="1">
        <f ca="1">IFERROR(__xludf.DUMMYFUNCTION("""COMPUTED_VALUE"""),2022)</f>
        <v>2022</v>
      </c>
      <c r="E690" s="4">
        <f ca="1">IFERROR(__xludf.DUMMYFUNCTION("""COMPUTED_VALUE"""),44629)</f>
        <v>44629</v>
      </c>
      <c r="F690" s="1" t="str">
        <f ca="1">IFERROR(__xludf.DUMMYFUNCTION("""COMPUTED_VALUE"""),"North Gardens High School")</f>
        <v>North Gardens High School</v>
      </c>
      <c r="G690" s="1">
        <f ca="1">IFERROR(__xludf.DUMMYFUNCTION("""COMPUTED_VALUE"""),0)</f>
        <v>0</v>
      </c>
      <c r="H690" s="1">
        <f ca="1">IFERROR(__xludf.DUMMYFUNCTION("""COMPUTED_VALUE"""),3)</f>
        <v>3</v>
      </c>
      <c r="I690" s="1">
        <f ca="1">IFERROR(__xludf.DUMMYFUNCTION("""COMPUTED_VALUE"""),3)</f>
        <v>3</v>
      </c>
      <c r="J690" s="1">
        <f ca="1">IFERROR(__xludf.DUMMYFUNCTION("""COMPUTED_VALUE"""),0)</f>
        <v>0</v>
      </c>
      <c r="K690" s="1" t="str">
        <f ca="1">IFERROR(__xludf.DUMMYFUNCTION("""COMPUTED_VALUE"""),"Spring")</f>
        <v>Spring</v>
      </c>
      <c r="L690" s="1" t="str">
        <f ca="1">IFERROR(__xludf.DUMMYFUNCTION("""COMPUTED_VALUE"""),"Miami Gardens")</f>
        <v>Miami Gardens</v>
      </c>
      <c r="M690" s="1" t="str">
        <f ca="1">IFERROR(__xludf.DUMMYFUNCTION("""COMPUTED_VALUE"""),"FL")</f>
        <v>FL</v>
      </c>
      <c r="N690" s="1" t="str">
        <f ca="1">IFERROR(__xludf.DUMMYFUNCTION("""COMPUTED_VALUE"""),"High")</f>
        <v>High</v>
      </c>
      <c r="O690" s="1" t="str">
        <f ca="1">IFERROR(__xludf.DUMMYFUNCTION("""COMPUTED_VALUE"""),"Front of School")</f>
        <v>Front of School</v>
      </c>
      <c r="P690" s="1" t="str">
        <f ca="1">IFERROR(__xludf.DUMMYFUNCTION("""COMPUTED_VALUE"""),"Both Inside/Outside")</f>
        <v>Both Inside/Outside</v>
      </c>
      <c r="Q690" s="1" t="str">
        <f ca="1">IFERROR(__xludf.DUMMYFUNCTION("""COMPUTED_VALUE"""),"Yes")</f>
        <v>Yes</v>
      </c>
      <c r="R690" s="1" t="str">
        <f ca="1">IFERROR(__xludf.DUMMYFUNCTION("""COMPUTED_VALUE"""),"Afternoon Classes")</f>
        <v>Afternoon Classes</v>
      </c>
      <c r="S690" s="5">
        <f ca="1">IFERROR(__xludf.DUMMYFUNCTION("""COMPUTED_VALUE"""),0.5625)</f>
        <v>0.5625</v>
      </c>
      <c r="T690" s="1">
        <f ca="1">IFERROR(__xludf.DUMMYFUNCTION("""COMPUTED_VALUE"""),1)</f>
        <v>1</v>
      </c>
      <c r="U690" s="1" t="str">
        <f ca="1">IFERROR(__xludf.DUMMYFUNCTION("""COMPUTED_VALUE"""),"Teens fired from car into school building striking 3 students")</f>
        <v>Teens fired from car into school building striking 3 students</v>
      </c>
      <c r="V690" s="1" t="str">
        <f ca="1">IFERROR(__xludf.DUMMYFUNCTION("""COMPUTED_VALUE"""),"Two teen males (17 and 18) fired shots from a vehicle in front of the school. Bullets broke the doors and went through the walls of classrooms. One student in front was critically injured. Two students inside a classroom were wounded. Shooters fled and fi"&amp;"red at police during chase. Arrested after vehicle became stuck in traffic. An off duty officer was working at the school and witnessed the shooting.")</f>
        <v>Two teen males (17 and 18) fired shots from a vehicle in front of the school. Bullets broke the doors and went through the walls of classrooms. One student in front was critically injured. Two students inside a classroom were wounded. Shooters fled and fired at police during chase. Arrested after vehicle became stuck in traffic. An off duty officer was working at the school and witnessed the shooting.</v>
      </c>
      <c r="W690" s="1" t="str">
        <f ca="1">IFERROR(__xludf.DUMMYFUNCTION("""COMPUTED_VALUE"""),"Drive-by Shooting")</f>
        <v>Drive-by Shooting</v>
      </c>
      <c r="X690" s="1" t="str">
        <f ca="1">IFERROR(__xludf.DUMMYFUNCTION("""COMPUTED_VALUE"""),"Both")</f>
        <v>Both</v>
      </c>
      <c r="Y690" s="1" t="str">
        <f ca="1">IFERROR(__xludf.DUMMYFUNCTION("""COMPUTED_VALUE"""),"Yes")</f>
        <v>Yes</v>
      </c>
      <c r="Z690" s="1" t="str">
        <f ca="1">IFERROR(__xludf.DUMMYFUNCTION("""COMPUTED_VALUE"""),"Two teens")</f>
        <v>Two teens</v>
      </c>
      <c r="AA690" s="1" t="str">
        <f ca="1">IFERROR(__xludf.DUMMYFUNCTION("""COMPUTED_VALUE"""),"No")</f>
        <v>No</v>
      </c>
      <c r="AB690" s="1" t="str">
        <f ca="1">IFERROR(__xludf.DUMMYFUNCTION("""COMPUTED_VALUE"""),"No")</f>
        <v>No</v>
      </c>
      <c r="AC690" s="1" t="str">
        <f ca="1">IFERROR(__xludf.DUMMYFUNCTION("""COMPUTED_VALUE"""),"No")</f>
        <v>No</v>
      </c>
      <c r="AD690" s="1" t="str">
        <f ca="1">IFERROR(__xludf.DUMMYFUNCTION("""COMPUTED_VALUE"""),"No")</f>
        <v>No</v>
      </c>
      <c r="AE690" s="1" t="str">
        <f ca="1">IFERROR(__xludf.DUMMYFUNCTION("""COMPUTED_VALUE"""),"No")</f>
        <v>No</v>
      </c>
      <c r="AF690" s="1"/>
      <c r="AG690" s="1" t="str">
        <f ca="1">IFERROR(__xludf.DUMMYFUNCTION("""COMPUTED_VALUE"""),"No")</f>
        <v>No</v>
      </c>
      <c r="AH690" s="1">
        <f ca="1">IFERROR(__xludf.DUMMYFUNCTION("""COMPUTED_VALUE"""),99)</f>
        <v>99</v>
      </c>
    </row>
    <row r="691" spans="1:34" ht="12.5">
      <c r="A691" s="1" t="str">
        <f ca="1">IFERROR(__xludf.DUMMYFUNCTION("""COMPUTED_VALUE"""),"20220307IAEAD")</f>
        <v>20220307IAEAD</v>
      </c>
      <c r="B691" s="1">
        <f ca="1">IFERROR(__xludf.DUMMYFUNCTION("""COMPUTED_VALUE"""),3)</f>
        <v>3</v>
      </c>
      <c r="C691" s="1">
        <f ca="1">IFERROR(__xludf.DUMMYFUNCTION("""COMPUTED_VALUE"""),7)</f>
        <v>7</v>
      </c>
      <c r="D691" s="1">
        <f ca="1">IFERROR(__xludf.DUMMYFUNCTION("""COMPUTED_VALUE"""),2022)</f>
        <v>2022</v>
      </c>
      <c r="E691" s="4">
        <f ca="1">IFERROR(__xludf.DUMMYFUNCTION("""COMPUTED_VALUE"""),44627)</f>
        <v>44627</v>
      </c>
      <c r="F691" s="1" t="str">
        <f ca="1">IFERROR(__xludf.DUMMYFUNCTION("""COMPUTED_VALUE"""),"East High School")</f>
        <v>East High School</v>
      </c>
      <c r="G691" s="1">
        <f ca="1">IFERROR(__xludf.DUMMYFUNCTION("""COMPUTED_VALUE"""),1)</f>
        <v>1</v>
      </c>
      <c r="H691" s="1">
        <f ca="1">IFERROR(__xludf.DUMMYFUNCTION("""COMPUTED_VALUE"""),2)</f>
        <v>2</v>
      </c>
      <c r="I691" s="1">
        <f ca="1">IFERROR(__xludf.DUMMYFUNCTION("""COMPUTED_VALUE"""),3)</f>
        <v>3</v>
      </c>
      <c r="J691" s="1">
        <f ca="1">IFERROR(__xludf.DUMMYFUNCTION("""COMPUTED_VALUE"""),0)</f>
        <v>0</v>
      </c>
      <c r="K691" s="1" t="str">
        <f ca="1">IFERROR(__xludf.DUMMYFUNCTION("""COMPUTED_VALUE"""),"Spring")</f>
        <v>Spring</v>
      </c>
      <c r="L691" s="1" t="str">
        <f ca="1">IFERROR(__xludf.DUMMYFUNCTION("""COMPUTED_VALUE"""),"Des Moines")</f>
        <v>Des Moines</v>
      </c>
      <c r="M691" s="1" t="str">
        <f ca="1">IFERROR(__xludf.DUMMYFUNCTION("""COMPUTED_VALUE"""),"IA")</f>
        <v>IA</v>
      </c>
      <c r="N691" s="1" t="str">
        <f ca="1">IFERROR(__xludf.DUMMYFUNCTION("""COMPUTED_VALUE"""),"High")</f>
        <v>High</v>
      </c>
      <c r="O691" s="1" t="str">
        <f ca="1">IFERROR(__xludf.DUMMYFUNCTION("""COMPUTED_VALUE"""),"Front of School")</f>
        <v>Front of School</v>
      </c>
      <c r="P691" s="1" t="str">
        <f ca="1">IFERROR(__xludf.DUMMYFUNCTION("""COMPUTED_VALUE"""),"Outside on School Property")</f>
        <v>Outside on School Property</v>
      </c>
      <c r="Q691" s="1" t="str">
        <f ca="1">IFERROR(__xludf.DUMMYFUNCTION("""COMPUTED_VALUE"""),"Yes")</f>
        <v>Yes</v>
      </c>
      <c r="R691" s="1" t="str">
        <f ca="1">IFERROR(__xludf.DUMMYFUNCTION("""COMPUTED_VALUE"""),"Dismissal")</f>
        <v>Dismissal</v>
      </c>
      <c r="S691" s="5">
        <f ca="1">IFERROR(__xludf.DUMMYFUNCTION("""COMPUTED_VALUE"""),0.618055555555555)</f>
        <v>0.61805555555555503</v>
      </c>
      <c r="T691" s="1">
        <f ca="1">IFERROR(__xludf.DUMMYFUNCTION("""COMPUTED_VALUE"""),1)</f>
        <v>1</v>
      </c>
      <c r="U691" s="1" t="str">
        <f ca="1">IFERROR(__xludf.DUMMYFUNCTION("""COMPUTED_VALUE"""),"3 teens shot in front of school at dismissal")</f>
        <v>3 teens shot in front of school at dismissal</v>
      </c>
      <c r="V691" s="1" t="str">
        <f ca="1">IFERROR(__xludf.DUMMYFUNCTION("""COMPUTED_VALUE"""),"A 15-year-old male non-student and two female students (16 and 18) were shot during a drive-by shooting in front of the school. 40 shots were fired by 10 teens from 3 different vehicles. Six teens (age 14-17 fired shots, police recorded 6 handguns during "&amp;"search warrants). The male teen killed was the target and the two girls were bystanders. School went on lockdown. Witnesses said multiple shots were fired. Shooter fled. School cancelled the following day. All six teens charged with first degree murder an"&amp;"d attempted murder.")</f>
        <v>A 15-year-old male non-student and two female students (16 and 18) were shot during a drive-by shooting in front of the school. 40 shots were fired by 10 teens from 3 different vehicles. Six teens (age 14-17 fired shots, police recorded 6 handguns during search warrants). The male teen killed was the target and the two girls were bystanders. School went on lockdown. Witnesses said multiple shots were fired. Shooter fled. School cancelled the following day. All six teens charged with first degree murder and attempted murder.</v>
      </c>
      <c r="W691" s="1" t="str">
        <f ca="1">IFERROR(__xludf.DUMMYFUNCTION("""COMPUTED_VALUE"""),"Drive-by Shooting")</f>
        <v>Drive-by Shooting</v>
      </c>
      <c r="X691" s="1" t="str">
        <f ca="1">IFERROR(__xludf.DUMMYFUNCTION("""COMPUTED_VALUE"""),"Both")</f>
        <v>Both</v>
      </c>
      <c r="Y691" s="1" t="str">
        <f ca="1">IFERROR(__xludf.DUMMYFUNCTION("""COMPUTED_VALUE"""),"Yes")</f>
        <v>Yes</v>
      </c>
      <c r="Z691" s="1" t="str">
        <f ca="1">IFERROR(__xludf.DUMMYFUNCTION("""COMPUTED_VALUE"""),"6 teens arrested with 6 handguns")</f>
        <v>6 teens arrested with 6 handguns</v>
      </c>
      <c r="AA691" s="1" t="str">
        <f ca="1">IFERROR(__xludf.DUMMYFUNCTION("""COMPUTED_VALUE"""),"No")</f>
        <v>No</v>
      </c>
      <c r="AB691" s="1" t="str">
        <f ca="1">IFERROR(__xludf.DUMMYFUNCTION("""COMPUTED_VALUE"""),"No")</f>
        <v>No</v>
      </c>
      <c r="AC691" s="1" t="str">
        <f ca="1">IFERROR(__xludf.DUMMYFUNCTION("""COMPUTED_VALUE"""),"No")</f>
        <v>No</v>
      </c>
      <c r="AD691" s="1" t="str">
        <f ca="1">IFERROR(__xludf.DUMMYFUNCTION("""COMPUTED_VALUE"""),"No")</f>
        <v>No</v>
      </c>
      <c r="AE691" s="1" t="str">
        <f ca="1">IFERROR(__xludf.DUMMYFUNCTION("""COMPUTED_VALUE"""),"No")</f>
        <v>No</v>
      </c>
      <c r="AF691" s="1" t="str">
        <f ca="1">IFERROR(__xludf.DUMMYFUNCTION("""COMPUTED_VALUE"""),"Yes")</f>
        <v>Yes</v>
      </c>
      <c r="AG691" s="1" t="str">
        <f ca="1">IFERROR(__xludf.DUMMYFUNCTION("""COMPUTED_VALUE"""),"No")</f>
        <v>No</v>
      </c>
      <c r="AH691" s="1">
        <f ca="1">IFERROR(__xludf.DUMMYFUNCTION("""COMPUTED_VALUE"""),40)</f>
        <v>40</v>
      </c>
    </row>
    <row r="692" spans="1:34" ht="12.5">
      <c r="A692" s="1" t="str">
        <f ca="1">IFERROR(__xludf.DUMMYFUNCTION("""COMPUTED_VALUE"""),"20220304KSOLO")</f>
        <v>20220304KSOLO</v>
      </c>
      <c r="B692" s="1">
        <f ca="1">IFERROR(__xludf.DUMMYFUNCTION("""COMPUTED_VALUE"""),3)</f>
        <v>3</v>
      </c>
      <c r="C692" s="1">
        <f ca="1">IFERROR(__xludf.DUMMYFUNCTION("""COMPUTED_VALUE"""),4)</f>
        <v>4</v>
      </c>
      <c r="D692" s="1">
        <f ca="1">IFERROR(__xludf.DUMMYFUNCTION("""COMPUTED_VALUE"""),2022)</f>
        <v>2022</v>
      </c>
      <c r="E692" s="4">
        <f ca="1">IFERROR(__xludf.DUMMYFUNCTION("""COMPUTED_VALUE"""),44624)</f>
        <v>44624</v>
      </c>
      <c r="F692" s="1" t="str">
        <f ca="1">IFERROR(__xludf.DUMMYFUNCTION("""COMPUTED_VALUE"""),"Olathe East High School")</f>
        <v>Olathe East High School</v>
      </c>
      <c r="G692" s="1">
        <f ca="1">IFERROR(__xludf.DUMMYFUNCTION("""COMPUTED_VALUE"""),0)</f>
        <v>0</v>
      </c>
      <c r="H692" s="1">
        <f ca="1">IFERROR(__xludf.DUMMYFUNCTION("""COMPUTED_VALUE"""),2)</f>
        <v>2</v>
      </c>
      <c r="I692" s="1">
        <f ca="1">IFERROR(__xludf.DUMMYFUNCTION("""COMPUTED_VALUE"""),2)</f>
        <v>2</v>
      </c>
      <c r="J692" s="1">
        <f ca="1">IFERROR(__xludf.DUMMYFUNCTION("""COMPUTED_VALUE"""),0)</f>
        <v>0</v>
      </c>
      <c r="K692" s="1" t="str">
        <f ca="1">IFERROR(__xludf.DUMMYFUNCTION("""COMPUTED_VALUE"""),"Spring")</f>
        <v>Spring</v>
      </c>
      <c r="L692" s="1" t="str">
        <f ca="1">IFERROR(__xludf.DUMMYFUNCTION("""COMPUTED_VALUE"""),"Olathe")</f>
        <v>Olathe</v>
      </c>
      <c r="M692" s="1" t="str">
        <f ca="1">IFERROR(__xludf.DUMMYFUNCTION("""COMPUTED_VALUE"""),"KS")</f>
        <v>KS</v>
      </c>
      <c r="N692" s="1" t="str">
        <f ca="1">IFERROR(__xludf.DUMMYFUNCTION("""COMPUTED_VALUE"""),"High")</f>
        <v>High</v>
      </c>
      <c r="O692" s="1" t="str">
        <f ca="1">IFERROR(__xludf.DUMMYFUNCTION("""COMPUTED_VALUE"""),"Office")</f>
        <v>Office</v>
      </c>
      <c r="P692" s="1" t="str">
        <f ca="1">IFERROR(__xludf.DUMMYFUNCTION("""COMPUTED_VALUE"""),"Inside School Building")</f>
        <v>Inside School Building</v>
      </c>
      <c r="Q692" s="1" t="str">
        <f ca="1">IFERROR(__xludf.DUMMYFUNCTION("""COMPUTED_VALUE"""),"Yes")</f>
        <v>Yes</v>
      </c>
      <c r="R692" s="1" t="str">
        <f ca="1">IFERROR(__xludf.DUMMYFUNCTION("""COMPUTED_VALUE"""),"Morning Classes")</f>
        <v>Morning Classes</v>
      </c>
      <c r="S692" s="5">
        <f ca="1">IFERROR(__xludf.DUMMYFUNCTION("""COMPUTED_VALUE"""),0.4375)</f>
        <v>0.4375</v>
      </c>
      <c r="T692" s="1">
        <f ca="1">IFERROR(__xludf.DUMMYFUNCTION("""COMPUTED_VALUE"""),1)</f>
        <v>1</v>
      </c>
      <c r="U692" s="1" t="str">
        <f ca="1">IFERROR(__xludf.DUMMYFUNCTION("""COMPUTED_VALUE"""),"Student shot principal and SRO in school office")</f>
        <v>Student shot principal and SRO in school office</v>
      </c>
      <c r="V692" s="1" t="str">
        <f ca="1">IFERROR(__xludf.DUMMYFUNCTION("""COMPUTED_VALUE"""),"Principal got tip about student with gun. Student was called to the office and refused to open backpack. Principal called SRO and when the SRO walked into office, student shot both of them. SRO was able to return fire and critically injure student/shooter"&amp;". School went on lockdown. No other staff or students were injured.")</f>
        <v>Principal got tip about student with gun. Student was called to the office and refused to open backpack. Principal called SRO and when the SRO walked into office, student shot both of them. SRO was able to return fire and critically injure student/shooter. School went on lockdown. No other staff or students were injured.</v>
      </c>
      <c r="W692" s="1" t="str">
        <f ca="1">IFERROR(__xludf.DUMMYFUNCTION("""COMPUTED_VALUE"""),"Anger Over Grade/Suspension/Discipline")</f>
        <v>Anger Over Grade/Suspension/Discipline</v>
      </c>
      <c r="X692" s="1" t="str">
        <f ca="1">IFERROR(__xludf.DUMMYFUNCTION("""COMPUTED_VALUE"""),"Victims Targeted")</f>
        <v>Victims Targeted</v>
      </c>
      <c r="Y692" s="1" t="str">
        <f ca="1">IFERROR(__xludf.DUMMYFUNCTION("""COMPUTED_VALUE"""),"No")</f>
        <v>No</v>
      </c>
      <c r="Z692" s="1"/>
      <c r="AA692" s="1" t="str">
        <f ca="1">IFERROR(__xludf.DUMMYFUNCTION("""COMPUTED_VALUE"""),"No")</f>
        <v>No</v>
      </c>
      <c r="AB692" s="1" t="str">
        <f ca="1">IFERROR(__xludf.DUMMYFUNCTION("""COMPUTED_VALUE"""),"No")</f>
        <v>No</v>
      </c>
      <c r="AC692" s="1" t="str">
        <f ca="1">IFERROR(__xludf.DUMMYFUNCTION("""COMPUTED_VALUE"""),"No")</f>
        <v>No</v>
      </c>
      <c r="AD692" s="1" t="str">
        <f ca="1">IFERROR(__xludf.DUMMYFUNCTION("""COMPUTED_VALUE"""),"No")</f>
        <v>No</v>
      </c>
      <c r="AE692" s="1" t="str">
        <f ca="1">IFERROR(__xludf.DUMMYFUNCTION("""COMPUTED_VALUE"""),"No")</f>
        <v>No</v>
      </c>
      <c r="AF692" s="1" t="str">
        <f ca="1">IFERROR(__xludf.DUMMYFUNCTION("""COMPUTED_VALUE"""),"No")</f>
        <v>No</v>
      </c>
      <c r="AG692" s="1" t="str">
        <f ca="1">IFERROR(__xludf.DUMMYFUNCTION("""COMPUTED_VALUE"""),"No")</f>
        <v>No</v>
      </c>
      <c r="AH692" s="1">
        <f ca="1">IFERROR(__xludf.DUMMYFUNCTION("""COMPUTED_VALUE"""),10)</f>
        <v>10</v>
      </c>
    </row>
    <row r="693" spans="1:34" ht="12.5">
      <c r="A693" s="1" t="str">
        <f ca="1">IFERROR(__xludf.DUMMYFUNCTION("""COMPUTED_VALUE"""),"20220303MIJWL")</f>
        <v>20220303MIJWL</v>
      </c>
      <c r="B693" s="1">
        <f ca="1">IFERROR(__xludf.DUMMYFUNCTION("""COMPUTED_VALUE"""),3)</f>
        <v>3</v>
      </c>
      <c r="C693" s="1">
        <f ca="1">IFERROR(__xludf.DUMMYFUNCTION("""COMPUTED_VALUE"""),3)</f>
        <v>3</v>
      </c>
      <c r="D693" s="1">
        <f ca="1">IFERROR(__xludf.DUMMYFUNCTION("""COMPUTED_VALUE"""),2022)</f>
        <v>2022</v>
      </c>
      <c r="E693" s="4">
        <f ca="1">IFERROR(__xludf.DUMMYFUNCTION("""COMPUTED_VALUE"""),44623)</f>
        <v>44623</v>
      </c>
      <c r="F693" s="1" t="str">
        <f ca="1">IFERROR(__xludf.DUMMYFUNCTION("""COMPUTED_VALUE"""),"JW Sexton High School")</f>
        <v>JW Sexton High School</v>
      </c>
      <c r="G693" s="1">
        <f ca="1">IFERROR(__xludf.DUMMYFUNCTION("""COMPUTED_VALUE"""),0)</f>
        <v>0</v>
      </c>
      <c r="H693" s="1">
        <f ca="1">IFERROR(__xludf.DUMMYFUNCTION("""COMPUTED_VALUE"""),1)</f>
        <v>1</v>
      </c>
      <c r="I693" s="1">
        <f ca="1">IFERROR(__xludf.DUMMYFUNCTION("""COMPUTED_VALUE"""),1)</f>
        <v>1</v>
      </c>
      <c r="J693" s="1">
        <f ca="1">IFERROR(__xludf.DUMMYFUNCTION("""COMPUTED_VALUE"""),0)</f>
        <v>0</v>
      </c>
      <c r="K693" s="1" t="str">
        <f ca="1">IFERROR(__xludf.DUMMYFUNCTION("""COMPUTED_VALUE"""),"Winter")</f>
        <v>Winter</v>
      </c>
      <c r="L693" s="1" t="str">
        <f ca="1">IFERROR(__xludf.DUMMYFUNCTION("""COMPUTED_VALUE"""),"Lansing")</f>
        <v>Lansing</v>
      </c>
      <c r="M693" s="1" t="str">
        <f ca="1">IFERROR(__xludf.DUMMYFUNCTION("""COMPUTED_VALUE"""),"MI")</f>
        <v>MI</v>
      </c>
      <c r="N693" s="1" t="str">
        <f ca="1">IFERROR(__xludf.DUMMYFUNCTION("""COMPUTED_VALUE"""),"High")</f>
        <v>High</v>
      </c>
      <c r="O693" s="1" t="str">
        <f ca="1">IFERROR(__xludf.DUMMYFUNCTION("""COMPUTED_VALUE"""),"Parking Lot")</f>
        <v>Parking Lot</v>
      </c>
      <c r="P693" s="1" t="str">
        <f ca="1">IFERROR(__xludf.DUMMYFUNCTION("""COMPUTED_VALUE"""),"Outside on School Property")</f>
        <v>Outside on School Property</v>
      </c>
      <c r="Q693" s="1" t="str">
        <f ca="1">IFERROR(__xludf.DUMMYFUNCTION("""COMPUTED_VALUE"""),"Yes")</f>
        <v>Yes</v>
      </c>
      <c r="R693" s="1" t="str">
        <f ca="1">IFERROR(__xludf.DUMMYFUNCTION("""COMPUTED_VALUE"""),"Afternoon Classes")</f>
        <v>Afternoon Classes</v>
      </c>
      <c r="S693" s="5">
        <f ca="1">IFERROR(__xludf.DUMMYFUNCTION("""COMPUTED_VALUE"""),0.552083333333333)</f>
        <v>0.55208333333333304</v>
      </c>
      <c r="T693" s="1">
        <f ca="1">IFERROR(__xludf.DUMMYFUNCTION("""COMPUTED_VALUE"""),1)</f>
        <v>1</v>
      </c>
      <c r="U693" s="1" t="str">
        <f ca="1">IFERROR(__xludf.DUMMYFUNCTION("""COMPUTED_VALUE"""),"Teen shot in school parking lot following road rage incident")</f>
        <v>Teen shot in school parking lot following road rage incident</v>
      </c>
      <c r="V693" s="1" t="str">
        <f ca="1">IFERROR(__xludf.DUMMYFUNCTION("""COMPUTED_VALUE"""),"17-year-old male was shot in both legs following a road rage dispute that ended with a vehicle crashing into a tree in the school parking lot. School was in session and locked down for 1.5 hours.")</f>
        <v>17-year-old male was shot in both legs following a road rage dispute that ended with a vehicle crashing into a tree in the school parking lot. School was in session and locked down for 1.5 hours.</v>
      </c>
      <c r="W693" s="1" t="str">
        <f ca="1">IFERROR(__xludf.DUMMYFUNCTION("""COMPUTED_VALUE"""),"Escalation of Dispute")</f>
        <v>Escalation of Dispute</v>
      </c>
      <c r="X693" s="1" t="str">
        <f ca="1">IFERROR(__xludf.DUMMYFUNCTION("""COMPUTED_VALUE"""),"Victims Targeted")</f>
        <v>Victims Targeted</v>
      </c>
      <c r="Y693" s="1" t="str">
        <f ca="1">IFERROR(__xludf.DUMMYFUNCTION("""COMPUTED_VALUE"""),"No")</f>
        <v>No</v>
      </c>
      <c r="Z693" s="1"/>
      <c r="AA693" s="1" t="str">
        <f ca="1">IFERROR(__xludf.DUMMYFUNCTION("""COMPUTED_VALUE"""),"No")</f>
        <v>No</v>
      </c>
      <c r="AB693" s="1" t="str">
        <f ca="1">IFERROR(__xludf.DUMMYFUNCTION("""COMPUTED_VALUE"""),"No")</f>
        <v>No</v>
      </c>
      <c r="AC693" s="1" t="str">
        <f ca="1">IFERROR(__xludf.DUMMYFUNCTION("""COMPUTED_VALUE"""),"No")</f>
        <v>No</v>
      </c>
      <c r="AD693" s="1" t="str">
        <f ca="1">IFERROR(__xludf.DUMMYFUNCTION("""COMPUTED_VALUE"""),"No")</f>
        <v>No</v>
      </c>
      <c r="AE693" s="1" t="str">
        <f ca="1">IFERROR(__xludf.DUMMYFUNCTION("""COMPUTED_VALUE"""),"No")</f>
        <v>No</v>
      </c>
      <c r="AF693" s="1" t="str">
        <f ca="1">IFERROR(__xludf.DUMMYFUNCTION("""COMPUTED_VALUE"""),"No")</f>
        <v>No</v>
      </c>
      <c r="AG693" s="1" t="str">
        <f ca="1">IFERROR(__xludf.DUMMYFUNCTION("""COMPUTED_VALUE"""),"No")</f>
        <v>No</v>
      </c>
      <c r="AH693" s="1">
        <f ca="1">IFERROR(__xludf.DUMMYFUNCTION("""COMPUTED_VALUE"""),99)</f>
        <v>99</v>
      </c>
    </row>
    <row r="694" spans="1:34" ht="12.5">
      <c r="A694" s="1" t="str">
        <f ca="1">IFERROR(__xludf.DUMMYFUNCTION("""COMPUTED_VALUE"""),"20220228GAJOJ")</f>
        <v>20220228GAJOJ</v>
      </c>
      <c r="B694" s="1">
        <f ca="1">IFERROR(__xludf.DUMMYFUNCTION("""COMPUTED_VALUE"""),2)</f>
        <v>2</v>
      </c>
      <c r="C694" s="1">
        <f ca="1">IFERROR(__xludf.DUMMYFUNCTION("""COMPUTED_VALUE"""),28)</f>
        <v>28</v>
      </c>
      <c r="D694" s="1">
        <f ca="1">IFERROR(__xludf.DUMMYFUNCTION("""COMPUTED_VALUE"""),2022)</f>
        <v>2022</v>
      </c>
      <c r="E694" s="4">
        <f ca="1">IFERROR(__xludf.DUMMYFUNCTION("""COMPUTED_VALUE"""),44620)</f>
        <v>44620</v>
      </c>
      <c r="F694" s="1" t="str">
        <f ca="1">IFERROR(__xludf.DUMMYFUNCTION("""COMPUTED_VALUE"""),"Jonesboro High School")</f>
        <v>Jonesboro High School</v>
      </c>
      <c r="G694" s="1">
        <f ca="1">IFERROR(__xludf.DUMMYFUNCTION("""COMPUTED_VALUE"""),0)</f>
        <v>0</v>
      </c>
      <c r="H694" s="1">
        <f ca="1">IFERROR(__xludf.DUMMYFUNCTION("""COMPUTED_VALUE"""),0)</f>
        <v>0</v>
      </c>
      <c r="I694" s="1">
        <f ca="1">IFERROR(__xludf.DUMMYFUNCTION("""COMPUTED_VALUE"""),0)</f>
        <v>0</v>
      </c>
      <c r="J694" s="1">
        <f ca="1">IFERROR(__xludf.DUMMYFUNCTION("""COMPUTED_VALUE"""),0)</f>
        <v>0</v>
      </c>
      <c r="K694" s="1" t="str">
        <f ca="1">IFERROR(__xludf.DUMMYFUNCTION("""COMPUTED_VALUE"""),"Winter")</f>
        <v>Winter</v>
      </c>
      <c r="L694" s="1" t="str">
        <f ca="1">IFERROR(__xludf.DUMMYFUNCTION("""COMPUTED_VALUE"""),"Jonesboro")</f>
        <v>Jonesboro</v>
      </c>
      <c r="M694" s="1" t="str">
        <f ca="1">IFERROR(__xludf.DUMMYFUNCTION("""COMPUTED_VALUE"""),"GA")</f>
        <v>GA</v>
      </c>
      <c r="N694" s="1" t="str">
        <f ca="1">IFERROR(__xludf.DUMMYFUNCTION("""COMPUTED_VALUE"""),"High")</f>
        <v>High</v>
      </c>
      <c r="O694" s="1" t="str">
        <f ca="1">IFERROR(__xludf.DUMMYFUNCTION("""COMPUTED_VALUE"""),"Inside School Building")</f>
        <v>Inside School Building</v>
      </c>
      <c r="P694" s="1" t="str">
        <f ca="1">IFERROR(__xludf.DUMMYFUNCTION("""COMPUTED_VALUE"""),"Inside School Building")</f>
        <v>Inside School Building</v>
      </c>
      <c r="Q694" s="1" t="str">
        <f ca="1">IFERROR(__xludf.DUMMYFUNCTION("""COMPUTED_VALUE"""),"Yes")</f>
        <v>Yes</v>
      </c>
      <c r="R694" s="1"/>
      <c r="S694" s="1"/>
      <c r="T694" s="1">
        <f ca="1">IFERROR(__xludf.DUMMYFUNCTION("""COMPUTED_VALUE"""),1)</f>
        <v>1</v>
      </c>
      <c r="U694" s="1" t="str">
        <f ca="1">IFERROR(__xludf.DUMMYFUNCTION("""COMPUTED_VALUE"""),"Student fired gun inside school")</f>
        <v>Student fired gun inside school</v>
      </c>
      <c r="V694" s="1" t="str">
        <f ca="1">IFERROR(__xludf.DUMMYFUNCTION("""COMPUTED_VALUE"""),"A gun went off at Jonesboro High School in Clayton County Monday, sending the school into lockdown and causing police to respond, district officials said. According to Clayton County Public Schools, a student brought the weapon to school. It's unclear how"&amp;" the gun went off. Fortunately no one was injured. School officials did not release where on campus the shot was fired.")</f>
        <v>A gun went off at Jonesboro High School in Clayton County Monday, sending the school into lockdown and causing police to respond, district officials said. According to Clayton County Public Schools, a student brought the weapon to school. It's unclear how the gun went off. Fortunately no one was injured. School officials did not release where on campus the shot was fired.</v>
      </c>
      <c r="W694" s="1"/>
      <c r="X694" s="1"/>
      <c r="Y694" s="1" t="str">
        <f ca="1">IFERROR(__xludf.DUMMYFUNCTION("""COMPUTED_VALUE"""),"No")</f>
        <v>No</v>
      </c>
      <c r="Z694" s="1"/>
      <c r="AA694" s="1" t="str">
        <f ca="1">IFERROR(__xludf.DUMMYFUNCTION("""COMPUTED_VALUE"""),"No")</f>
        <v>No</v>
      </c>
      <c r="AB694" s="1" t="str">
        <f ca="1">IFERROR(__xludf.DUMMYFUNCTION("""COMPUTED_VALUE"""),"No")</f>
        <v>No</v>
      </c>
      <c r="AC694" s="1" t="str">
        <f ca="1">IFERROR(__xludf.DUMMYFUNCTION("""COMPUTED_VALUE"""),"No")</f>
        <v>No</v>
      </c>
      <c r="AD694" s="1" t="str">
        <f ca="1">IFERROR(__xludf.DUMMYFUNCTION("""COMPUTED_VALUE"""),"No")</f>
        <v>No</v>
      </c>
      <c r="AE694" s="1" t="str">
        <f ca="1">IFERROR(__xludf.DUMMYFUNCTION("""COMPUTED_VALUE"""),"No")</f>
        <v>No</v>
      </c>
      <c r="AF694" s="1" t="str">
        <f ca="1">IFERROR(__xludf.DUMMYFUNCTION("""COMPUTED_VALUE"""),"No")</f>
        <v>No</v>
      </c>
      <c r="AG694" s="1" t="str">
        <f ca="1">IFERROR(__xludf.DUMMYFUNCTION("""COMPUTED_VALUE"""),"No")</f>
        <v>No</v>
      </c>
      <c r="AH694" s="1">
        <f ca="1">IFERROR(__xludf.DUMMYFUNCTION("""COMPUTED_VALUE"""),1)</f>
        <v>1</v>
      </c>
    </row>
    <row r="695" spans="1:34" ht="12.5">
      <c r="A695" s="1" t="str">
        <f ca="1">IFERROR(__xludf.DUMMYFUNCTION("""COMPUTED_VALUE"""),"20220228NYBOB")</f>
        <v>20220228NYBOB</v>
      </c>
      <c r="B695" s="1">
        <f ca="1">IFERROR(__xludf.DUMMYFUNCTION("""COMPUTED_VALUE"""),2)</f>
        <v>2</v>
      </c>
      <c r="C695" s="1">
        <f ca="1">IFERROR(__xludf.DUMMYFUNCTION("""COMPUTED_VALUE"""),28)</f>
        <v>28</v>
      </c>
      <c r="D695" s="1">
        <f ca="1">IFERROR(__xludf.DUMMYFUNCTION("""COMPUTED_VALUE"""),2022)</f>
        <v>2022</v>
      </c>
      <c r="E695" s="4">
        <f ca="1">IFERROR(__xludf.DUMMYFUNCTION("""COMPUTED_VALUE"""),44620)</f>
        <v>44620</v>
      </c>
      <c r="F695" s="1" t="str">
        <f ca="1">IFERROR(__xludf.DUMMYFUNCTION("""COMPUTED_VALUE"""),"Boys and Girls High School")</f>
        <v>Boys and Girls High School</v>
      </c>
      <c r="G695" s="1">
        <f ca="1">IFERROR(__xludf.DUMMYFUNCTION("""COMPUTED_VALUE"""),0)</f>
        <v>0</v>
      </c>
      <c r="H695" s="1">
        <f ca="1">IFERROR(__xludf.DUMMYFUNCTION("""COMPUTED_VALUE"""),1)</f>
        <v>1</v>
      </c>
      <c r="I695" s="1">
        <f ca="1">IFERROR(__xludf.DUMMYFUNCTION("""COMPUTED_VALUE"""),1)</f>
        <v>1</v>
      </c>
      <c r="J695" s="1">
        <f ca="1">IFERROR(__xludf.DUMMYFUNCTION("""COMPUTED_VALUE"""),0)</f>
        <v>0</v>
      </c>
      <c r="K695" s="1" t="str">
        <f ca="1">IFERROR(__xludf.DUMMYFUNCTION("""COMPUTED_VALUE"""),"Winter")</f>
        <v>Winter</v>
      </c>
      <c r="L695" s="1" t="str">
        <f ca="1">IFERROR(__xludf.DUMMYFUNCTION("""COMPUTED_VALUE"""),"Brooklyn")</f>
        <v>Brooklyn</v>
      </c>
      <c r="M695" s="1" t="str">
        <f ca="1">IFERROR(__xludf.DUMMYFUNCTION("""COMPUTED_VALUE"""),"NY")</f>
        <v>NY</v>
      </c>
      <c r="N695" s="1" t="str">
        <f ca="1">IFERROR(__xludf.DUMMYFUNCTION("""COMPUTED_VALUE"""),"High")</f>
        <v>High</v>
      </c>
      <c r="O695" s="1" t="str">
        <f ca="1">IFERROR(__xludf.DUMMYFUNCTION("""COMPUTED_VALUE"""),"Front of School")</f>
        <v>Front of School</v>
      </c>
      <c r="P695" s="1" t="str">
        <f ca="1">IFERROR(__xludf.DUMMYFUNCTION("""COMPUTED_VALUE"""),"Outside on School Property")</f>
        <v>Outside on School Property</v>
      </c>
      <c r="Q695" s="1" t="str">
        <f ca="1">IFERROR(__xludf.DUMMYFUNCTION("""COMPUTED_VALUE"""),"Yes")</f>
        <v>Yes</v>
      </c>
      <c r="R695" s="1" t="str">
        <f ca="1">IFERROR(__xludf.DUMMYFUNCTION("""COMPUTED_VALUE"""),"Dismissal")</f>
        <v>Dismissal</v>
      </c>
      <c r="S695" s="5">
        <f ca="1">IFERROR(__xludf.DUMMYFUNCTION("""COMPUTED_VALUE"""),0.618055555555555)</f>
        <v>0.61805555555555503</v>
      </c>
      <c r="T695" s="1">
        <f ca="1">IFERROR(__xludf.DUMMYFUNCTION("""COMPUTED_VALUE"""),1)</f>
        <v>1</v>
      </c>
      <c r="U695" s="1" t="str">
        <f ca="1">IFERROR(__xludf.DUMMYFUNCTION("""COMPUTED_VALUE"""),"Student shot at dismissal in front of school")</f>
        <v>Student shot at dismissal in front of school</v>
      </c>
      <c r="V695" s="1" t="str">
        <f ca="1">IFERROR(__xludf.DUMMYFUNCTION("""COMPUTED_VALUE"""),"A bystander student was shot in front of the school during dismissal. The 14-year-old male student was shot in the leg. Shooter fled. Shooting occurred during a dispute between 2 groups of teens.")</f>
        <v>A bystander student was shot in front of the school during dismissal. The 14-year-old male student was shot in the leg. Shooter fled. Shooting occurred during a dispute between 2 groups of teens.</v>
      </c>
      <c r="W695" s="1" t="str">
        <f ca="1">IFERROR(__xludf.DUMMYFUNCTION("""COMPUTED_VALUE"""),"Escalation of Dispute")</f>
        <v>Escalation of Dispute</v>
      </c>
      <c r="X695" s="1" t="str">
        <f ca="1">IFERROR(__xludf.DUMMYFUNCTION("""COMPUTED_VALUE"""),"Both")</f>
        <v>Both</v>
      </c>
      <c r="Y695" s="1" t="str">
        <f ca="1">IFERROR(__xludf.DUMMYFUNCTION("""COMPUTED_VALUE"""),"No")</f>
        <v>No</v>
      </c>
      <c r="Z695" s="1"/>
      <c r="AA695" s="1" t="str">
        <f ca="1">IFERROR(__xludf.DUMMYFUNCTION("""COMPUTED_VALUE"""),"No")</f>
        <v>No</v>
      </c>
      <c r="AB695" s="1" t="str">
        <f ca="1">IFERROR(__xludf.DUMMYFUNCTION("""COMPUTED_VALUE"""),"No")</f>
        <v>No</v>
      </c>
      <c r="AC695" s="1" t="str">
        <f ca="1">IFERROR(__xludf.DUMMYFUNCTION("""COMPUTED_VALUE"""),"No")</f>
        <v>No</v>
      </c>
      <c r="AD695" s="1" t="str">
        <f ca="1">IFERROR(__xludf.DUMMYFUNCTION("""COMPUTED_VALUE"""),"No")</f>
        <v>No</v>
      </c>
      <c r="AE695" s="1" t="str">
        <f ca="1">IFERROR(__xludf.DUMMYFUNCTION("""COMPUTED_VALUE"""),"No")</f>
        <v>No</v>
      </c>
      <c r="AF695" s="1"/>
      <c r="AG695" s="1" t="str">
        <f ca="1">IFERROR(__xludf.DUMMYFUNCTION("""COMPUTED_VALUE"""),"No")</f>
        <v>No</v>
      </c>
      <c r="AH695" s="1">
        <f ca="1">IFERROR(__xludf.DUMMYFUNCTION("""COMPUTED_VALUE"""),99)</f>
        <v>99</v>
      </c>
    </row>
    <row r="696" spans="1:34" ht="12.5">
      <c r="A696" s="1" t="str">
        <f ca="1">IFERROR(__xludf.DUMMYFUNCTION("""COMPUTED_VALUE"""),"20220227DCDUW")</f>
        <v>20220227DCDUW</v>
      </c>
      <c r="B696" s="1">
        <f ca="1">IFERROR(__xludf.DUMMYFUNCTION("""COMPUTED_VALUE"""),2)</f>
        <v>2</v>
      </c>
      <c r="C696" s="1">
        <f ca="1">IFERROR(__xludf.DUMMYFUNCTION("""COMPUTED_VALUE"""),27)</f>
        <v>27</v>
      </c>
      <c r="D696" s="1">
        <f ca="1">IFERROR(__xludf.DUMMYFUNCTION("""COMPUTED_VALUE"""),2022)</f>
        <v>2022</v>
      </c>
      <c r="E696" s="4">
        <f ca="1">IFERROR(__xludf.DUMMYFUNCTION("""COMPUTED_VALUE"""),44619)</f>
        <v>44619</v>
      </c>
      <c r="F696" s="1" t="str">
        <f ca="1">IFERROR(__xludf.DUMMYFUNCTION("""COMPUTED_VALUE"""),"Dunbar High School")</f>
        <v>Dunbar High School</v>
      </c>
      <c r="G696" s="1">
        <f ca="1">IFERROR(__xludf.DUMMYFUNCTION("""COMPUTED_VALUE"""),1)</f>
        <v>1</v>
      </c>
      <c r="H696" s="1">
        <f ca="1">IFERROR(__xludf.DUMMYFUNCTION("""COMPUTED_VALUE"""),0)</f>
        <v>0</v>
      </c>
      <c r="I696" s="1">
        <f ca="1">IFERROR(__xludf.DUMMYFUNCTION("""COMPUTED_VALUE"""),1)</f>
        <v>1</v>
      </c>
      <c r="J696" s="1">
        <f ca="1">IFERROR(__xludf.DUMMYFUNCTION("""COMPUTED_VALUE"""),0)</f>
        <v>0</v>
      </c>
      <c r="K696" s="1" t="str">
        <f ca="1">IFERROR(__xludf.DUMMYFUNCTION("""COMPUTED_VALUE"""),"Winter")</f>
        <v>Winter</v>
      </c>
      <c r="L696" s="1" t="str">
        <f ca="1">IFERROR(__xludf.DUMMYFUNCTION("""COMPUTED_VALUE"""),"Washington")</f>
        <v>Washington</v>
      </c>
      <c r="M696" s="1" t="str">
        <f ca="1">IFERROR(__xludf.DUMMYFUNCTION("""COMPUTED_VALUE"""),"DC")</f>
        <v>DC</v>
      </c>
      <c r="N696" s="1" t="str">
        <f ca="1">IFERROR(__xludf.DUMMYFUNCTION("""COMPUTED_VALUE"""),"High")</f>
        <v>High</v>
      </c>
      <c r="O696" s="1" t="str">
        <f ca="1">IFERROR(__xludf.DUMMYFUNCTION("""COMPUTED_VALUE"""),"Front of School")</f>
        <v>Front of School</v>
      </c>
      <c r="P696" s="1" t="str">
        <f ca="1">IFERROR(__xludf.DUMMYFUNCTION("""COMPUTED_VALUE"""),"Outside on School Property")</f>
        <v>Outside on School Property</v>
      </c>
      <c r="Q696" s="1" t="str">
        <f ca="1">IFERROR(__xludf.DUMMYFUNCTION("""COMPUTED_VALUE"""),"No")</f>
        <v>No</v>
      </c>
      <c r="R696" s="1" t="str">
        <f ca="1">IFERROR(__xludf.DUMMYFUNCTION("""COMPUTED_VALUE"""),"Not a School Day")</f>
        <v>Not a School Day</v>
      </c>
      <c r="S696" s="5">
        <f ca="1">IFERROR(__xludf.DUMMYFUNCTION("""COMPUTED_VALUE"""),0.215277777777777)</f>
        <v>0.21527777777777701</v>
      </c>
      <c r="T696" s="1">
        <f ca="1">IFERROR(__xludf.DUMMYFUNCTION("""COMPUTED_VALUE"""),1)</f>
        <v>1</v>
      </c>
      <c r="U696" s="1" t="str">
        <f ca="1">IFERROR(__xludf.DUMMYFUNCTION("""COMPUTED_VALUE"""),"Man fatally shot in front of school")</f>
        <v>Man fatally shot in front of school</v>
      </c>
      <c r="V696" s="1" t="str">
        <f ca="1">IFERROR(__xludf.DUMMYFUNCTION("""COMPUTED_VALUE"""),"A 32-year-old man was fatally shot in front of the school. Shooter fled.")</f>
        <v>A 32-year-old man was fatally shot in front of the school. Shooter fled.</v>
      </c>
      <c r="W696" s="1"/>
      <c r="X696" s="1" t="str">
        <f ca="1">IFERROR(__xludf.DUMMYFUNCTION("""COMPUTED_VALUE"""),"Victims Targeted")</f>
        <v>Victims Targeted</v>
      </c>
      <c r="Y696" s="1" t="str">
        <f ca="1">IFERROR(__xludf.DUMMYFUNCTION("""COMPUTED_VALUE"""),"No")</f>
        <v>No</v>
      </c>
      <c r="Z696" s="1"/>
      <c r="AA696" s="1" t="str">
        <f ca="1">IFERROR(__xludf.DUMMYFUNCTION("""COMPUTED_VALUE"""),"No")</f>
        <v>No</v>
      </c>
      <c r="AB696" s="1" t="str">
        <f ca="1">IFERROR(__xludf.DUMMYFUNCTION("""COMPUTED_VALUE"""),"No")</f>
        <v>No</v>
      </c>
      <c r="AC696" s="1" t="str">
        <f ca="1">IFERROR(__xludf.DUMMYFUNCTION("""COMPUTED_VALUE"""),"No")</f>
        <v>No</v>
      </c>
      <c r="AD696" s="1" t="str">
        <f ca="1">IFERROR(__xludf.DUMMYFUNCTION("""COMPUTED_VALUE"""),"No")</f>
        <v>No</v>
      </c>
      <c r="AE696" s="1" t="str">
        <f ca="1">IFERROR(__xludf.DUMMYFUNCTION("""COMPUTED_VALUE"""),"No")</f>
        <v>No</v>
      </c>
      <c r="AF696" s="1"/>
      <c r="AG696" s="1" t="str">
        <f ca="1">IFERROR(__xludf.DUMMYFUNCTION("""COMPUTED_VALUE"""),"No")</f>
        <v>No</v>
      </c>
      <c r="AH696" s="1"/>
    </row>
    <row r="697" spans="1:34" ht="12.5">
      <c r="A697" s="1" t="str">
        <f ca="1">IFERROR(__xludf.DUMMYFUNCTION("""COMPUTED_VALUE"""),"20220225NMWEA")</f>
        <v>20220225NMWEA</v>
      </c>
      <c r="B697" s="1">
        <f ca="1">IFERROR(__xludf.DUMMYFUNCTION("""COMPUTED_VALUE"""),2)</f>
        <v>2</v>
      </c>
      <c r="C697" s="1">
        <f ca="1">IFERROR(__xludf.DUMMYFUNCTION("""COMPUTED_VALUE"""),25)</f>
        <v>25</v>
      </c>
      <c r="D697" s="1">
        <f ca="1">IFERROR(__xludf.DUMMYFUNCTION("""COMPUTED_VALUE"""),2022)</f>
        <v>2022</v>
      </c>
      <c r="E697" s="4">
        <f ca="1">IFERROR(__xludf.DUMMYFUNCTION("""COMPUTED_VALUE"""),44617)</f>
        <v>44617</v>
      </c>
      <c r="F697" s="1" t="str">
        <f ca="1">IFERROR(__xludf.DUMMYFUNCTION("""COMPUTED_VALUE"""),"West Mesa High School")</f>
        <v>West Mesa High School</v>
      </c>
      <c r="G697" s="1">
        <f ca="1">IFERROR(__xludf.DUMMYFUNCTION("""COMPUTED_VALUE"""),1)</f>
        <v>1</v>
      </c>
      <c r="H697" s="1">
        <f ca="1">IFERROR(__xludf.DUMMYFUNCTION("""COMPUTED_VALUE"""),0)</f>
        <v>0</v>
      </c>
      <c r="I697" s="1">
        <f ca="1">IFERROR(__xludf.DUMMYFUNCTION("""COMPUTED_VALUE"""),1)</f>
        <v>1</v>
      </c>
      <c r="J697" s="1">
        <f ca="1">IFERROR(__xludf.DUMMYFUNCTION("""COMPUTED_VALUE"""),0)</f>
        <v>0</v>
      </c>
      <c r="K697" s="1" t="str">
        <f ca="1">IFERROR(__xludf.DUMMYFUNCTION("""COMPUTED_VALUE"""),"Winter")</f>
        <v>Winter</v>
      </c>
      <c r="L697" s="1" t="str">
        <f ca="1">IFERROR(__xludf.DUMMYFUNCTION("""COMPUTED_VALUE"""),"Albuquerque")</f>
        <v>Albuquerque</v>
      </c>
      <c r="M697" s="1" t="str">
        <f ca="1">IFERROR(__xludf.DUMMYFUNCTION("""COMPUTED_VALUE"""),"NM")</f>
        <v>NM</v>
      </c>
      <c r="N697" s="1" t="str">
        <f ca="1">IFERROR(__xludf.DUMMYFUNCTION("""COMPUTED_VALUE"""),"High")</f>
        <v>High</v>
      </c>
      <c r="O697" s="1" t="str">
        <f ca="1">IFERROR(__xludf.DUMMYFUNCTION("""COMPUTED_VALUE"""),"Football Field/Track")</f>
        <v>Football Field/Track</v>
      </c>
      <c r="P697" s="1" t="str">
        <f ca="1">IFERROR(__xludf.DUMMYFUNCTION("""COMPUTED_VALUE"""),"Off School Property")</f>
        <v>Off School Property</v>
      </c>
      <c r="Q697" s="1" t="str">
        <f ca="1">IFERROR(__xludf.DUMMYFUNCTION("""COMPUTED_VALUE"""),"Yes")</f>
        <v>Yes</v>
      </c>
      <c r="R697" s="1" t="str">
        <f ca="1">IFERROR(__xludf.DUMMYFUNCTION("""COMPUTED_VALUE"""),"Morning Classes")</f>
        <v>Morning Classes</v>
      </c>
      <c r="S697" s="5">
        <f ca="1">IFERROR(__xludf.DUMMYFUNCTION("""COMPUTED_VALUE"""),0.333333333333333)</f>
        <v>0.33333333333333298</v>
      </c>
      <c r="T697" s="1">
        <f ca="1">IFERROR(__xludf.DUMMYFUNCTION("""COMPUTED_VALUE"""),1)</f>
        <v>1</v>
      </c>
      <c r="U697" s="1" t="str">
        <f ca="1">IFERROR(__xludf.DUMMYFUNCTION("""COMPUTED_VALUE"""),"Student fatally shot another student during dispute over stolen ""ghost gun""")</f>
        <v>Student fatally shot another student during dispute over stolen "ghost gun"</v>
      </c>
      <c r="V697" s="1" t="str">
        <f ca="1">IFERROR(__xludf.DUMMYFUNCTION("""COMPUTED_VALUE"""),"A 14-year-old student fatally shot a 16-year-old student during a dispute over a stolen gun that was purchased online. The victim was walking in front of the school and was chased by the shooter down the street near the football field. Victim was shot 5-6"&amp;" times and died at the scene. Students changing classes for 2nd period were outside and witnessed the shooting. School went into lockdown and then dismissed early.")</f>
        <v>A 14-year-old student fatally shot a 16-year-old student during a dispute over a stolen gun that was purchased online. The victim was walking in front of the school and was chased by the shooter down the street near the football field. Victim was shot 5-6 times and died at the scene. Students changing classes for 2nd period were outside and witnessed the shooting. School went into lockdown and then dismissed early.</v>
      </c>
      <c r="W697" s="1" t="str">
        <f ca="1">IFERROR(__xludf.DUMMYFUNCTION("""COMPUTED_VALUE"""),"Escalation of Dispute")</f>
        <v>Escalation of Dispute</v>
      </c>
      <c r="X697" s="1" t="str">
        <f ca="1">IFERROR(__xludf.DUMMYFUNCTION("""COMPUTED_VALUE"""),"Victims Targeted")</f>
        <v>Victims Targeted</v>
      </c>
      <c r="Y697" s="1" t="str">
        <f ca="1">IFERROR(__xludf.DUMMYFUNCTION("""COMPUTED_VALUE"""),"No")</f>
        <v>No</v>
      </c>
      <c r="Z697" s="1"/>
      <c r="AA697" s="1" t="str">
        <f ca="1">IFERROR(__xludf.DUMMYFUNCTION("""COMPUTED_VALUE"""),"No")</f>
        <v>No</v>
      </c>
      <c r="AB697" s="1" t="str">
        <f ca="1">IFERROR(__xludf.DUMMYFUNCTION("""COMPUTED_VALUE"""),"No")</f>
        <v>No</v>
      </c>
      <c r="AC697" s="1" t="str">
        <f ca="1">IFERROR(__xludf.DUMMYFUNCTION("""COMPUTED_VALUE"""),"No")</f>
        <v>No</v>
      </c>
      <c r="AD697" s="1" t="str">
        <f ca="1">IFERROR(__xludf.DUMMYFUNCTION("""COMPUTED_VALUE"""),"No")</f>
        <v>No</v>
      </c>
      <c r="AE697" s="1" t="str">
        <f ca="1">IFERROR(__xludf.DUMMYFUNCTION("""COMPUTED_VALUE"""),"No")</f>
        <v>No</v>
      </c>
      <c r="AF697" s="1" t="str">
        <f ca="1">IFERROR(__xludf.DUMMYFUNCTION("""COMPUTED_VALUE"""),"No")</f>
        <v>No</v>
      </c>
      <c r="AG697" s="1" t="str">
        <f ca="1">IFERROR(__xludf.DUMMYFUNCTION("""COMPUTED_VALUE"""),"No")</f>
        <v>No</v>
      </c>
      <c r="AH697" s="1">
        <f ca="1">IFERROR(__xludf.DUMMYFUNCTION("""COMPUTED_VALUE"""),6)</f>
        <v>6</v>
      </c>
    </row>
    <row r="698" spans="1:34" ht="12.5">
      <c r="A698" s="1" t="str">
        <f ca="1">IFERROR(__xludf.DUMMYFUNCTION("""COMPUTED_VALUE"""),"20220225ALSOH")</f>
        <v>20220225ALSOH</v>
      </c>
      <c r="B698" s="1">
        <f ca="1">IFERROR(__xludf.DUMMYFUNCTION("""COMPUTED_VALUE"""),2)</f>
        <v>2</v>
      </c>
      <c r="C698" s="1">
        <f ca="1">IFERROR(__xludf.DUMMYFUNCTION("""COMPUTED_VALUE"""),25)</f>
        <v>25</v>
      </c>
      <c r="D698" s="1">
        <f ca="1">IFERROR(__xludf.DUMMYFUNCTION("""COMPUTED_VALUE"""),2022)</f>
        <v>2022</v>
      </c>
      <c r="E698" s="4">
        <f ca="1">IFERROR(__xludf.DUMMYFUNCTION("""COMPUTED_VALUE"""),44617)</f>
        <v>44617</v>
      </c>
      <c r="F698" s="1" t="str">
        <f ca="1">IFERROR(__xludf.DUMMYFUNCTION("""COMPUTED_VALUE"""),"Sonnie Hereford Elementary")</f>
        <v>Sonnie Hereford Elementary</v>
      </c>
      <c r="G698" s="1">
        <f ca="1">IFERROR(__xludf.DUMMYFUNCTION("""COMPUTED_VALUE"""),0)</f>
        <v>0</v>
      </c>
      <c r="H698" s="1">
        <f ca="1">IFERROR(__xludf.DUMMYFUNCTION("""COMPUTED_VALUE"""),0)</f>
        <v>0</v>
      </c>
      <c r="I698" s="1">
        <f ca="1">IFERROR(__xludf.DUMMYFUNCTION("""COMPUTED_VALUE"""),0)</f>
        <v>0</v>
      </c>
      <c r="J698" s="1">
        <f ca="1">IFERROR(__xludf.DUMMYFUNCTION("""COMPUTED_VALUE"""),0)</f>
        <v>0</v>
      </c>
      <c r="K698" s="1" t="str">
        <f ca="1">IFERROR(__xludf.DUMMYFUNCTION("""COMPUTED_VALUE"""),"Winter")</f>
        <v>Winter</v>
      </c>
      <c r="L698" s="1" t="str">
        <f ca="1">IFERROR(__xludf.DUMMYFUNCTION("""COMPUTED_VALUE"""),"Huntsville")</f>
        <v>Huntsville</v>
      </c>
      <c r="M698" s="1" t="str">
        <f ca="1">IFERROR(__xludf.DUMMYFUNCTION("""COMPUTED_VALUE"""),"AL")</f>
        <v>AL</v>
      </c>
      <c r="N698" s="1" t="str">
        <f ca="1">IFERROR(__xludf.DUMMYFUNCTION("""COMPUTED_VALUE"""),"Elementary")</f>
        <v>Elementary</v>
      </c>
      <c r="O698" s="1" t="str">
        <f ca="1">IFERROR(__xludf.DUMMYFUNCTION("""COMPUTED_VALUE"""),"Classroom")</f>
        <v>Classroom</v>
      </c>
      <c r="P698" s="1" t="str">
        <f ca="1">IFERROR(__xludf.DUMMYFUNCTION("""COMPUTED_VALUE"""),"Inside School Building")</f>
        <v>Inside School Building</v>
      </c>
      <c r="Q698" s="1" t="str">
        <f ca="1">IFERROR(__xludf.DUMMYFUNCTION("""COMPUTED_VALUE"""),"Yes")</f>
        <v>Yes</v>
      </c>
      <c r="R698" s="1" t="str">
        <f ca="1">IFERROR(__xludf.DUMMYFUNCTION("""COMPUTED_VALUE"""),"Morning Classes")</f>
        <v>Morning Classes</v>
      </c>
      <c r="S698" s="5">
        <f ca="1">IFERROR(__xludf.DUMMYFUNCTION("""COMPUTED_VALUE"""),0.4375)</f>
        <v>0.4375</v>
      </c>
      <c r="T698" s="1">
        <f ca="1">IFERROR(__xludf.DUMMYFUNCTION("""COMPUTED_VALUE"""),1)</f>
        <v>1</v>
      </c>
      <c r="U698" s="1" t="str">
        <f ca="1">IFERROR(__xludf.DUMMYFUNCTION("""COMPUTED_VALUE"""),"4th grader shot themselves inside classroom")</f>
        <v>4th grader shot themselves inside classroom</v>
      </c>
      <c r="V698" s="1" t="str">
        <f ca="1">IFERROR(__xludf.DUMMYFUNCTION("""COMPUTED_VALUE"""),"A 4th grader accidentally shot themselves inside a classroom during morning classes. School went on lockdown. Student was transported to the hospital.")</f>
        <v>A 4th grader accidentally shot themselves inside a classroom during morning classes. School went on lockdown. Student was transported to the hospital.</v>
      </c>
      <c r="W698" s="1" t="str">
        <f ca="1">IFERROR(__xludf.DUMMYFUNCTION("""COMPUTED_VALUE"""),"Accidental")</f>
        <v>Accidental</v>
      </c>
      <c r="X698" s="1" t="str">
        <f ca="1">IFERROR(__xludf.DUMMYFUNCTION("""COMPUTED_VALUE"""),"Neither")</f>
        <v>Neither</v>
      </c>
      <c r="Y698" s="1" t="str">
        <f ca="1">IFERROR(__xludf.DUMMYFUNCTION("""COMPUTED_VALUE"""),"No")</f>
        <v>No</v>
      </c>
      <c r="Z698" s="1"/>
      <c r="AA698" s="1" t="str">
        <f ca="1">IFERROR(__xludf.DUMMYFUNCTION("""COMPUTED_VALUE"""),"No")</f>
        <v>No</v>
      </c>
      <c r="AB698" s="1" t="str">
        <f ca="1">IFERROR(__xludf.DUMMYFUNCTION("""COMPUTED_VALUE"""),"No")</f>
        <v>No</v>
      </c>
      <c r="AC698" s="1" t="str">
        <f ca="1">IFERROR(__xludf.DUMMYFUNCTION("""COMPUTED_VALUE"""),"No")</f>
        <v>No</v>
      </c>
      <c r="AD698" s="1" t="str">
        <f ca="1">IFERROR(__xludf.DUMMYFUNCTION("""COMPUTED_VALUE"""),"No")</f>
        <v>No</v>
      </c>
      <c r="AE698" s="1" t="str">
        <f ca="1">IFERROR(__xludf.DUMMYFUNCTION("""COMPUTED_VALUE"""),"No")</f>
        <v>No</v>
      </c>
      <c r="AF698" s="1" t="str">
        <f ca="1">IFERROR(__xludf.DUMMYFUNCTION("""COMPUTED_VALUE"""),"No")</f>
        <v>No</v>
      </c>
      <c r="AG698" s="1" t="str">
        <f ca="1">IFERROR(__xludf.DUMMYFUNCTION("""COMPUTED_VALUE"""),"No")</f>
        <v>No</v>
      </c>
      <c r="AH698" s="1">
        <f ca="1">IFERROR(__xludf.DUMMYFUNCTION("""COMPUTED_VALUE"""),1)</f>
        <v>1</v>
      </c>
    </row>
    <row r="699" spans="1:34" ht="12.5">
      <c r="A699" s="1" t="str">
        <f ca="1">IFERROR(__xludf.DUMMYFUNCTION("""COMPUTED_VALUE"""),"20220223VAWOW")</f>
        <v>20220223VAWOW</v>
      </c>
      <c r="B699" s="1">
        <f ca="1">IFERROR(__xludf.DUMMYFUNCTION("""COMPUTED_VALUE"""),2)</f>
        <v>2</v>
      </c>
      <c r="C699" s="1">
        <f ca="1">IFERROR(__xludf.DUMMYFUNCTION("""COMPUTED_VALUE"""),23)</f>
        <v>23</v>
      </c>
      <c r="D699" s="1">
        <f ca="1">IFERROR(__xludf.DUMMYFUNCTION("""COMPUTED_VALUE"""),2022)</f>
        <v>2022</v>
      </c>
      <c r="E699" s="4">
        <f ca="1">IFERROR(__xludf.DUMMYFUNCTION("""COMPUTED_VALUE"""),44615)</f>
        <v>44615</v>
      </c>
      <c r="F699" s="1" t="str">
        <f ca="1">IFERROR(__xludf.DUMMYFUNCTION("""COMPUTED_VALUE"""),"Woodbridge High School")</f>
        <v>Woodbridge High School</v>
      </c>
      <c r="G699" s="1">
        <f ca="1">IFERROR(__xludf.DUMMYFUNCTION("""COMPUTED_VALUE"""),0)</f>
        <v>0</v>
      </c>
      <c r="H699" s="1">
        <f ca="1">IFERROR(__xludf.DUMMYFUNCTION("""COMPUTED_VALUE"""),0)</f>
        <v>0</v>
      </c>
      <c r="I699" s="1">
        <f ca="1">IFERROR(__xludf.DUMMYFUNCTION("""COMPUTED_VALUE"""),0)</f>
        <v>0</v>
      </c>
      <c r="J699" s="1">
        <f ca="1">IFERROR(__xludf.DUMMYFUNCTION("""COMPUTED_VALUE"""),0)</f>
        <v>0</v>
      </c>
      <c r="K699" s="1" t="str">
        <f ca="1">IFERROR(__xludf.DUMMYFUNCTION("""COMPUTED_VALUE"""),"Winter")</f>
        <v>Winter</v>
      </c>
      <c r="L699" s="1" t="str">
        <f ca="1">IFERROR(__xludf.DUMMYFUNCTION("""COMPUTED_VALUE"""),"Woodbridge")</f>
        <v>Woodbridge</v>
      </c>
      <c r="M699" s="1" t="str">
        <f ca="1">IFERROR(__xludf.DUMMYFUNCTION("""COMPUTED_VALUE"""),"VA")</f>
        <v>VA</v>
      </c>
      <c r="N699" s="1" t="str">
        <f ca="1">IFERROR(__xludf.DUMMYFUNCTION("""COMPUTED_VALUE"""),"High")</f>
        <v>High</v>
      </c>
      <c r="O699" s="1" t="str">
        <f ca="1">IFERROR(__xludf.DUMMYFUNCTION("""COMPUTED_VALUE"""),"Parking Lot")</f>
        <v>Parking Lot</v>
      </c>
      <c r="P699" s="1" t="str">
        <f ca="1">IFERROR(__xludf.DUMMYFUNCTION("""COMPUTED_VALUE"""),"Outside on School Property")</f>
        <v>Outside on School Property</v>
      </c>
      <c r="Q699" s="1" t="str">
        <f ca="1">IFERROR(__xludf.DUMMYFUNCTION("""COMPUTED_VALUE"""),"No")</f>
        <v>No</v>
      </c>
      <c r="R699" s="1" t="str">
        <f ca="1">IFERROR(__xludf.DUMMYFUNCTION("""COMPUTED_VALUE"""),"Sport Event")</f>
        <v>Sport Event</v>
      </c>
      <c r="S699" s="5">
        <f ca="1">IFERROR(__xludf.DUMMYFUNCTION("""COMPUTED_VALUE"""),0.840277777777777)</f>
        <v>0.84027777777777701</v>
      </c>
      <c r="T699" s="1">
        <f ca="1">IFERROR(__xludf.DUMMYFUNCTION("""COMPUTED_VALUE"""),1)</f>
        <v>1</v>
      </c>
      <c r="U699" s="1" t="str">
        <f ca="1">IFERROR(__xludf.DUMMYFUNCTION("""COMPUTED_VALUE"""),"Shot fired during fight in parking lot outside basketball game")</f>
        <v>Shot fired during fight in parking lot outside basketball game</v>
      </c>
      <c r="V699" s="1" t="str">
        <f ca="1">IFERROR(__xludf.DUMMYFUNCTION("""COMPUTED_VALUE"""),"A fight started in the parking lot of the school during a high school basketball game. Two officers assigned to the game went outside to break up the fight. One shot was fired from a vehicle leaving the parking lot. No injuries.")</f>
        <v>A fight started in the parking lot of the school during a high school basketball game. Two officers assigned to the game went outside to break up the fight. One shot was fired from a vehicle leaving the parking lot. No injuries.</v>
      </c>
      <c r="W699" s="1" t="str">
        <f ca="1">IFERROR(__xludf.DUMMYFUNCTION("""COMPUTED_VALUE"""),"Escalation of Dispute")</f>
        <v>Escalation of Dispute</v>
      </c>
      <c r="X699" s="1" t="str">
        <f ca="1">IFERROR(__xludf.DUMMYFUNCTION("""COMPUTED_VALUE"""),"Victims Targeted")</f>
        <v>Victims Targeted</v>
      </c>
      <c r="Y699" s="1" t="str">
        <f ca="1">IFERROR(__xludf.DUMMYFUNCTION("""COMPUTED_VALUE"""),"No")</f>
        <v>No</v>
      </c>
      <c r="Z699" s="1"/>
      <c r="AA699" s="1" t="str">
        <f ca="1">IFERROR(__xludf.DUMMYFUNCTION("""COMPUTED_VALUE"""),"No")</f>
        <v>No</v>
      </c>
      <c r="AB699" s="1" t="str">
        <f ca="1">IFERROR(__xludf.DUMMYFUNCTION("""COMPUTED_VALUE"""),"No")</f>
        <v>No</v>
      </c>
      <c r="AC699" s="1" t="str">
        <f ca="1">IFERROR(__xludf.DUMMYFUNCTION("""COMPUTED_VALUE"""),"No")</f>
        <v>No</v>
      </c>
      <c r="AD699" s="1" t="str">
        <f ca="1">IFERROR(__xludf.DUMMYFUNCTION("""COMPUTED_VALUE"""),"No")</f>
        <v>No</v>
      </c>
      <c r="AE699" s="1" t="str">
        <f ca="1">IFERROR(__xludf.DUMMYFUNCTION("""COMPUTED_VALUE"""),"No")</f>
        <v>No</v>
      </c>
      <c r="AF699" s="1" t="str">
        <f ca="1">IFERROR(__xludf.DUMMYFUNCTION("""COMPUTED_VALUE"""),"No")</f>
        <v>No</v>
      </c>
      <c r="AG699" s="1" t="str">
        <f ca="1">IFERROR(__xludf.DUMMYFUNCTION("""COMPUTED_VALUE"""),"No")</f>
        <v>No</v>
      </c>
      <c r="AH699" s="1">
        <f ca="1">IFERROR(__xludf.DUMMYFUNCTION("""COMPUTED_VALUE"""),1)</f>
        <v>1</v>
      </c>
    </row>
    <row r="700" spans="1:34" ht="12.5">
      <c r="A700" s="1" t="str">
        <f ca="1">IFERROR(__xludf.DUMMYFUNCTION("""COMPUTED_VALUE"""),"20220222TXALH")</f>
        <v>20220222TXALH</v>
      </c>
      <c r="B700" s="1">
        <f ca="1">IFERROR(__xludf.DUMMYFUNCTION("""COMPUTED_VALUE"""),2)</f>
        <v>2</v>
      </c>
      <c r="C700" s="1">
        <f ca="1">IFERROR(__xludf.DUMMYFUNCTION("""COMPUTED_VALUE"""),22)</f>
        <v>22</v>
      </c>
      <c r="D700" s="1">
        <f ca="1">IFERROR(__xludf.DUMMYFUNCTION("""COMPUTED_VALUE"""),2022)</f>
        <v>2022</v>
      </c>
      <c r="E700" s="4">
        <f ca="1">IFERROR(__xludf.DUMMYFUNCTION("""COMPUTED_VALUE"""),44614)</f>
        <v>44614</v>
      </c>
      <c r="F700" s="1" t="str">
        <f ca="1">IFERROR(__xludf.DUMMYFUNCTION("""COMPUTED_VALUE"""),"Alief ISD Center for Advanced Careers")</f>
        <v>Alief ISD Center for Advanced Careers</v>
      </c>
      <c r="G700" s="1">
        <f ca="1">IFERROR(__xludf.DUMMYFUNCTION("""COMPUTED_VALUE"""),1)</f>
        <v>1</v>
      </c>
      <c r="H700" s="1">
        <f ca="1">IFERROR(__xludf.DUMMYFUNCTION("""COMPUTED_VALUE"""),0)</f>
        <v>0</v>
      </c>
      <c r="I700" s="1">
        <f ca="1">IFERROR(__xludf.DUMMYFUNCTION("""COMPUTED_VALUE"""),1)</f>
        <v>1</v>
      </c>
      <c r="J700" s="1">
        <f ca="1">IFERROR(__xludf.DUMMYFUNCTION("""COMPUTED_VALUE"""),0)</f>
        <v>0</v>
      </c>
      <c r="K700" s="1" t="str">
        <f ca="1">IFERROR(__xludf.DUMMYFUNCTION("""COMPUTED_VALUE"""),"Winter")</f>
        <v>Winter</v>
      </c>
      <c r="L700" s="1" t="str">
        <f ca="1">IFERROR(__xludf.DUMMYFUNCTION("""COMPUTED_VALUE"""),"Houston")</f>
        <v>Houston</v>
      </c>
      <c r="M700" s="1" t="str">
        <f ca="1">IFERROR(__xludf.DUMMYFUNCTION("""COMPUTED_VALUE"""),"TX")</f>
        <v>TX</v>
      </c>
      <c r="N700" s="1" t="str">
        <f ca="1">IFERROR(__xludf.DUMMYFUNCTION("""COMPUTED_VALUE"""),"High")</f>
        <v>High</v>
      </c>
      <c r="O700" s="1" t="str">
        <f ca="1">IFERROR(__xludf.DUMMYFUNCTION("""COMPUTED_VALUE"""),"Parking Lot")</f>
        <v>Parking Lot</v>
      </c>
      <c r="P700" s="1" t="str">
        <f ca="1">IFERROR(__xludf.DUMMYFUNCTION("""COMPUTED_VALUE"""),"Off School Property")</f>
        <v>Off School Property</v>
      </c>
      <c r="Q700" s="1" t="str">
        <f ca="1">IFERROR(__xludf.DUMMYFUNCTION("""COMPUTED_VALUE"""),"No")</f>
        <v>No</v>
      </c>
      <c r="R700" s="1" t="str">
        <f ca="1">IFERROR(__xludf.DUMMYFUNCTION("""COMPUTED_VALUE"""),"After School")</f>
        <v>After School</v>
      </c>
      <c r="S700" s="5">
        <f ca="1">IFERROR(__xludf.DUMMYFUNCTION("""COMPUTED_VALUE"""),0.6875)</f>
        <v>0.6875</v>
      </c>
      <c r="T700" s="1">
        <f ca="1">IFERROR(__xludf.DUMMYFUNCTION("""COMPUTED_VALUE"""),1)</f>
        <v>1</v>
      </c>
      <c r="U700" s="1" t="str">
        <f ca="1">IFERROR(__xludf.DUMMYFUNCTION("""COMPUTED_VALUE"""),"Two men shot in street in front of school, victim collapsed and died in school parking lot near front door")</f>
        <v>Two men shot in street in front of school, victim collapsed and died in school parking lot near front door</v>
      </c>
      <c r="V700" s="1" t="str">
        <f ca="1">IFERROR(__xludf.DUMMYFUNCTION("""COMPUTED_VALUE"""),"Two men were shot during a dispute in the roadway in front of the school. One victim walked across the school parking lot and collapsed then died near the front door. Parents were picking up students at the time of the shooting.")</f>
        <v>Two men were shot during a dispute in the roadway in front of the school. One victim walked across the school parking lot and collapsed then died near the front door. Parents were picking up students at the time of the shooting.</v>
      </c>
      <c r="W700" s="1" t="str">
        <f ca="1">IFERROR(__xludf.DUMMYFUNCTION("""COMPUTED_VALUE"""),"Escalation of Dispute")</f>
        <v>Escalation of Dispute</v>
      </c>
      <c r="X700" s="1" t="str">
        <f ca="1">IFERROR(__xludf.DUMMYFUNCTION("""COMPUTED_VALUE"""),"Victims Targeted")</f>
        <v>Victims Targeted</v>
      </c>
      <c r="Y700" s="1"/>
      <c r="Z700" s="1"/>
      <c r="AA700" s="1" t="str">
        <f ca="1">IFERROR(__xludf.DUMMYFUNCTION("""COMPUTED_VALUE"""),"No")</f>
        <v>No</v>
      </c>
      <c r="AB700" s="1" t="str">
        <f ca="1">IFERROR(__xludf.DUMMYFUNCTION("""COMPUTED_VALUE"""),"No")</f>
        <v>No</v>
      </c>
      <c r="AC700" s="1" t="str">
        <f ca="1">IFERROR(__xludf.DUMMYFUNCTION("""COMPUTED_VALUE"""),"No")</f>
        <v>No</v>
      </c>
      <c r="AD700" s="1" t="str">
        <f ca="1">IFERROR(__xludf.DUMMYFUNCTION("""COMPUTED_VALUE"""),"No")</f>
        <v>No</v>
      </c>
      <c r="AE700" s="1" t="str">
        <f ca="1">IFERROR(__xludf.DUMMYFUNCTION("""COMPUTED_VALUE"""),"No")</f>
        <v>No</v>
      </c>
      <c r="AF700" s="1" t="str">
        <f ca="1">IFERROR(__xludf.DUMMYFUNCTION("""COMPUTED_VALUE"""),"No")</f>
        <v>No</v>
      </c>
      <c r="AG700" s="1" t="str">
        <f ca="1">IFERROR(__xludf.DUMMYFUNCTION("""COMPUTED_VALUE"""),"No")</f>
        <v>No</v>
      </c>
      <c r="AH700" s="1">
        <f ca="1">IFERROR(__xludf.DUMMYFUNCTION("""COMPUTED_VALUE"""),99)</f>
        <v>99</v>
      </c>
    </row>
    <row r="701" spans="1:34" ht="12.5">
      <c r="A701" s="1" t="str">
        <f ca="1">IFERROR(__xludf.DUMMYFUNCTION("""COMPUTED_VALUE"""),"20220222COLIP")</f>
        <v>20220222COLIP</v>
      </c>
      <c r="B701" s="1">
        <f ca="1">IFERROR(__xludf.DUMMYFUNCTION("""COMPUTED_VALUE"""),2)</f>
        <v>2</v>
      </c>
      <c r="C701" s="1">
        <f ca="1">IFERROR(__xludf.DUMMYFUNCTION("""COMPUTED_VALUE"""),22)</f>
        <v>22</v>
      </c>
      <c r="D701" s="1">
        <f ca="1">IFERROR(__xludf.DUMMYFUNCTION("""COMPUTED_VALUE"""),2022)</f>
        <v>2022</v>
      </c>
      <c r="E701" s="4">
        <f ca="1">IFERROR(__xludf.DUMMYFUNCTION("""COMPUTED_VALUE"""),44614)</f>
        <v>44614</v>
      </c>
      <c r="F701" s="1" t="str">
        <f ca="1">IFERROR(__xludf.DUMMYFUNCTION("""COMPUTED_VALUE"""),"Liberty Point International Middle School")</f>
        <v>Liberty Point International Middle School</v>
      </c>
      <c r="G701" s="1">
        <f ca="1">IFERROR(__xludf.DUMMYFUNCTION("""COMPUTED_VALUE"""),1)</f>
        <v>1</v>
      </c>
      <c r="H701" s="1">
        <f ca="1">IFERROR(__xludf.DUMMYFUNCTION("""COMPUTED_VALUE"""),0)</f>
        <v>0</v>
      </c>
      <c r="I701" s="1">
        <f ca="1">IFERROR(__xludf.DUMMYFUNCTION("""COMPUTED_VALUE"""),1)</f>
        <v>1</v>
      </c>
      <c r="J701" s="1">
        <f ca="1">IFERROR(__xludf.DUMMYFUNCTION("""COMPUTED_VALUE"""),0)</f>
        <v>0</v>
      </c>
      <c r="K701" s="1" t="str">
        <f ca="1">IFERROR(__xludf.DUMMYFUNCTION("""COMPUTED_VALUE"""),"Winter")</f>
        <v>Winter</v>
      </c>
      <c r="L701" s="1" t="str">
        <f ca="1">IFERROR(__xludf.DUMMYFUNCTION("""COMPUTED_VALUE"""),"Pueblo")</f>
        <v>Pueblo</v>
      </c>
      <c r="M701" s="1" t="str">
        <f ca="1">IFERROR(__xludf.DUMMYFUNCTION("""COMPUTED_VALUE"""),"CO")</f>
        <v>CO</v>
      </c>
      <c r="N701" s="1" t="str">
        <f ca="1">IFERROR(__xludf.DUMMYFUNCTION("""COMPUTED_VALUE"""),"Middle")</f>
        <v>Middle</v>
      </c>
      <c r="O701" s="1" t="str">
        <f ca="1">IFERROR(__xludf.DUMMYFUNCTION("""COMPUTED_VALUE"""),"Beside Building")</f>
        <v>Beside Building</v>
      </c>
      <c r="P701" s="1" t="str">
        <f ca="1">IFERROR(__xludf.DUMMYFUNCTION("""COMPUTED_VALUE"""),"Outside on School Property")</f>
        <v>Outside on School Property</v>
      </c>
      <c r="Q701" s="1" t="str">
        <f ca="1">IFERROR(__xludf.DUMMYFUNCTION("""COMPUTED_VALUE"""),"Yes")</f>
        <v>Yes</v>
      </c>
      <c r="R701" s="1" t="str">
        <f ca="1">IFERROR(__xludf.DUMMYFUNCTION("""COMPUTED_VALUE"""),"Dismissal")</f>
        <v>Dismissal</v>
      </c>
      <c r="S701" s="5">
        <f ca="1">IFERROR(__xludf.DUMMYFUNCTION("""COMPUTED_VALUE"""),0.638888888888888)</f>
        <v>0.63888888888888795</v>
      </c>
      <c r="T701" s="1">
        <f ca="1">IFERROR(__xludf.DUMMYFUNCTION("""COMPUTED_VALUE"""),1)</f>
        <v>1</v>
      </c>
      <c r="U701" s="1" t="str">
        <f ca="1">IFERROR(__xludf.DUMMYFUNCTION("""COMPUTED_VALUE"""),"Officers shot intoxicated and combative man on school property")</f>
        <v>Officers shot intoxicated and combative man on school property</v>
      </c>
      <c r="V701" s="1" t="str">
        <f ca="1">IFERROR(__xludf.DUMMYFUNCTION("""COMPUTED_VALUE"""),"School staff called officers for an man on school property. When officers arrived, the man became combative and attacked on of the officers. The other officer fatally shot the man. No students or staff were injured.")</f>
        <v>School staff called officers for an man on school property. When officers arrived, the man became combative and attacked on of the officers. The other officer fatally shot the man. No students or staff were injured.</v>
      </c>
      <c r="W701" s="1" t="str">
        <f ca="1">IFERROR(__xludf.DUMMYFUNCTION("""COMPUTED_VALUE"""),"Officer-Involved Shooting")</f>
        <v>Officer-Involved Shooting</v>
      </c>
      <c r="X701" s="1" t="str">
        <f ca="1">IFERROR(__xludf.DUMMYFUNCTION("""COMPUTED_VALUE"""),"Victims Targeted")</f>
        <v>Victims Targeted</v>
      </c>
      <c r="Y701" s="1" t="str">
        <f ca="1">IFERROR(__xludf.DUMMYFUNCTION("""COMPUTED_VALUE"""),"No")</f>
        <v>No</v>
      </c>
      <c r="Z701" s="1"/>
      <c r="AA701" s="1" t="str">
        <f ca="1">IFERROR(__xludf.DUMMYFUNCTION("""COMPUTED_VALUE"""),"No")</f>
        <v>No</v>
      </c>
      <c r="AB701" s="1" t="str">
        <f ca="1">IFERROR(__xludf.DUMMYFUNCTION("""COMPUTED_VALUE"""),"No")</f>
        <v>No</v>
      </c>
      <c r="AC701" s="1" t="str">
        <f ca="1">IFERROR(__xludf.DUMMYFUNCTION("""COMPUTED_VALUE"""),"Yes")</f>
        <v>Yes</v>
      </c>
      <c r="AD701" s="1" t="str">
        <f ca="1">IFERROR(__xludf.DUMMYFUNCTION("""COMPUTED_VALUE"""),"No")</f>
        <v>No</v>
      </c>
      <c r="AE701" s="1" t="str">
        <f ca="1">IFERROR(__xludf.DUMMYFUNCTION("""COMPUTED_VALUE"""),"No")</f>
        <v>No</v>
      </c>
      <c r="AF701" s="1" t="str">
        <f ca="1">IFERROR(__xludf.DUMMYFUNCTION("""COMPUTED_VALUE"""),"No")</f>
        <v>No</v>
      </c>
      <c r="AG701" s="1" t="str">
        <f ca="1">IFERROR(__xludf.DUMMYFUNCTION("""COMPUTED_VALUE"""),"No")</f>
        <v>No</v>
      </c>
      <c r="AH701" s="1">
        <f ca="1">IFERROR(__xludf.DUMMYFUNCTION("""COMPUTED_VALUE"""),3)</f>
        <v>3</v>
      </c>
    </row>
    <row r="702" spans="1:34" ht="12.5">
      <c r="A702" s="1" t="str">
        <f ca="1">IFERROR(__xludf.DUMMYFUNCTION("""COMPUTED_VALUE"""),"20220221MDJOH")</f>
        <v>20220221MDJOH</v>
      </c>
      <c r="B702" s="1">
        <f ca="1">IFERROR(__xludf.DUMMYFUNCTION("""COMPUTED_VALUE"""),2)</f>
        <v>2</v>
      </c>
      <c r="C702" s="1">
        <f ca="1">IFERROR(__xludf.DUMMYFUNCTION("""COMPUTED_VALUE"""),21)</f>
        <v>21</v>
      </c>
      <c r="D702" s="1">
        <f ca="1">IFERROR(__xludf.DUMMYFUNCTION("""COMPUTED_VALUE"""),2022)</f>
        <v>2022</v>
      </c>
      <c r="E702" s="4">
        <f ca="1">IFERROR(__xludf.DUMMYFUNCTION("""COMPUTED_VALUE"""),44613)</f>
        <v>44613</v>
      </c>
      <c r="F702" s="1" t="str">
        <f ca="1">IFERROR(__xludf.DUMMYFUNCTION("""COMPUTED_VALUE"""),"John Carroll Elementary School")</f>
        <v>John Carroll Elementary School</v>
      </c>
      <c r="G702" s="1">
        <f ca="1">IFERROR(__xludf.DUMMYFUNCTION("""COMPUTED_VALUE"""),1)</f>
        <v>1</v>
      </c>
      <c r="H702" s="1">
        <f ca="1">IFERROR(__xludf.DUMMYFUNCTION("""COMPUTED_VALUE"""),0)</f>
        <v>0</v>
      </c>
      <c r="I702" s="1">
        <f ca="1">IFERROR(__xludf.DUMMYFUNCTION("""COMPUTED_VALUE"""),1)</f>
        <v>1</v>
      </c>
      <c r="J702" s="1">
        <f ca="1">IFERROR(__xludf.DUMMYFUNCTION("""COMPUTED_VALUE"""),0)</f>
        <v>0</v>
      </c>
      <c r="K702" s="1" t="str">
        <f ca="1">IFERROR(__xludf.DUMMYFUNCTION("""COMPUTED_VALUE"""),"Winter")</f>
        <v>Winter</v>
      </c>
      <c r="L702" s="1" t="str">
        <f ca="1">IFERROR(__xludf.DUMMYFUNCTION("""COMPUTED_VALUE"""),"Hyattsville")</f>
        <v>Hyattsville</v>
      </c>
      <c r="M702" s="1" t="str">
        <f ca="1">IFERROR(__xludf.DUMMYFUNCTION("""COMPUTED_VALUE"""),"MD")</f>
        <v>MD</v>
      </c>
      <c r="N702" s="1" t="str">
        <f ca="1">IFERROR(__xludf.DUMMYFUNCTION("""COMPUTED_VALUE"""),"Elementary")</f>
        <v>Elementary</v>
      </c>
      <c r="O702" s="1" t="str">
        <f ca="1">IFERROR(__xludf.DUMMYFUNCTION("""COMPUTED_VALUE"""),"Playground")</f>
        <v>Playground</v>
      </c>
      <c r="P702" s="1" t="str">
        <f ca="1">IFERROR(__xludf.DUMMYFUNCTION("""COMPUTED_VALUE"""),"Outside on School Property")</f>
        <v>Outside on School Property</v>
      </c>
      <c r="Q702" s="1" t="str">
        <f ca="1">IFERROR(__xludf.DUMMYFUNCTION("""COMPUTED_VALUE"""),"No")</f>
        <v>No</v>
      </c>
      <c r="R702" s="1" t="str">
        <f ca="1">IFERROR(__xludf.DUMMYFUNCTION("""COMPUTED_VALUE"""),"Evening")</f>
        <v>Evening</v>
      </c>
      <c r="S702" s="5">
        <f ca="1">IFERROR(__xludf.DUMMYFUNCTION("""COMPUTED_VALUE"""),0.722222222222222)</f>
        <v>0.72222222222222199</v>
      </c>
      <c r="T702" s="1">
        <f ca="1">IFERROR(__xludf.DUMMYFUNCTION("""COMPUTED_VALUE"""),1)</f>
        <v>1</v>
      </c>
      <c r="U702" s="1" t="str">
        <f ca="1">IFERROR(__xludf.DUMMYFUNCTION("""COMPUTED_VALUE"""),"Man fatally shot on playground behind school")</f>
        <v>Man fatally shot on playground behind school</v>
      </c>
      <c r="V702" s="1" t="str">
        <f ca="1">IFERROR(__xludf.DUMMYFUNCTION("""COMPUTED_VALUE"""),"An adult male was fatally shot on the school playground. Children were on the playground at the time of the shooting. Shooter fled. Parent reported seeing a group of men walk up to the playground and start smoking marijuana before the shooting.")</f>
        <v>An adult male was fatally shot on the school playground. Children were on the playground at the time of the shooting. Shooter fled. Parent reported seeing a group of men walk up to the playground and start smoking marijuana before the shooting.</v>
      </c>
      <c r="W702" s="1" t="str">
        <f ca="1">IFERROR(__xludf.DUMMYFUNCTION("""COMPUTED_VALUE"""),"Illegal Activity")</f>
        <v>Illegal Activity</v>
      </c>
      <c r="X702" s="1" t="str">
        <f ca="1">IFERROR(__xludf.DUMMYFUNCTION("""COMPUTED_VALUE"""),"Victims Targeted")</f>
        <v>Victims Targeted</v>
      </c>
      <c r="Y702" s="1" t="str">
        <f ca="1">IFERROR(__xludf.DUMMYFUNCTION("""COMPUTED_VALUE"""),"No")</f>
        <v>No</v>
      </c>
      <c r="Z702" s="1"/>
      <c r="AA702" s="1" t="str">
        <f ca="1">IFERROR(__xludf.DUMMYFUNCTION("""COMPUTED_VALUE"""),"No")</f>
        <v>No</v>
      </c>
      <c r="AB702" s="1" t="str">
        <f ca="1">IFERROR(__xludf.DUMMYFUNCTION("""COMPUTED_VALUE"""),"No")</f>
        <v>No</v>
      </c>
      <c r="AC702" s="1" t="str">
        <f ca="1">IFERROR(__xludf.DUMMYFUNCTION("""COMPUTED_VALUE"""),"No")</f>
        <v>No</v>
      </c>
      <c r="AD702" s="1" t="str">
        <f ca="1">IFERROR(__xludf.DUMMYFUNCTION("""COMPUTED_VALUE"""),"No")</f>
        <v>No</v>
      </c>
      <c r="AE702" s="1" t="str">
        <f ca="1">IFERROR(__xludf.DUMMYFUNCTION("""COMPUTED_VALUE"""),"No")</f>
        <v>No</v>
      </c>
      <c r="AF702" s="1"/>
      <c r="AG702" s="1" t="str">
        <f ca="1">IFERROR(__xludf.DUMMYFUNCTION("""COMPUTED_VALUE"""),"No")</f>
        <v>No</v>
      </c>
      <c r="AH702" s="1">
        <f ca="1">IFERROR(__xludf.DUMMYFUNCTION("""COMPUTED_VALUE"""),99)</f>
        <v>99</v>
      </c>
    </row>
    <row r="703" spans="1:34" ht="12.5">
      <c r="A703" s="1" t="str">
        <f ca="1">IFERROR(__xludf.DUMMYFUNCTION("""COMPUTED_VALUE"""),"20220220OKWIW")</f>
        <v>20220220OKWIW</v>
      </c>
      <c r="B703" s="1">
        <f ca="1">IFERROR(__xludf.DUMMYFUNCTION("""COMPUTED_VALUE"""),2)</f>
        <v>2</v>
      </c>
      <c r="C703" s="1">
        <f ca="1">IFERROR(__xludf.DUMMYFUNCTION("""COMPUTED_VALUE"""),20)</f>
        <v>20</v>
      </c>
      <c r="D703" s="1">
        <f ca="1">IFERROR(__xludf.DUMMYFUNCTION("""COMPUTED_VALUE"""),2022)</f>
        <v>2022</v>
      </c>
      <c r="E703" s="4">
        <f ca="1">IFERROR(__xludf.DUMMYFUNCTION("""COMPUTED_VALUE"""),44612)</f>
        <v>44612</v>
      </c>
      <c r="F703" s="1" t="str">
        <f ca="1">IFERROR(__xludf.DUMMYFUNCTION("""COMPUTED_VALUE"""),"Wilson Middle School")</f>
        <v>Wilson Middle School</v>
      </c>
      <c r="G703" s="1">
        <f ca="1">IFERROR(__xludf.DUMMYFUNCTION("""COMPUTED_VALUE"""),0)</f>
        <v>0</v>
      </c>
      <c r="H703" s="1">
        <f ca="1">IFERROR(__xludf.DUMMYFUNCTION("""COMPUTED_VALUE"""),1)</f>
        <v>1</v>
      </c>
      <c r="I703" s="1">
        <f ca="1">IFERROR(__xludf.DUMMYFUNCTION("""COMPUTED_VALUE"""),1)</f>
        <v>1</v>
      </c>
      <c r="J703" s="1">
        <f ca="1">IFERROR(__xludf.DUMMYFUNCTION("""COMPUTED_VALUE"""),0)</f>
        <v>0</v>
      </c>
      <c r="K703" s="1" t="str">
        <f ca="1">IFERROR(__xludf.DUMMYFUNCTION("""COMPUTED_VALUE"""),"Winter")</f>
        <v>Winter</v>
      </c>
      <c r="L703" s="1" t="str">
        <f ca="1">IFERROR(__xludf.DUMMYFUNCTION("""COMPUTED_VALUE"""),"Wilson")</f>
        <v>Wilson</v>
      </c>
      <c r="M703" s="1" t="str">
        <f ca="1">IFERROR(__xludf.DUMMYFUNCTION("""COMPUTED_VALUE"""),"OK")</f>
        <v>OK</v>
      </c>
      <c r="N703" s="1" t="str">
        <f ca="1">IFERROR(__xludf.DUMMYFUNCTION("""COMPUTED_VALUE"""),"Middle")</f>
        <v>Middle</v>
      </c>
      <c r="O703" s="1" t="str">
        <f ca="1">IFERROR(__xludf.DUMMYFUNCTION("""COMPUTED_VALUE"""),"Football Field/Track")</f>
        <v>Football Field/Track</v>
      </c>
      <c r="P703" s="1" t="str">
        <f ca="1">IFERROR(__xludf.DUMMYFUNCTION("""COMPUTED_VALUE"""),"Outside on School Property")</f>
        <v>Outside on School Property</v>
      </c>
      <c r="Q703" s="1" t="str">
        <f ca="1">IFERROR(__xludf.DUMMYFUNCTION("""COMPUTED_VALUE"""),"No")</f>
        <v>No</v>
      </c>
      <c r="R703" s="1" t="str">
        <f ca="1">IFERROR(__xludf.DUMMYFUNCTION("""COMPUTED_VALUE"""),"Night")</f>
        <v>Night</v>
      </c>
      <c r="S703" s="5">
        <f ca="1">IFERROR(__xludf.DUMMYFUNCTION("""COMPUTED_VALUE"""),0.145833333333333)</f>
        <v>0.14583333333333301</v>
      </c>
      <c r="T703" s="1">
        <f ca="1">IFERROR(__xludf.DUMMYFUNCTION("""COMPUTED_VALUE"""),1)</f>
        <v>1</v>
      </c>
      <c r="U703" s="1" t="str">
        <f ca="1">IFERROR(__xludf.DUMMYFUNCTION("""COMPUTED_VALUE"""),"Office shot twice while investigating suspicious man behind school")</f>
        <v>Office shot twice while investigating suspicious man behind school</v>
      </c>
      <c r="V703" s="1" t="str">
        <f ca="1">IFERROR(__xludf.DUMMYFUNCTION("""COMPUTED_VALUE"""),"A police officer was shot twice while investigating a suspicious man near the football field behind the school. When the officer approached, the man shot him twice in the chest, and then fled. The officer was protected by his ballistic vest.")</f>
        <v>A police officer was shot twice while investigating a suspicious man near the football field behind the school. When the officer approached, the man shot him twice in the chest, and then fled. The officer was protected by his ballistic vest.</v>
      </c>
      <c r="W703" s="1" t="str">
        <f ca="1">IFERROR(__xludf.DUMMYFUNCTION("""COMPUTED_VALUE"""),"Illegal Activity")</f>
        <v>Illegal Activity</v>
      </c>
      <c r="X703" s="1" t="str">
        <f ca="1">IFERROR(__xludf.DUMMYFUNCTION("""COMPUTED_VALUE"""),"Victims Targeted")</f>
        <v>Victims Targeted</v>
      </c>
      <c r="Y703" s="1" t="str">
        <f ca="1">IFERROR(__xludf.DUMMYFUNCTION("""COMPUTED_VALUE"""),"No")</f>
        <v>No</v>
      </c>
      <c r="Z703" s="1"/>
      <c r="AA703" s="1" t="str">
        <f ca="1">IFERROR(__xludf.DUMMYFUNCTION("""COMPUTED_VALUE"""),"No")</f>
        <v>No</v>
      </c>
      <c r="AB703" s="1" t="str">
        <f ca="1">IFERROR(__xludf.DUMMYFUNCTION("""COMPUTED_VALUE"""),"No")</f>
        <v>No</v>
      </c>
      <c r="AC703" s="1" t="str">
        <f ca="1">IFERROR(__xludf.DUMMYFUNCTION("""COMPUTED_VALUE"""),"No")</f>
        <v>No</v>
      </c>
      <c r="AD703" s="1" t="str">
        <f ca="1">IFERROR(__xludf.DUMMYFUNCTION("""COMPUTED_VALUE"""),"No")</f>
        <v>No</v>
      </c>
      <c r="AE703" s="1" t="str">
        <f ca="1">IFERROR(__xludf.DUMMYFUNCTION("""COMPUTED_VALUE"""),"No")</f>
        <v>No</v>
      </c>
      <c r="AF703" s="1" t="str">
        <f ca="1">IFERROR(__xludf.DUMMYFUNCTION("""COMPUTED_VALUE"""),"No")</f>
        <v>No</v>
      </c>
      <c r="AG703" s="1" t="str">
        <f ca="1">IFERROR(__xludf.DUMMYFUNCTION("""COMPUTED_VALUE"""),"No")</f>
        <v>No</v>
      </c>
      <c r="AH703" s="1">
        <f ca="1">IFERROR(__xludf.DUMMYFUNCTION("""COMPUTED_VALUE"""),2)</f>
        <v>2</v>
      </c>
    </row>
    <row r="704" spans="1:34" ht="12.5">
      <c r="A704" s="1" t="str">
        <f ca="1">IFERROR(__xludf.DUMMYFUNCTION("""COMPUTED_VALUE"""),"20220220MSMCM")</f>
        <v>20220220MSMCM</v>
      </c>
      <c r="B704" s="1">
        <f ca="1">IFERROR(__xludf.DUMMYFUNCTION("""COMPUTED_VALUE"""),2)</f>
        <v>2</v>
      </c>
      <c r="C704" s="1">
        <f ca="1">IFERROR(__xludf.DUMMYFUNCTION("""COMPUTED_VALUE"""),20)</f>
        <v>20</v>
      </c>
      <c r="D704" s="1">
        <f ca="1">IFERROR(__xludf.DUMMYFUNCTION("""COMPUTED_VALUE"""),2022)</f>
        <v>2022</v>
      </c>
      <c r="E704" s="4">
        <f ca="1">IFERROR(__xludf.DUMMYFUNCTION("""COMPUTED_VALUE"""),44612)</f>
        <v>44612</v>
      </c>
      <c r="F704" s="1" t="str">
        <f ca="1">IFERROR(__xludf.DUMMYFUNCTION("""COMPUTED_VALUE"""),"McColm High School")</f>
        <v>McColm High School</v>
      </c>
      <c r="G704" s="1">
        <f ca="1">IFERROR(__xludf.DUMMYFUNCTION("""COMPUTED_VALUE"""),1)</f>
        <v>1</v>
      </c>
      <c r="H704" s="1">
        <f ca="1">IFERROR(__xludf.DUMMYFUNCTION("""COMPUTED_VALUE"""),4)</f>
        <v>4</v>
      </c>
      <c r="I704" s="1">
        <f ca="1">IFERROR(__xludf.DUMMYFUNCTION("""COMPUTED_VALUE"""),5)</f>
        <v>5</v>
      </c>
      <c r="J704" s="1">
        <f ca="1">IFERROR(__xludf.DUMMYFUNCTION("""COMPUTED_VALUE"""),0)</f>
        <v>0</v>
      </c>
      <c r="K704" s="1" t="str">
        <f ca="1">IFERROR(__xludf.DUMMYFUNCTION("""COMPUTED_VALUE"""),"Winter")</f>
        <v>Winter</v>
      </c>
      <c r="L704" s="1" t="str">
        <f ca="1">IFERROR(__xludf.DUMMYFUNCTION("""COMPUTED_VALUE"""),"McColm")</f>
        <v>McColm</v>
      </c>
      <c r="M704" s="1" t="str">
        <f ca="1">IFERROR(__xludf.DUMMYFUNCTION("""COMPUTED_VALUE"""),"MS")</f>
        <v>MS</v>
      </c>
      <c r="N704" s="1" t="str">
        <f ca="1">IFERROR(__xludf.DUMMYFUNCTION("""COMPUTED_VALUE"""),"High")</f>
        <v>High</v>
      </c>
      <c r="O704" s="1" t="str">
        <f ca="1">IFERROR(__xludf.DUMMYFUNCTION("""COMPUTED_VALUE"""),"Basketball Court")</f>
        <v>Basketball Court</v>
      </c>
      <c r="P704" s="1" t="str">
        <f ca="1">IFERROR(__xludf.DUMMYFUNCTION("""COMPUTED_VALUE"""),"Outside on School Property")</f>
        <v>Outside on School Property</v>
      </c>
      <c r="Q704" s="1" t="str">
        <f ca="1">IFERROR(__xludf.DUMMYFUNCTION("""COMPUTED_VALUE"""),"No")</f>
        <v>No</v>
      </c>
      <c r="R704" s="1" t="str">
        <f ca="1">IFERROR(__xludf.DUMMYFUNCTION("""COMPUTED_VALUE"""),"Sport Event")</f>
        <v>Sport Event</v>
      </c>
      <c r="S704" s="5">
        <f ca="1">IFERROR(__xludf.DUMMYFUNCTION("""COMPUTED_VALUE"""),0.701388888888888)</f>
        <v>0.70138888888888795</v>
      </c>
      <c r="T704" s="1">
        <f ca="1">IFERROR(__xludf.DUMMYFUNCTION("""COMPUTED_VALUE"""),1)</f>
        <v>1</v>
      </c>
      <c r="U704" s="1" t="str">
        <f ca="1">IFERROR(__xludf.DUMMYFUNCTION("""COMPUTED_VALUE"""),"Drive-by shooting following basketball game")</f>
        <v>Drive-by shooting following basketball game</v>
      </c>
      <c r="V704" s="1" t="str">
        <f ca="1">IFERROR(__xludf.DUMMYFUNCTION("""COMPUTED_VALUE"""),"A 6-year-old boy was killed and 4 others were wounded during a drive-by shooting following a basketball game behind the high school. 4 teens arrested and charged with capital murder.")</f>
        <v>A 6-year-old boy was killed and 4 others were wounded during a drive-by shooting following a basketball game behind the high school. 4 teens arrested and charged with capital murder.</v>
      </c>
      <c r="W704" s="1" t="str">
        <f ca="1">IFERROR(__xludf.DUMMYFUNCTION("""COMPUTED_VALUE"""),"Drive-by Shooting")</f>
        <v>Drive-by Shooting</v>
      </c>
      <c r="X704" s="1" t="str">
        <f ca="1">IFERROR(__xludf.DUMMYFUNCTION("""COMPUTED_VALUE"""),"Both")</f>
        <v>Both</v>
      </c>
      <c r="Y704" s="1" t="str">
        <f ca="1">IFERROR(__xludf.DUMMYFUNCTION("""COMPUTED_VALUE"""),"Yes")</f>
        <v>Yes</v>
      </c>
      <c r="Z704" s="1" t="str">
        <f ca="1">IFERROR(__xludf.DUMMYFUNCTION("""COMPUTED_VALUE"""),"4 teens arrested")</f>
        <v>4 teens arrested</v>
      </c>
      <c r="AA704" s="1" t="str">
        <f ca="1">IFERROR(__xludf.DUMMYFUNCTION("""COMPUTED_VALUE"""),"No")</f>
        <v>No</v>
      </c>
      <c r="AB704" s="1" t="str">
        <f ca="1">IFERROR(__xludf.DUMMYFUNCTION("""COMPUTED_VALUE"""),"No")</f>
        <v>No</v>
      </c>
      <c r="AC704" s="1" t="str">
        <f ca="1">IFERROR(__xludf.DUMMYFUNCTION("""COMPUTED_VALUE"""),"No")</f>
        <v>No</v>
      </c>
      <c r="AD704" s="1" t="str">
        <f ca="1">IFERROR(__xludf.DUMMYFUNCTION("""COMPUTED_VALUE"""),"No")</f>
        <v>No</v>
      </c>
      <c r="AE704" s="1" t="str">
        <f ca="1">IFERROR(__xludf.DUMMYFUNCTION("""COMPUTED_VALUE"""),"No")</f>
        <v>No</v>
      </c>
      <c r="AF704" s="1"/>
      <c r="AG704" s="1" t="str">
        <f ca="1">IFERROR(__xludf.DUMMYFUNCTION("""COMPUTED_VALUE"""),"No")</f>
        <v>No</v>
      </c>
      <c r="AH704" s="1">
        <f ca="1">IFERROR(__xludf.DUMMYFUNCTION("""COMPUTED_VALUE"""),99)</f>
        <v>99</v>
      </c>
    </row>
    <row r="705" spans="1:34" ht="12.5">
      <c r="A705" s="1" t="str">
        <f ca="1">IFERROR(__xludf.DUMMYFUNCTION("""COMPUTED_VALUE"""),"20220219VACAC")</f>
        <v>20220219VACAC</v>
      </c>
      <c r="B705" s="1">
        <f ca="1">IFERROR(__xludf.DUMMYFUNCTION("""COMPUTED_VALUE"""),2)</f>
        <v>2</v>
      </c>
      <c r="C705" s="1">
        <f ca="1">IFERROR(__xludf.DUMMYFUNCTION("""COMPUTED_VALUE"""),19)</f>
        <v>19</v>
      </c>
      <c r="D705" s="1">
        <f ca="1">IFERROR(__xludf.DUMMYFUNCTION("""COMPUTED_VALUE"""),2022)</f>
        <v>2022</v>
      </c>
      <c r="E705" s="4">
        <f ca="1">IFERROR(__xludf.DUMMYFUNCTION("""COMPUTED_VALUE"""),44611)</f>
        <v>44611</v>
      </c>
      <c r="F705" s="1" t="str">
        <f ca="1">IFERROR(__xludf.DUMMYFUNCTION("""COMPUTED_VALUE"""),"Camelot Elementary School")</f>
        <v>Camelot Elementary School</v>
      </c>
      <c r="G705" s="1">
        <f ca="1">IFERROR(__xludf.DUMMYFUNCTION("""COMPUTED_VALUE"""),1)</f>
        <v>1</v>
      </c>
      <c r="H705" s="1">
        <f ca="1">IFERROR(__xludf.DUMMYFUNCTION("""COMPUTED_VALUE"""),0)</f>
        <v>0</v>
      </c>
      <c r="I705" s="1">
        <f ca="1">IFERROR(__xludf.DUMMYFUNCTION("""COMPUTED_VALUE"""),1)</f>
        <v>1</v>
      </c>
      <c r="J705" s="1">
        <f ca="1">IFERROR(__xludf.DUMMYFUNCTION("""COMPUTED_VALUE"""),0)</f>
        <v>0</v>
      </c>
      <c r="K705" s="1" t="str">
        <f ca="1">IFERROR(__xludf.DUMMYFUNCTION("""COMPUTED_VALUE"""),"Winter")</f>
        <v>Winter</v>
      </c>
      <c r="L705" s="1" t="str">
        <f ca="1">IFERROR(__xludf.DUMMYFUNCTION("""COMPUTED_VALUE"""),"Chesapeake")</f>
        <v>Chesapeake</v>
      </c>
      <c r="M705" s="1" t="str">
        <f ca="1">IFERROR(__xludf.DUMMYFUNCTION("""COMPUTED_VALUE"""),"VA")</f>
        <v>VA</v>
      </c>
      <c r="N705" s="1" t="str">
        <f ca="1">IFERROR(__xludf.DUMMYFUNCTION("""COMPUTED_VALUE"""),"Elementary")</f>
        <v>Elementary</v>
      </c>
      <c r="O705" s="1" t="str">
        <f ca="1">IFERROR(__xludf.DUMMYFUNCTION("""COMPUTED_VALUE"""),"Parking Lot")</f>
        <v>Parking Lot</v>
      </c>
      <c r="P705" s="1" t="str">
        <f ca="1">IFERROR(__xludf.DUMMYFUNCTION("""COMPUTED_VALUE"""),"Outside on School Property")</f>
        <v>Outside on School Property</v>
      </c>
      <c r="Q705" s="1" t="str">
        <f ca="1">IFERROR(__xludf.DUMMYFUNCTION("""COMPUTED_VALUE"""),"No")</f>
        <v>No</v>
      </c>
      <c r="R705" s="1" t="str">
        <f ca="1">IFERROR(__xludf.DUMMYFUNCTION("""COMPUTED_VALUE"""),"Not a School Day")</f>
        <v>Not a School Day</v>
      </c>
      <c r="S705" s="5">
        <f ca="1">IFERROR(__xludf.DUMMYFUNCTION("""COMPUTED_VALUE"""),0.546527777777777)</f>
        <v>0.54652777777777695</v>
      </c>
      <c r="T705" s="1">
        <f ca="1">IFERROR(__xludf.DUMMYFUNCTION("""COMPUTED_VALUE"""),1)</f>
        <v>1</v>
      </c>
      <c r="U705" s="1" t="str">
        <f ca="1">IFERROR(__xludf.DUMMYFUNCTION("""COMPUTED_VALUE"""),"Teen shot in parking lot")</f>
        <v>Teen shot in parking lot</v>
      </c>
      <c r="V705" s="1" t="str">
        <f ca="1">IFERROR(__xludf.DUMMYFUNCTION("""COMPUTED_VALUE"""),"17-year-old male was fatally shot in the school parking lot. Police said that all people involved were interviewed and no charges will be filed. No other information available.")</f>
        <v>17-year-old male was fatally shot in the school parking lot. Police said that all people involved were interviewed and no charges will be filed. No other information available.</v>
      </c>
      <c r="W705" s="1"/>
      <c r="X705" s="1"/>
      <c r="Y705" s="1" t="str">
        <f ca="1">IFERROR(__xludf.DUMMYFUNCTION("""COMPUTED_VALUE"""),"No")</f>
        <v>No</v>
      </c>
      <c r="Z705" s="1"/>
      <c r="AA705" s="1" t="str">
        <f ca="1">IFERROR(__xludf.DUMMYFUNCTION("""COMPUTED_VALUE"""),"No")</f>
        <v>No</v>
      </c>
      <c r="AB705" s="1" t="str">
        <f ca="1">IFERROR(__xludf.DUMMYFUNCTION("""COMPUTED_VALUE"""),"No")</f>
        <v>No</v>
      </c>
      <c r="AC705" s="1" t="str">
        <f ca="1">IFERROR(__xludf.DUMMYFUNCTION("""COMPUTED_VALUE"""),"No")</f>
        <v>No</v>
      </c>
      <c r="AD705" s="1" t="str">
        <f ca="1">IFERROR(__xludf.DUMMYFUNCTION("""COMPUTED_VALUE"""),"No")</f>
        <v>No</v>
      </c>
      <c r="AE705" s="1"/>
      <c r="AF705" s="1"/>
      <c r="AG705" s="1" t="str">
        <f ca="1">IFERROR(__xludf.DUMMYFUNCTION("""COMPUTED_VALUE"""),"No")</f>
        <v>No</v>
      </c>
      <c r="AH705" s="1"/>
    </row>
    <row r="706" spans="1:34" ht="12.5">
      <c r="A706" s="1" t="str">
        <f ca="1">IFERROR(__xludf.DUMMYFUNCTION("""COMPUTED_VALUE"""),"20220218MATET")</f>
        <v>20220218MATET</v>
      </c>
      <c r="B706" s="1">
        <f ca="1">IFERROR(__xludf.DUMMYFUNCTION("""COMPUTED_VALUE"""),2)</f>
        <v>2</v>
      </c>
      <c r="C706" s="1">
        <f ca="1">IFERROR(__xludf.DUMMYFUNCTION("""COMPUTED_VALUE"""),18)</f>
        <v>18</v>
      </c>
      <c r="D706" s="1">
        <f ca="1">IFERROR(__xludf.DUMMYFUNCTION("""COMPUTED_VALUE"""),2022)</f>
        <v>2022</v>
      </c>
      <c r="E706" s="4">
        <f ca="1">IFERROR(__xludf.DUMMYFUNCTION("""COMPUTED_VALUE"""),44610)</f>
        <v>44610</v>
      </c>
      <c r="F706" s="1" t="str">
        <f ca="1">IFERROR(__xludf.DUMMYFUNCTION("""COMPUTED_VALUE"""),"Tewksbury High School")</f>
        <v>Tewksbury High School</v>
      </c>
      <c r="G706" s="1">
        <f ca="1">IFERROR(__xludf.DUMMYFUNCTION("""COMPUTED_VALUE"""),0)</f>
        <v>0</v>
      </c>
      <c r="H706" s="1">
        <f ca="1">IFERROR(__xludf.DUMMYFUNCTION("""COMPUTED_VALUE"""),0)</f>
        <v>0</v>
      </c>
      <c r="I706" s="1">
        <f ca="1">IFERROR(__xludf.DUMMYFUNCTION("""COMPUTED_VALUE"""),0)</f>
        <v>0</v>
      </c>
      <c r="J706" s="1">
        <f ca="1">IFERROR(__xludf.DUMMYFUNCTION("""COMPUTED_VALUE"""),0)</f>
        <v>0</v>
      </c>
      <c r="K706" s="1" t="str">
        <f ca="1">IFERROR(__xludf.DUMMYFUNCTION("""COMPUTED_VALUE"""),"Winter")</f>
        <v>Winter</v>
      </c>
      <c r="L706" s="1" t="str">
        <f ca="1">IFERROR(__xludf.DUMMYFUNCTION("""COMPUTED_VALUE"""),"Tewksbury")</f>
        <v>Tewksbury</v>
      </c>
      <c r="M706" s="1" t="str">
        <f ca="1">IFERROR(__xludf.DUMMYFUNCTION("""COMPUTED_VALUE"""),"MA")</f>
        <v>MA</v>
      </c>
      <c r="N706" s="1" t="str">
        <f ca="1">IFERROR(__xludf.DUMMYFUNCTION("""COMPUTED_VALUE"""),"High")</f>
        <v>High</v>
      </c>
      <c r="O706" s="1" t="str">
        <f ca="1">IFERROR(__xludf.DUMMYFUNCTION("""COMPUTED_VALUE"""),"Parking Lot")</f>
        <v>Parking Lot</v>
      </c>
      <c r="P706" s="1" t="str">
        <f ca="1">IFERROR(__xludf.DUMMYFUNCTION("""COMPUTED_VALUE"""),"Outside on School Property")</f>
        <v>Outside on School Property</v>
      </c>
      <c r="Q706" s="1" t="str">
        <f ca="1">IFERROR(__xludf.DUMMYFUNCTION("""COMPUTED_VALUE"""),"No")</f>
        <v>No</v>
      </c>
      <c r="R706" s="1" t="str">
        <f ca="1">IFERROR(__xludf.DUMMYFUNCTION("""COMPUTED_VALUE"""),"Sport Event")</f>
        <v>Sport Event</v>
      </c>
      <c r="S706" s="5">
        <f ca="1">IFERROR(__xludf.DUMMYFUNCTION("""COMPUTED_VALUE"""),0.840277777777777)</f>
        <v>0.84027777777777701</v>
      </c>
      <c r="T706" s="1">
        <f ca="1">IFERROR(__xludf.DUMMYFUNCTION("""COMPUTED_VALUE"""),1)</f>
        <v>1</v>
      </c>
      <c r="U706" s="1" t="str">
        <f ca="1">IFERROR(__xludf.DUMMYFUNCTION("""COMPUTED_VALUE"""),"4 teens fired pellet guns at crowd leaving basketball game")</f>
        <v>4 teens fired pellet guns at crowd leaving basketball game</v>
      </c>
      <c r="V706" s="1" t="str">
        <f ca="1">IFERROR(__xludf.DUMMYFUNCTION("""COMPUTED_VALUE"""),"4 teen males (18, 17, 17, 16) in two vehicles fired gel pellet guns at the crowd leaving the high school basketball game. Seven people were shot and evaluated by medics at the scene. Teens fled and were later arrested on charges of assault and battery wit"&amp;"h a dangerous weapon.")</f>
        <v>4 teen males (18, 17, 17, 16) in two vehicles fired gel pellet guns at the crowd leaving the high school basketball game. Seven people were shot and evaluated by medics at the scene. Teens fled and were later arrested on charges of assault and battery with a dangerous weapon.</v>
      </c>
      <c r="W706" s="1" t="str">
        <f ca="1">IFERROR(__xludf.DUMMYFUNCTION("""COMPUTED_VALUE"""),"Drive-by Shooting")</f>
        <v>Drive-by Shooting</v>
      </c>
      <c r="X706" s="1" t="str">
        <f ca="1">IFERROR(__xludf.DUMMYFUNCTION("""COMPUTED_VALUE"""),"Random Shooting")</f>
        <v>Random Shooting</v>
      </c>
      <c r="Y706" s="1" t="str">
        <f ca="1">IFERROR(__xludf.DUMMYFUNCTION("""COMPUTED_VALUE"""),"Yes")</f>
        <v>Yes</v>
      </c>
      <c r="Z706" s="1" t="str">
        <f ca="1">IFERROR(__xludf.DUMMYFUNCTION("""COMPUTED_VALUE"""),"4 teens")</f>
        <v>4 teens</v>
      </c>
      <c r="AA706" s="1" t="str">
        <f ca="1">IFERROR(__xludf.DUMMYFUNCTION("""COMPUTED_VALUE"""),"No")</f>
        <v>No</v>
      </c>
      <c r="AB706" s="1" t="str">
        <f ca="1">IFERROR(__xludf.DUMMYFUNCTION("""COMPUTED_VALUE"""),"No")</f>
        <v>No</v>
      </c>
      <c r="AC706" s="1" t="str">
        <f ca="1">IFERROR(__xludf.DUMMYFUNCTION("""COMPUTED_VALUE"""),"No")</f>
        <v>No</v>
      </c>
      <c r="AD706" s="1" t="str">
        <f ca="1">IFERROR(__xludf.DUMMYFUNCTION("""COMPUTED_VALUE"""),"No")</f>
        <v>No</v>
      </c>
      <c r="AE706" s="1" t="str">
        <f ca="1">IFERROR(__xludf.DUMMYFUNCTION("""COMPUTED_VALUE"""),"No")</f>
        <v>No</v>
      </c>
      <c r="AF706" s="1" t="str">
        <f ca="1">IFERROR(__xludf.DUMMYFUNCTION("""COMPUTED_VALUE"""),"No")</f>
        <v>No</v>
      </c>
      <c r="AG706" s="1" t="str">
        <f ca="1">IFERROR(__xludf.DUMMYFUNCTION("""COMPUTED_VALUE"""),"No")</f>
        <v>No</v>
      </c>
      <c r="AH706" s="1">
        <f ca="1">IFERROR(__xludf.DUMMYFUNCTION("""COMPUTED_VALUE"""),99)</f>
        <v>99</v>
      </c>
    </row>
    <row r="707" spans="1:34" ht="12.5">
      <c r="A707" s="1" t="str">
        <f ca="1">IFERROR(__xludf.DUMMYFUNCTION("""COMPUTED_VALUE"""),"20220217WAMCG")</f>
        <v>20220217WAMCG</v>
      </c>
      <c r="B707" s="1">
        <f ca="1">IFERROR(__xludf.DUMMYFUNCTION("""COMPUTED_VALUE"""),2)</f>
        <v>2</v>
      </c>
      <c r="C707" s="1">
        <f ca="1">IFERROR(__xludf.DUMMYFUNCTION("""COMPUTED_VALUE"""),17)</f>
        <v>17</v>
      </c>
      <c r="D707" s="1">
        <f ca="1">IFERROR(__xludf.DUMMYFUNCTION("""COMPUTED_VALUE"""),2022)</f>
        <v>2022</v>
      </c>
      <c r="E707" s="4">
        <f ca="1">IFERROR(__xludf.DUMMYFUNCTION("""COMPUTED_VALUE"""),44609)</f>
        <v>44609</v>
      </c>
      <c r="F707" s="1" t="str">
        <f ca="1">IFERROR(__xludf.DUMMYFUNCTION("""COMPUTED_VALUE"""),"McClure Elementary School")</f>
        <v>McClure Elementary School</v>
      </c>
      <c r="G707" s="1">
        <f ca="1">IFERROR(__xludf.DUMMYFUNCTION("""COMPUTED_VALUE"""),0)</f>
        <v>0</v>
      </c>
      <c r="H707" s="1">
        <f ca="1">IFERROR(__xludf.DUMMYFUNCTION("""COMPUTED_VALUE"""),1)</f>
        <v>1</v>
      </c>
      <c r="I707" s="1">
        <f ca="1">IFERROR(__xludf.DUMMYFUNCTION("""COMPUTED_VALUE"""),1)</f>
        <v>1</v>
      </c>
      <c r="J707" s="1">
        <f ca="1">IFERROR(__xludf.DUMMYFUNCTION("""COMPUTED_VALUE"""),0)</f>
        <v>0</v>
      </c>
      <c r="K707" s="1" t="str">
        <f ca="1">IFERROR(__xludf.DUMMYFUNCTION("""COMPUTED_VALUE"""),"Winter")</f>
        <v>Winter</v>
      </c>
      <c r="L707" s="1" t="str">
        <f ca="1">IFERROR(__xludf.DUMMYFUNCTION("""COMPUTED_VALUE"""),"Grandview")</f>
        <v>Grandview</v>
      </c>
      <c r="M707" s="1" t="str">
        <f ca="1">IFERROR(__xludf.DUMMYFUNCTION("""COMPUTED_VALUE"""),"WA")</f>
        <v>WA</v>
      </c>
      <c r="N707" s="1" t="str">
        <f ca="1">IFERROR(__xludf.DUMMYFUNCTION("""COMPUTED_VALUE"""),"Elementary")</f>
        <v>Elementary</v>
      </c>
      <c r="O707" s="1" t="str">
        <f ca="1">IFERROR(__xludf.DUMMYFUNCTION("""COMPUTED_VALUE"""),"Outside on School Property")</f>
        <v>Outside on School Property</v>
      </c>
      <c r="P707" s="1" t="str">
        <f ca="1">IFERROR(__xludf.DUMMYFUNCTION("""COMPUTED_VALUE"""),"Outside on School Property")</f>
        <v>Outside on School Property</v>
      </c>
      <c r="Q707" s="1" t="str">
        <f ca="1">IFERROR(__xludf.DUMMYFUNCTION("""COMPUTED_VALUE"""),"No")</f>
        <v>No</v>
      </c>
      <c r="R707" s="1" t="str">
        <f ca="1">IFERROR(__xludf.DUMMYFUNCTION("""COMPUTED_VALUE"""),"Evening")</f>
        <v>Evening</v>
      </c>
      <c r="S707" s="5">
        <f ca="1">IFERROR(__xludf.DUMMYFUNCTION("""COMPUTED_VALUE"""),0.708333333333333)</f>
        <v>0.70833333333333304</v>
      </c>
      <c r="T707" s="1">
        <f ca="1">IFERROR(__xludf.DUMMYFUNCTION("""COMPUTED_VALUE"""),1)</f>
        <v>1</v>
      </c>
      <c r="U707" s="1" t="str">
        <f ca="1">IFERROR(__xludf.DUMMYFUNCTION("""COMPUTED_VALUE"""),"Man shot next to school, shooter fled")</f>
        <v>Man shot next to school, shooter fled</v>
      </c>
      <c r="V707" s="1" t="str">
        <f ca="1">IFERROR(__xludf.DUMMYFUNCTION("""COMPUTED_VALUE"""),"An adult man was shot next to the school building. Two men fled the area. Police said the shooting was gang related.")</f>
        <v>An adult man was shot next to the school building. Two men fled the area. Police said the shooting was gang related.</v>
      </c>
      <c r="W707" s="1" t="str">
        <f ca="1">IFERROR(__xludf.DUMMYFUNCTION("""COMPUTED_VALUE"""),"Escalation of Dispute")</f>
        <v>Escalation of Dispute</v>
      </c>
      <c r="X707" s="1" t="str">
        <f ca="1">IFERROR(__xludf.DUMMYFUNCTION("""COMPUTED_VALUE"""),"Victims Targeted")</f>
        <v>Victims Targeted</v>
      </c>
      <c r="Y707" s="1" t="str">
        <f ca="1">IFERROR(__xludf.DUMMYFUNCTION("""COMPUTED_VALUE"""),"No")</f>
        <v>No</v>
      </c>
      <c r="Z707" s="1"/>
      <c r="AA707" s="1" t="str">
        <f ca="1">IFERROR(__xludf.DUMMYFUNCTION("""COMPUTED_VALUE"""),"No")</f>
        <v>No</v>
      </c>
      <c r="AB707" s="1" t="str">
        <f ca="1">IFERROR(__xludf.DUMMYFUNCTION("""COMPUTED_VALUE"""),"No")</f>
        <v>No</v>
      </c>
      <c r="AC707" s="1" t="str">
        <f ca="1">IFERROR(__xludf.DUMMYFUNCTION("""COMPUTED_VALUE"""),"No")</f>
        <v>No</v>
      </c>
      <c r="AD707" s="1" t="str">
        <f ca="1">IFERROR(__xludf.DUMMYFUNCTION("""COMPUTED_VALUE"""),"No")</f>
        <v>No</v>
      </c>
      <c r="AE707" s="1" t="str">
        <f ca="1">IFERROR(__xludf.DUMMYFUNCTION("""COMPUTED_VALUE"""),"No")</f>
        <v>No</v>
      </c>
      <c r="AF707" s="1" t="str">
        <f ca="1">IFERROR(__xludf.DUMMYFUNCTION("""COMPUTED_VALUE"""),"Yes")</f>
        <v>Yes</v>
      </c>
      <c r="AG707" s="1" t="str">
        <f ca="1">IFERROR(__xludf.DUMMYFUNCTION("""COMPUTED_VALUE"""),"No")</f>
        <v>No</v>
      </c>
      <c r="AH707" s="1">
        <f ca="1">IFERROR(__xludf.DUMMYFUNCTION("""COMPUTED_VALUE"""),99)</f>
        <v>99</v>
      </c>
    </row>
    <row r="708" spans="1:34" ht="12.5">
      <c r="A708" s="1" t="str">
        <f ca="1">IFERROR(__xludf.DUMMYFUNCTION("""COMPUTED_VALUE"""),"20220214FLLAL")</f>
        <v>20220214FLLAL</v>
      </c>
      <c r="B708" s="1">
        <f ca="1">IFERROR(__xludf.DUMMYFUNCTION("""COMPUTED_VALUE"""),2)</f>
        <v>2</v>
      </c>
      <c r="C708" s="1">
        <f ca="1">IFERROR(__xludf.DUMMYFUNCTION("""COMPUTED_VALUE"""),14)</f>
        <v>14</v>
      </c>
      <c r="D708" s="1">
        <f ca="1">IFERROR(__xludf.DUMMYFUNCTION("""COMPUTED_VALUE"""),2022)</f>
        <v>2022</v>
      </c>
      <c r="E708" s="4">
        <f ca="1">IFERROR(__xludf.DUMMYFUNCTION("""COMPUTED_VALUE"""),44606)</f>
        <v>44606</v>
      </c>
      <c r="F708" s="1" t="str">
        <f ca="1">IFERROR(__xludf.DUMMYFUNCTION("""COMPUTED_VALUE"""),"Lake City Middle School")</f>
        <v>Lake City Middle School</v>
      </c>
      <c r="G708" s="1">
        <f ca="1">IFERROR(__xludf.DUMMYFUNCTION("""COMPUTED_VALUE"""),0)</f>
        <v>0</v>
      </c>
      <c r="H708" s="1">
        <f ca="1">IFERROR(__xludf.DUMMYFUNCTION("""COMPUTED_VALUE"""),0)</f>
        <v>0</v>
      </c>
      <c r="I708" s="1">
        <f ca="1">IFERROR(__xludf.DUMMYFUNCTION("""COMPUTED_VALUE"""),0)</f>
        <v>0</v>
      </c>
      <c r="J708" s="1">
        <f ca="1">IFERROR(__xludf.DUMMYFUNCTION("""COMPUTED_VALUE"""),0)</f>
        <v>0</v>
      </c>
      <c r="K708" s="1" t="str">
        <f ca="1">IFERROR(__xludf.DUMMYFUNCTION("""COMPUTED_VALUE"""),"Winter")</f>
        <v>Winter</v>
      </c>
      <c r="L708" s="1" t="str">
        <f ca="1">IFERROR(__xludf.DUMMYFUNCTION("""COMPUTED_VALUE"""),"Lake City")</f>
        <v>Lake City</v>
      </c>
      <c r="M708" s="1" t="str">
        <f ca="1">IFERROR(__xludf.DUMMYFUNCTION("""COMPUTED_VALUE"""),"FL")</f>
        <v>FL</v>
      </c>
      <c r="N708" s="1" t="str">
        <f ca="1">IFERROR(__xludf.DUMMYFUNCTION("""COMPUTED_VALUE"""),"Middle")</f>
        <v>Middle</v>
      </c>
      <c r="O708" s="1" t="str">
        <f ca="1">IFERROR(__xludf.DUMMYFUNCTION("""COMPUTED_VALUE"""),"Front of School")</f>
        <v>Front of School</v>
      </c>
      <c r="P708" s="1" t="str">
        <f ca="1">IFERROR(__xludf.DUMMYFUNCTION("""COMPUTED_VALUE"""),"Outside on School Property")</f>
        <v>Outside on School Property</v>
      </c>
      <c r="Q708" s="1" t="str">
        <f ca="1">IFERROR(__xludf.DUMMYFUNCTION("""COMPUTED_VALUE"""),"Yes")</f>
        <v>Yes</v>
      </c>
      <c r="R708" s="1" t="str">
        <f ca="1">IFERROR(__xludf.DUMMYFUNCTION("""COMPUTED_VALUE"""),"Dismissal")</f>
        <v>Dismissal</v>
      </c>
      <c r="S708" s="5">
        <f ca="1">IFERROR(__xludf.DUMMYFUNCTION("""COMPUTED_VALUE"""),0.625)</f>
        <v>0.625</v>
      </c>
      <c r="T708" s="1">
        <f ca="1">IFERROR(__xludf.DUMMYFUNCTION("""COMPUTED_VALUE"""),1)</f>
        <v>1</v>
      </c>
      <c r="U708" s="1" t="str">
        <f ca="1">IFERROR(__xludf.DUMMYFUNCTION("""COMPUTED_VALUE"""),"Adult man fired shots in front of the school during a dispute at dismissal")</f>
        <v>Adult man fired shots in front of the school during a dispute at dismissal</v>
      </c>
      <c r="V708" s="1" t="str">
        <f ca="1">IFERROR(__xludf.DUMMYFUNCTION("""COMPUTED_VALUE"""),"A 39-year-old male fired shots during a dispute in front of the school at dismissal. School went on lockdown. Shooter fled and was arrested 2 weeks later.")</f>
        <v>A 39-year-old male fired shots during a dispute in front of the school at dismissal. School went on lockdown. Shooter fled and was arrested 2 weeks later.</v>
      </c>
      <c r="W708" s="1" t="str">
        <f ca="1">IFERROR(__xludf.DUMMYFUNCTION("""COMPUTED_VALUE"""),"Escalation of Dispute")</f>
        <v>Escalation of Dispute</v>
      </c>
      <c r="X708" s="1" t="str">
        <f ca="1">IFERROR(__xludf.DUMMYFUNCTION("""COMPUTED_VALUE"""),"Victims Targeted")</f>
        <v>Victims Targeted</v>
      </c>
      <c r="Y708" s="1" t="str">
        <f ca="1">IFERROR(__xludf.DUMMYFUNCTION("""COMPUTED_VALUE"""),"No")</f>
        <v>No</v>
      </c>
      <c r="Z708" s="1"/>
      <c r="AA708" s="1" t="str">
        <f ca="1">IFERROR(__xludf.DUMMYFUNCTION("""COMPUTED_VALUE"""),"No")</f>
        <v>No</v>
      </c>
      <c r="AB708" s="1" t="str">
        <f ca="1">IFERROR(__xludf.DUMMYFUNCTION("""COMPUTED_VALUE"""),"No")</f>
        <v>No</v>
      </c>
      <c r="AC708" s="1" t="str">
        <f ca="1">IFERROR(__xludf.DUMMYFUNCTION("""COMPUTED_VALUE"""),"No")</f>
        <v>No</v>
      </c>
      <c r="AD708" s="1" t="str">
        <f ca="1">IFERROR(__xludf.DUMMYFUNCTION("""COMPUTED_VALUE"""),"No")</f>
        <v>No</v>
      </c>
      <c r="AE708" s="1" t="str">
        <f ca="1">IFERROR(__xludf.DUMMYFUNCTION("""COMPUTED_VALUE"""),"No")</f>
        <v>No</v>
      </c>
      <c r="AF708" s="1" t="str">
        <f ca="1">IFERROR(__xludf.DUMMYFUNCTION("""COMPUTED_VALUE"""),"No")</f>
        <v>No</v>
      </c>
      <c r="AG708" s="1" t="str">
        <f ca="1">IFERROR(__xludf.DUMMYFUNCTION("""COMPUTED_VALUE"""),"No")</f>
        <v>No</v>
      </c>
      <c r="AH708" s="1">
        <f ca="1">IFERROR(__xludf.DUMMYFUNCTION("""COMPUTED_VALUE"""),99)</f>
        <v>99</v>
      </c>
    </row>
    <row r="709" spans="1:34" ht="12.5">
      <c r="A709" s="1" t="str">
        <f ca="1">IFERROR(__xludf.DUMMYFUNCTION("""COMPUTED_VALUE"""),"20220211DCEAW")</f>
        <v>20220211DCEAW</v>
      </c>
      <c r="B709" s="1">
        <f ca="1">IFERROR(__xludf.DUMMYFUNCTION("""COMPUTED_VALUE"""),2)</f>
        <v>2</v>
      </c>
      <c r="C709" s="1">
        <f ca="1">IFERROR(__xludf.DUMMYFUNCTION("""COMPUTED_VALUE"""),11)</f>
        <v>11</v>
      </c>
      <c r="D709" s="1">
        <f ca="1">IFERROR(__xludf.DUMMYFUNCTION("""COMPUTED_VALUE"""),2022)</f>
        <v>2022</v>
      </c>
      <c r="E709" s="4">
        <f ca="1">IFERROR(__xludf.DUMMYFUNCTION("""COMPUTED_VALUE"""),44603)</f>
        <v>44603</v>
      </c>
      <c r="F709" s="1" t="str">
        <f ca="1">IFERROR(__xludf.DUMMYFUNCTION("""COMPUTED_VALUE"""),"Eagle Academy")</f>
        <v>Eagle Academy</v>
      </c>
      <c r="G709" s="1">
        <f ca="1">IFERROR(__xludf.DUMMYFUNCTION("""COMPUTED_VALUE"""),0)</f>
        <v>0</v>
      </c>
      <c r="H709" s="1">
        <f ca="1">IFERROR(__xludf.DUMMYFUNCTION("""COMPUTED_VALUE"""),1)</f>
        <v>1</v>
      </c>
      <c r="I709" s="1">
        <f ca="1">IFERROR(__xludf.DUMMYFUNCTION("""COMPUTED_VALUE"""),1)</f>
        <v>1</v>
      </c>
      <c r="J709" s="1">
        <f ca="1">IFERROR(__xludf.DUMMYFUNCTION("""COMPUTED_VALUE"""),0)</f>
        <v>0</v>
      </c>
      <c r="K709" s="1" t="str">
        <f ca="1">IFERROR(__xludf.DUMMYFUNCTION("""COMPUTED_VALUE"""),"Winter")</f>
        <v>Winter</v>
      </c>
      <c r="L709" s="1" t="str">
        <f ca="1">IFERROR(__xludf.DUMMYFUNCTION("""COMPUTED_VALUE"""),"Washington")</f>
        <v>Washington</v>
      </c>
      <c r="M709" s="1" t="str">
        <f ca="1">IFERROR(__xludf.DUMMYFUNCTION("""COMPUTED_VALUE"""),"DC")</f>
        <v>DC</v>
      </c>
      <c r="N709" s="1" t="str">
        <f ca="1">IFERROR(__xludf.DUMMYFUNCTION("""COMPUTED_VALUE"""),"K-8")</f>
        <v>K-8</v>
      </c>
      <c r="O709" s="1" t="str">
        <f ca="1">IFERROR(__xludf.DUMMYFUNCTION("""COMPUTED_VALUE"""),"Parking Lot")</f>
        <v>Parking Lot</v>
      </c>
      <c r="P709" s="1" t="str">
        <f ca="1">IFERROR(__xludf.DUMMYFUNCTION("""COMPUTED_VALUE"""),"Outside on School Property")</f>
        <v>Outside on School Property</v>
      </c>
      <c r="Q709" s="1" t="str">
        <f ca="1">IFERROR(__xludf.DUMMYFUNCTION("""COMPUTED_VALUE"""),"Yes")</f>
        <v>Yes</v>
      </c>
      <c r="R709" s="1" t="str">
        <f ca="1">IFERROR(__xludf.DUMMYFUNCTION("""COMPUTED_VALUE"""),"Afternoon Classes")</f>
        <v>Afternoon Classes</v>
      </c>
      <c r="S709" s="5">
        <f ca="1">IFERROR(__xludf.DUMMYFUNCTION("""COMPUTED_VALUE"""),0.583333333333333)</f>
        <v>0.58333333333333304</v>
      </c>
      <c r="T709" s="1">
        <f ca="1">IFERROR(__xludf.DUMMYFUNCTION("""COMPUTED_VALUE"""),1)</f>
        <v>1</v>
      </c>
      <c r="U709" s="1" t="str">
        <f ca="1">IFERROR(__xludf.DUMMYFUNCTION("""COMPUTED_VALUE"""),"Man shot in school parking lot")</f>
        <v>Man shot in school parking lot</v>
      </c>
      <c r="V709" s="1" t="str">
        <f ca="1">IFERROR(__xludf.DUMMYFUNCTION("""COMPUTED_VALUE"""),"Man shot in school parking lot. No other information available.")</f>
        <v>Man shot in school parking lot. No other information available.</v>
      </c>
      <c r="W709" s="1"/>
      <c r="X709" s="1"/>
      <c r="Y709" s="1"/>
      <c r="Z709" s="1"/>
      <c r="AA709" s="1" t="str">
        <f ca="1">IFERROR(__xludf.DUMMYFUNCTION("""COMPUTED_VALUE"""),"No")</f>
        <v>No</v>
      </c>
      <c r="AB709" s="1" t="str">
        <f ca="1">IFERROR(__xludf.DUMMYFUNCTION("""COMPUTED_VALUE"""),"No")</f>
        <v>No</v>
      </c>
      <c r="AC709" s="1" t="str">
        <f ca="1">IFERROR(__xludf.DUMMYFUNCTION("""COMPUTED_VALUE"""),"No")</f>
        <v>No</v>
      </c>
      <c r="AD709" s="1" t="str">
        <f ca="1">IFERROR(__xludf.DUMMYFUNCTION("""COMPUTED_VALUE"""),"No")</f>
        <v>No</v>
      </c>
      <c r="AE709" s="1" t="str">
        <f ca="1">IFERROR(__xludf.DUMMYFUNCTION("""COMPUTED_VALUE"""),"No")</f>
        <v>No</v>
      </c>
      <c r="AF709" s="1"/>
      <c r="AG709" s="1" t="str">
        <f ca="1">IFERROR(__xludf.DUMMYFUNCTION("""COMPUTED_VALUE"""),"No")</f>
        <v>No</v>
      </c>
      <c r="AH709" s="1"/>
    </row>
    <row r="710" spans="1:34" ht="12.5">
      <c r="A710" s="1" t="str">
        <f ca="1">IFERROR(__xludf.DUMMYFUNCTION("""COMPUTED_VALUE"""),"20220209NYMCB")</f>
        <v>20220209NYMCB</v>
      </c>
      <c r="B710" s="1">
        <f ca="1">IFERROR(__xludf.DUMMYFUNCTION("""COMPUTED_VALUE"""),2)</f>
        <v>2</v>
      </c>
      <c r="C710" s="1">
        <f ca="1">IFERROR(__xludf.DUMMYFUNCTION("""COMPUTED_VALUE"""),9)</f>
        <v>9</v>
      </c>
      <c r="D710" s="1">
        <f ca="1">IFERROR(__xludf.DUMMYFUNCTION("""COMPUTED_VALUE"""),2022)</f>
        <v>2022</v>
      </c>
      <c r="E710" s="4">
        <f ca="1">IFERROR(__xludf.DUMMYFUNCTION("""COMPUTED_VALUE"""),44601)</f>
        <v>44601</v>
      </c>
      <c r="F710" s="1" t="str">
        <f ca="1">IFERROR(__xludf.DUMMYFUNCTION("""COMPUTED_VALUE"""),"McKinley High School")</f>
        <v>McKinley High School</v>
      </c>
      <c r="G710" s="1">
        <f ca="1">IFERROR(__xludf.DUMMYFUNCTION("""COMPUTED_VALUE"""),0)</f>
        <v>0</v>
      </c>
      <c r="H710" s="1">
        <f ca="1">IFERROR(__xludf.DUMMYFUNCTION("""COMPUTED_VALUE"""),2)</f>
        <v>2</v>
      </c>
      <c r="I710" s="1">
        <f ca="1">IFERROR(__xludf.DUMMYFUNCTION("""COMPUTED_VALUE"""),2)</f>
        <v>2</v>
      </c>
      <c r="J710" s="1">
        <f ca="1">IFERROR(__xludf.DUMMYFUNCTION("""COMPUTED_VALUE"""),0)</f>
        <v>0</v>
      </c>
      <c r="K710" s="1" t="str">
        <f ca="1">IFERROR(__xludf.DUMMYFUNCTION("""COMPUTED_VALUE"""),"Winter")</f>
        <v>Winter</v>
      </c>
      <c r="L710" s="1" t="str">
        <f ca="1">IFERROR(__xludf.DUMMYFUNCTION("""COMPUTED_VALUE"""),"Buffalo")</f>
        <v>Buffalo</v>
      </c>
      <c r="M710" s="1" t="str">
        <f ca="1">IFERROR(__xludf.DUMMYFUNCTION("""COMPUTED_VALUE"""),"NY")</f>
        <v>NY</v>
      </c>
      <c r="N710" s="1" t="str">
        <f ca="1">IFERROR(__xludf.DUMMYFUNCTION("""COMPUTED_VALUE"""),"High")</f>
        <v>High</v>
      </c>
      <c r="O710" s="1" t="str">
        <f ca="1">IFERROR(__xludf.DUMMYFUNCTION("""COMPUTED_VALUE"""),"Parking Lot")</f>
        <v>Parking Lot</v>
      </c>
      <c r="P710" s="1" t="str">
        <f ca="1">IFERROR(__xludf.DUMMYFUNCTION("""COMPUTED_VALUE"""),"Outside on School Property")</f>
        <v>Outside on School Property</v>
      </c>
      <c r="Q710" s="1" t="str">
        <f ca="1">IFERROR(__xludf.DUMMYFUNCTION("""COMPUTED_VALUE"""),"Yes")</f>
        <v>Yes</v>
      </c>
      <c r="R710" s="1" t="str">
        <f ca="1">IFERROR(__xludf.DUMMYFUNCTION("""COMPUTED_VALUE"""),"Dismissal")</f>
        <v>Dismissal</v>
      </c>
      <c r="S710" s="5">
        <f ca="1">IFERROR(__xludf.DUMMYFUNCTION("""COMPUTED_VALUE"""),0.65625)</f>
        <v>0.65625</v>
      </c>
      <c r="T710" s="1">
        <f ca="1">IFERROR(__xludf.DUMMYFUNCTION("""COMPUTED_VALUE"""),1)</f>
        <v>1</v>
      </c>
      <c r="U710" s="1" t="str">
        <f ca="1">IFERROR(__xludf.DUMMYFUNCTION("""COMPUTED_VALUE"""),"Student stabbed and security guard shot during fight")</f>
        <v>Student stabbed and security guard shot during fight</v>
      </c>
      <c r="V710" s="1" t="str">
        <f ca="1">IFERROR(__xludf.DUMMYFUNCTION("""COMPUTED_VALUE"""),"A student was stabbed (serious injuries) and a security guard was shot during a large fight in the parking lot at dismissal. Police believed the student had been shot and it was not determined that he was stabbed until surgery. Shooter fled the scene. Pol"&amp;"ice locked down 100 students inside the school and searched neighborhood.")</f>
        <v>A student was stabbed (serious injuries) and a security guard was shot during a large fight in the parking lot at dismissal. Police believed the student had been shot and it was not determined that he was stabbed until surgery. Shooter fled the scene. Police locked down 100 students inside the school and searched neighborhood.</v>
      </c>
      <c r="W710" s="1" t="str">
        <f ca="1">IFERROR(__xludf.DUMMYFUNCTION("""COMPUTED_VALUE"""),"Escalation of Dispute")</f>
        <v>Escalation of Dispute</v>
      </c>
      <c r="X710" s="1" t="str">
        <f ca="1">IFERROR(__xludf.DUMMYFUNCTION("""COMPUTED_VALUE"""),"Both")</f>
        <v>Both</v>
      </c>
      <c r="Y710" s="1" t="str">
        <f ca="1">IFERROR(__xludf.DUMMYFUNCTION("""COMPUTED_VALUE"""),"Yes")</f>
        <v>Yes</v>
      </c>
      <c r="Z710" s="1" t="str">
        <f ca="1">IFERROR(__xludf.DUMMYFUNCTION("""COMPUTED_VALUE"""),"Large fight")</f>
        <v>Large fight</v>
      </c>
      <c r="AA710" s="1" t="str">
        <f ca="1">IFERROR(__xludf.DUMMYFUNCTION("""COMPUTED_VALUE"""),"No")</f>
        <v>No</v>
      </c>
      <c r="AB710" s="1" t="str">
        <f ca="1">IFERROR(__xludf.DUMMYFUNCTION("""COMPUTED_VALUE"""),"No")</f>
        <v>No</v>
      </c>
      <c r="AC710" s="1" t="str">
        <f ca="1">IFERROR(__xludf.DUMMYFUNCTION("""COMPUTED_VALUE"""),"No")</f>
        <v>No</v>
      </c>
      <c r="AD710" s="1" t="str">
        <f ca="1">IFERROR(__xludf.DUMMYFUNCTION("""COMPUTED_VALUE"""),"No")</f>
        <v>No</v>
      </c>
      <c r="AE710" s="1" t="str">
        <f ca="1">IFERROR(__xludf.DUMMYFUNCTION("""COMPUTED_VALUE"""),"No")</f>
        <v>No</v>
      </c>
      <c r="AF710" s="1"/>
      <c r="AG710" s="1" t="str">
        <f ca="1">IFERROR(__xludf.DUMMYFUNCTION("""COMPUTED_VALUE"""),"No")</f>
        <v>No</v>
      </c>
      <c r="AH710" s="1"/>
    </row>
    <row r="711" spans="1:34" ht="12.5">
      <c r="A711" s="1" t="str">
        <f ca="1">IFERROR(__xludf.DUMMYFUNCTION("""COMPUTED_VALUE"""),"20220209MNMIM")</f>
        <v>20220209MNMIM</v>
      </c>
      <c r="B711" s="1">
        <f ca="1">IFERROR(__xludf.DUMMYFUNCTION("""COMPUTED_VALUE"""),2)</f>
        <v>2</v>
      </c>
      <c r="C711" s="1">
        <f ca="1">IFERROR(__xludf.DUMMYFUNCTION("""COMPUTED_VALUE"""),9)</f>
        <v>9</v>
      </c>
      <c r="D711" s="1">
        <f ca="1">IFERROR(__xludf.DUMMYFUNCTION("""COMPUTED_VALUE"""),2022)</f>
        <v>2022</v>
      </c>
      <c r="E711" s="4">
        <f ca="1">IFERROR(__xludf.DUMMYFUNCTION("""COMPUTED_VALUE"""),44601)</f>
        <v>44601</v>
      </c>
      <c r="F711" s="1" t="str">
        <f ca="1">IFERROR(__xludf.DUMMYFUNCTION("""COMPUTED_VALUE"""),"Minneapolis School Bus")</f>
        <v>Minneapolis School Bus</v>
      </c>
      <c r="G711" s="1">
        <f ca="1">IFERROR(__xludf.DUMMYFUNCTION("""COMPUTED_VALUE"""),0)</f>
        <v>0</v>
      </c>
      <c r="H711" s="1">
        <f ca="1">IFERROR(__xludf.DUMMYFUNCTION("""COMPUTED_VALUE"""),1)</f>
        <v>1</v>
      </c>
      <c r="I711" s="1">
        <f ca="1">IFERROR(__xludf.DUMMYFUNCTION("""COMPUTED_VALUE"""),1)</f>
        <v>1</v>
      </c>
      <c r="J711" s="1">
        <f ca="1">IFERROR(__xludf.DUMMYFUNCTION("""COMPUTED_VALUE"""),0)</f>
        <v>0</v>
      </c>
      <c r="K711" s="1" t="str">
        <f ca="1">IFERROR(__xludf.DUMMYFUNCTION("""COMPUTED_VALUE"""),"Winter")</f>
        <v>Winter</v>
      </c>
      <c r="L711" s="1" t="str">
        <f ca="1">IFERROR(__xludf.DUMMYFUNCTION("""COMPUTED_VALUE"""),"Minneapolis")</f>
        <v>Minneapolis</v>
      </c>
      <c r="M711" s="1" t="str">
        <f ca="1">IFERROR(__xludf.DUMMYFUNCTION("""COMPUTED_VALUE"""),"MN")</f>
        <v>MN</v>
      </c>
      <c r="N711" s="1" t="str">
        <f ca="1">IFERROR(__xludf.DUMMYFUNCTION("""COMPUTED_VALUE"""),"Elementary")</f>
        <v>Elementary</v>
      </c>
      <c r="O711" s="1" t="str">
        <f ca="1">IFERROR(__xludf.DUMMYFUNCTION("""COMPUTED_VALUE"""),"School Bus")</f>
        <v>School Bus</v>
      </c>
      <c r="P711" s="1" t="str">
        <f ca="1">IFERROR(__xludf.DUMMYFUNCTION("""COMPUTED_VALUE"""),"School Bus")</f>
        <v>School Bus</v>
      </c>
      <c r="Q711" s="1" t="str">
        <f ca="1">IFERROR(__xludf.DUMMYFUNCTION("""COMPUTED_VALUE"""),"Yes")</f>
        <v>Yes</v>
      </c>
      <c r="R711" s="1" t="str">
        <f ca="1">IFERROR(__xludf.DUMMYFUNCTION("""COMPUTED_VALUE"""),"Dismissal")</f>
        <v>Dismissal</v>
      </c>
      <c r="S711" s="5">
        <f ca="1">IFERROR(__xludf.DUMMYFUNCTION("""COMPUTED_VALUE"""),0.59375)</f>
        <v>0.59375</v>
      </c>
      <c r="T711" s="1">
        <f ca="1">IFERROR(__xludf.DUMMYFUNCTION("""COMPUTED_VALUE"""),1)</f>
        <v>1</v>
      </c>
      <c r="U711" s="1" t="str">
        <f ca="1">IFERROR(__xludf.DUMMYFUNCTION("""COMPUTED_VALUE"""),"School bus driver shot in the head while driving the bus with children aboard")</f>
        <v>School bus driver shot in the head while driving the bus with children aboard</v>
      </c>
      <c r="V711" s="1" t="str">
        <f ca="1">IFERROR(__xludf.DUMMYFUNCTION("""COMPUTED_VALUE"""),"A school bus driver was shot in the head while driving the school bus with three students under 10-years-old on the bus. The students were not injured. Shooter fled. Police believe the bullet was a stray shot from gun fire between two vehicles.")</f>
        <v>A school bus driver was shot in the head while driving the school bus with three students under 10-years-old on the bus. The students were not injured. Shooter fled. Police believe the bullet was a stray shot from gun fire between two vehicles.</v>
      </c>
      <c r="W711" s="1" t="str">
        <f ca="1">IFERROR(__xludf.DUMMYFUNCTION("""COMPUTED_VALUE"""),"Drive-by Shooting")</f>
        <v>Drive-by Shooting</v>
      </c>
      <c r="X711" s="1" t="str">
        <f ca="1">IFERROR(__xludf.DUMMYFUNCTION("""COMPUTED_VALUE"""),"Both")</f>
        <v>Both</v>
      </c>
      <c r="Y711" s="1" t="str">
        <f ca="1">IFERROR(__xludf.DUMMYFUNCTION("""COMPUTED_VALUE"""),"No")</f>
        <v>No</v>
      </c>
      <c r="Z711" s="1"/>
      <c r="AA711" s="1" t="str">
        <f ca="1">IFERROR(__xludf.DUMMYFUNCTION("""COMPUTED_VALUE"""),"No")</f>
        <v>No</v>
      </c>
      <c r="AB711" s="1" t="str">
        <f ca="1">IFERROR(__xludf.DUMMYFUNCTION("""COMPUTED_VALUE"""),"No")</f>
        <v>No</v>
      </c>
      <c r="AC711" s="1" t="str">
        <f ca="1">IFERROR(__xludf.DUMMYFUNCTION("""COMPUTED_VALUE"""),"No")</f>
        <v>No</v>
      </c>
      <c r="AD711" s="1" t="str">
        <f ca="1">IFERROR(__xludf.DUMMYFUNCTION("""COMPUTED_VALUE"""),"No")</f>
        <v>No</v>
      </c>
      <c r="AE711" s="1" t="str">
        <f ca="1">IFERROR(__xludf.DUMMYFUNCTION("""COMPUTED_VALUE"""),"No")</f>
        <v>No</v>
      </c>
      <c r="AF711" s="1"/>
      <c r="AG711" s="1" t="str">
        <f ca="1">IFERROR(__xludf.DUMMYFUNCTION("""COMPUTED_VALUE"""),"No")</f>
        <v>No</v>
      </c>
      <c r="AH711" s="1">
        <f ca="1">IFERROR(__xludf.DUMMYFUNCTION("""COMPUTED_VALUE"""),99)</f>
        <v>99</v>
      </c>
    </row>
    <row r="712" spans="1:34" ht="12.5">
      <c r="A712" s="1" t="str">
        <f ca="1">IFERROR(__xludf.DUMMYFUNCTION("""COMPUTED_VALUE"""),"20220208NYMOM")</f>
        <v>20220208NYMOM</v>
      </c>
      <c r="B712" s="1">
        <f ca="1">IFERROR(__xludf.DUMMYFUNCTION("""COMPUTED_VALUE"""),2)</f>
        <v>2</v>
      </c>
      <c r="C712" s="1">
        <f ca="1">IFERROR(__xludf.DUMMYFUNCTION("""COMPUTED_VALUE"""),8)</f>
        <v>8</v>
      </c>
      <c r="D712" s="1">
        <f ca="1">IFERROR(__xludf.DUMMYFUNCTION("""COMPUTED_VALUE"""),2022)</f>
        <v>2022</v>
      </c>
      <c r="E712" s="4">
        <f ca="1">IFERROR(__xludf.DUMMYFUNCTION("""COMPUTED_VALUE"""),44600)</f>
        <v>44600</v>
      </c>
      <c r="F712" s="1" t="str">
        <f ca="1">IFERROR(__xludf.DUMMYFUNCTION("""COMPUTED_VALUE"""),"Mount Vernon High School")</f>
        <v>Mount Vernon High School</v>
      </c>
      <c r="G712" s="1">
        <f ca="1">IFERROR(__xludf.DUMMYFUNCTION("""COMPUTED_VALUE"""),0)</f>
        <v>0</v>
      </c>
      <c r="H712" s="1">
        <f ca="1">IFERROR(__xludf.DUMMYFUNCTION("""COMPUTED_VALUE"""),0)</f>
        <v>0</v>
      </c>
      <c r="I712" s="1">
        <f ca="1">IFERROR(__xludf.DUMMYFUNCTION("""COMPUTED_VALUE"""),0)</f>
        <v>0</v>
      </c>
      <c r="J712" s="1">
        <f ca="1">IFERROR(__xludf.DUMMYFUNCTION("""COMPUTED_VALUE"""),0)</f>
        <v>0</v>
      </c>
      <c r="K712" s="1" t="str">
        <f ca="1">IFERROR(__xludf.DUMMYFUNCTION("""COMPUTED_VALUE"""),"Winter")</f>
        <v>Winter</v>
      </c>
      <c r="L712" s="1" t="str">
        <f ca="1">IFERROR(__xludf.DUMMYFUNCTION("""COMPUTED_VALUE"""),"Mount Vernon")</f>
        <v>Mount Vernon</v>
      </c>
      <c r="M712" s="1" t="str">
        <f ca="1">IFERROR(__xludf.DUMMYFUNCTION("""COMPUTED_VALUE"""),"NY")</f>
        <v>NY</v>
      </c>
      <c r="N712" s="1" t="str">
        <f ca="1">IFERROR(__xludf.DUMMYFUNCTION("""COMPUTED_VALUE"""),"High")</f>
        <v>High</v>
      </c>
      <c r="O712" s="1" t="str">
        <f ca="1">IFERROR(__xludf.DUMMYFUNCTION("""COMPUTED_VALUE"""),"Front of School")</f>
        <v>Front of School</v>
      </c>
      <c r="P712" s="1" t="str">
        <f ca="1">IFERROR(__xludf.DUMMYFUNCTION("""COMPUTED_VALUE"""),"Outside on School Property")</f>
        <v>Outside on School Property</v>
      </c>
      <c r="Q712" s="1" t="str">
        <f ca="1">IFERROR(__xludf.DUMMYFUNCTION("""COMPUTED_VALUE"""),"Yes")</f>
        <v>Yes</v>
      </c>
      <c r="R712" s="1" t="str">
        <f ca="1">IFERROR(__xludf.DUMMYFUNCTION("""COMPUTED_VALUE"""),"Dismissal")</f>
        <v>Dismissal</v>
      </c>
      <c r="S712" s="5">
        <f ca="1">IFERROR(__xludf.DUMMYFUNCTION("""COMPUTED_VALUE"""),0.604166666666666)</f>
        <v>0.60416666666666596</v>
      </c>
      <c r="T712" s="1">
        <f ca="1">IFERROR(__xludf.DUMMYFUNCTION("""COMPUTED_VALUE"""),1)</f>
        <v>1</v>
      </c>
      <c r="U712" s="1" t="str">
        <f ca="1">IFERROR(__xludf.DUMMYFUNCTION("""COMPUTED_VALUE"""),"Shots fired outside school prior to dismissal")</f>
        <v>Shots fired outside school prior to dismissal</v>
      </c>
      <c r="V712" s="1" t="str">
        <f ca="1">IFERROR(__xludf.DUMMYFUNCTION("""COMPUTED_VALUE"""),"Three shots fired from a vehicle just prior to dismissal. School went on lockdown. Police recovered three shell casings on school property. Shooter fled. No injuries. School changing traffic pattern and visitor rules following shooting.")</f>
        <v>Three shots fired from a vehicle just prior to dismissal. School went on lockdown. Police recovered three shell casings on school property. Shooter fled. No injuries. School changing traffic pattern and visitor rules following shooting.</v>
      </c>
      <c r="W712" s="1" t="str">
        <f ca="1">IFERROR(__xludf.DUMMYFUNCTION("""COMPUTED_VALUE"""),"Drive-by Shooting")</f>
        <v>Drive-by Shooting</v>
      </c>
      <c r="X712" s="1"/>
      <c r="Y712" s="1" t="str">
        <f ca="1">IFERROR(__xludf.DUMMYFUNCTION("""COMPUTED_VALUE"""),"No")</f>
        <v>No</v>
      </c>
      <c r="Z712" s="1"/>
      <c r="AA712" s="1" t="str">
        <f ca="1">IFERROR(__xludf.DUMMYFUNCTION("""COMPUTED_VALUE"""),"No")</f>
        <v>No</v>
      </c>
      <c r="AB712" s="1" t="str">
        <f ca="1">IFERROR(__xludf.DUMMYFUNCTION("""COMPUTED_VALUE"""),"No")</f>
        <v>No</v>
      </c>
      <c r="AC712" s="1" t="str">
        <f ca="1">IFERROR(__xludf.DUMMYFUNCTION("""COMPUTED_VALUE"""),"No")</f>
        <v>No</v>
      </c>
      <c r="AD712" s="1" t="str">
        <f ca="1">IFERROR(__xludf.DUMMYFUNCTION("""COMPUTED_VALUE"""),"No")</f>
        <v>No</v>
      </c>
      <c r="AE712" s="1" t="str">
        <f ca="1">IFERROR(__xludf.DUMMYFUNCTION("""COMPUTED_VALUE"""),"No")</f>
        <v>No</v>
      </c>
      <c r="AF712" s="1"/>
      <c r="AG712" s="1" t="str">
        <f ca="1">IFERROR(__xludf.DUMMYFUNCTION("""COMPUTED_VALUE"""),"No")</f>
        <v>No</v>
      </c>
      <c r="AH712" s="1">
        <f ca="1">IFERROR(__xludf.DUMMYFUNCTION("""COMPUTED_VALUE"""),3)</f>
        <v>3</v>
      </c>
    </row>
    <row r="713" spans="1:34" ht="12.5">
      <c r="A713" s="1" t="str">
        <f ca="1">IFERROR(__xludf.DUMMYFUNCTION("""COMPUTED_VALUE"""),"20220208MDCAC")</f>
        <v>20220208MDCAC</v>
      </c>
      <c r="B713" s="1">
        <f ca="1">IFERROR(__xludf.DUMMYFUNCTION("""COMPUTED_VALUE"""),2)</f>
        <v>2</v>
      </c>
      <c r="C713" s="1">
        <f ca="1">IFERROR(__xludf.DUMMYFUNCTION("""COMPUTED_VALUE"""),8)</f>
        <v>8</v>
      </c>
      <c r="D713" s="1">
        <f ca="1">IFERROR(__xludf.DUMMYFUNCTION("""COMPUTED_VALUE"""),2022)</f>
        <v>2022</v>
      </c>
      <c r="E713" s="4">
        <f ca="1">IFERROR(__xludf.DUMMYFUNCTION("""COMPUTED_VALUE"""),44600)</f>
        <v>44600</v>
      </c>
      <c r="F713" s="1" t="str">
        <f ca="1">IFERROR(__xludf.DUMMYFUNCTION("""COMPUTED_VALUE"""),"Catonsville High School")</f>
        <v>Catonsville High School</v>
      </c>
      <c r="G713" s="1">
        <f ca="1">IFERROR(__xludf.DUMMYFUNCTION("""COMPUTED_VALUE"""),0)</f>
        <v>0</v>
      </c>
      <c r="H713" s="1">
        <f ca="1">IFERROR(__xludf.DUMMYFUNCTION("""COMPUTED_VALUE"""),2)</f>
        <v>2</v>
      </c>
      <c r="I713" s="1">
        <f ca="1">IFERROR(__xludf.DUMMYFUNCTION("""COMPUTED_VALUE"""),2)</f>
        <v>2</v>
      </c>
      <c r="J713" s="1">
        <f ca="1">IFERROR(__xludf.DUMMYFUNCTION("""COMPUTED_VALUE"""),0)</f>
        <v>0</v>
      </c>
      <c r="K713" s="1" t="str">
        <f ca="1">IFERROR(__xludf.DUMMYFUNCTION("""COMPUTED_VALUE"""),"Winter")</f>
        <v>Winter</v>
      </c>
      <c r="L713" s="1" t="str">
        <f ca="1">IFERROR(__xludf.DUMMYFUNCTION("""COMPUTED_VALUE"""),"Catonsville")</f>
        <v>Catonsville</v>
      </c>
      <c r="M713" s="1" t="str">
        <f ca="1">IFERROR(__xludf.DUMMYFUNCTION("""COMPUTED_VALUE"""),"MD")</f>
        <v>MD</v>
      </c>
      <c r="N713" s="1" t="str">
        <f ca="1">IFERROR(__xludf.DUMMYFUNCTION("""COMPUTED_VALUE"""),"High")</f>
        <v>High</v>
      </c>
      <c r="O713" s="1" t="str">
        <f ca="1">IFERROR(__xludf.DUMMYFUNCTION("""COMPUTED_VALUE"""),"Parking Lot")</f>
        <v>Parking Lot</v>
      </c>
      <c r="P713" s="1" t="str">
        <f ca="1">IFERROR(__xludf.DUMMYFUNCTION("""COMPUTED_VALUE"""),"Outside on School Property")</f>
        <v>Outside on School Property</v>
      </c>
      <c r="Q713" s="1" t="str">
        <f ca="1">IFERROR(__xludf.DUMMYFUNCTION("""COMPUTED_VALUE"""),"No")</f>
        <v>No</v>
      </c>
      <c r="R713" s="1" t="str">
        <f ca="1">IFERROR(__xludf.DUMMYFUNCTION("""COMPUTED_VALUE"""),"After School")</f>
        <v>After School</v>
      </c>
      <c r="S713" s="5">
        <f ca="1">IFERROR(__xludf.DUMMYFUNCTION("""COMPUTED_VALUE"""),0.625)</f>
        <v>0.625</v>
      </c>
      <c r="T713" s="1">
        <f ca="1">IFERROR(__xludf.DUMMYFUNCTION("""COMPUTED_VALUE"""),1)</f>
        <v>1</v>
      </c>
      <c r="U713" s="1" t="str">
        <f ca="1">IFERROR(__xludf.DUMMYFUNCTION("""COMPUTED_VALUE"""),"Student shot in school parking lot")</f>
        <v>Student shot in school parking lot</v>
      </c>
      <c r="V713" s="1" t="str">
        <f ca="1">IFERROR(__xludf.DUMMYFUNCTION("""COMPUTED_VALUE"""),"A 16-year-old student was shot in the school parking lot. Shooter fled in a vehicle. 3 shots were fired, victim ran, and additional shots were fired as victim fled. Lacrosse team was nearby and witnessed the shooting. School went on lockdown for students "&amp;"in the building for sports and after school activities. School resource officer was in the building at the time of the shooting.")</f>
        <v>A 16-year-old student was shot in the school parking lot. Shooter fled in a vehicle. 3 shots were fired, victim ran, and additional shots were fired as victim fled. Lacrosse team was nearby and witnessed the shooting. School went on lockdown for students in the building for sports and after school activities. School resource officer was in the building at the time of the shooting.</v>
      </c>
      <c r="W713" s="1"/>
      <c r="X713" s="1" t="str">
        <f ca="1">IFERROR(__xludf.DUMMYFUNCTION("""COMPUTED_VALUE"""),"Victims Targeted")</f>
        <v>Victims Targeted</v>
      </c>
      <c r="Y713" s="1" t="str">
        <f ca="1">IFERROR(__xludf.DUMMYFUNCTION("""COMPUTED_VALUE"""),"No")</f>
        <v>No</v>
      </c>
      <c r="Z713" s="1"/>
      <c r="AA713" s="1" t="str">
        <f ca="1">IFERROR(__xludf.DUMMYFUNCTION("""COMPUTED_VALUE"""),"No")</f>
        <v>No</v>
      </c>
      <c r="AB713" s="1" t="str">
        <f ca="1">IFERROR(__xludf.DUMMYFUNCTION("""COMPUTED_VALUE"""),"No")</f>
        <v>No</v>
      </c>
      <c r="AC713" s="1" t="str">
        <f ca="1">IFERROR(__xludf.DUMMYFUNCTION("""COMPUTED_VALUE"""),"No")</f>
        <v>No</v>
      </c>
      <c r="AD713" s="1" t="str">
        <f ca="1">IFERROR(__xludf.DUMMYFUNCTION("""COMPUTED_VALUE"""),"No")</f>
        <v>No</v>
      </c>
      <c r="AE713" s="1" t="str">
        <f ca="1">IFERROR(__xludf.DUMMYFUNCTION("""COMPUTED_VALUE"""),"No")</f>
        <v>No</v>
      </c>
      <c r="AF713" s="1"/>
      <c r="AG713" s="1" t="str">
        <f ca="1">IFERROR(__xludf.DUMMYFUNCTION("""COMPUTED_VALUE"""),"No")</f>
        <v>No</v>
      </c>
      <c r="AH713" s="1">
        <f ca="1">IFERROR(__xludf.DUMMYFUNCTION("""COMPUTED_VALUE"""),6)</f>
        <v>6</v>
      </c>
    </row>
    <row r="714" spans="1:34" ht="12.5">
      <c r="A714" s="1" t="str">
        <f ca="1">IFERROR(__xludf.DUMMYFUNCTION("""COMPUTED_VALUE"""),"20220204GASOD")</f>
        <v>20220204GASOD</v>
      </c>
      <c r="B714" s="1">
        <f ca="1">IFERROR(__xludf.DUMMYFUNCTION("""COMPUTED_VALUE"""),2)</f>
        <v>2</v>
      </c>
      <c r="C714" s="1">
        <f ca="1">IFERROR(__xludf.DUMMYFUNCTION("""COMPUTED_VALUE"""),4)</f>
        <v>4</v>
      </c>
      <c r="D714" s="1">
        <f ca="1">IFERROR(__xludf.DUMMYFUNCTION("""COMPUTED_VALUE"""),2022)</f>
        <v>2022</v>
      </c>
      <c r="E714" s="4">
        <f ca="1">IFERROR(__xludf.DUMMYFUNCTION("""COMPUTED_VALUE"""),44596)</f>
        <v>44596</v>
      </c>
      <c r="F714" s="1" t="str">
        <f ca="1">IFERROR(__xludf.DUMMYFUNCTION("""COMPUTED_VALUE"""),"Southwest DeKalb High School")</f>
        <v>Southwest DeKalb High School</v>
      </c>
      <c r="G714" s="1">
        <f ca="1">IFERROR(__xludf.DUMMYFUNCTION("""COMPUTED_VALUE"""),0)</f>
        <v>0</v>
      </c>
      <c r="H714" s="1">
        <f ca="1">IFERROR(__xludf.DUMMYFUNCTION("""COMPUTED_VALUE"""),0)</f>
        <v>0</v>
      </c>
      <c r="I714" s="1">
        <f ca="1">IFERROR(__xludf.DUMMYFUNCTION("""COMPUTED_VALUE"""),0)</f>
        <v>0</v>
      </c>
      <c r="J714" s="1">
        <f ca="1">IFERROR(__xludf.DUMMYFUNCTION("""COMPUTED_VALUE"""),0)</f>
        <v>0</v>
      </c>
      <c r="K714" s="1" t="str">
        <f ca="1">IFERROR(__xludf.DUMMYFUNCTION("""COMPUTED_VALUE"""),"Winter")</f>
        <v>Winter</v>
      </c>
      <c r="L714" s="1" t="str">
        <f ca="1">IFERROR(__xludf.DUMMYFUNCTION("""COMPUTED_VALUE"""),"Decatur")</f>
        <v>Decatur</v>
      </c>
      <c r="M714" s="1" t="str">
        <f ca="1">IFERROR(__xludf.DUMMYFUNCTION("""COMPUTED_VALUE"""),"GA")</f>
        <v>GA</v>
      </c>
      <c r="N714" s="1" t="str">
        <f ca="1">IFERROR(__xludf.DUMMYFUNCTION("""COMPUTED_VALUE"""),"High")</f>
        <v>High</v>
      </c>
      <c r="O714" s="1" t="str">
        <f ca="1">IFERROR(__xludf.DUMMYFUNCTION("""COMPUTED_VALUE"""),"Parking Lot")</f>
        <v>Parking Lot</v>
      </c>
      <c r="P714" s="1" t="str">
        <f ca="1">IFERROR(__xludf.DUMMYFUNCTION("""COMPUTED_VALUE"""),"Outside on School Property")</f>
        <v>Outside on School Property</v>
      </c>
      <c r="Q714" s="1" t="str">
        <f ca="1">IFERROR(__xludf.DUMMYFUNCTION("""COMPUTED_VALUE"""),"Yes")</f>
        <v>Yes</v>
      </c>
      <c r="R714" s="1" t="str">
        <f ca="1">IFERROR(__xludf.DUMMYFUNCTION("""COMPUTED_VALUE"""),"Dismissal")</f>
        <v>Dismissal</v>
      </c>
      <c r="S714" s="5">
        <f ca="1">IFERROR(__xludf.DUMMYFUNCTION("""COMPUTED_VALUE"""),0.583333333333333)</f>
        <v>0.58333333333333304</v>
      </c>
      <c r="T714" s="1">
        <f ca="1">IFERROR(__xludf.DUMMYFUNCTION("""COMPUTED_VALUE"""),1)</f>
        <v>1</v>
      </c>
      <c r="U714" s="1" t="str">
        <f ca="1">IFERROR(__xludf.DUMMYFUNCTION("""COMPUTED_VALUE"""),"Student shot self in the leg in school parking lot at dismissal")</f>
        <v>Student shot self in the leg in school parking lot at dismissal</v>
      </c>
      <c r="V714" s="1" t="str">
        <f ca="1">IFERROR(__xludf.DUMMYFUNCTION("""COMPUTED_VALUE"""),"An unidentified student shot themselves in the leg during dismissal. Shooting occurred in the school parking lot.")</f>
        <v>An unidentified student shot themselves in the leg during dismissal. Shooting occurred in the school parking lot.</v>
      </c>
      <c r="W714" s="1" t="str">
        <f ca="1">IFERROR(__xludf.DUMMYFUNCTION("""COMPUTED_VALUE"""),"Accidental")</f>
        <v>Accidental</v>
      </c>
      <c r="X714" s="1" t="str">
        <f ca="1">IFERROR(__xludf.DUMMYFUNCTION("""COMPUTED_VALUE"""),"Neither")</f>
        <v>Neither</v>
      </c>
      <c r="Y714" s="1" t="str">
        <f ca="1">IFERROR(__xludf.DUMMYFUNCTION("""COMPUTED_VALUE"""),"No")</f>
        <v>No</v>
      </c>
      <c r="Z714" s="1"/>
      <c r="AA714" s="1" t="str">
        <f ca="1">IFERROR(__xludf.DUMMYFUNCTION("""COMPUTED_VALUE"""),"No")</f>
        <v>No</v>
      </c>
      <c r="AB714" s="1" t="str">
        <f ca="1">IFERROR(__xludf.DUMMYFUNCTION("""COMPUTED_VALUE"""),"No")</f>
        <v>No</v>
      </c>
      <c r="AC714" s="1" t="str">
        <f ca="1">IFERROR(__xludf.DUMMYFUNCTION("""COMPUTED_VALUE"""),"No")</f>
        <v>No</v>
      </c>
      <c r="AD714" s="1" t="str">
        <f ca="1">IFERROR(__xludf.DUMMYFUNCTION("""COMPUTED_VALUE"""),"No")</f>
        <v>No</v>
      </c>
      <c r="AE714" s="1" t="str">
        <f ca="1">IFERROR(__xludf.DUMMYFUNCTION("""COMPUTED_VALUE"""),"No")</f>
        <v>No</v>
      </c>
      <c r="AF714" s="1" t="str">
        <f ca="1">IFERROR(__xludf.DUMMYFUNCTION("""COMPUTED_VALUE"""),"No")</f>
        <v>No</v>
      </c>
      <c r="AG714" s="1" t="str">
        <f ca="1">IFERROR(__xludf.DUMMYFUNCTION("""COMPUTED_VALUE"""),"No")</f>
        <v>No</v>
      </c>
      <c r="AH714" s="1">
        <f ca="1">IFERROR(__xludf.DUMMYFUNCTION("""COMPUTED_VALUE"""),1)</f>
        <v>1</v>
      </c>
    </row>
    <row r="715" spans="1:34" ht="12.5">
      <c r="A715" s="1" t="str">
        <f ca="1">IFERROR(__xludf.DUMMYFUNCTION("""COMPUTED_VALUE"""),"20220204ALWEB")</f>
        <v>20220204ALWEB</v>
      </c>
      <c r="B715" s="1">
        <f ca="1">IFERROR(__xludf.DUMMYFUNCTION("""COMPUTED_VALUE"""),2)</f>
        <v>2</v>
      </c>
      <c r="C715" s="1">
        <f ca="1">IFERROR(__xludf.DUMMYFUNCTION("""COMPUTED_VALUE"""),4)</f>
        <v>4</v>
      </c>
      <c r="D715" s="1">
        <f ca="1">IFERROR(__xludf.DUMMYFUNCTION("""COMPUTED_VALUE"""),2022)</f>
        <v>2022</v>
      </c>
      <c r="E715" s="4">
        <f ca="1">IFERROR(__xludf.DUMMYFUNCTION("""COMPUTED_VALUE"""),44596)</f>
        <v>44596</v>
      </c>
      <c r="F715" s="1" t="str">
        <f ca="1">IFERROR(__xludf.DUMMYFUNCTION("""COMPUTED_VALUE"""),"Wenonah High School")</f>
        <v>Wenonah High School</v>
      </c>
      <c r="G715" s="1">
        <f ca="1">IFERROR(__xludf.DUMMYFUNCTION("""COMPUTED_VALUE"""),0)</f>
        <v>0</v>
      </c>
      <c r="H715" s="1">
        <f ca="1">IFERROR(__xludf.DUMMYFUNCTION("""COMPUTED_VALUE"""),1)</f>
        <v>1</v>
      </c>
      <c r="I715" s="1">
        <f ca="1">IFERROR(__xludf.DUMMYFUNCTION("""COMPUTED_VALUE"""),1)</f>
        <v>1</v>
      </c>
      <c r="J715" s="1">
        <f ca="1">IFERROR(__xludf.DUMMYFUNCTION("""COMPUTED_VALUE"""),0)</f>
        <v>0</v>
      </c>
      <c r="K715" s="1" t="str">
        <f ca="1">IFERROR(__xludf.DUMMYFUNCTION("""COMPUTED_VALUE"""),"Winter")</f>
        <v>Winter</v>
      </c>
      <c r="L715" s="1" t="str">
        <f ca="1">IFERROR(__xludf.DUMMYFUNCTION("""COMPUTED_VALUE"""),"Birmingham")</f>
        <v>Birmingham</v>
      </c>
      <c r="M715" s="1" t="str">
        <f ca="1">IFERROR(__xludf.DUMMYFUNCTION("""COMPUTED_VALUE"""),"AL")</f>
        <v>AL</v>
      </c>
      <c r="N715" s="1" t="str">
        <f ca="1">IFERROR(__xludf.DUMMYFUNCTION("""COMPUTED_VALUE"""),"High")</f>
        <v>High</v>
      </c>
      <c r="O715" s="1" t="str">
        <f ca="1">IFERROR(__xludf.DUMMYFUNCTION("""COMPUTED_VALUE"""),"Beside Building")</f>
        <v>Beside Building</v>
      </c>
      <c r="P715" s="1" t="str">
        <f ca="1">IFERROR(__xludf.DUMMYFUNCTION("""COMPUTED_VALUE"""),"Outside on School Property")</f>
        <v>Outside on School Property</v>
      </c>
      <c r="Q715" s="1" t="str">
        <f ca="1">IFERROR(__xludf.DUMMYFUNCTION("""COMPUTED_VALUE"""),"No")</f>
        <v>No</v>
      </c>
      <c r="R715" s="1" t="str">
        <f ca="1">IFERROR(__xludf.DUMMYFUNCTION("""COMPUTED_VALUE"""),"Sport Event")</f>
        <v>Sport Event</v>
      </c>
      <c r="S715" s="5">
        <f ca="1">IFERROR(__xludf.DUMMYFUNCTION("""COMPUTED_VALUE"""),0.885416666666666)</f>
        <v>0.88541666666666596</v>
      </c>
      <c r="T715" s="1">
        <f ca="1">IFERROR(__xludf.DUMMYFUNCTION("""COMPUTED_VALUE"""),1)</f>
        <v>1</v>
      </c>
      <c r="U715" s="1" t="str">
        <f ca="1">IFERROR(__xludf.DUMMYFUNCTION("""COMPUTED_VALUE"""),"Student (not intended target) shot outside of gym following basketball game")</f>
        <v>Student (not intended target) shot outside of gym following basketball game</v>
      </c>
      <c r="V715" s="1" t="str">
        <f ca="1">IFERROR(__xludf.DUMMYFUNCTION("""COMPUTED_VALUE"""),"A 16-year-old student was shot outside of the gym at the end of a high school basketball game. Student was not the intended target. Multiple SROs from both schools were at the game. Officers moved the crowd back into the gym. No other injuries. Shooter fl"&amp;"ed. A student was fatally shot at the apartment complex across from the school 3 weeks prior.")</f>
        <v>A 16-year-old student was shot outside of the gym at the end of a high school basketball game. Student was not the intended target. Multiple SROs from both schools were at the game. Officers moved the crowd back into the gym. No other injuries. Shooter fled. A student was fatally shot at the apartment complex across from the school 3 weeks prior.</v>
      </c>
      <c r="W715" s="1"/>
      <c r="X715" s="1" t="str">
        <f ca="1">IFERROR(__xludf.DUMMYFUNCTION("""COMPUTED_VALUE"""),"Both")</f>
        <v>Both</v>
      </c>
      <c r="Y715" s="1" t="str">
        <f ca="1">IFERROR(__xludf.DUMMYFUNCTION("""COMPUTED_VALUE"""),"No")</f>
        <v>No</v>
      </c>
      <c r="Z715" s="1"/>
      <c r="AA715" s="1" t="str">
        <f ca="1">IFERROR(__xludf.DUMMYFUNCTION("""COMPUTED_VALUE"""),"No")</f>
        <v>No</v>
      </c>
      <c r="AB715" s="1" t="str">
        <f ca="1">IFERROR(__xludf.DUMMYFUNCTION("""COMPUTED_VALUE"""),"No")</f>
        <v>No</v>
      </c>
      <c r="AC715" s="1" t="str">
        <f ca="1">IFERROR(__xludf.DUMMYFUNCTION("""COMPUTED_VALUE"""),"No")</f>
        <v>No</v>
      </c>
      <c r="AD715" s="1" t="str">
        <f ca="1">IFERROR(__xludf.DUMMYFUNCTION("""COMPUTED_VALUE"""),"No")</f>
        <v>No</v>
      </c>
      <c r="AE715" s="1" t="str">
        <f ca="1">IFERROR(__xludf.DUMMYFUNCTION("""COMPUTED_VALUE"""),"No")</f>
        <v>No</v>
      </c>
      <c r="AF715" s="1"/>
      <c r="AG715" s="1" t="str">
        <f ca="1">IFERROR(__xludf.DUMMYFUNCTION("""COMPUTED_VALUE"""),"No")</f>
        <v>No</v>
      </c>
      <c r="AH715" s="1"/>
    </row>
    <row r="716" spans="1:34" ht="12.5">
      <c r="A716" s="1" t="str">
        <f ca="1">IFERROR(__xludf.DUMMYFUNCTION("""COMPUTED_VALUE"""),"20220203NCSPS")</f>
        <v>20220203NCSPS</v>
      </c>
      <c r="B716" s="1">
        <f ca="1">IFERROR(__xludf.DUMMYFUNCTION("""COMPUTED_VALUE"""),2)</f>
        <v>2</v>
      </c>
      <c r="C716" s="1">
        <f ca="1">IFERROR(__xludf.DUMMYFUNCTION("""COMPUTED_VALUE"""),3)</f>
        <v>3</v>
      </c>
      <c r="D716" s="1">
        <f ca="1">IFERROR(__xludf.DUMMYFUNCTION("""COMPUTED_VALUE"""),2022)</f>
        <v>2022</v>
      </c>
      <c r="E716" s="4">
        <f ca="1">IFERROR(__xludf.DUMMYFUNCTION("""COMPUTED_VALUE"""),44595)</f>
        <v>44595</v>
      </c>
      <c r="F716" s="1" t="str">
        <f ca="1">IFERROR(__xludf.DUMMYFUNCTION("""COMPUTED_VALUE"""),"Speight Middle School")</f>
        <v>Speight Middle School</v>
      </c>
      <c r="G716" s="1">
        <f ca="1">IFERROR(__xludf.DUMMYFUNCTION("""COMPUTED_VALUE"""),0)</f>
        <v>0</v>
      </c>
      <c r="H716" s="1">
        <f ca="1">IFERROR(__xludf.DUMMYFUNCTION("""COMPUTED_VALUE"""),0)</f>
        <v>0</v>
      </c>
      <c r="I716" s="1">
        <f ca="1">IFERROR(__xludf.DUMMYFUNCTION("""COMPUTED_VALUE"""),0)</f>
        <v>0</v>
      </c>
      <c r="J716" s="1">
        <f ca="1">IFERROR(__xludf.DUMMYFUNCTION("""COMPUTED_VALUE"""),0)</f>
        <v>0</v>
      </c>
      <c r="K716" s="1" t="str">
        <f ca="1">IFERROR(__xludf.DUMMYFUNCTION("""COMPUTED_VALUE"""),"Winter")</f>
        <v>Winter</v>
      </c>
      <c r="L716" s="1" t="str">
        <f ca="1">IFERROR(__xludf.DUMMYFUNCTION("""COMPUTED_VALUE"""),"Stantonsburg")</f>
        <v>Stantonsburg</v>
      </c>
      <c r="M716" s="1" t="str">
        <f ca="1">IFERROR(__xludf.DUMMYFUNCTION("""COMPUTED_VALUE"""),"NC")</f>
        <v>NC</v>
      </c>
      <c r="N716" s="1" t="str">
        <f ca="1">IFERROR(__xludf.DUMMYFUNCTION("""COMPUTED_VALUE"""),"Middle")</f>
        <v>Middle</v>
      </c>
      <c r="O716" s="1" t="str">
        <f ca="1">IFERROR(__xludf.DUMMYFUNCTION("""COMPUTED_VALUE"""),"School Bus")</f>
        <v>School Bus</v>
      </c>
      <c r="P716" s="1" t="str">
        <f ca="1">IFERROR(__xludf.DUMMYFUNCTION("""COMPUTED_VALUE"""),"School Bus")</f>
        <v>School Bus</v>
      </c>
      <c r="Q716" s="1" t="str">
        <f ca="1">IFERROR(__xludf.DUMMYFUNCTION("""COMPUTED_VALUE"""),"Yes")</f>
        <v>Yes</v>
      </c>
      <c r="R716" s="1" t="str">
        <f ca="1">IFERROR(__xludf.DUMMYFUNCTION("""COMPUTED_VALUE"""),"Dismissal")</f>
        <v>Dismissal</v>
      </c>
      <c r="S716" s="5">
        <f ca="1">IFERROR(__xludf.DUMMYFUNCTION("""COMPUTED_VALUE"""),0.694444444444444)</f>
        <v>0.69444444444444398</v>
      </c>
      <c r="T716" s="1">
        <f ca="1">IFERROR(__xludf.DUMMYFUNCTION("""COMPUTED_VALUE"""),1)</f>
        <v>1</v>
      </c>
      <c r="U716" s="1" t="str">
        <f ca="1">IFERROR(__xludf.DUMMYFUNCTION("""COMPUTED_VALUE"""),"Bullet struck window of occupied school bus")</f>
        <v>Bullet struck window of occupied school bus</v>
      </c>
      <c r="V716" s="1" t="str">
        <f ca="1">IFERROR(__xludf.DUMMYFUNCTION("""COMPUTED_VALUE"""),"A bullet broke the side window of a school bus occupied by 12 students. Student sitting near the window was hit by broken glass. No injuries.")</f>
        <v>A bullet broke the side window of a school bus occupied by 12 students. Student sitting near the window was hit by broken glass. No injuries.</v>
      </c>
      <c r="W716" s="1"/>
      <c r="X716" s="1"/>
      <c r="Y716" s="1" t="str">
        <f ca="1">IFERROR(__xludf.DUMMYFUNCTION("""COMPUTED_VALUE"""),"No")</f>
        <v>No</v>
      </c>
      <c r="Z716" s="1"/>
      <c r="AA716" s="1" t="str">
        <f ca="1">IFERROR(__xludf.DUMMYFUNCTION("""COMPUTED_VALUE"""),"No")</f>
        <v>No</v>
      </c>
      <c r="AB716" s="1" t="str">
        <f ca="1">IFERROR(__xludf.DUMMYFUNCTION("""COMPUTED_VALUE"""),"No")</f>
        <v>No</v>
      </c>
      <c r="AC716" s="1" t="str">
        <f ca="1">IFERROR(__xludf.DUMMYFUNCTION("""COMPUTED_VALUE"""),"No")</f>
        <v>No</v>
      </c>
      <c r="AD716" s="1" t="str">
        <f ca="1">IFERROR(__xludf.DUMMYFUNCTION("""COMPUTED_VALUE"""),"No")</f>
        <v>No</v>
      </c>
      <c r="AE716" s="1" t="str">
        <f ca="1">IFERROR(__xludf.DUMMYFUNCTION("""COMPUTED_VALUE"""),"No")</f>
        <v>No</v>
      </c>
      <c r="AF716" s="1" t="str">
        <f ca="1">IFERROR(__xludf.DUMMYFUNCTION("""COMPUTED_VALUE"""),"No")</f>
        <v>No</v>
      </c>
      <c r="AG716" s="1" t="str">
        <f ca="1">IFERROR(__xludf.DUMMYFUNCTION("""COMPUTED_VALUE"""),"No")</f>
        <v>No</v>
      </c>
      <c r="AH716" s="1"/>
    </row>
    <row r="717" spans="1:34" ht="12.5">
      <c r="A717" s="1" t="str">
        <f ca="1">IFERROR(__xludf.DUMMYFUNCTION("""COMPUTED_VALUE"""),"20220202KYLOR")</f>
        <v>20220202KYLOR</v>
      </c>
      <c r="B717" s="1">
        <f ca="1">IFERROR(__xludf.DUMMYFUNCTION("""COMPUTED_VALUE"""),2)</f>
        <v>2</v>
      </c>
      <c r="C717" s="1">
        <f ca="1">IFERROR(__xludf.DUMMYFUNCTION("""COMPUTED_VALUE"""),2)</f>
        <v>2</v>
      </c>
      <c r="D717" s="1">
        <f ca="1">IFERROR(__xludf.DUMMYFUNCTION("""COMPUTED_VALUE"""),2022)</f>
        <v>2022</v>
      </c>
      <c r="E717" s="4">
        <f ca="1">IFERROR(__xludf.DUMMYFUNCTION("""COMPUTED_VALUE"""),44594)</f>
        <v>44594</v>
      </c>
      <c r="F717" s="1" t="str">
        <f ca="1">IFERROR(__xludf.DUMMYFUNCTION("""COMPUTED_VALUE"""),"Logan County Community Technology Center")</f>
        <v>Logan County Community Technology Center</v>
      </c>
      <c r="G717" s="1">
        <f ca="1">IFERROR(__xludf.DUMMYFUNCTION("""COMPUTED_VALUE"""),0)</f>
        <v>0</v>
      </c>
      <c r="H717" s="1">
        <f ca="1">IFERROR(__xludf.DUMMYFUNCTION("""COMPUTED_VALUE"""),0)</f>
        <v>0</v>
      </c>
      <c r="I717" s="1">
        <f ca="1">IFERROR(__xludf.DUMMYFUNCTION("""COMPUTED_VALUE"""),0)</f>
        <v>0</v>
      </c>
      <c r="J717" s="1">
        <f ca="1">IFERROR(__xludf.DUMMYFUNCTION("""COMPUTED_VALUE"""),0)</f>
        <v>0</v>
      </c>
      <c r="K717" s="1" t="str">
        <f ca="1">IFERROR(__xludf.DUMMYFUNCTION("""COMPUTED_VALUE"""),"Winter")</f>
        <v>Winter</v>
      </c>
      <c r="L717" s="1" t="str">
        <f ca="1">IFERROR(__xludf.DUMMYFUNCTION("""COMPUTED_VALUE"""),"Russellville")</f>
        <v>Russellville</v>
      </c>
      <c r="M717" s="1" t="str">
        <f ca="1">IFERROR(__xludf.DUMMYFUNCTION("""COMPUTED_VALUE"""),"KY")</f>
        <v>KY</v>
      </c>
      <c r="N717" s="1" t="str">
        <f ca="1">IFERROR(__xludf.DUMMYFUNCTION("""COMPUTED_VALUE"""),"High")</f>
        <v>High</v>
      </c>
      <c r="O717" s="1" t="str">
        <f ca="1">IFERROR(__xludf.DUMMYFUNCTION("""COMPUTED_VALUE"""),"Front of School")</f>
        <v>Front of School</v>
      </c>
      <c r="P717" s="1" t="str">
        <f ca="1">IFERROR(__xludf.DUMMYFUNCTION("""COMPUTED_VALUE"""),"Outside on School Property")</f>
        <v>Outside on School Property</v>
      </c>
      <c r="Q717" s="1" t="str">
        <f ca="1">IFERROR(__xludf.DUMMYFUNCTION("""COMPUTED_VALUE"""),"No")</f>
        <v>No</v>
      </c>
      <c r="R717" s="1" t="str">
        <f ca="1">IFERROR(__xludf.DUMMYFUNCTION("""COMPUTED_VALUE"""),"Before School")</f>
        <v>Before School</v>
      </c>
      <c r="S717" s="5">
        <f ca="1">IFERROR(__xludf.DUMMYFUNCTION("""COMPUTED_VALUE"""),0.34375)</f>
        <v>0.34375</v>
      </c>
      <c r="T717" s="1">
        <f ca="1">IFERROR(__xludf.DUMMYFUNCTION("""COMPUTED_VALUE"""),1)</f>
        <v>1</v>
      </c>
      <c r="U717" s="1" t="str">
        <f ca="1">IFERROR(__xludf.DUMMYFUNCTION("""COMPUTED_VALUE"""),"Two windows of the school building shot")</f>
        <v>Two windows of the school building shot</v>
      </c>
      <c r="V717" s="1" t="str">
        <f ca="1">IFERROR(__xludf.DUMMYFUNCTION("""COMPUTED_VALUE"""),"Two windows of the school building were shot. Not students or staff inside when the shooting occurred.")</f>
        <v>Two windows of the school building were shot. Not students or staff inside when the shooting occurred.</v>
      </c>
      <c r="W717" s="1" t="str">
        <f ca="1">IFERROR(__xludf.DUMMYFUNCTION("""COMPUTED_VALUE"""),"Intentional Property Damage")</f>
        <v>Intentional Property Damage</v>
      </c>
      <c r="X717" s="1" t="str">
        <f ca="1">IFERROR(__xludf.DUMMYFUNCTION("""COMPUTED_VALUE"""),"Random Shooting")</f>
        <v>Random Shooting</v>
      </c>
      <c r="Y717" s="1" t="str">
        <f ca="1">IFERROR(__xludf.DUMMYFUNCTION("""COMPUTED_VALUE"""),"No")</f>
        <v>No</v>
      </c>
      <c r="Z717" s="1"/>
      <c r="AA717" s="1" t="str">
        <f ca="1">IFERROR(__xludf.DUMMYFUNCTION("""COMPUTED_VALUE"""),"No")</f>
        <v>No</v>
      </c>
      <c r="AB717" s="1" t="str">
        <f ca="1">IFERROR(__xludf.DUMMYFUNCTION("""COMPUTED_VALUE"""),"No")</f>
        <v>No</v>
      </c>
      <c r="AC717" s="1" t="str">
        <f ca="1">IFERROR(__xludf.DUMMYFUNCTION("""COMPUTED_VALUE"""),"No")</f>
        <v>No</v>
      </c>
      <c r="AD717" s="1" t="str">
        <f ca="1">IFERROR(__xludf.DUMMYFUNCTION("""COMPUTED_VALUE"""),"No")</f>
        <v>No</v>
      </c>
      <c r="AE717" s="1" t="str">
        <f ca="1">IFERROR(__xludf.DUMMYFUNCTION("""COMPUTED_VALUE"""),"No")</f>
        <v>No</v>
      </c>
      <c r="AF717" s="1" t="str">
        <f ca="1">IFERROR(__xludf.DUMMYFUNCTION("""COMPUTED_VALUE"""),"No")</f>
        <v>No</v>
      </c>
      <c r="AG717" s="1" t="str">
        <f ca="1">IFERROR(__xludf.DUMMYFUNCTION("""COMPUTED_VALUE"""),"No")</f>
        <v>No</v>
      </c>
      <c r="AH717" s="1">
        <f ca="1">IFERROR(__xludf.DUMMYFUNCTION("""COMPUTED_VALUE"""),99)</f>
        <v>99</v>
      </c>
    </row>
    <row r="718" spans="1:34" ht="12.5">
      <c r="A718" s="1" t="str">
        <f ca="1">IFERROR(__xludf.DUMMYFUNCTION("""COMPUTED_VALUE"""),"20220201WIRUM")</f>
        <v>20220201WIRUM</v>
      </c>
      <c r="B718" s="1">
        <f ca="1">IFERROR(__xludf.DUMMYFUNCTION("""COMPUTED_VALUE"""),2)</f>
        <v>2</v>
      </c>
      <c r="C718" s="1">
        <f ca="1">IFERROR(__xludf.DUMMYFUNCTION("""COMPUTED_VALUE"""),1)</f>
        <v>1</v>
      </c>
      <c r="D718" s="1">
        <f ca="1">IFERROR(__xludf.DUMMYFUNCTION("""COMPUTED_VALUE"""),2022)</f>
        <v>2022</v>
      </c>
      <c r="E718" s="4">
        <f ca="1">IFERROR(__xludf.DUMMYFUNCTION("""COMPUTED_VALUE"""),44593)</f>
        <v>44593</v>
      </c>
      <c r="F718" s="1" t="str">
        <f ca="1">IFERROR(__xludf.DUMMYFUNCTION("""COMPUTED_VALUE"""),"Rufus King High School")</f>
        <v>Rufus King High School</v>
      </c>
      <c r="G718" s="1">
        <f ca="1">IFERROR(__xludf.DUMMYFUNCTION("""COMPUTED_VALUE"""),0)</f>
        <v>0</v>
      </c>
      <c r="H718" s="1">
        <f ca="1">IFERROR(__xludf.DUMMYFUNCTION("""COMPUTED_VALUE"""),5)</f>
        <v>5</v>
      </c>
      <c r="I718" s="1">
        <f ca="1">IFERROR(__xludf.DUMMYFUNCTION("""COMPUTED_VALUE"""),5)</f>
        <v>5</v>
      </c>
      <c r="J718" s="1">
        <f ca="1">IFERROR(__xludf.DUMMYFUNCTION("""COMPUTED_VALUE"""),0)</f>
        <v>0</v>
      </c>
      <c r="K718" s="1" t="str">
        <f ca="1">IFERROR(__xludf.DUMMYFUNCTION("""COMPUTED_VALUE"""),"Winter")</f>
        <v>Winter</v>
      </c>
      <c r="L718" s="1" t="str">
        <f ca="1">IFERROR(__xludf.DUMMYFUNCTION("""COMPUTED_VALUE"""),"Milwaukee")</f>
        <v>Milwaukee</v>
      </c>
      <c r="M718" s="1" t="str">
        <f ca="1">IFERROR(__xludf.DUMMYFUNCTION("""COMPUTED_VALUE"""),"WI")</f>
        <v>WI</v>
      </c>
      <c r="N718" s="1" t="str">
        <f ca="1">IFERROR(__xludf.DUMMYFUNCTION("""COMPUTED_VALUE"""),"High")</f>
        <v>High</v>
      </c>
      <c r="O718" s="1" t="str">
        <f ca="1">IFERROR(__xludf.DUMMYFUNCTION("""COMPUTED_VALUE"""),"Parking Lot")</f>
        <v>Parking Lot</v>
      </c>
      <c r="P718" s="1" t="str">
        <f ca="1">IFERROR(__xludf.DUMMYFUNCTION("""COMPUTED_VALUE"""),"Outside on School Property")</f>
        <v>Outside on School Property</v>
      </c>
      <c r="Q718" s="1" t="str">
        <f ca="1">IFERROR(__xludf.DUMMYFUNCTION("""COMPUTED_VALUE"""),"No")</f>
        <v>No</v>
      </c>
      <c r="R718" s="1" t="str">
        <f ca="1">IFERROR(__xludf.DUMMYFUNCTION("""COMPUTED_VALUE"""),"Sport Event")</f>
        <v>Sport Event</v>
      </c>
      <c r="S718" s="5">
        <f ca="1">IFERROR(__xludf.DUMMYFUNCTION("""COMPUTED_VALUE"""),0.822916666666666)</f>
        <v>0.82291666666666596</v>
      </c>
      <c r="T718" s="1">
        <f ca="1">IFERROR(__xludf.DUMMYFUNCTION("""COMPUTED_VALUE"""),1)</f>
        <v>1</v>
      </c>
      <c r="U718" s="1" t="str">
        <f ca="1">IFERROR(__xludf.DUMMYFUNCTION("""COMPUTED_VALUE"""),"Five victims shot during fight outside basketball game")</f>
        <v>Five victims shot during fight outside basketball game</v>
      </c>
      <c r="V718" s="1" t="str">
        <f ca="1">IFERROR(__xludf.DUMMYFUNCTION("""COMPUTED_VALUE"""),"An adult male fired shot during an argument over a social media post outside of a high school basketball game. Five women (20, 15, 15, 16, and 17) were wounded. School will increase security, only admit pre-sale ticket holders, and screen attendees at fut"&amp;"ure games.")</f>
        <v>An adult male fired shot during an argument over a social media post outside of a high school basketball game. Five women (20, 15, 15, 16, and 17) were wounded. School will increase security, only admit pre-sale ticket holders, and screen attendees at future games.</v>
      </c>
      <c r="W718" s="1" t="str">
        <f ca="1">IFERROR(__xludf.DUMMYFUNCTION("""COMPUTED_VALUE"""),"Escalation of Dispute")</f>
        <v>Escalation of Dispute</v>
      </c>
      <c r="X718" s="1" t="str">
        <f ca="1">IFERROR(__xludf.DUMMYFUNCTION("""COMPUTED_VALUE"""),"Both")</f>
        <v>Both</v>
      </c>
      <c r="Y718" s="1" t="str">
        <f ca="1">IFERROR(__xludf.DUMMYFUNCTION("""COMPUTED_VALUE"""),"No")</f>
        <v>No</v>
      </c>
      <c r="Z718" s="1"/>
      <c r="AA718" s="1" t="str">
        <f ca="1">IFERROR(__xludf.DUMMYFUNCTION("""COMPUTED_VALUE"""),"No")</f>
        <v>No</v>
      </c>
      <c r="AB718" s="1" t="str">
        <f ca="1">IFERROR(__xludf.DUMMYFUNCTION("""COMPUTED_VALUE"""),"No")</f>
        <v>No</v>
      </c>
      <c r="AC718" s="1" t="str">
        <f ca="1">IFERROR(__xludf.DUMMYFUNCTION("""COMPUTED_VALUE"""),"No")</f>
        <v>No</v>
      </c>
      <c r="AD718" s="1" t="str">
        <f ca="1">IFERROR(__xludf.DUMMYFUNCTION("""COMPUTED_VALUE"""),"No")</f>
        <v>No</v>
      </c>
      <c r="AE718" s="1" t="str">
        <f ca="1">IFERROR(__xludf.DUMMYFUNCTION("""COMPUTED_VALUE"""),"No")</f>
        <v>No</v>
      </c>
      <c r="AF718" s="1" t="str">
        <f ca="1">IFERROR(__xludf.DUMMYFUNCTION("""COMPUTED_VALUE"""),"No")</f>
        <v>No</v>
      </c>
      <c r="AG718" s="1" t="str">
        <f ca="1">IFERROR(__xludf.DUMMYFUNCTION("""COMPUTED_VALUE"""),"No")</f>
        <v>No</v>
      </c>
      <c r="AH718" s="1">
        <f ca="1">IFERROR(__xludf.DUMMYFUNCTION("""COMPUTED_VALUE"""),99)</f>
        <v>99</v>
      </c>
    </row>
    <row r="719" spans="1:34" ht="12.5">
      <c r="A719" s="1" t="str">
        <f ca="1">IFERROR(__xludf.DUMMYFUNCTION("""COMPUTED_VALUE"""),"20220201PAACS")</f>
        <v>20220201PAACS</v>
      </c>
      <c r="B719" s="1">
        <f ca="1">IFERROR(__xludf.DUMMYFUNCTION("""COMPUTED_VALUE"""),2)</f>
        <v>2</v>
      </c>
      <c r="C719" s="1">
        <f ca="1">IFERROR(__xludf.DUMMYFUNCTION("""COMPUTED_VALUE"""),1)</f>
        <v>1</v>
      </c>
      <c r="D719" s="1">
        <f ca="1">IFERROR(__xludf.DUMMYFUNCTION("""COMPUTED_VALUE"""),2022)</f>
        <v>2022</v>
      </c>
      <c r="E719" s="4">
        <f ca="1">IFERROR(__xludf.DUMMYFUNCTION("""COMPUTED_VALUE"""),44593)</f>
        <v>44593</v>
      </c>
      <c r="F719" s="1" t="str">
        <f ca="1">IFERROR(__xludf.DUMMYFUNCTION("""COMPUTED_VALUE"""),"Academy Park High School")</f>
        <v>Academy Park High School</v>
      </c>
      <c r="G719" s="1">
        <f ca="1">IFERROR(__xludf.DUMMYFUNCTION("""COMPUTED_VALUE"""),0)</f>
        <v>0</v>
      </c>
      <c r="H719" s="1">
        <f ca="1">IFERROR(__xludf.DUMMYFUNCTION("""COMPUTED_VALUE"""),0)</f>
        <v>0</v>
      </c>
      <c r="I719" s="1">
        <f ca="1">IFERROR(__xludf.DUMMYFUNCTION("""COMPUTED_VALUE"""),0)</f>
        <v>0</v>
      </c>
      <c r="J719" s="1">
        <f ca="1">IFERROR(__xludf.DUMMYFUNCTION("""COMPUTED_VALUE"""),0)</f>
        <v>0</v>
      </c>
      <c r="K719" s="1" t="str">
        <f ca="1">IFERROR(__xludf.DUMMYFUNCTION("""COMPUTED_VALUE"""),"Winter")</f>
        <v>Winter</v>
      </c>
      <c r="L719" s="1" t="str">
        <f ca="1">IFERROR(__xludf.DUMMYFUNCTION("""COMPUTED_VALUE"""),"Sharon Hill")</f>
        <v>Sharon Hill</v>
      </c>
      <c r="M719" s="1" t="str">
        <f ca="1">IFERROR(__xludf.DUMMYFUNCTION("""COMPUTED_VALUE"""),"PA")</f>
        <v>PA</v>
      </c>
      <c r="N719" s="1" t="str">
        <f ca="1">IFERROR(__xludf.DUMMYFUNCTION("""COMPUTED_VALUE"""),"High")</f>
        <v>High</v>
      </c>
      <c r="O719" s="1" t="str">
        <f ca="1">IFERROR(__xludf.DUMMYFUNCTION("""COMPUTED_VALUE"""),"Parking Lot")</f>
        <v>Parking Lot</v>
      </c>
      <c r="P719" s="1" t="str">
        <f ca="1">IFERROR(__xludf.DUMMYFUNCTION("""COMPUTED_VALUE"""),"Outside on School Property")</f>
        <v>Outside on School Property</v>
      </c>
      <c r="Q719" s="1" t="str">
        <f ca="1">IFERROR(__xludf.DUMMYFUNCTION("""COMPUTED_VALUE"""),"Yes")</f>
        <v>Yes</v>
      </c>
      <c r="R719" s="1" t="str">
        <f ca="1">IFERROR(__xludf.DUMMYFUNCTION("""COMPUTED_VALUE"""),"Dismissal")</f>
        <v>Dismissal</v>
      </c>
      <c r="S719" s="5">
        <f ca="1">IFERROR(__xludf.DUMMYFUNCTION("""COMPUTED_VALUE"""),0.638888888888888)</f>
        <v>0.63888888888888795</v>
      </c>
      <c r="T719" s="1">
        <f ca="1">IFERROR(__xludf.DUMMYFUNCTION("""COMPUTED_VALUE"""),1)</f>
        <v>1</v>
      </c>
      <c r="U719" s="1" t="str">
        <f ca="1">IFERROR(__xludf.DUMMYFUNCTION("""COMPUTED_VALUE"""),"Shots fired in the school parking lot")</f>
        <v>Shots fired in the school parking lot</v>
      </c>
      <c r="V719" s="1" t="str">
        <f ca="1">IFERROR(__xludf.DUMMYFUNCTION("""COMPUTED_VALUE"""),"Shot fired in the school parking lot. No injuries. Shooter fled.")</f>
        <v>Shot fired in the school parking lot. No injuries. Shooter fled.</v>
      </c>
      <c r="W719" s="1"/>
      <c r="X719" s="1"/>
      <c r="Y719" s="1" t="str">
        <f ca="1">IFERROR(__xludf.DUMMYFUNCTION("""COMPUTED_VALUE"""),"No")</f>
        <v>No</v>
      </c>
      <c r="Z719" s="1"/>
      <c r="AA719" s="1" t="str">
        <f ca="1">IFERROR(__xludf.DUMMYFUNCTION("""COMPUTED_VALUE"""),"No")</f>
        <v>No</v>
      </c>
      <c r="AB719" s="1" t="str">
        <f ca="1">IFERROR(__xludf.DUMMYFUNCTION("""COMPUTED_VALUE"""),"No")</f>
        <v>No</v>
      </c>
      <c r="AC719" s="1" t="str">
        <f ca="1">IFERROR(__xludf.DUMMYFUNCTION("""COMPUTED_VALUE"""),"No")</f>
        <v>No</v>
      </c>
      <c r="AD719" s="1" t="str">
        <f ca="1">IFERROR(__xludf.DUMMYFUNCTION("""COMPUTED_VALUE"""),"No")</f>
        <v>No</v>
      </c>
      <c r="AE719" s="1" t="str">
        <f ca="1">IFERROR(__xludf.DUMMYFUNCTION("""COMPUTED_VALUE"""),"No")</f>
        <v>No</v>
      </c>
      <c r="AF719" s="1"/>
      <c r="AG719" s="1" t="str">
        <f ca="1">IFERROR(__xludf.DUMMYFUNCTION("""COMPUTED_VALUE"""),"No")</f>
        <v>No</v>
      </c>
      <c r="AH719" s="1">
        <f ca="1">IFERROR(__xludf.DUMMYFUNCTION("""COMPUTED_VALUE"""),99)</f>
        <v>99</v>
      </c>
    </row>
    <row r="720" spans="1:34" ht="12.5">
      <c r="A720" s="1" t="str">
        <f ca="1">IFERROR(__xludf.DUMMYFUNCTION("""COMPUTED_VALUE"""),"20220201MNSOR")</f>
        <v>20220201MNSOR</v>
      </c>
      <c r="B720" s="1">
        <f ca="1">IFERROR(__xludf.DUMMYFUNCTION("""COMPUTED_VALUE"""),2)</f>
        <v>2</v>
      </c>
      <c r="C720" s="1">
        <f ca="1">IFERROR(__xludf.DUMMYFUNCTION("""COMPUTED_VALUE"""),1)</f>
        <v>1</v>
      </c>
      <c r="D720" s="1">
        <f ca="1">IFERROR(__xludf.DUMMYFUNCTION("""COMPUTED_VALUE"""),2022)</f>
        <v>2022</v>
      </c>
      <c r="E720" s="4">
        <f ca="1">IFERROR(__xludf.DUMMYFUNCTION("""COMPUTED_VALUE"""),44593)</f>
        <v>44593</v>
      </c>
      <c r="F720" s="1" t="str">
        <f ca="1">IFERROR(__xludf.DUMMYFUNCTION("""COMPUTED_VALUE"""),"South Education Center")</f>
        <v>South Education Center</v>
      </c>
      <c r="G720" s="1">
        <f ca="1">IFERROR(__xludf.DUMMYFUNCTION("""COMPUTED_VALUE"""),1)</f>
        <v>1</v>
      </c>
      <c r="H720" s="1">
        <f ca="1">IFERROR(__xludf.DUMMYFUNCTION("""COMPUTED_VALUE"""),2)</f>
        <v>2</v>
      </c>
      <c r="I720" s="1">
        <f ca="1">IFERROR(__xludf.DUMMYFUNCTION("""COMPUTED_VALUE"""),3)</f>
        <v>3</v>
      </c>
      <c r="J720" s="1">
        <f ca="1">IFERROR(__xludf.DUMMYFUNCTION("""COMPUTED_VALUE"""),0)</f>
        <v>0</v>
      </c>
      <c r="K720" s="1" t="str">
        <f ca="1">IFERROR(__xludf.DUMMYFUNCTION("""COMPUTED_VALUE"""),"Winter")</f>
        <v>Winter</v>
      </c>
      <c r="L720" s="1" t="str">
        <f ca="1">IFERROR(__xludf.DUMMYFUNCTION("""COMPUTED_VALUE"""),"Richfield")</f>
        <v>Richfield</v>
      </c>
      <c r="M720" s="1" t="str">
        <f ca="1">IFERROR(__xludf.DUMMYFUNCTION("""COMPUTED_VALUE"""),"MN")</f>
        <v>MN</v>
      </c>
      <c r="N720" s="1" t="str">
        <f ca="1">IFERROR(__xludf.DUMMYFUNCTION("""COMPUTED_VALUE"""),"K-12")</f>
        <v>K-12</v>
      </c>
      <c r="O720" s="1" t="str">
        <f ca="1">IFERROR(__xludf.DUMMYFUNCTION("""COMPUTED_VALUE"""),"Front of School")</f>
        <v>Front of School</v>
      </c>
      <c r="P720" s="1" t="str">
        <f ca="1">IFERROR(__xludf.DUMMYFUNCTION("""COMPUTED_VALUE"""),"Outside on School Property")</f>
        <v>Outside on School Property</v>
      </c>
      <c r="Q720" s="1" t="str">
        <f ca="1">IFERROR(__xludf.DUMMYFUNCTION("""COMPUTED_VALUE"""),"Yes")</f>
        <v>Yes</v>
      </c>
      <c r="R720" s="1" t="str">
        <f ca="1">IFERROR(__xludf.DUMMYFUNCTION("""COMPUTED_VALUE"""),"Lunch")</f>
        <v>Lunch</v>
      </c>
      <c r="S720" s="5">
        <f ca="1">IFERROR(__xludf.DUMMYFUNCTION("""COMPUTED_VALUE"""),0.502777777777777)</f>
        <v>0.50277777777777699</v>
      </c>
      <c r="T720" s="1">
        <f ca="1">IFERROR(__xludf.DUMMYFUNCTION("""COMPUTED_VALUE"""),1)</f>
        <v>1</v>
      </c>
      <c r="U720" s="1" t="str">
        <f ca="1">IFERROR(__xludf.DUMMYFUNCTION("""COMPUTED_VALUE"""),"Three students shot in front of school")</f>
        <v>Three students shot in front of school</v>
      </c>
      <c r="V720" s="1" t="str">
        <f ca="1">IFERROR(__xludf.DUMMYFUNCTION("""COMPUTED_VALUE"""),"Three students were shot in front of the school during a dispute between 5 students. One student was killed. The other was transported in critical condition. Shooter fled in a vehicle. School went on lockdown until dismissal to parents. School is an alter"&amp;"native high school and provides special education to students k-12.")</f>
        <v>Three students were shot in front of the school during a dispute between 5 students. One student was killed. The other was transported in critical condition. Shooter fled in a vehicle. School went on lockdown until dismissal to parents. School is an alternative high school and provides special education to students k-12.</v>
      </c>
      <c r="W720" s="1" t="str">
        <f ca="1">IFERROR(__xludf.DUMMYFUNCTION("""COMPUTED_VALUE"""),"Escalation of Dispute")</f>
        <v>Escalation of Dispute</v>
      </c>
      <c r="X720" s="1" t="str">
        <f ca="1">IFERROR(__xludf.DUMMYFUNCTION("""COMPUTED_VALUE"""),"Both")</f>
        <v>Both</v>
      </c>
      <c r="Y720" s="1" t="str">
        <f ca="1">IFERROR(__xludf.DUMMYFUNCTION("""COMPUTED_VALUE"""),"Yes")</f>
        <v>Yes</v>
      </c>
      <c r="Z720" s="1" t="str">
        <f ca="1">IFERROR(__xludf.DUMMYFUNCTION("""COMPUTED_VALUE"""),"2 men arrested")</f>
        <v>2 men arrested</v>
      </c>
      <c r="AA720" s="1" t="str">
        <f ca="1">IFERROR(__xludf.DUMMYFUNCTION("""COMPUTED_VALUE"""),"No")</f>
        <v>No</v>
      </c>
      <c r="AB720" s="1" t="str">
        <f ca="1">IFERROR(__xludf.DUMMYFUNCTION("""COMPUTED_VALUE"""),"No")</f>
        <v>No</v>
      </c>
      <c r="AC720" s="1" t="str">
        <f ca="1">IFERROR(__xludf.DUMMYFUNCTION("""COMPUTED_VALUE"""),"No")</f>
        <v>No</v>
      </c>
      <c r="AD720" s="1" t="str">
        <f ca="1">IFERROR(__xludf.DUMMYFUNCTION("""COMPUTED_VALUE"""),"No")</f>
        <v>No</v>
      </c>
      <c r="AE720" s="1" t="str">
        <f ca="1">IFERROR(__xludf.DUMMYFUNCTION("""COMPUTED_VALUE"""),"No")</f>
        <v>No</v>
      </c>
      <c r="AF720" s="1" t="str">
        <f ca="1">IFERROR(__xludf.DUMMYFUNCTION("""COMPUTED_VALUE"""),"Yes")</f>
        <v>Yes</v>
      </c>
      <c r="AG720" s="1" t="str">
        <f ca="1">IFERROR(__xludf.DUMMYFUNCTION("""COMPUTED_VALUE"""),"No")</f>
        <v>No</v>
      </c>
      <c r="AH720" s="1">
        <f ca="1">IFERROR(__xludf.DUMMYFUNCTION("""COMPUTED_VALUE"""),99)</f>
        <v>99</v>
      </c>
    </row>
    <row r="721" spans="1:34" ht="12.5">
      <c r="A721" s="1" t="str">
        <f ca="1">IFERROR(__xludf.DUMMYFUNCTION("""COMPUTED_VALUE"""),"20220201ILALC")</f>
        <v>20220201ILALC</v>
      </c>
      <c r="B721" s="1">
        <f ca="1">IFERROR(__xludf.DUMMYFUNCTION("""COMPUTED_VALUE"""),2)</f>
        <v>2</v>
      </c>
      <c r="C721" s="1">
        <f ca="1">IFERROR(__xludf.DUMMYFUNCTION("""COMPUTED_VALUE"""),1)</f>
        <v>1</v>
      </c>
      <c r="D721" s="1">
        <f ca="1">IFERROR(__xludf.DUMMYFUNCTION("""COMPUTED_VALUE"""),2022)</f>
        <v>2022</v>
      </c>
      <c r="E721" s="4">
        <f ca="1">IFERROR(__xludf.DUMMYFUNCTION("""COMPUTED_VALUE"""),44593)</f>
        <v>44593</v>
      </c>
      <c r="F721" s="1" t="str">
        <f ca="1">IFERROR(__xludf.DUMMYFUNCTION("""COMPUTED_VALUE"""),"Alessandro Volta Elementary School")</f>
        <v>Alessandro Volta Elementary School</v>
      </c>
      <c r="G721" s="1">
        <f ca="1">IFERROR(__xludf.DUMMYFUNCTION("""COMPUTED_VALUE"""),0)</f>
        <v>0</v>
      </c>
      <c r="H721" s="1">
        <f ca="1">IFERROR(__xludf.DUMMYFUNCTION("""COMPUTED_VALUE"""),1)</f>
        <v>1</v>
      </c>
      <c r="I721" s="1">
        <f ca="1">IFERROR(__xludf.DUMMYFUNCTION("""COMPUTED_VALUE"""),1)</f>
        <v>1</v>
      </c>
      <c r="J721" s="1">
        <f ca="1">IFERROR(__xludf.DUMMYFUNCTION("""COMPUTED_VALUE"""),0)</f>
        <v>0</v>
      </c>
      <c r="K721" s="1" t="str">
        <f ca="1">IFERROR(__xludf.DUMMYFUNCTION("""COMPUTED_VALUE"""),"Winter")</f>
        <v>Winter</v>
      </c>
      <c r="L721" s="1" t="str">
        <f ca="1">IFERROR(__xludf.DUMMYFUNCTION("""COMPUTED_VALUE"""),"Chicago")</f>
        <v>Chicago</v>
      </c>
      <c r="M721" s="1" t="str">
        <f ca="1">IFERROR(__xludf.DUMMYFUNCTION("""COMPUTED_VALUE"""),"IL")</f>
        <v>IL</v>
      </c>
      <c r="N721" s="1" t="str">
        <f ca="1">IFERROR(__xludf.DUMMYFUNCTION("""COMPUTED_VALUE"""),"Elementary")</f>
        <v>Elementary</v>
      </c>
      <c r="O721" s="1" t="str">
        <f ca="1">IFERROR(__xludf.DUMMYFUNCTION("""COMPUTED_VALUE"""),"Front of School")</f>
        <v>Front of School</v>
      </c>
      <c r="P721" s="1" t="str">
        <f ca="1">IFERROR(__xludf.DUMMYFUNCTION("""COMPUTED_VALUE"""),"Outside on School Property")</f>
        <v>Outside on School Property</v>
      </c>
      <c r="Q721" s="1" t="str">
        <f ca="1">IFERROR(__xludf.DUMMYFUNCTION("""COMPUTED_VALUE"""),"Yes")</f>
        <v>Yes</v>
      </c>
      <c r="R721" s="1" t="str">
        <f ca="1">IFERROR(__xludf.DUMMYFUNCTION("""COMPUTED_VALUE"""),"Morning Classes")</f>
        <v>Morning Classes</v>
      </c>
      <c r="S721" s="5">
        <f ca="1">IFERROR(__xludf.DUMMYFUNCTION("""COMPUTED_VALUE"""),0.416666666666666)</f>
        <v>0.41666666666666602</v>
      </c>
      <c r="T721" s="1">
        <f ca="1">IFERROR(__xludf.DUMMYFUNCTION("""COMPUTED_VALUE"""),1)</f>
        <v>1</v>
      </c>
      <c r="U721" s="1" t="str">
        <f ca="1">IFERROR(__xludf.DUMMYFUNCTION("""COMPUTED_VALUE"""),"Teen girl shot by front door of school")</f>
        <v>Teen girl shot by front door of school</v>
      </c>
      <c r="V721" s="1" t="str">
        <f ca="1">IFERROR(__xludf.DUMMYFUNCTION("""COMPUTED_VALUE"""),"A 16-year-old girl was shot near the front door of the school. Shots were fired down the street, she was not the intended target. School went on lockdown. Shooter fled.")</f>
        <v>A 16-year-old girl was shot near the front door of the school. Shots were fired down the street, she was not the intended target. School went on lockdown. Shooter fled.</v>
      </c>
      <c r="W721" s="1"/>
      <c r="X721" s="1" t="str">
        <f ca="1">IFERROR(__xludf.DUMMYFUNCTION("""COMPUTED_VALUE"""),"Both")</f>
        <v>Both</v>
      </c>
      <c r="Y721" s="1" t="str">
        <f ca="1">IFERROR(__xludf.DUMMYFUNCTION("""COMPUTED_VALUE"""),"No")</f>
        <v>No</v>
      </c>
      <c r="Z721" s="1"/>
      <c r="AA721" s="1" t="str">
        <f ca="1">IFERROR(__xludf.DUMMYFUNCTION("""COMPUTED_VALUE"""),"No")</f>
        <v>No</v>
      </c>
      <c r="AB721" s="1" t="str">
        <f ca="1">IFERROR(__xludf.DUMMYFUNCTION("""COMPUTED_VALUE"""),"No")</f>
        <v>No</v>
      </c>
      <c r="AC721" s="1" t="str">
        <f ca="1">IFERROR(__xludf.DUMMYFUNCTION("""COMPUTED_VALUE"""),"No")</f>
        <v>No</v>
      </c>
      <c r="AD721" s="1" t="str">
        <f ca="1">IFERROR(__xludf.DUMMYFUNCTION("""COMPUTED_VALUE"""),"No")</f>
        <v>No</v>
      </c>
      <c r="AE721" s="1" t="str">
        <f ca="1">IFERROR(__xludf.DUMMYFUNCTION("""COMPUTED_VALUE"""),"No")</f>
        <v>No</v>
      </c>
      <c r="AF721" s="1"/>
      <c r="AG721" s="1" t="str">
        <f ca="1">IFERROR(__xludf.DUMMYFUNCTION("""COMPUTED_VALUE"""),"No")</f>
        <v>No</v>
      </c>
      <c r="AH721" s="1">
        <f ca="1">IFERROR(__xludf.DUMMYFUNCTION("""COMPUTED_VALUE"""),99)</f>
        <v>99</v>
      </c>
    </row>
    <row r="722" spans="1:34" ht="12.5">
      <c r="A722" s="1" t="str">
        <f ca="1">IFERROR(__xludf.DUMMYFUNCTION("""COMPUTED_VALUE"""),"20220129WIBEB")</f>
        <v>20220129WIBEB</v>
      </c>
      <c r="B722" s="1">
        <f ca="1">IFERROR(__xludf.DUMMYFUNCTION("""COMPUTED_VALUE"""),1)</f>
        <v>1</v>
      </c>
      <c r="C722" s="1">
        <f ca="1">IFERROR(__xludf.DUMMYFUNCTION("""COMPUTED_VALUE"""),29)</f>
        <v>29</v>
      </c>
      <c r="D722" s="1">
        <f ca="1">IFERROR(__xludf.DUMMYFUNCTION("""COMPUTED_VALUE"""),2022)</f>
        <v>2022</v>
      </c>
      <c r="E722" s="4">
        <f ca="1">IFERROR(__xludf.DUMMYFUNCTION("""COMPUTED_VALUE"""),44590)</f>
        <v>44590</v>
      </c>
      <c r="F722" s="1" t="str">
        <f ca="1">IFERROR(__xludf.DUMMYFUNCTION("""COMPUTED_VALUE"""),"Beloit Memorial High School")</f>
        <v>Beloit Memorial High School</v>
      </c>
      <c r="G722" s="1">
        <f ca="1">IFERROR(__xludf.DUMMYFUNCTION("""COMPUTED_VALUE"""),1)</f>
        <v>1</v>
      </c>
      <c r="H722" s="1">
        <f ca="1">IFERROR(__xludf.DUMMYFUNCTION("""COMPUTED_VALUE"""),0)</f>
        <v>0</v>
      </c>
      <c r="I722" s="1">
        <f ca="1">IFERROR(__xludf.DUMMYFUNCTION("""COMPUTED_VALUE"""),1)</f>
        <v>1</v>
      </c>
      <c r="J722" s="1">
        <f ca="1">IFERROR(__xludf.DUMMYFUNCTION("""COMPUTED_VALUE"""),0)</f>
        <v>0</v>
      </c>
      <c r="K722" s="1" t="str">
        <f ca="1">IFERROR(__xludf.DUMMYFUNCTION("""COMPUTED_VALUE"""),"Winter")</f>
        <v>Winter</v>
      </c>
      <c r="L722" s="1" t="str">
        <f ca="1">IFERROR(__xludf.DUMMYFUNCTION("""COMPUTED_VALUE"""),"Beloit")</f>
        <v>Beloit</v>
      </c>
      <c r="M722" s="1" t="str">
        <f ca="1">IFERROR(__xludf.DUMMYFUNCTION("""COMPUTED_VALUE"""),"WI")</f>
        <v>WI</v>
      </c>
      <c r="N722" s="1" t="str">
        <f ca="1">IFERROR(__xludf.DUMMYFUNCTION("""COMPUTED_VALUE"""),"High")</f>
        <v>High</v>
      </c>
      <c r="O722" s="1" t="str">
        <f ca="1">IFERROR(__xludf.DUMMYFUNCTION("""COMPUTED_VALUE"""),"Parking Lot")</f>
        <v>Parking Lot</v>
      </c>
      <c r="P722" s="1" t="str">
        <f ca="1">IFERROR(__xludf.DUMMYFUNCTION("""COMPUTED_VALUE"""),"Outside on School Property")</f>
        <v>Outside on School Property</v>
      </c>
      <c r="Q722" s="1" t="str">
        <f ca="1">IFERROR(__xludf.DUMMYFUNCTION("""COMPUTED_VALUE"""),"No")</f>
        <v>No</v>
      </c>
      <c r="R722" s="1" t="str">
        <f ca="1">IFERROR(__xludf.DUMMYFUNCTION("""COMPUTED_VALUE"""),"Sport Event")</f>
        <v>Sport Event</v>
      </c>
      <c r="S722" s="5">
        <f ca="1">IFERROR(__xludf.DUMMYFUNCTION("""COMPUTED_VALUE"""),0.871527777777777)</f>
        <v>0.87152777777777701</v>
      </c>
      <c r="T722" s="1">
        <f ca="1">IFERROR(__xludf.DUMMYFUNCTION("""COMPUTED_VALUE"""),1)</f>
        <v>1</v>
      </c>
      <c r="U722" s="1" t="str">
        <f ca="1">IFERROR(__xludf.DUMMYFUNCTION("""COMPUTED_VALUE"""),"Adult man killed outside of high school basketball game")</f>
        <v>Adult man killed outside of high school basketball game</v>
      </c>
      <c r="V722" s="1" t="str">
        <f ca="1">IFERROR(__xludf.DUMMYFUNCTION("""COMPUTED_VALUE"""),"An adult male was fatally shot in the school parking lot at the end of a high school basketball game. Students and fans exiting the building ran back into the school. A SRO was assigned to the game and responded immediately to secure the scene. Building w"&amp;"as locked down. Players were escorted to their buses. Shooter fled and was not identified.")</f>
        <v>An adult male was fatally shot in the school parking lot at the end of a high school basketball game. Students and fans exiting the building ran back into the school. A SRO was assigned to the game and responded immediately to secure the scene. Building was locked down. Players were escorted to their buses. Shooter fled and was not identified.</v>
      </c>
      <c r="W722" s="1"/>
      <c r="X722" s="1" t="str">
        <f ca="1">IFERROR(__xludf.DUMMYFUNCTION("""COMPUTED_VALUE"""),"Victims Targeted")</f>
        <v>Victims Targeted</v>
      </c>
      <c r="Y722" s="1" t="str">
        <f ca="1">IFERROR(__xludf.DUMMYFUNCTION("""COMPUTED_VALUE"""),"No")</f>
        <v>No</v>
      </c>
      <c r="Z722" s="1"/>
      <c r="AA722" s="1" t="str">
        <f ca="1">IFERROR(__xludf.DUMMYFUNCTION("""COMPUTED_VALUE"""),"No")</f>
        <v>No</v>
      </c>
      <c r="AB722" s="1" t="str">
        <f ca="1">IFERROR(__xludf.DUMMYFUNCTION("""COMPUTED_VALUE"""),"No")</f>
        <v>No</v>
      </c>
      <c r="AC722" s="1" t="str">
        <f ca="1">IFERROR(__xludf.DUMMYFUNCTION("""COMPUTED_VALUE"""),"No")</f>
        <v>No</v>
      </c>
      <c r="AD722" s="1" t="str">
        <f ca="1">IFERROR(__xludf.DUMMYFUNCTION("""COMPUTED_VALUE"""),"No")</f>
        <v>No</v>
      </c>
      <c r="AE722" s="1" t="str">
        <f ca="1">IFERROR(__xludf.DUMMYFUNCTION("""COMPUTED_VALUE"""),"No")</f>
        <v>No</v>
      </c>
      <c r="AF722" s="1"/>
      <c r="AG722" s="1" t="str">
        <f ca="1">IFERROR(__xludf.DUMMYFUNCTION("""COMPUTED_VALUE"""),"No")</f>
        <v>No</v>
      </c>
      <c r="AH722" s="1"/>
    </row>
    <row r="723" spans="1:34" ht="12.5">
      <c r="A723" s="1" t="str">
        <f ca="1">IFERROR(__xludf.DUMMYFUNCTION("""COMPUTED_VALUE"""),"20220128LACAM")</f>
        <v>20220128LACAM</v>
      </c>
      <c r="B723" s="1">
        <f ca="1">IFERROR(__xludf.DUMMYFUNCTION("""COMPUTED_VALUE"""),1)</f>
        <v>1</v>
      </c>
      <c r="C723" s="1">
        <f ca="1">IFERROR(__xludf.DUMMYFUNCTION("""COMPUTED_VALUE"""),28)</f>
        <v>28</v>
      </c>
      <c r="D723" s="1">
        <f ca="1">IFERROR(__xludf.DUMMYFUNCTION("""COMPUTED_VALUE"""),2022)</f>
        <v>2022</v>
      </c>
      <c r="E723" s="4">
        <f ca="1">IFERROR(__xludf.DUMMYFUNCTION("""COMPUTED_VALUE"""),44589)</f>
        <v>44589</v>
      </c>
      <c r="F723" s="1" t="str">
        <f ca="1">IFERROR(__xludf.DUMMYFUNCTION("""COMPUTED_VALUE"""),"Carroll High School")</f>
        <v>Carroll High School</v>
      </c>
      <c r="G723" s="1">
        <f ca="1">IFERROR(__xludf.DUMMYFUNCTION("""COMPUTED_VALUE"""),0)</f>
        <v>0</v>
      </c>
      <c r="H723" s="1">
        <f ca="1">IFERROR(__xludf.DUMMYFUNCTION("""COMPUTED_VALUE"""),0)</f>
        <v>0</v>
      </c>
      <c r="I723" s="1">
        <f ca="1">IFERROR(__xludf.DUMMYFUNCTION("""COMPUTED_VALUE"""),0)</f>
        <v>0</v>
      </c>
      <c r="J723" s="1">
        <f ca="1">IFERROR(__xludf.DUMMYFUNCTION("""COMPUTED_VALUE"""),0)</f>
        <v>0</v>
      </c>
      <c r="K723" s="1" t="str">
        <f ca="1">IFERROR(__xludf.DUMMYFUNCTION("""COMPUTED_VALUE"""),"Winter")</f>
        <v>Winter</v>
      </c>
      <c r="L723" s="1" t="str">
        <f ca="1">IFERROR(__xludf.DUMMYFUNCTION("""COMPUTED_VALUE"""),"Monroe")</f>
        <v>Monroe</v>
      </c>
      <c r="M723" s="1" t="str">
        <f ca="1">IFERROR(__xludf.DUMMYFUNCTION("""COMPUTED_VALUE"""),"LA")</f>
        <v>LA</v>
      </c>
      <c r="N723" s="1" t="str">
        <f ca="1">IFERROR(__xludf.DUMMYFUNCTION("""COMPUTED_VALUE"""),"High")</f>
        <v>High</v>
      </c>
      <c r="O723" s="1" t="str">
        <f ca="1">IFERROR(__xludf.DUMMYFUNCTION("""COMPUTED_VALUE"""),"Parking Lot")</f>
        <v>Parking Lot</v>
      </c>
      <c r="P723" s="1" t="str">
        <f ca="1">IFERROR(__xludf.DUMMYFUNCTION("""COMPUTED_VALUE"""),"Outside on School Property")</f>
        <v>Outside on School Property</v>
      </c>
      <c r="Q723" s="1" t="str">
        <f ca="1">IFERROR(__xludf.DUMMYFUNCTION("""COMPUTED_VALUE"""),"No")</f>
        <v>No</v>
      </c>
      <c r="R723" s="1" t="str">
        <f ca="1">IFERROR(__xludf.DUMMYFUNCTION("""COMPUTED_VALUE"""),"Sport Event")</f>
        <v>Sport Event</v>
      </c>
      <c r="S723" s="5">
        <f ca="1">IFERROR(__xludf.DUMMYFUNCTION("""COMPUTED_VALUE"""),0.791666666666666)</f>
        <v>0.79166666666666596</v>
      </c>
      <c r="T723" s="1">
        <f ca="1">IFERROR(__xludf.DUMMYFUNCTION("""COMPUTED_VALUE"""),1)</f>
        <v>1</v>
      </c>
      <c r="U723" s="1" t="str">
        <f ca="1">IFERROR(__xludf.DUMMYFUNCTION("""COMPUTED_VALUE"""),"Shots fired by man burglarizing vehicles during basketball game")</f>
        <v>Shots fired by man burglarizing vehicles during basketball game</v>
      </c>
      <c r="V723" s="1" t="str">
        <f ca="1">IFERROR(__xludf.DUMMYFUNCTION("""COMPUTED_VALUE"""),"Two people leaving the high school basketball game saw three men burglarizing vehicles in the school parking lot. When they approached the men, one burglar fired 2 shots at them and then fled the area.")</f>
        <v>Two people leaving the high school basketball game saw three men burglarizing vehicles in the school parking lot. When they approached the men, one burglar fired 2 shots at them and then fled the area.</v>
      </c>
      <c r="W723" s="1" t="str">
        <f ca="1">IFERROR(__xludf.DUMMYFUNCTION("""COMPUTED_VALUE"""),"Illegal Activity")</f>
        <v>Illegal Activity</v>
      </c>
      <c r="X723" s="1" t="str">
        <f ca="1">IFERROR(__xludf.DUMMYFUNCTION("""COMPUTED_VALUE"""),"Random Shooting")</f>
        <v>Random Shooting</v>
      </c>
      <c r="Y723" s="1" t="str">
        <f ca="1">IFERROR(__xludf.DUMMYFUNCTION("""COMPUTED_VALUE"""),"Yes")</f>
        <v>Yes</v>
      </c>
      <c r="Z723" s="1" t="str">
        <f ca="1">IFERROR(__xludf.DUMMYFUNCTION("""COMPUTED_VALUE"""),"3 men")</f>
        <v>3 men</v>
      </c>
      <c r="AA723" s="1" t="str">
        <f ca="1">IFERROR(__xludf.DUMMYFUNCTION("""COMPUTED_VALUE"""),"No")</f>
        <v>No</v>
      </c>
      <c r="AB723" s="1" t="str">
        <f ca="1">IFERROR(__xludf.DUMMYFUNCTION("""COMPUTED_VALUE"""),"No")</f>
        <v>No</v>
      </c>
      <c r="AC723" s="1" t="str">
        <f ca="1">IFERROR(__xludf.DUMMYFUNCTION("""COMPUTED_VALUE"""),"No")</f>
        <v>No</v>
      </c>
      <c r="AD723" s="1" t="str">
        <f ca="1">IFERROR(__xludf.DUMMYFUNCTION("""COMPUTED_VALUE"""),"No")</f>
        <v>No</v>
      </c>
      <c r="AE723" s="1" t="str">
        <f ca="1">IFERROR(__xludf.DUMMYFUNCTION("""COMPUTED_VALUE"""),"No")</f>
        <v>No</v>
      </c>
      <c r="AF723" s="1" t="str">
        <f ca="1">IFERROR(__xludf.DUMMYFUNCTION("""COMPUTED_VALUE"""),"No")</f>
        <v>No</v>
      </c>
      <c r="AG723" s="1" t="str">
        <f ca="1">IFERROR(__xludf.DUMMYFUNCTION("""COMPUTED_VALUE"""),"No")</f>
        <v>No</v>
      </c>
      <c r="AH723" s="1">
        <f ca="1">IFERROR(__xludf.DUMMYFUNCTION("""COMPUTED_VALUE"""),2)</f>
        <v>2</v>
      </c>
    </row>
    <row r="724" spans="1:34" ht="12.5">
      <c r="A724" s="1" t="str">
        <f ca="1">IFERROR(__xludf.DUMMYFUNCTION("""COMPUTED_VALUE"""),"20220127TXMOH")</f>
        <v>20220127TXMOH</v>
      </c>
      <c r="B724" s="1">
        <f ca="1">IFERROR(__xludf.DUMMYFUNCTION("""COMPUTED_VALUE"""),1)</f>
        <v>1</v>
      </c>
      <c r="C724" s="1">
        <f ca="1">IFERROR(__xludf.DUMMYFUNCTION("""COMPUTED_VALUE"""),27)</f>
        <v>27</v>
      </c>
      <c r="D724" s="1">
        <f ca="1">IFERROR(__xludf.DUMMYFUNCTION("""COMPUTED_VALUE"""),2022)</f>
        <v>2022</v>
      </c>
      <c r="E724" s="4">
        <f ca="1">IFERROR(__xludf.DUMMYFUNCTION("""COMPUTED_VALUE"""),44588)</f>
        <v>44588</v>
      </c>
      <c r="F724" s="1" t="str">
        <f ca="1">IFERROR(__xludf.DUMMYFUNCTION("""COMPUTED_VALUE"""),"Montgomery Elementary School")</f>
        <v>Montgomery Elementary School</v>
      </c>
      <c r="G724" s="1">
        <f ca="1">IFERROR(__xludf.DUMMYFUNCTION("""COMPUTED_VALUE"""),0)</f>
        <v>0</v>
      </c>
      <c r="H724" s="1">
        <f ca="1">IFERROR(__xludf.DUMMYFUNCTION("""COMPUTED_VALUE"""),1)</f>
        <v>1</v>
      </c>
      <c r="I724" s="1">
        <f ca="1">IFERROR(__xludf.DUMMYFUNCTION("""COMPUTED_VALUE"""),1)</f>
        <v>1</v>
      </c>
      <c r="J724" s="1">
        <f ca="1">IFERROR(__xludf.DUMMYFUNCTION("""COMPUTED_VALUE"""),0)</f>
        <v>0</v>
      </c>
      <c r="K724" s="1" t="str">
        <f ca="1">IFERROR(__xludf.DUMMYFUNCTION("""COMPUTED_VALUE"""),"Winter")</f>
        <v>Winter</v>
      </c>
      <c r="L724" s="1" t="str">
        <f ca="1">IFERROR(__xludf.DUMMYFUNCTION("""COMPUTED_VALUE"""),"Houston")</f>
        <v>Houston</v>
      </c>
      <c r="M724" s="1" t="str">
        <f ca="1">IFERROR(__xludf.DUMMYFUNCTION("""COMPUTED_VALUE"""),"TX")</f>
        <v>TX</v>
      </c>
      <c r="N724" s="1" t="str">
        <f ca="1">IFERROR(__xludf.DUMMYFUNCTION("""COMPUTED_VALUE"""),"Elementary")</f>
        <v>Elementary</v>
      </c>
      <c r="O724" s="1" t="str">
        <f ca="1">IFERROR(__xludf.DUMMYFUNCTION("""COMPUTED_VALUE"""),"Parking Lot")</f>
        <v>Parking Lot</v>
      </c>
      <c r="P724" s="1" t="str">
        <f ca="1">IFERROR(__xludf.DUMMYFUNCTION("""COMPUTED_VALUE"""),"Outside on School Property")</f>
        <v>Outside on School Property</v>
      </c>
      <c r="Q724" s="1" t="str">
        <f ca="1">IFERROR(__xludf.DUMMYFUNCTION("""COMPUTED_VALUE"""),"No")</f>
        <v>No</v>
      </c>
      <c r="R724" s="1" t="str">
        <f ca="1">IFERROR(__xludf.DUMMYFUNCTION("""COMPUTED_VALUE"""),"Night")</f>
        <v>Night</v>
      </c>
      <c r="S724" s="5">
        <f ca="1">IFERROR(__xludf.DUMMYFUNCTION("""COMPUTED_VALUE"""),0.916666666666666)</f>
        <v>0.91666666666666596</v>
      </c>
      <c r="T724" s="1">
        <f ca="1">IFERROR(__xludf.DUMMYFUNCTION("""COMPUTED_VALUE"""),1)</f>
        <v>1</v>
      </c>
      <c r="U724" s="1" t="str">
        <f ca="1">IFERROR(__xludf.DUMMYFUNCTION("""COMPUTED_VALUE"""),"Woman shot during car sale robbery scam in school parking lot")</f>
        <v>Woman shot during car sale robbery scam in school parking lot</v>
      </c>
      <c r="V724" s="1" t="str">
        <f ca="1">IFERROR(__xludf.DUMMYFUNCTION("""COMPUTED_VALUE"""),"An adult woman was shot during the sale of a vehicle in the school parking lot. The sale was a robbery setup and she was shot by an adult male who fled the scene. Victim drove to a nearby firehouse for assistance.")</f>
        <v>An adult woman was shot during the sale of a vehicle in the school parking lot. The sale was a robbery setup and she was shot by an adult male who fled the scene. Victim drove to a nearby firehouse for assistance.</v>
      </c>
      <c r="W724" s="1" t="str">
        <f ca="1">IFERROR(__xludf.DUMMYFUNCTION("""COMPUTED_VALUE"""),"Illegal Activity")</f>
        <v>Illegal Activity</v>
      </c>
      <c r="X724" s="1" t="str">
        <f ca="1">IFERROR(__xludf.DUMMYFUNCTION("""COMPUTED_VALUE"""),"Victims Targeted")</f>
        <v>Victims Targeted</v>
      </c>
      <c r="Y724" s="1" t="str">
        <f ca="1">IFERROR(__xludf.DUMMYFUNCTION("""COMPUTED_VALUE"""),"Yes")</f>
        <v>Yes</v>
      </c>
      <c r="Z724" s="1" t="str">
        <f ca="1">IFERROR(__xludf.DUMMYFUNCTION("""COMPUTED_VALUE"""),"Multiple men fled")</f>
        <v>Multiple men fled</v>
      </c>
      <c r="AA724" s="1" t="str">
        <f ca="1">IFERROR(__xludf.DUMMYFUNCTION("""COMPUTED_VALUE"""),"No")</f>
        <v>No</v>
      </c>
      <c r="AB724" s="1" t="str">
        <f ca="1">IFERROR(__xludf.DUMMYFUNCTION("""COMPUTED_VALUE"""),"No")</f>
        <v>No</v>
      </c>
      <c r="AC724" s="1" t="str">
        <f ca="1">IFERROR(__xludf.DUMMYFUNCTION("""COMPUTED_VALUE"""),"No")</f>
        <v>No</v>
      </c>
      <c r="AD724" s="1" t="str">
        <f ca="1">IFERROR(__xludf.DUMMYFUNCTION("""COMPUTED_VALUE"""),"No")</f>
        <v>No</v>
      </c>
      <c r="AE724" s="1" t="str">
        <f ca="1">IFERROR(__xludf.DUMMYFUNCTION("""COMPUTED_VALUE"""),"No")</f>
        <v>No</v>
      </c>
      <c r="AF724" s="1" t="str">
        <f ca="1">IFERROR(__xludf.DUMMYFUNCTION("""COMPUTED_VALUE"""),"No")</f>
        <v>No</v>
      </c>
      <c r="AG724" s="1" t="str">
        <f ca="1">IFERROR(__xludf.DUMMYFUNCTION("""COMPUTED_VALUE"""),"No")</f>
        <v>No</v>
      </c>
      <c r="AH724" s="1">
        <f ca="1">IFERROR(__xludf.DUMMYFUNCTION("""COMPUTED_VALUE"""),99)</f>
        <v>99</v>
      </c>
    </row>
    <row r="725" spans="1:34" ht="12.5">
      <c r="A725" s="1" t="str">
        <f ca="1">IFERROR(__xludf.DUMMYFUNCTION("""COMPUTED_VALUE"""),"20220126PABAP")</f>
        <v>20220126PABAP</v>
      </c>
      <c r="B725" s="1">
        <f ca="1">IFERROR(__xludf.DUMMYFUNCTION("""COMPUTED_VALUE"""),1)</f>
        <v>1</v>
      </c>
      <c r="C725" s="1">
        <f ca="1">IFERROR(__xludf.DUMMYFUNCTION("""COMPUTED_VALUE"""),26)</f>
        <v>26</v>
      </c>
      <c r="D725" s="1">
        <f ca="1">IFERROR(__xludf.DUMMYFUNCTION("""COMPUTED_VALUE"""),2022)</f>
        <v>2022</v>
      </c>
      <c r="E725" s="4">
        <f ca="1">IFERROR(__xludf.DUMMYFUNCTION("""COMPUTED_VALUE"""),44587)</f>
        <v>44587</v>
      </c>
      <c r="F725" s="1" t="str">
        <f ca="1">IFERROR(__xludf.DUMMYFUNCTION("""COMPUTED_VALUE"""),"Bartram High School")</f>
        <v>Bartram High School</v>
      </c>
      <c r="G725" s="1">
        <f ca="1">IFERROR(__xludf.DUMMYFUNCTION("""COMPUTED_VALUE"""),1)</f>
        <v>1</v>
      </c>
      <c r="H725" s="1">
        <f ca="1">IFERROR(__xludf.DUMMYFUNCTION("""COMPUTED_VALUE"""),0)</f>
        <v>0</v>
      </c>
      <c r="I725" s="1">
        <f ca="1">IFERROR(__xludf.DUMMYFUNCTION("""COMPUTED_VALUE"""),1)</f>
        <v>1</v>
      </c>
      <c r="J725" s="1">
        <f ca="1">IFERROR(__xludf.DUMMYFUNCTION("""COMPUTED_VALUE"""),0)</f>
        <v>0</v>
      </c>
      <c r="K725" s="1" t="str">
        <f ca="1">IFERROR(__xludf.DUMMYFUNCTION("""COMPUTED_VALUE"""),"Winter")</f>
        <v>Winter</v>
      </c>
      <c r="L725" s="1" t="str">
        <f ca="1">IFERROR(__xludf.DUMMYFUNCTION("""COMPUTED_VALUE"""),"Philadelphia")</f>
        <v>Philadelphia</v>
      </c>
      <c r="M725" s="1" t="str">
        <f ca="1">IFERROR(__xludf.DUMMYFUNCTION("""COMPUTED_VALUE"""),"PA")</f>
        <v>PA</v>
      </c>
      <c r="N725" s="1" t="str">
        <f ca="1">IFERROR(__xludf.DUMMYFUNCTION("""COMPUTED_VALUE"""),"High")</f>
        <v>High</v>
      </c>
      <c r="O725" s="1" t="str">
        <f ca="1">IFERROR(__xludf.DUMMYFUNCTION("""COMPUTED_VALUE"""),"Front of School")</f>
        <v>Front of School</v>
      </c>
      <c r="P725" s="1" t="str">
        <f ca="1">IFERROR(__xludf.DUMMYFUNCTION("""COMPUTED_VALUE"""),"Off School Property")</f>
        <v>Off School Property</v>
      </c>
      <c r="Q725" s="1" t="str">
        <f ca="1">IFERROR(__xludf.DUMMYFUNCTION("""COMPUTED_VALUE"""),"Yes")</f>
        <v>Yes</v>
      </c>
      <c r="R725" s="1" t="str">
        <f ca="1">IFERROR(__xludf.DUMMYFUNCTION("""COMPUTED_VALUE"""),"Dismissal")</f>
        <v>Dismissal</v>
      </c>
      <c r="S725" s="5">
        <f ca="1">IFERROR(__xludf.DUMMYFUNCTION("""COMPUTED_VALUE"""),0.620833333333333)</f>
        <v>0.62083333333333302</v>
      </c>
      <c r="T725" s="1">
        <f ca="1">IFERROR(__xludf.DUMMYFUNCTION("""COMPUTED_VALUE"""),1)</f>
        <v>1</v>
      </c>
      <c r="U725" s="1" t="str">
        <f ca="1">IFERROR(__xludf.DUMMYFUNCTION("""COMPUTED_VALUE"""),"A 17-year-old male student was fatally shot in the chest while leaving the campus at dismissal.")</f>
        <v>A 17-year-old male student was fatally shot in the chest while leaving the campus at dismissal.</v>
      </c>
      <c r="V725" s="1" t="str">
        <f ca="1">IFERROR(__xludf.DUMMYFUNCTION("""COMPUTED_VALUE"""),"A 17-year-old male student was fatally shot in the chest while leaving the campus at dismissal. The school went on lockdown and remaining students sheltered on the campus. Shooter fled.")</f>
        <v>A 17-year-old male student was fatally shot in the chest while leaving the campus at dismissal. The school went on lockdown and remaining students sheltered on the campus. Shooter fled.</v>
      </c>
      <c r="W725" s="1"/>
      <c r="X725" s="1" t="str">
        <f ca="1">IFERROR(__xludf.DUMMYFUNCTION("""COMPUTED_VALUE"""),"Victims Targeted")</f>
        <v>Victims Targeted</v>
      </c>
      <c r="Y725" s="1" t="str">
        <f ca="1">IFERROR(__xludf.DUMMYFUNCTION("""COMPUTED_VALUE"""),"No")</f>
        <v>No</v>
      </c>
      <c r="Z725" s="1"/>
      <c r="AA725" s="1" t="str">
        <f ca="1">IFERROR(__xludf.DUMMYFUNCTION("""COMPUTED_VALUE"""),"No")</f>
        <v>No</v>
      </c>
      <c r="AB725" s="1" t="str">
        <f ca="1">IFERROR(__xludf.DUMMYFUNCTION("""COMPUTED_VALUE"""),"No")</f>
        <v>No</v>
      </c>
      <c r="AC725" s="1" t="str">
        <f ca="1">IFERROR(__xludf.DUMMYFUNCTION("""COMPUTED_VALUE"""),"No")</f>
        <v>No</v>
      </c>
      <c r="AD725" s="1" t="str">
        <f ca="1">IFERROR(__xludf.DUMMYFUNCTION("""COMPUTED_VALUE"""),"No")</f>
        <v>No</v>
      </c>
      <c r="AE725" s="1" t="str">
        <f ca="1">IFERROR(__xludf.DUMMYFUNCTION("""COMPUTED_VALUE"""),"No")</f>
        <v>No</v>
      </c>
      <c r="AF725" s="1"/>
      <c r="AG725" s="1" t="str">
        <f ca="1">IFERROR(__xludf.DUMMYFUNCTION("""COMPUTED_VALUE"""),"No")</f>
        <v>No</v>
      </c>
      <c r="AH725" s="1"/>
    </row>
    <row r="726" spans="1:34" ht="12.5">
      <c r="A726" s="1" t="str">
        <f ca="1">IFERROR(__xludf.DUMMYFUNCTION("""COMPUTED_VALUE"""),"20220124NVSUL")</f>
        <v>20220124NVSUL</v>
      </c>
      <c r="B726" s="1">
        <f ca="1">IFERROR(__xludf.DUMMYFUNCTION("""COMPUTED_VALUE"""),1)</f>
        <v>1</v>
      </c>
      <c r="C726" s="1">
        <f ca="1">IFERROR(__xludf.DUMMYFUNCTION("""COMPUTED_VALUE"""),24)</f>
        <v>24</v>
      </c>
      <c r="D726" s="1">
        <f ca="1">IFERROR(__xludf.DUMMYFUNCTION("""COMPUTED_VALUE"""),2022)</f>
        <v>2022</v>
      </c>
      <c r="E726" s="4">
        <f ca="1">IFERROR(__xludf.DUMMYFUNCTION("""COMPUTED_VALUE"""),44585)</f>
        <v>44585</v>
      </c>
      <c r="F726" s="1" t="str">
        <f ca="1">IFERROR(__xludf.DUMMYFUNCTION("""COMPUTED_VALUE"""),"Sunrise Mountain High School")</f>
        <v>Sunrise Mountain High School</v>
      </c>
      <c r="G726" s="1">
        <f ca="1">IFERROR(__xludf.DUMMYFUNCTION("""COMPUTED_VALUE"""),0)</f>
        <v>0</v>
      </c>
      <c r="H726" s="1">
        <f ca="1">IFERROR(__xludf.DUMMYFUNCTION("""COMPUTED_VALUE"""),1)</f>
        <v>1</v>
      </c>
      <c r="I726" s="1">
        <f ca="1">IFERROR(__xludf.DUMMYFUNCTION("""COMPUTED_VALUE"""),1)</f>
        <v>1</v>
      </c>
      <c r="J726" s="1">
        <f ca="1">IFERROR(__xludf.DUMMYFUNCTION("""COMPUTED_VALUE"""),0)</f>
        <v>0</v>
      </c>
      <c r="K726" s="1" t="str">
        <f ca="1">IFERROR(__xludf.DUMMYFUNCTION("""COMPUTED_VALUE"""),"Winter")</f>
        <v>Winter</v>
      </c>
      <c r="L726" s="1" t="str">
        <f ca="1">IFERROR(__xludf.DUMMYFUNCTION("""COMPUTED_VALUE"""),"Las Vegas")</f>
        <v>Las Vegas</v>
      </c>
      <c r="M726" s="1" t="str">
        <f ca="1">IFERROR(__xludf.DUMMYFUNCTION("""COMPUTED_VALUE"""),"NV")</f>
        <v>NV</v>
      </c>
      <c r="N726" s="1" t="str">
        <f ca="1">IFERROR(__xludf.DUMMYFUNCTION("""COMPUTED_VALUE"""),"High")</f>
        <v>High</v>
      </c>
      <c r="O726" s="1" t="str">
        <f ca="1">IFERROR(__xludf.DUMMYFUNCTION("""COMPUTED_VALUE"""),"Parking Lot")</f>
        <v>Parking Lot</v>
      </c>
      <c r="P726" s="1" t="str">
        <f ca="1">IFERROR(__xludf.DUMMYFUNCTION("""COMPUTED_VALUE"""),"Outside on School Property")</f>
        <v>Outside on School Property</v>
      </c>
      <c r="Q726" s="1" t="str">
        <f ca="1">IFERROR(__xludf.DUMMYFUNCTION("""COMPUTED_VALUE"""),"Yes")</f>
        <v>Yes</v>
      </c>
      <c r="R726" s="1" t="str">
        <f ca="1">IFERROR(__xludf.DUMMYFUNCTION("""COMPUTED_VALUE"""),"Lunch")</f>
        <v>Lunch</v>
      </c>
      <c r="S726" s="5">
        <f ca="1">IFERROR(__xludf.DUMMYFUNCTION("""COMPUTED_VALUE"""),0.520833333333333)</f>
        <v>0.52083333333333304</v>
      </c>
      <c r="T726" s="1">
        <f ca="1">IFERROR(__xludf.DUMMYFUNCTION("""COMPUTED_VALUE"""),1)</f>
        <v>1</v>
      </c>
      <c r="U726" s="1" t="str">
        <f ca="1">IFERROR(__xludf.DUMMYFUNCTION("""COMPUTED_VALUE"""),"Unidentified person shot in school parking lot during school day")</f>
        <v>Unidentified person shot in school parking lot during school day</v>
      </c>
      <c r="V726" s="1" t="str">
        <f ca="1">IFERROR(__xludf.DUMMYFUNCTION("""COMPUTED_VALUE"""),"High school went on hard lockdown when an unidentified person was shot in the school parking lot. Victim transported to trauma center. Police did not release any other information.")</f>
        <v>High school went on hard lockdown when an unidentified person was shot in the school parking lot. Victim transported to trauma center. Police did not release any other information.</v>
      </c>
      <c r="W726" s="1"/>
      <c r="X726" s="1" t="str">
        <f ca="1">IFERROR(__xludf.DUMMYFUNCTION("""COMPUTED_VALUE"""),"Victims Targeted")</f>
        <v>Victims Targeted</v>
      </c>
      <c r="Y726" s="1" t="str">
        <f ca="1">IFERROR(__xludf.DUMMYFUNCTION("""COMPUTED_VALUE"""),"No")</f>
        <v>No</v>
      </c>
      <c r="Z726" s="1"/>
      <c r="AA726" s="1" t="str">
        <f ca="1">IFERROR(__xludf.DUMMYFUNCTION("""COMPUTED_VALUE"""),"No")</f>
        <v>No</v>
      </c>
      <c r="AB726" s="1" t="str">
        <f ca="1">IFERROR(__xludf.DUMMYFUNCTION("""COMPUTED_VALUE"""),"No")</f>
        <v>No</v>
      </c>
      <c r="AC726" s="1" t="str">
        <f ca="1">IFERROR(__xludf.DUMMYFUNCTION("""COMPUTED_VALUE"""),"No")</f>
        <v>No</v>
      </c>
      <c r="AD726" s="1" t="str">
        <f ca="1">IFERROR(__xludf.DUMMYFUNCTION("""COMPUTED_VALUE"""),"No")</f>
        <v>No</v>
      </c>
      <c r="AE726" s="1" t="str">
        <f ca="1">IFERROR(__xludf.DUMMYFUNCTION("""COMPUTED_VALUE"""),"No")</f>
        <v>No</v>
      </c>
      <c r="AF726" s="1"/>
      <c r="AG726" s="1" t="str">
        <f ca="1">IFERROR(__xludf.DUMMYFUNCTION("""COMPUTED_VALUE"""),"No")</f>
        <v>No</v>
      </c>
      <c r="AH726" s="1"/>
    </row>
    <row r="727" spans="1:34" ht="12.5">
      <c r="A727" s="1" t="str">
        <f ca="1">IFERROR(__xludf.DUMMYFUNCTION("""COMPUTED_VALUE"""),"20220124IDDAD")</f>
        <v>20220124IDDAD</v>
      </c>
      <c r="B727" s="1">
        <f ca="1">IFERROR(__xludf.DUMMYFUNCTION("""COMPUTED_VALUE"""),1)</f>
        <v>1</v>
      </c>
      <c r="C727" s="1">
        <f ca="1">IFERROR(__xludf.DUMMYFUNCTION("""COMPUTED_VALUE"""),24)</f>
        <v>24</v>
      </c>
      <c r="D727" s="1">
        <f ca="1">IFERROR(__xludf.DUMMYFUNCTION("""COMPUTED_VALUE"""),2022)</f>
        <v>2022</v>
      </c>
      <c r="E727" s="4">
        <f ca="1">IFERROR(__xludf.DUMMYFUNCTION("""COMPUTED_VALUE"""),44585)</f>
        <v>44585</v>
      </c>
      <c r="F727" s="1" t="str">
        <f ca="1">IFERROR(__xludf.DUMMYFUNCTION("""COMPUTED_VALUE"""),"Dalton Elementary School")</f>
        <v>Dalton Elementary School</v>
      </c>
      <c r="G727" s="1">
        <f ca="1">IFERROR(__xludf.DUMMYFUNCTION("""COMPUTED_VALUE"""),0)</f>
        <v>0</v>
      </c>
      <c r="H727" s="1">
        <f ca="1">IFERROR(__xludf.DUMMYFUNCTION("""COMPUTED_VALUE"""),0)</f>
        <v>0</v>
      </c>
      <c r="I727" s="1">
        <f ca="1">IFERROR(__xludf.DUMMYFUNCTION("""COMPUTED_VALUE"""),0)</f>
        <v>0</v>
      </c>
      <c r="J727" s="1">
        <f ca="1">IFERROR(__xludf.DUMMYFUNCTION("""COMPUTED_VALUE"""),0)</f>
        <v>0</v>
      </c>
      <c r="K727" s="1" t="str">
        <f ca="1">IFERROR(__xludf.DUMMYFUNCTION("""COMPUTED_VALUE"""),"Winter")</f>
        <v>Winter</v>
      </c>
      <c r="L727" s="1" t="str">
        <f ca="1">IFERROR(__xludf.DUMMYFUNCTION("""COMPUTED_VALUE"""),"Dalton Gardens")</f>
        <v>Dalton Gardens</v>
      </c>
      <c r="M727" s="1" t="str">
        <f ca="1">IFERROR(__xludf.DUMMYFUNCTION("""COMPUTED_VALUE"""),"ID")</f>
        <v>ID</v>
      </c>
      <c r="N727" s="1" t="str">
        <f ca="1">IFERROR(__xludf.DUMMYFUNCTION("""COMPUTED_VALUE"""),"Elementary")</f>
        <v>Elementary</v>
      </c>
      <c r="O727" s="1" t="str">
        <f ca="1">IFERROR(__xludf.DUMMYFUNCTION("""COMPUTED_VALUE"""),"Off School Property")</f>
        <v>Off School Property</v>
      </c>
      <c r="P727" s="1" t="str">
        <f ca="1">IFERROR(__xludf.DUMMYFUNCTION("""COMPUTED_VALUE"""),"Off School Property")</f>
        <v>Off School Property</v>
      </c>
      <c r="Q727" s="1" t="str">
        <f ca="1">IFERROR(__xludf.DUMMYFUNCTION("""COMPUTED_VALUE"""),"Yes")</f>
        <v>Yes</v>
      </c>
      <c r="R727" s="1" t="str">
        <f ca="1">IFERROR(__xludf.DUMMYFUNCTION("""COMPUTED_VALUE"""),"Afternoon Classes")</f>
        <v>Afternoon Classes</v>
      </c>
      <c r="S727" s="5">
        <f ca="1">IFERROR(__xludf.DUMMYFUNCTION("""COMPUTED_VALUE"""),0.6875)</f>
        <v>0.6875</v>
      </c>
      <c r="T727" s="1">
        <f ca="1">IFERROR(__xludf.DUMMYFUNCTION("""COMPUTED_VALUE"""),1)</f>
        <v>1</v>
      </c>
      <c r="U727" s="1" t="str">
        <f ca="1">IFERROR(__xludf.DUMMYFUNCTION("""COMPUTED_VALUE"""),"Man with rifle and ammo threatened to fire at school during standoff with police")</f>
        <v>Man with rifle and ammo threatened to fire at school during standoff with police</v>
      </c>
      <c r="V727" s="1" t="str">
        <f ca="1">IFERROR(__xludf.DUMMYFUNCTION("""COMPUTED_VALUE"""),"A man has been shot in an officer involved shooting near Dalton Elementary School in Coeur d'Alene. CDA Police say Monday afternoon on Jan. 24, Kootenai County Sheriff's Deputies were sent to a home where an armed man was threatening to kill himself. Whil"&amp;"e deputies were negotiating with him, police helped put the school into lockdown and sent out a reverse 911 call to keep people out of the area. For the next several hours, both deputies and officers say they kept talking with the man, who repeatedly said"&amp;" he was going to kill the officers, and threatened people at the school as well. Around 5:30 p.m., officers say the man pointed an AR-type rifle at them, so both deputies and officers opened fire, shooting him multiple times. Paramedics rushed him to the "&amp;"hospital, but so far police aren't releasing his name or his condition.")</f>
        <v>A man has been shot in an officer involved shooting near Dalton Elementary School in Coeur d'Alene. CDA Police say Monday afternoon on Jan. 24, Kootenai County Sheriff's Deputies were sent to a home where an armed man was threatening to kill himself. While deputies were negotiating with him, police helped put the school into lockdown and sent out a reverse 911 call to keep people out of the area. For the next several hours, both deputies and officers say they kept talking with the man, who repeatedly said he was going to kill the officers, and threatened people at the school as well. Around 5:30 p.m., officers say the man pointed an AR-type rifle at them, so both deputies and officers opened fire, shooting him multiple times. Paramedics rushed him to the hospital, but so far police aren't releasing his name or his condition.</v>
      </c>
      <c r="W727" s="1" t="str">
        <f ca="1">IFERROR(__xludf.DUMMYFUNCTION("""COMPUTED_VALUE"""),"Hostage/Standoff")</f>
        <v>Hostage/Standoff</v>
      </c>
      <c r="X727" s="1" t="str">
        <f ca="1">IFERROR(__xludf.DUMMYFUNCTION("""COMPUTED_VALUE"""),"Random Shooting")</f>
        <v>Random Shooting</v>
      </c>
      <c r="Y727" s="1" t="str">
        <f ca="1">IFERROR(__xludf.DUMMYFUNCTION("""COMPUTED_VALUE"""),"No")</f>
        <v>No</v>
      </c>
      <c r="Z727" s="1"/>
      <c r="AA727" s="1" t="str">
        <f ca="1">IFERROR(__xludf.DUMMYFUNCTION("""COMPUTED_VALUE"""),"No")</f>
        <v>No</v>
      </c>
      <c r="AB727" s="1" t="str">
        <f ca="1">IFERROR(__xludf.DUMMYFUNCTION("""COMPUTED_VALUE"""),"No")</f>
        <v>No</v>
      </c>
      <c r="AC727" s="1" t="str">
        <f ca="1">IFERROR(__xludf.DUMMYFUNCTION("""COMPUTED_VALUE"""),"No")</f>
        <v>No</v>
      </c>
      <c r="AD727" s="1" t="str">
        <f ca="1">IFERROR(__xludf.DUMMYFUNCTION("""COMPUTED_VALUE"""),"No")</f>
        <v>No</v>
      </c>
      <c r="AE727" s="1" t="str">
        <f ca="1">IFERROR(__xludf.DUMMYFUNCTION("""COMPUTED_VALUE"""),"No")</f>
        <v>No</v>
      </c>
      <c r="AF727" s="1"/>
      <c r="AG727" s="1" t="str">
        <f ca="1">IFERROR(__xludf.DUMMYFUNCTION("""COMPUTED_VALUE"""),"No")</f>
        <v>No</v>
      </c>
      <c r="AH727" s="1">
        <f ca="1">IFERROR(__xludf.DUMMYFUNCTION("""COMPUTED_VALUE"""),0)</f>
        <v>0</v>
      </c>
    </row>
    <row r="728" spans="1:34" ht="12.5">
      <c r="A728" s="1" t="str">
        <f ca="1">IFERROR(__xludf.DUMMYFUNCTION("""COMPUTED_VALUE"""),"20220121MDMAR")</f>
        <v>20220121MDMAR</v>
      </c>
      <c r="B728" s="1">
        <f ca="1">IFERROR(__xludf.DUMMYFUNCTION("""COMPUTED_VALUE"""),1)</f>
        <v>1</v>
      </c>
      <c r="C728" s="1">
        <f ca="1">IFERROR(__xludf.DUMMYFUNCTION("""COMPUTED_VALUE"""),21)</f>
        <v>21</v>
      </c>
      <c r="D728" s="1">
        <f ca="1">IFERROR(__xludf.DUMMYFUNCTION("""COMPUTED_VALUE"""),2022)</f>
        <v>2022</v>
      </c>
      <c r="E728" s="4">
        <f ca="1">IFERROR(__xludf.DUMMYFUNCTION("""COMPUTED_VALUE"""),44582)</f>
        <v>44582</v>
      </c>
      <c r="F728" s="1" t="str">
        <f ca="1">IFERROR(__xludf.DUMMYFUNCTION("""COMPUTED_VALUE"""),"Magruder High School")</f>
        <v>Magruder High School</v>
      </c>
      <c r="G728" s="1">
        <f ca="1">IFERROR(__xludf.DUMMYFUNCTION("""COMPUTED_VALUE"""),0)</f>
        <v>0</v>
      </c>
      <c r="H728" s="1">
        <f ca="1">IFERROR(__xludf.DUMMYFUNCTION("""COMPUTED_VALUE"""),1)</f>
        <v>1</v>
      </c>
      <c r="I728" s="1">
        <f ca="1">IFERROR(__xludf.DUMMYFUNCTION("""COMPUTED_VALUE"""),1)</f>
        <v>1</v>
      </c>
      <c r="J728" s="1">
        <f ca="1">IFERROR(__xludf.DUMMYFUNCTION("""COMPUTED_VALUE"""),0)</f>
        <v>0</v>
      </c>
      <c r="K728" s="1" t="str">
        <f ca="1">IFERROR(__xludf.DUMMYFUNCTION("""COMPUTED_VALUE"""),"Fall")</f>
        <v>Fall</v>
      </c>
      <c r="L728" s="1" t="str">
        <f ca="1">IFERROR(__xludf.DUMMYFUNCTION("""COMPUTED_VALUE"""),"Rockville")</f>
        <v>Rockville</v>
      </c>
      <c r="M728" s="1" t="str">
        <f ca="1">IFERROR(__xludf.DUMMYFUNCTION("""COMPUTED_VALUE"""),"MD")</f>
        <v>MD</v>
      </c>
      <c r="N728" s="1" t="str">
        <f ca="1">IFERROR(__xludf.DUMMYFUNCTION("""COMPUTED_VALUE"""),"High")</f>
        <v>High</v>
      </c>
      <c r="O728" s="1" t="str">
        <f ca="1">IFERROR(__xludf.DUMMYFUNCTION("""COMPUTED_VALUE"""),"Bathroom")</f>
        <v>Bathroom</v>
      </c>
      <c r="P728" s="1" t="str">
        <f ca="1">IFERROR(__xludf.DUMMYFUNCTION("""COMPUTED_VALUE"""),"Inside School Building")</f>
        <v>Inside School Building</v>
      </c>
      <c r="Q728" s="1" t="str">
        <f ca="1">IFERROR(__xludf.DUMMYFUNCTION("""COMPUTED_VALUE"""),"Yes")</f>
        <v>Yes</v>
      </c>
      <c r="R728" s="1" t="str">
        <f ca="1">IFERROR(__xludf.DUMMYFUNCTION("""COMPUTED_VALUE"""),"Afternoon Classes")</f>
        <v>Afternoon Classes</v>
      </c>
      <c r="S728" s="5">
        <f ca="1">IFERROR(__xludf.DUMMYFUNCTION("""COMPUTED_VALUE"""),0.536805555555555)</f>
        <v>0.53680555555555498</v>
      </c>
      <c r="T728" s="1">
        <f ca="1">IFERROR(__xludf.DUMMYFUNCTION("""COMPUTED_VALUE"""),1)</f>
        <v>1</v>
      </c>
      <c r="U728" s="1" t="str">
        <f ca="1">IFERROR(__xludf.DUMMYFUNCTION("""COMPUTED_VALUE"""),"Student shot in school bathroom, shooter found in school 3 hours later")</f>
        <v>Student shot in school bathroom, shooter found in school 3 hours later</v>
      </c>
      <c r="V728" s="1" t="str">
        <f ca="1">IFERROR(__xludf.DUMMYFUNCTION("""COMPUTED_VALUE"""),"A teenage student was shot in the bathroom of the school during class. Shooter and victim had a predetermined meeting in the bathroom about an ongoing dispute. Police officer located the victim, determined the injury was a gunshot injury, and locked down "&amp;"the school. Shooter stayed in the building and was arrested inside the school with a handgun 3 hours after the shooting inside a classroom with other students. Student was transported with serious injuries. School was locked down for 5 hours while police "&amp;"searched the building. Other students witnessed the shooting and posted about it on social media. Gun used was a 9mm ghost gun purchased as a parts kit online and assembled by shooter and his friend.")</f>
        <v>A teenage student was shot in the bathroom of the school during class. Shooter and victim had a predetermined meeting in the bathroom about an ongoing dispute. Police officer located the victim, determined the injury was a gunshot injury, and locked down the school. Shooter stayed in the building and was arrested inside the school with a handgun 3 hours after the shooting inside a classroom with other students. Student was transported with serious injuries. School was locked down for 5 hours while police searched the building. Other students witnessed the shooting and posted about it on social media. Gun used was a 9mm ghost gun purchased as a parts kit online and assembled by shooter and his friend.</v>
      </c>
      <c r="W728" s="1" t="str">
        <f ca="1">IFERROR(__xludf.DUMMYFUNCTION("""COMPUTED_VALUE"""),"Escalation of Dispute")</f>
        <v>Escalation of Dispute</v>
      </c>
      <c r="X728" s="1" t="str">
        <f ca="1">IFERROR(__xludf.DUMMYFUNCTION("""COMPUTED_VALUE"""),"Victims Targeted")</f>
        <v>Victims Targeted</v>
      </c>
      <c r="Y728" s="1" t="str">
        <f ca="1">IFERROR(__xludf.DUMMYFUNCTION("""COMPUTED_VALUE"""),"No")</f>
        <v>No</v>
      </c>
      <c r="Z728" s="1"/>
      <c r="AA728" s="1" t="str">
        <f ca="1">IFERROR(__xludf.DUMMYFUNCTION("""COMPUTED_VALUE"""),"No")</f>
        <v>No</v>
      </c>
      <c r="AB728" s="1" t="str">
        <f ca="1">IFERROR(__xludf.DUMMYFUNCTION("""COMPUTED_VALUE"""),"No")</f>
        <v>No</v>
      </c>
      <c r="AC728" s="1" t="str">
        <f ca="1">IFERROR(__xludf.DUMMYFUNCTION("""COMPUTED_VALUE"""),"No")</f>
        <v>No</v>
      </c>
      <c r="AD728" s="1" t="str">
        <f ca="1">IFERROR(__xludf.DUMMYFUNCTION("""COMPUTED_VALUE"""),"No")</f>
        <v>No</v>
      </c>
      <c r="AE728" s="1" t="str">
        <f ca="1">IFERROR(__xludf.DUMMYFUNCTION("""COMPUTED_VALUE"""),"No")</f>
        <v>No</v>
      </c>
      <c r="AF728" s="1"/>
      <c r="AG728" s="1" t="str">
        <f ca="1">IFERROR(__xludf.DUMMYFUNCTION("""COMPUTED_VALUE"""),"No")</f>
        <v>No</v>
      </c>
      <c r="AH728" s="1">
        <f ca="1">IFERROR(__xludf.DUMMYFUNCTION("""COMPUTED_VALUE"""),1)</f>
        <v>1</v>
      </c>
    </row>
    <row r="729" spans="1:34" ht="12.5">
      <c r="A729" s="1" t="str">
        <f ca="1">IFERROR(__xludf.DUMMYFUNCTION("""COMPUTED_VALUE"""),"20220121GAMCA")</f>
        <v>20220121GAMCA</v>
      </c>
      <c r="B729" s="1">
        <f ca="1">IFERROR(__xludf.DUMMYFUNCTION("""COMPUTED_VALUE"""),1)</f>
        <v>1</v>
      </c>
      <c r="C729" s="1">
        <f ca="1">IFERROR(__xludf.DUMMYFUNCTION("""COMPUTED_VALUE"""),21)</f>
        <v>21</v>
      </c>
      <c r="D729" s="1">
        <f ca="1">IFERROR(__xludf.DUMMYFUNCTION("""COMPUTED_VALUE"""),2022)</f>
        <v>2022</v>
      </c>
      <c r="E729" s="4">
        <f ca="1">IFERROR(__xludf.DUMMYFUNCTION("""COMPUTED_VALUE"""),44582)</f>
        <v>44582</v>
      </c>
      <c r="F729" s="1" t="str">
        <f ca="1">IFERROR(__xludf.DUMMYFUNCTION("""COMPUTED_VALUE"""),"McNair High School")</f>
        <v>McNair High School</v>
      </c>
      <c r="G729" s="1">
        <f ca="1">IFERROR(__xludf.DUMMYFUNCTION("""COMPUTED_VALUE"""),0)</f>
        <v>0</v>
      </c>
      <c r="H729" s="1">
        <f ca="1">IFERROR(__xludf.DUMMYFUNCTION("""COMPUTED_VALUE"""),0)</f>
        <v>0</v>
      </c>
      <c r="I729" s="1">
        <f ca="1">IFERROR(__xludf.DUMMYFUNCTION("""COMPUTED_VALUE"""),0)</f>
        <v>0</v>
      </c>
      <c r="J729" s="1">
        <f ca="1">IFERROR(__xludf.DUMMYFUNCTION("""COMPUTED_VALUE"""),0)</f>
        <v>0</v>
      </c>
      <c r="K729" s="1" t="str">
        <f ca="1">IFERROR(__xludf.DUMMYFUNCTION("""COMPUTED_VALUE"""),"Fall")</f>
        <v>Fall</v>
      </c>
      <c r="L729" s="1" t="str">
        <f ca="1">IFERROR(__xludf.DUMMYFUNCTION("""COMPUTED_VALUE"""),"Atlanta")</f>
        <v>Atlanta</v>
      </c>
      <c r="M729" s="1" t="str">
        <f ca="1">IFERROR(__xludf.DUMMYFUNCTION("""COMPUTED_VALUE"""),"GA")</f>
        <v>GA</v>
      </c>
      <c r="N729" s="1" t="str">
        <f ca="1">IFERROR(__xludf.DUMMYFUNCTION("""COMPUTED_VALUE"""),"High")</f>
        <v>High</v>
      </c>
      <c r="O729" s="1" t="str">
        <f ca="1">IFERROR(__xludf.DUMMYFUNCTION("""COMPUTED_VALUE"""),"Parking Lot")</f>
        <v>Parking Lot</v>
      </c>
      <c r="P729" s="1" t="str">
        <f ca="1">IFERROR(__xludf.DUMMYFUNCTION("""COMPUTED_VALUE"""),"Outside on School Property")</f>
        <v>Outside on School Property</v>
      </c>
      <c r="Q729" s="1" t="str">
        <f ca="1">IFERROR(__xludf.DUMMYFUNCTION("""COMPUTED_VALUE"""),"Yes")</f>
        <v>Yes</v>
      </c>
      <c r="R729" s="1" t="str">
        <f ca="1">IFERROR(__xludf.DUMMYFUNCTION("""COMPUTED_VALUE"""),"Afternoon Classes")</f>
        <v>Afternoon Classes</v>
      </c>
      <c r="S729" s="5">
        <f ca="1">IFERROR(__xludf.DUMMYFUNCTION("""COMPUTED_VALUE"""),0.604166666666666)</f>
        <v>0.60416666666666596</v>
      </c>
      <c r="T729" s="1">
        <f ca="1">IFERROR(__xludf.DUMMYFUNCTION("""COMPUTED_VALUE"""),1)</f>
        <v>1</v>
      </c>
      <c r="U729" s="1" t="str">
        <f ca="1">IFERROR(__xludf.DUMMYFUNCTION("""COMPUTED_VALUE"""),"Shots fired in school parking lot prior to dismissal")</f>
        <v>Shots fired in school parking lot prior to dismissal</v>
      </c>
      <c r="V729" s="1" t="str">
        <f ca="1">IFERROR(__xludf.DUMMYFUNCTION("""COMPUTED_VALUE"""),"Multiple shots were fired in the school parking lot prior to dismissal. No students or staff were injured. Shooter fled. School went on lockdown. 19-year-old student arrested the following week and charged with multiple felonies.")</f>
        <v>Multiple shots were fired in the school parking lot prior to dismissal. No students or staff were injured. Shooter fled. School went on lockdown. 19-year-old student arrested the following week and charged with multiple felonies.</v>
      </c>
      <c r="W729" s="1" t="str">
        <f ca="1">IFERROR(__xludf.DUMMYFUNCTION("""COMPUTED_VALUE"""),"Drive-by Shooting")</f>
        <v>Drive-by Shooting</v>
      </c>
      <c r="X729" s="1"/>
      <c r="Y729" s="1" t="str">
        <f ca="1">IFERROR(__xludf.DUMMYFUNCTION("""COMPUTED_VALUE"""),"No")</f>
        <v>No</v>
      </c>
      <c r="Z729" s="1"/>
      <c r="AA729" s="1" t="str">
        <f ca="1">IFERROR(__xludf.DUMMYFUNCTION("""COMPUTED_VALUE"""),"No")</f>
        <v>No</v>
      </c>
      <c r="AB729" s="1" t="str">
        <f ca="1">IFERROR(__xludf.DUMMYFUNCTION("""COMPUTED_VALUE"""),"No")</f>
        <v>No</v>
      </c>
      <c r="AC729" s="1" t="str">
        <f ca="1">IFERROR(__xludf.DUMMYFUNCTION("""COMPUTED_VALUE"""),"No")</f>
        <v>No</v>
      </c>
      <c r="AD729" s="1" t="str">
        <f ca="1">IFERROR(__xludf.DUMMYFUNCTION("""COMPUTED_VALUE"""),"No")</f>
        <v>No</v>
      </c>
      <c r="AE729" s="1" t="str">
        <f ca="1">IFERROR(__xludf.DUMMYFUNCTION("""COMPUTED_VALUE"""),"No")</f>
        <v>No</v>
      </c>
      <c r="AF729" s="1"/>
      <c r="AG729" s="1" t="str">
        <f ca="1">IFERROR(__xludf.DUMMYFUNCTION("""COMPUTED_VALUE"""),"No")</f>
        <v>No</v>
      </c>
      <c r="AH729" s="1">
        <f ca="1">IFERROR(__xludf.DUMMYFUNCTION("""COMPUTED_VALUE"""),99)</f>
        <v>99</v>
      </c>
    </row>
    <row r="730" spans="1:34" ht="12.5">
      <c r="A730" s="1" t="str">
        <f ca="1">IFERROR(__xludf.DUMMYFUNCTION("""COMPUTED_VALUE"""),"20220119VAMAP")</f>
        <v>20220119VAMAP</v>
      </c>
      <c r="B730" s="1">
        <f ca="1">IFERROR(__xludf.DUMMYFUNCTION("""COMPUTED_VALUE"""),1)</f>
        <v>1</v>
      </c>
      <c r="C730" s="1">
        <f ca="1">IFERROR(__xludf.DUMMYFUNCTION("""COMPUTED_VALUE"""),19)</f>
        <v>19</v>
      </c>
      <c r="D730" s="1">
        <f ca="1">IFERROR(__xludf.DUMMYFUNCTION("""COMPUTED_VALUE"""),2022)</f>
        <v>2022</v>
      </c>
      <c r="E730" s="4">
        <f ca="1">IFERROR(__xludf.DUMMYFUNCTION("""COMPUTED_VALUE"""),44580)</f>
        <v>44580</v>
      </c>
      <c r="F730" s="1" t="str">
        <f ca="1">IFERROR(__xludf.DUMMYFUNCTION("""COMPUTED_VALUE"""),"Manor High School")</f>
        <v>Manor High School</v>
      </c>
      <c r="G730" s="1">
        <f ca="1">IFERROR(__xludf.DUMMYFUNCTION("""COMPUTED_VALUE"""),1)</f>
        <v>1</v>
      </c>
      <c r="H730" s="1">
        <f ca="1">IFERROR(__xludf.DUMMYFUNCTION("""COMPUTED_VALUE"""),0)</f>
        <v>0</v>
      </c>
      <c r="I730" s="1">
        <f ca="1">IFERROR(__xludf.DUMMYFUNCTION("""COMPUTED_VALUE"""),1)</f>
        <v>1</v>
      </c>
      <c r="J730" s="1">
        <f ca="1">IFERROR(__xludf.DUMMYFUNCTION("""COMPUTED_VALUE"""),0)</f>
        <v>0</v>
      </c>
      <c r="K730" s="1" t="str">
        <f ca="1">IFERROR(__xludf.DUMMYFUNCTION("""COMPUTED_VALUE"""),"Winter")</f>
        <v>Winter</v>
      </c>
      <c r="L730" s="1" t="str">
        <f ca="1">IFERROR(__xludf.DUMMYFUNCTION("""COMPUTED_VALUE"""),"Portsmouth")</f>
        <v>Portsmouth</v>
      </c>
      <c r="M730" s="1" t="str">
        <f ca="1">IFERROR(__xludf.DUMMYFUNCTION("""COMPUTED_VALUE"""),"VA")</f>
        <v>VA</v>
      </c>
      <c r="N730" s="1" t="str">
        <f ca="1">IFERROR(__xludf.DUMMYFUNCTION("""COMPUTED_VALUE"""),"High")</f>
        <v>High</v>
      </c>
      <c r="O730" s="1" t="str">
        <f ca="1">IFERROR(__xludf.DUMMYFUNCTION("""COMPUTED_VALUE"""),"Parking Lot")</f>
        <v>Parking Lot</v>
      </c>
      <c r="P730" s="1" t="str">
        <f ca="1">IFERROR(__xludf.DUMMYFUNCTION("""COMPUTED_VALUE"""),"Outside on School Property")</f>
        <v>Outside on School Property</v>
      </c>
      <c r="Q730" s="1" t="str">
        <f ca="1">IFERROR(__xludf.DUMMYFUNCTION("""COMPUTED_VALUE"""),"Yes")</f>
        <v>Yes</v>
      </c>
      <c r="R730" s="1" t="str">
        <f ca="1">IFERROR(__xludf.DUMMYFUNCTION("""COMPUTED_VALUE"""),"Dismissal")</f>
        <v>Dismissal</v>
      </c>
      <c r="S730" s="5">
        <f ca="1">IFERROR(__xludf.DUMMYFUNCTION("""COMPUTED_VALUE"""),0.625)</f>
        <v>0.625</v>
      </c>
      <c r="T730" s="1">
        <f ca="1">IFERROR(__xludf.DUMMYFUNCTION("""COMPUTED_VALUE"""),1)</f>
        <v>1</v>
      </c>
      <c r="U730" s="1" t="str">
        <f ca="1">IFERROR(__xludf.DUMMYFUNCTION("""COMPUTED_VALUE"""),"Student fatally shot behind school after dismissal")</f>
        <v>Student fatally shot behind school after dismissal</v>
      </c>
      <c r="V730" s="1" t="str">
        <f ca="1">IFERROR(__xludf.DUMMYFUNCTION("""COMPUTED_VALUE"""),"A student was fatally shot near the school bus parking lot behind the school at 3:00pm after dismissal. Three teens were arrested (19, 18, and juvenile).")</f>
        <v>A student was fatally shot near the school bus parking lot behind the school at 3:00pm after dismissal. Three teens were arrested (19, 18, and juvenile).</v>
      </c>
      <c r="W730" s="1"/>
      <c r="X730" s="1" t="str">
        <f ca="1">IFERROR(__xludf.DUMMYFUNCTION("""COMPUTED_VALUE"""),"Victims Targeted")</f>
        <v>Victims Targeted</v>
      </c>
      <c r="Y730" s="1" t="str">
        <f ca="1">IFERROR(__xludf.DUMMYFUNCTION("""COMPUTED_VALUE"""),"Yes")</f>
        <v>Yes</v>
      </c>
      <c r="Z730" s="1" t="str">
        <f ca="1">IFERROR(__xludf.DUMMYFUNCTION("""COMPUTED_VALUE"""),"3 teens, conspiracy to commit murder")</f>
        <v>3 teens, conspiracy to commit murder</v>
      </c>
      <c r="AA730" s="1" t="str">
        <f ca="1">IFERROR(__xludf.DUMMYFUNCTION("""COMPUTED_VALUE"""),"No")</f>
        <v>No</v>
      </c>
      <c r="AB730" s="1" t="str">
        <f ca="1">IFERROR(__xludf.DUMMYFUNCTION("""COMPUTED_VALUE"""),"No")</f>
        <v>No</v>
      </c>
      <c r="AC730" s="1" t="str">
        <f ca="1">IFERROR(__xludf.DUMMYFUNCTION("""COMPUTED_VALUE"""),"No")</f>
        <v>No</v>
      </c>
      <c r="AD730" s="1" t="str">
        <f ca="1">IFERROR(__xludf.DUMMYFUNCTION("""COMPUTED_VALUE"""),"No")</f>
        <v>No</v>
      </c>
      <c r="AE730" s="1" t="str">
        <f ca="1">IFERROR(__xludf.DUMMYFUNCTION("""COMPUTED_VALUE"""),"No")</f>
        <v>No</v>
      </c>
      <c r="AF730" s="1"/>
      <c r="AG730" s="1" t="str">
        <f ca="1">IFERROR(__xludf.DUMMYFUNCTION("""COMPUTED_VALUE"""),"No")</f>
        <v>No</v>
      </c>
      <c r="AH730" s="1"/>
    </row>
    <row r="731" spans="1:34" ht="12.5">
      <c r="A731" s="1" t="str">
        <f ca="1">IFERROR(__xludf.DUMMYFUNCTION("""COMPUTED_VALUE"""),"20220119PAPIP")</f>
        <v>20220119PAPIP</v>
      </c>
      <c r="B731" s="1">
        <f ca="1">IFERROR(__xludf.DUMMYFUNCTION("""COMPUTED_VALUE"""),1)</f>
        <v>1</v>
      </c>
      <c r="C731" s="1">
        <f ca="1">IFERROR(__xludf.DUMMYFUNCTION("""COMPUTED_VALUE"""),19)</f>
        <v>19</v>
      </c>
      <c r="D731" s="1">
        <f ca="1">IFERROR(__xludf.DUMMYFUNCTION("""COMPUTED_VALUE"""),2022)</f>
        <v>2022</v>
      </c>
      <c r="E731" s="4">
        <f ca="1">IFERROR(__xludf.DUMMYFUNCTION("""COMPUTED_VALUE"""),44580)</f>
        <v>44580</v>
      </c>
      <c r="F731" s="1" t="str">
        <f ca="1">IFERROR(__xludf.DUMMYFUNCTION("""COMPUTED_VALUE"""),"Pittsburgh Oliver Citywide Academy")</f>
        <v>Pittsburgh Oliver Citywide Academy</v>
      </c>
      <c r="G731" s="1">
        <f ca="1">IFERROR(__xludf.DUMMYFUNCTION("""COMPUTED_VALUE"""),1)</f>
        <v>1</v>
      </c>
      <c r="H731" s="1">
        <f ca="1">IFERROR(__xludf.DUMMYFUNCTION("""COMPUTED_VALUE"""),0)</f>
        <v>0</v>
      </c>
      <c r="I731" s="1">
        <f ca="1">IFERROR(__xludf.DUMMYFUNCTION("""COMPUTED_VALUE"""),1)</f>
        <v>1</v>
      </c>
      <c r="J731" s="1">
        <f ca="1">IFERROR(__xludf.DUMMYFUNCTION("""COMPUTED_VALUE"""),0)</f>
        <v>0</v>
      </c>
      <c r="K731" s="1" t="str">
        <f ca="1">IFERROR(__xludf.DUMMYFUNCTION("""COMPUTED_VALUE"""),"Winter")</f>
        <v>Winter</v>
      </c>
      <c r="L731" s="1" t="str">
        <f ca="1">IFERROR(__xludf.DUMMYFUNCTION("""COMPUTED_VALUE"""),"Pittsburgh")</f>
        <v>Pittsburgh</v>
      </c>
      <c r="M731" s="1" t="str">
        <f ca="1">IFERROR(__xludf.DUMMYFUNCTION("""COMPUTED_VALUE"""),"PA")</f>
        <v>PA</v>
      </c>
      <c r="N731" s="1" t="str">
        <f ca="1">IFERROR(__xludf.DUMMYFUNCTION("""COMPUTED_VALUE"""),"K-12")</f>
        <v>K-12</v>
      </c>
      <c r="O731" s="1" t="str">
        <f ca="1">IFERROR(__xludf.DUMMYFUNCTION("""COMPUTED_VALUE"""),"Front of School")</f>
        <v>Front of School</v>
      </c>
      <c r="P731" s="1" t="str">
        <f ca="1">IFERROR(__xludf.DUMMYFUNCTION("""COMPUTED_VALUE"""),"Outside on School Property")</f>
        <v>Outside on School Property</v>
      </c>
      <c r="Q731" s="1" t="str">
        <f ca="1">IFERROR(__xludf.DUMMYFUNCTION("""COMPUTED_VALUE"""),"Yes")</f>
        <v>Yes</v>
      </c>
      <c r="R731" s="1" t="str">
        <f ca="1">IFERROR(__xludf.DUMMYFUNCTION("""COMPUTED_VALUE"""),"Dismissal")</f>
        <v>Dismissal</v>
      </c>
      <c r="S731" s="5">
        <f ca="1">IFERROR(__xludf.DUMMYFUNCTION("""COMPUTED_VALUE"""),0.583333333333333)</f>
        <v>0.58333333333333304</v>
      </c>
      <c r="T731" s="1">
        <f ca="1">IFERROR(__xludf.DUMMYFUNCTION("""COMPUTED_VALUE"""),1)</f>
        <v>1</v>
      </c>
      <c r="U731" s="1" t="str">
        <f ca="1">IFERROR(__xludf.DUMMYFUNCTION("""COMPUTED_VALUE"""),"Special education student sitting in school van at dismissal shot by 2 gunmen")</f>
        <v>Special education student sitting in school van at dismissal shot by 2 gunmen</v>
      </c>
      <c r="V731" s="1" t="str">
        <f ca="1">IFERROR(__xludf.DUMMYFUNCTION("""COMPUTED_VALUE"""),"A 15-year-old special education student was sitting inside a school van at dismissal when he was fatally shot by 2 gunmen. Shooters fled. Students dismissing went back into school and locked down for 2 hours. No suspects identified. Police describe shooti"&amp;"ng at ""senseless"". Two brothers arrested on April 21, 2023. Brothers had 3 prior fights with the victim after a relative had been killed in their neighborhood.")</f>
        <v>A 15-year-old special education student was sitting inside a school van at dismissal when he was fatally shot by 2 gunmen. Shooters fled. Students dismissing went back into school and locked down for 2 hours. No suspects identified. Police describe shooting at "senseless". Two brothers arrested on April 21, 2023. Brothers had 3 prior fights with the victim after a relative had been killed in their neighborhood.</v>
      </c>
      <c r="W731" s="1" t="str">
        <f ca="1">IFERROR(__xludf.DUMMYFUNCTION("""COMPUTED_VALUE"""),"Escalation of Dispute")</f>
        <v>Escalation of Dispute</v>
      </c>
      <c r="X731" s="1" t="str">
        <f ca="1">IFERROR(__xludf.DUMMYFUNCTION("""COMPUTED_VALUE"""),"Victims Targeted")</f>
        <v>Victims Targeted</v>
      </c>
      <c r="Y731" s="1" t="str">
        <f ca="1">IFERROR(__xludf.DUMMYFUNCTION("""COMPUTED_VALUE"""),"Yes")</f>
        <v>Yes</v>
      </c>
      <c r="Z731" s="1" t="str">
        <f ca="1">IFERROR(__xludf.DUMMYFUNCTION("""COMPUTED_VALUE"""),"2 gunmen")</f>
        <v>2 gunmen</v>
      </c>
      <c r="AA731" s="1" t="str">
        <f ca="1">IFERROR(__xludf.DUMMYFUNCTION("""COMPUTED_VALUE"""),"No")</f>
        <v>No</v>
      </c>
      <c r="AB731" s="1" t="str">
        <f ca="1">IFERROR(__xludf.DUMMYFUNCTION("""COMPUTED_VALUE"""),"No")</f>
        <v>No</v>
      </c>
      <c r="AC731" s="1" t="str">
        <f ca="1">IFERROR(__xludf.DUMMYFUNCTION("""COMPUTED_VALUE"""),"No")</f>
        <v>No</v>
      </c>
      <c r="AD731" s="1" t="str">
        <f ca="1">IFERROR(__xludf.DUMMYFUNCTION("""COMPUTED_VALUE"""),"No")</f>
        <v>No</v>
      </c>
      <c r="AE731" s="1" t="str">
        <f ca="1">IFERROR(__xludf.DUMMYFUNCTION("""COMPUTED_VALUE"""),"No")</f>
        <v>No</v>
      </c>
      <c r="AF731" s="1"/>
      <c r="AG731" s="1" t="str">
        <f ca="1">IFERROR(__xludf.DUMMYFUNCTION("""COMPUTED_VALUE"""),"No")</f>
        <v>No</v>
      </c>
      <c r="AH731" s="1"/>
    </row>
    <row r="732" spans="1:34" ht="12.5">
      <c r="A732" s="1" t="str">
        <f ca="1">IFERROR(__xludf.DUMMYFUNCTION("""COMPUTED_VALUE"""),"20220119FLSES")</f>
        <v>20220119FLSES</v>
      </c>
      <c r="B732" s="1">
        <f ca="1">IFERROR(__xludf.DUMMYFUNCTION("""COMPUTED_VALUE"""),1)</f>
        <v>1</v>
      </c>
      <c r="C732" s="1">
        <f ca="1">IFERROR(__xludf.DUMMYFUNCTION("""COMPUTED_VALUE"""),19)</f>
        <v>19</v>
      </c>
      <c r="D732" s="1">
        <f ca="1">IFERROR(__xludf.DUMMYFUNCTION("""COMPUTED_VALUE"""),2022)</f>
        <v>2022</v>
      </c>
      <c r="E732" s="4">
        <f ca="1">IFERROR(__xludf.DUMMYFUNCTION("""COMPUTED_VALUE"""),44580)</f>
        <v>44580</v>
      </c>
      <c r="F732" s="1" t="str">
        <f ca="1">IFERROR(__xludf.DUMMYFUNCTION("""COMPUTED_VALUE"""),"Seminole High School")</f>
        <v>Seminole High School</v>
      </c>
      <c r="G732" s="1">
        <f ca="1">IFERROR(__xludf.DUMMYFUNCTION("""COMPUTED_VALUE"""),0)</f>
        <v>0</v>
      </c>
      <c r="H732" s="1">
        <f ca="1">IFERROR(__xludf.DUMMYFUNCTION("""COMPUTED_VALUE"""),1)</f>
        <v>1</v>
      </c>
      <c r="I732" s="1">
        <f ca="1">IFERROR(__xludf.DUMMYFUNCTION("""COMPUTED_VALUE"""),1)</f>
        <v>1</v>
      </c>
      <c r="J732" s="1">
        <f ca="1">IFERROR(__xludf.DUMMYFUNCTION("""COMPUTED_VALUE"""),0)</f>
        <v>0</v>
      </c>
      <c r="K732" s="1" t="str">
        <f ca="1">IFERROR(__xludf.DUMMYFUNCTION("""COMPUTED_VALUE"""),"Winter")</f>
        <v>Winter</v>
      </c>
      <c r="L732" s="1" t="str">
        <f ca="1">IFERROR(__xludf.DUMMYFUNCTION("""COMPUTED_VALUE"""),"Sanford")</f>
        <v>Sanford</v>
      </c>
      <c r="M732" s="1" t="str">
        <f ca="1">IFERROR(__xludf.DUMMYFUNCTION("""COMPUTED_VALUE"""),"FL")</f>
        <v>FL</v>
      </c>
      <c r="N732" s="1" t="str">
        <f ca="1">IFERROR(__xludf.DUMMYFUNCTION("""COMPUTED_VALUE"""),"High")</f>
        <v>High</v>
      </c>
      <c r="O732" s="1" t="str">
        <f ca="1">IFERROR(__xludf.DUMMYFUNCTION("""COMPUTED_VALUE"""),"Bathroom")</f>
        <v>Bathroom</v>
      </c>
      <c r="P732" s="1" t="str">
        <f ca="1">IFERROR(__xludf.DUMMYFUNCTION("""COMPUTED_VALUE"""),"Inside School Building")</f>
        <v>Inside School Building</v>
      </c>
      <c r="Q732" s="1" t="str">
        <f ca="1">IFERROR(__xludf.DUMMYFUNCTION("""COMPUTED_VALUE"""),"Yes")</f>
        <v>Yes</v>
      </c>
      <c r="R732" s="1" t="str">
        <f ca="1">IFERROR(__xludf.DUMMYFUNCTION("""COMPUTED_VALUE"""),"Lunch")</f>
        <v>Lunch</v>
      </c>
      <c r="S732" s="5">
        <f ca="1">IFERROR(__xludf.DUMMYFUNCTION("""COMPUTED_VALUE"""),0.997916666666666)</f>
        <v>0.99791666666666601</v>
      </c>
      <c r="T732" s="1">
        <f ca="1">IFERROR(__xludf.DUMMYFUNCTION("""COMPUTED_VALUE"""),1)</f>
        <v>1</v>
      </c>
      <c r="U732" s="1" t="str">
        <f ca="1">IFERROR(__xludf.DUMMYFUNCTION("""COMPUTED_VALUE"""),"Student shot 3 times inside school, shooter fled")</f>
        <v>Student shot 3 times inside school, shooter fled</v>
      </c>
      <c r="V732" s="1" t="str">
        <f ca="1">IFERROR(__xludf.DUMMYFUNCTION("""COMPUTED_VALUE"""),"A 17-year-old male student was shot 3 times (once in each leg, and once in arm) while inside the school. 16-year-old male shooter fled. School went on lockdown. Two SROs responded. One provided aid to victim and other related information about suspect to "&amp;"responding officers. Police arrested the shooter away from the school. School remained on lockdown for 3.5 hours until students were released to parents. Shooting was recorded on CCTV. Police chief stated that shooting was isolated incident due to dispute"&amp;" between shooter and victim over a female student. 4 full time SROs are assigned to the school.")</f>
        <v>A 17-year-old male student was shot 3 times (once in each leg, and once in arm) while inside the school. 16-year-old male shooter fled. School went on lockdown. Two SROs responded. One provided aid to victim and other related information about suspect to responding officers. Police arrested the shooter away from the school. School remained on lockdown for 3.5 hours until students were released to parents. Shooting was recorded on CCTV. Police chief stated that shooting was isolated incident due to dispute between shooter and victim over a female student. 4 full time SROs are assigned to the school.</v>
      </c>
      <c r="W732" s="1" t="str">
        <f ca="1">IFERROR(__xludf.DUMMYFUNCTION("""COMPUTED_VALUE"""),"Domestic w/ Targeted Victim")</f>
        <v>Domestic w/ Targeted Victim</v>
      </c>
      <c r="X732" s="1" t="str">
        <f ca="1">IFERROR(__xludf.DUMMYFUNCTION("""COMPUTED_VALUE"""),"Victims Targeted")</f>
        <v>Victims Targeted</v>
      </c>
      <c r="Y732" s="1" t="str">
        <f ca="1">IFERROR(__xludf.DUMMYFUNCTION("""COMPUTED_VALUE"""),"No")</f>
        <v>No</v>
      </c>
      <c r="Z732" s="1"/>
      <c r="AA732" s="1" t="str">
        <f ca="1">IFERROR(__xludf.DUMMYFUNCTION("""COMPUTED_VALUE"""),"No")</f>
        <v>No</v>
      </c>
      <c r="AB732" s="1" t="str">
        <f ca="1">IFERROR(__xludf.DUMMYFUNCTION("""COMPUTED_VALUE"""),"No")</f>
        <v>No</v>
      </c>
      <c r="AC732" s="1" t="str">
        <f ca="1">IFERROR(__xludf.DUMMYFUNCTION("""COMPUTED_VALUE"""),"No")</f>
        <v>No</v>
      </c>
      <c r="AD732" s="1" t="str">
        <f ca="1">IFERROR(__xludf.DUMMYFUNCTION("""COMPUTED_VALUE"""),"No")</f>
        <v>No</v>
      </c>
      <c r="AE732" s="1" t="str">
        <f ca="1">IFERROR(__xludf.DUMMYFUNCTION("""COMPUTED_VALUE"""),"Yes")</f>
        <v>Yes</v>
      </c>
      <c r="AF732" s="1" t="str">
        <f ca="1">IFERROR(__xludf.DUMMYFUNCTION("""COMPUTED_VALUE"""),"No")</f>
        <v>No</v>
      </c>
      <c r="AG732" s="1" t="str">
        <f ca="1">IFERROR(__xludf.DUMMYFUNCTION("""COMPUTED_VALUE"""),"No")</f>
        <v>No</v>
      </c>
      <c r="AH732" s="1">
        <f ca="1">IFERROR(__xludf.DUMMYFUNCTION("""COMPUTED_VALUE"""),3)</f>
        <v>3</v>
      </c>
    </row>
    <row r="733" spans="1:34" ht="12.5">
      <c r="A733" s="1" t="str">
        <f ca="1">IFERROR(__xludf.DUMMYFUNCTION("""COMPUTED_VALUE"""),"20220119DCANW")</f>
        <v>20220119DCANW</v>
      </c>
      <c r="B733" s="1">
        <f ca="1">IFERROR(__xludf.DUMMYFUNCTION("""COMPUTED_VALUE"""),1)</f>
        <v>1</v>
      </c>
      <c r="C733" s="1">
        <f ca="1">IFERROR(__xludf.DUMMYFUNCTION("""COMPUTED_VALUE"""),19)</f>
        <v>19</v>
      </c>
      <c r="D733" s="1">
        <f ca="1">IFERROR(__xludf.DUMMYFUNCTION("""COMPUTED_VALUE"""),2022)</f>
        <v>2022</v>
      </c>
      <c r="E733" s="4">
        <f ca="1">IFERROR(__xludf.DUMMYFUNCTION("""COMPUTED_VALUE"""),44580)</f>
        <v>44580</v>
      </c>
      <c r="F733" s="1" t="str">
        <f ca="1">IFERROR(__xludf.DUMMYFUNCTION("""COMPUTED_VALUE"""),"Anacostia High School")</f>
        <v>Anacostia High School</v>
      </c>
      <c r="G733" s="1">
        <f ca="1">IFERROR(__xludf.DUMMYFUNCTION("""COMPUTED_VALUE"""),0)</f>
        <v>0</v>
      </c>
      <c r="H733" s="1">
        <f ca="1">IFERROR(__xludf.DUMMYFUNCTION("""COMPUTED_VALUE"""),0)</f>
        <v>0</v>
      </c>
      <c r="I733" s="1">
        <f ca="1">IFERROR(__xludf.DUMMYFUNCTION("""COMPUTED_VALUE"""),0)</f>
        <v>0</v>
      </c>
      <c r="J733" s="1">
        <f ca="1">IFERROR(__xludf.DUMMYFUNCTION("""COMPUTED_VALUE"""),0)</f>
        <v>0</v>
      </c>
      <c r="K733" s="1" t="str">
        <f ca="1">IFERROR(__xludf.DUMMYFUNCTION("""COMPUTED_VALUE"""),"Winter")</f>
        <v>Winter</v>
      </c>
      <c r="L733" s="1" t="str">
        <f ca="1">IFERROR(__xludf.DUMMYFUNCTION("""COMPUTED_VALUE"""),"Washington")</f>
        <v>Washington</v>
      </c>
      <c r="M733" s="1" t="str">
        <f ca="1">IFERROR(__xludf.DUMMYFUNCTION("""COMPUTED_VALUE"""),"DC")</f>
        <v>DC</v>
      </c>
      <c r="N733" s="1" t="str">
        <f ca="1">IFERROR(__xludf.DUMMYFUNCTION("""COMPUTED_VALUE"""),"High")</f>
        <v>High</v>
      </c>
      <c r="O733" s="1" t="str">
        <f ca="1">IFERROR(__xludf.DUMMYFUNCTION("""COMPUTED_VALUE"""),"Front of School")</f>
        <v>Front of School</v>
      </c>
      <c r="P733" s="1" t="str">
        <f ca="1">IFERROR(__xludf.DUMMYFUNCTION("""COMPUTED_VALUE"""),"Outside on School Property")</f>
        <v>Outside on School Property</v>
      </c>
      <c r="Q733" s="1" t="str">
        <f ca="1">IFERROR(__xludf.DUMMYFUNCTION("""COMPUTED_VALUE"""),"No")</f>
        <v>No</v>
      </c>
      <c r="R733" s="1" t="str">
        <f ca="1">IFERROR(__xludf.DUMMYFUNCTION("""COMPUTED_VALUE"""),"After School")</f>
        <v>After School</v>
      </c>
      <c r="S733" s="5">
        <f ca="1">IFERROR(__xludf.DUMMYFUNCTION("""COMPUTED_VALUE"""),0.666666666666666)</f>
        <v>0.66666666666666596</v>
      </c>
      <c r="T733" s="1">
        <f ca="1">IFERROR(__xludf.DUMMYFUNCTION("""COMPUTED_VALUE"""),1)</f>
        <v>1</v>
      </c>
      <c r="U733" s="1" t="str">
        <f ca="1">IFERROR(__xludf.DUMMYFUNCTION("""COMPUTED_VALUE"""),"Two shots stuck the front door of the school")</f>
        <v>Two shots stuck the front door of the school</v>
      </c>
      <c r="V733" s="1" t="str">
        <f ca="1">IFERROR(__xludf.DUMMYFUNCTION("""COMPUTED_VALUE"""),"CCTV showed a man being chased toward the school. Shooter fired shot at him, 2 stuck the door of the school. Shooter fled in a vehicle. Students were inside the school for sports practice and were locked down. No injuries.")</f>
        <v>CCTV showed a man being chased toward the school. Shooter fired shot at him, 2 stuck the door of the school. Shooter fled in a vehicle. Students were inside the school for sports practice and were locked down. No injuries.</v>
      </c>
      <c r="W733" s="1"/>
      <c r="X733" s="1" t="str">
        <f ca="1">IFERROR(__xludf.DUMMYFUNCTION("""COMPUTED_VALUE"""),"Victims Targeted")</f>
        <v>Victims Targeted</v>
      </c>
      <c r="Y733" s="1" t="str">
        <f ca="1">IFERROR(__xludf.DUMMYFUNCTION("""COMPUTED_VALUE"""),"No")</f>
        <v>No</v>
      </c>
      <c r="Z733" s="1"/>
      <c r="AA733" s="1" t="str">
        <f ca="1">IFERROR(__xludf.DUMMYFUNCTION("""COMPUTED_VALUE"""),"No")</f>
        <v>No</v>
      </c>
      <c r="AB733" s="1" t="str">
        <f ca="1">IFERROR(__xludf.DUMMYFUNCTION("""COMPUTED_VALUE"""),"No")</f>
        <v>No</v>
      </c>
      <c r="AC733" s="1" t="str">
        <f ca="1">IFERROR(__xludf.DUMMYFUNCTION("""COMPUTED_VALUE"""),"No")</f>
        <v>No</v>
      </c>
      <c r="AD733" s="1" t="str">
        <f ca="1">IFERROR(__xludf.DUMMYFUNCTION("""COMPUTED_VALUE"""),"No")</f>
        <v>No</v>
      </c>
      <c r="AE733" s="1" t="str">
        <f ca="1">IFERROR(__xludf.DUMMYFUNCTION("""COMPUTED_VALUE"""),"No")</f>
        <v>No</v>
      </c>
      <c r="AF733" s="1"/>
      <c r="AG733" s="1" t="str">
        <f ca="1">IFERROR(__xludf.DUMMYFUNCTION("""COMPUTED_VALUE"""),"No")</f>
        <v>No</v>
      </c>
      <c r="AH733" s="1"/>
    </row>
    <row r="734" spans="1:34" ht="12.5">
      <c r="A734" s="1" t="str">
        <f ca="1">IFERROR(__xludf.DUMMYFUNCTION("""COMPUTED_VALUE"""),"20220117TXPYH")</f>
        <v>20220117TXPYH</v>
      </c>
      <c r="B734" s="1">
        <f ca="1">IFERROR(__xludf.DUMMYFUNCTION("""COMPUTED_VALUE"""),1)</f>
        <v>1</v>
      </c>
      <c r="C734" s="1">
        <f ca="1">IFERROR(__xludf.DUMMYFUNCTION("""COMPUTED_VALUE"""),17)</f>
        <v>17</v>
      </c>
      <c r="D734" s="1">
        <f ca="1">IFERROR(__xludf.DUMMYFUNCTION("""COMPUTED_VALUE"""),2022)</f>
        <v>2022</v>
      </c>
      <c r="E734" s="4">
        <f ca="1">IFERROR(__xludf.DUMMYFUNCTION("""COMPUTED_VALUE"""),44578)</f>
        <v>44578</v>
      </c>
      <c r="F734" s="1" t="str">
        <f ca="1">IFERROR(__xludf.DUMMYFUNCTION("""COMPUTED_VALUE"""),"Pyburn Elementary School")</f>
        <v>Pyburn Elementary School</v>
      </c>
      <c r="G734" s="1">
        <f ca="1">IFERROR(__xludf.DUMMYFUNCTION("""COMPUTED_VALUE"""),2)</f>
        <v>2</v>
      </c>
      <c r="H734" s="1">
        <f ca="1">IFERROR(__xludf.DUMMYFUNCTION("""COMPUTED_VALUE"""),0)</f>
        <v>0</v>
      </c>
      <c r="I734" s="1">
        <f ca="1">IFERROR(__xludf.DUMMYFUNCTION("""COMPUTED_VALUE"""),2)</f>
        <v>2</v>
      </c>
      <c r="J734" s="1">
        <f ca="1">IFERROR(__xludf.DUMMYFUNCTION("""COMPUTED_VALUE"""),0)</f>
        <v>0</v>
      </c>
      <c r="K734" s="1" t="str">
        <f ca="1">IFERROR(__xludf.DUMMYFUNCTION("""COMPUTED_VALUE"""),"Winter")</f>
        <v>Winter</v>
      </c>
      <c r="L734" s="1" t="str">
        <f ca="1">IFERROR(__xludf.DUMMYFUNCTION("""COMPUTED_VALUE"""),"Houston")</f>
        <v>Houston</v>
      </c>
      <c r="M734" s="1" t="str">
        <f ca="1">IFERROR(__xludf.DUMMYFUNCTION("""COMPUTED_VALUE"""),"TX")</f>
        <v>TX</v>
      </c>
      <c r="N734" s="1" t="str">
        <f ca="1">IFERROR(__xludf.DUMMYFUNCTION("""COMPUTED_VALUE"""),"Elementary")</f>
        <v>Elementary</v>
      </c>
      <c r="O734" s="1" t="str">
        <f ca="1">IFERROR(__xludf.DUMMYFUNCTION("""COMPUTED_VALUE"""),"Parking Lot")</f>
        <v>Parking Lot</v>
      </c>
      <c r="P734" s="1" t="str">
        <f ca="1">IFERROR(__xludf.DUMMYFUNCTION("""COMPUTED_VALUE"""),"Outside on School Property")</f>
        <v>Outside on School Property</v>
      </c>
      <c r="Q734" s="1" t="str">
        <f ca="1">IFERROR(__xludf.DUMMYFUNCTION("""COMPUTED_VALUE"""),"No")</f>
        <v>No</v>
      </c>
      <c r="R734" s="1" t="str">
        <f ca="1">IFERROR(__xludf.DUMMYFUNCTION("""COMPUTED_VALUE"""),"Night")</f>
        <v>Night</v>
      </c>
      <c r="S734" s="5">
        <f ca="1">IFERROR(__xludf.DUMMYFUNCTION("""COMPUTED_VALUE"""),0.472222222222222)</f>
        <v>0.47222222222222199</v>
      </c>
      <c r="T734" s="1">
        <f ca="1">IFERROR(__xludf.DUMMYFUNCTION("""COMPUTED_VALUE"""),1)</f>
        <v>1</v>
      </c>
      <c r="U734" s="1" t="str">
        <f ca="1">IFERROR(__xludf.DUMMYFUNCTION("""COMPUTED_VALUE"""),"Man and woman fatally shot during robbery")</f>
        <v>Man and woman fatally shot during robbery</v>
      </c>
      <c r="V734" s="1" t="str">
        <f ca="1">IFERROR(__xludf.DUMMYFUNCTION("""COMPUTED_VALUE"""),"Three men fired at a vehicle parking in the school parking lot during a robbery. An adult male driver and adult female passenger were fatally shot. The men dragged the woman's body from the vehicle, put her inside their car, and later dumped the body 4 mi"&amp;"les away. Police believe the woman helped setup the robbery and was an unintended victim. Shooting was recorded on CCTV.")</f>
        <v>Three men fired at a vehicle parking in the school parking lot during a robbery. An adult male driver and adult female passenger were fatally shot. The men dragged the woman's body from the vehicle, put her inside their car, and later dumped the body 4 miles away. Police believe the woman helped setup the robbery and was an unintended victim. Shooting was recorded on CCTV.</v>
      </c>
      <c r="W734" s="1" t="str">
        <f ca="1">IFERROR(__xludf.DUMMYFUNCTION("""COMPUTED_VALUE"""),"Illegal Activity")</f>
        <v>Illegal Activity</v>
      </c>
      <c r="X734" s="1" t="str">
        <f ca="1">IFERROR(__xludf.DUMMYFUNCTION("""COMPUTED_VALUE"""),"Victims Targeted")</f>
        <v>Victims Targeted</v>
      </c>
      <c r="Y734" s="1" t="str">
        <f ca="1">IFERROR(__xludf.DUMMYFUNCTION("""COMPUTED_VALUE"""),"Yes")</f>
        <v>Yes</v>
      </c>
      <c r="Z734" s="1" t="str">
        <f ca="1">IFERROR(__xludf.DUMMYFUNCTION("""COMPUTED_VALUE"""),"3 men")</f>
        <v>3 men</v>
      </c>
      <c r="AA734" s="1" t="str">
        <f ca="1">IFERROR(__xludf.DUMMYFUNCTION("""COMPUTED_VALUE"""),"No")</f>
        <v>No</v>
      </c>
      <c r="AB734" s="1" t="str">
        <f ca="1">IFERROR(__xludf.DUMMYFUNCTION("""COMPUTED_VALUE"""),"No")</f>
        <v>No</v>
      </c>
      <c r="AC734" s="1" t="str">
        <f ca="1">IFERROR(__xludf.DUMMYFUNCTION("""COMPUTED_VALUE"""),"No")</f>
        <v>No</v>
      </c>
      <c r="AD734" s="1" t="str">
        <f ca="1">IFERROR(__xludf.DUMMYFUNCTION("""COMPUTED_VALUE"""),"No")</f>
        <v>No</v>
      </c>
      <c r="AE734" s="1" t="str">
        <f ca="1">IFERROR(__xludf.DUMMYFUNCTION("""COMPUTED_VALUE"""),"No")</f>
        <v>No</v>
      </c>
      <c r="AF734" s="1" t="str">
        <f ca="1">IFERROR(__xludf.DUMMYFUNCTION("""COMPUTED_VALUE"""),"No")</f>
        <v>No</v>
      </c>
      <c r="AG734" s="1" t="str">
        <f ca="1">IFERROR(__xludf.DUMMYFUNCTION("""COMPUTED_VALUE"""),"No")</f>
        <v>No</v>
      </c>
      <c r="AH734" s="1"/>
    </row>
    <row r="735" spans="1:34" ht="12.5">
      <c r="A735" s="1" t="str">
        <f ca="1">IFERROR(__xludf.DUMMYFUNCTION("""COMPUTED_VALUE"""),"20220114MDGAG")</f>
        <v>20220114MDGAG</v>
      </c>
      <c r="B735" s="1">
        <f ca="1">IFERROR(__xludf.DUMMYFUNCTION("""COMPUTED_VALUE"""),1)</f>
        <v>1</v>
      </c>
      <c r="C735" s="1">
        <f ca="1">IFERROR(__xludf.DUMMYFUNCTION("""COMPUTED_VALUE"""),14)</f>
        <v>14</v>
      </c>
      <c r="D735" s="1">
        <f ca="1">IFERROR(__xludf.DUMMYFUNCTION("""COMPUTED_VALUE"""),2022)</f>
        <v>2022</v>
      </c>
      <c r="E735" s="4">
        <f ca="1">IFERROR(__xludf.DUMMYFUNCTION("""COMPUTED_VALUE"""),44575)</f>
        <v>44575</v>
      </c>
      <c r="F735" s="1" t="str">
        <f ca="1">IFERROR(__xludf.DUMMYFUNCTION("""COMPUTED_VALUE"""),"Gaithersburg High School")</f>
        <v>Gaithersburg High School</v>
      </c>
      <c r="G735" s="1">
        <f ca="1">IFERROR(__xludf.DUMMYFUNCTION("""COMPUTED_VALUE"""),0)</f>
        <v>0</v>
      </c>
      <c r="H735" s="1">
        <f ca="1">IFERROR(__xludf.DUMMYFUNCTION("""COMPUTED_VALUE"""),0)</f>
        <v>0</v>
      </c>
      <c r="I735" s="1">
        <f ca="1">IFERROR(__xludf.DUMMYFUNCTION("""COMPUTED_VALUE"""),0)</f>
        <v>0</v>
      </c>
      <c r="J735" s="1">
        <f ca="1">IFERROR(__xludf.DUMMYFUNCTION("""COMPUTED_VALUE"""),0)</f>
        <v>0</v>
      </c>
      <c r="K735" s="1" t="str">
        <f ca="1">IFERROR(__xludf.DUMMYFUNCTION("""COMPUTED_VALUE"""),"Winter")</f>
        <v>Winter</v>
      </c>
      <c r="L735" s="1" t="str">
        <f ca="1">IFERROR(__xludf.DUMMYFUNCTION("""COMPUTED_VALUE"""),"Gaithersburg")</f>
        <v>Gaithersburg</v>
      </c>
      <c r="M735" s="1" t="str">
        <f ca="1">IFERROR(__xludf.DUMMYFUNCTION("""COMPUTED_VALUE"""),"MD")</f>
        <v>MD</v>
      </c>
      <c r="N735" s="1" t="str">
        <f ca="1">IFERROR(__xludf.DUMMYFUNCTION("""COMPUTED_VALUE"""),"High")</f>
        <v>High</v>
      </c>
      <c r="O735" s="1" t="str">
        <f ca="1">IFERROR(__xludf.DUMMYFUNCTION("""COMPUTED_VALUE"""),"Parking Lot")</f>
        <v>Parking Lot</v>
      </c>
      <c r="P735" s="1" t="str">
        <f ca="1">IFERROR(__xludf.DUMMYFUNCTION("""COMPUTED_VALUE"""),"Outside on School Property")</f>
        <v>Outside on School Property</v>
      </c>
      <c r="Q735" s="1" t="str">
        <f ca="1">IFERROR(__xludf.DUMMYFUNCTION("""COMPUTED_VALUE"""),"Yes")</f>
        <v>Yes</v>
      </c>
      <c r="R735" s="1" t="str">
        <f ca="1">IFERROR(__xludf.DUMMYFUNCTION("""COMPUTED_VALUE"""),"School Start")</f>
        <v>School Start</v>
      </c>
      <c r="S735" s="5">
        <f ca="1">IFERROR(__xludf.DUMMYFUNCTION("""COMPUTED_VALUE"""),0.284722222222222)</f>
        <v>0.28472222222222199</v>
      </c>
      <c r="T735" s="1">
        <f ca="1">IFERROR(__xludf.DUMMYFUNCTION("""COMPUTED_VALUE"""),1)</f>
        <v>1</v>
      </c>
      <c r="U735" s="1" t="str">
        <f ca="1">IFERROR(__xludf.DUMMYFUNCTION("""COMPUTED_VALUE"""),"Man arrested with loaded AR-15 outside of school")</f>
        <v>Man arrested with loaded AR-15 outside of school</v>
      </c>
      <c r="V735" s="1" t="str">
        <f ca="1">IFERROR(__xludf.DUMMYFUNCTION("""COMPUTED_VALUE"""),"Before school opened, security guard on patrol noticed a vehicle with out of state license plates idling in the school parking lot. When he approached the vehicle, the drive sped across the lot, turn down a dead end, and crash down the steps to the footba"&amp;"ll stadium. The driver got out of the vehicle with a loaded AR-15 rifle in a neck sling. Guard called police and police arrested the man without shots fired. Man claimed the weapon was for protection and he was waiting at the school to sell it to someone."&amp;" Rifle was an unregistered ghost gun. Charged with multiple felonies.")</f>
        <v>Before school opened, security guard on patrol noticed a vehicle with out of state license plates idling in the school parking lot. When he approached the vehicle, the drive sped across the lot, turn down a dead end, and crash down the steps to the football stadium. The driver got out of the vehicle with a loaded AR-15 rifle in a neck sling. Guard called police and police arrested the man without shots fired. Man claimed the weapon was for protection and he was waiting at the school to sell it to someone. Rifle was an unregistered ghost gun. Charged with multiple felonies.</v>
      </c>
      <c r="W735" s="1" t="str">
        <f ca="1">IFERROR(__xludf.DUMMYFUNCTION("""COMPUTED_VALUE"""),"Illegal Activity")</f>
        <v>Illegal Activity</v>
      </c>
      <c r="X735" s="1"/>
      <c r="Y735" s="1" t="str">
        <f ca="1">IFERROR(__xludf.DUMMYFUNCTION("""COMPUTED_VALUE"""),"No")</f>
        <v>No</v>
      </c>
      <c r="Z735" s="1"/>
      <c r="AA735" s="1" t="str">
        <f ca="1">IFERROR(__xludf.DUMMYFUNCTION("""COMPUTED_VALUE"""),"No")</f>
        <v>No</v>
      </c>
      <c r="AB735" s="1" t="str">
        <f ca="1">IFERROR(__xludf.DUMMYFUNCTION("""COMPUTED_VALUE"""),"No")</f>
        <v>No</v>
      </c>
      <c r="AC735" s="1" t="str">
        <f ca="1">IFERROR(__xludf.DUMMYFUNCTION("""COMPUTED_VALUE"""),"No")</f>
        <v>No</v>
      </c>
      <c r="AD735" s="1" t="str">
        <f ca="1">IFERROR(__xludf.DUMMYFUNCTION("""COMPUTED_VALUE"""),"No")</f>
        <v>No</v>
      </c>
      <c r="AE735" s="1" t="str">
        <f ca="1">IFERROR(__xludf.DUMMYFUNCTION("""COMPUTED_VALUE"""),"No")</f>
        <v>No</v>
      </c>
      <c r="AF735" s="1" t="str">
        <f ca="1">IFERROR(__xludf.DUMMYFUNCTION("""COMPUTED_VALUE"""),"No")</f>
        <v>No</v>
      </c>
      <c r="AG735" s="1" t="str">
        <f ca="1">IFERROR(__xludf.DUMMYFUNCTION("""COMPUTED_VALUE"""),"No")</f>
        <v>No</v>
      </c>
      <c r="AH735" s="1">
        <f ca="1">IFERROR(__xludf.DUMMYFUNCTION("""COMPUTED_VALUE"""),0)</f>
        <v>0</v>
      </c>
    </row>
    <row r="736" spans="1:34" ht="12.5">
      <c r="A736" s="1" t="str">
        <f ca="1">IFERROR(__xludf.DUMMYFUNCTION("""COMPUTED_VALUE"""),"20220111NMVAA")</f>
        <v>20220111NMVAA</v>
      </c>
      <c r="B736" s="1">
        <f ca="1">IFERROR(__xludf.DUMMYFUNCTION("""COMPUTED_VALUE"""),1)</f>
        <v>1</v>
      </c>
      <c r="C736" s="1">
        <f ca="1">IFERROR(__xludf.DUMMYFUNCTION("""COMPUTED_VALUE"""),11)</f>
        <v>11</v>
      </c>
      <c r="D736" s="1">
        <f ca="1">IFERROR(__xludf.DUMMYFUNCTION("""COMPUTED_VALUE"""),2022)</f>
        <v>2022</v>
      </c>
      <c r="E736" s="4">
        <f ca="1">IFERROR(__xludf.DUMMYFUNCTION("""COMPUTED_VALUE"""),44572)</f>
        <v>44572</v>
      </c>
      <c r="F736" s="1" t="str">
        <f ca="1">IFERROR(__xludf.DUMMYFUNCTION("""COMPUTED_VALUE"""),"Valley High School")</f>
        <v>Valley High School</v>
      </c>
      <c r="G736" s="1">
        <f ca="1">IFERROR(__xludf.DUMMYFUNCTION("""COMPUTED_VALUE"""),0)</f>
        <v>0</v>
      </c>
      <c r="H736" s="1">
        <f ca="1">IFERROR(__xludf.DUMMYFUNCTION("""COMPUTED_VALUE"""),0)</f>
        <v>0</v>
      </c>
      <c r="I736" s="1">
        <f ca="1">IFERROR(__xludf.DUMMYFUNCTION("""COMPUTED_VALUE"""),0)</f>
        <v>0</v>
      </c>
      <c r="J736" s="1">
        <f ca="1">IFERROR(__xludf.DUMMYFUNCTION("""COMPUTED_VALUE"""),0)</f>
        <v>0</v>
      </c>
      <c r="K736" s="1" t="str">
        <f ca="1">IFERROR(__xludf.DUMMYFUNCTION("""COMPUTED_VALUE"""),"Fall")</f>
        <v>Fall</v>
      </c>
      <c r="L736" s="1" t="str">
        <f ca="1">IFERROR(__xludf.DUMMYFUNCTION("""COMPUTED_VALUE"""),"Albuquerque")</f>
        <v>Albuquerque</v>
      </c>
      <c r="M736" s="1" t="str">
        <f ca="1">IFERROR(__xludf.DUMMYFUNCTION("""COMPUTED_VALUE"""),"NM")</f>
        <v>NM</v>
      </c>
      <c r="N736" s="1" t="str">
        <f ca="1">IFERROR(__xludf.DUMMYFUNCTION("""COMPUTED_VALUE"""),"High")</f>
        <v>High</v>
      </c>
      <c r="O736" s="1" t="str">
        <f ca="1">IFERROR(__xludf.DUMMYFUNCTION("""COMPUTED_VALUE"""),"Parking Lot")</f>
        <v>Parking Lot</v>
      </c>
      <c r="P736" s="1" t="str">
        <f ca="1">IFERROR(__xludf.DUMMYFUNCTION("""COMPUTED_VALUE"""),"Outside on School Property")</f>
        <v>Outside on School Property</v>
      </c>
      <c r="Q736" s="1" t="str">
        <f ca="1">IFERROR(__xludf.DUMMYFUNCTION("""COMPUTED_VALUE"""),"No")</f>
        <v>No</v>
      </c>
      <c r="R736" s="1" t="str">
        <f ca="1">IFERROR(__xludf.DUMMYFUNCTION("""COMPUTED_VALUE"""),"Sport Event")</f>
        <v>Sport Event</v>
      </c>
      <c r="S736" s="5">
        <f ca="1">IFERROR(__xludf.DUMMYFUNCTION("""COMPUTED_VALUE"""),0.819444444444444)</f>
        <v>0.81944444444444398</v>
      </c>
      <c r="T736" s="1">
        <f ca="1">IFERROR(__xludf.DUMMYFUNCTION("""COMPUTED_VALUE"""),1)</f>
        <v>1</v>
      </c>
      <c r="U736" s="1" t="str">
        <f ca="1">IFERROR(__xludf.DUMMYFUNCTION("""COMPUTED_VALUE"""),"15 shots fired in parking lot during high school basketball game")</f>
        <v>15 shots fired in parking lot during high school basketball game</v>
      </c>
      <c r="V736" s="1" t="str">
        <f ca="1">IFERROR(__xludf.DUMMYFUNCTION("""COMPUTED_VALUE"""),"15 shots were fired in the parking lot during a high school basketball game. School went on lockdown. Shooter fled. No injures.")</f>
        <v>15 shots were fired in the parking lot during a high school basketball game. School went on lockdown. Shooter fled. No injures.</v>
      </c>
      <c r="W736" s="1"/>
      <c r="X736" s="1"/>
      <c r="Y736" s="1" t="str">
        <f ca="1">IFERROR(__xludf.DUMMYFUNCTION("""COMPUTED_VALUE"""),"No")</f>
        <v>No</v>
      </c>
      <c r="Z736" s="1"/>
      <c r="AA736" s="1" t="str">
        <f ca="1">IFERROR(__xludf.DUMMYFUNCTION("""COMPUTED_VALUE"""),"No")</f>
        <v>No</v>
      </c>
      <c r="AB736" s="1" t="str">
        <f ca="1">IFERROR(__xludf.DUMMYFUNCTION("""COMPUTED_VALUE"""),"No")</f>
        <v>No</v>
      </c>
      <c r="AC736" s="1" t="str">
        <f ca="1">IFERROR(__xludf.DUMMYFUNCTION("""COMPUTED_VALUE"""),"No")</f>
        <v>No</v>
      </c>
      <c r="AD736" s="1" t="str">
        <f ca="1">IFERROR(__xludf.DUMMYFUNCTION("""COMPUTED_VALUE"""),"No")</f>
        <v>No</v>
      </c>
      <c r="AE736" s="1" t="str">
        <f ca="1">IFERROR(__xludf.DUMMYFUNCTION("""COMPUTED_VALUE"""),"No")</f>
        <v>No</v>
      </c>
      <c r="AF736" s="1"/>
      <c r="AG736" s="1" t="str">
        <f ca="1">IFERROR(__xludf.DUMMYFUNCTION("""COMPUTED_VALUE"""),"No")</f>
        <v>No</v>
      </c>
      <c r="AH736" s="1">
        <f ca="1">IFERROR(__xludf.DUMMYFUNCTION("""COMPUTED_VALUE"""),15)</f>
        <v>15</v>
      </c>
    </row>
    <row r="737" spans="1:34" ht="12.5">
      <c r="A737" s="1" t="str">
        <f ca="1">IFERROR(__xludf.DUMMYFUNCTION("""COMPUTED_VALUE"""),"20220106CAFLS")</f>
        <v>20220106CAFLS</v>
      </c>
      <c r="B737" s="1">
        <f ca="1">IFERROR(__xludf.DUMMYFUNCTION("""COMPUTED_VALUE"""),1)</f>
        <v>1</v>
      </c>
      <c r="C737" s="1">
        <f ca="1">IFERROR(__xludf.DUMMYFUNCTION("""COMPUTED_VALUE"""),6)</f>
        <v>6</v>
      </c>
      <c r="D737" s="1">
        <f ca="1">IFERROR(__xludf.DUMMYFUNCTION("""COMPUTED_VALUE"""),2022)</f>
        <v>2022</v>
      </c>
      <c r="E737" s="4">
        <f ca="1">IFERROR(__xludf.DUMMYFUNCTION("""COMPUTED_VALUE"""),44567)</f>
        <v>44567</v>
      </c>
      <c r="F737" s="1" t="str">
        <f ca="1">IFERROR(__xludf.DUMMYFUNCTION("""COMPUTED_VALUE"""),"Florin High School")</f>
        <v>Florin High School</v>
      </c>
      <c r="G737" s="1">
        <f ca="1">IFERROR(__xludf.DUMMYFUNCTION("""COMPUTED_VALUE"""),0)</f>
        <v>0</v>
      </c>
      <c r="H737" s="1">
        <f ca="1">IFERROR(__xludf.DUMMYFUNCTION("""COMPUTED_VALUE"""),2)</f>
        <v>2</v>
      </c>
      <c r="I737" s="1">
        <f ca="1">IFERROR(__xludf.DUMMYFUNCTION("""COMPUTED_VALUE"""),2)</f>
        <v>2</v>
      </c>
      <c r="J737" s="1">
        <f ca="1">IFERROR(__xludf.DUMMYFUNCTION("""COMPUTED_VALUE"""),0)</f>
        <v>0</v>
      </c>
      <c r="K737" s="1" t="str">
        <f ca="1">IFERROR(__xludf.DUMMYFUNCTION("""COMPUTED_VALUE"""),"Winter")</f>
        <v>Winter</v>
      </c>
      <c r="L737" s="1" t="str">
        <f ca="1">IFERROR(__xludf.DUMMYFUNCTION("""COMPUTED_VALUE"""),"Sacramento")</f>
        <v>Sacramento</v>
      </c>
      <c r="M737" s="1" t="str">
        <f ca="1">IFERROR(__xludf.DUMMYFUNCTION("""COMPUTED_VALUE"""),"CA")</f>
        <v>CA</v>
      </c>
      <c r="N737" s="1" t="str">
        <f ca="1">IFERROR(__xludf.DUMMYFUNCTION("""COMPUTED_VALUE"""),"High")</f>
        <v>High</v>
      </c>
      <c r="O737" s="1" t="str">
        <f ca="1">IFERROR(__xludf.DUMMYFUNCTION("""COMPUTED_VALUE"""),"Field (General)")</f>
        <v>Field (General)</v>
      </c>
      <c r="P737" s="1" t="str">
        <f ca="1">IFERROR(__xludf.DUMMYFUNCTION("""COMPUTED_VALUE"""),"Outside on School Property")</f>
        <v>Outside on School Property</v>
      </c>
      <c r="Q737" s="1" t="str">
        <f ca="1">IFERROR(__xludf.DUMMYFUNCTION("""COMPUTED_VALUE"""),"No")</f>
        <v>No</v>
      </c>
      <c r="R737" s="1" t="str">
        <f ca="1">IFERROR(__xludf.DUMMYFUNCTION("""COMPUTED_VALUE"""),"After School")</f>
        <v>After School</v>
      </c>
      <c r="S737" s="5">
        <f ca="1">IFERROR(__xludf.DUMMYFUNCTION("""COMPUTED_VALUE"""),0.652777777777777)</f>
        <v>0.65277777777777701</v>
      </c>
      <c r="T737" s="1">
        <f ca="1">IFERROR(__xludf.DUMMYFUNCTION("""COMPUTED_VALUE"""),1)</f>
        <v>1</v>
      </c>
      <c r="U737" s="1" t="str">
        <f ca="1">IFERROR(__xludf.DUMMYFUNCTION("""COMPUTED_VALUE"""),"Two students shot at the back gate to the school campus")</f>
        <v>Two students shot at the back gate to the school campus</v>
      </c>
      <c r="V737" s="1" t="str">
        <f ca="1">IFERROR(__xludf.DUMMYFUNCTION("""COMPUTED_VALUE"""),"Two 17-year-old students were shot during a fight that involved a dozen students at the back gate to the school campus. School had dismissed but remaining staff and students in the building locked down. Shooter fled the scene.")</f>
        <v>Two 17-year-old students were shot during a fight that involved a dozen students at the back gate to the school campus. School had dismissed but remaining staff and students in the building locked down. Shooter fled the scene.</v>
      </c>
      <c r="W737" s="1" t="str">
        <f ca="1">IFERROR(__xludf.DUMMYFUNCTION("""COMPUTED_VALUE"""),"Escalation of Dispute")</f>
        <v>Escalation of Dispute</v>
      </c>
      <c r="X737" s="1" t="str">
        <f ca="1">IFERROR(__xludf.DUMMYFUNCTION("""COMPUTED_VALUE"""),"Both")</f>
        <v>Both</v>
      </c>
      <c r="Y737" s="1" t="str">
        <f ca="1">IFERROR(__xludf.DUMMYFUNCTION("""COMPUTED_VALUE"""),"No")</f>
        <v>No</v>
      </c>
      <c r="Z737" s="1"/>
      <c r="AA737" s="1" t="str">
        <f ca="1">IFERROR(__xludf.DUMMYFUNCTION("""COMPUTED_VALUE"""),"No")</f>
        <v>No</v>
      </c>
      <c r="AB737" s="1" t="str">
        <f ca="1">IFERROR(__xludf.DUMMYFUNCTION("""COMPUTED_VALUE"""),"No")</f>
        <v>No</v>
      </c>
      <c r="AC737" s="1" t="str">
        <f ca="1">IFERROR(__xludf.DUMMYFUNCTION("""COMPUTED_VALUE"""),"No")</f>
        <v>No</v>
      </c>
      <c r="AD737" s="1" t="str">
        <f ca="1">IFERROR(__xludf.DUMMYFUNCTION("""COMPUTED_VALUE"""),"No")</f>
        <v>No</v>
      </c>
      <c r="AE737" s="1" t="str">
        <f ca="1">IFERROR(__xludf.DUMMYFUNCTION("""COMPUTED_VALUE"""),"No")</f>
        <v>No</v>
      </c>
      <c r="AF737" s="1"/>
      <c r="AG737" s="1" t="str">
        <f ca="1">IFERROR(__xludf.DUMMYFUNCTION("""COMPUTED_VALUE"""),"No")</f>
        <v>No</v>
      </c>
      <c r="AH737" s="1"/>
    </row>
    <row r="738" spans="1:34" ht="12.5">
      <c r="A738" s="1" t="str">
        <f ca="1">IFERROR(__xludf.DUMMYFUNCTION("""COMPUTED_VALUE"""),"20220104ILAUR")</f>
        <v>20220104ILAUR</v>
      </c>
      <c r="B738" s="1">
        <f ca="1">IFERROR(__xludf.DUMMYFUNCTION("""COMPUTED_VALUE"""),1)</f>
        <v>1</v>
      </c>
      <c r="C738" s="1">
        <f ca="1">IFERROR(__xludf.DUMMYFUNCTION("""COMPUTED_VALUE"""),4)</f>
        <v>4</v>
      </c>
      <c r="D738" s="1">
        <f ca="1">IFERROR(__xludf.DUMMYFUNCTION("""COMPUTED_VALUE"""),2022)</f>
        <v>2022</v>
      </c>
      <c r="E738" s="4">
        <f ca="1">IFERROR(__xludf.DUMMYFUNCTION("""COMPUTED_VALUE"""),44565)</f>
        <v>44565</v>
      </c>
      <c r="F738" s="1" t="str">
        <f ca="1">IFERROR(__xludf.DUMMYFUNCTION("""COMPUTED_VALUE"""),"Auburn High School")</f>
        <v>Auburn High School</v>
      </c>
      <c r="G738" s="1">
        <f ca="1">IFERROR(__xludf.DUMMYFUNCTION("""COMPUTED_VALUE"""),0)</f>
        <v>0</v>
      </c>
      <c r="H738" s="1">
        <f ca="1">IFERROR(__xludf.DUMMYFUNCTION("""COMPUTED_VALUE"""),2)</f>
        <v>2</v>
      </c>
      <c r="I738" s="1">
        <f ca="1">IFERROR(__xludf.DUMMYFUNCTION("""COMPUTED_VALUE"""),2)</f>
        <v>2</v>
      </c>
      <c r="J738" s="1">
        <f ca="1">IFERROR(__xludf.DUMMYFUNCTION("""COMPUTED_VALUE"""),0)</f>
        <v>0</v>
      </c>
      <c r="K738" s="1" t="str">
        <f ca="1">IFERROR(__xludf.DUMMYFUNCTION("""COMPUTED_VALUE"""),"Winter")</f>
        <v>Winter</v>
      </c>
      <c r="L738" s="1" t="str">
        <f ca="1">IFERROR(__xludf.DUMMYFUNCTION("""COMPUTED_VALUE"""),"Rockford")</f>
        <v>Rockford</v>
      </c>
      <c r="M738" s="1" t="str">
        <f ca="1">IFERROR(__xludf.DUMMYFUNCTION("""COMPUTED_VALUE"""),"IL")</f>
        <v>IL</v>
      </c>
      <c r="N738" s="1" t="str">
        <f ca="1">IFERROR(__xludf.DUMMYFUNCTION("""COMPUTED_VALUE"""),"High")</f>
        <v>High</v>
      </c>
      <c r="O738" s="1" t="str">
        <f ca="1">IFERROR(__xludf.DUMMYFUNCTION("""COMPUTED_VALUE"""),"Parking Lot")</f>
        <v>Parking Lot</v>
      </c>
      <c r="P738" s="1" t="str">
        <f ca="1">IFERROR(__xludf.DUMMYFUNCTION("""COMPUTED_VALUE"""),"Outside on School Property")</f>
        <v>Outside on School Property</v>
      </c>
      <c r="Q738" s="1" t="str">
        <f ca="1">IFERROR(__xludf.DUMMYFUNCTION("""COMPUTED_VALUE"""),"Yes")</f>
        <v>Yes</v>
      </c>
      <c r="R738" s="1" t="str">
        <f ca="1">IFERROR(__xludf.DUMMYFUNCTION("""COMPUTED_VALUE"""),"Afternoon Classes")</f>
        <v>Afternoon Classes</v>
      </c>
      <c r="S738" s="5">
        <f ca="1">IFERROR(__xludf.DUMMYFUNCTION("""COMPUTED_VALUE"""),0.576388888888888)</f>
        <v>0.57638888888888795</v>
      </c>
      <c r="T738" s="1">
        <f ca="1">IFERROR(__xludf.DUMMYFUNCTION("""COMPUTED_VALUE"""),1)</f>
        <v>1</v>
      </c>
      <c r="U738" s="1" t="str">
        <f ca="1">IFERROR(__xludf.DUMMYFUNCTION("""COMPUTED_VALUE"""),"Two student shot inside vehicle in school parking lot by 2 other students")</f>
        <v>Two student shot inside vehicle in school parking lot by 2 other students</v>
      </c>
      <c r="V738" s="1" t="str">
        <f ca="1">IFERROR(__xludf.DUMMYFUNCTION("""COMPUTED_VALUE"""),"A 17-year-old male and 17-year-old female student were seated inside a vehicle in the school parking lot. Another vehicle with a 17-year-old male, 16-year-old male, and 15-year-old male pulled up in front of them. The 16- and 17-year-old both pulled handg"&amp;"uns and fired 5 shots at the vehicle striking both occupants. Shooter fled the scene in a vehicle and crashed during a police pursuit. The shooters ran from the vehicle and were found hiding in the surrounding area. Two handguns were recovered from the ve"&amp;"hicle.")</f>
        <v>A 17-year-old male and 17-year-old female student were seated inside a vehicle in the school parking lot. Another vehicle with a 17-year-old male, 16-year-old male, and 15-year-old male pulled up in front of them. The 16- and 17-year-old both pulled handguns and fired 5 shots at the vehicle striking both occupants. Shooter fled the scene in a vehicle and crashed during a police pursuit. The shooters ran from the vehicle and were found hiding in the surrounding area. Two handguns were recovered from the vehicle.</v>
      </c>
      <c r="W738" s="1"/>
      <c r="X738" s="1" t="str">
        <f ca="1">IFERROR(__xludf.DUMMYFUNCTION("""COMPUTED_VALUE"""),"Victims Targeted")</f>
        <v>Victims Targeted</v>
      </c>
      <c r="Y738" s="1" t="str">
        <f ca="1">IFERROR(__xludf.DUMMYFUNCTION("""COMPUTED_VALUE"""),"Yes")</f>
        <v>Yes</v>
      </c>
      <c r="Z738" s="1" t="str">
        <f ca="1">IFERROR(__xludf.DUMMYFUNCTION("""COMPUTED_VALUE"""),"3 students arrested")</f>
        <v>3 students arrested</v>
      </c>
      <c r="AA738" s="1" t="str">
        <f ca="1">IFERROR(__xludf.DUMMYFUNCTION("""COMPUTED_VALUE"""),"No")</f>
        <v>No</v>
      </c>
      <c r="AB738" s="1" t="str">
        <f ca="1">IFERROR(__xludf.DUMMYFUNCTION("""COMPUTED_VALUE"""),"No")</f>
        <v>No</v>
      </c>
      <c r="AC738" s="1" t="str">
        <f ca="1">IFERROR(__xludf.DUMMYFUNCTION("""COMPUTED_VALUE"""),"No")</f>
        <v>No</v>
      </c>
      <c r="AD738" s="1" t="str">
        <f ca="1">IFERROR(__xludf.DUMMYFUNCTION("""COMPUTED_VALUE"""),"No")</f>
        <v>No</v>
      </c>
      <c r="AE738" s="1" t="str">
        <f ca="1">IFERROR(__xludf.DUMMYFUNCTION("""COMPUTED_VALUE"""),"No")</f>
        <v>No</v>
      </c>
      <c r="AF738" s="1" t="str">
        <f ca="1">IFERROR(__xludf.DUMMYFUNCTION("""COMPUTED_VALUE"""),"No")</f>
        <v>No</v>
      </c>
      <c r="AG738" s="1" t="str">
        <f ca="1">IFERROR(__xludf.DUMMYFUNCTION("""COMPUTED_VALUE"""),"No")</f>
        <v>No</v>
      </c>
      <c r="AH738" s="1">
        <f ca="1">IFERROR(__xludf.DUMMYFUNCTION("""COMPUTED_VALUE"""),5)</f>
        <v>5</v>
      </c>
    </row>
    <row r="739" spans="1:34" ht="12.5">
      <c r="A739" s="1" t="str">
        <f ca="1">IFERROR(__xludf.DUMMYFUNCTION("""COMPUTED_VALUE"""),"20220103WACHP")</f>
        <v>20220103WACHP</v>
      </c>
      <c r="B739" s="1">
        <f ca="1">IFERROR(__xludf.DUMMYFUNCTION("""COMPUTED_VALUE"""),1)</f>
        <v>1</v>
      </c>
      <c r="C739" s="1">
        <f ca="1">IFERROR(__xludf.DUMMYFUNCTION("""COMPUTED_VALUE"""),3)</f>
        <v>3</v>
      </c>
      <c r="D739" s="1">
        <f ca="1">IFERROR(__xludf.DUMMYFUNCTION("""COMPUTED_VALUE"""),2022)</f>
        <v>2022</v>
      </c>
      <c r="E739" s="4">
        <f ca="1">IFERROR(__xludf.DUMMYFUNCTION("""COMPUTED_VALUE"""),44564)</f>
        <v>44564</v>
      </c>
      <c r="F739" s="1" t="str">
        <f ca="1">IFERROR(__xludf.DUMMYFUNCTION("""COMPUTED_VALUE"""),"Childpeace Montessori School")</f>
        <v>Childpeace Montessori School</v>
      </c>
      <c r="G739" s="1">
        <f ca="1">IFERROR(__xludf.DUMMYFUNCTION("""COMPUTED_VALUE"""),0)</f>
        <v>0</v>
      </c>
      <c r="H739" s="1">
        <f ca="1">IFERROR(__xludf.DUMMYFUNCTION("""COMPUTED_VALUE"""),0)</f>
        <v>0</v>
      </c>
      <c r="I739" s="1">
        <f ca="1">IFERROR(__xludf.DUMMYFUNCTION("""COMPUTED_VALUE"""),0)</f>
        <v>0</v>
      </c>
      <c r="J739" s="1">
        <f ca="1">IFERROR(__xludf.DUMMYFUNCTION("""COMPUTED_VALUE"""),0)</f>
        <v>0</v>
      </c>
      <c r="K739" s="1" t="str">
        <f ca="1">IFERROR(__xludf.DUMMYFUNCTION("""COMPUTED_VALUE"""),"Winter")</f>
        <v>Winter</v>
      </c>
      <c r="L739" s="1" t="str">
        <f ca="1">IFERROR(__xludf.DUMMYFUNCTION("""COMPUTED_VALUE"""),"Portland")</f>
        <v>Portland</v>
      </c>
      <c r="M739" s="1" t="str">
        <f ca="1">IFERROR(__xludf.DUMMYFUNCTION("""COMPUTED_VALUE"""),"OR")</f>
        <v>OR</v>
      </c>
      <c r="N739" s="1" t="str">
        <f ca="1">IFERROR(__xludf.DUMMYFUNCTION("""COMPUTED_VALUE"""),"K-8")</f>
        <v>K-8</v>
      </c>
      <c r="O739" s="1" t="str">
        <f ca="1">IFERROR(__xludf.DUMMYFUNCTION("""COMPUTED_VALUE"""),"Front of School")</f>
        <v>Front of School</v>
      </c>
      <c r="P739" s="1" t="str">
        <f ca="1">IFERROR(__xludf.DUMMYFUNCTION("""COMPUTED_VALUE"""),"Off School Property")</f>
        <v>Off School Property</v>
      </c>
      <c r="Q739" s="1" t="str">
        <f ca="1">IFERROR(__xludf.DUMMYFUNCTION("""COMPUTED_VALUE"""),"Yes")</f>
        <v>Yes</v>
      </c>
      <c r="R739" s="1" t="str">
        <f ca="1">IFERROR(__xludf.DUMMYFUNCTION("""COMPUTED_VALUE"""),"Afternoon Classes")</f>
        <v>Afternoon Classes</v>
      </c>
      <c r="S739" s="5">
        <f ca="1">IFERROR(__xludf.DUMMYFUNCTION("""COMPUTED_VALUE"""),0.541666666666666)</f>
        <v>0.54166666666666596</v>
      </c>
      <c r="T739" s="1">
        <f ca="1">IFERROR(__xludf.DUMMYFUNCTION("""COMPUTED_VALUE"""),1)</f>
        <v>1</v>
      </c>
      <c r="U739" s="1" t="str">
        <f ca="1">IFERROR(__xludf.DUMMYFUNCTION("""COMPUTED_VALUE"""),"Shots fired from a vehicle in front of the school")</f>
        <v>Shots fired from a vehicle in front of the school</v>
      </c>
      <c r="V739" s="1" t="str">
        <f ca="1">IFERROR(__xludf.DUMMYFUNCTION("""COMPUTED_VALUE"""),"An adult female fired two shots from a vehicle in front of the school while class was in session. Shooter fled the scene and was arrested a short distance away with a loaded handgun and ammunition. Charged with multiple felonies.")</f>
        <v>An adult female fired two shots from a vehicle in front of the school while class was in session. Shooter fled the scene and was arrested a short distance away with a loaded handgun and ammunition. Charged with multiple felonies.</v>
      </c>
      <c r="W739" s="1" t="str">
        <f ca="1">IFERROR(__xludf.DUMMYFUNCTION("""COMPUTED_VALUE"""),"Drive-by Shooting")</f>
        <v>Drive-by Shooting</v>
      </c>
      <c r="X739" s="1" t="str">
        <f ca="1">IFERROR(__xludf.DUMMYFUNCTION("""COMPUTED_VALUE"""),"Random Shooting")</f>
        <v>Random Shooting</v>
      </c>
      <c r="Y739" s="1" t="str">
        <f ca="1">IFERROR(__xludf.DUMMYFUNCTION("""COMPUTED_VALUE"""),"No")</f>
        <v>No</v>
      </c>
      <c r="Z739" s="1"/>
      <c r="AA739" s="1" t="str">
        <f ca="1">IFERROR(__xludf.DUMMYFUNCTION("""COMPUTED_VALUE"""),"No")</f>
        <v>No</v>
      </c>
      <c r="AB739" s="1" t="str">
        <f ca="1">IFERROR(__xludf.DUMMYFUNCTION("""COMPUTED_VALUE"""),"No")</f>
        <v>No</v>
      </c>
      <c r="AC739" s="1" t="str">
        <f ca="1">IFERROR(__xludf.DUMMYFUNCTION("""COMPUTED_VALUE"""),"No")</f>
        <v>No</v>
      </c>
      <c r="AD739" s="1" t="str">
        <f ca="1">IFERROR(__xludf.DUMMYFUNCTION("""COMPUTED_VALUE"""),"No")</f>
        <v>No</v>
      </c>
      <c r="AE739" s="1" t="str">
        <f ca="1">IFERROR(__xludf.DUMMYFUNCTION("""COMPUTED_VALUE"""),"No")</f>
        <v>No</v>
      </c>
      <c r="AF739" s="1" t="str">
        <f ca="1">IFERROR(__xludf.DUMMYFUNCTION("""COMPUTED_VALUE"""),"No")</f>
        <v>No</v>
      </c>
      <c r="AG739" s="1" t="str">
        <f ca="1">IFERROR(__xludf.DUMMYFUNCTION("""COMPUTED_VALUE"""),"No")</f>
        <v>No</v>
      </c>
      <c r="AH739" s="1">
        <f ca="1">IFERROR(__xludf.DUMMYFUNCTION("""COMPUTED_VALUE"""),2)</f>
        <v>2</v>
      </c>
    </row>
    <row r="740" spans="1:34" ht="12.5">
      <c r="A740" s="1" t="str">
        <f ca="1">IFERROR(__xludf.DUMMYFUNCTION("""COMPUTED_VALUE"""),"20220103OHCOC")</f>
        <v>20220103OHCOC</v>
      </c>
      <c r="B740" s="1">
        <f ca="1">IFERROR(__xludf.DUMMYFUNCTION("""COMPUTED_VALUE"""),1)</f>
        <v>1</v>
      </c>
      <c r="C740" s="1">
        <f ca="1">IFERROR(__xludf.DUMMYFUNCTION("""COMPUTED_VALUE"""),3)</f>
        <v>3</v>
      </c>
      <c r="D740" s="1">
        <f ca="1">IFERROR(__xludf.DUMMYFUNCTION("""COMPUTED_VALUE"""),2022)</f>
        <v>2022</v>
      </c>
      <c r="E740" s="4">
        <f ca="1">IFERROR(__xludf.DUMMYFUNCTION("""COMPUTED_VALUE"""),44564)</f>
        <v>44564</v>
      </c>
      <c r="F740" s="1" t="str">
        <f ca="1">IFERROR(__xludf.DUMMYFUNCTION("""COMPUTED_VALUE"""),"Columbus School Bus")</f>
        <v>Columbus School Bus</v>
      </c>
      <c r="G740" s="1">
        <f ca="1">IFERROR(__xludf.DUMMYFUNCTION("""COMPUTED_VALUE"""),0)</f>
        <v>0</v>
      </c>
      <c r="H740" s="1">
        <f ca="1">IFERROR(__xludf.DUMMYFUNCTION("""COMPUTED_VALUE"""),0)</f>
        <v>0</v>
      </c>
      <c r="I740" s="1">
        <f ca="1">IFERROR(__xludf.DUMMYFUNCTION("""COMPUTED_VALUE"""),0)</f>
        <v>0</v>
      </c>
      <c r="J740" s="1">
        <f ca="1">IFERROR(__xludf.DUMMYFUNCTION("""COMPUTED_VALUE"""),0)</f>
        <v>0</v>
      </c>
      <c r="K740" s="1" t="str">
        <f ca="1">IFERROR(__xludf.DUMMYFUNCTION("""COMPUTED_VALUE"""),"Winter")</f>
        <v>Winter</v>
      </c>
      <c r="L740" s="1" t="str">
        <f ca="1">IFERROR(__xludf.DUMMYFUNCTION("""COMPUTED_VALUE"""),"Columbus")</f>
        <v>Columbus</v>
      </c>
      <c r="M740" s="1" t="str">
        <f ca="1">IFERROR(__xludf.DUMMYFUNCTION("""COMPUTED_VALUE"""),"OH")</f>
        <v>OH</v>
      </c>
      <c r="N740" s="1"/>
      <c r="O740" s="1" t="str">
        <f ca="1">IFERROR(__xludf.DUMMYFUNCTION("""COMPUTED_VALUE"""),"School Bus")</f>
        <v>School Bus</v>
      </c>
      <c r="P740" s="1" t="str">
        <f ca="1">IFERROR(__xludf.DUMMYFUNCTION("""COMPUTED_VALUE"""),"School Bus")</f>
        <v>School Bus</v>
      </c>
      <c r="Q740" s="1" t="str">
        <f ca="1">IFERROR(__xludf.DUMMYFUNCTION("""COMPUTED_VALUE"""),"Yes")</f>
        <v>Yes</v>
      </c>
      <c r="R740" s="1" t="str">
        <f ca="1">IFERROR(__xludf.DUMMYFUNCTION("""COMPUTED_VALUE"""),"Before School")</f>
        <v>Before School</v>
      </c>
      <c r="S740" s="5">
        <f ca="1">IFERROR(__xludf.DUMMYFUNCTION("""COMPUTED_VALUE"""),0.236111111111111)</f>
        <v>0.23611111111111099</v>
      </c>
      <c r="T740" s="1">
        <f ca="1">IFERROR(__xludf.DUMMYFUNCTION("""COMPUTED_VALUE"""),1)</f>
        <v>1</v>
      </c>
      <c r="U740" s="1" t="str">
        <f ca="1">IFERROR(__xludf.DUMMYFUNCTION("""COMPUTED_VALUE"""),"School bus struck by bullet while driving")</f>
        <v>School bus struck by bullet while driving</v>
      </c>
      <c r="V740" s="1" t="str">
        <f ca="1">IFERROR(__xludf.DUMMYFUNCTION("""COMPUTED_VALUE"""),"A school bus was struck by a single bullet while driving to pick up students. The driver was the only person on the bus at the time of the shooting and was not injured.")</f>
        <v>A school bus was struck by a single bullet while driving to pick up students. The driver was the only person on the bus at the time of the shooting and was not injured.</v>
      </c>
      <c r="W740" s="1"/>
      <c r="X740" s="1"/>
      <c r="Y740" s="1" t="str">
        <f ca="1">IFERROR(__xludf.DUMMYFUNCTION("""COMPUTED_VALUE"""),"No")</f>
        <v>No</v>
      </c>
      <c r="Z740" s="1"/>
      <c r="AA740" s="1" t="str">
        <f ca="1">IFERROR(__xludf.DUMMYFUNCTION("""COMPUTED_VALUE"""),"No")</f>
        <v>No</v>
      </c>
      <c r="AB740" s="1" t="str">
        <f ca="1">IFERROR(__xludf.DUMMYFUNCTION("""COMPUTED_VALUE"""),"No")</f>
        <v>No</v>
      </c>
      <c r="AC740" s="1" t="str">
        <f ca="1">IFERROR(__xludf.DUMMYFUNCTION("""COMPUTED_VALUE"""),"No")</f>
        <v>No</v>
      </c>
      <c r="AD740" s="1" t="str">
        <f ca="1">IFERROR(__xludf.DUMMYFUNCTION("""COMPUTED_VALUE"""),"No")</f>
        <v>No</v>
      </c>
      <c r="AE740" s="1" t="str">
        <f ca="1">IFERROR(__xludf.DUMMYFUNCTION("""COMPUTED_VALUE"""),"No")</f>
        <v>No</v>
      </c>
      <c r="AF740" s="1" t="str">
        <f ca="1">IFERROR(__xludf.DUMMYFUNCTION("""COMPUTED_VALUE"""),"No")</f>
        <v>No</v>
      </c>
      <c r="AG740" s="1" t="str">
        <f ca="1">IFERROR(__xludf.DUMMYFUNCTION("""COMPUTED_VALUE"""),"No")</f>
        <v>No</v>
      </c>
      <c r="AH740" s="1"/>
    </row>
    <row r="741" spans="1:34" ht="12.5">
      <c r="A741" s="1" t="str">
        <f ca="1">IFERROR(__xludf.DUMMYFUNCTION("""COMPUTED_VALUE"""),"20211229NCCAS")</f>
        <v>20211229NCCAS</v>
      </c>
      <c r="B741" s="1">
        <f ca="1">IFERROR(__xludf.DUMMYFUNCTION("""COMPUTED_VALUE"""),12)</f>
        <v>12</v>
      </c>
      <c r="C741" s="1">
        <f ca="1">IFERROR(__xludf.DUMMYFUNCTION("""COMPUTED_VALUE"""),29)</f>
        <v>29</v>
      </c>
      <c r="D741" s="1">
        <f ca="1">IFERROR(__xludf.DUMMYFUNCTION("""COMPUTED_VALUE"""),2021)</f>
        <v>2021</v>
      </c>
      <c r="E741" s="4">
        <f ca="1">IFERROR(__xludf.DUMMYFUNCTION("""COMPUTED_VALUE"""),44559)</f>
        <v>44559</v>
      </c>
      <c r="F741" s="1" t="str">
        <f ca="1">IFERROR(__xludf.DUMMYFUNCTION("""COMPUTED_VALUE"""),"Catawba College (high school tournament)")</f>
        <v>Catawba College (high school tournament)</v>
      </c>
      <c r="G741" s="1">
        <f ca="1">IFERROR(__xludf.DUMMYFUNCTION("""COMPUTED_VALUE"""),0)</f>
        <v>0</v>
      </c>
      <c r="H741" s="1">
        <f ca="1">IFERROR(__xludf.DUMMYFUNCTION("""COMPUTED_VALUE"""),2)</f>
        <v>2</v>
      </c>
      <c r="I741" s="1">
        <f ca="1">IFERROR(__xludf.DUMMYFUNCTION("""COMPUTED_VALUE"""),2)</f>
        <v>2</v>
      </c>
      <c r="J741" s="1">
        <f ca="1">IFERROR(__xludf.DUMMYFUNCTION("""COMPUTED_VALUE"""),0)</f>
        <v>0</v>
      </c>
      <c r="K741" s="1" t="str">
        <f ca="1">IFERROR(__xludf.DUMMYFUNCTION("""COMPUTED_VALUE"""),"Winter")</f>
        <v>Winter</v>
      </c>
      <c r="L741" s="1" t="str">
        <f ca="1">IFERROR(__xludf.DUMMYFUNCTION("""COMPUTED_VALUE"""),"Salisbury")</f>
        <v>Salisbury</v>
      </c>
      <c r="M741" s="1" t="str">
        <f ca="1">IFERROR(__xludf.DUMMYFUNCTION("""COMPUTED_VALUE"""),"NC")</f>
        <v>NC</v>
      </c>
      <c r="N741" s="1" t="str">
        <f ca="1">IFERROR(__xludf.DUMMYFUNCTION("""COMPUTED_VALUE"""),"High")</f>
        <v>High</v>
      </c>
      <c r="O741" s="1" t="str">
        <f ca="1">IFERROR(__xludf.DUMMYFUNCTION("""COMPUTED_VALUE"""),"Gym")</f>
        <v>Gym</v>
      </c>
      <c r="P741" s="1" t="str">
        <f ca="1">IFERROR(__xludf.DUMMYFUNCTION("""COMPUTED_VALUE"""),"Inside School Building")</f>
        <v>Inside School Building</v>
      </c>
      <c r="Q741" s="1" t="str">
        <f ca="1">IFERROR(__xludf.DUMMYFUNCTION("""COMPUTED_VALUE"""),"No")</f>
        <v>No</v>
      </c>
      <c r="R741" s="1" t="str">
        <f ca="1">IFERROR(__xludf.DUMMYFUNCTION("""COMPUTED_VALUE"""),"Sport Event")</f>
        <v>Sport Event</v>
      </c>
      <c r="S741" s="5">
        <f ca="1">IFERROR(__xludf.DUMMYFUNCTION("""COMPUTED_VALUE"""),0.84375)</f>
        <v>0.84375</v>
      </c>
      <c r="T741" s="1">
        <f ca="1">IFERROR(__xludf.DUMMYFUNCTION("""COMPUTED_VALUE"""),1)</f>
        <v>1</v>
      </c>
      <c r="U741" s="1" t="str">
        <f ca="1">IFERROR(__xludf.DUMMYFUNCTION("""COMPUTED_VALUE"""),"Two teens shot during fight in entryway to gym")</f>
        <v>Two teens shot during fight in entryway to gym</v>
      </c>
      <c r="V741" s="1" t="str">
        <f ca="1">IFERROR(__xludf.DUMMYFUNCTION("""COMPUTED_VALUE"""),"Two teens (both bystanders) were shot during a fight inside the entry lobby to the gym. A high school basketball tournament was being held in the gym of Catawba College. Game was between  North Rowan High School and West Rowan High School. Two teen shoote"&amp;"rs fled. 400 people were attending the game when the shooting occurred. College campus went on shelter-in-place status for 2.5 hours following the shooting.")</f>
        <v>Two teens (both bystanders) were shot during a fight inside the entry lobby to the gym. A high school basketball tournament was being held in the gym of Catawba College. Game was between  North Rowan High School and West Rowan High School. Two teen shooters fled. 400 people were attending the game when the shooting occurred. College campus went on shelter-in-place status for 2.5 hours following the shooting.</v>
      </c>
      <c r="W741" s="1" t="str">
        <f ca="1">IFERROR(__xludf.DUMMYFUNCTION("""COMPUTED_VALUE"""),"Escalation of Dispute")</f>
        <v>Escalation of Dispute</v>
      </c>
      <c r="X741" s="1" t="str">
        <f ca="1">IFERROR(__xludf.DUMMYFUNCTION("""COMPUTED_VALUE"""),"Victims Targeted")</f>
        <v>Victims Targeted</v>
      </c>
      <c r="Y741" s="1" t="str">
        <f ca="1">IFERROR(__xludf.DUMMYFUNCTION("""COMPUTED_VALUE"""),"Yes")</f>
        <v>Yes</v>
      </c>
      <c r="Z741" s="1" t="str">
        <f ca="1">IFERROR(__xludf.DUMMYFUNCTION("""COMPUTED_VALUE"""),"Two teens fired shots")</f>
        <v>Two teens fired shots</v>
      </c>
      <c r="AA741" s="1" t="str">
        <f ca="1">IFERROR(__xludf.DUMMYFUNCTION("""COMPUTED_VALUE"""),"No")</f>
        <v>No</v>
      </c>
      <c r="AB741" s="1" t="str">
        <f ca="1">IFERROR(__xludf.DUMMYFUNCTION("""COMPUTED_VALUE"""),"No")</f>
        <v>No</v>
      </c>
      <c r="AC741" s="1" t="str">
        <f ca="1">IFERROR(__xludf.DUMMYFUNCTION("""COMPUTED_VALUE"""),"No")</f>
        <v>No</v>
      </c>
      <c r="AD741" s="1" t="str">
        <f ca="1">IFERROR(__xludf.DUMMYFUNCTION("""COMPUTED_VALUE"""),"No")</f>
        <v>No</v>
      </c>
      <c r="AE741" s="1" t="str">
        <f ca="1">IFERROR(__xludf.DUMMYFUNCTION("""COMPUTED_VALUE"""),"No")</f>
        <v>No</v>
      </c>
      <c r="AF741" s="1"/>
      <c r="AG741" s="1" t="str">
        <f ca="1">IFERROR(__xludf.DUMMYFUNCTION("""COMPUTED_VALUE"""),"No")</f>
        <v>No</v>
      </c>
      <c r="AH741" s="1"/>
    </row>
    <row r="742" spans="1:34" ht="12.5">
      <c r="A742" s="1" t="str">
        <f ca="1">IFERROR(__xludf.DUMMYFUNCTION("""COMPUTED_VALUE"""),"20211217TXWOD")</f>
        <v>20211217TXWOD</v>
      </c>
      <c r="B742" s="1">
        <f ca="1">IFERROR(__xludf.DUMMYFUNCTION("""COMPUTED_VALUE"""),12)</f>
        <v>12</v>
      </c>
      <c r="C742" s="1">
        <f ca="1">IFERROR(__xludf.DUMMYFUNCTION("""COMPUTED_VALUE"""),17)</f>
        <v>17</v>
      </c>
      <c r="D742" s="1">
        <f ca="1">IFERROR(__xludf.DUMMYFUNCTION("""COMPUTED_VALUE"""),2021)</f>
        <v>2021</v>
      </c>
      <c r="E742" s="4">
        <f ca="1">IFERROR(__xludf.DUMMYFUNCTION("""COMPUTED_VALUE"""),44547)</f>
        <v>44547</v>
      </c>
      <c r="F742" s="1" t="str">
        <f ca="1">IFERROR(__xludf.DUMMYFUNCTION("""COMPUTED_VALUE"""),"Woodrow Wilson Junior High")</f>
        <v>Woodrow Wilson Junior High</v>
      </c>
      <c r="G742" s="1">
        <f ca="1">IFERROR(__xludf.DUMMYFUNCTION("""COMPUTED_VALUE"""),0)</f>
        <v>0</v>
      </c>
      <c r="H742" s="1">
        <f ca="1">IFERROR(__xludf.DUMMYFUNCTION("""COMPUTED_VALUE"""),0)</f>
        <v>0</v>
      </c>
      <c r="I742" s="1">
        <f ca="1">IFERROR(__xludf.DUMMYFUNCTION("""COMPUTED_VALUE"""),0)</f>
        <v>0</v>
      </c>
      <c r="J742" s="1">
        <f ca="1">IFERROR(__xludf.DUMMYFUNCTION("""COMPUTED_VALUE"""),0)</f>
        <v>0</v>
      </c>
      <c r="K742" s="1" t="str">
        <f ca="1">IFERROR(__xludf.DUMMYFUNCTION("""COMPUTED_VALUE"""),"Fall")</f>
        <v>Fall</v>
      </c>
      <c r="L742" s="1" t="str">
        <f ca="1">IFERROR(__xludf.DUMMYFUNCTION("""COMPUTED_VALUE"""),"Dayton")</f>
        <v>Dayton</v>
      </c>
      <c r="M742" s="1" t="str">
        <f ca="1">IFERROR(__xludf.DUMMYFUNCTION("""COMPUTED_VALUE"""),"TX")</f>
        <v>TX</v>
      </c>
      <c r="N742" s="1" t="str">
        <f ca="1">IFERROR(__xludf.DUMMYFUNCTION("""COMPUTED_VALUE"""),"High")</f>
        <v>High</v>
      </c>
      <c r="O742" s="1" t="str">
        <f ca="1">IFERROR(__xludf.DUMMYFUNCTION("""COMPUTED_VALUE"""),"School Bus")</f>
        <v>School Bus</v>
      </c>
      <c r="P742" s="1" t="str">
        <f ca="1">IFERROR(__xludf.DUMMYFUNCTION("""COMPUTED_VALUE"""),"School Bus")</f>
        <v>School Bus</v>
      </c>
      <c r="Q742" s="1" t="str">
        <f ca="1">IFERROR(__xludf.DUMMYFUNCTION("""COMPUTED_VALUE"""),"Yes")</f>
        <v>Yes</v>
      </c>
      <c r="R742" s="1" t="str">
        <f ca="1">IFERROR(__xludf.DUMMYFUNCTION("""COMPUTED_VALUE"""),"Dismissal")</f>
        <v>Dismissal</v>
      </c>
      <c r="S742" s="5">
        <f ca="1">IFERROR(__xludf.DUMMYFUNCTION("""COMPUTED_VALUE"""),0.625)</f>
        <v>0.625</v>
      </c>
      <c r="T742" s="1">
        <f ca="1">IFERROR(__xludf.DUMMYFUNCTION("""COMPUTED_VALUE"""),1)</f>
        <v>1</v>
      </c>
      <c r="U742" s="1" t="str">
        <f ca="1">IFERROR(__xludf.DUMMYFUNCTION("""COMPUTED_VALUE"""),"Student in vehicle pointed BB rifle at school bus causing panic aboard")</f>
        <v>Student in vehicle pointed BB rifle at school bus causing panic aboard</v>
      </c>
      <c r="V742" s="1"/>
      <c r="W742" s="1" t="str">
        <f ca="1">IFERROR(__xludf.DUMMYFUNCTION("""COMPUTED_VALUE"""),"Drive-by Shooting")</f>
        <v>Drive-by Shooting</v>
      </c>
      <c r="X742" s="1" t="str">
        <f ca="1">IFERROR(__xludf.DUMMYFUNCTION("""COMPUTED_VALUE"""),"Neither")</f>
        <v>Neither</v>
      </c>
      <c r="Y742" s="1" t="str">
        <f ca="1">IFERROR(__xludf.DUMMYFUNCTION("""COMPUTED_VALUE"""),"Yes")</f>
        <v>Yes</v>
      </c>
      <c r="Z742" s="1" t="str">
        <f ca="1">IFERROR(__xludf.DUMMYFUNCTION("""COMPUTED_VALUE"""),"Vehicle driver")</f>
        <v>Vehicle driver</v>
      </c>
      <c r="AA742" s="1" t="str">
        <f ca="1">IFERROR(__xludf.DUMMYFUNCTION("""COMPUTED_VALUE"""),"No")</f>
        <v>No</v>
      </c>
      <c r="AB742" s="1" t="str">
        <f ca="1">IFERROR(__xludf.DUMMYFUNCTION("""COMPUTED_VALUE"""),"No")</f>
        <v>No</v>
      </c>
      <c r="AC742" s="1" t="str">
        <f ca="1">IFERROR(__xludf.DUMMYFUNCTION("""COMPUTED_VALUE"""),"No")</f>
        <v>No</v>
      </c>
      <c r="AD742" s="1" t="str">
        <f ca="1">IFERROR(__xludf.DUMMYFUNCTION("""COMPUTED_VALUE"""),"No")</f>
        <v>No</v>
      </c>
      <c r="AE742" s="1" t="str">
        <f ca="1">IFERROR(__xludf.DUMMYFUNCTION("""COMPUTED_VALUE"""),"No")</f>
        <v>No</v>
      </c>
      <c r="AF742" s="1" t="str">
        <f ca="1">IFERROR(__xludf.DUMMYFUNCTION("""COMPUTED_VALUE"""),"No")</f>
        <v>No</v>
      </c>
      <c r="AG742" s="1" t="str">
        <f ca="1">IFERROR(__xludf.DUMMYFUNCTION("""COMPUTED_VALUE"""),"No")</f>
        <v>No</v>
      </c>
      <c r="AH742" s="1">
        <f ca="1">IFERROR(__xludf.DUMMYFUNCTION("""COMPUTED_VALUE"""),0)</f>
        <v>0</v>
      </c>
    </row>
    <row r="743" spans="1:34" ht="12.5">
      <c r="A743" s="1" t="str">
        <f ca="1">IFERROR(__xludf.DUMMYFUNCTION("""COMPUTED_VALUE"""),"20211216SCEAC")</f>
        <v>20211216SCEAC</v>
      </c>
      <c r="B743" s="1">
        <f ca="1">IFERROR(__xludf.DUMMYFUNCTION("""COMPUTED_VALUE"""),12)</f>
        <v>12</v>
      </c>
      <c r="C743" s="1">
        <f ca="1">IFERROR(__xludf.DUMMYFUNCTION("""COMPUTED_VALUE"""),16)</f>
        <v>16</v>
      </c>
      <c r="D743" s="1">
        <f ca="1">IFERROR(__xludf.DUMMYFUNCTION("""COMPUTED_VALUE"""),2021)</f>
        <v>2021</v>
      </c>
      <c r="E743" s="4">
        <f ca="1">IFERROR(__xludf.DUMMYFUNCTION("""COMPUTED_VALUE"""),44546)</f>
        <v>44546</v>
      </c>
      <c r="F743" s="1" t="str">
        <f ca="1">IFERROR(__xludf.DUMMYFUNCTION("""COMPUTED_VALUE"""),"Eau Claire High School")</f>
        <v>Eau Claire High School</v>
      </c>
      <c r="G743" s="1">
        <f ca="1">IFERROR(__xludf.DUMMYFUNCTION("""COMPUTED_VALUE"""),0)</f>
        <v>0</v>
      </c>
      <c r="H743" s="1">
        <f ca="1">IFERROR(__xludf.DUMMYFUNCTION("""COMPUTED_VALUE"""),0)</f>
        <v>0</v>
      </c>
      <c r="I743" s="1">
        <f ca="1">IFERROR(__xludf.DUMMYFUNCTION("""COMPUTED_VALUE"""),0)</f>
        <v>0</v>
      </c>
      <c r="J743" s="1">
        <f ca="1">IFERROR(__xludf.DUMMYFUNCTION("""COMPUTED_VALUE"""),0)</f>
        <v>0</v>
      </c>
      <c r="K743" s="1" t="str">
        <f ca="1">IFERROR(__xludf.DUMMYFUNCTION("""COMPUTED_VALUE"""),"Winter")</f>
        <v>Winter</v>
      </c>
      <c r="L743" s="1" t="str">
        <f ca="1">IFERROR(__xludf.DUMMYFUNCTION("""COMPUTED_VALUE"""),"Columbia")</f>
        <v>Columbia</v>
      </c>
      <c r="M743" s="1" t="str">
        <f ca="1">IFERROR(__xludf.DUMMYFUNCTION("""COMPUTED_VALUE"""),"SC")</f>
        <v>SC</v>
      </c>
      <c r="N743" s="1" t="str">
        <f ca="1">IFERROR(__xludf.DUMMYFUNCTION("""COMPUTED_VALUE"""),"High")</f>
        <v>High</v>
      </c>
      <c r="O743" s="1" t="str">
        <f ca="1">IFERROR(__xludf.DUMMYFUNCTION("""COMPUTED_VALUE"""),"Parking Lot")</f>
        <v>Parking Lot</v>
      </c>
      <c r="P743" s="1" t="str">
        <f ca="1">IFERROR(__xludf.DUMMYFUNCTION("""COMPUTED_VALUE"""),"Outside on School Property")</f>
        <v>Outside on School Property</v>
      </c>
      <c r="Q743" s="1" t="str">
        <f ca="1">IFERROR(__xludf.DUMMYFUNCTION("""COMPUTED_VALUE"""),"Yes")</f>
        <v>Yes</v>
      </c>
      <c r="R743" s="1" t="str">
        <f ca="1">IFERROR(__xludf.DUMMYFUNCTION("""COMPUTED_VALUE"""),"Dismissal")</f>
        <v>Dismissal</v>
      </c>
      <c r="S743" s="5">
        <f ca="1">IFERROR(__xludf.DUMMYFUNCTION("""COMPUTED_VALUE"""),0.625)</f>
        <v>0.625</v>
      </c>
      <c r="T743" s="1">
        <f ca="1">IFERROR(__xludf.DUMMYFUNCTION("""COMPUTED_VALUE"""),1)</f>
        <v>1</v>
      </c>
      <c r="U743" s="1" t="str">
        <f ca="1">IFERROR(__xludf.DUMMYFUNCTION("""COMPUTED_VALUE"""),"Student fired shots during dismissal then fled")</f>
        <v>Student fired shots during dismissal then fled</v>
      </c>
      <c r="V743" s="1" t="str">
        <f ca="1">IFERROR(__xludf.DUMMYFUNCTION("""COMPUTED_VALUE"""),"Police responded for ShotSpotter alert at the high school. A teen student fired shots in the parking lot during dismissal and fled. No injuries. Remaining students still inside the school were locked down. 15-year-old student arrested on 12/22 and charged"&amp;" with multiple felonies including attempted murder.")</f>
        <v>Police responded for ShotSpotter alert at the high school. A teen student fired shots in the parking lot during dismissal and fled. No injuries. Remaining students still inside the school were locked down. 15-year-old student arrested on 12/22 and charged with multiple felonies including attempted murder.</v>
      </c>
      <c r="W743" s="1" t="str">
        <f ca="1">IFERROR(__xludf.DUMMYFUNCTION("""COMPUTED_VALUE"""),"Escalation of Dispute")</f>
        <v>Escalation of Dispute</v>
      </c>
      <c r="X743" s="1" t="str">
        <f ca="1">IFERROR(__xludf.DUMMYFUNCTION("""COMPUTED_VALUE"""),"Victims Targeted")</f>
        <v>Victims Targeted</v>
      </c>
      <c r="Y743" s="1" t="str">
        <f ca="1">IFERROR(__xludf.DUMMYFUNCTION("""COMPUTED_VALUE"""),"No")</f>
        <v>No</v>
      </c>
      <c r="Z743" s="1"/>
      <c r="AA743" s="1" t="str">
        <f ca="1">IFERROR(__xludf.DUMMYFUNCTION("""COMPUTED_VALUE"""),"No")</f>
        <v>No</v>
      </c>
      <c r="AB743" s="1" t="str">
        <f ca="1">IFERROR(__xludf.DUMMYFUNCTION("""COMPUTED_VALUE"""),"No")</f>
        <v>No</v>
      </c>
      <c r="AC743" s="1" t="str">
        <f ca="1">IFERROR(__xludf.DUMMYFUNCTION("""COMPUTED_VALUE"""),"No")</f>
        <v>No</v>
      </c>
      <c r="AD743" s="1"/>
      <c r="AE743" s="1" t="str">
        <f ca="1">IFERROR(__xludf.DUMMYFUNCTION("""COMPUTED_VALUE"""),"No")</f>
        <v>No</v>
      </c>
      <c r="AF743" s="1"/>
      <c r="AG743" s="1" t="str">
        <f ca="1">IFERROR(__xludf.DUMMYFUNCTION("""COMPUTED_VALUE"""),"No")</f>
        <v>No</v>
      </c>
      <c r="AH743" s="1"/>
    </row>
    <row r="744" spans="1:34" ht="12.5">
      <c r="A744" s="1" t="str">
        <f ca="1">IFERROR(__xludf.DUMMYFUNCTION("""COMPUTED_VALUE"""),"20211216NYPSB")</f>
        <v>20211216NYPSB</v>
      </c>
      <c r="B744" s="1">
        <f ca="1">IFERROR(__xludf.DUMMYFUNCTION("""COMPUTED_VALUE"""),12)</f>
        <v>12</v>
      </c>
      <c r="C744" s="1">
        <f ca="1">IFERROR(__xludf.DUMMYFUNCTION("""COMPUTED_VALUE"""),16)</f>
        <v>16</v>
      </c>
      <c r="D744" s="1">
        <f ca="1">IFERROR(__xludf.DUMMYFUNCTION("""COMPUTED_VALUE"""),2021)</f>
        <v>2021</v>
      </c>
      <c r="E744" s="4">
        <f ca="1">IFERROR(__xludf.DUMMYFUNCTION("""COMPUTED_VALUE"""),44546)</f>
        <v>44546</v>
      </c>
      <c r="F744" s="1" t="str">
        <f ca="1">IFERROR(__xludf.DUMMYFUNCTION("""COMPUTED_VALUE"""),"P.S. 026 Jesse Owens")</f>
        <v>P.S. 026 Jesse Owens</v>
      </c>
      <c r="G744" s="1">
        <f ca="1">IFERROR(__xludf.DUMMYFUNCTION("""COMPUTED_VALUE"""),0)</f>
        <v>0</v>
      </c>
      <c r="H744" s="1">
        <f ca="1">IFERROR(__xludf.DUMMYFUNCTION("""COMPUTED_VALUE"""),0)</f>
        <v>0</v>
      </c>
      <c r="I744" s="1">
        <f ca="1">IFERROR(__xludf.DUMMYFUNCTION("""COMPUTED_VALUE"""),0)</f>
        <v>0</v>
      </c>
      <c r="J744" s="1">
        <f ca="1">IFERROR(__xludf.DUMMYFUNCTION("""COMPUTED_VALUE"""),0)</f>
        <v>0</v>
      </c>
      <c r="K744" s="1" t="str">
        <f ca="1">IFERROR(__xludf.DUMMYFUNCTION("""COMPUTED_VALUE"""),"Winter")</f>
        <v>Winter</v>
      </c>
      <c r="L744" s="1" t="str">
        <f ca="1">IFERROR(__xludf.DUMMYFUNCTION("""COMPUTED_VALUE"""),"Brooklyn")</f>
        <v>Brooklyn</v>
      </c>
      <c r="M744" s="1" t="str">
        <f ca="1">IFERROR(__xludf.DUMMYFUNCTION("""COMPUTED_VALUE"""),"NY")</f>
        <v>NY</v>
      </c>
      <c r="N744" s="1" t="str">
        <f ca="1">IFERROR(__xludf.DUMMYFUNCTION("""COMPUTED_VALUE"""),"Elementary")</f>
        <v>Elementary</v>
      </c>
      <c r="O744" s="1" t="str">
        <f ca="1">IFERROR(__xludf.DUMMYFUNCTION("""COMPUTED_VALUE"""),"Front of School")</f>
        <v>Front of School</v>
      </c>
      <c r="P744" s="1" t="str">
        <f ca="1">IFERROR(__xludf.DUMMYFUNCTION("""COMPUTED_VALUE"""),"Outside on School Property")</f>
        <v>Outside on School Property</v>
      </c>
      <c r="Q744" s="1" t="str">
        <f ca="1">IFERROR(__xludf.DUMMYFUNCTION("""COMPUTED_VALUE"""),"Yes")</f>
        <v>Yes</v>
      </c>
      <c r="R744" s="1" t="str">
        <f ca="1">IFERROR(__xludf.DUMMYFUNCTION("""COMPUTED_VALUE"""),"Morning Classes")</f>
        <v>Morning Classes</v>
      </c>
      <c r="S744" s="5">
        <f ca="1">IFERROR(__xludf.DUMMYFUNCTION("""COMPUTED_VALUE"""),0.371527777777777)</f>
        <v>0.37152777777777701</v>
      </c>
      <c r="T744" s="1">
        <f ca="1">IFERROR(__xludf.DUMMYFUNCTION("""COMPUTED_VALUE"""),1)</f>
        <v>1</v>
      </c>
      <c r="U744" s="1" t="str">
        <f ca="1">IFERROR(__xludf.DUMMYFUNCTION("""COMPUTED_VALUE"""),"Shots fired in front of school")</f>
        <v>Shots fired in front of school</v>
      </c>
      <c r="V744" s="1" t="str">
        <f ca="1">IFERROR(__xludf.DUMMYFUNCTION("""COMPUTED_VALUE"""),"An adult male fired multiple shots in front of the school and then fled the area. No students or staff were injured or involved.")</f>
        <v>An adult male fired multiple shots in front of the school and then fled the area. No students or staff were injured or involved.</v>
      </c>
      <c r="W744" s="1"/>
      <c r="X744" s="1"/>
      <c r="Y744" s="1" t="str">
        <f ca="1">IFERROR(__xludf.DUMMYFUNCTION("""COMPUTED_VALUE"""),"No")</f>
        <v>No</v>
      </c>
      <c r="Z744" s="1"/>
      <c r="AA744" s="1" t="str">
        <f ca="1">IFERROR(__xludf.DUMMYFUNCTION("""COMPUTED_VALUE"""),"No")</f>
        <v>No</v>
      </c>
      <c r="AB744" s="1" t="str">
        <f ca="1">IFERROR(__xludf.DUMMYFUNCTION("""COMPUTED_VALUE"""),"No")</f>
        <v>No</v>
      </c>
      <c r="AC744" s="1" t="str">
        <f ca="1">IFERROR(__xludf.DUMMYFUNCTION("""COMPUTED_VALUE"""),"No")</f>
        <v>No</v>
      </c>
      <c r="AD744" s="1" t="str">
        <f ca="1">IFERROR(__xludf.DUMMYFUNCTION("""COMPUTED_VALUE"""),"No")</f>
        <v>No</v>
      </c>
      <c r="AE744" s="1" t="str">
        <f ca="1">IFERROR(__xludf.DUMMYFUNCTION("""COMPUTED_VALUE"""),"No")</f>
        <v>No</v>
      </c>
      <c r="AF744" s="1"/>
      <c r="AG744" s="1" t="str">
        <f ca="1">IFERROR(__xludf.DUMMYFUNCTION("""COMPUTED_VALUE"""),"No")</f>
        <v>No</v>
      </c>
      <c r="AH744" s="1"/>
    </row>
    <row r="745" spans="1:34" ht="12.5">
      <c r="A745" s="1" t="str">
        <f ca="1">IFERROR(__xludf.DUMMYFUNCTION("""COMPUTED_VALUE"""),"20211214WISOM")</f>
        <v>20211214WISOM</v>
      </c>
      <c r="B745" s="1">
        <f ca="1">IFERROR(__xludf.DUMMYFUNCTION("""COMPUTED_VALUE"""),12)</f>
        <v>12</v>
      </c>
      <c r="C745" s="1">
        <f ca="1">IFERROR(__xludf.DUMMYFUNCTION("""COMPUTED_VALUE"""),14)</f>
        <v>14</v>
      </c>
      <c r="D745" s="1">
        <f ca="1">IFERROR(__xludf.DUMMYFUNCTION("""COMPUTED_VALUE"""),2021)</f>
        <v>2021</v>
      </c>
      <c r="E745" s="4">
        <f ca="1">IFERROR(__xludf.DUMMYFUNCTION("""COMPUTED_VALUE"""),44544)</f>
        <v>44544</v>
      </c>
      <c r="F745" s="1" t="str">
        <f ca="1">IFERROR(__xludf.DUMMYFUNCTION("""COMPUTED_VALUE"""),"South Division High School")</f>
        <v>South Division High School</v>
      </c>
      <c r="G745" s="1">
        <f ca="1">IFERROR(__xludf.DUMMYFUNCTION("""COMPUTED_VALUE"""),0)</f>
        <v>0</v>
      </c>
      <c r="H745" s="1">
        <f ca="1">IFERROR(__xludf.DUMMYFUNCTION("""COMPUTED_VALUE"""),0)</f>
        <v>0</v>
      </c>
      <c r="I745" s="1">
        <f ca="1">IFERROR(__xludf.DUMMYFUNCTION("""COMPUTED_VALUE"""),0)</f>
        <v>0</v>
      </c>
      <c r="J745" s="1">
        <f ca="1">IFERROR(__xludf.DUMMYFUNCTION("""COMPUTED_VALUE"""),0)</f>
        <v>0</v>
      </c>
      <c r="K745" s="1" t="str">
        <f ca="1">IFERROR(__xludf.DUMMYFUNCTION("""COMPUTED_VALUE"""),"Winter")</f>
        <v>Winter</v>
      </c>
      <c r="L745" s="1" t="str">
        <f ca="1">IFERROR(__xludf.DUMMYFUNCTION("""COMPUTED_VALUE"""),"Milwaukee")</f>
        <v>Milwaukee</v>
      </c>
      <c r="M745" s="1" t="str">
        <f ca="1">IFERROR(__xludf.DUMMYFUNCTION("""COMPUTED_VALUE"""),"WI")</f>
        <v>WI</v>
      </c>
      <c r="N745" s="1" t="str">
        <f ca="1">IFERROR(__xludf.DUMMYFUNCTION("""COMPUTED_VALUE"""),"High")</f>
        <v>High</v>
      </c>
      <c r="O745" s="1" t="str">
        <f ca="1">IFERROR(__xludf.DUMMYFUNCTION("""COMPUTED_VALUE"""),"Front of School")</f>
        <v>Front of School</v>
      </c>
      <c r="P745" s="1" t="str">
        <f ca="1">IFERROR(__xludf.DUMMYFUNCTION("""COMPUTED_VALUE"""),"Outside on School Property")</f>
        <v>Outside on School Property</v>
      </c>
      <c r="Q745" s="1" t="str">
        <f ca="1">IFERROR(__xludf.DUMMYFUNCTION("""COMPUTED_VALUE"""),"Yes")</f>
        <v>Yes</v>
      </c>
      <c r="R745" s="1" t="str">
        <f ca="1">IFERROR(__xludf.DUMMYFUNCTION("""COMPUTED_VALUE"""),"Lunch")</f>
        <v>Lunch</v>
      </c>
      <c r="S745" s="5">
        <f ca="1">IFERROR(__xludf.DUMMYFUNCTION("""COMPUTED_VALUE"""),0.479166666666666)</f>
        <v>0.47916666666666602</v>
      </c>
      <c r="T745" s="1">
        <f ca="1">IFERROR(__xludf.DUMMYFUNCTION("""COMPUTED_VALUE"""),1)</f>
        <v>1</v>
      </c>
      <c r="U745" s="1" t="str">
        <f ca="1">IFERROR(__xludf.DUMMYFUNCTION("""COMPUTED_VALUE"""),"Student fired shots into the air by the front door of the school")</f>
        <v>Student fired shots into the air by the front door of the school</v>
      </c>
      <c r="V745" s="1" t="str">
        <f ca="1">IFERROR(__xludf.DUMMYFUNCTION("""COMPUTED_VALUE"""),"According to the criminal complaint, a Milwaukee police officer was dispatched to South Division High School on Tuesday, Dec. 14. The officer spoke with a 40-year-old man who stated that a student, who he identified as Alexander, ""got into an argument in"&amp;" the school with another student. The defendant left the school without permission and called for a ride."" The complaint says when a vehicle arrived to pick up the defendant, Alexander ""retrieved a firearm from the vehicle and fired several rounds into "&amp;"the air. The defendant then fled from the scene."" When the principal approached the student, he fired multiple shots into the air. The principal and other students ran into the school and the building went on lockdown. School district later reported that"&amp;" the school did not go on lockdown. Shooter fled. No injuries.")</f>
        <v>According to the criminal complaint, a Milwaukee police officer was dispatched to South Division High School on Tuesday, Dec. 14. The officer spoke with a 40-year-old man who stated that a student, who he identified as Alexander, "got into an argument in the school with another student. The defendant left the school without permission and called for a ride." The complaint says when a vehicle arrived to pick up the defendant, Alexander "retrieved a firearm from the vehicle and fired several rounds into the air. The defendant then fled from the scene." When the principal approached the student, he fired multiple shots into the air. The principal and other students ran into the school and the building went on lockdown. School district later reported that the school did not go on lockdown. Shooter fled. No injuries.</v>
      </c>
      <c r="W745" s="1" t="str">
        <f ca="1">IFERROR(__xludf.DUMMYFUNCTION("""COMPUTED_VALUE"""),"Escalation of Dispute")</f>
        <v>Escalation of Dispute</v>
      </c>
      <c r="X745" s="1" t="str">
        <f ca="1">IFERROR(__xludf.DUMMYFUNCTION("""COMPUTED_VALUE"""),"Neither")</f>
        <v>Neither</v>
      </c>
      <c r="Y745" s="1" t="str">
        <f ca="1">IFERROR(__xludf.DUMMYFUNCTION("""COMPUTED_VALUE"""),"No")</f>
        <v>No</v>
      </c>
      <c r="Z745" s="1"/>
      <c r="AA745" s="1" t="str">
        <f ca="1">IFERROR(__xludf.DUMMYFUNCTION("""COMPUTED_VALUE"""),"No")</f>
        <v>No</v>
      </c>
      <c r="AB745" s="1" t="str">
        <f ca="1">IFERROR(__xludf.DUMMYFUNCTION("""COMPUTED_VALUE"""),"No")</f>
        <v>No</v>
      </c>
      <c r="AC745" s="1" t="str">
        <f ca="1">IFERROR(__xludf.DUMMYFUNCTION("""COMPUTED_VALUE"""),"No")</f>
        <v>No</v>
      </c>
      <c r="AD745" s="1" t="str">
        <f ca="1">IFERROR(__xludf.DUMMYFUNCTION("""COMPUTED_VALUE"""),"No")</f>
        <v>No</v>
      </c>
      <c r="AE745" s="1" t="str">
        <f ca="1">IFERROR(__xludf.DUMMYFUNCTION("""COMPUTED_VALUE"""),"No")</f>
        <v>No</v>
      </c>
      <c r="AF745" s="1"/>
      <c r="AG745" s="1" t="str">
        <f ca="1">IFERROR(__xludf.DUMMYFUNCTION("""COMPUTED_VALUE"""),"No")</f>
        <v>No</v>
      </c>
      <c r="AH745" s="1">
        <f ca="1">IFERROR(__xludf.DUMMYFUNCTION("""COMPUTED_VALUE"""),5)</f>
        <v>5</v>
      </c>
    </row>
    <row r="746" spans="1:34" ht="12.5">
      <c r="A746" s="1" t="str">
        <f ca="1">IFERROR(__xludf.DUMMYFUNCTION("""COMPUTED_VALUE"""),"20211214VAMEN")</f>
        <v>20211214VAMEN</v>
      </c>
      <c r="B746" s="1">
        <f ca="1">IFERROR(__xludf.DUMMYFUNCTION("""COMPUTED_VALUE"""),12)</f>
        <v>12</v>
      </c>
      <c r="C746" s="1">
        <f ca="1">IFERROR(__xludf.DUMMYFUNCTION("""COMPUTED_VALUE"""),14)</f>
        <v>14</v>
      </c>
      <c r="D746" s="1">
        <f ca="1">IFERROR(__xludf.DUMMYFUNCTION("""COMPUTED_VALUE"""),2021)</f>
        <v>2021</v>
      </c>
      <c r="E746" s="4">
        <f ca="1">IFERROR(__xludf.DUMMYFUNCTION("""COMPUTED_VALUE"""),44544)</f>
        <v>44544</v>
      </c>
      <c r="F746" s="1" t="str">
        <f ca="1">IFERROR(__xludf.DUMMYFUNCTION("""COMPUTED_VALUE"""),"Menchville High School")</f>
        <v>Menchville High School</v>
      </c>
      <c r="G746" s="1">
        <f ca="1">IFERROR(__xludf.DUMMYFUNCTION("""COMPUTED_VALUE"""),1)</f>
        <v>1</v>
      </c>
      <c r="H746" s="1">
        <f ca="1">IFERROR(__xludf.DUMMYFUNCTION("""COMPUTED_VALUE"""),0)</f>
        <v>0</v>
      </c>
      <c r="I746" s="1">
        <f ca="1">IFERROR(__xludf.DUMMYFUNCTION("""COMPUTED_VALUE"""),1)</f>
        <v>1</v>
      </c>
      <c r="J746" s="1">
        <f ca="1">IFERROR(__xludf.DUMMYFUNCTION("""COMPUTED_VALUE"""),0)</f>
        <v>0</v>
      </c>
      <c r="K746" s="1" t="str">
        <f ca="1">IFERROR(__xludf.DUMMYFUNCTION("""COMPUTED_VALUE"""),"Winter")</f>
        <v>Winter</v>
      </c>
      <c r="L746" s="1" t="str">
        <f ca="1">IFERROR(__xludf.DUMMYFUNCTION("""COMPUTED_VALUE"""),"Newport News")</f>
        <v>Newport News</v>
      </c>
      <c r="M746" s="1" t="str">
        <f ca="1">IFERROR(__xludf.DUMMYFUNCTION("""COMPUTED_VALUE"""),"VA")</f>
        <v>VA</v>
      </c>
      <c r="N746" s="1" t="str">
        <f ca="1">IFERROR(__xludf.DUMMYFUNCTION("""COMPUTED_VALUE"""),"High")</f>
        <v>High</v>
      </c>
      <c r="O746" s="1" t="str">
        <f ca="1">IFERROR(__xludf.DUMMYFUNCTION("""COMPUTED_VALUE"""),"Parking Lot")</f>
        <v>Parking Lot</v>
      </c>
      <c r="P746" s="1" t="str">
        <f ca="1">IFERROR(__xludf.DUMMYFUNCTION("""COMPUTED_VALUE"""),"Outside on School Property")</f>
        <v>Outside on School Property</v>
      </c>
      <c r="Q746" s="1" t="str">
        <f ca="1">IFERROR(__xludf.DUMMYFUNCTION("""COMPUTED_VALUE"""),"No")</f>
        <v>No</v>
      </c>
      <c r="R746" s="1" t="str">
        <f ca="1">IFERROR(__xludf.DUMMYFUNCTION("""COMPUTED_VALUE"""),"Sport Event")</f>
        <v>Sport Event</v>
      </c>
      <c r="S746" s="5">
        <f ca="1">IFERROR(__xludf.DUMMYFUNCTION("""COMPUTED_VALUE"""),0.861111111111111)</f>
        <v>0.86111111111111105</v>
      </c>
      <c r="T746" s="1">
        <f ca="1">IFERROR(__xludf.DUMMYFUNCTION("""COMPUTED_VALUE"""),1)</f>
        <v>1</v>
      </c>
      <c r="U746" s="1" t="str">
        <f ca="1">IFERROR(__xludf.DUMMYFUNCTION("""COMPUTED_VALUE"""),"Student fatally shot in school parking lot during basketball game")</f>
        <v>Student fatally shot in school parking lot during basketball game</v>
      </c>
      <c r="V746" s="1" t="str">
        <f ca="1">IFERROR(__xludf.DUMMYFUNCTION("""COMPUTED_VALUE"""),"A teenage student was fatally shot during a fight in the school parking lot during a high school basketball game. Teen had left the game early and was waiting outside next to a vehicle. He was spotted by a group of teens from a rival group and they jumped"&amp;" him. He was shot while trying to get into the vehicle. In addition to the gun used to shoot the victim, 2 guns were recovered from inside the car he was entering. In January 2024, a jurry found the shooter not guilty.")</f>
        <v>A teenage student was fatally shot during a fight in the school parking lot during a high school basketball game. Teen had left the game early and was waiting outside next to a vehicle. He was spotted by a group of teens from a rival group and they jumped him. He was shot while trying to get into the vehicle. In addition to the gun used to shoot the victim, 2 guns were recovered from inside the car he was entering. In January 2024, a jurry found the shooter not guilty.</v>
      </c>
      <c r="W746" s="1" t="str">
        <f ca="1">IFERROR(__xludf.DUMMYFUNCTION("""COMPUTED_VALUE"""),"Escalation of Dispute")</f>
        <v>Escalation of Dispute</v>
      </c>
      <c r="X746" s="1" t="str">
        <f ca="1">IFERROR(__xludf.DUMMYFUNCTION("""COMPUTED_VALUE"""),"Victims Targeted")</f>
        <v>Victims Targeted</v>
      </c>
      <c r="Y746" s="1" t="str">
        <f ca="1">IFERROR(__xludf.DUMMYFUNCTION("""COMPUTED_VALUE"""),"Yes")</f>
        <v>Yes</v>
      </c>
      <c r="Z746" s="1" t="str">
        <f ca="1">IFERROR(__xludf.DUMMYFUNCTION("""COMPUTED_VALUE"""),"Group of teens from rival group")</f>
        <v>Group of teens from rival group</v>
      </c>
      <c r="AA746" s="1" t="str">
        <f ca="1">IFERROR(__xludf.DUMMYFUNCTION("""COMPUTED_VALUE"""),"No")</f>
        <v>No</v>
      </c>
      <c r="AB746" s="1" t="str">
        <f ca="1">IFERROR(__xludf.DUMMYFUNCTION("""COMPUTED_VALUE"""),"No")</f>
        <v>No</v>
      </c>
      <c r="AC746" s="1" t="str">
        <f ca="1">IFERROR(__xludf.DUMMYFUNCTION("""COMPUTED_VALUE"""),"No")</f>
        <v>No</v>
      </c>
      <c r="AD746" s="1" t="str">
        <f ca="1">IFERROR(__xludf.DUMMYFUNCTION("""COMPUTED_VALUE"""),"No")</f>
        <v>No</v>
      </c>
      <c r="AE746" s="1" t="str">
        <f ca="1">IFERROR(__xludf.DUMMYFUNCTION("""COMPUTED_VALUE"""),"No")</f>
        <v>No</v>
      </c>
      <c r="AF746" s="1" t="str">
        <f ca="1">IFERROR(__xludf.DUMMYFUNCTION("""COMPUTED_VALUE"""),"Yes")</f>
        <v>Yes</v>
      </c>
      <c r="AG746" s="1" t="str">
        <f ca="1">IFERROR(__xludf.DUMMYFUNCTION("""COMPUTED_VALUE"""),"No")</f>
        <v>No</v>
      </c>
      <c r="AH746" s="1"/>
    </row>
    <row r="747" spans="1:34" ht="12.5">
      <c r="A747" s="1" t="str">
        <f ca="1">IFERROR(__xludf.DUMMYFUNCTION("""COMPUTED_VALUE"""),"20211213NCWEC")</f>
        <v>20211213NCWEC</v>
      </c>
      <c r="B747" s="1">
        <f ca="1">IFERROR(__xludf.DUMMYFUNCTION("""COMPUTED_VALUE"""),12)</f>
        <v>12</v>
      </c>
      <c r="C747" s="1">
        <f ca="1">IFERROR(__xludf.DUMMYFUNCTION("""COMPUTED_VALUE"""),13)</f>
        <v>13</v>
      </c>
      <c r="D747" s="1">
        <f ca="1">IFERROR(__xludf.DUMMYFUNCTION("""COMPUTED_VALUE"""),2021)</f>
        <v>2021</v>
      </c>
      <c r="E747" s="4">
        <f ca="1">IFERROR(__xludf.DUMMYFUNCTION("""COMPUTED_VALUE"""),44543)</f>
        <v>44543</v>
      </c>
      <c r="F747" s="1" t="str">
        <f ca="1">IFERROR(__xludf.DUMMYFUNCTION("""COMPUTED_VALUE"""),"West Charlotte High School")</f>
        <v>West Charlotte High School</v>
      </c>
      <c r="G747" s="1">
        <f ca="1">IFERROR(__xludf.DUMMYFUNCTION("""COMPUTED_VALUE"""),0)</f>
        <v>0</v>
      </c>
      <c r="H747" s="1">
        <f ca="1">IFERROR(__xludf.DUMMYFUNCTION("""COMPUTED_VALUE"""),0)</f>
        <v>0</v>
      </c>
      <c r="I747" s="1">
        <f ca="1">IFERROR(__xludf.DUMMYFUNCTION("""COMPUTED_VALUE"""),0)</f>
        <v>0</v>
      </c>
      <c r="J747" s="1">
        <f ca="1">IFERROR(__xludf.DUMMYFUNCTION("""COMPUTED_VALUE"""),0)</f>
        <v>0</v>
      </c>
      <c r="K747" s="1" t="str">
        <f ca="1">IFERROR(__xludf.DUMMYFUNCTION("""COMPUTED_VALUE"""),"Winter")</f>
        <v>Winter</v>
      </c>
      <c r="L747" s="1" t="str">
        <f ca="1">IFERROR(__xludf.DUMMYFUNCTION("""COMPUTED_VALUE"""),"Charlotte")</f>
        <v>Charlotte</v>
      </c>
      <c r="M747" s="1" t="str">
        <f ca="1">IFERROR(__xludf.DUMMYFUNCTION("""COMPUTED_VALUE"""),"NC")</f>
        <v>NC</v>
      </c>
      <c r="N747" s="1" t="str">
        <f ca="1">IFERROR(__xludf.DUMMYFUNCTION("""COMPUTED_VALUE"""),"High")</f>
        <v>High</v>
      </c>
      <c r="O747" s="1" t="str">
        <f ca="1">IFERROR(__xludf.DUMMYFUNCTION("""COMPUTED_VALUE"""),"Parking Lot")</f>
        <v>Parking Lot</v>
      </c>
      <c r="P747" s="1" t="str">
        <f ca="1">IFERROR(__xludf.DUMMYFUNCTION("""COMPUTED_VALUE"""),"Outside on School Property")</f>
        <v>Outside on School Property</v>
      </c>
      <c r="Q747" s="1" t="str">
        <f ca="1">IFERROR(__xludf.DUMMYFUNCTION("""COMPUTED_VALUE"""),"Yes")</f>
        <v>Yes</v>
      </c>
      <c r="R747" s="1" t="str">
        <f ca="1">IFERROR(__xludf.DUMMYFUNCTION("""COMPUTED_VALUE"""),"Dismissal")</f>
        <v>Dismissal</v>
      </c>
      <c r="S747" s="5">
        <f ca="1">IFERROR(__xludf.DUMMYFUNCTION("""COMPUTED_VALUE"""),0.594444444444444)</f>
        <v>0.594444444444444</v>
      </c>
      <c r="T747" s="1">
        <f ca="1">IFERROR(__xludf.DUMMYFUNCTION("""COMPUTED_VALUE"""),1)</f>
        <v>1</v>
      </c>
      <c r="U747" s="1" t="str">
        <f ca="1">IFERROR(__xludf.DUMMYFUNCTION("""COMPUTED_VALUE"""),"Shot fired during fight at dismissal")</f>
        <v>Shot fired during fight at dismissal</v>
      </c>
      <c r="V747" s="1" t="str">
        <f ca="1">IFERROR(__xludf.DUMMYFUNCTION("""COMPUTED_VALUE"""),"A teen student fired at shot at another student during a fight in the parking lot at dismissal. The fight was over a bookbag. Shooter fled and was arrested away from the school. No injuries. School switched to virtual learning the following day.")</f>
        <v>A teen student fired at shot at another student during a fight in the parking lot at dismissal. The fight was over a bookbag. Shooter fled and was arrested away from the school. No injuries. School switched to virtual learning the following day.</v>
      </c>
      <c r="W747" s="1" t="str">
        <f ca="1">IFERROR(__xludf.DUMMYFUNCTION("""COMPUTED_VALUE"""),"Escalation of Dispute")</f>
        <v>Escalation of Dispute</v>
      </c>
      <c r="X747" s="1" t="str">
        <f ca="1">IFERROR(__xludf.DUMMYFUNCTION("""COMPUTED_VALUE"""),"Victims Targeted")</f>
        <v>Victims Targeted</v>
      </c>
      <c r="Y747" s="1" t="str">
        <f ca="1">IFERROR(__xludf.DUMMYFUNCTION("""COMPUTED_VALUE"""),"No")</f>
        <v>No</v>
      </c>
      <c r="Z747" s="1"/>
      <c r="AA747" s="1" t="str">
        <f ca="1">IFERROR(__xludf.DUMMYFUNCTION("""COMPUTED_VALUE"""),"No")</f>
        <v>No</v>
      </c>
      <c r="AB747" s="1" t="str">
        <f ca="1">IFERROR(__xludf.DUMMYFUNCTION("""COMPUTED_VALUE"""),"No")</f>
        <v>No</v>
      </c>
      <c r="AC747" s="1" t="str">
        <f ca="1">IFERROR(__xludf.DUMMYFUNCTION("""COMPUTED_VALUE"""),"No")</f>
        <v>No</v>
      </c>
      <c r="AD747" s="1" t="str">
        <f ca="1">IFERROR(__xludf.DUMMYFUNCTION("""COMPUTED_VALUE"""),"No")</f>
        <v>No</v>
      </c>
      <c r="AE747" s="1" t="str">
        <f ca="1">IFERROR(__xludf.DUMMYFUNCTION("""COMPUTED_VALUE"""),"No")</f>
        <v>No</v>
      </c>
      <c r="AF747" s="1" t="str">
        <f ca="1">IFERROR(__xludf.DUMMYFUNCTION("""COMPUTED_VALUE"""),"No")</f>
        <v>No</v>
      </c>
      <c r="AG747" s="1" t="str">
        <f ca="1">IFERROR(__xludf.DUMMYFUNCTION("""COMPUTED_VALUE"""),"No")</f>
        <v>No</v>
      </c>
      <c r="AH747" s="1">
        <f ca="1">IFERROR(__xludf.DUMMYFUNCTION("""COMPUTED_VALUE"""),1)</f>
        <v>1</v>
      </c>
    </row>
    <row r="748" spans="1:34" ht="12.5">
      <c r="A748" s="1" t="str">
        <f ca="1">IFERROR(__xludf.DUMMYFUNCTION("""COMPUTED_VALUE"""),"20211213FLEAO")</f>
        <v>20211213FLEAO</v>
      </c>
      <c r="B748" s="1">
        <f ca="1">IFERROR(__xludf.DUMMYFUNCTION("""COMPUTED_VALUE"""),12)</f>
        <v>12</v>
      </c>
      <c r="C748" s="1">
        <f ca="1">IFERROR(__xludf.DUMMYFUNCTION("""COMPUTED_VALUE"""),13)</f>
        <v>13</v>
      </c>
      <c r="D748" s="1">
        <f ca="1">IFERROR(__xludf.DUMMYFUNCTION("""COMPUTED_VALUE"""),2021)</f>
        <v>2021</v>
      </c>
      <c r="E748" s="4">
        <f ca="1">IFERROR(__xludf.DUMMYFUNCTION("""COMPUTED_VALUE"""),44543)</f>
        <v>44543</v>
      </c>
      <c r="F748" s="1" t="str">
        <f ca="1">IFERROR(__xludf.DUMMYFUNCTION("""COMPUTED_VALUE"""),"East River High School")</f>
        <v>East River High School</v>
      </c>
      <c r="G748" s="1">
        <f ca="1">IFERROR(__xludf.DUMMYFUNCTION("""COMPUTED_VALUE"""),0)</f>
        <v>0</v>
      </c>
      <c r="H748" s="1">
        <f ca="1">IFERROR(__xludf.DUMMYFUNCTION("""COMPUTED_VALUE"""),0)</f>
        <v>0</v>
      </c>
      <c r="I748" s="1">
        <f ca="1">IFERROR(__xludf.DUMMYFUNCTION("""COMPUTED_VALUE"""),0)</f>
        <v>0</v>
      </c>
      <c r="J748" s="1">
        <f ca="1">IFERROR(__xludf.DUMMYFUNCTION("""COMPUTED_VALUE"""),0)</f>
        <v>0</v>
      </c>
      <c r="K748" s="1" t="str">
        <f ca="1">IFERROR(__xludf.DUMMYFUNCTION("""COMPUTED_VALUE"""),"Winter")</f>
        <v>Winter</v>
      </c>
      <c r="L748" s="1" t="str">
        <f ca="1">IFERROR(__xludf.DUMMYFUNCTION("""COMPUTED_VALUE"""),"Orlando")</f>
        <v>Orlando</v>
      </c>
      <c r="M748" s="1" t="str">
        <f ca="1">IFERROR(__xludf.DUMMYFUNCTION("""COMPUTED_VALUE"""),"FL")</f>
        <v>FL</v>
      </c>
      <c r="N748" s="1" t="str">
        <f ca="1">IFERROR(__xludf.DUMMYFUNCTION("""COMPUTED_VALUE"""),"High")</f>
        <v>High</v>
      </c>
      <c r="O748" s="1" t="str">
        <f ca="1">IFERROR(__xludf.DUMMYFUNCTION("""COMPUTED_VALUE"""),"Parking Lot")</f>
        <v>Parking Lot</v>
      </c>
      <c r="P748" s="1" t="str">
        <f ca="1">IFERROR(__xludf.DUMMYFUNCTION("""COMPUTED_VALUE"""),"Outside on School Property")</f>
        <v>Outside on School Property</v>
      </c>
      <c r="Q748" s="1" t="str">
        <f ca="1">IFERROR(__xludf.DUMMYFUNCTION("""COMPUTED_VALUE"""),"Yes")</f>
        <v>Yes</v>
      </c>
      <c r="R748" s="1" t="str">
        <f ca="1">IFERROR(__xludf.DUMMYFUNCTION("""COMPUTED_VALUE"""),"Dismissal")</f>
        <v>Dismissal</v>
      </c>
      <c r="S748" s="5">
        <f ca="1">IFERROR(__xludf.DUMMYFUNCTION("""COMPUTED_VALUE"""),0.625)</f>
        <v>0.625</v>
      </c>
      <c r="T748" s="1">
        <f ca="1">IFERROR(__xludf.DUMMYFUNCTION("""COMPUTED_VALUE"""),1)</f>
        <v>1</v>
      </c>
      <c r="U748" s="1" t="str">
        <f ca="1">IFERROR(__xludf.DUMMYFUNCTION("""COMPUTED_VALUE"""),"Shot fired in the school parking lot during dismissal")</f>
        <v>Shot fired in the school parking lot during dismissal</v>
      </c>
      <c r="V748" s="1" t="str">
        <f ca="1">IFERROR(__xludf.DUMMYFUNCTION("""COMPUTED_VALUE"""),"Shot fired in the school parking lot during dismissal. No injuries. Shooter fled. School went into lockdown and notified parents. Basketball game scheduled for later in the evening was cancelled.")</f>
        <v>Shot fired in the school parking lot during dismissal. No injuries. Shooter fled. School went into lockdown and notified parents. Basketball game scheduled for later in the evening was cancelled.</v>
      </c>
      <c r="W748" s="1"/>
      <c r="X748" s="1"/>
      <c r="Y748" s="1" t="str">
        <f ca="1">IFERROR(__xludf.DUMMYFUNCTION("""COMPUTED_VALUE"""),"No")</f>
        <v>No</v>
      </c>
      <c r="Z748" s="1"/>
      <c r="AA748" s="1" t="str">
        <f ca="1">IFERROR(__xludf.DUMMYFUNCTION("""COMPUTED_VALUE"""),"No")</f>
        <v>No</v>
      </c>
      <c r="AB748" s="1" t="str">
        <f ca="1">IFERROR(__xludf.DUMMYFUNCTION("""COMPUTED_VALUE"""),"No")</f>
        <v>No</v>
      </c>
      <c r="AC748" s="1" t="str">
        <f ca="1">IFERROR(__xludf.DUMMYFUNCTION("""COMPUTED_VALUE"""),"No")</f>
        <v>No</v>
      </c>
      <c r="AD748" s="1" t="str">
        <f ca="1">IFERROR(__xludf.DUMMYFUNCTION("""COMPUTED_VALUE"""),"No")</f>
        <v>No</v>
      </c>
      <c r="AE748" s="1" t="str">
        <f ca="1">IFERROR(__xludf.DUMMYFUNCTION("""COMPUTED_VALUE"""),"No")</f>
        <v>No</v>
      </c>
      <c r="AF748" s="1"/>
      <c r="AG748" s="1" t="str">
        <f ca="1">IFERROR(__xludf.DUMMYFUNCTION("""COMPUTED_VALUE"""),"No")</f>
        <v>No</v>
      </c>
      <c r="AH748" s="1">
        <f ca="1">IFERROR(__xludf.DUMMYFUNCTION("""COMPUTED_VALUE"""),1)</f>
        <v>1</v>
      </c>
    </row>
    <row r="749" spans="1:34" ht="12.5">
      <c r="A749" s="1" t="str">
        <f ca="1">IFERROR(__xludf.DUMMYFUNCTION("""COMPUTED_VALUE"""),"20211212NYSCR")</f>
        <v>20211212NYSCR</v>
      </c>
      <c r="B749" s="1">
        <f ca="1">IFERROR(__xludf.DUMMYFUNCTION("""COMPUTED_VALUE"""),12)</f>
        <v>12</v>
      </c>
      <c r="C749" s="1">
        <f ca="1">IFERROR(__xludf.DUMMYFUNCTION("""COMPUTED_VALUE"""),12)</f>
        <v>12</v>
      </c>
      <c r="D749" s="1">
        <f ca="1">IFERROR(__xludf.DUMMYFUNCTION("""COMPUTED_VALUE"""),2021)</f>
        <v>2021</v>
      </c>
      <c r="E749" s="4">
        <f ca="1">IFERROR(__xludf.DUMMYFUNCTION("""COMPUTED_VALUE"""),44542)</f>
        <v>44542</v>
      </c>
      <c r="F749" s="1" t="str">
        <f ca="1">IFERROR(__xludf.DUMMYFUNCTION("""COMPUTED_VALUE"""),"School No. 17")</f>
        <v>School No. 17</v>
      </c>
      <c r="G749" s="1">
        <f ca="1">IFERROR(__xludf.DUMMYFUNCTION("""COMPUTED_VALUE"""),1)</f>
        <v>1</v>
      </c>
      <c r="H749" s="1">
        <f ca="1">IFERROR(__xludf.DUMMYFUNCTION("""COMPUTED_VALUE"""),0)</f>
        <v>0</v>
      </c>
      <c r="I749" s="1">
        <f ca="1">IFERROR(__xludf.DUMMYFUNCTION("""COMPUTED_VALUE"""),1)</f>
        <v>1</v>
      </c>
      <c r="J749" s="1">
        <f ca="1">IFERROR(__xludf.DUMMYFUNCTION("""COMPUTED_VALUE"""),0)</f>
        <v>0</v>
      </c>
      <c r="K749" s="1" t="str">
        <f ca="1">IFERROR(__xludf.DUMMYFUNCTION("""COMPUTED_VALUE"""),"Winter")</f>
        <v>Winter</v>
      </c>
      <c r="L749" s="1" t="str">
        <f ca="1">IFERROR(__xludf.DUMMYFUNCTION("""COMPUTED_VALUE"""),"Rochester")</f>
        <v>Rochester</v>
      </c>
      <c r="M749" s="1" t="str">
        <f ca="1">IFERROR(__xludf.DUMMYFUNCTION("""COMPUTED_VALUE"""),"NY")</f>
        <v>NY</v>
      </c>
      <c r="N749" s="1" t="str">
        <f ca="1">IFERROR(__xludf.DUMMYFUNCTION("""COMPUTED_VALUE"""),"K-8")</f>
        <v>K-8</v>
      </c>
      <c r="O749" s="1" t="str">
        <f ca="1">IFERROR(__xludf.DUMMYFUNCTION("""COMPUTED_VALUE"""),"Playground")</f>
        <v>Playground</v>
      </c>
      <c r="P749" s="1" t="str">
        <f ca="1">IFERROR(__xludf.DUMMYFUNCTION("""COMPUTED_VALUE"""),"Outside on School Property")</f>
        <v>Outside on School Property</v>
      </c>
      <c r="Q749" s="1" t="str">
        <f ca="1">IFERROR(__xludf.DUMMYFUNCTION("""COMPUTED_VALUE"""),"No")</f>
        <v>No</v>
      </c>
      <c r="R749" s="1" t="str">
        <f ca="1">IFERROR(__xludf.DUMMYFUNCTION("""COMPUTED_VALUE"""),"Evening")</f>
        <v>Evening</v>
      </c>
      <c r="S749" s="5">
        <f ca="1">IFERROR(__xludf.DUMMYFUNCTION("""COMPUTED_VALUE"""),0.770833333333333)</f>
        <v>0.77083333333333304</v>
      </c>
      <c r="T749" s="1">
        <f ca="1">IFERROR(__xludf.DUMMYFUNCTION("""COMPUTED_VALUE"""),1)</f>
        <v>1</v>
      </c>
      <c r="U749" s="1" t="str">
        <f ca="1">IFERROR(__xludf.DUMMYFUNCTION("""COMPUTED_VALUE"""),"Adult male fatally shot during dispute on school playground")</f>
        <v>Adult male fatally shot during dispute on school playground</v>
      </c>
      <c r="V749" s="1" t="str">
        <f ca="1">IFERROR(__xludf.DUMMYFUNCTION("""COMPUTED_VALUE"""),"A 25-year-old man was fatally shot during a dispute with another man on the school playground. Shooter fled. The victim was transported to the hospital in a private vehicle. A 21-year-old male was arrested 2 days later and charged with murder.")</f>
        <v>A 25-year-old man was fatally shot during a dispute with another man on the school playground. Shooter fled. The victim was transported to the hospital in a private vehicle. A 21-year-old male was arrested 2 days later and charged with murder.</v>
      </c>
      <c r="W749" s="1" t="str">
        <f ca="1">IFERROR(__xludf.DUMMYFUNCTION("""COMPUTED_VALUE"""),"Escalation of Dispute")</f>
        <v>Escalation of Dispute</v>
      </c>
      <c r="X749" s="1" t="str">
        <f ca="1">IFERROR(__xludf.DUMMYFUNCTION("""COMPUTED_VALUE"""),"Victims Targeted")</f>
        <v>Victims Targeted</v>
      </c>
      <c r="Y749" s="1" t="str">
        <f ca="1">IFERROR(__xludf.DUMMYFUNCTION("""COMPUTED_VALUE"""),"No")</f>
        <v>No</v>
      </c>
      <c r="Z749" s="1"/>
      <c r="AA749" s="1" t="str">
        <f ca="1">IFERROR(__xludf.DUMMYFUNCTION("""COMPUTED_VALUE"""),"No")</f>
        <v>No</v>
      </c>
      <c r="AB749" s="1" t="str">
        <f ca="1">IFERROR(__xludf.DUMMYFUNCTION("""COMPUTED_VALUE"""),"No")</f>
        <v>No</v>
      </c>
      <c r="AC749" s="1" t="str">
        <f ca="1">IFERROR(__xludf.DUMMYFUNCTION("""COMPUTED_VALUE"""),"No")</f>
        <v>No</v>
      </c>
      <c r="AD749" s="1" t="str">
        <f ca="1">IFERROR(__xludf.DUMMYFUNCTION("""COMPUTED_VALUE"""),"No")</f>
        <v>No</v>
      </c>
      <c r="AE749" s="1" t="str">
        <f ca="1">IFERROR(__xludf.DUMMYFUNCTION("""COMPUTED_VALUE"""),"No")</f>
        <v>No</v>
      </c>
      <c r="AF749" s="1" t="str">
        <f ca="1">IFERROR(__xludf.DUMMYFUNCTION("""COMPUTED_VALUE"""),"No")</f>
        <v>No</v>
      </c>
      <c r="AG749" s="1" t="str">
        <f ca="1">IFERROR(__xludf.DUMMYFUNCTION("""COMPUTED_VALUE"""),"No")</f>
        <v>No</v>
      </c>
      <c r="AH749" s="1"/>
    </row>
    <row r="750" spans="1:34" ht="12.5">
      <c r="A750" s="1" t="str">
        <f ca="1">IFERROR(__xludf.DUMMYFUNCTION("""COMPUTED_VALUE"""),"20211211GAJOG")</f>
        <v>20211211GAJOG</v>
      </c>
      <c r="B750" s="1">
        <f ca="1">IFERROR(__xludf.DUMMYFUNCTION("""COMPUTED_VALUE"""),12)</f>
        <v>12</v>
      </c>
      <c r="C750" s="1">
        <f ca="1">IFERROR(__xludf.DUMMYFUNCTION("""COMPUTED_VALUE"""),11)</f>
        <v>11</v>
      </c>
      <c r="D750" s="1">
        <f ca="1">IFERROR(__xludf.DUMMYFUNCTION("""COMPUTED_VALUE"""),2021)</f>
        <v>2021</v>
      </c>
      <c r="E750" s="4">
        <f ca="1">IFERROR(__xludf.DUMMYFUNCTION("""COMPUTED_VALUE"""),44541)</f>
        <v>44541</v>
      </c>
      <c r="F750" s="1" t="str">
        <f ca="1">IFERROR(__xludf.DUMMYFUNCTION("""COMPUTED_VALUE"""),"Jones County High School")</f>
        <v>Jones County High School</v>
      </c>
      <c r="G750" s="1">
        <f ca="1">IFERROR(__xludf.DUMMYFUNCTION("""COMPUTED_VALUE"""),0)</f>
        <v>0</v>
      </c>
      <c r="H750" s="1">
        <f ca="1">IFERROR(__xludf.DUMMYFUNCTION("""COMPUTED_VALUE"""),0)</f>
        <v>0</v>
      </c>
      <c r="I750" s="1">
        <f ca="1">IFERROR(__xludf.DUMMYFUNCTION("""COMPUTED_VALUE"""),0)</f>
        <v>0</v>
      </c>
      <c r="J750" s="1">
        <f ca="1">IFERROR(__xludf.DUMMYFUNCTION("""COMPUTED_VALUE"""),0)</f>
        <v>0</v>
      </c>
      <c r="K750" s="1" t="str">
        <f ca="1">IFERROR(__xludf.DUMMYFUNCTION("""COMPUTED_VALUE"""),"Winter")</f>
        <v>Winter</v>
      </c>
      <c r="L750" s="1" t="str">
        <f ca="1">IFERROR(__xludf.DUMMYFUNCTION("""COMPUTED_VALUE"""),"Gray")</f>
        <v>Gray</v>
      </c>
      <c r="M750" s="1" t="str">
        <f ca="1">IFERROR(__xludf.DUMMYFUNCTION("""COMPUTED_VALUE"""),"GA")</f>
        <v>GA</v>
      </c>
      <c r="N750" s="1" t="str">
        <f ca="1">IFERROR(__xludf.DUMMYFUNCTION("""COMPUTED_VALUE"""),"High")</f>
        <v>High</v>
      </c>
      <c r="O750" s="1" t="str">
        <f ca="1">IFERROR(__xludf.DUMMYFUNCTION("""COMPUTED_VALUE"""),"Gym")</f>
        <v>Gym</v>
      </c>
      <c r="P750" s="1" t="str">
        <f ca="1">IFERROR(__xludf.DUMMYFUNCTION("""COMPUTED_VALUE"""),"Inside School Building")</f>
        <v>Inside School Building</v>
      </c>
      <c r="Q750" s="1" t="str">
        <f ca="1">IFERROR(__xludf.DUMMYFUNCTION("""COMPUTED_VALUE"""),"No")</f>
        <v>No</v>
      </c>
      <c r="R750" s="1" t="str">
        <f ca="1">IFERROR(__xludf.DUMMYFUNCTION("""COMPUTED_VALUE"""),"Sport Event")</f>
        <v>Sport Event</v>
      </c>
      <c r="S750" s="5">
        <f ca="1">IFERROR(__xludf.DUMMYFUNCTION("""COMPUTED_VALUE"""),0.84375)</f>
        <v>0.84375</v>
      </c>
      <c r="T750" s="1">
        <f ca="1">IFERROR(__xludf.DUMMYFUNCTION("""COMPUTED_VALUE"""),1)</f>
        <v>1</v>
      </c>
      <c r="U750" s="1" t="str">
        <f ca="1">IFERROR(__xludf.DUMMYFUNCTION("""COMPUTED_VALUE"""),"Shot fired in the gym during high school basketball game")</f>
        <v>Shot fired in the gym during high school basketball game</v>
      </c>
      <c r="V750" s="1" t="str">
        <f ca="1">IFERROR(__xludf.DUMMYFUNCTION("""COMPUTED_VALUE"""),"A shot was fired in the gym during fight between teens at a high school basketball game. Gym was evacuated. No injuries. 4 teens were arrested in a vehicle in possession of a handgun and marijuana.")</f>
        <v>A shot was fired in the gym during fight between teens at a high school basketball game. Gym was evacuated. No injuries. 4 teens were arrested in a vehicle in possession of a handgun and marijuana.</v>
      </c>
      <c r="W750" s="1" t="str">
        <f ca="1">IFERROR(__xludf.DUMMYFUNCTION("""COMPUTED_VALUE"""),"Escalation of Dispute")</f>
        <v>Escalation of Dispute</v>
      </c>
      <c r="X750" s="1" t="str">
        <f ca="1">IFERROR(__xludf.DUMMYFUNCTION("""COMPUTED_VALUE"""),"Victims Targeted")</f>
        <v>Victims Targeted</v>
      </c>
      <c r="Y750" s="1" t="str">
        <f ca="1">IFERROR(__xludf.DUMMYFUNCTION("""COMPUTED_VALUE"""),"Yes")</f>
        <v>Yes</v>
      </c>
      <c r="Z750" s="1" t="str">
        <f ca="1">IFERROR(__xludf.DUMMYFUNCTION("""COMPUTED_VALUE"""),"4 teens arrested")</f>
        <v>4 teens arrested</v>
      </c>
      <c r="AA750" s="1" t="str">
        <f ca="1">IFERROR(__xludf.DUMMYFUNCTION("""COMPUTED_VALUE"""),"No")</f>
        <v>No</v>
      </c>
      <c r="AB750" s="1" t="str">
        <f ca="1">IFERROR(__xludf.DUMMYFUNCTION("""COMPUTED_VALUE"""),"No")</f>
        <v>No</v>
      </c>
      <c r="AC750" s="1" t="str">
        <f ca="1">IFERROR(__xludf.DUMMYFUNCTION("""COMPUTED_VALUE"""),"No")</f>
        <v>No</v>
      </c>
      <c r="AD750" s="1" t="str">
        <f ca="1">IFERROR(__xludf.DUMMYFUNCTION("""COMPUTED_VALUE"""),"No")</f>
        <v>No</v>
      </c>
      <c r="AE750" s="1" t="str">
        <f ca="1">IFERROR(__xludf.DUMMYFUNCTION("""COMPUTED_VALUE"""),"No")</f>
        <v>No</v>
      </c>
      <c r="AF750" s="1" t="str">
        <f ca="1">IFERROR(__xludf.DUMMYFUNCTION("""COMPUTED_VALUE"""),"No")</f>
        <v>No</v>
      </c>
      <c r="AG750" s="1" t="str">
        <f ca="1">IFERROR(__xludf.DUMMYFUNCTION("""COMPUTED_VALUE"""),"No")</f>
        <v>No</v>
      </c>
      <c r="AH750" s="1">
        <f ca="1">IFERROR(__xludf.DUMMYFUNCTION("""COMPUTED_VALUE"""),1)</f>
        <v>1</v>
      </c>
    </row>
    <row r="751" spans="1:34" ht="12.5">
      <c r="A751" s="1" t="str">
        <f ca="1">IFERROR(__xludf.DUMMYFUNCTION("""COMPUTED_VALUE"""),"20211211FLEDL")</f>
        <v>20211211FLEDL</v>
      </c>
      <c r="B751" s="1">
        <f ca="1">IFERROR(__xludf.DUMMYFUNCTION("""COMPUTED_VALUE"""),12)</f>
        <v>12</v>
      </c>
      <c r="C751" s="1">
        <f ca="1">IFERROR(__xludf.DUMMYFUNCTION("""COMPUTED_VALUE"""),11)</f>
        <v>11</v>
      </c>
      <c r="D751" s="1">
        <f ca="1">IFERROR(__xludf.DUMMYFUNCTION("""COMPUTED_VALUE"""),2021)</f>
        <v>2021</v>
      </c>
      <c r="E751" s="4">
        <f ca="1">IFERROR(__xludf.DUMMYFUNCTION("""COMPUTED_VALUE"""),44541)</f>
        <v>44541</v>
      </c>
      <c r="F751" s="1" t="str">
        <f ca="1">IFERROR(__xludf.DUMMYFUNCTION("""COMPUTED_VALUE"""),"Edward A. Upthegrove Elementary School")</f>
        <v>Edward A. Upthegrove Elementary School</v>
      </c>
      <c r="G751" s="1">
        <f ca="1">IFERROR(__xludf.DUMMYFUNCTION("""COMPUTED_VALUE"""),0)</f>
        <v>0</v>
      </c>
      <c r="H751" s="1">
        <f ca="1">IFERROR(__xludf.DUMMYFUNCTION("""COMPUTED_VALUE"""),1)</f>
        <v>1</v>
      </c>
      <c r="I751" s="1">
        <f ca="1">IFERROR(__xludf.DUMMYFUNCTION("""COMPUTED_VALUE"""),1)</f>
        <v>1</v>
      </c>
      <c r="J751" s="1">
        <f ca="1">IFERROR(__xludf.DUMMYFUNCTION("""COMPUTED_VALUE"""),0)</f>
        <v>0</v>
      </c>
      <c r="K751" s="1" t="str">
        <f ca="1">IFERROR(__xludf.DUMMYFUNCTION("""COMPUTED_VALUE"""),"Winter")</f>
        <v>Winter</v>
      </c>
      <c r="L751" s="1" t="str">
        <f ca="1">IFERROR(__xludf.DUMMYFUNCTION("""COMPUTED_VALUE"""),"LaBelle")</f>
        <v>LaBelle</v>
      </c>
      <c r="M751" s="1" t="str">
        <f ca="1">IFERROR(__xludf.DUMMYFUNCTION("""COMPUTED_VALUE"""),"FL")</f>
        <v>FL</v>
      </c>
      <c r="N751" s="1" t="str">
        <f ca="1">IFERROR(__xludf.DUMMYFUNCTION("""COMPUTED_VALUE"""),"Elementary")</f>
        <v>Elementary</v>
      </c>
      <c r="O751" s="1" t="str">
        <f ca="1">IFERROR(__xludf.DUMMYFUNCTION("""COMPUTED_VALUE"""),"Gym")</f>
        <v>Gym</v>
      </c>
      <c r="P751" s="1" t="str">
        <f ca="1">IFERROR(__xludf.DUMMYFUNCTION("""COMPUTED_VALUE"""),"Inside School Building")</f>
        <v>Inside School Building</v>
      </c>
      <c r="Q751" s="1" t="str">
        <f ca="1">IFERROR(__xludf.DUMMYFUNCTION("""COMPUTED_VALUE"""),"No")</f>
        <v>No</v>
      </c>
      <c r="R751" s="1" t="str">
        <f ca="1">IFERROR(__xludf.DUMMYFUNCTION("""COMPUTED_VALUE"""),"Sport Event")</f>
        <v>Sport Event</v>
      </c>
      <c r="S751" s="5">
        <f ca="1">IFERROR(__xludf.DUMMYFUNCTION("""COMPUTED_VALUE"""),0.583333333333333)</f>
        <v>0.58333333333333304</v>
      </c>
      <c r="T751" s="1">
        <f ca="1">IFERROR(__xludf.DUMMYFUNCTION("""COMPUTED_VALUE"""),1)</f>
        <v>1</v>
      </c>
      <c r="U751" s="1" t="str">
        <f ca="1">IFERROR(__xludf.DUMMYFUNCTION("""COMPUTED_VALUE"""),"Shots fired in the school gym during youth basketball game")</f>
        <v>Shots fired in the school gym during youth basketball game</v>
      </c>
      <c r="V751" s="1" t="str">
        <f ca="1">IFERROR(__xludf.DUMMYFUNCTION("""COMPUTED_VALUE"""),"A shots were fired in the gym during a youth basketball game. Shooter fled the area. An adult was injured and refused to cooperate with police. Motive unknown.")</f>
        <v>A shots were fired in the gym during a youth basketball game. Shooter fled the area. An adult was injured and refused to cooperate with police. Motive unknown.</v>
      </c>
      <c r="W751" s="1"/>
      <c r="X751" s="1" t="str">
        <f ca="1">IFERROR(__xludf.DUMMYFUNCTION("""COMPUTED_VALUE"""),"Victims Targeted")</f>
        <v>Victims Targeted</v>
      </c>
      <c r="Y751" s="1" t="str">
        <f ca="1">IFERROR(__xludf.DUMMYFUNCTION("""COMPUTED_VALUE"""),"No")</f>
        <v>No</v>
      </c>
      <c r="Z751" s="1"/>
      <c r="AA751" s="1" t="str">
        <f ca="1">IFERROR(__xludf.DUMMYFUNCTION("""COMPUTED_VALUE"""),"No")</f>
        <v>No</v>
      </c>
      <c r="AB751" s="1" t="str">
        <f ca="1">IFERROR(__xludf.DUMMYFUNCTION("""COMPUTED_VALUE"""),"No")</f>
        <v>No</v>
      </c>
      <c r="AC751" s="1" t="str">
        <f ca="1">IFERROR(__xludf.DUMMYFUNCTION("""COMPUTED_VALUE"""),"No")</f>
        <v>No</v>
      </c>
      <c r="AD751" s="1" t="str">
        <f ca="1">IFERROR(__xludf.DUMMYFUNCTION("""COMPUTED_VALUE"""),"No")</f>
        <v>No</v>
      </c>
      <c r="AE751" s="1"/>
      <c r="AF751" s="1"/>
      <c r="AG751" s="1" t="str">
        <f ca="1">IFERROR(__xludf.DUMMYFUNCTION("""COMPUTED_VALUE"""),"No")</f>
        <v>No</v>
      </c>
      <c r="AH751" s="1"/>
    </row>
    <row r="752" spans="1:34" ht="12.5">
      <c r="A752" s="1" t="str">
        <f ca="1">IFERROR(__xludf.DUMMYFUNCTION("""COMPUTED_VALUE"""),"20211210OHCAC")</f>
        <v>20211210OHCAC</v>
      </c>
      <c r="B752" s="1">
        <f ca="1">IFERROR(__xludf.DUMMYFUNCTION("""COMPUTED_VALUE"""),12)</f>
        <v>12</v>
      </c>
      <c r="C752" s="1">
        <f ca="1">IFERROR(__xludf.DUMMYFUNCTION("""COMPUTED_VALUE"""),10)</f>
        <v>10</v>
      </c>
      <c r="D752" s="1">
        <f ca="1">IFERROR(__xludf.DUMMYFUNCTION("""COMPUTED_VALUE"""),2021)</f>
        <v>2021</v>
      </c>
      <c r="E752" s="4">
        <f ca="1">IFERROR(__xludf.DUMMYFUNCTION("""COMPUTED_VALUE"""),44540)</f>
        <v>44540</v>
      </c>
      <c r="F752" s="1" t="str">
        <f ca="1">IFERROR(__xludf.DUMMYFUNCTION("""COMPUTED_VALUE"""),"Canal Winchester High School")</f>
        <v>Canal Winchester High School</v>
      </c>
      <c r="G752" s="1">
        <f ca="1">IFERROR(__xludf.DUMMYFUNCTION("""COMPUTED_VALUE"""),0)</f>
        <v>0</v>
      </c>
      <c r="H752" s="1">
        <f ca="1">IFERROR(__xludf.DUMMYFUNCTION("""COMPUTED_VALUE"""),0)</f>
        <v>0</v>
      </c>
      <c r="I752" s="1">
        <f ca="1">IFERROR(__xludf.DUMMYFUNCTION("""COMPUTED_VALUE"""),0)</f>
        <v>0</v>
      </c>
      <c r="J752" s="1">
        <f ca="1">IFERROR(__xludf.DUMMYFUNCTION("""COMPUTED_VALUE"""),0)</f>
        <v>0</v>
      </c>
      <c r="K752" s="1" t="str">
        <f ca="1">IFERROR(__xludf.DUMMYFUNCTION("""COMPUTED_VALUE"""),"Winter")</f>
        <v>Winter</v>
      </c>
      <c r="L752" s="1" t="str">
        <f ca="1">IFERROR(__xludf.DUMMYFUNCTION("""COMPUTED_VALUE"""),"Canal Winchester")</f>
        <v>Canal Winchester</v>
      </c>
      <c r="M752" s="1" t="str">
        <f ca="1">IFERROR(__xludf.DUMMYFUNCTION("""COMPUTED_VALUE"""),"OH")</f>
        <v>OH</v>
      </c>
      <c r="N752" s="1" t="str">
        <f ca="1">IFERROR(__xludf.DUMMYFUNCTION("""COMPUTED_VALUE"""),"High")</f>
        <v>High</v>
      </c>
      <c r="O752" s="1" t="str">
        <f ca="1">IFERROR(__xludf.DUMMYFUNCTION("""COMPUTED_VALUE"""),"Field (General)")</f>
        <v>Field (General)</v>
      </c>
      <c r="P752" s="1" t="str">
        <f ca="1">IFERROR(__xludf.DUMMYFUNCTION("""COMPUTED_VALUE"""),"Outside on School Property")</f>
        <v>Outside on School Property</v>
      </c>
      <c r="Q752" s="1" t="str">
        <f ca="1">IFERROR(__xludf.DUMMYFUNCTION("""COMPUTED_VALUE"""),"No")</f>
        <v>No</v>
      </c>
      <c r="R752" s="1" t="str">
        <f ca="1">IFERROR(__xludf.DUMMYFUNCTION("""COMPUTED_VALUE"""),"Before School")</f>
        <v>Before School</v>
      </c>
      <c r="S752" s="5">
        <f ca="1">IFERROR(__xludf.DUMMYFUNCTION("""COMPUTED_VALUE"""),0.243055555555555)</f>
        <v>0.243055555555555</v>
      </c>
      <c r="T752" s="1">
        <f ca="1">IFERROR(__xludf.DUMMYFUNCTION("""COMPUTED_VALUE"""),1)</f>
        <v>1</v>
      </c>
      <c r="U752" s="1" t="str">
        <f ca="1">IFERROR(__xludf.DUMMYFUNCTION("""COMPUTED_VALUE"""),"Man fired shots at officers and fled across campus")</f>
        <v>Man fired shots at officers and fled across campus</v>
      </c>
      <c r="V752" s="1" t="str">
        <f ca="1">IFERROR(__xludf.DUMMYFUNCTION("""COMPUTED_VALUE"""),"Officers responded to the school for a vehicle doing donuts on the athletic field. When officers approached, the adult male driver fired shot at them and then ran across the campus. Students had not arrived yet and school was cancelled. 3 hours later at 9"&amp;":30am, police located the man hiding nearby and arrested him. Police reported the truck was stolen.")</f>
        <v>Officers responded to the school for a vehicle doing donuts on the athletic field. When officers approached, the adult male driver fired shot at them and then ran across the campus. Students had not arrived yet and school was cancelled. 3 hours later at 9:30am, police located the man hiding nearby and arrested him. Police reported the truck was stolen.</v>
      </c>
      <c r="W752" s="1" t="str">
        <f ca="1">IFERROR(__xludf.DUMMYFUNCTION("""COMPUTED_VALUE"""),"Illegal Activity")</f>
        <v>Illegal Activity</v>
      </c>
      <c r="X752" s="1" t="str">
        <f ca="1">IFERROR(__xludf.DUMMYFUNCTION("""COMPUTED_VALUE"""),"Random Shooting")</f>
        <v>Random Shooting</v>
      </c>
      <c r="Y752" s="1" t="str">
        <f ca="1">IFERROR(__xludf.DUMMYFUNCTION("""COMPUTED_VALUE"""),"No")</f>
        <v>No</v>
      </c>
      <c r="Z752" s="1"/>
      <c r="AA752" s="1" t="str">
        <f ca="1">IFERROR(__xludf.DUMMYFUNCTION("""COMPUTED_VALUE"""),"No")</f>
        <v>No</v>
      </c>
      <c r="AB752" s="1" t="str">
        <f ca="1">IFERROR(__xludf.DUMMYFUNCTION("""COMPUTED_VALUE"""),"No")</f>
        <v>No</v>
      </c>
      <c r="AC752" s="1" t="str">
        <f ca="1">IFERROR(__xludf.DUMMYFUNCTION("""COMPUTED_VALUE"""),"No")</f>
        <v>No</v>
      </c>
      <c r="AD752" s="1" t="str">
        <f ca="1">IFERROR(__xludf.DUMMYFUNCTION("""COMPUTED_VALUE"""),"No")</f>
        <v>No</v>
      </c>
      <c r="AE752" s="1" t="str">
        <f ca="1">IFERROR(__xludf.DUMMYFUNCTION("""COMPUTED_VALUE"""),"No")</f>
        <v>No</v>
      </c>
      <c r="AF752" s="1" t="str">
        <f ca="1">IFERROR(__xludf.DUMMYFUNCTION("""COMPUTED_VALUE"""),"No")</f>
        <v>No</v>
      </c>
      <c r="AG752" s="1" t="str">
        <f ca="1">IFERROR(__xludf.DUMMYFUNCTION("""COMPUTED_VALUE"""),"No")</f>
        <v>No</v>
      </c>
      <c r="AH752" s="1"/>
    </row>
    <row r="753" spans="1:34" ht="12.5">
      <c r="A753" s="1" t="str">
        <f ca="1">IFERROR(__xludf.DUMMYFUNCTION("""COMPUTED_VALUE"""),"20211210NCJEC")</f>
        <v>20211210NCJEC</v>
      </c>
      <c r="B753" s="1">
        <f ca="1">IFERROR(__xludf.DUMMYFUNCTION("""COMPUTED_VALUE"""),12)</f>
        <v>12</v>
      </c>
      <c r="C753" s="1">
        <f ca="1">IFERROR(__xludf.DUMMYFUNCTION("""COMPUTED_VALUE"""),9)</f>
        <v>9</v>
      </c>
      <c r="D753" s="1">
        <f ca="1">IFERROR(__xludf.DUMMYFUNCTION("""COMPUTED_VALUE"""),2021)</f>
        <v>2021</v>
      </c>
      <c r="E753" s="4">
        <f ca="1">IFERROR(__xludf.DUMMYFUNCTION("""COMPUTED_VALUE"""),44539)</f>
        <v>44539</v>
      </c>
      <c r="F753" s="1" t="str">
        <f ca="1">IFERROR(__xludf.DUMMYFUNCTION("""COMPUTED_VALUE"""),"Jesse C. Carson High")</f>
        <v>Jesse C. Carson High</v>
      </c>
      <c r="G753" s="1">
        <f ca="1">IFERROR(__xludf.DUMMYFUNCTION("""COMPUTED_VALUE"""),0)</f>
        <v>0</v>
      </c>
      <c r="H753" s="1">
        <f ca="1">IFERROR(__xludf.DUMMYFUNCTION("""COMPUTED_VALUE"""),0)</f>
        <v>0</v>
      </c>
      <c r="I753" s="1">
        <f ca="1">IFERROR(__xludf.DUMMYFUNCTION("""COMPUTED_VALUE"""),0)</f>
        <v>0</v>
      </c>
      <c r="J753" s="1">
        <f ca="1">IFERROR(__xludf.DUMMYFUNCTION("""COMPUTED_VALUE"""),0)</f>
        <v>0</v>
      </c>
      <c r="K753" s="1" t="str">
        <f ca="1">IFERROR(__xludf.DUMMYFUNCTION("""COMPUTED_VALUE"""),"Winter")</f>
        <v>Winter</v>
      </c>
      <c r="L753" s="1" t="str">
        <f ca="1">IFERROR(__xludf.DUMMYFUNCTION("""COMPUTED_VALUE"""),"China Grove")</f>
        <v>China Grove</v>
      </c>
      <c r="M753" s="1" t="str">
        <f ca="1">IFERROR(__xludf.DUMMYFUNCTION("""COMPUTED_VALUE"""),"NC")</f>
        <v>NC</v>
      </c>
      <c r="N753" s="1" t="str">
        <f ca="1">IFERROR(__xludf.DUMMYFUNCTION("""COMPUTED_VALUE"""),"High")</f>
        <v>High</v>
      </c>
      <c r="O753" s="1" t="str">
        <f ca="1">IFERROR(__xludf.DUMMYFUNCTION("""COMPUTED_VALUE"""),"Parking Lot")</f>
        <v>Parking Lot</v>
      </c>
      <c r="P753" s="1" t="str">
        <f ca="1">IFERROR(__xludf.DUMMYFUNCTION("""COMPUTED_VALUE"""),"Outside on School Property")</f>
        <v>Outside on School Property</v>
      </c>
      <c r="Q753" s="1" t="str">
        <f ca="1">IFERROR(__xludf.DUMMYFUNCTION("""COMPUTED_VALUE"""),"Yes")</f>
        <v>Yes</v>
      </c>
      <c r="R753" s="1" t="str">
        <f ca="1">IFERROR(__xludf.DUMMYFUNCTION("""COMPUTED_VALUE"""),"Afternoon Classes")</f>
        <v>Afternoon Classes</v>
      </c>
      <c r="S753" s="5">
        <f ca="1">IFERROR(__xludf.DUMMYFUNCTION("""COMPUTED_VALUE"""),0.583333333333333)</f>
        <v>0.58333333333333304</v>
      </c>
      <c r="T753" s="1">
        <f ca="1">IFERROR(__xludf.DUMMYFUNCTION("""COMPUTED_VALUE"""),1)</f>
        <v>1</v>
      </c>
      <c r="U753" s="1" t="str">
        <f ca="1">IFERROR(__xludf.DUMMYFUNCTION("""COMPUTED_VALUE"""),"Target shooters struck vehicles in the school parking lot")</f>
        <v>Target shooters struck vehicles in the school parking lot</v>
      </c>
      <c r="V753" s="1" t="str">
        <f ca="1">IFERROR(__xludf.DUMMYFUNCTION("""COMPUTED_VALUE"""),"Two men firing at targets behind the school struck 2 vehicles (one occupied) in the school parking lot. School went on lockdown. One shooter was arrested. No injuries.")</f>
        <v>Two men firing at targets behind the school struck 2 vehicles (one occupied) in the school parking lot. School went on lockdown. One shooter was arrested. No injuries.</v>
      </c>
      <c r="W753" s="1" t="str">
        <f ca="1">IFERROR(__xludf.DUMMYFUNCTION("""COMPUTED_VALUE"""),"Accidental")</f>
        <v>Accidental</v>
      </c>
      <c r="X753" s="1" t="str">
        <f ca="1">IFERROR(__xludf.DUMMYFUNCTION("""COMPUTED_VALUE"""),"Neither")</f>
        <v>Neither</v>
      </c>
      <c r="Y753" s="1" t="str">
        <f ca="1">IFERROR(__xludf.DUMMYFUNCTION("""COMPUTED_VALUE"""),"Yes")</f>
        <v>Yes</v>
      </c>
      <c r="Z753" s="1" t="str">
        <f ca="1">IFERROR(__xludf.DUMMYFUNCTION("""COMPUTED_VALUE"""),"Target shooters")</f>
        <v>Target shooters</v>
      </c>
      <c r="AA753" s="1" t="str">
        <f ca="1">IFERROR(__xludf.DUMMYFUNCTION("""COMPUTED_VALUE"""),"No")</f>
        <v>No</v>
      </c>
      <c r="AB753" s="1" t="str">
        <f ca="1">IFERROR(__xludf.DUMMYFUNCTION("""COMPUTED_VALUE"""),"No")</f>
        <v>No</v>
      </c>
      <c r="AC753" s="1" t="str">
        <f ca="1">IFERROR(__xludf.DUMMYFUNCTION("""COMPUTED_VALUE"""),"No")</f>
        <v>No</v>
      </c>
      <c r="AD753" s="1" t="str">
        <f ca="1">IFERROR(__xludf.DUMMYFUNCTION("""COMPUTED_VALUE"""),"No")</f>
        <v>No</v>
      </c>
      <c r="AE753" s="1" t="str">
        <f ca="1">IFERROR(__xludf.DUMMYFUNCTION("""COMPUTED_VALUE"""),"No")</f>
        <v>No</v>
      </c>
      <c r="AF753" s="1" t="str">
        <f ca="1">IFERROR(__xludf.DUMMYFUNCTION("""COMPUTED_VALUE"""),"No")</f>
        <v>No</v>
      </c>
      <c r="AG753" s="1" t="str">
        <f ca="1">IFERROR(__xludf.DUMMYFUNCTION("""COMPUTED_VALUE"""),"No")</f>
        <v>No</v>
      </c>
      <c r="AH753" s="1"/>
    </row>
    <row r="754" spans="1:34" ht="12.5">
      <c r="A754" s="1" t="str">
        <f ca="1">IFERROR(__xludf.DUMMYFUNCTION("""COMPUTED_VALUE"""),"20211209NYGRN")</f>
        <v>20211209NYGRN</v>
      </c>
      <c r="B754" s="1">
        <f ca="1">IFERROR(__xludf.DUMMYFUNCTION("""COMPUTED_VALUE"""),12)</f>
        <v>12</v>
      </c>
      <c r="C754" s="1">
        <f ca="1">IFERROR(__xludf.DUMMYFUNCTION("""COMPUTED_VALUE"""),9)</f>
        <v>9</v>
      </c>
      <c r="D754" s="1">
        <f ca="1">IFERROR(__xludf.DUMMYFUNCTION("""COMPUTED_VALUE"""),2021)</f>
        <v>2021</v>
      </c>
      <c r="E754" s="4">
        <f ca="1">IFERROR(__xludf.DUMMYFUNCTION("""COMPUTED_VALUE"""),44539)</f>
        <v>44539</v>
      </c>
      <c r="F754" s="1" t="str">
        <f ca="1">IFERROR(__xludf.DUMMYFUNCTION("""COMPUTED_VALUE"""),"Greater Oaks Charter School")</f>
        <v>Greater Oaks Charter School</v>
      </c>
      <c r="G754" s="1">
        <f ca="1">IFERROR(__xludf.DUMMYFUNCTION("""COMPUTED_VALUE"""),0)</f>
        <v>0</v>
      </c>
      <c r="H754" s="1">
        <f ca="1">IFERROR(__xludf.DUMMYFUNCTION("""COMPUTED_VALUE"""),0)</f>
        <v>0</v>
      </c>
      <c r="I754" s="1">
        <f ca="1">IFERROR(__xludf.DUMMYFUNCTION("""COMPUTED_VALUE"""),0)</f>
        <v>0</v>
      </c>
      <c r="J754" s="1">
        <f ca="1">IFERROR(__xludf.DUMMYFUNCTION("""COMPUTED_VALUE"""),0)</f>
        <v>0</v>
      </c>
      <c r="K754" s="1" t="str">
        <f ca="1">IFERROR(__xludf.DUMMYFUNCTION("""COMPUTED_VALUE"""),"Winter")</f>
        <v>Winter</v>
      </c>
      <c r="L754" s="1" t="str">
        <f ca="1">IFERROR(__xludf.DUMMYFUNCTION("""COMPUTED_VALUE"""),"New York")</f>
        <v>New York</v>
      </c>
      <c r="M754" s="1" t="str">
        <f ca="1">IFERROR(__xludf.DUMMYFUNCTION("""COMPUTED_VALUE"""),"NY")</f>
        <v>NY</v>
      </c>
      <c r="N754" s="1" t="str">
        <f ca="1">IFERROR(__xludf.DUMMYFUNCTION("""COMPUTED_VALUE"""),"Elementary")</f>
        <v>Elementary</v>
      </c>
      <c r="O754" s="1" t="str">
        <f ca="1">IFERROR(__xludf.DUMMYFUNCTION("""COMPUTED_VALUE"""),"Front of School")</f>
        <v>Front of School</v>
      </c>
      <c r="P754" s="1" t="str">
        <f ca="1">IFERROR(__xludf.DUMMYFUNCTION("""COMPUTED_VALUE"""),"Outside on School Property")</f>
        <v>Outside on School Property</v>
      </c>
      <c r="Q754" s="1" t="str">
        <f ca="1">IFERROR(__xludf.DUMMYFUNCTION("""COMPUTED_VALUE"""),"Yes")</f>
        <v>Yes</v>
      </c>
      <c r="R754" s="1" t="str">
        <f ca="1">IFERROR(__xludf.DUMMYFUNCTION("""COMPUTED_VALUE"""),"Morning Classes")</f>
        <v>Morning Classes</v>
      </c>
      <c r="S754" s="5">
        <f ca="1">IFERROR(__xludf.DUMMYFUNCTION("""COMPUTED_VALUE"""),0.395833333333333)</f>
        <v>0.39583333333333298</v>
      </c>
      <c r="T754" s="1">
        <f ca="1">IFERROR(__xludf.DUMMYFUNCTION("""COMPUTED_VALUE"""),1)</f>
        <v>1</v>
      </c>
      <c r="U754" s="1" t="str">
        <f ca="1">IFERROR(__xludf.DUMMYFUNCTION("""COMPUTED_VALUE"""),"Bullet broke classroom window")</f>
        <v>Bullet broke classroom window</v>
      </c>
      <c r="V754" s="1" t="str">
        <f ca="1">IFERROR(__xludf.DUMMYFUNCTION("""COMPUTED_VALUE"""),"Multiple shots were fired outside the school during dispute between 2 men. One bullet shattered a classroom window. School was open but students were not inside the classroom. No injuries.")</f>
        <v>Multiple shots were fired outside the school during dispute between 2 men. One bullet shattered a classroom window. School was open but students were not inside the classroom. No injuries.</v>
      </c>
      <c r="W754" s="1" t="str">
        <f ca="1">IFERROR(__xludf.DUMMYFUNCTION("""COMPUTED_VALUE"""),"Escalation of Dispute")</f>
        <v>Escalation of Dispute</v>
      </c>
      <c r="X754" s="1" t="str">
        <f ca="1">IFERROR(__xludf.DUMMYFUNCTION("""COMPUTED_VALUE"""),"Victims Targeted")</f>
        <v>Victims Targeted</v>
      </c>
      <c r="Y754" s="1" t="str">
        <f ca="1">IFERROR(__xludf.DUMMYFUNCTION("""COMPUTED_VALUE"""),"No")</f>
        <v>No</v>
      </c>
      <c r="Z754" s="1"/>
      <c r="AA754" s="1" t="str">
        <f ca="1">IFERROR(__xludf.DUMMYFUNCTION("""COMPUTED_VALUE"""),"No")</f>
        <v>No</v>
      </c>
      <c r="AB754" s="1" t="str">
        <f ca="1">IFERROR(__xludf.DUMMYFUNCTION("""COMPUTED_VALUE"""),"No")</f>
        <v>No</v>
      </c>
      <c r="AC754" s="1" t="str">
        <f ca="1">IFERROR(__xludf.DUMMYFUNCTION("""COMPUTED_VALUE"""),"No")</f>
        <v>No</v>
      </c>
      <c r="AD754" s="1" t="str">
        <f ca="1">IFERROR(__xludf.DUMMYFUNCTION("""COMPUTED_VALUE"""),"No")</f>
        <v>No</v>
      </c>
      <c r="AE754" s="1" t="str">
        <f ca="1">IFERROR(__xludf.DUMMYFUNCTION("""COMPUTED_VALUE"""),"No")</f>
        <v>No</v>
      </c>
      <c r="AF754" s="1" t="str">
        <f ca="1">IFERROR(__xludf.DUMMYFUNCTION("""COMPUTED_VALUE"""),"No")</f>
        <v>No</v>
      </c>
      <c r="AG754" s="1" t="str">
        <f ca="1">IFERROR(__xludf.DUMMYFUNCTION("""COMPUTED_VALUE"""),"No")</f>
        <v>No</v>
      </c>
      <c r="AH754" s="1"/>
    </row>
    <row r="755" spans="1:34" ht="12.5">
      <c r="A755" s="1" t="str">
        <f ca="1">IFERROR(__xludf.DUMMYFUNCTION("""COMPUTED_VALUE"""),"20211208MOEWK")</f>
        <v>20211208MOEWK</v>
      </c>
      <c r="B755" s="1">
        <f ca="1">IFERROR(__xludf.DUMMYFUNCTION("""COMPUTED_VALUE"""),12)</f>
        <v>12</v>
      </c>
      <c r="C755" s="1">
        <f ca="1">IFERROR(__xludf.DUMMYFUNCTION("""COMPUTED_VALUE"""),8)</f>
        <v>8</v>
      </c>
      <c r="D755" s="1">
        <f ca="1">IFERROR(__xludf.DUMMYFUNCTION("""COMPUTED_VALUE"""),2021)</f>
        <v>2021</v>
      </c>
      <c r="E755" s="4">
        <f ca="1">IFERROR(__xludf.DUMMYFUNCTION("""COMPUTED_VALUE"""),44538)</f>
        <v>44538</v>
      </c>
      <c r="F755" s="1" t="str">
        <f ca="1">IFERROR(__xludf.DUMMYFUNCTION("""COMPUTED_VALUE"""),"Ewing Marion Kauffman School")</f>
        <v>Ewing Marion Kauffman School</v>
      </c>
      <c r="G755" s="1">
        <f ca="1">IFERROR(__xludf.DUMMYFUNCTION("""COMPUTED_VALUE"""),0)</f>
        <v>0</v>
      </c>
      <c r="H755" s="1">
        <f ca="1">IFERROR(__xludf.DUMMYFUNCTION("""COMPUTED_VALUE"""),2)</f>
        <v>2</v>
      </c>
      <c r="I755" s="1">
        <f ca="1">IFERROR(__xludf.DUMMYFUNCTION("""COMPUTED_VALUE"""),2)</f>
        <v>2</v>
      </c>
      <c r="J755" s="1">
        <f ca="1">IFERROR(__xludf.DUMMYFUNCTION("""COMPUTED_VALUE"""),0)</f>
        <v>0</v>
      </c>
      <c r="K755" s="1" t="str">
        <f ca="1">IFERROR(__xludf.DUMMYFUNCTION("""COMPUTED_VALUE"""),"Winter")</f>
        <v>Winter</v>
      </c>
      <c r="L755" s="1" t="str">
        <f ca="1">IFERROR(__xludf.DUMMYFUNCTION("""COMPUTED_VALUE"""),"Kansas City")</f>
        <v>Kansas City</v>
      </c>
      <c r="M755" s="1" t="str">
        <f ca="1">IFERROR(__xludf.DUMMYFUNCTION("""COMPUTED_VALUE"""),"MO")</f>
        <v>MO</v>
      </c>
      <c r="N755" s="1" t="str">
        <f ca="1">IFERROR(__xludf.DUMMYFUNCTION("""COMPUTED_VALUE"""),"High")</f>
        <v>High</v>
      </c>
      <c r="O755" s="1" t="str">
        <f ca="1">IFERROR(__xludf.DUMMYFUNCTION("""COMPUTED_VALUE"""),"Parking Lot")</f>
        <v>Parking Lot</v>
      </c>
      <c r="P755" s="1" t="str">
        <f ca="1">IFERROR(__xludf.DUMMYFUNCTION("""COMPUTED_VALUE"""),"Outside on School Property")</f>
        <v>Outside on School Property</v>
      </c>
      <c r="Q755" s="1" t="str">
        <f ca="1">IFERROR(__xludf.DUMMYFUNCTION("""COMPUTED_VALUE"""),"No")</f>
        <v>No</v>
      </c>
      <c r="R755" s="1" t="str">
        <f ca="1">IFERROR(__xludf.DUMMYFUNCTION("""COMPUTED_VALUE"""),"Sport Event")</f>
        <v>Sport Event</v>
      </c>
      <c r="S755" s="5">
        <f ca="1">IFERROR(__xludf.DUMMYFUNCTION("""COMPUTED_VALUE"""),0.854166666666666)</f>
        <v>0.85416666666666596</v>
      </c>
      <c r="T755" s="1">
        <f ca="1">IFERROR(__xludf.DUMMYFUNCTION("""COMPUTED_VALUE"""),1)</f>
        <v>1</v>
      </c>
      <c r="U755" s="1" t="str">
        <f ca="1">IFERROR(__xludf.DUMMYFUNCTION("""COMPUTED_VALUE"""),"Two teens shot in school parking lot during basketball game")</f>
        <v>Two teens shot in school parking lot during basketball game</v>
      </c>
      <c r="V755" s="1" t="str">
        <f ca="1">IFERROR(__xludf.DUMMYFUNCTION("""COMPUTED_VALUE"""),"Two teen were shot in the parking lot of the school while a high school basketball game was taking place inside. The victims were not students at the school. Shooter fled. An off-duty officer attending the game secured the scene.")</f>
        <v>Two teen were shot in the parking lot of the school while a high school basketball game was taking place inside. The victims were not students at the school. Shooter fled. An off-duty officer attending the game secured the scene.</v>
      </c>
      <c r="W755" s="1"/>
      <c r="X755" s="1"/>
      <c r="Y755" s="1"/>
      <c r="Z755" s="1"/>
      <c r="AA755" s="1" t="str">
        <f ca="1">IFERROR(__xludf.DUMMYFUNCTION("""COMPUTED_VALUE"""),"No")</f>
        <v>No</v>
      </c>
      <c r="AB755" s="1" t="str">
        <f ca="1">IFERROR(__xludf.DUMMYFUNCTION("""COMPUTED_VALUE"""),"No")</f>
        <v>No</v>
      </c>
      <c r="AC755" s="1" t="str">
        <f ca="1">IFERROR(__xludf.DUMMYFUNCTION("""COMPUTED_VALUE"""),"No")</f>
        <v>No</v>
      </c>
      <c r="AD755" s="1" t="str">
        <f ca="1">IFERROR(__xludf.DUMMYFUNCTION("""COMPUTED_VALUE"""),"No")</f>
        <v>No</v>
      </c>
      <c r="AE755" s="1" t="str">
        <f ca="1">IFERROR(__xludf.DUMMYFUNCTION("""COMPUTED_VALUE"""),"No")</f>
        <v>No</v>
      </c>
      <c r="AF755" s="1"/>
      <c r="AG755" s="1" t="str">
        <f ca="1">IFERROR(__xludf.DUMMYFUNCTION("""COMPUTED_VALUE"""),"No")</f>
        <v>No</v>
      </c>
      <c r="AH755" s="1"/>
    </row>
    <row r="756" spans="1:34" ht="12.5">
      <c r="A756" s="1" t="str">
        <f ca="1">IFERROR(__xludf.DUMMYFUNCTION("""COMPUTED_VALUE"""),"20211208KYSTL")</f>
        <v>20211208KYSTL</v>
      </c>
      <c r="B756" s="1">
        <f ca="1">IFERROR(__xludf.DUMMYFUNCTION("""COMPUTED_VALUE"""),12)</f>
        <v>12</v>
      </c>
      <c r="C756" s="1">
        <f ca="1">IFERROR(__xludf.DUMMYFUNCTION("""COMPUTED_VALUE"""),8)</f>
        <v>8</v>
      </c>
      <c r="D756" s="1">
        <f ca="1">IFERROR(__xludf.DUMMYFUNCTION("""COMPUTED_VALUE"""),2021)</f>
        <v>2021</v>
      </c>
      <c r="E756" s="4">
        <f ca="1">IFERROR(__xludf.DUMMYFUNCTION("""COMPUTED_VALUE"""),44538)</f>
        <v>44538</v>
      </c>
      <c r="F756" s="1" t="str">
        <f ca="1">IFERROR(__xludf.DUMMYFUNCTION("""COMPUTED_VALUE"""),"St. Matthews Elementary School")</f>
        <v>St. Matthews Elementary School</v>
      </c>
      <c r="G756" s="1">
        <f ca="1">IFERROR(__xludf.DUMMYFUNCTION("""COMPUTED_VALUE"""),0)</f>
        <v>0</v>
      </c>
      <c r="H756" s="1">
        <f ca="1">IFERROR(__xludf.DUMMYFUNCTION("""COMPUTED_VALUE"""),0)</f>
        <v>0</v>
      </c>
      <c r="I756" s="1">
        <f ca="1">IFERROR(__xludf.DUMMYFUNCTION("""COMPUTED_VALUE"""),0)</f>
        <v>0</v>
      </c>
      <c r="J756" s="1">
        <f ca="1">IFERROR(__xludf.DUMMYFUNCTION("""COMPUTED_VALUE"""),0)</f>
        <v>0</v>
      </c>
      <c r="K756" s="1" t="str">
        <f ca="1">IFERROR(__xludf.DUMMYFUNCTION("""COMPUTED_VALUE"""),"Winter")</f>
        <v>Winter</v>
      </c>
      <c r="L756" s="1" t="str">
        <f ca="1">IFERROR(__xludf.DUMMYFUNCTION("""COMPUTED_VALUE"""),"Louisville")</f>
        <v>Louisville</v>
      </c>
      <c r="M756" s="1" t="str">
        <f ca="1">IFERROR(__xludf.DUMMYFUNCTION("""COMPUTED_VALUE"""),"KY")</f>
        <v>KY</v>
      </c>
      <c r="N756" s="1" t="str">
        <f ca="1">IFERROR(__xludf.DUMMYFUNCTION("""COMPUTED_VALUE"""),"Elementary")</f>
        <v>Elementary</v>
      </c>
      <c r="O756" s="1" t="str">
        <f ca="1">IFERROR(__xludf.DUMMYFUNCTION("""COMPUTED_VALUE"""),"Parking Lot")</f>
        <v>Parking Lot</v>
      </c>
      <c r="P756" s="1" t="str">
        <f ca="1">IFERROR(__xludf.DUMMYFUNCTION("""COMPUTED_VALUE"""),"Outside on School Property")</f>
        <v>Outside on School Property</v>
      </c>
      <c r="Q756" s="1" t="str">
        <f ca="1">IFERROR(__xludf.DUMMYFUNCTION("""COMPUTED_VALUE"""),"No")</f>
        <v>No</v>
      </c>
      <c r="R756" s="1" t="str">
        <f ca="1">IFERROR(__xludf.DUMMYFUNCTION("""COMPUTED_VALUE"""),"Night")</f>
        <v>Night</v>
      </c>
      <c r="S756" s="5">
        <f ca="1">IFERROR(__xludf.DUMMYFUNCTION("""COMPUTED_VALUE"""),0.895833333333333)</f>
        <v>0.89583333333333304</v>
      </c>
      <c r="T756" s="1">
        <f ca="1">IFERROR(__xludf.DUMMYFUNCTION("""COMPUTED_VALUE"""),1)</f>
        <v>1</v>
      </c>
      <c r="U756" s="1" t="str">
        <f ca="1">IFERROR(__xludf.DUMMYFUNCTION("""COMPUTED_VALUE"""),"Person inside a car was shot at several times in school parking lot")</f>
        <v>Person inside a car was shot at several times in school parking lot</v>
      </c>
      <c r="V756" s="1" t="str">
        <f ca="1">IFERROR(__xludf.DUMMYFUNCTION("""COMPUTED_VALUE"""),"Shooter approached a vehicle, fired multiple shots, and fled the area. Targeted victim driving was not injured. Vehicle was shot multiple times. Shooter fled in a vehicle.")</f>
        <v>Shooter approached a vehicle, fired multiple shots, and fled the area. Targeted victim driving was not injured. Vehicle was shot multiple times. Shooter fled in a vehicle.</v>
      </c>
      <c r="W756" s="1"/>
      <c r="X756" s="1" t="str">
        <f ca="1">IFERROR(__xludf.DUMMYFUNCTION("""COMPUTED_VALUE"""),"Victims Targeted")</f>
        <v>Victims Targeted</v>
      </c>
      <c r="Y756" s="1"/>
      <c r="Z756" s="1"/>
      <c r="AA756" s="1" t="str">
        <f ca="1">IFERROR(__xludf.DUMMYFUNCTION("""COMPUTED_VALUE"""),"No")</f>
        <v>No</v>
      </c>
      <c r="AB756" s="1" t="str">
        <f ca="1">IFERROR(__xludf.DUMMYFUNCTION("""COMPUTED_VALUE"""),"No")</f>
        <v>No</v>
      </c>
      <c r="AC756" s="1" t="str">
        <f ca="1">IFERROR(__xludf.DUMMYFUNCTION("""COMPUTED_VALUE"""),"No")</f>
        <v>No</v>
      </c>
      <c r="AD756" s="1" t="str">
        <f ca="1">IFERROR(__xludf.DUMMYFUNCTION("""COMPUTED_VALUE"""),"No")</f>
        <v>No</v>
      </c>
      <c r="AE756" s="1"/>
      <c r="AF756" s="1"/>
      <c r="AG756" s="1" t="str">
        <f ca="1">IFERROR(__xludf.DUMMYFUNCTION("""COMPUTED_VALUE"""),"No")</f>
        <v>No</v>
      </c>
      <c r="AH756" s="1"/>
    </row>
    <row r="757" spans="1:34" ht="12.5">
      <c r="A757" s="1" t="str">
        <f ca="1">IFERROR(__xludf.DUMMYFUNCTION("""COMPUTED_VALUE"""),"20211207ILHAC")</f>
        <v>20211207ILHAC</v>
      </c>
      <c r="B757" s="1">
        <f ca="1">IFERROR(__xludf.DUMMYFUNCTION("""COMPUTED_VALUE"""),12)</f>
        <v>12</v>
      </c>
      <c r="C757" s="1">
        <f ca="1">IFERROR(__xludf.DUMMYFUNCTION("""COMPUTED_VALUE"""),7)</f>
        <v>7</v>
      </c>
      <c r="D757" s="1">
        <f ca="1">IFERROR(__xludf.DUMMYFUNCTION("""COMPUTED_VALUE"""),2021)</f>
        <v>2021</v>
      </c>
      <c r="E757" s="4">
        <f ca="1">IFERROR(__xludf.DUMMYFUNCTION("""COMPUTED_VALUE"""),44537)</f>
        <v>44537</v>
      </c>
      <c r="F757" s="1" t="str">
        <f ca="1">IFERROR(__xludf.DUMMYFUNCTION("""COMPUTED_VALUE"""),"Haines Elementary School")</f>
        <v>Haines Elementary School</v>
      </c>
      <c r="G757" s="1">
        <f ca="1">IFERROR(__xludf.DUMMYFUNCTION("""COMPUTED_VALUE"""),1)</f>
        <v>1</v>
      </c>
      <c r="H757" s="1">
        <f ca="1">IFERROR(__xludf.DUMMYFUNCTION("""COMPUTED_VALUE"""),0)</f>
        <v>0</v>
      </c>
      <c r="I757" s="1">
        <f ca="1">IFERROR(__xludf.DUMMYFUNCTION("""COMPUTED_VALUE"""),1)</f>
        <v>1</v>
      </c>
      <c r="J757" s="1">
        <f ca="1">IFERROR(__xludf.DUMMYFUNCTION("""COMPUTED_VALUE"""),0)</f>
        <v>0</v>
      </c>
      <c r="K757" s="1" t="str">
        <f ca="1">IFERROR(__xludf.DUMMYFUNCTION("""COMPUTED_VALUE"""),"Winter")</f>
        <v>Winter</v>
      </c>
      <c r="L757" s="1" t="str">
        <f ca="1">IFERROR(__xludf.DUMMYFUNCTION("""COMPUTED_VALUE"""),"Chicago")</f>
        <v>Chicago</v>
      </c>
      <c r="M757" s="1" t="str">
        <f ca="1">IFERROR(__xludf.DUMMYFUNCTION("""COMPUTED_VALUE"""),"IL")</f>
        <v>IL</v>
      </c>
      <c r="N757" s="1" t="str">
        <f ca="1">IFERROR(__xludf.DUMMYFUNCTION("""COMPUTED_VALUE"""),"Elementary")</f>
        <v>Elementary</v>
      </c>
      <c r="O757" s="1" t="str">
        <f ca="1">IFERROR(__xludf.DUMMYFUNCTION("""COMPUTED_VALUE"""),"Front of School")</f>
        <v>Front of School</v>
      </c>
      <c r="P757" s="1" t="str">
        <f ca="1">IFERROR(__xludf.DUMMYFUNCTION("""COMPUTED_VALUE"""),"Off School Property")</f>
        <v>Off School Property</v>
      </c>
      <c r="Q757" s="1" t="str">
        <f ca="1">IFERROR(__xludf.DUMMYFUNCTION("""COMPUTED_VALUE"""),"Yes")</f>
        <v>Yes</v>
      </c>
      <c r="R757" s="1" t="str">
        <f ca="1">IFERROR(__xludf.DUMMYFUNCTION("""COMPUTED_VALUE"""),"Lunch")</f>
        <v>Lunch</v>
      </c>
      <c r="S757" s="5">
        <f ca="1">IFERROR(__xludf.DUMMYFUNCTION("""COMPUTED_VALUE"""),0.520833333333333)</f>
        <v>0.52083333333333304</v>
      </c>
      <c r="T757" s="1">
        <f ca="1">IFERROR(__xludf.DUMMYFUNCTION("""COMPUTED_VALUE"""),1)</f>
        <v>1</v>
      </c>
      <c r="U757" s="1" t="str">
        <f ca="1">IFERROR(__xludf.DUMMYFUNCTION("""COMPUTED_VALUE"""),"Man shot multiple times in front of school")</f>
        <v>Man shot multiple times in front of school</v>
      </c>
      <c r="V757" s="1" t="str">
        <f ca="1">IFERROR(__xludf.DUMMYFUNCTION("""COMPUTED_VALUE"""),"While students were on the playground for recess, multiple shots were from from a vehicle at a 71-year-old man on the sidewalk in front of the school. The shooter exited the vehicle and shot the victim multiple times ""execution style"". Teachers moved st"&amp;"udents into the school and went into lockdown. Shooter fled the scene and were apprehended a short distance away. Shooting was captured on CCTV footage.")</f>
        <v>While students were on the playground for recess, multiple shots were from from a vehicle at a 71-year-old man on the sidewalk in front of the school. The shooter exited the vehicle and shot the victim multiple times "execution style". Teachers moved students into the school and went into lockdown. Shooter fled the scene and were apprehended a short distance away. Shooting was captured on CCTV footage.</v>
      </c>
      <c r="W757" s="1" t="str">
        <f ca="1">IFERROR(__xludf.DUMMYFUNCTION("""COMPUTED_VALUE"""),"Illegal Activity")</f>
        <v>Illegal Activity</v>
      </c>
      <c r="X757" s="1" t="str">
        <f ca="1">IFERROR(__xludf.DUMMYFUNCTION("""COMPUTED_VALUE"""),"Victims Targeted")</f>
        <v>Victims Targeted</v>
      </c>
      <c r="Y757" s="1" t="str">
        <f ca="1">IFERROR(__xludf.DUMMYFUNCTION("""COMPUTED_VALUE"""),"No")</f>
        <v>No</v>
      </c>
      <c r="Z757" s="1"/>
      <c r="AA757" s="1"/>
      <c r="AB757" s="1" t="str">
        <f ca="1">IFERROR(__xludf.DUMMYFUNCTION("""COMPUTED_VALUE"""),"No")</f>
        <v>No</v>
      </c>
      <c r="AC757" s="1" t="str">
        <f ca="1">IFERROR(__xludf.DUMMYFUNCTION("""COMPUTED_VALUE"""),"No")</f>
        <v>No</v>
      </c>
      <c r="AD757" s="1" t="str">
        <f ca="1">IFERROR(__xludf.DUMMYFUNCTION("""COMPUTED_VALUE"""),"No")</f>
        <v>No</v>
      </c>
      <c r="AE757" s="1" t="str">
        <f ca="1">IFERROR(__xludf.DUMMYFUNCTION("""COMPUTED_VALUE"""),"No")</f>
        <v>No</v>
      </c>
      <c r="AF757" s="1"/>
      <c r="AG757" s="1" t="str">
        <f ca="1">IFERROR(__xludf.DUMMYFUNCTION("""COMPUTED_VALUE"""),"No")</f>
        <v>No</v>
      </c>
      <c r="AH757" s="1">
        <f ca="1">IFERROR(__xludf.DUMMYFUNCTION("""COMPUTED_VALUE"""),12)</f>
        <v>12</v>
      </c>
    </row>
    <row r="758" spans="1:34" ht="12.5">
      <c r="A758" s="1" t="str">
        <f ca="1">IFERROR(__xludf.DUMMYFUNCTION("""COMPUTED_VALUE"""),"20211206NYSUS")</f>
        <v>20211206NYSUS</v>
      </c>
      <c r="B758" s="1">
        <f ca="1">IFERROR(__xludf.DUMMYFUNCTION("""COMPUTED_VALUE"""),12)</f>
        <v>12</v>
      </c>
      <c r="C758" s="1">
        <f ca="1">IFERROR(__xludf.DUMMYFUNCTION("""COMPUTED_VALUE"""),6)</f>
        <v>6</v>
      </c>
      <c r="D758" s="1">
        <f ca="1">IFERROR(__xludf.DUMMYFUNCTION("""COMPUTED_VALUE"""),2021)</f>
        <v>2021</v>
      </c>
      <c r="E758" s="4">
        <f ca="1">IFERROR(__xludf.DUMMYFUNCTION("""COMPUTED_VALUE"""),44536)</f>
        <v>44536</v>
      </c>
      <c r="F758" s="1" t="str">
        <f ca="1">IFERROR(__xludf.DUMMYFUNCTION("""COMPUTED_VALUE"""),"Susan E. Wagner High School")</f>
        <v>Susan E. Wagner High School</v>
      </c>
      <c r="G758" s="1">
        <f ca="1">IFERROR(__xludf.DUMMYFUNCTION("""COMPUTED_VALUE"""),0)</f>
        <v>0</v>
      </c>
      <c r="H758" s="1">
        <f ca="1">IFERROR(__xludf.DUMMYFUNCTION("""COMPUTED_VALUE"""),1)</f>
        <v>1</v>
      </c>
      <c r="I758" s="1">
        <f ca="1">IFERROR(__xludf.DUMMYFUNCTION("""COMPUTED_VALUE"""),1)</f>
        <v>1</v>
      </c>
      <c r="J758" s="1">
        <f ca="1">IFERROR(__xludf.DUMMYFUNCTION("""COMPUTED_VALUE"""),0)</f>
        <v>0</v>
      </c>
      <c r="K758" s="1" t="str">
        <f ca="1">IFERROR(__xludf.DUMMYFUNCTION("""COMPUTED_VALUE"""),"Winter")</f>
        <v>Winter</v>
      </c>
      <c r="L758" s="1" t="str">
        <f ca="1">IFERROR(__xludf.DUMMYFUNCTION("""COMPUTED_VALUE"""),"Staten Island")</f>
        <v>Staten Island</v>
      </c>
      <c r="M758" s="1" t="str">
        <f ca="1">IFERROR(__xludf.DUMMYFUNCTION("""COMPUTED_VALUE"""),"NY")</f>
        <v>NY</v>
      </c>
      <c r="N758" s="1" t="str">
        <f ca="1">IFERROR(__xludf.DUMMYFUNCTION("""COMPUTED_VALUE"""),"High")</f>
        <v>High</v>
      </c>
      <c r="O758" s="1" t="str">
        <f ca="1">IFERROR(__xludf.DUMMYFUNCTION("""COMPUTED_VALUE"""),"Front of School")</f>
        <v>Front of School</v>
      </c>
      <c r="P758" s="1" t="str">
        <f ca="1">IFERROR(__xludf.DUMMYFUNCTION("""COMPUTED_VALUE"""),"Outside on School Property")</f>
        <v>Outside on School Property</v>
      </c>
      <c r="Q758" s="1" t="str">
        <f ca="1">IFERROR(__xludf.DUMMYFUNCTION("""COMPUTED_VALUE"""),"Yes")</f>
        <v>Yes</v>
      </c>
      <c r="R758" s="1" t="str">
        <f ca="1">IFERROR(__xludf.DUMMYFUNCTION("""COMPUTED_VALUE"""),"Dismissal")</f>
        <v>Dismissal</v>
      </c>
      <c r="S758" s="5">
        <f ca="1">IFERROR(__xludf.DUMMYFUNCTION("""COMPUTED_VALUE"""),0.625)</f>
        <v>0.625</v>
      </c>
      <c r="T758" s="1">
        <f ca="1">IFERROR(__xludf.DUMMYFUNCTION("""COMPUTED_VALUE"""),1)</f>
        <v>1</v>
      </c>
      <c r="U758" s="1" t="str">
        <f ca="1">IFERROR(__xludf.DUMMYFUNCTION("""COMPUTED_VALUE"""),"Student waiting for bus was attacked and pistol whipped by 2 teens")</f>
        <v>Student waiting for bus was attacked and pistol whipped by 2 teens</v>
      </c>
      <c r="V758" s="1" t="str">
        <f ca="1">IFERROR(__xludf.DUMMYFUNCTION("""COMPUTED_VALUE"""),"A 16-year-old male student was waiting for a bus in front of the school when two teens got out of a vehicle and assaulted him. One teen brandished a handgun and pistol whipped the victim with it. Teens fled and were apprehended 1 mile away from the scene "&amp;"with handgun. Incident was captured on video. Initially reported as shots fired and school cancelled dismissal and locked down for 2 hours.")</f>
        <v>A 16-year-old male student was waiting for a bus in front of the school when two teens got out of a vehicle and assaulted him. One teen brandished a handgun and pistol whipped the victim with it. Teens fled and were apprehended 1 mile away from the scene with handgun. Incident was captured on video. Initially reported as shots fired and school cancelled dismissal and locked down for 2 hours.</v>
      </c>
      <c r="W758" s="1"/>
      <c r="X758" s="1" t="str">
        <f ca="1">IFERROR(__xludf.DUMMYFUNCTION("""COMPUTED_VALUE"""),"Victims Targeted")</f>
        <v>Victims Targeted</v>
      </c>
      <c r="Y758" s="1" t="str">
        <f ca="1">IFERROR(__xludf.DUMMYFUNCTION("""COMPUTED_VALUE"""),"Yes")</f>
        <v>Yes</v>
      </c>
      <c r="Z758" s="1" t="str">
        <f ca="1">IFERROR(__xludf.DUMMYFUNCTION("""COMPUTED_VALUE"""),"Two teens")</f>
        <v>Two teens</v>
      </c>
      <c r="AA758" s="1" t="str">
        <f ca="1">IFERROR(__xludf.DUMMYFUNCTION("""COMPUTED_VALUE"""),"No")</f>
        <v>No</v>
      </c>
      <c r="AB758" s="1" t="str">
        <f ca="1">IFERROR(__xludf.DUMMYFUNCTION("""COMPUTED_VALUE"""),"No")</f>
        <v>No</v>
      </c>
      <c r="AC758" s="1" t="str">
        <f ca="1">IFERROR(__xludf.DUMMYFUNCTION("""COMPUTED_VALUE"""),"No")</f>
        <v>No</v>
      </c>
      <c r="AD758" s="1"/>
      <c r="AE758" s="1" t="str">
        <f ca="1">IFERROR(__xludf.DUMMYFUNCTION("""COMPUTED_VALUE"""),"No")</f>
        <v>No</v>
      </c>
      <c r="AF758" s="1"/>
      <c r="AG758" s="1" t="str">
        <f ca="1">IFERROR(__xludf.DUMMYFUNCTION("""COMPUTED_VALUE"""),"No")</f>
        <v>No</v>
      </c>
      <c r="AH758" s="1">
        <f ca="1">IFERROR(__xludf.DUMMYFUNCTION("""COMPUTED_VALUE"""),0)</f>
        <v>0</v>
      </c>
    </row>
    <row r="759" spans="1:34" ht="12.5">
      <c r="A759" s="1" t="str">
        <f ca="1">IFERROR(__xludf.DUMMYFUNCTION("""COMPUTED_VALUE"""),"20211206CAWIW")</f>
        <v>20211206CAWIW</v>
      </c>
      <c r="B759" s="1">
        <f ca="1">IFERROR(__xludf.DUMMYFUNCTION("""COMPUTED_VALUE"""),12)</f>
        <v>12</v>
      </c>
      <c r="C759" s="1">
        <f ca="1">IFERROR(__xludf.DUMMYFUNCTION("""COMPUTED_VALUE"""),6)</f>
        <v>6</v>
      </c>
      <c r="D759" s="1">
        <f ca="1">IFERROR(__xludf.DUMMYFUNCTION("""COMPUTED_VALUE"""),2021)</f>
        <v>2021</v>
      </c>
      <c r="E759" s="4">
        <f ca="1">IFERROR(__xludf.DUMMYFUNCTION("""COMPUTED_VALUE"""),44536)</f>
        <v>44536</v>
      </c>
      <c r="F759" s="1" t="str">
        <f ca="1">IFERROR(__xludf.DUMMYFUNCTION("""COMPUTED_VALUE"""),"Wilmington Park Elementary School")</f>
        <v>Wilmington Park Elementary School</v>
      </c>
      <c r="G759" s="1">
        <f ca="1">IFERROR(__xludf.DUMMYFUNCTION("""COMPUTED_VALUE"""),1)</f>
        <v>1</v>
      </c>
      <c r="H759" s="1">
        <f ca="1">IFERROR(__xludf.DUMMYFUNCTION("""COMPUTED_VALUE"""),2)</f>
        <v>2</v>
      </c>
      <c r="I759" s="1">
        <f ca="1">IFERROR(__xludf.DUMMYFUNCTION("""COMPUTED_VALUE"""),3)</f>
        <v>3</v>
      </c>
      <c r="J759" s="1">
        <f ca="1">IFERROR(__xludf.DUMMYFUNCTION("""COMPUTED_VALUE"""),0)</f>
        <v>0</v>
      </c>
      <c r="K759" s="1" t="str">
        <f ca="1">IFERROR(__xludf.DUMMYFUNCTION("""COMPUTED_VALUE"""),"Winter")</f>
        <v>Winter</v>
      </c>
      <c r="L759" s="1" t="str">
        <f ca="1">IFERROR(__xludf.DUMMYFUNCTION("""COMPUTED_VALUE"""),"Wilmington")</f>
        <v>Wilmington</v>
      </c>
      <c r="M759" s="1" t="str">
        <f ca="1">IFERROR(__xludf.DUMMYFUNCTION("""COMPUTED_VALUE"""),"CA")</f>
        <v>CA</v>
      </c>
      <c r="N759" s="1" t="str">
        <f ca="1">IFERROR(__xludf.DUMMYFUNCTION("""COMPUTED_VALUE"""),"Elementary")</f>
        <v>Elementary</v>
      </c>
      <c r="O759" s="1" t="str">
        <f ca="1">IFERROR(__xludf.DUMMYFUNCTION("""COMPUTED_VALUE"""),"Playground")</f>
        <v>Playground</v>
      </c>
      <c r="P759" s="1" t="str">
        <f ca="1">IFERROR(__xludf.DUMMYFUNCTION("""COMPUTED_VALUE"""),"Outside on School Property")</f>
        <v>Outside on School Property</v>
      </c>
      <c r="Q759" s="1" t="str">
        <f ca="1">IFERROR(__xludf.DUMMYFUNCTION("""COMPUTED_VALUE"""),"Yes")</f>
        <v>Yes</v>
      </c>
      <c r="R759" s="1" t="str">
        <f ca="1">IFERROR(__xludf.DUMMYFUNCTION("""COMPUTED_VALUE"""),"After School")</f>
        <v>After School</v>
      </c>
      <c r="S759" s="5">
        <f ca="1">IFERROR(__xludf.DUMMYFUNCTION("""COMPUTED_VALUE"""),0.698611111111111)</f>
        <v>0.69861111111111096</v>
      </c>
      <c r="T759" s="1">
        <f ca="1">IFERROR(__xludf.DUMMYFUNCTION("""COMPUTED_VALUE"""),1)</f>
        <v>1</v>
      </c>
      <c r="U759" s="1" t="str">
        <f ca="1">IFERROR(__xludf.DUMMYFUNCTION("""COMPUTED_VALUE"""),"9-year-old girl critically injured by stray shot while on school playground")</f>
        <v>9-year-old girl critically injured by stray shot while on school playground</v>
      </c>
      <c r="V759" s="1" t="str">
        <f ca="1">IFERROR(__xludf.DUMMYFUNCTION("""COMPUTED_VALUE"""),"Two shooters fired multiple shots at a vehicle in front of the elementary school. A 13-year-old boy inside the vehicle was killed and 20-year-old woman was injured. A stray shot struck a 9-year-old female student on the playground of the school, criticall"&amp;"y injuring her.")</f>
        <v>Two shooters fired multiple shots at a vehicle in front of the elementary school. A 13-year-old boy inside the vehicle was killed and 20-year-old woman was injured. A stray shot struck a 9-year-old female student on the playground of the school, critically injuring her.</v>
      </c>
      <c r="W759" s="1"/>
      <c r="X759" s="1" t="str">
        <f ca="1">IFERROR(__xludf.DUMMYFUNCTION("""COMPUTED_VALUE"""),"Both")</f>
        <v>Both</v>
      </c>
      <c r="Y759" s="1" t="str">
        <f ca="1">IFERROR(__xludf.DUMMYFUNCTION("""COMPUTED_VALUE"""),"Yes")</f>
        <v>Yes</v>
      </c>
      <c r="Z759" s="1" t="str">
        <f ca="1">IFERROR(__xludf.DUMMYFUNCTION("""COMPUTED_VALUE"""),"2 shooters")</f>
        <v>2 shooters</v>
      </c>
      <c r="AA759" s="1" t="str">
        <f ca="1">IFERROR(__xludf.DUMMYFUNCTION("""COMPUTED_VALUE"""),"No")</f>
        <v>No</v>
      </c>
      <c r="AB759" s="1" t="str">
        <f ca="1">IFERROR(__xludf.DUMMYFUNCTION("""COMPUTED_VALUE"""),"No")</f>
        <v>No</v>
      </c>
      <c r="AC759" s="1" t="str">
        <f ca="1">IFERROR(__xludf.DUMMYFUNCTION("""COMPUTED_VALUE"""),"No")</f>
        <v>No</v>
      </c>
      <c r="AD759" s="1" t="str">
        <f ca="1">IFERROR(__xludf.DUMMYFUNCTION("""COMPUTED_VALUE"""),"No")</f>
        <v>No</v>
      </c>
      <c r="AE759" s="1"/>
      <c r="AF759" s="1"/>
      <c r="AG759" s="1" t="str">
        <f ca="1">IFERROR(__xludf.DUMMYFUNCTION("""COMPUTED_VALUE"""),"No")</f>
        <v>No</v>
      </c>
      <c r="AH759" s="1"/>
    </row>
    <row r="760" spans="1:34" ht="12.5">
      <c r="A760" s="1" t="str">
        <f ca="1">IFERROR(__xludf.DUMMYFUNCTION("""COMPUTED_VALUE"""),"20211203ARBLB")</f>
        <v>20211203ARBLB</v>
      </c>
      <c r="B760" s="1">
        <f ca="1">IFERROR(__xludf.DUMMYFUNCTION("""COMPUTED_VALUE"""),12)</f>
        <v>12</v>
      </c>
      <c r="C760" s="1">
        <f ca="1">IFERROR(__xludf.DUMMYFUNCTION("""COMPUTED_VALUE"""),3)</f>
        <v>3</v>
      </c>
      <c r="D760" s="1">
        <f ca="1">IFERROR(__xludf.DUMMYFUNCTION("""COMPUTED_VALUE"""),2021)</f>
        <v>2021</v>
      </c>
      <c r="E760" s="4">
        <f ca="1">IFERROR(__xludf.DUMMYFUNCTION("""COMPUTED_VALUE"""),44533)</f>
        <v>44533</v>
      </c>
      <c r="F760" s="1" t="str">
        <f ca="1">IFERROR(__xludf.DUMMYFUNCTION("""COMPUTED_VALUE"""),"Blytheville High School")</f>
        <v>Blytheville High School</v>
      </c>
      <c r="G760" s="1">
        <f ca="1">IFERROR(__xludf.DUMMYFUNCTION("""COMPUTED_VALUE"""),0)</f>
        <v>0</v>
      </c>
      <c r="H760" s="1">
        <f ca="1">IFERROR(__xludf.DUMMYFUNCTION("""COMPUTED_VALUE"""),0)</f>
        <v>0</v>
      </c>
      <c r="I760" s="1">
        <f ca="1">IFERROR(__xludf.DUMMYFUNCTION("""COMPUTED_VALUE"""),0)</f>
        <v>0</v>
      </c>
      <c r="J760" s="1">
        <f ca="1">IFERROR(__xludf.DUMMYFUNCTION("""COMPUTED_VALUE"""),0)</f>
        <v>0</v>
      </c>
      <c r="K760" s="1" t="str">
        <f ca="1">IFERROR(__xludf.DUMMYFUNCTION("""COMPUTED_VALUE"""),"Winter")</f>
        <v>Winter</v>
      </c>
      <c r="L760" s="1" t="str">
        <f ca="1">IFERROR(__xludf.DUMMYFUNCTION("""COMPUTED_VALUE"""),"Blytheville")</f>
        <v>Blytheville</v>
      </c>
      <c r="M760" s="1" t="str">
        <f ca="1">IFERROR(__xludf.DUMMYFUNCTION("""COMPUTED_VALUE"""),"AR")</f>
        <v>AR</v>
      </c>
      <c r="N760" s="1" t="str">
        <f ca="1">IFERROR(__xludf.DUMMYFUNCTION("""COMPUTED_VALUE"""),"High")</f>
        <v>High</v>
      </c>
      <c r="O760" s="1" t="str">
        <f ca="1">IFERROR(__xludf.DUMMYFUNCTION("""COMPUTED_VALUE"""),"Parking Lot")</f>
        <v>Parking Lot</v>
      </c>
      <c r="P760" s="1" t="str">
        <f ca="1">IFERROR(__xludf.DUMMYFUNCTION("""COMPUTED_VALUE"""),"Outside on School Property")</f>
        <v>Outside on School Property</v>
      </c>
      <c r="Q760" s="1" t="str">
        <f ca="1">IFERROR(__xludf.DUMMYFUNCTION("""COMPUTED_VALUE"""),"No")</f>
        <v>No</v>
      </c>
      <c r="R760" s="1" t="str">
        <f ca="1">IFERROR(__xludf.DUMMYFUNCTION("""COMPUTED_VALUE"""),"Night")</f>
        <v>Night</v>
      </c>
      <c r="S760" s="5">
        <f ca="1">IFERROR(__xludf.DUMMYFUNCTION("""COMPUTED_VALUE"""),0.885416666666666)</f>
        <v>0.88541666666666596</v>
      </c>
      <c r="T760" s="1">
        <f ca="1">IFERROR(__xludf.DUMMYFUNCTION("""COMPUTED_VALUE"""),1)</f>
        <v>1</v>
      </c>
      <c r="U760" s="1" t="str">
        <f ca="1">IFERROR(__xludf.DUMMYFUNCTION("""COMPUTED_VALUE"""),"Teen fired multiple shots at person inside vehicle in the parking lot")</f>
        <v>Teen fired multiple shots at person inside vehicle in the parking lot</v>
      </c>
      <c r="V760" s="1" t="str">
        <f ca="1">IFERROR(__xludf.DUMMYFUNCTION("""COMPUTED_VALUE"""),"A 19-year-old non-student fired multiple shots at another non-student inside a vehicle in the school parking lot. The shooter fled and was identified by CCTV footage, then arrested the next day. Targeted victim was not injured. Teen charged with terrorist"&amp;"ic act. Shooting related to a prior fight between shooter and victim.")</f>
        <v>A 19-year-old non-student fired multiple shots at another non-student inside a vehicle in the school parking lot. The shooter fled and was identified by CCTV footage, then arrested the next day. Targeted victim was not injured. Teen charged with terroristic act. Shooting related to a prior fight between shooter and victim.</v>
      </c>
      <c r="W760" s="1" t="str">
        <f ca="1">IFERROR(__xludf.DUMMYFUNCTION("""COMPUTED_VALUE"""),"Escalation of Dispute")</f>
        <v>Escalation of Dispute</v>
      </c>
      <c r="X760" s="1" t="str">
        <f ca="1">IFERROR(__xludf.DUMMYFUNCTION("""COMPUTED_VALUE"""),"Victims Targeted")</f>
        <v>Victims Targeted</v>
      </c>
      <c r="Y760" s="1" t="str">
        <f ca="1">IFERROR(__xludf.DUMMYFUNCTION("""COMPUTED_VALUE"""),"No")</f>
        <v>No</v>
      </c>
      <c r="Z760" s="1"/>
      <c r="AA760" s="1" t="str">
        <f ca="1">IFERROR(__xludf.DUMMYFUNCTION("""COMPUTED_VALUE"""),"No")</f>
        <v>No</v>
      </c>
      <c r="AB760" s="1" t="str">
        <f ca="1">IFERROR(__xludf.DUMMYFUNCTION("""COMPUTED_VALUE"""),"No")</f>
        <v>No</v>
      </c>
      <c r="AC760" s="1" t="str">
        <f ca="1">IFERROR(__xludf.DUMMYFUNCTION("""COMPUTED_VALUE"""),"No")</f>
        <v>No</v>
      </c>
      <c r="AD760" s="1" t="str">
        <f ca="1">IFERROR(__xludf.DUMMYFUNCTION("""COMPUTED_VALUE"""),"No")</f>
        <v>No</v>
      </c>
      <c r="AE760" s="1" t="str">
        <f ca="1">IFERROR(__xludf.DUMMYFUNCTION("""COMPUTED_VALUE"""),"No")</f>
        <v>No</v>
      </c>
      <c r="AF760" s="1" t="str">
        <f ca="1">IFERROR(__xludf.DUMMYFUNCTION("""COMPUTED_VALUE"""),"No")</f>
        <v>No</v>
      </c>
      <c r="AG760" s="1" t="str">
        <f ca="1">IFERROR(__xludf.DUMMYFUNCTION("""COMPUTED_VALUE"""),"No")</f>
        <v>No</v>
      </c>
      <c r="AH760" s="1"/>
    </row>
    <row r="761" spans="1:34" ht="12.5">
      <c r="A761" s="1" t="str">
        <f ca="1">IFERROR(__xludf.DUMMYFUNCTION("""COMPUTED_VALUE"""),"20211202WAGAS")</f>
        <v>20211202WAGAS</v>
      </c>
      <c r="B761" s="1">
        <f ca="1">IFERROR(__xludf.DUMMYFUNCTION("""COMPUTED_VALUE"""),12)</f>
        <v>12</v>
      </c>
      <c r="C761" s="1">
        <f ca="1">IFERROR(__xludf.DUMMYFUNCTION("""COMPUTED_VALUE"""),3)</f>
        <v>3</v>
      </c>
      <c r="D761" s="1">
        <f ca="1">IFERROR(__xludf.DUMMYFUNCTION("""COMPUTED_VALUE"""),2021)</f>
        <v>2021</v>
      </c>
      <c r="E761" s="4">
        <f ca="1">IFERROR(__xludf.DUMMYFUNCTION("""COMPUTED_VALUE"""),44533)</f>
        <v>44533</v>
      </c>
      <c r="F761" s="1" t="str">
        <f ca="1">IFERROR(__xludf.DUMMYFUNCTION("""COMPUTED_VALUE"""),"Garfield High School")</f>
        <v>Garfield High School</v>
      </c>
      <c r="G761" s="1">
        <f ca="1">IFERROR(__xludf.DUMMYFUNCTION("""COMPUTED_VALUE"""),0)</f>
        <v>0</v>
      </c>
      <c r="H761" s="1">
        <f ca="1">IFERROR(__xludf.DUMMYFUNCTION("""COMPUTED_VALUE"""),0)</f>
        <v>0</v>
      </c>
      <c r="I761" s="1">
        <f ca="1">IFERROR(__xludf.DUMMYFUNCTION("""COMPUTED_VALUE"""),0)</f>
        <v>0</v>
      </c>
      <c r="J761" s="1">
        <f ca="1">IFERROR(__xludf.DUMMYFUNCTION("""COMPUTED_VALUE"""),0)</f>
        <v>0</v>
      </c>
      <c r="K761" s="1" t="str">
        <f ca="1">IFERROR(__xludf.DUMMYFUNCTION("""COMPUTED_VALUE"""),"Winter")</f>
        <v>Winter</v>
      </c>
      <c r="L761" s="1" t="str">
        <f ca="1">IFERROR(__xludf.DUMMYFUNCTION("""COMPUTED_VALUE"""),"Seattle")</f>
        <v>Seattle</v>
      </c>
      <c r="M761" s="1" t="str">
        <f ca="1">IFERROR(__xludf.DUMMYFUNCTION("""COMPUTED_VALUE"""),"WA")</f>
        <v>WA</v>
      </c>
      <c r="N761" s="1" t="str">
        <f ca="1">IFERROR(__xludf.DUMMYFUNCTION("""COMPUTED_VALUE"""),"High")</f>
        <v>High</v>
      </c>
      <c r="O761" s="1" t="str">
        <f ca="1">IFERROR(__xludf.DUMMYFUNCTION("""COMPUTED_VALUE"""),"Parking Lot")</f>
        <v>Parking Lot</v>
      </c>
      <c r="P761" s="1" t="str">
        <f ca="1">IFERROR(__xludf.DUMMYFUNCTION("""COMPUTED_VALUE"""),"Outside on School Property")</f>
        <v>Outside on School Property</v>
      </c>
      <c r="Q761" s="1" t="str">
        <f ca="1">IFERROR(__xludf.DUMMYFUNCTION("""COMPUTED_VALUE"""),"No")</f>
        <v>No</v>
      </c>
      <c r="R761" s="1" t="str">
        <f ca="1">IFERROR(__xludf.DUMMYFUNCTION("""COMPUTED_VALUE"""),"After School")</f>
        <v>After School</v>
      </c>
      <c r="S761" s="5">
        <f ca="1">IFERROR(__xludf.DUMMYFUNCTION("""COMPUTED_VALUE"""),0.6875)</f>
        <v>0.6875</v>
      </c>
      <c r="T761" s="1">
        <f ca="1">IFERROR(__xludf.DUMMYFUNCTION("""COMPUTED_VALUE"""),1)</f>
        <v>1</v>
      </c>
      <c r="U761" s="1" t="str">
        <f ca="1">IFERROR(__xludf.DUMMYFUNCTION("""COMPUTED_VALUE"""),"30 shots fired in school parking lot during basketball practice")</f>
        <v>30 shots fired in school parking lot during basketball practice</v>
      </c>
      <c r="V761" s="1" t="str">
        <f ca="1">IFERROR(__xludf.DUMMYFUNCTION("""COMPUTED_VALUE"""),"A teen shooter fired 30 shots in the parking lot of the high school. Basketball practice was occurring at the time of the shooting and the school was locked down. No injuries. Shooter fled. A bomb threat evacuated the school earlier in the day.")</f>
        <v>A teen shooter fired 30 shots in the parking lot of the high school. Basketball practice was occurring at the time of the shooting and the school was locked down. No injuries. Shooter fled. A bomb threat evacuated the school earlier in the day.</v>
      </c>
      <c r="W761" s="1"/>
      <c r="X761" s="1" t="str">
        <f ca="1">IFERROR(__xludf.DUMMYFUNCTION("""COMPUTED_VALUE"""),"Both")</f>
        <v>Both</v>
      </c>
      <c r="Y761" s="1" t="str">
        <f ca="1">IFERROR(__xludf.DUMMYFUNCTION("""COMPUTED_VALUE"""),"No")</f>
        <v>No</v>
      </c>
      <c r="Z761" s="1"/>
      <c r="AA761" s="1" t="str">
        <f ca="1">IFERROR(__xludf.DUMMYFUNCTION("""COMPUTED_VALUE"""),"No")</f>
        <v>No</v>
      </c>
      <c r="AB761" s="1" t="str">
        <f ca="1">IFERROR(__xludf.DUMMYFUNCTION("""COMPUTED_VALUE"""),"No")</f>
        <v>No</v>
      </c>
      <c r="AC761" s="1" t="str">
        <f ca="1">IFERROR(__xludf.DUMMYFUNCTION("""COMPUTED_VALUE"""),"No")</f>
        <v>No</v>
      </c>
      <c r="AD761" s="1"/>
      <c r="AE761" s="1" t="str">
        <f ca="1">IFERROR(__xludf.DUMMYFUNCTION("""COMPUTED_VALUE"""),"No")</f>
        <v>No</v>
      </c>
      <c r="AF761" s="1"/>
      <c r="AG761" s="1" t="str">
        <f ca="1">IFERROR(__xludf.DUMMYFUNCTION("""COMPUTED_VALUE"""),"No")</f>
        <v>No</v>
      </c>
      <c r="AH761" s="1">
        <f ca="1">IFERROR(__xludf.DUMMYFUNCTION("""COMPUTED_VALUE"""),30)</f>
        <v>30</v>
      </c>
    </row>
    <row r="762" spans="1:34" ht="12.5">
      <c r="A762" s="1" t="str">
        <f ca="1">IFERROR(__xludf.DUMMYFUNCTION("""COMPUTED_VALUE"""),"20211202PAWIP")</f>
        <v>20211202PAWIP</v>
      </c>
      <c r="B762" s="1">
        <f ca="1">IFERROR(__xludf.DUMMYFUNCTION("""COMPUTED_VALUE"""),12)</f>
        <v>12</v>
      </c>
      <c r="C762" s="1">
        <f ca="1">IFERROR(__xludf.DUMMYFUNCTION("""COMPUTED_VALUE"""),2)</f>
        <v>2</v>
      </c>
      <c r="D762" s="1">
        <f ca="1">IFERROR(__xludf.DUMMYFUNCTION("""COMPUTED_VALUE"""),2021)</f>
        <v>2021</v>
      </c>
      <c r="E762" s="4">
        <f ca="1">IFERROR(__xludf.DUMMYFUNCTION("""COMPUTED_VALUE"""),44532)</f>
        <v>44532</v>
      </c>
      <c r="F762" s="1" t="str">
        <f ca="1">IFERROR(__xludf.DUMMYFUNCTION("""COMPUTED_VALUE"""),"William Dick School")</f>
        <v>William Dick School</v>
      </c>
      <c r="G762" s="1">
        <f ca="1">IFERROR(__xludf.DUMMYFUNCTION("""COMPUTED_VALUE"""),1)</f>
        <v>1</v>
      </c>
      <c r="H762" s="1">
        <f ca="1">IFERROR(__xludf.DUMMYFUNCTION("""COMPUTED_VALUE"""),0)</f>
        <v>0</v>
      </c>
      <c r="I762" s="1">
        <f ca="1">IFERROR(__xludf.DUMMYFUNCTION("""COMPUTED_VALUE"""),1)</f>
        <v>1</v>
      </c>
      <c r="J762" s="1">
        <f ca="1">IFERROR(__xludf.DUMMYFUNCTION("""COMPUTED_VALUE"""),0)</f>
        <v>0</v>
      </c>
      <c r="K762" s="1" t="str">
        <f ca="1">IFERROR(__xludf.DUMMYFUNCTION("""COMPUTED_VALUE"""),"Winter")</f>
        <v>Winter</v>
      </c>
      <c r="L762" s="1" t="str">
        <f ca="1">IFERROR(__xludf.DUMMYFUNCTION("""COMPUTED_VALUE"""),"Philadelphia")</f>
        <v>Philadelphia</v>
      </c>
      <c r="M762" s="1" t="str">
        <f ca="1">IFERROR(__xludf.DUMMYFUNCTION("""COMPUTED_VALUE"""),"PA")</f>
        <v>PA</v>
      </c>
      <c r="N762" s="1" t="str">
        <f ca="1">IFERROR(__xludf.DUMMYFUNCTION("""COMPUTED_VALUE"""),"K-8")</f>
        <v>K-8</v>
      </c>
      <c r="O762" s="1" t="str">
        <f ca="1">IFERROR(__xludf.DUMMYFUNCTION("""COMPUTED_VALUE"""),"Parking Lot")</f>
        <v>Parking Lot</v>
      </c>
      <c r="P762" s="1" t="str">
        <f ca="1">IFERROR(__xludf.DUMMYFUNCTION("""COMPUTED_VALUE"""),"Outside on School Property")</f>
        <v>Outside on School Property</v>
      </c>
      <c r="Q762" s="1" t="str">
        <f ca="1">IFERROR(__xludf.DUMMYFUNCTION("""COMPUTED_VALUE"""),"Yes")</f>
        <v>Yes</v>
      </c>
      <c r="R762" s="1" t="str">
        <f ca="1">IFERROR(__xludf.DUMMYFUNCTION("""COMPUTED_VALUE"""),"Afternoon Classes")</f>
        <v>Afternoon Classes</v>
      </c>
      <c r="S762" s="5">
        <f ca="1">IFERROR(__xludf.DUMMYFUNCTION("""COMPUTED_VALUE"""),0.541666666666666)</f>
        <v>0.54166666666666596</v>
      </c>
      <c r="T762" s="1">
        <f ca="1">IFERROR(__xludf.DUMMYFUNCTION("""COMPUTED_VALUE"""),1)</f>
        <v>1</v>
      </c>
      <c r="U762" s="1" t="str">
        <f ca="1">IFERROR(__xludf.DUMMYFUNCTION("""COMPUTED_VALUE"""),"Woman shot 8 times in parking lot behind school")</f>
        <v>Woman shot 8 times in parking lot behind school</v>
      </c>
      <c r="V762" s="1" t="str">
        <f ca="1">IFERROR(__xludf.DUMMYFUNCTION("""COMPUTED_VALUE"""),"Woman shot 8 times in the parking lot of the school during afternoon classes. School went on lockdown. She was taken to the hospital in a private vehicle and died.")</f>
        <v>Woman shot 8 times in the parking lot of the school during afternoon classes. School went on lockdown. She was taken to the hospital in a private vehicle and died.</v>
      </c>
      <c r="W762" s="1"/>
      <c r="X762" s="1" t="str">
        <f ca="1">IFERROR(__xludf.DUMMYFUNCTION("""COMPUTED_VALUE"""),"Victims Targeted")</f>
        <v>Victims Targeted</v>
      </c>
      <c r="Y762" s="1" t="str">
        <f ca="1">IFERROR(__xludf.DUMMYFUNCTION("""COMPUTED_VALUE"""),"No")</f>
        <v>No</v>
      </c>
      <c r="Z762" s="1"/>
      <c r="AA762" s="1" t="str">
        <f ca="1">IFERROR(__xludf.DUMMYFUNCTION("""COMPUTED_VALUE"""),"No")</f>
        <v>No</v>
      </c>
      <c r="AB762" s="1" t="str">
        <f ca="1">IFERROR(__xludf.DUMMYFUNCTION("""COMPUTED_VALUE"""),"No")</f>
        <v>No</v>
      </c>
      <c r="AC762" s="1" t="str">
        <f ca="1">IFERROR(__xludf.DUMMYFUNCTION("""COMPUTED_VALUE"""),"No")</f>
        <v>No</v>
      </c>
      <c r="AD762" s="1" t="str">
        <f ca="1">IFERROR(__xludf.DUMMYFUNCTION("""COMPUTED_VALUE"""),"No")</f>
        <v>No</v>
      </c>
      <c r="AE762" s="1"/>
      <c r="AF762" s="1"/>
      <c r="AG762" s="1" t="str">
        <f ca="1">IFERROR(__xludf.DUMMYFUNCTION("""COMPUTED_VALUE"""),"No")</f>
        <v>No</v>
      </c>
      <c r="AH762" s="1">
        <f ca="1">IFERROR(__xludf.DUMMYFUNCTION("""COMPUTED_VALUE"""),8)</f>
        <v>8</v>
      </c>
    </row>
    <row r="763" spans="1:34" ht="12.5">
      <c r="A763" s="1" t="str">
        <f ca="1">IFERROR(__xludf.DUMMYFUNCTION("""COMPUTED_VALUE"""),"20211201TXSAP")</f>
        <v>20211201TXSAP</v>
      </c>
      <c r="B763" s="1">
        <f ca="1">IFERROR(__xludf.DUMMYFUNCTION("""COMPUTED_VALUE"""),12)</f>
        <v>12</v>
      </c>
      <c r="C763" s="1">
        <f ca="1">IFERROR(__xludf.DUMMYFUNCTION("""COMPUTED_VALUE"""),1)</f>
        <v>1</v>
      </c>
      <c r="D763" s="1">
        <f ca="1">IFERROR(__xludf.DUMMYFUNCTION("""COMPUTED_VALUE"""),2021)</f>
        <v>2021</v>
      </c>
      <c r="E763" s="4">
        <f ca="1">IFERROR(__xludf.DUMMYFUNCTION("""COMPUTED_VALUE"""),44531)</f>
        <v>44531</v>
      </c>
      <c r="F763" s="1" t="str">
        <f ca="1">IFERROR(__xludf.DUMMYFUNCTION("""COMPUTED_VALUE"""),"Sam Rayburn High School")</f>
        <v>Sam Rayburn High School</v>
      </c>
      <c r="G763" s="1">
        <f ca="1">IFERROR(__xludf.DUMMYFUNCTION("""COMPUTED_VALUE"""),0)</f>
        <v>0</v>
      </c>
      <c r="H763" s="1">
        <f ca="1">IFERROR(__xludf.DUMMYFUNCTION("""COMPUTED_VALUE"""),0)</f>
        <v>0</v>
      </c>
      <c r="I763" s="1">
        <f ca="1">IFERROR(__xludf.DUMMYFUNCTION("""COMPUTED_VALUE"""),0)</f>
        <v>0</v>
      </c>
      <c r="J763" s="1">
        <f ca="1">IFERROR(__xludf.DUMMYFUNCTION("""COMPUTED_VALUE"""),0)</f>
        <v>0</v>
      </c>
      <c r="K763" s="1" t="str">
        <f ca="1">IFERROR(__xludf.DUMMYFUNCTION("""COMPUTED_VALUE"""),"Winter")</f>
        <v>Winter</v>
      </c>
      <c r="L763" s="1" t="str">
        <f ca="1">IFERROR(__xludf.DUMMYFUNCTION("""COMPUTED_VALUE"""),"Pasadena")</f>
        <v>Pasadena</v>
      </c>
      <c r="M763" s="1" t="str">
        <f ca="1">IFERROR(__xludf.DUMMYFUNCTION("""COMPUTED_VALUE"""),"TX")</f>
        <v>TX</v>
      </c>
      <c r="N763" s="1" t="str">
        <f ca="1">IFERROR(__xludf.DUMMYFUNCTION("""COMPUTED_VALUE"""),"High")</f>
        <v>High</v>
      </c>
      <c r="O763" s="1" t="str">
        <f ca="1">IFERROR(__xludf.DUMMYFUNCTION("""COMPUTED_VALUE"""),"Football Field/Track")</f>
        <v>Football Field/Track</v>
      </c>
      <c r="P763" s="1" t="str">
        <f ca="1">IFERROR(__xludf.DUMMYFUNCTION("""COMPUTED_VALUE"""),"Outside on School Property")</f>
        <v>Outside on School Property</v>
      </c>
      <c r="Q763" s="1" t="str">
        <f ca="1">IFERROR(__xludf.DUMMYFUNCTION("""COMPUTED_VALUE"""),"Yes")</f>
        <v>Yes</v>
      </c>
      <c r="R763" s="1" t="str">
        <f ca="1">IFERROR(__xludf.DUMMYFUNCTION("""COMPUTED_VALUE"""),"Morning Classes")</f>
        <v>Morning Classes</v>
      </c>
      <c r="S763" s="5">
        <f ca="1">IFERROR(__xludf.DUMMYFUNCTION("""COMPUTED_VALUE"""),0.458333333333333)</f>
        <v>0.45833333333333298</v>
      </c>
      <c r="T763" s="1">
        <f ca="1">IFERROR(__xludf.DUMMYFUNCTION("""COMPUTED_VALUE"""),1)</f>
        <v>1</v>
      </c>
      <c r="U763" s="1" t="str">
        <f ca="1">IFERROR(__xludf.DUMMYFUNCTION("""COMPUTED_VALUE"""),"Adult man robbed student at gunpoint and fired shot on the athletic field")</f>
        <v>Adult man robbed student at gunpoint and fired shot on the athletic field</v>
      </c>
      <c r="V763" s="1" t="str">
        <f ca="1">IFERROR(__xludf.DUMMYFUNCTION("""COMPUTED_VALUE"""),"21-year-old male robbed a student at gunpoint during morning classes on the athletic field of the school. The shooter demanded the student's phone and when the student refused, he fired one shot. SRO responded, arrested the shooter, and recovered the phon"&amp;"e.")</f>
        <v>21-year-old male robbed a student at gunpoint during morning classes on the athletic field of the school. The shooter demanded the student's phone and when the student refused, he fired one shot. SRO responded, arrested the shooter, and recovered the phone.</v>
      </c>
      <c r="W763" s="1" t="str">
        <f ca="1">IFERROR(__xludf.DUMMYFUNCTION("""COMPUTED_VALUE"""),"Illegal Activity")</f>
        <v>Illegal Activity</v>
      </c>
      <c r="X763" s="1" t="str">
        <f ca="1">IFERROR(__xludf.DUMMYFUNCTION("""COMPUTED_VALUE"""),"Victims Targeted")</f>
        <v>Victims Targeted</v>
      </c>
      <c r="Y763" s="1" t="str">
        <f ca="1">IFERROR(__xludf.DUMMYFUNCTION("""COMPUTED_VALUE"""),"No")</f>
        <v>No</v>
      </c>
      <c r="Z763" s="1"/>
      <c r="AA763" s="1" t="str">
        <f ca="1">IFERROR(__xludf.DUMMYFUNCTION("""COMPUTED_VALUE"""),"No")</f>
        <v>No</v>
      </c>
      <c r="AB763" s="1" t="str">
        <f ca="1">IFERROR(__xludf.DUMMYFUNCTION("""COMPUTED_VALUE"""),"No")</f>
        <v>No</v>
      </c>
      <c r="AC763" s="1" t="str">
        <f ca="1">IFERROR(__xludf.DUMMYFUNCTION("""COMPUTED_VALUE"""),"No")</f>
        <v>No</v>
      </c>
      <c r="AD763" s="1" t="str">
        <f ca="1">IFERROR(__xludf.DUMMYFUNCTION("""COMPUTED_VALUE"""),"No")</f>
        <v>No</v>
      </c>
      <c r="AE763" s="1" t="str">
        <f ca="1">IFERROR(__xludf.DUMMYFUNCTION("""COMPUTED_VALUE"""),"No")</f>
        <v>No</v>
      </c>
      <c r="AF763" s="1" t="str">
        <f ca="1">IFERROR(__xludf.DUMMYFUNCTION("""COMPUTED_VALUE"""),"No")</f>
        <v>No</v>
      </c>
      <c r="AG763" s="1" t="str">
        <f ca="1">IFERROR(__xludf.DUMMYFUNCTION("""COMPUTED_VALUE"""),"No")</f>
        <v>No</v>
      </c>
      <c r="AH763" s="1">
        <f ca="1">IFERROR(__xludf.DUMMYFUNCTION("""COMPUTED_VALUE"""),1)</f>
        <v>1</v>
      </c>
    </row>
    <row r="764" spans="1:34" ht="12.5">
      <c r="A764" s="1" t="str">
        <f ca="1">IFERROR(__xludf.DUMMYFUNCTION("""COMPUTED_VALUE"""),"20211130TNHUH")</f>
        <v>20211130TNHUH</v>
      </c>
      <c r="B764" s="1">
        <f ca="1">IFERROR(__xludf.DUMMYFUNCTION("""COMPUTED_VALUE"""),11)</f>
        <v>11</v>
      </c>
      <c r="C764" s="1">
        <f ca="1">IFERROR(__xludf.DUMMYFUNCTION("""COMPUTED_VALUE"""),30)</f>
        <v>30</v>
      </c>
      <c r="D764" s="1">
        <f ca="1">IFERROR(__xludf.DUMMYFUNCTION("""COMPUTED_VALUE"""),2021)</f>
        <v>2021</v>
      </c>
      <c r="E764" s="4">
        <f ca="1">IFERROR(__xludf.DUMMYFUNCTION("""COMPUTED_VALUE"""),44530)</f>
        <v>44530</v>
      </c>
      <c r="F764" s="1" t="str">
        <f ca="1">IFERROR(__xludf.DUMMYFUNCTION("""COMPUTED_VALUE"""),"Humboldt High School")</f>
        <v>Humboldt High School</v>
      </c>
      <c r="G764" s="1">
        <f ca="1">IFERROR(__xludf.DUMMYFUNCTION("""COMPUTED_VALUE"""),1)</f>
        <v>1</v>
      </c>
      <c r="H764" s="1">
        <f ca="1">IFERROR(__xludf.DUMMYFUNCTION("""COMPUTED_VALUE"""),2)</f>
        <v>2</v>
      </c>
      <c r="I764" s="1">
        <f ca="1">IFERROR(__xludf.DUMMYFUNCTION("""COMPUTED_VALUE"""),3)</f>
        <v>3</v>
      </c>
      <c r="J764" s="1">
        <f ca="1">IFERROR(__xludf.DUMMYFUNCTION("""COMPUTED_VALUE"""),0)</f>
        <v>0</v>
      </c>
      <c r="K764" s="1" t="str">
        <f ca="1">IFERROR(__xludf.DUMMYFUNCTION("""COMPUTED_VALUE"""),"Fall")</f>
        <v>Fall</v>
      </c>
      <c r="L764" s="1" t="str">
        <f ca="1">IFERROR(__xludf.DUMMYFUNCTION("""COMPUTED_VALUE"""),"Humboldt")</f>
        <v>Humboldt</v>
      </c>
      <c r="M764" s="1" t="str">
        <f ca="1">IFERROR(__xludf.DUMMYFUNCTION("""COMPUTED_VALUE"""),"TN")</f>
        <v>TN</v>
      </c>
      <c r="N764" s="1" t="str">
        <f ca="1">IFERROR(__xludf.DUMMYFUNCTION("""COMPUTED_VALUE"""),"High")</f>
        <v>High</v>
      </c>
      <c r="O764" s="1" t="str">
        <f ca="1">IFERROR(__xludf.DUMMYFUNCTION("""COMPUTED_VALUE"""),"Gym")</f>
        <v>Gym</v>
      </c>
      <c r="P764" s="1" t="str">
        <f ca="1">IFERROR(__xludf.DUMMYFUNCTION("""COMPUTED_VALUE"""),"Inside School Building")</f>
        <v>Inside School Building</v>
      </c>
      <c r="Q764" s="1" t="str">
        <f ca="1">IFERROR(__xludf.DUMMYFUNCTION("""COMPUTED_VALUE"""),"No")</f>
        <v>No</v>
      </c>
      <c r="R764" s="1" t="str">
        <f ca="1">IFERROR(__xludf.DUMMYFUNCTION("""COMPUTED_VALUE"""),"Sport Event")</f>
        <v>Sport Event</v>
      </c>
      <c r="S764" s="5">
        <f ca="1">IFERROR(__xludf.DUMMYFUNCTION("""COMPUTED_VALUE"""),0.854166666666666)</f>
        <v>0.85416666666666596</v>
      </c>
      <c r="T764" s="1">
        <f ca="1">IFERROR(__xludf.DUMMYFUNCTION("""COMPUTED_VALUE"""),1)</f>
        <v>1</v>
      </c>
      <c r="U764" s="1" t="str">
        <f ca="1">IFERROR(__xludf.DUMMYFUNCTION("""COMPUTED_VALUE"""),"3 people shot during high school basketball game")</f>
        <v>3 people shot during high school basketball game</v>
      </c>
      <c r="V764" s="1" t="str">
        <f ca="1">IFERROR(__xludf.DUMMYFUNCTION("""COMPUTED_VALUE"""),"Following an altercation, an 18-year-old male fired shot during a high school basketball game. An SRO responded and secured the scene. A 21-year-old male died at the scene. An 18-year-old male was transported in critical condition. Another person was trea"&amp;"ted and released. Shooter fled and turn himself in to police with his attorney the following day.")</f>
        <v>Following an altercation, an 18-year-old male fired shot during a high school basketball game. An SRO responded and secured the scene. A 21-year-old male died at the scene. An 18-year-old male was transported in critical condition. Another person was treated and released. Shooter fled and turn himself in to police with his attorney the following day.</v>
      </c>
      <c r="W764" s="1" t="str">
        <f ca="1">IFERROR(__xludf.DUMMYFUNCTION("""COMPUTED_VALUE"""),"Escalation of Dispute")</f>
        <v>Escalation of Dispute</v>
      </c>
      <c r="X764" s="1" t="str">
        <f ca="1">IFERROR(__xludf.DUMMYFUNCTION("""COMPUTED_VALUE"""),"Both")</f>
        <v>Both</v>
      </c>
      <c r="Y764" s="1" t="str">
        <f ca="1">IFERROR(__xludf.DUMMYFUNCTION("""COMPUTED_VALUE"""),"No")</f>
        <v>No</v>
      </c>
      <c r="Z764" s="1"/>
      <c r="AA764" s="1" t="str">
        <f ca="1">IFERROR(__xludf.DUMMYFUNCTION("""COMPUTED_VALUE"""),"No")</f>
        <v>No</v>
      </c>
      <c r="AB764" s="1" t="str">
        <f ca="1">IFERROR(__xludf.DUMMYFUNCTION("""COMPUTED_VALUE"""),"No")</f>
        <v>No</v>
      </c>
      <c r="AC764" s="1" t="str">
        <f ca="1">IFERROR(__xludf.DUMMYFUNCTION("""COMPUTED_VALUE"""),"No")</f>
        <v>No</v>
      </c>
      <c r="AD764" s="1" t="str">
        <f ca="1">IFERROR(__xludf.DUMMYFUNCTION("""COMPUTED_VALUE"""),"No")</f>
        <v>No</v>
      </c>
      <c r="AE764" s="1" t="str">
        <f ca="1">IFERROR(__xludf.DUMMYFUNCTION("""COMPUTED_VALUE"""),"No")</f>
        <v>No</v>
      </c>
      <c r="AF764" s="1"/>
      <c r="AG764" s="1" t="str">
        <f ca="1">IFERROR(__xludf.DUMMYFUNCTION("""COMPUTED_VALUE"""),"No")</f>
        <v>No</v>
      </c>
      <c r="AH764" s="1"/>
    </row>
    <row r="765" spans="1:34" ht="12.5">
      <c r="A765" s="1" t="str">
        <f ca="1">IFERROR(__xludf.DUMMYFUNCTION("""COMPUTED_VALUE"""),"20211130OHWHW")</f>
        <v>20211130OHWHW</v>
      </c>
      <c r="B765" s="1">
        <f ca="1">IFERROR(__xludf.DUMMYFUNCTION("""COMPUTED_VALUE"""),11)</f>
        <v>11</v>
      </c>
      <c r="C765" s="1">
        <f ca="1">IFERROR(__xludf.DUMMYFUNCTION("""COMPUTED_VALUE"""),30)</f>
        <v>30</v>
      </c>
      <c r="D765" s="1">
        <f ca="1">IFERROR(__xludf.DUMMYFUNCTION("""COMPUTED_VALUE"""),2021)</f>
        <v>2021</v>
      </c>
      <c r="E765" s="4">
        <f ca="1">IFERROR(__xludf.DUMMYFUNCTION("""COMPUTED_VALUE"""),44530)</f>
        <v>44530</v>
      </c>
      <c r="F765" s="1" t="str">
        <f ca="1">IFERROR(__xludf.DUMMYFUNCTION("""COMPUTED_VALUE"""),"Whitehall Yearling High School")</f>
        <v>Whitehall Yearling High School</v>
      </c>
      <c r="G765" s="1">
        <f ca="1">IFERROR(__xludf.DUMMYFUNCTION("""COMPUTED_VALUE"""),0)</f>
        <v>0</v>
      </c>
      <c r="H765" s="1">
        <f ca="1">IFERROR(__xludf.DUMMYFUNCTION("""COMPUTED_VALUE"""),0)</f>
        <v>0</v>
      </c>
      <c r="I765" s="1">
        <f ca="1">IFERROR(__xludf.DUMMYFUNCTION("""COMPUTED_VALUE"""),0)</f>
        <v>0</v>
      </c>
      <c r="J765" s="1">
        <f ca="1">IFERROR(__xludf.DUMMYFUNCTION("""COMPUTED_VALUE"""),0)</f>
        <v>0</v>
      </c>
      <c r="K765" s="1" t="str">
        <f ca="1">IFERROR(__xludf.DUMMYFUNCTION("""COMPUTED_VALUE"""),"Fall")</f>
        <v>Fall</v>
      </c>
      <c r="L765" s="1" t="str">
        <f ca="1">IFERROR(__xludf.DUMMYFUNCTION("""COMPUTED_VALUE"""),"Whitehall")</f>
        <v>Whitehall</v>
      </c>
      <c r="M765" s="1" t="str">
        <f ca="1">IFERROR(__xludf.DUMMYFUNCTION("""COMPUTED_VALUE"""),"OH")</f>
        <v>OH</v>
      </c>
      <c r="N765" s="1" t="str">
        <f ca="1">IFERROR(__xludf.DUMMYFUNCTION("""COMPUTED_VALUE"""),"High")</f>
        <v>High</v>
      </c>
      <c r="O765" s="1" t="str">
        <f ca="1">IFERROR(__xludf.DUMMYFUNCTION("""COMPUTED_VALUE"""),"Parking Lot")</f>
        <v>Parking Lot</v>
      </c>
      <c r="P765" s="1" t="str">
        <f ca="1">IFERROR(__xludf.DUMMYFUNCTION("""COMPUTED_VALUE"""),"Outside on School Property")</f>
        <v>Outside on School Property</v>
      </c>
      <c r="Q765" s="1" t="str">
        <f ca="1">IFERROR(__xludf.DUMMYFUNCTION("""COMPUTED_VALUE"""),"No")</f>
        <v>No</v>
      </c>
      <c r="R765" s="1" t="str">
        <f ca="1">IFERROR(__xludf.DUMMYFUNCTION("""COMPUTED_VALUE"""),"Evening")</f>
        <v>Evening</v>
      </c>
      <c r="S765" s="5">
        <f ca="1">IFERROR(__xludf.DUMMYFUNCTION("""COMPUTED_VALUE"""),0.75)</f>
        <v>0.75</v>
      </c>
      <c r="T765" s="1">
        <f ca="1">IFERROR(__xludf.DUMMYFUNCTION("""COMPUTED_VALUE"""),1)</f>
        <v>1</v>
      </c>
      <c r="U765" s="1" t="str">
        <f ca="1">IFERROR(__xludf.DUMMYFUNCTION("""COMPUTED_VALUE"""),"Teen shot himself while engaged in horseplay with two other teens")</f>
        <v>Teen shot himself while engaged in horseplay with two other teens</v>
      </c>
      <c r="V765" s="1" t="str">
        <f ca="1">IFERROR(__xludf.DUMMYFUNCTION("""COMPUTED_VALUE"""),"An 18-year-old male shot himself in the leg while ""engaged in horseplay"" with a 13-year-old and 16-year-old. Shooting occurred in a school parking lot near the football field. Victim asked one of the other teens to hide the gun and claim the situation w"&amp;"as a robbery.")</f>
        <v>An 18-year-old male shot himself in the leg while "engaged in horseplay" with a 13-year-old and 16-year-old. Shooting occurred in a school parking lot near the football field. Victim asked one of the other teens to hide the gun and claim the situation was a robbery.</v>
      </c>
      <c r="W765" s="1" t="str">
        <f ca="1">IFERROR(__xludf.DUMMYFUNCTION("""COMPUTED_VALUE"""),"Accidental")</f>
        <v>Accidental</v>
      </c>
      <c r="X765" s="1" t="str">
        <f ca="1">IFERROR(__xludf.DUMMYFUNCTION("""COMPUTED_VALUE"""),"Neither")</f>
        <v>Neither</v>
      </c>
      <c r="Y765" s="1" t="str">
        <f ca="1">IFERROR(__xludf.DUMMYFUNCTION("""COMPUTED_VALUE"""),"Yes")</f>
        <v>Yes</v>
      </c>
      <c r="Z765" s="1" t="str">
        <f ca="1">IFERROR(__xludf.DUMMYFUNCTION("""COMPUTED_VALUE"""),"Asked other teen to hide gun")</f>
        <v>Asked other teen to hide gun</v>
      </c>
      <c r="AA765" s="1" t="str">
        <f ca="1">IFERROR(__xludf.DUMMYFUNCTION("""COMPUTED_VALUE"""),"No")</f>
        <v>No</v>
      </c>
      <c r="AB765" s="1" t="str">
        <f ca="1">IFERROR(__xludf.DUMMYFUNCTION("""COMPUTED_VALUE"""),"No")</f>
        <v>No</v>
      </c>
      <c r="AC765" s="1" t="str">
        <f ca="1">IFERROR(__xludf.DUMMYFUNCTION("""COMPUTED_VALUE"""),"No")</f>
        <v>No</v>
      </c>
      <c r="AD765" s="1" t="str">
        <f ca="1">IFERROR(__xludf.DUMMYFUNCTION("""COMPUTED_VALUE"""),"No")</f>
        <v>No</v>
      </c>
      <c r="AE765" s="1" t="str">
        <f ca="1">IFERROR(__xludf.DUMMYFUNCTION("""COMPUTED_VALUE"""),"No")</f>
        <v>No</v>
      </c>
      <c r="AF765" s="1" t="str">
        <f ca="1">IFERROR(__xludf.DUMMYFUNCTION("""COMPUTED_VALUE"""),"No")</f>
        <v>No</v>
      </c>
      <c r="AG765" s="1" t="str">
        <f ca="1">IFERROR(__xludf.DUMMYFUNCTION("""COMPUTED_VALUE"""),"No")</f>
        <v>No</v>
      </c>
      <c r="AH765" s="1">
        <f ca="1">IFERROR(__xludf.DUMMYFUNCTION("""COMPUTED_VALUE"""),1)</f>
        <v>1</v>
      </c>
    </row>
    <row r="766" spans="1:34" ht="12.5">
      <c r="A766" s="1" t="str">
        <f ca="1">IFERROR(__xludf.DUMMYFUNCTION("""COMPUTED_VALUE"""),"20211130MIOXO")</f>
        <v>20211130MIOXO</v>
      </c>
      <c r="B766" s="1">
        <f ca="1">IFERROR(__xludf.DUMMYFUNCTION("""COMPUTED_VALUE"""),11)</f>
        <v>11</v>
      </c>
      <c r="C766" s="1">
        <f ca="1">IFERROR(__xludf.DUMMYFUNCTION("""COMPUTED_VALUE"""),30)</f>
        <v>30</v>
      </c>
      <c r="D766" s="1">
        <f ca="1">IFERROR(__xludf.DUMMYFUNCTION("""COMPUTED_VALUE"""),2021)</f>
        <v>2021</v>
      </c>
      <c r="E766" s="4">
        <f ca="1">IFERROR(__xludf.DUMMYFUNCTION("""COMPUTED_VALUE"""),44530)</f>
        <v>44530</v>
      </c>
      <c r="F766" s="1" t="str">
        <f ca="1">IFERROR(__xludf.DUMMYFUNCTION("""COMPUTED_VALUE"""),"Oxford High School")</f>
        <v>Oxford High School</v>
      </c>
      <c r="G766" s="1">
        <f ca="1">IFERROR(__xludf.DUMMYFUNCTION("""COMPUTED_VALUE"""),4)</f>
        <v>4</v>
      </c>
      <c r="H766" s="1">
        <f ca="1">IFERROR(__xludf.DUMMYFUNCTION("""COMPUTED_VALUE"""),7)</f>
        <v>7</v>
      </c>
      <c r="I766" s="1">
        <f ca="1">IFERROR(__xludf.DUMMYFUNCTION("""COMPUTED_VALUE"""),11)</f>
        <v>11</v>
      </c>
      <c r="J766" s="1">
        <f ca="1">IFERROR(__xludf.DUMMYFUNCTION("""COMPUTED_VALUE"""),0)</f>
        <v>0</v>
      </c>
      <c r="K766" s="1" t="str">
        <f ca="1">IFERROR(__xludf.DUMMYFUNCTION("""COMPUTED_VALUE"""),"Fall")</f>
        <v>Fall</v>
      </c>
      <c r="L766" s="1" t="str">
        <f ca="1">IFERROR(__xludf.DUMMYFUNCTION("""COMPUTED_VALUE"""),"Oxford")</f>
        <v>Oxford</v>
      </c>
      <c r="M766" s="1" t="str">
        <f ca="1">IFERROR(__xludf.DUMMYFUNCTION("""COMPUTED_VALUE"""),"MI")</f>
        <v>MI</v>
      </c>
      <c r="N766" s="1" t="str">
        <f ca="1">IFERROR(__xludf.DUMMYFUNCTION("""COMPUTED_VALUE"""),"High")</f>
        <v>High</v>
      </c>
      <c r="O766" s="1" t="str">
        <f ca="1">IFERROR(__xludf.DUMMYFUNCTION("""COMPUTED_VALUE"""),"Inside School Building")</f>
        <v>Inside School Building</v>
      </c>
      <c r="P766" s="1" t="str">
        <f ca="1">IFERROR(__xludf.DUMMYFUNCTION("""COMPUTED_VALUE"""),"Inside School Building")</f>
        <v>Inside School Building</v>
      </c>
      <c r="Q766" s="1" t="str">
        <f ca="1">IFERROR(__xludf.DUMMYFUNCTION("""COMPUTED_VALUE"""),"Yes")</f>
        <v>Yes</v>
      </c>
      <c r="R766" s="1" t="str">
        <f ca="1">IFERROR(__xludf.DUMMYFUNCTION("""COMPUTED_VALUE"""),"Afternoon Classes")</f>
        <v>Afternoon Classes</v>
      </c>
      <c r="S766" s="5">
        <f ca="1">IFERROR(__xludf.DUMMYFUNCTION("""COMPUTED_VALUE"""),0.535416666666666)</f>
        <v>0.53541666666666599</v>
      </c>
      <c r="T766" s="1">
        <f ca="1">IFERROR(__xludf.DUMMYFUNCTION("""COMPUTED_VALUE"""),10)</f>
        <v>10</v>
      </c>
      <c r="U766" s="1" t="str">
        <f ca="1">IFERROR(__xludf.DUMMYFUNCTION("""COMPUTED_VALUE"""),"11 students shot during planned attack at school")</f>
        <v>11 students shot during planned attack at school</v>
      </c>
      <c r="V766" s="1" t="str">
        <f ca="1">IFERROR(__xludf.DUMMYFUNCTION("""COMPUTED_VALUE"""),"A 15-year-old male student fired 15-20 shots inside the high school killing 4 students, and injuring 6 students and 1 teacher. School went on lockdown and students barricaded classroom doors. Shooter was was not injured and was arrested by police after ex"&amp;"iting bathroom.")</f>
        <v>A 15-year-old male student fired 15-20 shots inside the high school killing 4 students, and injuring 6 students and 1 teacher. School went on lockdown and students barricaded classroom doors. Shooter was was not injured and was arrested by police after exiting bathroom.</v>
      </c>
      <c r="W766" s="1" t="str">
        <f ca="1">IFERROR(__xludf.DUMMYFUNCTION("""COMPUTED_VALUE"""),"Indiscriminate Shooting")</f>
        <v>Indiscriminate Shooting</v>
      </c>
      <c r="X766" s="1" t="str">
        <f ca="1">IFERROR(__xludf.DUMMYFUNCTION("""COMPUTED_VALUE"""),"Both")</f>
        <v>Both</v>
      </c>
      <c r="Y766" s="1" t="str">
        <f ca="1">IFERROR(__xludf.DUMMYFUNCTION("""COMPUTED_VALUE"""),"No")</f>
        <v>No</v>
      </c>
      <c r="Z766" s="1"/>
      <c r="AA766" s="1" t="str">
        <f ca="1">IFERROR(__xludf.DUMMYFUNCTION("""COMPUTED_VALUE"""),"No")</f>
        <v>No</v>
      </c>
      <c r="AB766" s="1" t="str">
        <f ca="1">IFERROR(__xludf.DUMMYFUNCTION("""COMPUTED_VALUE"""),"No")</f>
        <v>No</v>
      </c>
      <c r="AC766" s="1" t="str">
        <f ca="1">IFERROR(__xludf.DUMMYFUNCTION("""COMPUTED_VALUE"""),"No")</f>
        <v>No</v>
      </c>
      <c r="AD766" s="1"/>
      <c r="AE766" s="1" t="str">
        <f ca="1">IFERROR(__xludf.DUMMYFUNCTION("""COMPUTED_VALUE"""),"No")</f>
        <v>No</v>
      </c>
      <c r="AF766" s="1" t="str">
        <f ca="1">IFERROR(__xludf.DUMMYFUNCTION("""COMPUTED_VALUE"""),"No")</f>
        <v>No</v>
      </c>
      <c r="AG766" s="1" t="str">
        <f ca="1">IFERROR(__xludf.DUMMYFUNCTION("""COMPUTED_VALUE"""),"Yes")</f>
        <v>Yes</v>
      </c>
      <c r="AH766" s="1">
        <f ca="1">IFERROR(__xludf.DUMMYFUNCTION("""COMPUTED_VALUE"""),20)</f>
        <v>20</v>
      </c>
    </row>
    <row r="767" spans="1:34" ht="12.5">
      <c r="A767" s="1" t="str">
        <f ca="1">IFERROR(__xludf.DUMMYFUNCTION("""COMPUTED_VALUE"""),"20211130CALOL")</f>
        <v>20211130CALOL</v>
      </c>
      <c r="B767" s="1">
        <f ca="1">IFERROR(__xludf.DUMMYFUNCTION("""COMPUTED_VALUE"""),11)</f>
        <v>11</v>
      </c>
      <c r="C767" s="1">
        <f ca="1">IFERROR(__xludf.DUMMYFUNCTION("""COMPUTED_VALUE"""),30)</f>
        <v>30</v>
      </c>
      <c r="D767" s="1">
        <f ca="1">IFERROR(__xludf.DUMMYFUNCTION("""COMPUTED_VALUE"""),2021)</f>
        <v>2021</v>
      </c>
      <c r="E767" s="4">
        <f ca="1">IFERROR(__xludf.DUMMYFUNCTION("""COMPUTED_VALUE"""),44530)</f>
        <v>44530</v>
      </c>
      <c r="F767" s="1" t="str">
        <f ca="1">IFERROR(__xludf.DUMMYFUNCTION("""COMPUTED_VALUE"""),"Los Angeles School Bus")</f>
        <v>Los Angeles School Bus</v>
      </c>
      <c r="G767" s="1">
        <f ca="1">IFERROR(__xludf.DUMMYFUNCTION("""COMPUTED_VALUE"""),0)</f>
        <v>0</v>
      </c>
      <c r="H767" s="1">
        <f ca="1">IFERROR(__xludf.DUMMYFUNCTION("""COMPUTED_VALUE"""),0)</f>
        <v>0</v>
      </c>
      <c r="I767" s="1">
        <f ca="1">IFERROR(__xludf.DUMMYFUNCTION("""COMPUTED_VALUE"""),0)</f>
        <v>0</v>
      </c>
      <c r="J767" s="1">
        <f ca="1">IFERROR(__xludf.DUMMYFUNCTION("""COMPUTED_VALUE"""),0)</f>
        <v>0</v>
      </c>
      <c r="K767" s="1" t="str">
        <f ca="1">IFERROR(__xludf.DUMMYFUNCTION("""COMPUTED_VALUE"""),"Fall")</f>
        <v>Fall</v>
      </c>
      <c r="L767" s="1" t="str">
        <f ca="1">IFERROR(__xludf.DUMMYFUNCTION("""COMPUTED_VALUE"""),"Los Angeles")</f>
        <v>Los Angeles</v>
      </c>
      <c r="M767" s="1" t="str">
        <f ca="1">IFERROR(__xludf.DUMMYFUNCTION("""COMPUTED_VALUE"""),"CA")</f>
        <v>CA</v>
      </c>
      <c r="N767" s="1"/>
      <c r="O767" s="1" t="str">
        <f ca="1">IFERROR(__xludf.DUMMYFUNCTION("""COMPUTED_VALUE"""),"School Bus")</f>
        <v>School Bus</v>
      </c>
      <c r="P767" s="1" t="str">
        <f ca="1">IFERROR(__xludf.DUMMYFUNCTION("""COMPUTED_VALUE"""),"School Bus")</f>
        <v>School Bus</v>
      </c>
      <c r="Q767" s="1" t="str">
        <f ca="1">IFERROR(__xludf.DUMMYFUNCTION("""COMPUTED_VALUE"""),"No")</f>
        <v>No</v>
      </c>
      <c r="R767" s="1" t="str">
        <f ca="1">IFERROR(__xludf.DUMMYFUNCTION("""COMPUTED_VALUE"""),"Evening")</f>
        <v>Evening</v>
      </c>
      <c r="S767" s="5">
        <f ca="1">IFERROR(__xludf.DUMMYFUNCTION("""COMPUTED_VALUE"""),0.729166666666666)</f>
        <v>0.72916666666666596</v>
      </c>
      <c r="T767" s="1">
        <f ca="1">IFERROR(__xludf.DUMMYFUNCTION("""COMPUTED_VALUE"""),1)</f>
        <v>1</v>
      </c>
      <c r="U767" s="1" t="str">
        <f ca="1">IFERROR(__xludf.DUMMYFUNCTION("""COMPUTED_VALUE"""),"Back window of school bus shot out while driving")</f>
        <v>Back window of school bus shot out while driving</v>
      </c>
      <c r="V767" s="1" t="str">
        <f ca="1">IFERROR(__xludf.DUMMYFUNCTION("""COMPUTED_VALUE"""),"The back window of a school bus was shot out while driving. No students were on the bus. Police determined a BB gun was fired. Shooter fled.")</f>
        <v>The back window of a school bus was shot out while driving. No students were on the bus. Police determined a BB gun was fired. Shooter fled.</v>
      </c>
      <c r="W767" s="1" t="str">
        <f ca="1">IFERROR(__xludf.DUMMYFUNCTION("""COMPUTED_VALUE"""),"Intentional Property Damage")</f>
        <v>Intentional Property Damage</v>
      </c>
      <c r="X767" s="1" t="str">
        <f ca="1">IFERROR(__xludf.DUMMYFUNCTION("""COMPUTED_VALUE"""),"Neither")</f>
        <v>Neither</v>
      </c>
      <c r="Y767" s="1" t="str">
        <f ca="1">IFERROR(__xludf.DUMMYFUNCTION("""COMPUTED_VALUE"""),"No")</f>
        <v>No</v>
      </c>
      <c r="Z767" s="1"/>
      <c r="AA767" s="1" t="str">
        <f ca="1">IFERROR(__xludf.DUMMYFUNCTION("""COMPUTED_VALUE"""),"No")</f>
        <v>No</v>
      </c>
      <c r="AB767" s="1" t="str">
        <f ca="1">IFERROR(__xludf.DUMMYFUNCTION("""COMPUTED_VALUE"""),"No")</f>
        <v>No</v>
      </c>
      <c r="AC767" s="1" t="str">
        <f ca="1">IFERROR(__xludf.DUMMYFUNCTION("""COMPUTED_VALUE"""),"No")</f>
        <v>No</v>
      </c>
      <c r="AD767" s="1" t="str">
        <f ca="1">IFERROR(__xludf.DUMMYFUNCTION("""COMPUTED_VALUE"""),"No")</f>
        <v>No</v>
      </c>
      <c r="AE767" s="1" t="str">
        <f ca="1">IFERROR(__xludf.DUMMYFUNCTION("""COMPUTED_VALUE"""),"No")</f>
        <v>No</v>
      </c>
      <c r="AF767" s="1" t="str">
        <f ca="1">IFERROR(__xludf.DUMMYFUNCTION("""COMPUTED_VALUE"""),"No")</f>
        <v>No</v>
      </c>
      <c r="AG767" s="1" t="str">
        <f ca="1">IFERROR(__xludf.DUMMYFUNCTION("""COMPUTED_VALUE"""),"No")</f>
        <v>No</v>
      </c>
      <c r="AH767" s="1"/>
    </row>
    <row r="768" spans="1:34" ht="12.5">
      <c r="A768" s="1" t="str">
        <f ca="1">IFERROR(__xludf.DUMMYFUNCTION("""COMPUTED_VALUE"""),"20211129ILWER")</f>
        <v>20211129ILWER</v>
      </c>
      <c r="B768" s="1">
        <f ca="1">IFERROR(__xludf.DUMMYFUNCTION("""COMPUTED_VALUE"""),11)</f>
        <v>11</v>
      </c>
      <c r="C768" s="1">
        <f ca="1">IFERROR(__xludf.DUMMYFUNCTION("""COMPUTED_VALUE"""),29)</f>
        <v>29</v>
      </c>
      <c r="D768" s="1">
        <f ca="1">IFERROR(__xludf.DUMMYFUNCTION("""COMPUTED_VALUE"""),2021)</f>
        <v>2021</v>
      </c>
      <c r="E768" s="4">
        <f ca="1">IFERROR(__xludf.DUMMYFUNCTION("""COMPUTED_VALUE"""),44529)</f>
        <v>44529</v>
      </c>
      <c r="F768" s="1" t="str">
        <f ca="1">IFERROR(__xludf.DUMMYFUNCTION("""COMPUTED_VALUE"""),"West Middle School")</f>
        <v>West Middle School</v>
      </c>
      <c r="G768" s="1">
        <f ca="1">IFERROR(__xludf.DUMMYFUNCTION("""COMPUTED_VALUE"""),0)</f>
        <v>0</v>
      </c>
      <c r="H768" s="1">
        <f ca="1">IFERROR(__xludf.DUMMYFUNCTION("""COMPUTED_VALUE"""),0)</f>
        <v>0</v>
      </c>
      <c r="I768" s="1">
        <f ca="1">IFERROR(__xludf.DUMMYFUNCTION("""COMPUTED_VALUE"""),0)</f>
        <v>0</v>
      </c>
      <c r="J768" s="1">
        <f ca="1">IFERROR(__xludf.DUMMYFUNCTION("""COMPUTED_VALUE"""),0)</f>
        <v>0</v>
      </c>
      <c r="K768" s="1" t="str">
        <f ca="1">IFERROR(__xludf.DUMMYFUNCTION("""COMPUTED_VALUE"""),"Fall")</f>
        <v>Fall</v>
      </c>
      <c r="L768" s="1" t="str">
        <f ca="1">IFERROR(__xludf.DUMMYFUNCTION("""COMPUTED_VALUE"""),"Rockford")</f>
        <v>Rockford</v>
      </c>
      <c r="M768" s="1" t="str">
        <f ca="1">IFERROR(__xludf.DUMMYFUNCTION("""COMPUTED_VALUE"""),"IL")</f>
        <v>IL</v>
      </c>
      <c r="N768" s="1" t="str">
        <f ca="1">IFERROR(__xludf.DUMMYFUNCTION("""COMPUTED_VALUE"""),"Middle")</f>
        <v>Middle</v>
      </c>
      <c r="O768" s="1" t="str">
        <f ca="1">IFERROR(__xludf.DUMMYFUNCTION("""COMPUTED_VALUE"""),"Beside Building")</f>
        <v>Beside Building</v>
      </c>
      <c r="P768" s="1" t="str">
        <f ca="1">IFERROR(__xludf.DUMMYFUNCTION("""COMPUTED_VALUE"""),"Outside on School Property")</f>
        <v>Outside on School Property</v>
      </c>
      <c r="Q768" s="1" t="str">
        <f ca="1">IFERROR(__xludf.DUMMYFUNCTION("""COMPUTED_VALUE"""),"No")</f>
        <v>No</v>
      </c>
      <c r="R768" s="1" t="str">
        <f ca="1">IFERROR(__xludf.DUMMYFUNCTION("""COMPUTED_VALUE"""),"After School")</f>
        <v>After School</v>
      </c>
      <c r="S768" s="5">
        <f ca="1">IFERROR(__xludf.DUMMYFUNCTION("""COMPUTED_VALUE"""),0.666666666666666)</f>
        <v>0.66666666666666596</v>
      </c>
      <c r="T768" s="1">
        <f ca="1">IFERROR(__xludf.DUMMYFUNCTION("""COMPUTED_VALUE"""),1)</f>
        <v>1</v>
      </c>
      <c r="U768" s="1" t="str">
        <f ca="1">IFERROR(__xludf.DUMMYFUNCTION("""COMPUTED_VALUE"""),"Shot fired behind the school, 4 teens seen running away")</f>
        <v>Shot fired behind the school, 4 teens seen running away</v>
      </c>
      <c r="V768" s="1" t="str">
        <f ca="1">IFERROR(__xludf.DUMMYFUNCTION("""COMPUTED_VALUE"""),"Shots were fired behind the school. 4 teens were seen running away. No injuries reported. A teen was shot during a fight outside the school in August 2021.")</f>
        <v>Shots were fired behind the school. 4 teens were seen running away. No injuries reported. A teen was shot during a fight outside the school in August 2021.</v>
      </c>
      <c r="W768" s="1"/>
      <c r="X768" s="1"/>
      <c r="Y768" s="1" t="str">
        <f ca="1">IFERROR(__xludf.DUMMYFUNCTION("""COMPUTED_VALUE"""),"No")</f>
        <v>No</v>
      </c>
      <c r="Z768" s="1"/>
      <c r="AA768" s="1" t="str">
        <f ca="1">IFERROR(__xludf.DUMMYFUNCTION("""COMPUTED_VALUE"""),"No")</f>
        <v>No</v>
      </c>
      <c r="AB768" s="1" t="str">
        <f ca="1">IFERROR(__xludf.DUMMYFUNCTION("""COMPUTED_VALUE"""),"No")</f>
        <v>No</v>
      </c>
      <c r="AC768" s="1" t="str">
        <f ca="1">IFERROR(__xludf.DUMMYFUNCTION("""COMPUTED_VALUE"""),"No")</f>
        <v>No</v>
      </c>
      <c r="AD768" s="1" t="str">
        <f ca="1">IFERROR(__xludf.DUMMYFUNCTION("""COMPUTED_VALUE"""),"No")</f>
        <v>No</v>
      </c>
      <c r="AE768" s="1" t="str">
        <f ca="1">IFERROR(__xludf.DUMMYFUNCTION("""COMPUTED_VALUE"""),"No")</f>
        <v>No</v>
      </c>
      <c r="AF768" s="1"/>
      <c r="AG768" s="1" t="str">
        <f ca="1">IFERROR(__xludf.DUMMYFUNCTION("""COMPUTED_VALUE"""),"No")</f>
        <v>No</v>
      </c>
      <c r="AH768" s="1"/>
    </row>
    <row r="769" spans="1:34" ht="12.5">
      <c r="A769" s="1" t="str">
        <f ca="1">IFERROR(__xludf.DUMMYFUNCTION("""COMPUTED_VALUE"""),"20211129AZCHP")</f>
        <v>20211129AZCHP</v>
      </c>
      <c r="B769" s="1">
        <f ca="1">IFERROR(__xludf.DUMMYFUNCTION("""COMPUTED_VALUE"""),11)</f>
        <v>11</v>
      </c>
      <c r="C769" s="1">
        <f ca="1">IFERROR(__xludf.DUMMYFUNCTION("""COMPUTED_VALUE"""),29)</f>
        <v>29</v>
      </c>
      <c r="D769" s="1">
        <f ca="1">IFERROR(__xludf.DUMMYFUNCTION("""COMPUTED_VALUE"""),2021)</f>
        <v>2021</v>
      </c>
      <c r="E769" s="4">
        <f ca="1">IFERROR(__xludf.DUMMYFUNCTION("""COMPUTED_VALUE"""),44529)</f>
        <v>44529</v>
      </c>
      <c r="F769" s="1" t="str">
        <f ca="1">IFERROR(__xludf.DUMMYFUNCTION("""COMPUTED_VALUE"""),"Cesar Chavez High School")</f>
        <v>Cesar Chavez High School</v>
      </c>
      <c r="G769" s="1">
        <f ca="1">IFERROR(__xludf.DUMMYFUNCTION("""COMPUTED_VALUE"""),0)</f>
        <v>0</v>
      </c>
      <c r="H769" s="1">
        <f ca="1">IFERROR(__xludf.DUMMYFUNCTION("""COMPUTED_VALUE"""),1)</f>
        <v>1</v>
      </c>
      <c r="I769" s="1">
        <f ca="1">IFERROR(__xludf.DUMMYFUNCTION("""COMPUTED_VALUE"""),1)</f>
        <v>1</v>
      </c>
      <c r="J769" s="1">
        <f ca="1">IFERROR(__xludf.DUMMYFUNCTION("""COMPUTED_VALUE"""),0)</f>
        <v>0</v>
      </c>
      <c r="K769" s="1" t="str">
        <f ca="1">IFERROR(__xludf.DUMMYFUNCTION("""COMPUTED_VALUE"""),"Fall")</f>
        <v>Fall</v>
      </c>
      <c r="L769" s="1" t="str">
        <f ca="1">IFERROR(__xludf.DUMMYFUNCTION("""COMPUTED_VALUE"""),"Phoenix")</f>
        <v>Phoenix</v>
      </c>
      <c r="M769" s="1" t="str">
        <f ca="1">IFERROR(__xludf.DUMMYFUNCTION("""COMPUTED_VALUE"""),"AZ")</f>
        <v>AZ</v>
      </c>
      <c r="N769" s="1" t="str">
        <f ca="1">IFERROR(__xludf.DUMMYFUNCTION("""COMPUTED_VALUE"""),"High")</f>
        <v>High</v>
      </c>
      <c r="O769" s="1" t="str">
        <f ca="1">IFERROR(__xludf.DUMMYFUNCTION("""COMPUTED_VALUE"""),"Bathroom")</f>
        <v>Bathroom</v>
      </c>
      <c r="P769" s="1" t="str">
        <f ca="1">IFERROR(__xludf.DUMMYFUNCTION("""COMPUTED_VALUE"""),"Inside School Building")</f>
        <v>Inside School Building</v>
      </c>
      <c r="Q769" s="1" t="str">
        <f ca="1">IFERROR(__xludf.DUMMYFUNCTION("""COMPUTED_VALUE"""),"Yes")</f>
        <v>Yes</v>
      </c>
      <c r="R769" s="1" t="str">
        <f ca="1">IFERROR(__xludf.DUMMYFUNCTION("""COMPUTED_VALUE"""),"Afternoon Classes")</f>
        <v>Afternoon Classes</v>
      </c>
      <c r="S769" s="5">
        <f ca="1">IFERROR(__xludf.DUMMYFUNCTION("""COMPUTED_VALUE"""),0.625)</f>
        <v>0.625</v>
      </c>
      <c r="T769" s="1">
        <f ca="1">IFERROR(__xludf.DUMMYFUNCTION("""COMPUTED_VALUE"""),1)</f>
        <v>1</v>
      </c>
      <c r="U769" s="1" t="str">
        <f ca="1">IFERROR(__xludf.DUMMYFUNCTION("""COMPUTED_VALUE"""),"Student shot during fight in bathroom")</f>
        <v>Student shot during fight in bathroom</v>
      </c>
      <c r="V769" s="1" t="str">
        <f ca="1">IFERROR(__xludf.DUMMYFUNCTION("""COMPUTED_VALUE"""),"A 16-year-old male student was shot during a fight in the school bathroom. The shooter fled. School was locked down and police responded for an active shooter. Students were evacuated to an alternate location. School district announced backpacks will be b"&amp;"anned until further notice following the shooting.")</f>
        <v>A 16-year-old male student was shot during a fight in the school bathroom. The shooter fled. School was locked down and police responded for an active shooter. Students were evacuated to an alternate location. School district announced backpacks will be banned until further notice following the shooting.</v>
      </c>
      <c r="W769" s="1" t="str">
        <f ca="1">IFERROR(__xludf.DUMMYFUNCTION("""COMPUTED_VALUE"""),"Escalation of Dispute")</f>
        <v>Escalation of Dispute</v>
      </c>
      <c r="X769" s="1" t="str">
        <f ca="1">IFERROR(__xludf.DUMMYFUNCTION("""COMPUTED_VALUE"""),"Victims Targeted")</f>
        <v>Victims Targeted</v>
      </c>
      <c r="Y769" s="1" t="str">
        <f ca="1">IFERROR(__xludf.DUMMYFUNCTION("""COMPUTED_VALUE"""),"No")</f>
        <v>No</v>
      </c>
      <c r="Z769" s="1"/>
      <c r="AA769" s="1" t="str">
        <f ca="1">IFERROR(__xludf.DUMMYFUNCTION("""COMPUTED_VALUE"""),"No")</f>
        <v>No</v>
      </c>
      <c r="AB769" s="1" t="str">
        <f ca="1">IFERROR(__xludf.DUMMYFUNCTION("""COMPUTED_VALUE"""),"No")</f>
        <v>No</v>
      </c>
      <c r="AC769" s="1" t="str">
        <f ca="1">IFERROR(__xludf.DUMMYFUNCTION("""COMPUTED_VALUE"""),"No")</f>
        <v>No</v>
      </c>
      <c r="AD769" s="1"/>
      <c r="AE769" s="1" t="str">
        <f ca="1">IFERROR(__xludf.DUMMYFUNCTION("""COMPUTED_VALUE"""),"No")</f>
        <v>No</v>
      </c>
      <c r="AF769" s="1" t="str">
        <f ca="1">IFERROR(__xludf.DUMMYFUNCTION("""COMPUTED_VALUE"""),"No")</f>
        <v>No</v>
      </c>
      <c r="AG769" s="1" t="str">
        <f ca="1">IFERROR(__xludf.DUMMYFUNCTION("""COMPUTED_VALUE"""),"No")</f>
        <v>No</v>
      </c>
      <c r="AH769" s="1"/>
    </row>
    <row r="770" spans="1:34" ht="12.5">
      <c r="A770" s="1" t="str">
        <f ca="1">IFERROR(__xludf.DUMMYFUNCTION("""COMPUTED_VALUE"""),"20211126CAWES")</f>
        <v>20211126CAWES</v>
      </c>
      <c r="B770" s="1">
        <f ca="1">IFERROR(__xludf.DUMMYFUNCTION("""COMPUTED_VALUE"""),11)</f>
        <v>11</v>
      </c>
      <c r="C770" s="1">
        <f ca="1">IFERROR(__xludf.DUMMYFUNCTION("""COMPUTED_VALUE"""),26)</f>
        <v>26</v>
      </c>
      <c r="D770" s="1">
        <f ca="1">IFERROR(__xludf.DUMMYFUNCTION("""COMPUTED_VALUE"""),2021)</f>
        <v>2021</v>
      </c>
      <c r="E770" s="4">
        <f ca="1">IFERROR(__xludf.DUMMYFUNCTION("""COMPUTED_VALUE"""),44526)</f>
        <v>44526</v>
      </c>
      <c r="F770" s="1" t="str">
        <f ca="1">IFERROR(__xludf.DUMMYFUNCTION("""COMPUTED_VALUE"""),"Westmount High School")</f>
        <v>Westmount High School</v>
      </c>
      <c r="G770" s="1">
        <f ca="1">IFERROR(__xludf.DUMMYFUNCTION("""COMPUTED_VALUE"""),0)</f>
        <v>0</v>
      </c>
      <c r="H770" s="1">
        <f ca="1">IFERROR(__xludf.DUMMYFUNCTION("""COMPUTED_VALUE"""),2)</f>
        <v>2</v>
      </c>
      <c r="I770" s="1">
        <f ca="1">IFERROR(__xludf.DUMMYFUNCTION("""COMPUTED_VALUE"""),2)</f>
        <v>2</v>
      </c>
      <c r="J770" s="1">
        <f ca="1">IFERROR(__xludf.DUMMYFUNCTION("""COMPUTED_VALUE"""),0)</f>
        <v>0</v>
      </c>
      <c r="K770" s="1" t="str">
        <f ca="1">IFERROR(__xludf.DUMMYFUNCTION("""COMPUTED_VALUE"""),"Fall")</f>
        <v>Fall</v>
      </c>
      <c r="L770" s="1" t="str">
        <f ca="1">IFERROR(__xludf.DUMMYFUNCTION("""COMPUTED_VALUE"""),"San Jose")</f>
        <v>San Jose</v>
      </c>
      <c r="M770" s="1" t="str">
        <f ca="1">IFERROR(__xludf.DUMMYFUNCTION("""COMPUTED_VALUE"""),"CA")</f>
        <v>CA</v>
      </c>
      <c r="N770" s="1" t="str">
        <f ca="1">IFERROR(__xludf.DUMMYFUNCTION("""COMPUTED_VALUE"""),"High")</f>
        <v>High</v>
      </c>
      <c r="O770" s="1" t="str">
        <f ca="1">IFERROR(__xludf.DUMMYFUNCTION("""COMPUTED_VALUE"""),"Parking Lot")</f>
        <v>Parking Lot</v>
      </c>
      <c r="P770" s="1" t="str">
        <f ca="1">IFERROR(__xludf.DUMMYFUNCTION("""COMPUTED_VALUE"""),"Outside on School Property")</f>
        <v>Outside on School Property</v>
      </c>
      <c r="Q770" s="1" t="str">
        <f ca="1">IFERROR(__xludf.DUMMYFUNCTION("""COMPUTED_VALUE"""),"No")</f>
        <v>No</v>
      </c>
      <c r="R770" s="1" t="str">
        <f ca="1">IFERROR(__xludf.DUMMYFUNCTION("""COMPUTED_VALUE"""),"Sport Event")</f>
        <v>Sport Event</v>
      </c>
      <c r="S770" s="5">
        <f ca="1">IFERROR(__xludf.DUMMYFUNCTION("""COMPUTED_VALUE"""),0.875)</f>
        <v>0.875</v>
      </c>
      <c r="T770" s="1">
        <f ca="1">IFERROR(__xludf.DUMMYFUNCTION("""COMPUTED_VALUE"""),1)</f>
        <v>1</v>
      </c>
      <c r="U770" s="1" t="str">
        <f ca="1">IFERROR(__xludf.DUMMYFUNCTION("""COMPUTED_VALUE"""),"Two men shot in the parking lot during playoff football game, stadium evacuated")</f>
        <v>Two men shot in the parking lot during playoff football game, stadium evacuated</v>
      </c>
      <c r="V770" s="1" t="str">
        <f ca="1">IFERROR(__xludf.DUMMYFUNCTION("""COMPUTED_VALUE"""),"Rival schools (St. Francis and Serra high schools) were playing a playoff football game at West Mount High School. With 2:00 left in the game, shots were fired in the parking lot injuring 2 adult men. Fans believed an active shooter was in the stadium and"&amp;" evacuated. Players ran off the field when the shots were fired. After an all clear was given, the end of the game resumed. Shooter fled.")</f>
        <v>Rival schools (St. Francis and Serra high schools) were playing a playoff football game at West Mount High School. With 2:00 left in the game, shots were fired in the parking lot injuring 2 adult men. Fans believed an active shooter was in the stadium and evacuated. Players ran off the field when the shots were fired. After an all clear was given, the end of the game resumed. Shooter fled.</v>
      </c>
      <c r="W770" s="1" t="str">
        <f ca="1">IFERROR(__xludf.DUMMYFUNCTION("""COMPUTED_VALUE"""),"Escalation of Dispute")</f>
        <v>Escalation of Dispute</v>
      </c>
      <c r="X770" s="1" t="str">
        <f ca="1">IFERROR(__xludf.DUMMYFUNCTION("""COMPUTED_VALUE"""),"Victims Targeted")</f>
        <v>Victims Targeted</v>
      </c>
      <c r="Y770" s="1" t="str">
        <f ca="1">IFERROR(__xludf.DUMMYFUNCTION("""COMPUTED_VALUE"""),"No")</f>
        <v>No</v>
      </c>
      <c r="Z770" s="1"/>
      <c r="AA770" s="1" t="str">
        <f ca="1">IFERROR(__xludf.DUMMYFUNCTION("""COMPUTED_VALUE"""),"No")</f>
        <v>No</v>
      </c>
      <c r="AB770" s="1" t="str">
        <f ca="1">IFERROR(__xludf.DUMMYFUNCTION("""COMPUTED_VALUE"""),"No")</f>
        <v>No</v>
      </c>
      <c r="AC770" s="1" t="str">
        <f ca="1">IFERROR(__xludf.DUMMYFUNCTION("""COMPUTED_VALUE"""),"No")</f>
        <v>No</v>
      </c>
      <c r="AD770" s="1" t="str">
        <f ca="1">IFERROR(__xludf.DUMMYFUNCTION("""COMPUTED_VALUE"""),"No")</f>
        <v>No</v>
      </c>
      <c r="AE770" s="1" t="str">
        <f ca="1">IFERROR(__xludf.DUMMYFUNCTION("""COMPUTED_VALUE"""),"No")</f>
        <v>No</v>
      </c>
      <c r="AF770" s="1"/>
      <c r="AG770" s="1" t="str">
        <f ca="1">IFERROR(__xludf.DUMMYFUNCTION("""COMPUTED_VALUE"""),"No")</f>
        <v>No</v>
      </c>
      <c r="AH770" s="1"/>
    </row>
    <row r="771" spans="1:34" ht="12.5">
      <c r="A771" s="1" t="str">
        <f ca="1">IFERROR(__xludf.DUMMYFUNCTION("""COMPUTED_VALUE"""),"20211125SCCEP")</f>
        <v>20211125SCCEP</v>
      </c>
      <c r="B771" s="1">
        <f ca="1">IFERROR(__xludf.DUMMYFUNCTION("""COMPUTED_VALUE"""),11)</f>
        <v>11</v>
      </c>
      <c r="C771" s="1">
        <f ca="1">IFERROR(__xludf.DUMMYFUNCTION("""COMPUTED_VALUE"""),24)</f>
        <v>24</v>
      </c>
      <c r="D771" s="1">
        <f ca="1">IFERROR(__xludf.DUMMYFUNCTION("""COMPUTED_VALUE"""),2021)</f>
        <v>2021</v>
      </c>
      <c r="E771" s="4">
        <f ca="1">IFERROR(__xludf.DUMMYFUNCTION("""COMPUTED_VALUE"""),44525)</f>
        <v>44525</v>
      </c>
      <c r="F771" s="1" t="str">
        <f ca="1">IFERROR(__xludf.DUMMYFUNCTION("""COMPUTED_VALUE"""),"Central High School")</f>
        <v>Central High School</v>
      </c>
      <c r="G771" s="1">
        <f ca="1">IFERROR(__xludf.DUMMYFUNCTION("""COMPUTED_VALUE"""),0)</f>
        <v>0</v>
      </c>
      <c r="H771" s="1">
        <f ca="1">IFERROR(__xludf.DUMMYFUNCTION("""COMPUTED_VALUE"""),0)</f>
        <v>0</v>
      </c>
      <c r="I771" s="1">
        <f ca="1">IFERROR(__xludf.DUMMYFUNCTION("""COMPUTED_VALUE"""),0)</f>
        <v>0</v>
      </c>
      <c r="J771" s="1">
        <f ca="1">IFERROR(__xludf.DUMMYFUNCTION("""COMPUTED_VALUE"""),0)</f>
        <v>0</v>
      </c>
      <c r="K771" s="1" t="str">
        <f ca="1">IFERROR(__xludf.DUMMYFUNCTION("""COMPUTED_VALUE"""),"Fall")</f>
        <v>Fall</v>
      </c>
      <c r="L771" s="1" t="str">
        <f ca="1">IFERROR(__xludf.DUMMYFUNCTION("""COMPUTED_VALUE"""),"Pageland")</f>
        <v>Pageland</v>
      </c>
      <c r="M771" s="1" t="str">
        <f ca="1">IFERROR(__xludf.DUMMYFUNCTION("""COMPUTED_VALUE"""),"SC")</f>
        <v>SC</v>
      </c>
      <c r="N771" s="1" t="str">
        <f ca="1">IFERROR(__xludf.DUMMYFUNCTION("""COMPUTED_VALUE"""),"High")</f>
        <v>High</v>
      </c>
      <c r="O771" s="1" t="str">
        <f ca="1">IFERROR(__xludf.DUMMYFUNCTION("""COMPUTED_VALUE"""),"Outside on School Property")</f>
        <v>Outside on School Property</v>
      </c>
      <c r="P771" s="1" t="str">
        <f ca="1">IFERROR(__xludf.DUMMYFUNCTION("""COMPUTED_VALUE"""),"Outside on School Property")</f>
        <v>Outside on School Property</v>
      </c>
      <c r="Q771" s="1" t="str">
        <f ca="1">IFERROR(__xludf.DUMMYFUNCTION("""COMPUTED_VALUE"""),"No")</f>
        <v>No</v>
      </c>
      <c r="R771" s="1" t="str">
        <f ca="1">IFERROR(__xludf.DUMMYFUNCTION("""COMPUTED_VALUE"""),"Night")</f>
        <v>Night</v>
      </c>
      <c r="S771" s="1"/>
      <c r="T771" s="1">
        <f ca="1">IFERROR(__xludf.DUMMYFUNCTION("""COMPUTED_VALUE"""),1)</f>
        <v>1</v>
      </c>
      <c r="U771" s="1" t="str">
        <f ca="1">IFERROR(__xludf.DUMMYFUNCTION("""COMPUTED_VALUE"""),"Multiple FFA goats and chickens shot")</f>
        <v>Multiple FFA goats and chickens shot</v>
      </c>
      <c r="V771" s="1" t="str">
        <f ca="1">IFERROR(__xludf.DUMMYFUNCTION("""COMPUTED_VALUE"""),"An unknown shooter killed multiple Future Farmers of America goats and chickens being raised by students at the school.")</f>
        <v>An unknown shooter killed multiple Future Farmers of America goats and chickens being raised by students at the school.</v>
      </c>
      <c r="W771" s="1"/>
      <c r="X771" s="1"/>
      <c r="Y771" s="1"/>
      <c r="Z771" s="1"/>
      <c r="AA771" s="1" t="str">
        <f ca="1">IFERROR(__xludf.DUMMYFUNCTION("""COMPUTED_VALUE"""),"No")</f>
        <v>No</v>
      </c>
      <c r="AB771" s="1" t="str">
        <f ca="1">IFERROR(__xludf.DUMMYFUNCTION("""COMPUTED_VALUE"""),"No")</f>
        <v>No</v>
      </c>
      <c r="AC771" s="1" t="str">
        <f ca="1">IFERROR(__xludf.DUMMYFUNCTION("""COMPUTED_VALUE"""),"No")</f>
        <v>No</v>
      </c>
      <c r="AD771" s="1"/>
      <c r="AE771" s="1" t="str">
        <f ca="1">IFERROR(__xludf.DUMMYFUNCTION("""COMPUTED_VALUE"""),"No")</f>
        <v>No</v>
      </c>
      <c r="AF771" s="1" t="str">
        <f ca="1">IFERROR(__xludf.DUMMYFUNCTION("""COMPUTED_VALUE"""),"No")</f>
        <v>No</v>
      </c>
      <c r="AG771" s="1" t="str">
        <f ca="1">IFERROR(__xludf.DUMMYFUNCTION("""COMPUTED_VALUE"""),"No")</f>
        <v>No</v>
      </c>
      <c r="AH771" s="1"/>
    </row>
    <row r="772" spans="1:34" ht="12.5">
      <c r="A772" s="1" t="str">
        <f ca="1">IFERROR(__xludf.DUMMYFUNCTION("""COMPUTED_VALUE"""),"20211124ILTHH")</f>
        <v>20211124ILTHH</v>
      </c>
      <c r="B772" s="1">
        <f ca="1">IFERROR(__xludf.DUMMYFUNCTION("""COMPUTED_VALUE"""),11)</f>
        <v>11</v>
      </c>
      <c r="C772" s="1">
        <f ca="1">IFERROR(__xludf.DUMMYFUNCTION("""COMPUTED_VALUE"""),24)</f>
        <v>24</v>
      </c>
      <c r="D772" s="1">
        <f ca="1">IFERROR(__xludf.DUMMYFUNCTION("""COMPUTED_VALUE"""),2021)</f>
        <v>2021</v>
      </c>
      <c r="E772" s="4">
        <f ca="1">IFERROR(__xludf.DUMMYFUNCTION("""COMPUTED_VALUE"""),44524)</f>
        <v>44524</v>
      </c>
      <c r="F772" s="1" t="str">
        <f ca="1">IFERROR(__xludf.DUMMYFUNCTION("""COMPUTED_VALUE"""),"Thornton Township High School")</f>
        <v>Thornton Township High School</v>
      </c>
      <c r="G772" s="1">
        <f ca="1">IFERROR(__xludf.DUMMYFUNCTION("""COMPUTED_VALUE"""),0)</f>
        <v>0</v>
      </c>
      <c r="H772" s="1">
        <f ca="1">IFERROR(__xludf.DUMMYFUNCTION("""COMPUTED_VALUE"""),0)</f>
        <v>0</v>
      </c>
      <c r="I772" s="1">
        <f ca="1">IFERROR(__xludf.DUMMYFUNCTION("""COMPUTED_VALUE"""),0)</f>
        <v>0</v>
      </c>
      <c r="J772" s="1">
        <f ca="1">IFERROR(__xludf.DUMMYFUNCTION("""COMPUTED_VALUE"""),0)</f>
        <v>0</v>
      </c>
      <c r="K772" s="1" t="str">
        <f ca="1">IFERROR(__xludf.DUMMYFUNCTION("""COMPUTED_VALUE"""),"Fall")</f>
        <v>Fall</v>
      </c>
      <c r="L772" s="1" t="str">
        <f ca="1">IFERROR(__xludf.DUMMYFUNCTION("""COMPUTED_VALUE"""),"Harvey")</f>
        <v>Harvey</v>
      </c>
      <c r="M772" s="1" t="str">
        <f ca="1">IFERROR(__xludf.DUMMYFUNCTION("""COMPUTED_VALUE"""),"IL")</f>
        <v>IL</v>
      </c>
      <c r="N772" s="1" t="str">
        <f ca="1">IFERROR(__xludf.DUMMYFUNCTION("""COMPUTED_VALUE"""),"High")</f>
        <v>High</v>
      </c>
      <c r="O772" s="1" t="str">
        <f ca="1">IFERROR(__xludf.DUMMYFUNCTION("""COMPUTED_VALUE"""),"Front of School")</f>
        <v>Front of School</v>
      </c>
      <c r="P772" s="1" t="str">
        <f ca="1">IFERROR(__xludf.DUMMYFUNCTION("""COMPUTED_VALUE"""),"Outside on School Property")</f>
        <v>Outside on School Property</v>
      </c>
      <c r="Q772" s="1" t="str">
        <f ca="1">IFERROR(__xludf.DUMMYFUNCTION("""COMPUTED_VALUE"""),"Yes")</f>
        <v>Yes</v>
      </c>
      <c r="R772" s="1" t="str">
        <f ca="1">IFERROR(__xludf.DUMMYFUNCTION("""COMPUTED_VALUE"""),"Dismissal")</f>
        <v>Dismissal</v>
      </c>
      <c r="S772" s="5">
        <f ca="1">IFERROR(__xludf.DUMMYFUNCTION("""COMPUTED_VALUE"""),0.625)</f>
        <v>0.625</v>
      </c>
      <c r="T772" s="1">
        <f ca="1">IFERROR(__xludf.DUMMYFUNCTION("""COMPUTED_VALUE"""),1)</f>
        <v>1</v>
      </c>
      <c r="U772" s="1" t="str">
        <f ca="1">IFERROR(__xludf.DUMMYFUNCTION("""COMPUTED_VALUE"""),"Shots fired outside school at dismissal")</f>
        <v>Shots fired outside school at dismissal</v>
      </c>
      <c r="V772" s="1" t="str">
        <f ca="1">IFERROR(__xludf.DUMMYFUNCTION("""COMPUTED_VALUE"""),"Shots were fired outside the school at dismissal. Staff and students ran back into the building to take cover. No injuries.")</f>
        <v>Shots were fired outside the school at dismissal. Staff and students ran back into the building to take cover. No injuries.</v>
      </c>
      <c r="W772" s="1"/>
      <c r="X772" s="1"/>
      <c r="Y772" s="1" t="str">
        <f ca="1">IFERROR(__xludf.DUMMYFUNCTION("""COMPUTED_VALUE"""),"No")</f>
        <v>No</v>
      </c>
      <c r="Z772" s="1"/>
      <c r="AA772" s="1" t="str">
        <f ca="1">IFERROR(__xludf.DUMMYFUNCTION("""COMPUTED_VALUE"""),"No")</f>
        <v>No</v>
      </c>
      <c r="AB772" s="1" t="str">
        <f ca="1">IFERROR(__xludf.DUMMYFUNCTION("""COMPUTED_VALUE"""),"No")</f>
        <v>No</v>
      </c>
      <c r="AC772" s="1" t="str">
        <f ca="1">IFERROR(__xludf.DUMMYFUNCTION("""COMPUTED_VALUE"""),"No")</f>
        <v>No</v>
      </c>
      <c r="AD772" s="1" t="str">
        <f ca="1">IFERROR(__xludf.DUMMYFUNCTION("""COMPUTED_VALUE"""),"No")</f>
        <v>No</v>
      </c>
      <c r="AE772" s="1" t="str">
        <f ca="1">IFERROR(__xludf.DUMMYFUNCTION("""COMPUTED_VALUE"""),"No")</f>
        <v>No</v>
      </c>
      <c r="AF772" s="1"/>
      <c r="AG772" s="1" t="str">
        <f ca="1">IFERROR(__xludf.DUMMYFUNCTION("""COMPUTED_VALUE"""),"No")</f>
        <v>No</v>
      </c>
      <c r="AH772" s="1"/>
    </row>
    <row r="773" spans="1:34" ht="12.5">
      <c r="A773" s="1" t="str">
        <f ca="1">IFERROR(__xludf.DUMMYFUNCTION("""COMPUTED_VALUE"""),"20211123OHCLC")</f>
        <v>20211123OHCLC</v>
      </c>
      <c r="B773" s="1">
        <f ca="1">IFERROR(__xludf.DUMMYFUNCTION("""COMPUTED_VALUE"""),11)</f>
        <v>11</v>
      </c>
      <c r="C773" s="1">
        <f ca="1">IFERROR(__xludf.DUMMYFUNCTION("""COMPUTED_VALUE"""),23)</f>
        <v>23</v>
      </c>
      <c r="D773" s="1">
        <f ca="1">IFERROR(__xludf.DUMMYFUNCTION("""COMPUTED_VALUE"""),2021)</f>
        <v>2021</v>
      </c>
      <c r="E773" s="4">
        <f ca="1">IFERROR(__xludf.DUMMYFUNCTION("""COMPUTED_VALUE"""),44523)</f>
        <v>44523</v>
      </c>
      <c r="F773" s="1" t="str">
        <f ca="1">IFERROR(__xludf.DUMMYFUNCTION("""COMPUTED_VALUE"""),"Cleveland School Bus")</f>
        <v>Cleveland School Bus</v>
      </c>
      <c r="G773" s="1">
        <f ca="1">IFERROR(__xludf.DUMMYFUNCTION("""COMPUTED_VALUE"""),0)</f>
        <v>0</v>
      </c>
      <c r="H773" s="1">
        <f ca="1">IFERROR(__xludf.DUMMYFUNCTION("""COMPUTED_VALUE"""),0)</f>
        <v>0</v>
      </c>
      <c r="I773" s="1">
        <f ca="1">IFERROR(__xludf.DUMMYFUNCTION("""COMPUTED_VALUE"""),0)</f>
        <v>0</v>
      </c>
      <c r="J773" s="1">
        <f ca="1">IFERROR(__xludf.DUMMYFUNCTION("""COMPUTED_VALUE"""),0)</f>
        <v>0</v>
      </c>
      <c r="K773" s="1" t="str">
        <f ca="1">IFERROR(__xludf.DUMMYFUNCTION("""COMPUTED_VALUE"""),"Fall")</f>
        <v>Fall</v>
      </c>
      <c r="L773" s="1" t="str">
        <f ca="1">IFERROR(__xludf.DUMMYFUNCTION("""COMPUTED_VALUE"""),"Cleveland")</f>
        <v>Cleveland</v>
      </c>
      <c r="M773" s="1" t="str">
        <f ca="1">IFERROR(__xludf.DUMMYFUNCTION("""COMPUTED_VALUE"""),"OH")</f>
        <v>OH</v>
      </c>
      <c r="N773" s="1"/>
      <c r="O773" s="1" t="str">
        <f ca="1">IFERROR(__xludf.DUMMYFUNCTION("""COMPUTED_VALUE"""),"School Bus")</f>
        <v>School Bus</v>
      </c>
      <c r="P773" s="1" t="str">
        <f ca="1">IFERROR(__xludf.DUMMYFUNCTION("""COMPUTED_VALUE"""),"School Bus")</f>
        <v>School Bus</v>
      </c>
      <c r="Q773" s="1" t="str">
        <f ca="1">IFERROR(__xludf.DUMMYFUNCTION("""COMPUTED_VALUE"""),"Yes")</f>
        <v>Yes</v>
      </c>
      <c r="R773" s="1" t="str">
        <f ca="1">IFERROR(__xludf.DUMMYFUNCTION("""COMPUTED_VALUE"""),"Before School")</f>
        <v>Before School</v>
      </c>
      <c r="S773" s="5">
        <f ca="1">IFERROR(__xludf.DUMMYFUNCTION("""COMPUTED_VALUE"""),0.3125)</f>
        <v>0.3125</v>
      </c>
      <c r="T773" s="1">
        <f ca="1">IFERROR(__xludf.DUMMYFUNCTION("""COMPUTED_VALUE"""),1)</f>
        <v>1</v>
      </c>
      <c r="U773" s="1" t="str">
        <f ca="1">IFERROR(__xludf.DUMMYFUNCTION("""COMPUTED_VALUE"""),"Man robbed school bus driver at gunpoint")</f>
        <v>Man robbed school bus driver at gunpoint</v>
      </c>
      <c r="V773" s="1" t="str">
        <f ca="1">IFERROR(__xludf.DUMMYFUNCTION("""COMPUTED_VALUE"""),"A adult male robbed a school bus driver at gunpoint as he started the morning route. No students were on the bus during the robbery.")</f>
        <v>A adult male robbed a school bus driver at gunpoint as he started the morning route. No students were on the bus during the robbery.</v>
      </c>
      <c r="W773" s="1" t="str">
        <f ca="1">IFERROR(__xludf.DUMMYFUNCTION("""COMPUTED_VALUE"""),"Illegal Activity")</f>
        <v>Illegal Activity</v>
      </c>
      <c r="X773" s="1" t="str">
        <f ca="1">IFERROR(__xludf.DUMMYFUNCTION("""COMPUTED_VALUE"""),"Neither")</f>
        <v>Neither</v>
      </c>
      <c r="Y773" s="1" t="str">
        <f ca="1">IFERROR(__xludf.DUMMYFUNCTION("""COMPUTED_VALUE"""),"No")</f>
        <v>No</v>
      </c>
      <c r="Z773" s="1"/>
      <c r="AA773" s="1" t="str">
        <f ca="1">IFERROR(__xludf.DUMMYFUNCTION("""COMPUTED_VALUE"""),"No")</f>
        <v>No</v>
      </c>
      <c r="AB773" s="1" t="str">
        <f ca="1">IFERROR(__xludf.DUMMYFUNCTION("""COMPUTED_VALUE"""),"No")</f>
        <v>No</v>
      </c>
      <c r="AC773" s="1" t="str">
        <f ca="1">IFERROR(__xludf.DUMMYFUNCTION("""COMPUTED_VALUE"""),"No")</f>
        <v>No</v>
      </c>
      <c r="AD773" s="1" t="str">
        <f ca="1">IFERROR(__xludf.DUMMYFUNCTION("""COMPUTED_VALUE"""),"No")</f>
        <v>No</v>
      </c>
      <c r="AE773" s="1" t="str">
        <f ca="1">IFERROR(__xludf.DUMMYFUNCTION("""COMPUTED_VALUE"""),"No")</f>
        <v>No</v>
      </c>
      <c r="AF773" s="1" t="str">
        <f ca="1">IFERROR(__xludf.DUMMYFUNCTION("""COMPUTED_VALUE"""),"No")</f>
        <v>No</v>
      </c>
      <c r="AG773" s="1" t="str">
        <f ca="1">IFERROR(__xludf.DUMMYFUNCTION("""COMPUTED_VALUE"""),"No")</f>
        <v>No</v>
      </c>
      <c r="AH773" s="1"/>
    </row>
    <row r="774" spans="1:34" ht="12.5">
      <c r="A774" s="1" t="str">
        <f ca="1">IFERROR(__xludf.DUMMYFUNCTION("""COMPUTED_VALUE"""),"20211119COHIA")</f>
        <v>20211119COHIA</v>
      </c>
      <c r="B774" s="1">
        <f ca="1">IFERROR(__xludf.DUMMYFUNCTION("""COMPUTED_VALUE"""),11)</f>
        <v>11</v>
      </c>
      <c r="C774" s="1">
        <f ca="1">IFERROR(__xludf.DUMMYFUNCTION("""COMPUTED_VALUE"""),19)</f>
        <v>19</v>
      </c>
      <c r="D774" s="1">
        <f ca="1">IFERROR(__xludf.DUMMYFUNCTION("""COMPUTED_VALUE"""),2021)</f>
        <v>2021</v>
      </c>
      <c r="E774" s="4">
        <f ca="1">IFERROR(__xludf.DUMMYFUNCTION("""COMPUTED_VALUE"""),44519)</f>
        <v>44519</v>
      </c>
      <c r="F774" s="1" t="str">
        <f ca="1">IFERROR(__xludf.DUMMYFUNCTION("""COMPUTED_VALUE"""),"Hinkley High School")</f>
        <v>Hinkley High School</v>
      </c>
      <c r="G774" s="1">
        <f ca="1">IFERROR(__xludf.DUMMYFUNCTION("""COMPUTED_VALUE"""),0)</f>
        <v>0</v>
      </c>
      <c r="H774" s="1">
        <f ca="1">IFERROR(__xludf.DUMMYFUNCTION("""COMPUTED_VALUE"""),3)</f>
        <v>3</v>
      </c>
      <c r="I774" s="1">
        <f ca="1">IFERROR(__xludf.DUMMYFUNCTION("""COMPUTED_VALUE"""),3)</f>
        <v>3</v>
      </c>
      <c r="J774" s="1">
        <f ca="1">IFERROR(__xludf.DUMMYFUNCTION("""COMPUTED_VALUE"""),0)</f>
        <v>0</v>
      </c>
      <c r="K774" s="1" t="str">
        <f ca="1">IFERROR(__xludf.DUMMYFUNCTION("""COMPUTED_VALUE"""),"Fall")</f>
        <v>Fall</v>
      </c>
      <c r="L774" s="1" t="str">
        <f ca="1">IFERROR(__xludf.DUMMYFUNCTION("""COMPUTED_VALUE"""),"Aurora")</f>
        <v>Aurora</v>
      </c>
      <c r="M774" s="1" t="str">
        <f ca="1">IFERROR(__xludf.DUMMYFUNCTION("""COMPUTED_VALUE"""),"CO")</f>
        <v>CO</v>
      </c>
      <c r="N774" s="1" t="str">
        <f ca="1">IFERROR(__xludf.DUMMYFUNCTION("""COMPUTED_VALUE"""),"High")</f>
        <v>High</v>
      </c>
      <c r="O774" s="1" t="str">
        <f ca="1">IFERROR(__xludf.DUMMYFUNCTION("""COMPUTED_VALUE"""),"Parking Lot")</f>
        <v>Parking Lot</v>
      </c>
      <c r="P774" s="1" t="str">
        <f ca="1">IFERROR(__xludf.DUMMYFUNCTION("""COMPUTED_VALUE"""),"Outside on School Property")</f>
        <v>Outside on School Property</v>
      </c>
      <c r="Q774" s="1"/>
      <c r="R774" s="1"/>
      <c r="S774" s="5">
        <f ca="1">IFERROR(__xludf.DUMMYFUNCTION("""COMPUTED_VALUE"""),0.576388888888888)</f>
        <v>0.57638888888888795</v>
      </c>
      <c r="T774" s="1">
        <f ca="1">IFERROR(__xludf.DUMMYFUNCTION("""COMPUTED_VALUE"""),1)</f>
        <v>1</v>
      </c>
      <c r="U774" s="1" t="str">
        <f ca="1">IFERROR(__xludf.DUMMYFUNCTION("""COMPUTED_VALUE"""),"3 students shot in the school parking lot during fight")</f>
        <v>3 students shot in the school parking lot during fight</v>
      </c>
      <c r="V774" s="1" t="str">
        <f ca="1">IFERROR(__xludf.DUMMYFUNCTION("""COMPUTED_VALUE"""),"3 teenage students were shot in the school parking lot. Shortly after the physical fight involving multiple teens, a white pickup truck with several people inside drove through the parking lot and people from inside it started shooting. There were numerou"&amp;"s shell casings, of different calibers, that were found on scene. Armed school security officer returned fired and then applied a tourniquet to an injured student. Shooter fled. 4 days prior to the shooting, 6 students were shot in a park across the stree"&amp;"t from another Aurora High School.")</f>
        <v>3 teenage students were shot in the school parking lot. Shortly after the physical fight involving multiple teens, a white pickup truck with several people inside drove through the parking lot and people from inside it started shooting. There were numerous shell casings, of different calibers, that were found on scene. Armed school security officer returned fired and then applied a tourniquet to an injured student. Shooter fled. 4 days prior to the shooting, 6 students were shot in a park across the street from another Aurora High School.</v>
      </c>
      <c r="W774" s="1" t="str">
        <f ca="1">IFERROR(__xludf.DUMMYFUNCTION("""COMPUTED_VALUE"""),"Escalation of Dispute")</f>
        <v>Escalation of Dispute</v>
      </c>
      <c r="X774" s="1" t="str">
        <f ca="1">IFERROR(__xludf.DUMMYFUNCTION("""COMPUTED_VALUE"""),"Victims Targeted")</f>
        <v>Victims Targeted</v>
      </c>
      <c r="Y774" s="1" t="str">
        <f ca="1">IFERROR(__xludf.DUMMYFUNCTION("""COMPUTED_VALUE"""),"Yes")</f>
        <v>Yes</v>
      </c>
      <c r="Z774" s="1" t="str">
        <f ca="1">IFERROR(__xludf.DUMMYFUNCTION("""COMPUTED_VALUE"""),"Two shooters")</f>
        <v>Two shooters</v>
      </c>
      <c r="AA774" s="1" t="str">
        <f ca="1">IFERROR(__xludf.DUMMYFUNCTION("""COMPUTED_VALUE"""),"No")</f>
        <v>No</v>
      </c>
      <c r="AB774" s="1" t="str">
        <f ca="1">IFERROR(__xludf.DUMMYFUNCTION("""COMPUTED_VALUE"""),"No")</f>
        <v>No</v>
      </c>
      <c r="AC774" s="1" t="str">
        <f ca="1">IFERROR(__xludf.DUMMYFUNCTION("""COMPUTED_VALUE"""),"No")</f>
        <v>No</v>
      </c>
      <c r="AD774" s="1" t="str">
        <f ca="1">IFERROR(__xludf.DUMMYFUNCTION("""COMPUTED_VALUE"""),"No")</f>
        <v>No</v>
      </c>
      <c r="AE774" s="1" t="str">
        <f ca="1">IFERROR(__xludf.DUMMYFUNCTION("""COMPUTED_VALUE"""),"No")</f>
        <v>No</v>
      </c>
      <c r="AF774" s="1"/>
      <c r="AG774" s="1" t="str">
        <f ca="1">IFERROR(__xludf.DUMMYFUNCTION("""COMPUTED_VALUE"""),"No")</f>
        <v>No</v>
      </c>
      <c r="AH774" s="1"/>
    </row>
    <row r="775" spans="1:34" ht="12.5">
      <c r="A775" s="1" t="str">
        <f ca="1">IFERROR(__xludf.DUMMYFUNCTION("""COMPUTED_VALUE"""),"20211119MDGIB")</f>
        <v>20211119MDGIB</v>
      </c>
      <c r="B775" s="1">
        <f ca="1">IFERROR(__xludf.DUMMYFUNCTION("""COMPUTED_VALUE"""),11)</f>
        <v>11</v>
      </c>
      <c r="C775" s="1">
        <f ca="1">IFERROR(__xludf.DUMMYFUNCTION("""COMPUTED_VALUE"""),18)</f>
        <v>18</v>
      </c>
      <c r="D775" s="1">
        <f ca="1">IFERROR(__xludf.DUMMYFUNCTION("""COMPUTED_VALUE"""),2021)</f>
        <v>2021</v>
      </c>
      <c r="E775" s="4">
        <f ca="1">IFERROR(__xludf.DUMMYFUNCTION("""COMPUTED_VALUE"""),44518)</f>
        <v>44518</v>
      </c>
      <c r="F775" s="1" t="str">
        <f ca="1">IFERROR(__xludf.DUMMYFUNCTION("""COMPUTED_VALUE"""),"Gilmor Elementary School")</f>
        <v>Gilmor Elementary School</v>
      </c>
      <c r="G775" s="1">
        <f ca="1">IFERROR(__xludf.DUMMYFUNCTION("""COMPUTED_VALUE"""),1)</f>
        <v>1</v>
      </c>
      <c r="H775" s="1">
        <f ca="1">IFERROR(__xludf.DUMMYFUNCTION("""COMPUTED_VALUE"""),0)</f>
        <v>0</v>
      </c>
      <c r="I775" s="1">
        <f ca="1">IFERROR(__xludf.DUMMYFUNCTION("""COMPUTED_VALUE"""),1)</f>
        <v>1</v>
      </c>
      <c r="J775" s="1">
        <f ca="1">IFERROR(__xludf.DUMMYFUNCTION("""COMPUTED_VALUE"""),0)</f>
        <v>0</v>
      </c>
      <c r="K775" s="1" t="str">
        <f ca="1">IFERROR(__xludf.DUMMYFUNCTION("""COMPUTED_VALUE"""),"Fall")</f>
        <v>Fall</v>
      </c>
      <c r="L775" s="1" t="str">
        <f ca="1">IFERROR(__xludf.DUMMYFUNCTION("""COMPUTED_VALUE"""),"Baltimore")</f>
        <v>Baltimore</v>
      </c>
      <c r="M775" s="1" t="str">
        <f ca="1">IFERROR(__xludf.DUMMYFUNCTION("""COMPUTED_VALUE"""),"MD")</f>
        <v>MD</v>
      </c>
      <c r="N775" s="1" t="str">
        <f ca="1">IFERROR(__xludf.DUMMYFUNCTION("""COMPUTED_VALUE"""),"Elementary")</f>
        <v>Elementary</v>
      </c>
      <c r="O775" s="1" t="str">
        <f ca="1">IFERROR(__xludf.DUMMYFUNCTION("""COMPUTED_VALUE"""),"Front of School")</f>
        <v>Front of School</v>
      </c>
      <c r="P775" s="1" t="str">
        <f ca="1">IFERROR(__xludf.DUMMYFUNCTION("""COMPUTED_VALUE"""),"Outside on School Property")</f>
        <v>Outside on School Property</v>
      </c>
      <c r="Q775" s="1" t="str">
        <f ca="1">IFERROR(__xludf.DUMMYFUNCTION("""COMPUTED_VALUE"""),"No")</f>
        <v>No</v>
      </c>
      <c r="R775" s="1" t="str">
        <f ca="1">IFERROR(__xludf.DUMMYFUNCTION("""COMPUTED_VALUE"""),"Evening")</f>
        <v>Evening</v>
      </c>
      <c r="S775" s="5">
        <f ca="1">IFERROR(__xludf.DUMMYFUNCTION("""COMPUTED_VALUE"""),0.794444444444444)</f>
        <v>0.79444444444444395</v>
      </c>
      <c r="T775" s="1">
        <f ca="1">IFERROR(__xludf.DUMMYFUNCTION("""COMPUTED_VALUE"""),1)</f>
        <v>1</v>
      </c>
      <c r="U775" s="1" t="str">
        <f ca="1">IFERROR(__xludf.DUMMYFUNCTION("""COMPUTED_VALUE"""),"13-year-old girl shot outside of school")</f>
        <v>13-year-old girl shot outside of school</v>
      </c>
      <c r="V775" s="1" t="str">
        <f ca="1">IFERROR(__xludf.DUMMYFUNCTION("""COMPUTED_VALUE"""),"13-year-old girl was shot multiple times outside of elementary school and died at hospital. No other information available.")</f>
        <v>13-year-old girl was shot multiple times outside of elementary school and died at hospital. No other information available.</v>
      </c>
      <c r="W775" s="1"/>
      <c r="X775" s="1" t="str">
        <f ca="1">IFERROR(__xludf.DUMMYFUNCTION("""COMPUTED_VALUE"""),"Victims Targeted")</f>
        <v>Victims Targeted</v>
      </c>
      <c r="Y775" s="1"/>
      <c r="Z775" s="1"/>
      <c r="AA775" s="1" t="str">
        <f ca="1">IFERROR(__xludf.DUMMYFUNCTION("""COMPUTED_VALUE"""),"No")</f>
        <v>No</v>
      </c>
      <c r="AB775" s="1" t="str">
        <f ca="1">IFERROR(__xludf.DUMMYFUNCTION("""COMPUTED_VALUE"""),"No")</f>
        <v>No</v>
      </c>
      <c r="AC775" s="1" t="str">
        <f ca="1">IFERROR(__xludf.DUMMYFUNCTION("""COMPUTED_VALUE"""),"No")</f>
        <v>No</v>
      </c>
      <c r="AD775" s="1" t="str">
        <f ca="1">IFERROR(__xludf.DUMMYFUNCTION("""COMPUTED_VALUE"""),"No")</f>
        <v>No</v>
      </c>
      <c r="AE775" s="1"/>
      <c r="AF775" s="1"/>
      <c r="AG775" s="1" t="str">
        <f ca="1">IFERROR(__xludf.DUMMYFUNCTION("""COMPUTED_VALUE"""),"No")</f>
        <v>No</v>
      </c>
      <c r="AH775" s="1"/>
    </row>
    <row r="776" spans="1:34" ht="12.5">
      <c r="A776" s="1" t="str">
        <f ca="1">IFERROR(__xludf.DUMMYFUNCTION("""COMPUTED_VALUE"""),"20211117CAORA")</f>
        <v>20211117CAORA</v>
      </c>
      <c r="B776" s="1">
        <f ca="1">IFERROR(__xludf.DUMMYFUNCTION("""COMPUTED_VALUE"""),11)</f>
        <v>11</v>
      </c>
      <c r="C776" s="1">
        <f ca="1">IFERROR(__xludf.DUMMYFUNCTION("""COMPUTED_VALUE"""),17)</f>
        <v>17</v>
      </c>
      <c r="D776" s="1">
        <f ca="1">IFERROR(__xludf.DUMMYFUNCTION("""COMPUTED_VALUE"""),2021)</f>
        <v>2021</v>
      </c>
      <c r="E776" s="4">
        <f ca="1">IFERROR(__xludf.DUMMYFUNCTION("""COMPUTED_VALUE"""),44517)</f>
        <v>44517</v>
      </c>
      <c r="F776" s="1" t="str">
        <f ca="1">IFERROR(__xludf.DUMMYFUNCTION("""COMPUTED_VALUE"""),"Orangeview Junior High School")</f>
        <v>Orangeview Junior High School</v>
      </c>
      <c r="G776" s="1">
        <f ca="1">IFERROR(__xludf.DUMMYFUNCTION("""COMPUTED_VALUE"""),0)</f>
        <v>0</v>
      </c>
      <c r="H776" s="1">
        <f ca="1">IFERROR(__xludf.DUMMYFUNCTION("""COMPUTED_VALUE"""),1)</f>
        <v>1</v>
      </c>
      <c r="I776" s="1">
        <f ca="1">IFERROR(__xludf.DUMMYFUNCTION("""COMPUTED_VALUE"""),0)</f>
        <v>0</v>
      </c>
      <c r="J776" s="1">
        <f ca="1">IFERROR(__xludf.DUMMYFUNCTION("""COMPUTED_VALUE"""),0)</f>
        <v>0</v>
      </c>
      <c r="K776" s="1" t="str">
        <f ca="1">IFERROR(__xludf.DUMMYFUNCTION("""COMPUTED_VALUE"""),"Fall")</f>
        <v>Fall</v>
      </c>
      <c r="L776" s="1" t="str">
        <f ca="1">IFERROR(__xludf.DUMMYFUNCTION("""COMPUTED_VALUE"""),"Anaheim")</f>
        <v>Anaheim</v>
      </c>
      <c r="M776" s="1" t="str">
        <f ca="1">IFERROR(__xludf.DUMMYFUNCTION("""COMPUTED_VALUE"""),"CA")</f>
        <v>CA</v>
      </c>
      <c r="N776" s="1" t="str">
        <f ca="1">IFERROR(__xludf.DUMMYFUNCTION("""COMPUTED_VALUE"""),"Middle")</f>
        <v>Middle</v>
      </c>
      <c r="O776" s="1" t="str">
        <f ca="1">IFERROR(__xludf.DUMMYFUNCTION("""COMPUTED_VALUE"""),"Inside School Building")</f>
        <v>Inside School Building</v>
      </c>
      <c r="P776" s="1" t="str">
        <f ca="1">IFERROR(__xludf.DUMMYFUNCTION("""COMPUTED_VALUE"""),"Inside School Building")</f>
        <v>Inside School Building</v>
      </c>
      <c r="Q776" s="1" t="str">
        <f ca="1">IFERROR(__xludf.DUMMYFUNCTION("""COMPUTED_VALUE"""),"No")</f>
        <v>No</v>
      </c>
      <c r="R776" s="1" t="str">
        <f ca="1">IFERROR(__xludf.DUMMYFUNCTION("""COMPUTED_VALUE"""),"Morning Classes")</f>
        <v>Morning Classes</v>
      </c>
      <c r="S776" s="5">
        <f ca="1">IFERROR(__xludf.DUMMYFUNCTION("""COMPUTED_VALUE"""),0.354166666666666)</f>
        <v>0.35416666666666602</v>
      </c>
      <c r="T776" s="1">
        <f ca="1">IFERROR(__xludf.DUMMYFUNCTION("""COMPUTED_VALUE"""),1)</f>
        <v>1</v>
      </c>
      <c r="U776" s="1" t="str">
        <f ca="1">IFERROR(__xludf.DUMMYFUNCTION("""COMPUTED_VALUE"""),"Female student attempted suicide, critical condition")</f>
        <v>Female student attempted suicide, critical condition</v>
      </c>
      <c r="V776" s="1" t="str">
        <f ca="1">IFERROR(__xludf.DUMMYFUNCTION("""COMPUTED_VALUE"""),"Female student attempted suicide, critical condition. School went on lockdown.")</f>
        <v>Female student attempted suicide, critical condition. School went on lockdown.</v>
      </c>
      <c r="W776" s="1" t="str">
        <f ca="1">IFERROR(__xludf.DUMMYFUNCTION("""COMPUTED_VALUE"""),"Suicide/Attempted")</f>
        <v>Suicide/Attempted</v>
      </c>
      <c r="X776" s="1" t="str">
        <f ca="1">IFERROR(__xludf.DUMMYFUNCTION("""COMPUTED_VALUE"""),"Victims Targeted")</f>
        <v>Victims Targeted</v>
      </c>
      <c r="Y776" s="1"/>
      <c r="Z776" s="1"/>
      <c r="AA776" s="1" t="str">
        <f ca="1">IFERROR(__xludf.DUMMYFUNCTION("""COMPUTED_VALUE"""),"No")</f>
        <v>No</v>
      </c>
      <c r="AB776" s="1" t="str">
        <f ca="1">IFERROR(__xludf.DUMMYFUNCTION("""COMPUTED_VALUE"""),"No")</f>
        <v>No</v>
      </c>
      <c r="AC776" s="1" t="str">
        <f ca="1">IFERROR(__xludf.DUMMYFUNCTION("""COMPUTED_VALUE"""),"No")</f>
        <v>No</v>
      </c>
      <c r="AD776" s="1"/>
      <c r="AE776" s="1" t="str">
        <f ca="1">IFERROR(__xludf.DUMMYFUNCTION("""COMPUTED_VALUE"""),"No")</f>
        <v>No</v>
      </c>
      <c r="AF776" s="1" t="str">
        <f ca="1">IFERROR(__xludf.DUMMYFUNCTION("""COMPUTED_VALUE"""),"No")</f>
        <v>No</v>
      </c>
      <c r="AG776" s="1" t="str">
        <f ca="1">IFERROR(__xludf.DUMMYFUNCTION("""COMPUTED_VALUE"""),"No")</f>
        <v>No</v>
      </c>
      <c r="AH776" s="1">
        <f ca="1">IFERROR(__xludf.DUMMYFUNCTION("""COMPUTED_VALUE"""),1)</f>
        <v>1</v>
      </c>
    </row>
    <row r="777" spans="1:34" ht="12.5">
      <c r="A777" s="1" t="str">
        <f ca="1">IFERROR(__xludf.DUMMYFUNCTION("""COMPUTED_VALUE"""),"20211116LAABA")</f>
        <v>20211116LAABA</v>
      </c>
      <c r="B777" s="1">
        <f ca="1">IFERROR(__xludf.DUMMYFUNCTION("""COMPUTED_VALUE"""),11)</f>
        <v>11</v>
      </c>
      <c r="C777" s="1">
        <f ca="1">IFERROR(__xludf.DUMMYFUNCTION("""COMPUTED_VALUE"""),16)</f>
        <v>16</v>
      </c>
      <c r="D777" s="1">
        <f ca="1">IFERROR(__xludf.DUMMYFUNCTION("""COMPUTED_VALUE"""),2021)</f>
        <v>2021</v>
      </c>
      <c r="E777" s="4">
        <f ca="1">IFERROR(__xludf.DUMMYFUNCTION("""COMPUTED_VALUE"""),44516)</f>
        <v>44516</v>
      </c>
      <c r="F777" s="1" t="str">
        <f ca="1">IFERROR(__xludf.DUMMYFUNCTION("""COMPUTED_VALUE"""),"Abbeville School Bus")</f>
        <v>Abbeville School Bus</v>
      </c>
      <c r="G777" s="1">
        <f ca="1">IFERROR(__xludf.DUMMYFUNCTION("""COMPUTED_VALUE"""),1)</f>
        <v>1</v>
      </c>
      <c r="H777" s="1">
        <f ca="1">IFERROR(__xludf.DUMMYFUNCTION("""COMPUTED_VALUE"""),0)</f>
        <v>0</v>
      </c>
      <c r="I777" s="1">
        <f ca="1">IFERROR(__xludf.DUMMYFUNCTION("""COMPUTED_VALUE"""),1)</f>
        <v>1</v>
      </c>
      <c r="J777" s="1">
        <f ca="1">IFERROR(__xludf.DUMMYFUNCTION("""COMPUTED_VALUE"""),0)</f>
        <v>0</v>
      </c>
      <c r="K777" s="1" t="str">
        <f ca="1">IFERROR(__xludf.DUMMYFUNCTION("""COMPUTED_VALUE"""),"Fall")</f>
        <v>Fall</v>
      </c>
      <c r="L777" s="1" t="str">
        <f ca="1">IFERROR(__xludf.DUMMYFUNCTION("""COMPUTED_VALUE"""),"Abbeville")</f>
        <v>Abbeville</v>
      </c>
      <c r="M777" s="1" t="str">
        <f ca="1">IFERROR(__xludf.DUMMYFUNCTION("""COMPUTED_VALUE"""),"LA")</f>
        <v>LA</v>
      </c>
      <c r="N777" s="1"/>
      <c r="O777" s="1" t="str">
        <f ca="1">IFERROR(__xludf.DUMMYFUNCTION("""COMPUTED_VALUE"""),"School Bus")</f>
        <v>School Bus</v>
      </c>
      <c r="P777" s="1" t="str">
        <f ca="1">IFERROR(__xludf.DUMMYFUNCTION("""COMPUTED_VALUE"""),"School Bus")</f>
        <v>School Bus</v>
      </c>
      <c r="Q777" s="1" t="str">
        <f ca="1">IFERROR(__xludf.DUMMYFUNCTION("""COMPUTED_VALUE"""),"Yes")</f>
        <v>Yes</v>
      </c>
      <c r="R777" s="1" t="str">
        <f ca="1">IFERROR(__xludf.DUMMYFUNCTION("""COMPUTED_VALUE"""),"Dismissal")</f>
        <v>Dismissal</v>
      </c>
      <c r="S777" s="5">
        <f ca="1">IFERROR(__xludf.DUMMYFUNCTION("""COMPUTED_VALUE"""),0.645833333333333)</f>
        <v>0.64583333333333304</v>
      </c>
      <c r="T777" s="1">
        <f ca="1">IFERROR(__xludf.DUMMYFUNCTION("""COMPUTED_VALUE"""),1)</f>
        <v>1</v>
      </c>
      <c r="U777" s="1" t="str">
        <f ca="1">IFERROR(__xludf.DUMMYFUNCTION("""COMPUTED_VALUE"""),"Student shot in the back of the head while getting of the school bus")</f>
        <v>Student shot in the back of the head while getting of the school bus</v>
      </c>
      <c r="V777" s="1" t="str">
        <f ca="1">IFERROR(__xludf.DUMMYFUNCTION("""COMPUTED_VALUE"""),"Student shot in the back of the head while getting of the school bus")</f>
        <v>Student shot in the back of the head while getting of the school bus</v>
      </c>
      <c r="W777" s="1"/>
      <c r="X777" s="1" t="str">
        <f ca="1">IFERROR(__xludf.DUMMYFUNCTION("""COMPUTED_VALUE"""),"Victims Targeted")</f>
        <v>Victims Targeted</v>
      </c>
      <c r="Y777" s="1"/>
      <c r="Z777" s="1"/>
      <c r="AA777" s="1" t="str">
        <f ca="1">IFERROR(__xludf.DUMMYFUNCTION("""COMPUTED_VALUE"""),"No")</f>
        <v>No</v>
      </c>
      <c r="AB777" s="1" t="str">
        <f ca="1">IFERROR(__xludf.DUMMYFUNCTION("""COMPUTED_VALUE"""),"No")</f>
        <v>No</v>
      </c>
      <c r="AC777" s="1" t="str">
        <f ca="1">IFERROR(__xludf.DUMMYFUNCTION("""COMPUTED_VALUE"""),"No")</f>
        <v>No</v>
      </c>
      <c r="AD777" s="1" t="str">
        <f ca="1">IFERROR(__xludf.DUMMYFUNCTION("""COMPUTED_VALUE"""),"No")</f>
        <v>No</v>
      </c>
      <c r="AE777" s="1" t="str">
        <f ca="1">IFERROR(__xludf.DUMMYFUNCTION("""COMPUTED_VALUE"""),"No")</f>
        <v>No</v>
      </c>
      <c r="AF777" s="1"/>
      <c r="AG777" s="1" t="str">
        <f ca="1">IFERROR(__xludf.DUMMYFUNCTION("""COMPUTED_VALUE"""),"No")</f>
        <v>No</v>
      </c>
      <c r="AH777" s="1"/>
    </row>
    <row r="778" spans="1:34" ht="12.5">
      <c r="A778" s="1" t="str">
        <f ca="1">IFERROR(__xludf.DUMMYFUNCTION("""COMPUTED_VALUE"""),"20211116NYPSB")</f>
        <v>20211116NYPSB</v>
      </c>
      <c r="B778" s="1">
        <f ca="1">IFERROR(__xludf.DUMMYFUNCTION("""COMPUTED_VALUE"""),11)</f>
        <v>11</v>
      </c>
      <c r="C778" s="1">
        <f ca="1">IFERROR(__xludf.DUMMYFUNCTION("""COMPUTED_VALUE"""),16)</f>
        <v>16</v>
      </c>
      <c r="D778" s="1">
        <f ca="1">IFERROR(__xludf.DUMMYFUNCTION("""COMPUTED_VALUE"""),2021)</f>
        <v>2021</v>
      </c>
      <c r="E778" s="4">
        <f ca="1">IFERROR(__xludf.DUMMYFUNCTION("""COMPUTED_VALUE"""),44516)</f>
        <v>44516</v>
      </c>
      <c r="F778" s="1" t="str">
        <f ca="1">IFERROR(__xludf.DUMMYFUNCTION("""COMPUTED_VALUE"""),"P.S. 44")</f>
        <v>P.S. 44</v>
      </c>
      <c r="G778" s="1">
        <f ca="1">IFERROR(__xludf.DUMMYFUNCTION("""COMPUTED_VALUE"""),0)</f>
        <v>0</v>
      </c>
      <c r="H778" s="1">
        <f ca="1">IFERROR(__xludf.DUMMYFUNCTION("""COMPUTED_VALUE"""),0)</f>
        <v>0</v>
      </c>
      <c r="I778" s="1">
        <f ca="1">IFERROR(__xludf.DUMMYFUNCTION("""COMPUTED_VALUE"""),0)</f>
        <v>0</v>
      </c>
      <c r="J778" s="1">
        <f ca="1">IFERROR(__xludf.DUMMYFUNCTION("""COMPUTED_VALUE"""),0)</f>
        <v>0</v>
      </c>
      <c r="K778" s="1" t="str">
        <f ca="1">IFERROR(__xludf.DUMMYFUNCTION("""COMPUTED_VALUE"""),"Fall")</f>
        <v>Fall</v>
      </c>
      <c r="L778" s="1" t="str">
        <f ca="1">IFERROR(__xludf.DUMMYFUNCTION("""COMPUTED_VALUE"""),"Bronx")</f>
        <v>Bronx</v>
      </c>
      <c r="M778" s="1" t="str">
        <f ca="1">IFERROR(__xludf.DUMMYFUNCTION("""COMPUTED_VALUE"""),"NY")</f>
        <v>NY</v>
      </c>
      <c r="N778" s="1" t="str">
        <f ca="1">IFERROR(__xludf.DUMMYFUNCTION("""COMPUTED_VALUE"""),"Elementary")</f>
        <v>Elementary</v>
      </c>
      <c r="O778" s="1" t="str">
        <f ca="1">IFERROR(__xludf.DUMMYFUNCTION("""COMPUTED_VALUE"""),"Front of School")</f>
        <v>Front of School</v>
      </c>
      <c r="P778" s="1" t="str">
        <f ca="1">IFERROR(__xludf.DUMMYFUNCTION("""COMPUTED_VALUE"""),"Outside on School Property")</f>
        <v>Outside on School Property</v>
      </c>
      <c r="Q778" s="1" t="str">
        <f ca="1">IFERROR(__xludf.DUMMYFUNCTION("""COMPUTED_VALUE"""),"Yes")</f>
        <v>Yes</v>
      </c>
      <c r="R778" s="1" t="str">
        <f ca="1">IFERROR(__xludf.DUMMYFUNCTION("""COMPUTED_VALUE"""),"Dismissal")</f>
        <v>Dismissal</v>
      </c>
      <c r="S778" s="5">
        <f ca="1">IFERROR(__xludf.DUMMYFUNCTION("""COMPUTED_VALUE"""),0.59375)</f>
        <v>0.59375</v>
      </c>
      <c r="T778" s="1">
        <f ca="1">IFERROR(__xludf.DUMMYFUNCTION("""COMPUTED_VALUE"""),1)</f>
        <v>1</v>
      </c>
      <c r="U778" s="1" t="str">
        <f ca="1">IFERROR(__xludf.DUMMYFUNCTION("""COMPUTED_VALUE"""),"Shots fired outside school at dismissal by adult male")</f>
        <v>Shots fired outside school at dismissal by adult male</v>
      </c>
      <c r="V778" s="1" t="str">
        <f ca="1">IFERROR(__xludf.DUMMYFUNCTION("""COMPUTED_VALUE"""),"A 45-year-old male fired multiple shot outside of the school at dismissal. One shot struck a vehicle. A NYPD Youth Coordination Officer assigned to the school detained the shooter. He was charged with multiple crimes including possession of a weapon at a "&amp;"school.")</f>
        <v>A 45-year-old male fired multiple shot outside of the school at dismissal. One shot struck a vehicle. A NYPD Youth Coordination Officer assigned to the school detained the shooter. He was charged with multiple crimes including possession of a weapon at a school.</v>
      </c>
      <c r="W778" s="1"/>
      <c r="X778" s="1" t="str">
        <f ca="1">IFERROR(__xludf.DUMMYFUNCTION("""COMPUTED_VALUE"""),"Victims Targeted")</f>
        <v>Victims Targeted</v>
      </c>
      <c r="Y778" s="1" t="str">
        <f ca="1">IFERROR(__xludf.DUMMYFUNCTION("""COMPUTED_VALUE"""),"No")</f>
        <v>No</v>
      </c>
      <c r="Z778" s="1"/>
      <c r="AA778" s="1" t="str">
        <f ca="1">IFERROR(__xludf.DUMMYFUNCTION("""COMPUTED_VALUE"""),"No")</f>
        <v>No</v>
      </c>
      <c r="AB778" s="1" t="str">
        <f ca="1">IFERROR(__xludf.DUMMYFUNCTION("""COMPUTED_VALUE"""),"No")</f>
        <v>No</v>
      </c>
      <c r="AC778" s="1" t="str">
        <f ca="1">IFERROR(__xludf.DUMMYFUNCTION("""COMPUTED_VALUE"""),"No")</f>
        <v>No</v>
      </c>
      <c r="AD778" s="1" t="str">
        <f ca="1">IFERROR(__xludf.DUMMYFUNCTION("""COMPUTED_VALUE"""),"No")</f>
        <v>No</v>
      </c>
      <c r="AE778" s="1" t="str">
        <f ca="1">IFERROR(__xludf.DUMMYFUNCTION("""COMPUTED_VALUE"""),"No")</f>
        <v>No</v>
      </c>
      <c r="AF778" s="1"/>
      <c r="AG778" s="1" t="str">
        <f ca="1">IFERROR(__xludf.DUMMYFUNCTION("""COMPUTED_VALUE"""),"No")</f>
        <v>No</v>
      </c>
      <c r="AH778" s="1"/>
    </row>
    <row r="779" spans="1:34" ht="12.5">
      <c r="A779" s="1" t="str">
        <f ca="1">IFERROR(__xludf.DUMMYFUNCTION("""COMPUTED_VALUE"""),"20211116FLJAJ")</f>
        <v>20211116FLJAJ</v>
      </c>
      <c r="B779" s="1">
        <f ca="1">IFERROR(__xludf.DUMMYFUNCTION("""COMPUTED_VALUE"""),11)</f>
        <v>11</v>
      </c>
      <c r="C779" s="1">
        <f ca="1">IFERROR(__xludf.DUMMYFUNCTION("""COMPUTED_VALUE"""),16)</f>
        <v>16</v>
      </c>
      <c r="D779" s="1">
        <f ca="1">IFERROR(__xludf.DUMMYFUNCTION("""COMPUTED_VALUE"""),2021)</f>
        <v>2021</v>
      </c>
      <c r="E779" s="4">
        <f ca="1">IFERROR(__xludf.DUMMYFUNCTION("""COMPUTED_VALUE"""),44516)</f>
        <v>44516</v>
      </c>
      <c r="F779" s="1" t="str">
        <f ca="1">IFERROR(__xludf.DUMMYFUNCTION("""COMPUTED_VALUE"""),"Jacksonville School Bus")</f>
        <v>Jacksonville School Bus</v>
      </c>
      <c r="G779" s="1">
        <f ca="1">IFERROR(__xludf.DUMMYFUNCTION("""COMPUTED_VALUE"""),0)</f>
        <v>0</v>
      </c>
      <c r="H779" s="1">
        <f ca="1">IFERROR(__xludf.DUMMYFUNCTION("""COMPUTED_VALUE"""),0)</f>
        <v>0</v>
      </c>
      <c r="I779" s="1">
        <f ca="1">IFERROR(__xludf.DUMMYFUNCTION("""COMPUTED_VALUE"""),0)</f>
        <v>0</v>
      </c>
      <c r="J779" s="1">
        <f ca="1">IFERROR(__xludf.DUMMYFUNCTION("""COMPUTED_VALUE"""),0)</f>
        <v>0</v>
      </c>
      <c r="K779" s="1" t="str">
        <f ca="1">IFERROR(__xludf.DUMMYFUNCTION("""COMPUTED_VALUE"""),"Fall")</f>
        <v>Fall</v>
      </c>
      <c r="L779" s="1" t="str">
        <f ca="1">IFERROR(__xludf.DUMMYFUNCTION("""COMPUTED_VALUE"""),"Jacksonville")</f>
        <v>Jacksonville</v>
      </c>
      <c r="M779" s="1" t="str">
        <f ca="1">IFERROR(__xludf.DUMMYFUNCTION("""COMPUTED_VALUE"""),"FL")</f>
        <v>FL</v>
      </c>
      <c r="N779" s="1"/>
      <c r="O779" s="1" t="str">
        <f ca="1">IFERROR(__xludf.DUMMYFUNCTION("""COMPUTED_VALUE"""),"School Bus")</f>
        <v>School Bus</v>
      </c>
      <c r="P779" s="1" t="str">
        <f ca="1">IFERROR(__xludf.DUMMYFUNCTION("""COMPUTED_VALUE"""),"School Bus")</f>
        <v>School Bus</v>
      </c>
      <c r="Q779" s="1" t="str">
        <f ca="1">IFERROR(__xludf.DUMMYFUNCTION("""COMPUTED_VALUE"""),"Yes")</f>
        <v>Yes</v>
      </c>
      <c r="R779" s="1" t="str">
        <f ca="1">IFERROR(__xludf.DUMMYFUNCTION("""COMPUTED_VALUE"""),"Evening")</f>
        <v>Evening</v>
      </c>
      <c r="S779" s="5">
        <f ca="1">IFERROR(__xludf.DUMMYFUNCTION("""COMPUTED_VALUE"""),0.75)</f>
        <v>0.75</v>
      </c>
      <c r="T779" s="1">
        <f ca="1">IFERROR(__xludf.DUMMYFUNCTION("""COMPUTED_VALUE"""),1)</f>
        <v>1</v>
      </c>
      <c r="U779" s="1" t="str">
        <f ca="1">IFERROR(__xludf.DUMMYFUNCTION("""COMPUTED_VALUE"""),"Occupied school bus struck by bullets")</f>
        <v>Occupied school bus struck by bullets</v>
      </c>
      <c r="V779" s="1" t="str">
        <f ca="1">IFERROR(__xludf.DUMMYFUNCTION("""COMPUTED_VALUE"""),"A school bus with a driver and two students aboard was struck by bullets while driving in a residential street. The bus was caught in the crossfire and two adult men on the street were critically injured. The driver and students were not injured.")</f>
        <v>A school bus with a driver and two students aboard was struck by bullets while driving in a residential street. The bus was caught in the crossfire and two adult men on the street were critically injured. The driver and students were not injured.</v>
      </c>
      <c r="W779" s="1"/>
      <c r="X779" s="1" t="str">
        <f ca="1">IFERROR(__xludf.DUMMYFUNCTION("""COMPUTED_VALUE"""),"Both")</f>
        <v>Both</v>
      </c>
      <c r="Y779" s="1"/>
      <c r="Z779" s="1"/>
      <c r="AA779" s="1" t="str">
        <f ca="1">IFERROR(__xludf.DUMMYFUNCTION("""COMPUTED_VALUE"""),"No")</f>
        <v>No</v>
      </c>
      <c r="AB779" s="1" t="str">
        <f ca="1">IFERROR(__xludf.DUMMYFUNCTION("""COMPUTED_VALUE"""),"No")</f>
        <v>No</v>
      </c>
      <c r="AC779" s="1" t="str">
        <f ca="1">IFERROR(__xludf.DUMMYFUNCTION("""COMPUTED_VALUE"""),"No")</f>
        <v>No</v>
      </c>
      <c r="AD779" s="1" t="str">
        <f ca="1">IFERROR(__xludf.DUMMYFUNCTION("""COMPUTED_VALUE"""),"No")</f>
        <v>No</v>
      </c>
      <c r="AE779" s="1" t="str">
        <f ca="1">IFERROR(__xludf.DUMMYFUNCTION("""COMPUTED_VALUE"""),"No")</f>
        <v>No</v>
      </c>
      <c r="AF779" s="1"/>
      <c r="AG779" s="1" t="str">
        <f ca="1">IFERROR(__xludf.DUMMYFUNCTION("""COMPUTED_VALUE"""),"No")</f>
        <v>No</v>
      </c>
      <c r="AH779" s="1"/>
    </row>
    <row r="780" spans="1:34" ht="12.5">
      <c r="A780" s="1" t="str">
        <f ca="1">IFERROR(__xludf.DUMMYFUNCTION("""COMPUTED_VALUE"""),"20211115NYPOP")</f>
        <v>20211115NYPOP</v>
      </c>
      <c r="B780" s="1">
        <f ca="1">IFERROR(__xludf.DUMMYFUNCTION("""COMPUTED_VALUE"""),11)</f>
        <v>11</v>
      </c>
      <c r="C780" s="1">
        <f ca="1">IFERROR(__xludf.DUMMYFUNCTION("""COMPUTED_VALUE"""),15)</f>
        <v>15</v>
      </c>
      <c r="D780" s="1">
        <f ca="1">IFERROR(__xludf.DUMMYFUNCTION("""COMPUTED_VALUE"""),2021)</f>
        <v>2021</v>
      </c>
      <c r="E780" s="4">
        <f ca="1">IFERROR(__xludf.DUMMYFUNCTION("""COMPUTED_VALUE"""),44515)</f>
        <v>44515</v>
      </c>
      <c r="F780" s="1" t="str">
        <f ca="1">IFERROR(__xludf.DUMMYFUNCTION("""COMPUTED_VALUE"""),"Poughkeepsie High School")</f>
        <v>Poughkeepsie High School</v>
      </c>
      <c r="G780" s="1">
        <f ca="1">IFERROR(__xludf.DUMMYFUNCTION("""COMPUTED_VALUE"""),0)</f>
        <v>0</v>
      </c>
      <c r="H780" s="1">
        <f ca="1">IFERROR(__xludf.DUMMYFUNCTION("""COMPUTED_VALUE"""),0)</f>
        <v>0</v>
      </c>
      <c r="I780" s="1">
        <f ca="1">IFERROR(__xludf.DUMMYFUNCTION("""COMPUTED_VALUE"""),0)</f>
        <v>0</v>
      </c>
      <c r="J780" s="1">
        <f ca="1">IFERROR(__xludf.DUMMYFUNCTION("""COMPUTED_VALUE"""),0)</f>
        <v>0</v>
      </c>
      <c r="K780" s="1" t="str">
        <f ca="1">IFERROR(__xludf.DUMMYFUNCTION("""COMPUTED_VALUE"""),"Fall")</f>
        <v>Fall</v>
      </c>
      <c r="L780" s="1" t="str">
        <f ca="1">IFERROR(__xludf.DUMMYFUNCTION("""COMPUTED_VALUE"""),"Poughkeepsie")</f>
        <v>Poughkeepsie</v>
      </c>
      <c r="M780" s="1" t="str">
        <f ca="1">IFERROR(__xludf.DUMMYFUNCTION("""COMPUTED_VALUE"""),"NY")</f>
        <v>NY</v>
      </c>
      <c r="N780" s="1" t="str">
        <f ca="1">IFERROR(__xludf.DUMMYFUNCTION("""COMPUTED_VALUE"""),"High")</f>
        <v>High</v>
      </c>
      <c r="O780" s="1" t="str">
        <f ca="1">IFERROR(__xludf.DUMMYFUNCTION("""COMPUTED_VALUE"""),"Front of School")</f>
        <v>Front of School</v>
      </c>
      <c r="P780" s="1" t="str">
        <f ca="1">IFERROR(__xludf.DUMMYFUNCTION("""COMPUTED_VALUE"""),"Outside on School Property")</f>
        <v>Outside on School Property</v>
      </c>
      <c r="Q780" s="1" t="str">
        <f ca="1">IFERROR(__xludf.DUMMYFUNCTION("""COMPUTED_VALUE"""),"Yes")</f>
        <v>Yes</v>
      </c>
      <c r="R780" s="1" t="str">
        <f ca="1">IFERROR(__xludf.DUMMYFUNCTION("""COMPUTED_VALUE"""),"Dismissal")</f>
        <v>Dismissal</v>
      </c>
      <c r="S780" s="5">
        <f ca="1">IFERROR(__xludf.DUMMYFUNCTION("""COMPUTED_VALUE"""),0.635416666666666)</f>
        <v>0.63541666666666596</v>
      </c>
      <c r="T780" s="1">
        <f ca="1">IFERROR(__xludf.DUMMYFUNCTION("""COMPUTED_VALUE"""),1)</f>
        <v>1</v>
      </c>
      <c r="U780" s="1" t="str">
        <f ca="1">IFERROR(__xludf.DUMMYFUNCTION("""COMPUTED_VALUE"""),"Shots fired during fight in front of the school at dismissal")</f>
        <v>Shots fired during fight in front of the school at dismissal</v>
      </c>
      <c r="V780" s="1" t="str">
        <f ca="1">IFERROR(__xludf.DUMMYFUNCTION("""COMPUTED_VALUE"""),"Multiple shots were fired in front of the school during a fight between students. Multiple students ran from the area. None of the students involved were shot. Vehicles parked in the faculty lot sustained damage. Police recovered multiple .380 shell casin"&amp;"gs and arrested a 13-year-old male student at his home with an empty .380 handgun. School closed the two days following the shooting to update the security plan.")</f>
        <v>Multiple shots were fired in front of the school during a fight between students. Multiple students ran from the area. None of the students involved were shot. Vehicles parked in the faculty lot sustained damage. Police recovered multiple .380 shell casings and arrested a 13-year-old male student at his home with an empty .380 handgun. School closed the two days following the shooting to update the security plan.</v>
      </c>
      <c r="W780" s="1" t="str">
        <f ca="1">IFERROR(__xludf.DUMMYFUNCTION("""COMPUTED_VALUE"""),"Escalation of Dispute")</f>
        <v>Escalation of Dispute</v>
      </c>
      <c r="X780" s="1" t="str">
        <f ca="1">IFERROR(__xludf.DUMMYFUNCTION("""COMPUTED_VALUE"""),"Victims Targeted")</f>
        <v>Victims Targeted</v>
      </c>
      <c r="Y780" s="1" t="str">
        <f ca="1">IFERROR(__xludf.DUMMYFUNCTION("""COMPUTED_VALUE"""),"Yes")</f>
        <v>Yes</v>
      </c>
      <c r="Z780" s="1" t="str">
        <f ca="1">IFERROR(__xludf.DUMMYFUNCTION("""COMPUTED_VALUE"""),"15-year-old also questioned")</f>
        <v>15-year-old also questioned</v>
      </c>
      <c r="AA780" s="1" t="str">
        <f ca="1">IFERROR(__xludf.DUMMYFUNCTION("""COMPUTED_VALUE"""),"No")</f>
        <v>No</v>
      </c>
      <c r="AB780" s="1" t="str">
        <f ca="1">IFERROR(__xludf.DUMMYFUNCTION("""COMPUTED_VALUE"""),"No")</f>
        <v>No</v>
      </c>
      <c r="AC780" s="1" t="str">
        <f ca="1">IFERROR(__xludf.DUMMYFUNCTION("""COMPUTED_VALUE"""),"No")</f>
        <v>No</v>
      </c>
      <c r="AD780" s="1" t="str">
        <f ca="1">IFERROR(__xludf.DUMMYFUNCTION("""COMPUTED_VALUE"""),"No")</f>
        <v>No</v>
      </c>
      <c r="AE780" s="1" t="str">
        <f ca="1">IFERROR(__xludf.DUMMYFUNCTION("""COMPUTED_VALUE"""),"No")</f>
        <v>No</v>
      </c>
      <c r="AF780" s="1" t="str">
        <f ca="1">IFERROR(__xludf.DUMMYFUNCTION("""COMPUTED_VALUE"""),"No")</f>
        <v>No</v>
      </c>
      <c r="AG780" s="1" t="str">
        <f ca="1">IFERROR(__xludf.DUMMYFUNCTION("""COMPUTED_VALUE"""),"No")</f>
        <v>No</v>
      </c>
      <c r="AH780" s="1">
        <f ca="1">IFERROR(__xludf.DUMMYFUNCTION("""COMPUTED_VALUE"""),6)</f>
        <v>6</v>
      </c>
    </row>
    <row r="781" spans="1:34" ht="12.5">
      <c r="A781" s="1" t="str">
        <f ca="1">IFERROR(__xludf.DUMMYFUNCTION("""COMPUTED_VALUE"""),"20211110NCMOM")</f>
        <v>20211110NCMOM</v>
      </c>
      <c r="B781" s="1">
        <f ca="1">IFERROR(__xludf.DUMMYFUNCTION("""COMPUTED_VALUE"""),11)</f>
        <v>11</v>
      </c>
      <c r="C781" s="1">
        <f ca="1">IFERROR(__xludf.DUMMYFUNCTION("""COMPUTED_VALUE"""),10)</f>
        <v>10</v>
      </c>
      <c r="D781" s="1">
        <f ca="1">IFERROR(__xludf.DUMMYFUNCTION("""COMPUTED_VALUE"""),2021)</f>
        <v>2021</v>
      </c>
      <c r="E781" s="4">
        <f ca="1">IFERROR(__xludf.DUMMYFUNCTION("""COMPUTED_VALUE"""),44510)</f>
        <v>44510</v>
      </c>
      <c r="F781" s="1" t="str">
        <f ca="1">IFERROR(__xludf.DUMMYFUNCTION("""COMPUTED_VALUE"""),"Mooresville High School")</f>
        <v>Mooresville High School</v>
      </c>
      <c r="G781" s="1">
        <f ca="1">IFERROR(__xludf.DUMMYFUNCTION("""COMPUTED_VALUE"""),0)</f>
        <v>0</v>
      </c>
      <c r="H781" s="1">
        <f ca="1">IFERROR(__xludf.DUMMYFUNCTION("""COMPUTED_VALUE"""),0)</f>
        <v>0</v>
      </c>
      <c r="I781" s="1">
        <f ca="1">IFERROR(__xludf.DUMMYFUNCTION("""COMPUTED_VALUE"""),0)</f>
        <v>0</v>
      </c>
      <c r="J781" s="1">
        <f ca="1">IFERROR(__xludf.DUMMYFUNCTION("""COMPUTED_VALUE"""),1)</f>
        <v>1</v>
      </c>
      <c r="K781" s="1" t="str">
        <f ca="1">IFERROR(__xludf.DUMMYFUNCTION("""COMPUTED_VALUE"""),"Fall")</f>
        <v>Fall</v>
      </c>
      <c r="L781" s="1" t="str">
        <f ca="1">IFERROR(__xludf.DUMMYFUNCTION("""COMPUTED_VALUE"""),"Mooresville")</f>
        <v>Mooresville</v>
      </c>
      <c r="M781" s="1" t="str">
        <f ca="1">IFERROR(__xludf.DUMMYFUNCTION("""COMPUTED_VALUE"""),"NC")</f>
        <v>NC</v>
      </c>
      <c r="N781" s="1" t="str">
        <f ca="1">IFERROR(__xludf.DUMMYFUNCTION("""COMPUTED_VALUE"""),"High")</f>
        <v>High</v>
      </c>
      <c r="O781" s="1" t="str">
        <f ca="1">IFERROR(__xludf.DUMMYFUNCTION("""COMPUTED_VALUE"""),"Bathroom")</f>
        <v>Bathroom</v>
      </c>
      <c r="P781" s="1" t="str">
        <f ca="1">IFERROR(__xludf.DUMMYFUNCTION("""COMPUTED_VALUE"""),"Inside School Building")</f>
        <v>Inside School Building</v>
      </c>
      <c r="Q781" s="1" t="str">
        <f ca="1">IFERROR(__xludf.DUMMYFUNCTION("""COMPUTED_VALUE"""),"Yes")</f>
        <v>Yes</v>
      </c>
      <c r="R781" s="1" t="str">
        <f ca="1">IFERROR(__xludf.DUMMYFUNCTION("""COMPUTED_VALUE"""),"Morning Classes")</f>
        <v>Morning Classes</v>
      </c>
      <c r="S781" s="5">
        <f ca="1">IFERROR(__xludf.DUMMYFUNCTION("""COMPUTED_VALUE"""),0.375)</f>
        <v>0.375</v>
      </c>
      <c r="T781" s="1">
        <f ca="1">IFERROR(__xludf.DUMMYFUNCTION("""COMPUTED_VALUE"""),1)</f>
        <v>1</v>
      </c>
      <c r="U781" s="1" t="str">
        <f ca="1">IFERROR(__xludf.DUMMYFUNCTION("""COMPUTED_VALUE"""),"Student commit suicide in school bathroom")</f>
        <v>Student commit suicide in school bathroom</v>
      </c>
      <c r="V781" s="1" t="str">
        <f ca="1">IFERROR(__xludf.DUMMYFUNCTION("""COMPUTED_VALUE"""),"Student commit suicide in school bathroom")</f>
        <v>Student commit suicide in school bathroom</v>
      </c>
      <c r="W781" s="1" t="str">
        <f ca="1">IFERROR(__xludf.DUMMYFUNCTION("""COMPUTED_VALUE"""),"Suicide/Attempted")</f>
        <v>Suicide/Attempted</v>
      </c>
      <c r="X781" s="1" t="str">
        <f ca="1">IFERROR(__xludf.DUMMYFUNCTION("""COMPUTED_VALUE"""),"Victims Targeted")</f>
        <v>Victims Targeted</v>
      </c>
      <c r="Y781" s="1" t="str">
        <f ca="1">IFERROR(__xludf.DUMMYFUNCTION("""COMPUTED_VALUE"""),"No")</f>
        <v>No</v>
      </c>
      <c r="Z781" s="1"/>
      <c r="AA781" s="1" t="str">
        <f ca="1">IFERROR(__xludf.DUMMYFUNCTION("""COMPUTED_VALUE"""),"No")</f>
        <v>No</v>
      </c>
      <c r="AB781" s="1" t="str">
        <f ca="1">IFERROR(__xludf.DUMMYFUNCTION("""COMPUTED_VALUE"""),"No")</f>
        <v>No</v>
      </c>
      <c r="AC781" s="1" t="str">
        <f ca="1">IFERROR(__xludf.DUMMYFUNCTION("""COMPUTED_VALUE"""),"No")</f>
        <v>No</v>
      </c>
      <c r="AD781" s="1" t="str">
        <f ca="1">IFERROR(__xludf.DUMMYFUNCTION("""COMPUTED_VALUE"""),"No")</f>
        <v>No</v>
      </c>
      <c r="AE781" s="1" t="str">
        <f ca="1">IFERROR(__xludf.DUMMYFUNCTION("""COMPUTED_VALUE"""),"No")</f>
        <v>No</v>
      </c>
      <c r="AF781" s="1" t="str">
        <f ca="1">IFERROR(__xludf.DUMMYFUNCTION("""COMPUTED_VALUE"""),"No")</f>
        <v>No</v>
      </c>
      <c r="AG781" s="1" t="str">
        <f ca="1">IFERROR(__xludf.DUMMYFUNCTION("""COMPUTED_VALUE"""),"No")</f>
        <v>No</v>
      </c>
      <c r="AH781" s="1">
        <f ca="1">IFERROR(__xludf.DUMMYFUNCTION("""COMPUTED_VALUE"""),1)</f>
        <v>1</v>
      </c>
    </row>
    <row r="782" spans="1:34" ht="12.5">
      <c r="A782" s="1" t="str">
        <f ca="1">IFERROR(__xludf.DUMMYFUNCTION("""COMPUTED_VALUE"""),"20211110NYITI")</f>
        <v>20211110NYITI</v>
      </c>
      <c r="B782" s="1">
        <f ca="1">IFERROR(__xludf.DUMMYFUNCTION("""COMPUTED_VALUE"""),11)</f>
        <v>11</v>
      </c>
      <c r="C782" s="1">
        <f ca="1">IFERROR(__xludf.DUMMYFUNCTION("""COMPUTED_VALUE"""),10)</f>
        <v>10</v>
      </c>
      <c r="D782" s="1">
        <f ca="1">IFERROR(__xludf.DUMMYFUNCTION("""COMPUTED_VALUE"""),2021)</f>
        <v>2021</v>
      </c>
      <c r="E782" s="4">
        <f ca="1">IFERROR(__xludf.DUMMYFUNCTION("""COMPUTED_VALUE"""),44510)</f>
        <v>44510</v>
      </c>
      <c r="F782" s="1" t="str">
        <f ca="1">IFERROR(__xludf.DUMMYFUNCTION("""COMPUTED_VALUE"""),"Ithaca High School")</f>
        <v>Ithaca High School</v>
      </c>
      <c r="G782" s="1">
        <f ca="1">IFERROR(__xludf.DUMMYFUNCTION("""COMPUTED_VALUE"""),0)</f>
        <v>0</v>
      </c>
      <c r="H782" s="1">
        <f ca="1">IFERROR(__xludf.DUMMYFUNCTION("""COMPUTED_VALUE"""),0)</f>
        <v>0</v>
      </c>
      <c r="I782" s="1">
        <f ca="1">IFERROR(__xludf.DUMMYFUNCTION("""COMPUTED_VALUE"""),0)</f>
        <v>0</v>
      </c>
      <c r="J782" s="1">
        <f ca="1">IFERROR(__xludf.DUMMYFUNCTION("""COMPUTED_VALUE"""),0)</f>
        <v>0</v>
      </c>
      <c r="K782" s="1" t="str">
        <f ca="1">IFERROR(__xludf.DUMMYFUNCTION("""COMPUTED_VALUE"""),"Fall")</f>
        <v>Fall</v>
      </c>
      <c r="L782" s="1" t="str">
        <f ca="1">IFERROR(__xludf.DUMMYFUNCTION("""COMPUTED_VALUE"""),"Ithaca")</f>
        <v>Ithaca</v>
      </c>
      <c r="M782" s="1" t="str">
        <f ca="1">IFERROR(__xludf.DUMMYFUNCTION("""COMPUTED_VALUE"""),"NY")</f>
        <v>NY</v>
      </c>
      <c r="N782" s="1" t="str">
        <f ca="1">IFERROR(__xludf.DUMMYFUNCTION("""COMPUTED_VALUE"""),"High")</f>
        <v>High</v>
      </c>
      <c r="O782" s="1" t="str">
        <f ca="1">IFERROR(__xludf.DUMMYFUNCTION("""COMPUTED_VALUE"""),"School Bus")</f>
        <v>School Bus</v>
      </c>
      <c r="P782" s="1" t="str">
        <f ca="1">IFERROR(__xludf.DUMMYFUNCTION("""COMPUTED_VALUE"""),"School Bus")</f>
        <v>School Bus</v>
      </c>
      <c r="Q782" s="1" t="str">
        <f ca="1">IFERROR(__xludf.DUMMYFUNCTION("""COMPUTED_VALUE"""),"No")</f>
        <v>No</v>
      </c>
      <c r="R782" s="1" t="str">
        <f ca="1">IFERROR(__xludf.DUMMYFUNCTION("""COMPUTED_VALUE"""),"Evening")</f>
        <v>Evening</v>
      </c>
      <c r="S782" s="5">
        <f ca="1">IFERROR(__xludf.DUMMYFUNCTION("""COMPUTED_VALUE"""),0.770833333333333)</f>
        <v>0.77083333333333304</v>
      </c>
      <c r="T782" s="1">
        <f ca="1">IFERROR(__xludf.DUMMYFUNCTION("""COMPUTED_VALUE"""),1)</f>
        <v>1</v>
      </c>
      <c r="U782" s="1" t="str">
        <f ca="1">IFERROR(__xludf.DUMMYFUNCTION("""COMPUTED_VALUE"""),"Door of school bus shot, driver not injured")</f>
        <v>Door of school bus shot, driver not injured</v>
      </c>
      <c r="V782" s="1" t="str">
        <f ca="1">IFERROR(__xludf.DUMMYFUNCTION("""COMPUTED_VALUE"""),"Door of the school bus was shot while the driver was returning to the bus depot. No students were aboard the bus. The driver was not injured.")</f>
        <v>Door of the school bus was shot while the driver was returning to the bus depot. No students were aboard the bus. The driver was not injured.</v>
      </c>
      <c r="W782" s="1"/>
      <c r="X782" s="1"/>
      <c r="Y782" s="1" t="str">
        <f ca="1">IFERROR(__xludf.DUMMYFUNCTION("""COMPUTED_VALUE"""),"No")</f>
        <v>No</v>
      </c>
      <c r="Z782" s="1"/>
      <c r="AA782" s="1" t="str">
        <f ca="1">IFERROR(__xludf.DUMMYFUNCTION("""COMPUTED_VALUE"""),"No")</f>
        <v>No</v>
      </c>
      <c r="AB782" s="1" t="str">
        <f ca="1">IFERROR(__xludf.DUMMYFUNCTION("""COMPUTED_VALUE"""),"No")</f>
        <v>No</v>
      </c>
      <c r="AC782" s="1" t="str">
        <f ca="1">IFERROR(__xludf.DUMMYFUNCTION("""COMPUTED_VALUE"""),"No")</f>
        <v>No</v>
      </c>
      <c r="AD782" s="1" t="str">
        <f ca="1">IFERROR(__xludf.DUMMYFUNCTION("""COMPUTED_VALUE"""),"No")</f>
        <v>No</v>
      </c>
      <c r="AE782" s="1" t="str">
        <f ca="1">IFERROR(__xludf.DUMMYFUNCTION("""COMPUTED_VALUE"""),"No")</f>
        <v>No</v>
      </c>
      <c r="AF782" s="1"/>
      <c r="AG782" s="1" t="str">
        <f ca="1">IFERROR(__xludf.DUMMYFUNCTION("""COMPUTED_VALUE"""),"No")</f>
        <v>No</v>
      </c>
      <c r="AH782" s="1"/>
    </row>
    <row r="783" spans="1:34" ht="12.5">
      <c r="A783" s="1" t="str">
        <f ca="1">IFERROR(__xludf.DUMMYFUNCTION("""COMPUTED_VALUE"""),"20211109NMMEL")</f>
        <v>20211109NMMEL</v>
      </c>
      <c r="B783" s="1">
        <f ca="1">IFERROR(__xludf.DUMMYFUNCTION("""COMPUTED_VALUE"""),11)</f>
        <v>11</v>
      </c>
      <c r="C783" s="1">
        <f ca="1">IFERROR(__xludf.DUMMYFUNCTION("""COMPUTED_VALUE"""),9)</f>
        <v>9</v>
      </c>
      <c r="D783" s="1">
        <f ca="1">IFERROR(__xludf.DUMMYFUNCTION("""COMPUTED_VALUE"""),2021)</f>
        <v>2021</v>
      </c>
      <c r="E783" s="4">
        <f ca="1">IFERROR(__xludf.DUMMYFUNCTION("""COMPUTED_VALUE"""),44509)</f>
        <v>44509</v>
      </c>
      <c r="F783" s="1" t="str">
        <f ca="1">IFERROR(__xludf.DUMMYFUNCTION("""COMPUTED_VALUE"""),"Mesilla Valley Leadership Academy")</f>
        <v>Mesilla Valley Leadership Academy</v>
      </c>
      <c r="G783" s="1">
        <f ca="1">IFERROR(__xludf.DUMMYFUNCTION("""COMPUTED_VALUE"""),0)</f>
        <v>0</v>
      </c>
      <c r="H783" s="1">
        <f ca="1">IFERROR(__xludf.DUMMYFUNCTION("""COMPUTED_VALUE"""),0)</f>
        <v>0</v>
      </c>
      <c r="I783" s="1">
        <f ca="1">IFERROR(__xludf.DUMMYFUNCTION("""COMPUTED_VALUE"""),0)</f>
        <v>0</v>
      </c>
      <c r="J783" s="1">
        <f ca="1">IFERROR(__xludf.DUMMYFUNCTION("""COMPUTED_VALUE"""),1)</f>
        <v>1</v>
      </c>
      <c r="K783" s="1" t="str">
        <f ca="1">IFERROR(__xludf.DUMMYFUNCTION("""COMPUTED_VALUE"""),"Fall")</f>
        <v>Fall</v>
      </c>
      <c r="L783" s="1" t="str">
        <f ca="1">IFERROR(__xludf.DUMMYFUNCTION("""COMPUTED_VALUE"""),"Las Cruces")</f>
        <v>Las Cruces</v>
      </c>
      <c r="M783" s="1" t="str">
        <f ca="1">IFERROR(__xludf.DUMMYFUNCTION("""COMPUTED_VALUE"""),"NM")</f>
        <v>NM</v>
      </c>
      <c r="N783" s="1"/>
      <c r="O783" s="1" t="str">
        <f ca="1">IFERROR(__xludf.DUMMYFUNCTION("""COMPUTED_VALUE"""),"Beside Building")</f>
        <v>Beside Building</v>
      </c>
      <c r="P783" s="1" t="str">
        <f ca="1">IFERROR(__xludf.DUMMYFUNCTION("""COMPUTED_VALUE"""),"Outside on School Property")</f>
        <v>Outside on School Property</v>
      </c>
      <c r="Q783" s="1" t="str">
        <f ca="1">IFERROR(__xludf.DUMMYFUNCTION("""COMPUTED_VALUE"""),"Yes")</f>
        <v>Yes</v>
      </c>
      <c r="R783" s="1" t="str">
        <f ca="1">IFERROR(__xludf.DUMMYFUNCTION("""COMPUTED_VALUE"""),"Morning Classes")</f>
        <v>Morning Classes</v>
      </c>
      <c r="S783" s="5">
        <f ca="1">IFERROR(__xludf.DUMMYFUNCTION("""COMPUTED_VALUE"""),0.333333333333333)</f>
        <v>0.33333333333333298</v>
      </c>
      <c r="T783" s="1">
        <f ca="1">IFERROR(__xludf.DUMMYFUNCTION("""COMPUTED_VALUE"""),210)</f>
        <v>210</v>
      </c>
      <c r="U783" s="1" t="str">
        <f ca="1">IFERROR(__xludf.DUMMYFUNCTION("""COMPUTED_VALUE"""),"SWAT standoff after man crashed stolen police car into school")</f>
        <v>SWAT standoff after man crashed stolen police car into school</v>
      </c>
      <c r="V783" s="1" t="str">
        <f ca="1">IFERROR(__xludf.DUMMYFUNCTION("""COMPUTED_VALUE"""),"A man with a knife stole an unmarked police car at the scene of a traffic stop. During a police pursuit, he crashed through a fence and into the side of the school building. School was in session and went on lockdown. The man stayed inside the vehicle and"&amp;" fatally shot himself after a 3.5 hour standoff with police.")</f>
        <v>A man with a knife stole an unmarked police car at the scene of a traffic stop. During a police pursuit, he crashed through a fence and into the side of the school building. School was in session and went on lockdown. The man stayed inside the vehicle and fatally shot himself after a 3.5 hour standoff with police.</v>
      </c>
      <c r="W783" s="1" t="str">
        <f ca="1">IFERROR(__xludf.DUMMYFUNCTION("""COMPUTED_VALUE"""),"Hostage/Standoff")</f>
        <v>Hostage/Standoff</v>
      </c>
      <c r="X783" s="1" t="str">
        <f ca="1">IFERROR(__xludf.DUMMYFUNCTION("""COMPUTED_VALUE"""),"Neither")</f>
        <v>Neither</v>
      </c>
      <c r="Y783" s="1" t="str">
        <f ca="1">IFERROR(__xludf.DUMMYFUNCTION("""COMPUTED_VALUE"""),"No")</f>
        <v>No</v>
      </c>
      <c r="Z783" s="1"/>
      <c r="AA783" s="1" t="str">
        <f ca="1">IFERROR(__xludf.DUMMYFUNCTION("""COMPUTED_VALUE"""),"No")</f>
        <v>No</v>
      </c>
      <c r="AB783" s="1" t="str">
        <f ca="1">IFERROR(__xludf.DUMMYFUNCTION("""COMPUTED_VALUE"""),"No")</f>
        <v>No</v>
      </c>
      <c r="AC783" s="1" t="str">
        <f ca="1">IFERROR(__xludf.DUMMYFUNCTION("""COMPUTED_VALUE"""),"No")</f>
        <v>No</v>
      </c>
      <c r="AD783" s="1" t="str">
        <f ca="1">IFERROR(__xludf.DUMMYFUNCTION("""COMPUTED_VALUE"""),"No")</f>
        <v>No</v>
      </c>
      <c r="AE783" s="1" t="str">
        <f ca="1">IFERROR(__xludf.DUMMYFUNCTION("""COMPUTED_VALUE"""),"No")</f>
        <v>No</v>
      </c>
      <c r="AF783" s="1" t="str">
        <f ca="1">IFERROR(__xludf.DUMMYFUNCTION("""COMPUTED_VALUE"""),"No")</f>
        <v>No</v>
      </c>
      <c r="AG783" s="1" t="str">
        <f ca="1">IFERROR(__xludf.DUMMYFUNCTION("""COMPUTED_VALUE"""),"No")</f>
        <v>No</v>
      </c>
      <c r="AH783" s="1">
        <f ca="1">IFERROR(__xludf.DUMMYFUNCTION("""COMPUTED_VALUE"""),1)</f>
        <v>1</v>
      </c>
    </row>
    <row r="784" spans="1:34" ht="12.5">
      <c r="A784" s="1" t="str">
        <f ca="1">IFERROR(__xludf.DUMMYFUNCTION("""COMPUTED_VALUE"""),"20211108NYTHB")</f>
        <v>20211108NYTHB</v>
      </c>
      <c r="B784" s="1">
        <f ca="1">IFERROR(__xludf.DUMMYFUNCTION("""COMPUTED_VALUE"""),11)</f>
        <v>11</v>
      </c>
      <c r="C784" s="1">
        <f ca="1">IFERROR(__xludf.DUMMYFUNCTION("""COMPUTED_VALUE"""),8)</f>
        <v>8</v>
      </c>
      <c r="D784" s="1">
        <f ca="1">IFERROR(__xludf.DUMMYFUNCTION("""COMPUTED_VALUE"""),2021)</f>
        <v>2021</v>
      </c>
      <c r="E784" s="4">
        <f ca="1">IFERROR(__xludf.DUMMYFUNCTION("""COMPUTED_VALUE"""),44508)</f>
        <v>44508</v>
      </c>
      <c r="F784" s="1" t="str">
        <f ca="1">IFERROR(__xludf.DUMMYFUNCTION("""COMPUTED_VALUE"""),"Theodore Roosevelt High School")</f>
        <v>Theodore Roosevelt High School</v>
      </c>
      <c r="G784" s="1">
        <f ca="1">IFERROR(__xludf.DUMMYFUNCTION("""COMPUTED_VALUE"""),0)</f>
        <v>0</v>
      </c>
      <c r="H784" s="1">
        <f ca="1">IFERROR(__xludf.DUMMYFUNCTION("""COMPUTED_VALUE"""),1)</f>
        <v>1</v>
      </c>
      <c r="I784" s="1">
        <f ca="1">IFERROR(__xludf.DUMMYFUNCTION("""COMPUTED_VALUE"""),1)</f>
        <v>1</v>
      </c>
      <c r="J784" s="1">
        <f ca="1">IFERROR(__xludf.DUMMYFUNCTION("""COMPUTED_VALUE"""),0)</f>
        <v>0</v>
      </c>
      <c r="K784" s="1" t="str">
        <f ca="1">IFERROR(__xludf.DUMMYFUNCTION("""COMPUTED_VALUE"""),"Fall")</f>
        <v>Fall</v>
      </c>
      <c r="L784" s="1" t="str">
        <f ca="1">IFERROR(__xludf.DUMMYFUNCTION("""COMPUTED_VALUE"""),"Bronx")</f>
        <v>Bronx</v>
      </c>
      <c r="M784" s="1" t="str">
        <f ca="1">IFERROR(__xludf.DUMMYFUNCTION("""COMPUTED_VALUE"""),"NY")</f>
        <v>NY</v>
      </c>
      <c r="N784" s="1" t="str">
        <f ca="1">IFERROR(__xludf.DUMMYFUNCTION("""COMPUTED_VALUE"""),"High")</f>
        <v>High</v>
      </c>
      <c r="O784" s="1" t="str">
        <f ca="1">IFERROR(__xludf.DUMMYFUNCTION("""COMPUTED_VALUE"""),"Front of School")</f>
        <v>Front of School</v>
      </c>
      <c r="P784" s="1" t="str">
        <f ca="1">IFERROR(__xludf.DUMMYFUNCTION("""COMPUTED_VALUE"""),"Outside on School Property")</f>
        <v>Outside on School Property</v>
      </c>
      <c r="Q784" s="1" t="str">
        <f ca="1">IFERROR(__xludf.DUMMYFUNCTION("""COMPUTED_VALUE"""),"Yes")</f>
        <v>Yes</v>
      </c>
      <c r="R784" s="1" t="str">
        <f ca="1">IFERROR(__xludf.DUMMYFUNCTION("""COMPUTED_VALUE"""),"Dismissal")</f>
        <v>Dismissal</v>
      </c>
      <c r="S784" s="5">
        <f ca="1">IFERROR(__xludf.DUMMYFUNCTION("""COMPUTED_VALUE"""),0.611111111111111)</f>
        <v>0.61111111111111105</v>
      </c>
      <c r="T784" s="1">
        <f ca="1">IFERROR(__xludf.DUMMYFUNCTION("""COMPUTED_VALUE"""),1)</f>
        <v>1</v>
      </c>
      <c r="U784" s="1" t="str">
        <f ca="1">IFERROR(__xludf.DUMMYFUNCTION("""COMPUTED_VALUE"""),"Student shot at dismissal on sidewalk in front of school")</f>
        <v>Student shot at dismissal on sidewalk in front of school</v>
      </c>
      <c r="V784" s="1" t="str">
        <f ca="1">IFERROR(__xludf.DUMMYFUNCTION("""COMPUTED_VALUE"""),"A 17-year-old student was shot in the leg outside of the school during dismissal. The student was with a group of other students and was shot by a student inside an SUV. Multiple students were inside the vehicle. The shooter fled the scene.")</f>
        <v>A 17-year-old student was shot in the leg outside of the school during dismissal. The student was with a group of other students and was shot by a student inside an SUV. Multiple students were inside the vehicle. The shooter fled the scene.</v>
      </c>
      <c r="W784" s="1" t="str">
        <f ca="1">IFERROR(__xludf.DUMMYFUNCTION("""COMPUTED_VALUE"""),"Drive-by Shooting")</f>
        <v>Drive-by Shooting</v>
      </c>
      <c r="X784" s="1" t="str">
        <f ca="1">IFERROR(__xludf.DUMMYFUNCTION("""COMPUTED_VALUE"""),"Victims Targeted")</f>
        <v>Victims Targeted</v>
      </c>
      <c r="Y784" s="1" t="str">
        <f ca="1">IFERROR(__xludf.DUMMYFUNCTION("""COMPUTED_VALUE"""),"Yes")</f>
        <v>Yes</v>
      </c>
      <c r="Z784" s="1" t="str">
        <f ca="1">IFERROR(__xludf.DUMMYFUNCTION("""COMPUTED_VALUE"""),"Driver, other students in vehicle")</f>
        <v>Driver, other students in vehicle</v>
      </c>
      <c r="AA784" s="1" t="str">
        <f ca="1">IFERROR(__xludf.DUMMYFUNCTION("""COMPUTED_VALUE"""),"No")</f>
        <v>No</v>
      </c>
      <c r="AB784" s="1" t="str">
        <f ca="1">IFERROR(__xludf.DUMMYFUNCTION("""COMPUTED_VALUE"""),"No")</f>
        <v>No</v>
      </c>
      <c r="AC784" s="1" t="str">
        <f ca="1">IFERROR(__xludf.DUMMYFUNCTION("""COMPUTED_VALUE"""),"No")</f>
        <v>No</v>
      </c>
      <c r="AD784" s="1" t="str">
        <f ca="1">IFERROR(__xludf.DUMMYFUNCTION("""COMPUTED_VALUE"""),"No")</f>
        <v>No</v>
      </c>
      <c r="AE784" s="1" t="str">
        <f ca="1">IFERROR(__xludf.DUMMYFUNCTION("""COMPUTED_VALUE"""),"No")</f>
        <v>No</v>
      </c>
      <c r="AF784" s="1"/>
      <c r="AG784" s="1" t="str">
        <f ca="1">IFERROR(__xludf.DUMMYFUNCTION("""COMPUTED_VALUE"""),"No")</f>
        <v>No</v>
      </c>
      <c r="AH784" s="1"/>
    </row>
    <row r="785" spans="1:34" ht="12.5">
      <c r="A785" s="1" t="str">
        <f ca="1">IFERROR(__xludf.DUMMYFUNCTION("""COMPUTED_VALUE"""),"20211106FLOVO")</f>
        <v>20211106FLOVO</v>
      </c>
      <c r="B785" s="1">
        <f ca="1">IFERROR(__xludf.DUMMYFUNCTION("""COMPUTED_VALUE"""),11)</f>
        <v>11</v>
      </c>
      <c r="C785" s="1">
        <f ca="1">IFERROR(__xludf.DUMMYFUNCTION("""COMPUTED_VALUE"""),6)</f>
        <v>6</v>
      </c>
      <c r="D785" s="1">
        <f ca="1">IFERROR(__xludf.DUMMYFUNCTION("""COMPUTED_VALUE"""),2021)</f>
        <v>2021</v>
      </c>
      <c r="E785" s="4">
        <f ca="1">IFERROR(__xludf.DUMMYFUNCTION("""COMPUTED_VALUE"""),44506)</f>
        <v>44506</v>
      </c>
      <c r="F785" s="1" t="str">
        <f ca="1">IFERROR(__xludf.DUMMYFUNCTION("""COMPUTED_VALUE"""),"Oviedo High School")</f>
        <v>Oviedo High School</v>
      </c>
      <c r="G785" s="1">
        <f ca="1">IFERROR(__xludf.DUMMYFUNCTION("""COMPUTED_VALUE"""),0)</f>
        <v>0</v>
      </c>
      <c r="H785" s="1">
        <f ca="1">IFERROR(__xludf.DUMMYFUNCTION("""COMPUTED_VALUE"""),0)</f>
        <v>0</v>
      </c>
      <c r="I785" s="1">
        <f ca="1">IFERROR(__xludf.DUMMYFUNCTION("""COMPUTED_VALUE"""),0)</f>
        <v>0</v>
      </c>
      <c r="J785" s="1">
        <f ca="1">IFERROR(__xludf.DUMMYFUNCTION("""COMPUTED_VALUE"""),0)</f>
        <v>0</v>
      </c>
      <c r="K785" s="1" t="str">
        <f ca="1">IFERROR(__xludf.DUMMYFUNCTION("""COMPUTED_VALUE"""),"Fall")</f>
        <v>Fall</v>
      </c>
      <c r="L785" s="1" t="str">
        <f ca="1">IFERROR(__xludf.DUMMYFUNCTION("""COMPUTED_VALUE"""),"Oviedo")</f>
        <v>Oviedo</v>
      </c>
      <c r="M785" s="1" t="str">
        <f ca="1">IFERROR(__xludf.DUMMYFUNCTION("""COMPUTED_VALUE"""),"FL")</f>
        <v>FL</v>
      </c>
      <c r="N785" s="1" t="str">
        <f ca="1">IFERROR(__xludf.DUMMYFUNCTION("""COMPUTED_VALUE"""),"High")</f>
        <v>High</v>
      </c>
      <c r="O785" s="1" t="str">
        <f ca="1">IFERROR(__xludf.DUMMYFUNCTION("""COMPUTED_VALUE"""),"Gym")</f>
        <v>Gym</v>
      </c>
      <c r="P785" s="1" t="str">
        <f ca="1">IFERROR(__xludf.DUMMYFUNCTION("""COMPUTED_VALUE"""),"Inside School Building")</f>
        <v>Inside School Building</v>
      </c>
      <c r="Q785" s="1" t="str">
        <f ca="1">IFERROR(__xludf.DUMMYFUNCTION("""COMPUTED_VALUE"""),"No")</f>
        <v>No</v>
      </c>
      <c r="R785" s="1" t="str">
        <f ca="1">IFERROR(__xludf.DUMMYFUNCTION("""COMPUTED_VALUE"""),"School Event")</f>
        <v>School Event</v>
      </c>
      <c r="S785" s="5">
        <f ca="1">IFERROR(__xludf.DUMMYFUNCTION("""COMPUTED_VALUE"""),0.916666666666666)</f>
        <v>0.91666666666666596</v>
      </c>
      <c r="T785" s="1">
        <f ca="1">IFERROR(__xludf.DUMMYFUNCTION("""COMPUTED_VALUE"""),1)</f>
        <v>1</v>
      </c>
      <c r="U785" s="1" t="str">
        <f ca="1">IFERROR(__xludf.DUMMYFUNCTION("""COMPUTED_VALUE"""),"Student brandish gun during fight at homecoming dance")</f>
        <v>Student brandish gun during fight at homecoming dance</v>
      </c>
      <c r="V785" s="1" t="str">
        <f ca="1">IFERROR(__xludf.DUMMYFUNCTION("""COMPUTED_VALUE"""),"Students evacuated the homecoming dance when they believed a gun had been fired. Police investigated and determined that no shots were fired. A student was charged with brandish a gun during a fight at the dance. A second student had been reported with a "&amp;"gun when he was detained entry to the dance but police did not find a weapon when they searched the person.")</f>
        <v>Students evacuated the homecoming dance when they believed a gun had been fired. Police investigated and determined that no shots were fired. A student was charged with brandish a gun during a fight at the dance. A second student had been reported with a gun when he was detained entry to the dance but police did not find a weapon when they searched the person.</v>
      </c>
      <c r="W785" s="1" t="str">
        <f ca="1">IFERROR(__xludf.DUMMYFUNCTION("""COMPUTED_VALUE"""),"Escalation of Dispute")</f>
        <v>Escalation of Dispute</v>
      </c>
      <c r="X785" s="1" t="str">
        <f ca="1">IFERROR(__xludf.DUMMYFUNCTION("""COMPUTED_VALUE"""),"Neither")</f>
        <v>Neither</v>
      </c>
      <c r="Y785" s="1" t="str">
        <f ca="1">IFERROR(__xludf.DUMMYFUNCTION("""COMPUTED_VALUE"""),"No")</f>
        <v>No</v>
      </c>
      <c r="Z785" s="1"/>
      <c r="AA785" s="1" t="str">
        <f ca="1">IFERROR(__xludf.DUMMYFUNCTION("""COMPUTED_VALUE"""),"No")</f>
        <v>No</v>
      </c>
      <c r="AB785" s="1" t="str">
        <f ca="1">IFERROR(__xludf.DUMMYFUNCTION("""COMPUTED_VALUE"""),"No")</f>
        <v>No</v>
      </c>
      <c r="AC785" s="1" t="str">
        <f ca="1">IFERROR(__xludf.DUMMYFUNCTION("""COMPUTED_VALUE"""),"No")</f>
        <v>No</v>
      </c>
      <c r="AD785" s="1" t="str">
        <f ca="1">IFERROR(__xludf.DUMMYFUNCTION("""COMPUTED_VALUE"""),"No")</f>
        <v>No</v>
      </c>
      <c r="AE785" s="1" t="str">
        <f ca="1">IFERROR(__xludf.DUMMYFUNCTION("""COMPUTED_VALUE"""),"No")</f>
        <v>No</v>
      </c>
      <c r="AF785" s="1"/>
      <c r="AG785" s="1" t="str">
        <f ca="1">IFERROR(__xludf.DUMMYFUNCTION("""COMPUTED_VALUE"""),"No")</f>
        <v>No</v>
      </c>
      <c r="AH785" s="1">
        <f ca="1">IFERROR(__xludf.DUMMYFUNCTION("""COMPUTED_VALUE"""),0)</f>
        <v>0</v>
      </c>
    </row>
    <row r="786" spans="1:34" ht="12.5">
      <c r="A786" s="1" t="str">
        <f ca="1">IFERROR(__xludf.DUMMYFUNCTION("""COMPUTED_VALUE"""),"20211102NMHIH")</f>
        <v>20211102NMHIH</v>
      </c>
      <c r="B786" s="1">
        <f ca="1">IFERROR(__xludf.DUMMYFUNCTION("""COMPUTED_VALUE"""),11)</f>
        <v>11</v>
      </c>
      <c r="C786" s="1">
        <f ca="1">IFERROR(__xludf.DUMMYFUNCTION("""COMPUTED_VALUE"""),2)</f>
        <v>2</v>
      </c>
      <c r="D786" s="1">
        <f ca="1">IFERROR(__xludf.DUMMYFUNCTION("""COMPUTED_VALUE"""),2021)</f>
        <v>2021</v>
      </c>
      <c r="E786" s="4">
        <f ca="1">IFERROR(__xludf.DUMMYFUNCTION("""COMPUTED_VALUE"""),44502)</f>
        <v>44502</v>
      </c>
      <c r="F786" s="1" t="str">
        <f ca="1">IFERROR(__xludf.DUMMYFUNCTION("""COMPUTED_VALUE"""),"Highland Middle School")</f>
        <v>Highland Middle School</v>
      </c>
      <c r="G786" s="1">
        <f ca="1">IFERROR(__xludf.DUMMYFUNCTION("""COMPUTED_VALUE"""),0)</f>
        <v>0</v>
      </c>
      <c r="H786" s="1">
        <f ca="1">IFERROR(__xludf.DUMMYFUNCTION("""COMPUTED_VALUE"""),3)</f>
        <v>3</v>
      </c>
      <c r="I786" s="1">
        <f ca="1">IFERROR(__xludf.DUMMYFUNCTION("""COMPUTED_VALUE"""),3)</f>
        <v>3</v>
      </c>
      <c r="J786" s="1">
        <f ca="1">IFERROR(__xludf.DUMMYFUNCTION("""COMPUTED_VALUE"""),0)</f>
        <v>0</v>
      </c>
      <c r="K786" s="1" t="str">
        <f ca="1">IFERROR(__xludf.DUMMYFUNCTION("""COMPUTED_VALUE"""),"Fall")</f>
        <v>Fall</v>
      </c>
      <c r="L786" s="1" t="str">
        <f ca="1">IFERROR(__xludf.DUMMYFUNCTION("""COMPUTED_VALUE"""),"Hobbs")</f>
        <v>Hobbs</v>
      </c>
      <c r="M786" s="1" t="str">
        <f ca="1">IFERROR(__xludf.DUMMYFUNCTION("""COMPUTED_VALUE"""),"NM")</f>
        <v>NM</v>
      </c>
      <c r="N786" s="1" t="str">
        <f ca="1">IFERROR(__xludf.DUMMYFUNCTION("""COMPUTED_VALUE"""),"Middle")</f>
        <v>Middle</v>
      </c>
      <c r="O786" s="1" t="str">
        <f ca="1">IFERROR(__xludf.DUMMYFUNCTION("""COMPUTED_VALUE"""),"Parking Lot")</f>
        <v>Parking Lot</v>
      </c>
      <c r="P786" s="1" t="str">
        <f ca="1">IFERROR(__xludf.DUMMYFUNCTION("""COMPUTED_VALUE"""),"Outside on School Property")</f>
        <v>Outside on School Property</v>
      </c>
      <c r="Q786" s="1" t="str">
        <f ca="1">IFERROR(__xludf.DUMMYFUNCTION("""COMPUTED_VALUE"""),"Yes")</f>
        <v>Yes</v>
      </c>
      <c r="R786" s="1" t="str">
        <f ca="1">IFERROR(__xludf.DUMMYFUNCTION("""COMPUTED_VALUE"""),"Dismissal")</f>
        <v>Dismissal</v>
      </c>
      <c r="S786" s="5">
        <f ca="1">IFERROR(__xludf.DUMMYFUNCTION("""COMPUTED_VALUE"""),0.625)</f>
        <v>0.625</v>
      </c>
      <c r="T786" s="1">
        <f ca="1">IFERROR(__xludf.DUMMYFUNCTION("""COMPUTED_VALUE"""),1)</f>
        <v>1</v>
      </c>
      <c r="U786" s="1" t="str">
        <f ca="1">IFERROR(__xludf.DUMMYFUNCTION("""COMPUTED_VALUE"""),"12-year-old and friend shot at students outside the school with BB gun")</f>
        <v>12-year-old and friend shot at students outside the school with BB gun</v>
      </c>
      <c r="V786" s="1" t="str">
        <f ca="1">IFERROR(__xludf.DUMMYFUNCTION("""COMPUTED_VALUE"""),"A 12-year-old male and his friend fired a BB rifle from an apartment building at students outside of the school across the street. Three students reported injuries. One student required surgery to remove a BB from his scalp. Both children charged as minor"&amp;"s with aggravated battery. Mother charged with felon in possession of a firearm, three counts of child abuse and contributing to a delinquency of a minor.")</f>
        <v>A 12-year-old male and his friend fired a BB rifle from an apartment building at students outside of the school across the street. Three students reported injuries. One student required surgery to remove a BB from his scalp. Both children charged as minors with aggravated battery. Mother charged with felon in possession of a firearm, three counts of child abuse and contributing to a delinquency of a minor.</v>
      </c>
      <c r="W786" s="1" t="str">
        <f ca="1">IFERROR(__xludf.DUMMYFUNCTION("""COMPUTED_VALUE"""),"Indiscriminate Shooting")</f>
        <v>Indiscriminate Shooting</v>
      </c>
      <c r="X786" s="1" t="str">
        <f ca="1">IFERROR(__xludf.DUMMYFUNCTION("""COMPUTED_VALUE"""),"Random Shooting")</f>
        <v>Random Shooting</v>
      </c>
      <c r="Y786" s="1" t="str">
        <f ca="1">IFERROR(__xludf.DUMMYFUNCTION("""COMPUTED_VALUE"""),"Yes")</f>
        <v>Yes</v>
      </c>
      <c r="Z786" s="1" t="str">
        <f ca="1">IFERROR(__xludf.DUMMYFUNCTION("""COMPUTED_VALUE"""),"12YOM male friend, mother")</f>
        <v>12YOM male friend, mother</v>
      </c>
      <c r="AA786" s="1" t="str">
        <f ca="1">IFERROR(__xludf.DUMMYFUNCTION("""COMPUTED_VALUE"""),"No")</f>
        <v>No</v>
      </c>
      <c r="AB786" s="1" t="str">
        <f ca="1">IFERROR(__xludf.DUMMYFUNCTION("""COMPUTED_VALUE"""),"No")</f>
        <v>No</v>
      </c>
      <c r="AC786" s="1" t="str">
        <f ca="1">IFERROR(__xludf.DUMMYFUNCTION("""COMPUTED_VALUE"""),"No")</f>
        <v>No</v>
      </c>
      <c r="AD786" s="1" t="str">
        <f ca="1">IFERROR(__xludf.DUMMYFUNCTION("""COMPUTED_VALUE"""),"No")</f>
        <v>No</v>
      </c>
      <c r="AE786" s="1" t="str">
        <f ca="1">IFERROR(__xludf.DUMMYFUNCTION("""COMPUTED_VALUE"""),"No")</f>
        <v>No</v>
      </c>
      <c r="AF786" s="1" t="str">
        <f ca="1">IFERROR(__xludf.DUMMYFUNCTION("""COMPUTED_VALUE"""),"No")</f>
        <v>No</v>
      </c>
      <c r="AG786" s="1" t="str">
        <f ca="1">IFERROR(__xludf.DUMMYFUNCTION("""COMPUTED_VALUE"""),"No")</f>
        <v>No</v>
      </c>
      <c r="AH786" s="1"/>
    </row>
    <row r="787" spans="1:34" ht="12.5">
      <c r="A787" s="1" t="str">
        <f ca="1">IFERROR(__xludf.DUMMYFUNCTION("""COMPUTED_VALUE"""),"20211030PASTM")</f>
        <v>20211030PASTM</v>
      </c>
      <c r="B787" s="1">
        <f ca="1">IFERROR(__xludf.DUMMYFUNCTION("""COMPUTED_VALUE"""),10)</f>
        <v>10</v>
      </c>
      <c r="C787" s="1">
        <f ca="1">IFERROR(__xludf.DUMMYFUNCTION("""COMPUTED_VALUE"""),30)</f>
        <v>30</v>
      </c>
      <c r="D787" s="1">
        <f ca="1">IFERROR(__xludf.DUMMYFUNCTION("""COMPUTED_VALUE"""),2021)</f>
        <v>2021</v>
      </c>
      <c r="E787" s="4">
        <f ca="1">IFERROR(__xludf.DUMMYFUNCTION("""COMPUTED_VALUE"""),44499)</f>
        <v>44499</v>
      </c>
      <c r="F787" s="1" t="str">
        <f ca="1">IFERROR(__xludf.DUMMYFUNCTION("""COMPUTED_VALUE"""),"Sto Rox High School")</f>
        <v>Sto Rox High School</v>
      </c>
      <c r="G787" s="1">
        <f ca="1">IFERROR(__xludf.DUMMYFUNCTION("""COMPUTED_VALUE"""),0)</f>
        <v>0</v>
      </c>
      <c r="H787" s="1">
        <f ca="1">IFERROR(__xludf.DUMMYFUNCTION("""COMPUTED_VALUE"""),1)</f>
        <v>1</v>
      </c>
      <c r="I787" s="1">
        <f ca="1">IFERROR(__xludf.DUMMYFUNCTION("""COMPUTED_VALUE"""),1)</f>
        <v>1</v>
      </c>
      <c r="J787" s="1">
        <f ca="1">IFERROR(__xludf.DUMMYFUNCTION("""COMPUTED_VALUE"""),0)</f>
        <v>0</v>
      </c>
      <c r="K787" s="1" t="str">
        <f ca="1">IFERROR(__xludf.DUMMYFUNCTION("""COMPUTED_VALUE"""),"Fall")</f>
        <v>Fall</v>
      </c>
      <c r="L787" s="1" t="str">
        <f ca="1">IFERROR(__xludf.DUMMYFUNCTION("""COMPUTED_VALUE"""),"McKees Rock")</f>
        <v>McKees Rock</v>
      </c>
      <c r="M787" s="1" t="str">
        <f ca="1">IFERROR(__xludf.DUMMYFUNCTION("""COMPUTED_VALUE"""),"PA")</f>
        <v>PA</v>
      </c>
      <c r="N787" s="1" t="str">
        <f ca="1">IFERROR(__xludf.DUMMYFUNCTION("""COMPUTED_VALUE"""),"High")</f>
        <v>High</v>
      </c>
      <c r="O787" s="1" t="str">
        <f ca="1">IFERROR(__xludf.DUMMYFUNCTION("""COMPUTED_VALUE"""),"Parking Lot")</f>
        <v>Parking Lot</v>
      </c>
      <c r="P787" s="1" t="str">
        <f ca="1">IFERROR(__xludf.DUMMYFUNCTION("""COMPUTED_VALUE"""),"Outside on School Property")</f>
        <v>Outside on School Property</v>
      </c>
      <c r="Q787" s="1" t="str">
        <f ca="1">IFERROR(__xludf.DUMMYFUNCTION("""COMPUTED_VALUE"""),"No")</f>
        <v>No</v>
      </c>
      <c r="R787" s="1" t="str">
        <f ca="1">IFERROR(__xludf.DUMMYFUNCTION("""COMPUTED_VALUE"""),"Sport Event")</f>
        <v>Sport Event</v>
      </c>
      <c r="S787" s="5">
        <f ca="1">IFERROR(__xludf.DUMMYFUNCTION("""COMPUTED_VALUE"""),0.697916666666666)</f>
        <v>0.69791666666666596</v>
      </c>
      <c r="T787" s="1">
        <f ca="1">IFERROR(__xludf.DUMMYFUNCTION("""COMPUTED_VALUE"""),1)</f>
        <v>1</v>
      </c>
      <c r="U787" s="1" t="str">
        <f ca="1">IFERROR(__xludf.DUMMYFUNCTION("""COMPUTED_VALUE"""),"Man shot outside football stadium during dispute over parking")</f>
        <v>Man shot outside football stadium during dispute over parking</v>
      </c>
      <c r="V787" s="1" t="str">
        <f ca="1">IFERROR(__xludf.DUMMYFUNCTION("""COMPUTED_VALUE"""),"An adult male was shot during a dispute over parking outside the football stadium. The little league super bowl was being held at the stadium. 10-12 shots were fired. Police evacuated fans inside the stadium. Remainder of the game was cancelled.")</f>
        <v>An adult male was shot during a dispute over parking outside the football stadium. The little league super bowl was being held at the stadium. 10-12 shots were fired. Police evacuated fans inside the stadium. Remainder of the game was cancelled.</v>
      </c>
      <c r="W787" s="1" t="str">
        <f ca="1">IFERROR(__xludf.DUMMYFUNCTION("""COMPUTED_VALUE"""),"Escalation of Dispute")</f>
        <v>Escalation of Dispute</v>
      </c>
      <c r="X787" s="1" t="str">
        <f ca="1">IFERROR(__xludf.DUMMYFUNCTION("""COMPUTED_VALUE"""),"Victims Targeted")</f>
        <v>Victims Targeted</v>
      </c>
      <c r="Y787" s="1" t="str">
        <f ca="1">IFERROR(__xludf.DUMMYFUNCTION("""COMPUTED_VALUE"""),"No")</f>
        <v>No</v>
      </c>
      <c r="Z787" s="1"/>
      <c r="AA787" s="1" t="str">
        <f ca="1">IFERROR(__xludf.DUMMYFUNCTION("""COMPUTED_VALUE"""),"No")</f>
        <v>No</v>
      </c>
      <c r="AB787" s="1" t="str">
        <f ca="1">IFERROR(__xludf.DUMMYFUNCTION("""COMPUTED_VALUE"""),"No")</f>
        <v>No</v>
      </c>
      <c r="AC787" s="1" t="str">
        <f ca="1">IFERROR(__xludf.DUMMYFUNCTION("""COMPUTED_VALUE"""),"No")</f>
        <v>No</v>
      </c>
      <c r="AD787" s="1" t="str">
        <f ca="1">IFERROR(__xludf.DUMMYFUNCTION("""COMPUTED_VALUE"""),"No")</f>
        <v>No</v>
      </c>
      <c r="AE787" s="1" t="str">
        <f ca="1">IFERROR(__xludf.DUMMYFUNCTION("""COMPUTED_VALUE"""),"No")</f>
        <v>No</v>
      </c>
      <c r="AF787" s="1" t="str">
        <f ca="1">IFERROR(__xludf.DUMMYFUNCTION("""COMPUTED_VALUE"""),"No")</f>
        <v>No</v>
      </c>
      <c r="AG787" s="1" t="str">
        <f ca="1">IFERROR(__xludf.DUMMYFUNCTION("""COMPUTED_VALUE"""),"No")</f>
        <v>No</v>
      </c>
      <c r="AH787" s="1">
        <f ca="1">IFERROR(__xludf.DUMMYFUNCTION("""COMPUTED_VALUE"""),12)</f>
        <v>12</v>
      </c>
    </row>
    <row r="788" spans="1:34" ht="12.5">
      <c r="A788" s="1" t="str">
        <f ca="1">IFERROR(__xludf.DUMMYFUNCTION("""COMPUTED_VALUE"""),"20211027SCCAS")</f>
        <v>20211027SCCAS</v>
      </c>
      <c r="B788" s="1">
        <f ca="1">IFERROR(__xludf.DUMMYFUNCTION("""COMPUTED_VALUE"""),10)</f>
        <v>10</v>
      </c>
      <c r="C788" s="1">
        <f ca="1">IFERROR(__xludf.DUMMYFUNCTION("""COMPUTED_VALUE"""),27)</f>
        <v>27</v>
      </c>
      <c r="D788" s="1">
        <f ca="1">IFERROR(__xludf.DUMMYFUNCTION("""COMPUTED_VALUE"""),2021)</f>
        <v>2021</v>
      </c>
      <c r="E788" s="4">
        <f ca="1">IFERROR(__xludf.DUMMYFUNCTION("""COMPUTED_VALUE"""),44496)</f>
        <v>44496</v>
      </c>
      <c r="F788" s="1" t="str">
        <f ca="1">IFERROR(__xludf.DUMMYFUNCTION("""COMPUTED_VALUE"""),"Calhoun County High School")</f>
        <v>Calhoun County High School</v>
      </c>
      <c r="G788" s="1">
        <f ca="1">IFERROR(__xludf.DUMMYFUNCTION("""COMPUTED_VALUE"""),0)</f>
        <v>0</v>
      </c>
      <c r="H788" s="1">
        <f ca="1">IFERROR(__xludf.DUMMYFUNCTION("""COMPUTED_VALUE"""),0)</f>
        <v>0</v>
      </c>
      <c r="I788" s="1">
        <f ca="1">IFERROR(__xludf.DUMMYFUNCTION("""COMPUTED_VALUE"""),0)</f>
        <v>0</v>
      </c>
      <c r="J788" s="1">
        <f ca="1">IFERROR(__xludf.DUMMYFUNCTION("""COMPUTED_VALUE"""),0)</f>
        <v>0</v>
      </c>
      <c r="K788" s="1" t="str">
        <f ca="1">IFERROR(__xludf.DUMMYFUNCTION("""COMPUTED_VALUE"""),"Fall")</f>
        <v>Fall</v>
      </c>
      <c r="L788" s="1" t="str">
        <f ca="1">IFERROR(__xludf.DUMMYFUNCTION("""COMPUTED_VALUE"""),"St. Matthews")</f>
        <v>St. Matthews</v>
      </c>
      <c r="M788" s="1" t="str">
        <f ca="1">IFERROR(__xludf.DUMMYFUNCTION("""COMPUTED_VALUE"""),"SC")</f>
        <v>SC</v>
      </c>
      <c r="N788" s="1" t="str">
        <f ca="1">IFERROR(__xludf.DUMMYFUNCTION("""COMPUTED_VALUE"""),"High")</f>
        <v>High</v>
      </c>
      <c r="O788" s="1" t="str">
        <f ca="1">IFERROR(__xludf.DUMMYFUNCTION("""COMPUTED_VALUE"""),"Parking Lot")</f>
        <v>Parking Lot</v>
      </c>
      <c r="P788" s="1" t="str">
        <f ca="1">IFERROR(__xludf.DUMMYFUNCTION("""COMPUTED_VALUE"""),"Outside on School Property")</f>
        <v>Outside on School Property</v>
      </c>
      <c r="Q788" s="1" t="str">
        <f ca="1">IFERROR(__xludf.DUMMYFUNCTION("""COMPUTED_VALUE"""),"No")</f>
        <v>No</v>
      </c>
      <c r="R788" s="1" t="str">
        <f ca="1">IFERROR(__xludf.DUMMYFUNCTION("""COMPUTED_VALUE"""),"Evening")</f>
        <v>Evening</v>
      </c>
      <c r="S788" s="5">
        <f ca="1">IFERROR(__xludf.DUMMYFUNCTION("""COMPUTED_VALUE"""),0.833333333333333)</f>
        <v>0.83333333333333304</v>
      </c>
      <c r="T788" s="1">
        <f ca="1">IFERROR(__xludf.DUMMYFUNCTION("""COMPUTED_VALUE"""),1)</f>
        <v>1</v>
      </c>
      <c r="U788" s="1" t="str">
        <f ca="1">IFERROR(__xludf.DUMMYFUNCTION("""COMPUTED_VALUE"""),"Student fired shots during fight following football game")</f>
        <v>Student fired shots during fight following football game</v>
      </c>
      <c r="V788" s="1" t="str">
        <f ca="1">IFERROR(__xludf.DUMMYFUNCTION("""COMPUTED_VALUE"""),"A 17-year-old student fired shots in the parking lot during a fight following a football game at the school. After the fight was broken up, the student went to his vehicle and retrieved a gun that he fired in the direction of multiple people involved in t"&amp;"he fight. No one was struck.")</f>
        <v>A 17-year-old student fired shots in the parking lot during a fight following a football game at the school. After the fight was broken up, the student went to his vehicle and retrieved a gun that he fired in the direction of multiple people involved in the fight. No one was struck.</v>
      </c>
      <c r="W788" s="1" t="str">
        <f ca="1">IFERROR(__xludf.DUMMYFUNCTION("""COMPUTED_VALUE"""),"Escalation of Dispute")</f>
        <v>Escalation of Dispute</v>
      </c>
      <c r="X788" s="1" t="str">
        <f ca="1">IFERROR(__xludf.DUMMYFUNCTION("""COMPUTED_VALUE"""),"Victims Targeted")</f>
        <v>Victims Targeted</v>
      </c>
      <c r="Y788" s="1" t="str">
        <f ca="1">IFERROR(__xludf.DUMMYFUNCTION("""COMPUTED_VALUE"""),"No")</f>
        <v>No</v>
      </c>
      <c r="Z788" s="1"/>
      <c r="AA788" s="1" t="str">
        <f ca="1">IFERROR(__xludf.DUMMYFUNCTION("""COMPUTED_VALUE"""),"No")</f>
        <v>No</v>
      </c>
      <c r="AB788" s="1" t="str">
        <f ca="1">IFERROR(__xludf.DUMMYFUNCTION("""COMPUTED_VALUE"""),"No")</f>
        <v>No</v>
      </c>
      <c r="AC788" s="1" t="str">
        <f ca="1">IFERROR(__xludf.DUMMYFUNCTION("""COMPUTED_VALUE"""),"No")</f>
        <v>No</v>
      </c>
      <c r="AD788" s="1" t="str">
        <f ca="1">IFERROR(__xludf.DUMMYFUNCTION("""COMPUTED_VALUE"""),"No")</f>
        <v>No</v>
      </c>
      <c r="AE788" s="1" t="str">
        <f ca="1">IFERROR(__xludf.DUMMYFUNCTION("""COMPUTED_VALUE"""),"No")</f>
        <v>No</v>
      </c>
      <c r="AF788" s="1"/>
      <c r="AG788" s="1" t="str">
        <f ca="1">IFERROR(__xludf.DUMMYFUNCTION("""COMPUTED_VALUE"""),"No")</f>
        <v>No</v>
      </c>
      <c r="AH788" s="1"/>
    </row>
    <row r="789" spans="1:34" ht="12.5">
      <c r="A789" s="1" t="str">
        <f ca="1">IFERROR(__xludf.DUMMYFUNCTION("""COMPUTED_VALUE"""),"20211026MSCAN")</f>
        <v>20211026MSCAN</v>
      </c>
      <c r="B789" s="1">
        <f ca="1">IFERROR(__xludf.DUMMYFUNCTION("""COMPUTED_VALUE"""),10)</f>
        <v>10</v>
      </c>
      <c r="C789" s="1">
        <f ca="1">IFERROR(__xludf.DUMMYFUNCTION("""COMPUTED_VALUE"""),26)</f>
        <v>26</v>
      </c>
      <c r="D789" s="1">
        <f ca="1">IFERROR(__xludf.DUMMYFUNCTION("""COMPUTED_VALUE"""),2021)</f>
        <v>2021</v>
      </c>
      <c r="E789" s="4">
        <f ca="1">IFERROR(__xludf.DUMMYFUNCTION("""COMPUTED_VALUE"""),44495)</f>
        <v>44495</v>
      </c>
      <c r="F789" s="1" t="str">
        <f ca="1">IFERROR(__xludf.DUMMYFUNCTION("""COMPUTED_VALUE"""),"Cathedral School")</f>
        <v>Cathedral School</v>
      </c>
      <c r="G789" s="1">
        <f ca="1">IFERROR(__xludf.DUMMYFUNCTION("""COMPUTED_VALUE"""),0)</f>
        <v>0</v>
      </c>
      <c r="H789" s="1">
        <f ca="1">IFERROR(__xludf.DUMMYFUNCTION("""COMPUTED_VALUE"""),0)</f>
        <v>0</v>
      </c>
      <c r="I789" s="1">
        <f ca="1">IFERROR(__xludf.DUMMYFUNCTION("""COMPUTED_VALUE"""),0)</f>
        <v>0</v>
      </c>
      <c r="J789" s="1">
        <f ca="1">IFERROR(__xludf.DUMMYFUNCTION("""COMPUTED_VALUE"""),0)</f>
        <v>0</v>
      </c>
      <c r="K789" s="1" t="str">
        <f ca="1">IFERROR(__xludf.DUMMYFUNCTION("""COMPUTED_VALUE"""),"Fall")</f>
        <v>Fall</v>
      </c>
      <c r="L789" s="1" t="str">
        <f ca="1">IFERROR(__xludf.DUMMYFUNCTION("""COMPUTED_VALUE"""),"Natchez")</f>
        <v>Natchez</v>
      </c>
      <c r="M789" s="1" t="str">
        <f ca="1">IFERROR(__xludf.DUMMYFUNCTION("""COMPUTED_VALUE"""),"MS")</f>
        <v>MS</v>
      </c>
      <c r="N789" s="1" t="str">
        <f ca="1">IFERROR(__xludf.DUMMYFUNCTION("""COMPUTED_VALUE"""),"K-12")</f>
        <v>K-12</v>
      </c>
      <c r="O789" s="1" t="str">
        <f ca="1">IFERROR(__xludf.DUMMYFUNCTION("""COMPUTED_VALUE"""),"Classroom")</f>
        <v>Classroom</v>
      </c>
      <c r="P789" s="1" t="str">
        <f ca="1">IFERROR(__xludf.DUMMYFUNCTION("""COMPUTED_VALUE"""),"Outside on School Property")</f>
        <v>Outside on School Property</v>
      </c>
      <c r="Q789" s="1" t="str">
        <f ca="1">IFERROR(__xludf.DUMMYFUNCTION("""COMPUTED_VALUE"""),"Yes")</f>
        <v>Yes</v>
      </c>
      <c r="R789" s="1" t="str">
        <f ca="1">IFERROR(__xludf.DUMMYFUNCTION("""COMPUTED_VALUE"""),"Morning Classes")</f>
        <v>Morning Classes</v>
      </c>
      <c r="S789" s="5">
        <f ca="1">IFERROR(__xludf.DUMMYFUNCTION("""COMPUTED_VALUE"""),0.388888888888888)</f>
        <v>0.38888888888888801</v>
      </c>
      <c r="T789" s="1">
        <f ca="1">IFERROR(__xludf.DUMMYFUNCTION("""COMPUTED_VALUE"""),1)</f>
        <v>1</v>
      </c>
      <c r="U789" s="1" t="str">
        <f ca="1">IFERROR(__xludf.DUMMYFUNCTION("""COMPUTED_VALUE"""),"Shot fired from shotgun broke occupied classroom window")</f>
        <v>Shot fired from shotgun broke occupied classroom window</v>
      </c>
      <c r="V789" s="1" t="str">
        <f ca="1">IFERROR(__xludf.DUMMYFUNCTION("""COMPUTED_VALUE"""),"A shell fired from a shotgun broke an occupied classroom window. School went on lockdown. None of the students or staff in the classroom were injured. Police believe the shot was unintentional and fired away from the school.")</f>
        <v>A shell fired from a shotgun broke an occupied classroom window. School went on lockdown. None of the students or staff in the classroom were injured. Police believe the shot was unintentional and fired away from the school.</v>
      </c>
      <c r="W789" s="1" t="str">
        <f ca="1">IFERROR(__xludf.DUMMYFUNCTION("""COMPUTED_VALUE"""),"Accidental")</f>
        <v>Accidental</v>
      </c>
      <c r="X789" s="1" t="str">
        <f ca="1">IFERROR(__xludf.DUMMYFUNCTION("""COMPUTED_VALUE"""),"Neither")</f>
        <v>Neither</v>
      </c>
      <c r="Y789" s="1" t="str">
        <f ca="1">IFERROR(__xludf.DUMMYFUNCTION("""COMPUTED_VALUE"""),"No")</f>
        <v>No</v>
      </c>
      <c r="Z789" s="1"/>
      <c r="AA789" s="1" t="str">
        <f ca="1">IFERROR(__xludf.DUMMYFUNCTION("""COMPUTED_VALUE"""),"No")</f>
        <v>No</v>
      </c>
      <c r="AB789" s="1" t="str">
        <f ca="1">IFERROR(__xludf.DUMMYFUNCTION("""COMPUTED_VALUE"""),"No")</f>
        <v>No</v>
      </c>
      <c r="AC789" s="1" t="str">
        <f ca="1">IFERROR(__xludf.DUMMYFUNCTION("""COMPUTED_VALUE"""),"No")</f>
        <v>No</v>
      </c>
      <c r="AD789" s="1" t="str">
        <f ca="1">IFERROR(__xludf.DUMMYFUNCTION("""COMPUTED_VALUE"""),"No")</f>
        <v>No</v>
      </c>
      <c r="AE789" s="1" t="str">
        <f ca="1">IFERROR(__xludf.DUMMYFUNCTION("""COMPUTED_VALUE"""),"No")</f>
        <v>No</v>
      </c>
      <c r="AF789" s="1" t="str">
        <f ca="1">IFERROR(__xludf.DUMMYFUNCTION("""COMPUTED_VALUE"""),"No")</f>
        <v>No</v>
      </c>
      <c r="AG789" s="1" t="str">
        <f ca="1">IFERROR(__xludf.DUMMYFUNCTION("""COMPUTED_VALUE"""),"No")</f>
        <v>No</v>
      </c>
      <c r="AH789" s="1">
        <f ca="1">IFERROR(__xludf.DUMMYFUNCTION("""COMPUTED_VALUE"""),1)</f>
        <v>1</v>
      </c>
    </row>
    <row r="790" spans="1:34" ht="12.5">
      <c r="A790" s="1" t="str">
        <f ca="1">IFERROR(__xludf.DUMMYFUNCTION("""COMPUTED_VALUE"""),"20211026ILWIC")</f>
        <v>20211026ILWIC</v>
      </c>
      <c r="B790" s="1">
        <f ca="1">IFERROR(__xludf.DUMMYFUNCTION("""COMPUTED_VALUE"""),10)</f>
        <v>10</v>
      </c>
      <c r="C790" s="1">
        <f ca="1">IFERROR(__xludf.DUMMYFUNCTION("""COMPUTED_VALUE"""),26)</f>
        <v>26</v>
      </c>
      <c r="D790" s="1">
        <f ca="1">IFERROR(__xludf.DUMMYFUNCTION("""COMPUTED_VALUE"""),2021)</f>
        <v>2021</v>
      </c>
      <c r="E790" s="4">
        <f ca="1">IFERROR(__xludf.DUMMYFUNCTION("""COMPUTED_VALUE"""),44495)</f>
        <v>44495</v>
      </c>
      <c r="F790" s="1" t="str">
        <f ca="1">IFERROR(__xludf.DUMMYFUNCTION("""COMPUTED_VALUE"""),"Jose de Diego Community Academy")</f>
        <v>Jose de Diego Community Academy</v>
      </c>
      <c r="G790" s="1">
        <f ca="1">IFERROR(__xludf.DUMMYFUNCTION("""COMPUTED_VALUE"""),0)</f>
        <v>0</v>
      </c>
      <c r="H790" s="1">
        <f ca="1">IFERROR(__xludf.DUMMYFUNCTION("""COMPUTED_VALUE"""),0)</f>
        <v>0</v>
      </c>
      <c r="I790" s="1">
        <f ca="1">IFERROR(__xludf.DUMMYFUNCTION("""COMPUTED_VALUE"""),0)</f>
        <v>0</v>
      </c>
      <c r="J790" s="1">
        <f ca="1">IFERROR(__xludf.DUMMYFUNCTION("""COMPUTED_VALUE"""),0)</f>
        <v>0</v>
      </c>
      <c r="K790" s="1"/>
      <c r="L790" s="1" t="str">
        <f ca="1">IFERROR(__xludf.DUMMYFUNCTION("""COMPUTED_VALUE"""),"Chicago")</f>
        <v>Chicago</v>
      </c>
      <c r="M790" s="1" t="str">
        <f ca="1">IFERROR(__xludf.DUMMYFUNCTION("""COMPUTED_VALUE"""),"IL")</f>
        <v>IL</v>
      </c>
      <c r="N790" s="1" t="str">
        <f ca="1">IFERROR(__xludf.DUMMYFUNCTION("""COMPUTED_VALUE"""),"K-12")</f>
        <v>K-12</v>
      </c>
      <c r="O790" s="1" t="str">
        <f ca="1">IFERROR(__xludf.DUMMYFUNCTION("""COMPUTED_VALUE"""),"Front of School")</f>
        <v>Front of School</v>
      </c>
      <c r="P790" s="1" t="str">
        <f ca="1">IFERROR(__xludf.DUMMYFUNCTION("""COMPUTED_VALUE"""),"Outside on School Property")</f>
        <v>Outside on School Property</v>
      </c>
      <c r="Q790" s="1" t="str">
        <f ca="1">IFERROR(__xludf.DUMMYFUNCTION("""COMPUTED_VALUE"""),"No")</f>
        <v>No</v>
      </c>
      <c r="R790" s="1" t="str">
        <f ca="1">IFERROR(__xludf.DUMMYFUNCTION("""COMPUTED_VALUE"""),"After School")</f>
        <v>After School</v>
      </c>
      <c r="S790" s="5">
        <f ca="1">IFERROR(__xludf.DUMMYFUNCTION("""COMPUTED_VALUE"""),0.656944444444444)</f>
        <v>0.656944444444444</v>
      </c>
      <c r="T790" s="1">
        <f ca="1">IFERROR(__xludf.DUMMYFUNCTION("""COMPUTED_VALUE"""),1)</f>
        <v>1</v>
      </c>
      <c r="U790" s="1" t="str">
        <f ca="1">IFERROR(__xludf.DUMMYFUNCTION("""COMPUTED_VALUE"""),"Two shots fired during fight between two men")</f>
        <v>Two shots fired during fight between two men</v>
      </c>
      <c r="V790" s="1" t="str">
        <f ca="1">IFERROR(__xludf.DUMMYFUNCTION("""COMPUTED_VALUE"""),"Two shots were fired in front of the school after students dismissed. Shooter fled. No one was struck by the gunshots. A man was hit with a baseball bat and refused treatment. A ""safe passage"" worker at the school witnessed the incident and called polic"&amp;"e.")</f>
        <v>Two shots were fired in front of the school after students dismissed. Shooter fled. No one was struck by the gunshots. A man was hit with a baseball bat and refused treatment. A "safe passage" worker at the school witnessed the incident and called police.</v>
      </c>
      <c r="W790" s="1" t="str">
        <f ca="1">IFERROR(__xludf.DUMMYFUNCTION("""COMPUTED_VALUE"""),"Escalation of Dispute")</f>
        <v>Escalation of Dispute</v>
      </c>
      <c r="X790" s="1" t="str">
        <f ca="1">IFERROR(__xludf.DUMMYFUNCTION("""COMPUTED_VALUE"""),"Victims Targeted")</f>
        <v>Victims Targeted</v>
      </c>
      <c r="Y790" s="1" t="str">
        <f ca="1">IFERROR(__xludf.DUMMYFUNCTION("""COMPUTED_VALUE"""),"No")</f>
        <v>No</v>
      </c>
      <c r="Z790" s="1"/>
      <c r="AA790" s="1" t="str">
        <f ca="1">IFERROR(__xludf.DUMMYFUNCTION("""COMPUTED_VALUE"""),"No")</f>
        <v>No</v>
      </c>
      <c r="AB790" s="1" t="str">
        <f ca="1">IFERROR(__xludf.DUMMYFUNCTION("""COMPUTED_VALUE"""),"No")</f>
        <v>No</v>
      </c>
      <c r="AC790" s="1" t="str">
        <f ca="1">IFERROR(__xludf.DUMMYFUNCTION("""COMPUTED_VALUE"""),"No")</f>
        <v>No</v>
      </c>
      <c r="AD790" s="1" t="str">
        <f ca="1">IFERROR(__xludf.DUMMYFUNCTION("""COMPUTED_VALUE"""),"No")</f>
        <v>No</v>
      </c>
      <c r="AE790" s="1" t="str">
        <f ca="1">IFERROR(__xludf.DUMMYFUNCTION("""COMPUTED_VALUE"""),"No")</f>
        <v>No</v>
      </c>
      <c r="AF790" s="1" t="str">
        <f ca="1">IFERROR(__xludf.DUMMYFUNCTION("""COMPUTED_VALUE"""),"No")</f>
        <v>No</v>
      </c>
      <c r="AG790" s="1" t="str">
        <f ca="1">IFERROR(__xludf.DUMMYFUNCTION("""COMPUTED_VALUE"""),"No")</f>
        <v>No</v>
      </c>
      <c r="AH790" s="1">
        <f ca="1">IFERROR(__xludf.DUMMYFUNCTION("""COMPUTED_VALUE"""),2)</f>
        <v>2</v>
      </c>
    </row>
    <row r="791" spans="1:34" ht="12.5">
      <c r="A791" s="1" t="str">
        <f ca="1">IFERROR(__xludf.DUMMYFUNCTION("""COMPUTED_VALUE"""),"20211022PAPHP")</f>
        <v>20211022PAPHP</v>
      </c>
      <c r="B791" s="1">
        <f ca="1">IFERROR(__xludf.DUMMYFUNCTION("""COMPUTED_VALUE"""),10)</f>
        <v>10</v>
      </c>
      <c r="C791" s="1">
        <f ca="1">IFERROR(__xludf.DUMMYFUNCTION("""COMPUTED_VALUE"""),22)</f>
        <v>22</v>
      </c>
      <c r="D791" s="1">
        <f ca="1">IFERROR(__xludf.DUMMYFUNCTION("""COMPUTED_VALUE"""),2021)</f>
        <v>2021</v>
      </c>
      <c r="E791" s="4">
        <f ca="1">IFERROR(__xludf.DUMMYFUNCTION("""COMPUTED_VALUE"""),44491)</f>
        <v>44491</v>
      </c>
      <c r="F791" s="1" t="str">
        <f ca="1">IFERROR(__xludf.DUMMYFUNCTION("""COMPUTED_VALUE"""),"Philadelphia Learning Academy South")</f>
        <v>Philadelphia Learning Academy South</v>
      </c>
      <c r="G791" s="1">
        <f ca="1">IFERROR(__xludf.DUMMYFUNCTION("""COMPUTED_VALUE"""),0)</f>
        <v>0</v>
      </c>
      <c r="H791" s="1">
        <f ca="1">IFERROR(__xludf.DUMMYFUNCTION("""COMPUTED_VALUE"""),0)</f>
        <v>0</v>
      </c>
      <c r="I791" s="1">
        <f ca="1">IFERROR(__xludf.DUMMYFUNCTION("""COMPUTED_VALUE"""),0)</f>
        <v>0</v>
      </c>
      <c r="J791" s="1">
        <f ca="1">IFERROR(__xludf.DUMMYFUNCTION("""COMPUTED_VALUE"""),0)</f>
        <v>0</v>
      </c>
      <c r="K791" s="1" t="str">
        <f ca="1">IFERROR(__xludf.DUMMYFUNCTION("""COMPUTED_VALUE"""),"Fall")</f>
        <v>Fall</v>
      </c>
      <c r="L791" s="1" t="str">
        <f ca="1">IFERROR(__xludf.DUMMYFUNCTION("""COMPUTED_VALUE"""),"Philadelphia")</f>
        <v>Philadelphia</v>
      </c>
      <c r="M791" s="1" t="str">
        <f ca="1">IFERROR(__xludf.DUMMYFUNCTION("""COMPUTED_VALUE"""),"PA")</f>
        <v>PA</v>
      </c>
      <c r="N791" s="1" t="str">
        <f ca="1">IFERROR(__xludf.DUMMYFUNCTION("""COMPUTED_VALUE"""),"High")</f>
        <v>High</v>
      </c>
      <c r="O791" s="1" t="str">
        <f ca="1">IFERROR(__xludf.DUMMYFUNCTION("""COMPUTED_VALUE"""),"Gym")</f>
        <v>Gym</v>
      </c>
      <c r="P791" s="1" t="str">
        <f ca="1">IFERROR(__xludf.DUMMYFUNCTION("""COMPUTED_VALUE"""),"Inside School Building")</f>
        <v>Inside School Building</v>
      </c>
      <c r="Q791" s="1" t="str">
        <f ca="1">IFERROR(__xludf.DUMMYFUNCTION("""COMPUTED_VALUE"""),"Yes")</f>
        <v>Yes</v>
      </c>
      <c r="R791" s="1" t="str">
        <f ca="1">IFERROR(__xludf.DUMMYFUNCTION("""COMPUTED_VALUE"""),"Afternoon Classes")</f>
        <v>Afternoon Classes</v>
      </c>
      <c r="S791" s="5">
        <f ca="1">IFERROR(__xludf.DUMMYFUNCTION("""COMPUTED_VALUE"""),0.541666666666666)</f>
        <v>0.54166666666666596</v>
      </c>
      <c r="T791" s="1">
        <f ca="1">IFERROR(__xludf.DUMMYFUNCTION("""COMPUTED_VALUE"""),1)</f>
        <v>1</v>
      </c>
      <c r="U791" s="1" t="str">
        <f ca="1">IFERROR(__xludf.DUMMYFUNCTION("""COMPUTED_VALUE"""),"Student shot himself in the leg in the gym")</f>
        <v>Student shot himself in the leg in the gym</v>
      </c>
      <c r="V791" s="1" t="str">
        <f ca="1">IFERROR(__xludf.DUMMYFUNCTION("""COMPUTED_VALUE"""),"An 18-year-old student shot himself in the leg inside the gym. 30 students were present at the time of the shooting. Unclear of the circumstances that lead up to the shooting. Police responded for an active shooter and searched the school for the weapon. "&amp;"The weapon was located off campus, unclear who took the the weapon there. The student who shot himself was transported to the hospital. The school has metal detectors. Police believe the student's ankle monitor activated the metal detector and then staff "&amp;"did not search him for a weapon.")</f>
        <v>An 18-year-old student shot himself in the leg inside the gym. 30 students were present at the time of the shooting. Unclear of the circumstances that lead up to the shooting. Police responded for an active shooter and searched the school for the weapon. The weapon was located off campus, unclear who took the the weapon there. The student who shot himself was transported to the hospital. The school has metal detectors. Police believe the student's ankle monitor activated the metal detector and then staff did not search him for a weapon.</v>
      </c>
      <c r="W791" s="1" t="str">
        <f ca="1">IFERROR(__xludf.DUMMYFUNCTION("""COMPUTED_VALUE"""),"Accidental")</f>
        <v>Accidental</v>
      </c>
      <c r="X791" s="1" t="str">
        <f ca="1">IFERROR(__xludf.DUMMYFUNCTION("""COMPUTED_VALUE"""),"Neither")</f>
        <v>Neither</v>
      </c>
      <c r="Y791" s="1" t="str">
        <f ca="1">IFERROR(__xludf.DUMMYFUNCTION("""COMPUTED_VALUE"""),"Yes")</f>
        <v>Yes</v>
      </c>
      <c r="Z791" s="1" t="str">
        <f ca="1">IFERROR(__xludf.DUMMYFUNCTION("""COMPUTED_VALUE"""),"Someone took the weapon out of the school")</f>
        <v>Someone took the weapon out of the school</v>
      </c>
      <c r="AA791" s="1" t="str">
        <f ca="1">IFERROR(__xludf.DUMMYFUNCTION("""COMPUTED_VALUE"""),"No")</f>
        <v>No</v>
      </c>
      <c r="AB791" s="1" t="str">
        <f ca="1">IFERROR(__xludf.DUMMYFUNCTION("""COMPUTED_VALUE"""),"No")</f>
        <v>No</v>
      </c>
      <c r="AC791" s="1" t="str">
        <f ca="1">IFERROR(__xludf.DUMMYFUNCTION("""COMPUTED_VALUE"""),"No")</f>
        <v>No</v>
      </c>
      <c r="AD791" s="1" t="str">
        <f ca="1">IFERROR(__xludf.DUMMYFUNCTION("""COMPUTED_VALUE"""),"No")</f>
        <v>No</v>
      </c>
      <c r="AE791" s="1" t="str">
        <f ca="1">IFERROR(__xludf.DUMMYFUNCTION("""COMPUTED_VALUE"""),"No")</f>
        <v>No</v>
      </c>
      <c r="AF791" s="1"/>
      <c r="AG791" s="1" t="str">
        <f ca="1">IFERROR(__xludf.DUMMYFUNCTION("""COMPUTED_VALUE"""),"No")</f>
        <v>No</v>
      </c>
      <c r="AH791" s="1">
        <f ca="1">IFERROR(__xludf.DUMMYFUNCTION("""COMPUTED_VALUE"""),1)</f>
        <v>1</v>
      </c>
    </row>
    <row r="792" spans="1:34" ht="12.5">
      <c r="A792" s="1" t="str">
        <f ca="1">IFERROR(__xludf.DUMMYFUNCTION("""COMPUTED_VALUE"""),"20211021NYPSB")</f>
        <v>20211021NYPSB</v>
      </c>
      <c r="B792" s="1">
        <f ca="1">IFERROR(__xludf.DUMMYFUNCTION("""COMPUTED_VALUE"""),10)</f>
        <v>10</v>
      </c>
      <c r="C792" s="1">
        <f ca="1">IFERROR(__xludf.DUMMYFUNCTION("""COMPUTED_VALUE"""),21)</f>
        <v>21</v>
      </c>
      <c r="D792" s="1">
        <f ca="1">IFERROR(__xludf.DUMMYFUNCTION("""COMPUTED_VALUE"""),2021)</f>
        <v>2021</v>
      </c>
      <c r="E792" s="4">
        <f ca="1">IFERROR(__xludf.DUMMYFUNCTION("""COMPUTED_VALUE"""),44490)</f>
        <v>44490</v>
      </c>
      <c r="F792" s="1" t="str">
        <f ca="1">IFERROR(__xludf.DUMMYFUNCTION("""COMPUTED_VALUE"""),"P. S. 65 Mother Hale Academy")</f>
        <v>P. S. 65 Mother Hale Academy</v>
      </c>
      <c r="G792" s="1">
        <f ca="1">IFERROR(__xludf.DUMMYFUNCTION("""COMPUTED_VALUE"""),0)</f>
        <v>0</v>
      </c>
      <c r="H792" s="1">
        <f ca="1">IFERROR(__xludf.DUMMYFUNCTION("""COMPUTED_VALUE"""),1)</f>
        <v>1</v>
      </c>
      <c r="I792" s="1">
        <f ca="1">IFERROR(__xludf.DUMMYFUNCTION("""COMPUTED_VALUE"""),1)</f>
        <v>1</v>
      </c>
      <c r="J792" s="1">
        <f ca="1">IFERROR(__xludf.DUMMYFUNCTION("""COMPUTED_VALUE"""),0)</f>
        <v>0</v>
      </c>
      <c r="K792" s="1" t="str">
        <f ca="1">IFERROR(__xludf.DUMMYFUNCTION("""COMPUTED_VALUE"""),"Fall")</f>
        <v>Fall</v>
      </c>
      <c r="L792" s="1" t="str">
        <f ca="1">IFERROR(__xludf.DUMMYFUNCTION("""COMPUTED_VALUE"""),"Bronx")</f>
        <v>Bronx</v>
      </c>
      <c r="M792" s="1" t="str">
        <f ca="1">IFERROR(__xludf.DUMMYFUNCTION("""COMPUTED_VALUE"""),"NY")</f>
        <v>NY</v>
      </c>
      <c r="N792" s="1" t="str">
        <f ca="1">IFERROR(__xludf.DUMMYFUNCTION("""COMPUTED_VALUE"""),"Elementary")</f>
        <v>Elementary</v>
      </c>
      <c r="O792" s="1" t="str">
        <f ca="1">IFERROR(__xludf.DUMMYFUNCTION("""COMPUTED_VALUE"""),"Beside Building")</f>
        <v>Beside Building</v>
      </c>
      <c r="P792" s="1" t="str">
        <f ca="1">IFERROR(__xludf.DUMMYFUNCTION("""COMPUTED_VALUE"""),"Outside on School Property")</f>
        <v>Outside on School Property</v>
      </c>
      <c r="Q792" s="1" t="str">
        <f ca="1">IFERROR(__xludf.DUMMYFUNCTION("""COMPUTED_VALUE"""),"Yes")</f>
        <v>Yes</v>
      </c>
      <c r="R792" s="1" t="str">
        <f ca="1">IFERROR(__xludf.DUMMYFUNCTION("""COMPUTED_VALUE"""),"Dismissal")</f>
        <v>Dismissal</v>
      </c>
      <c r="S792" s="5">
        <f ca="1">IFERROR(__xludf.DUMMYFUNCTION("""COMPUTED_VALUE"""),0.583333333333333)</f>
        <v>0.58333333333333304</v>
      </c>
      <c r="T792" s="1">
        <f ca="1">IFERROR(__xludf.DUMMYFUNCTION("""COMPUTED_VALUE"""),1)</f>
        <v>1</v>
      </c>
      <c r="U792" s="1" t="str">
        <f ca="1">IFERROR(__xludf.DUMMYFUNCTION("""COMPUTED_VALUE"""),"Shot fired during argument between two men")</f>
        <v>Shot fired during argument between two men</v>
      </c>
      <c r="V792" s="1" t="str">
        <f ca="1">IFERROR(__xludf.DUMMYFUNCTION("""COMPUTED_VALUE"""),"Man was shot in the leg outside of the school during an argument between two men. Students were dismissing when the shooting occurred. Shooter fled and was arrested a few blocks away.")</f>
        <v>Man was shot in the leg outside of the school during an argument between two men. Students were dismissing when the shooting occurred. Shooter fled and was arrested a few blocks away.</v>
      </c>
      <c r="W792" s="1" t="str">
        <f ca="1">IFERROR(__xludf.DUMMYFUNCTION("""COMPUTED_VALUE"""),"Escalation of Dispute")</f>
        <v>Escalation of Dispute</v>
      </c>
      <c r="X792" s="1" t="str">
        <f ca="1">IFERROR(__xludf.DUMMYFUNCTION("""COMPUTED_VALUE"""),"Victims Targeted")</f>
        <v>Victims Targeted</v>
      </c>
      <c r="Y792" s="1" t="str">
        <f ca="1">IFERROR(__xludf.DUMMYFUNCTION("""COMPUTED_VALUE"""),"No")</f>
        <v>No</v>
      </c>
      <c r="Z792" s="1"/>
      <c r="AA792" s="1" t="str">
        <f ca="1">IFERROR(__xludf.DUMMYFUNCTION("""COMPUTED_VALUE"""),"No")</f>
        <v>No</v>
      </c>
      <c r="AB792" s="1" t="str">
        <f ca="1">IFERROR(__xludf.DUMMYFUNCTION("""COMPUTED_VALUE"""),"No")</f>
        <v>No</v>
      </c>
      <c r="AC792" s="1" t="str">
        <f ca="1">IFERROR(__xludf.DUMMYFUNCTION("""COMPUTED_VALUE"""),"No")</f>
        <v>No</v>
      </c>
      <c r="AD792" s="1" t="str">
        <f ca="1">IFERROR(__xludf.DUMMYFUNCTION("""COMPUTED_VALUE"""),"No")</f>
        <v>No</v>
      </c>
      <c r="AE792" s="1" t="str">
        <f ca="1">IFERROR(__xludf.DUMMYFUNCTION("""COMPUTED_VALUE"""),"No")</f>
        <v>No</v>
      </c>
      <c r="AF792" s="1" t="str">
        <f ca="1">IFERROR(__xludf.DUMMYFUNCTION("""COMPUTED_VALUE"""),"No")</f>
        <v>No</v>
      </c>
      <c r="AG792" s="1" t="str">
        <f ca="1">IFERROR(__xludf.DUMMYFUNCTION("""COMPUTED_VALUE"""),"No")</f>
        <v>No</v>
      </c>
      <c r="AH792" s="1">
        <f ca="1">IFERROR(__xludf.DUMMYFUNCTION("""COMPUTED_VALUE"""),1)</f>
        <v>1</v>
      </c>
    </row>
    <row r="793" spans="1:34" ht="12.5">
      <c r="A793" s="1" t="str">
        <f ca="1">IFERROR(__xludf.DUMMYFUNCTION("""COMPUTED_VALUE"""),"20211021GABES")</f>
        <v>20211021GABES</v>
      </c>
      <c r="B793" s="1">
        <f ca="1">IFERROR(__xludf.DUMMYFUNCTION("""COMPUTED_VALUE"""),10)</f>
        <v>10</v>
      </c>
      <c r="C793" s="1">
        <f ca="1">IFERROR(__xludf.DUMMYFUNCTION("""COMPUTED_VALUE"""),21)</f>
        <v>21</v>
      </c>
      <c r="D793" s="1">
        <f ca="1">IFERROR(__xludf.DUMMYFUNCTION("""COMPUTED_VALUE"""),2021)</f>
        <v>2021</v>
      </c>
      <c r="E793" s="4">
        <f ca="1">IFERROR(__xludf.DUMMYFUNCTION("""COMPUTED_VALUE"""),44490)</f>
        <v>44490</v>
      </c>
      <c r="F793" s="1" t="str">
        <f ca="1">IFERROR(__xludf.DUMMYFUNCTION("""COMPUTED_VALUE"""),"Bethesda Academy")</f>
        <v>Bethesda Academy</v>
      </c>
      <c r="G793" s="1">
        <f ca="1">IFERROR(__xludf.DUMMYFUNCTION("""COMPUTED_VALUE"""),0)</f>
        <v>0</v>
      </c>
      <c r="H793" s="1">
        <f ca="1">IFERROR(__xludf.DUMMYFUNCTION("""COMPUTED_VALUE"""),0)</f>
        <v>0</v>
      </c>
      <c r="I793" s="1">
        <f ca="1">IFERROR(__xludf.DUMMYFUNCTION("""COMPUTED_VALUE"""),0)</f>
        <v>0</v>
      </c>
      <c r="J793" s="1">
        <f ca="1">IFERROR(__xludf.DUMMYFUNCTION("""COMPUTED_VALUE"""),0)</f>
        <v>0</v>
      </c>
      <c r="K793" s="1" t="str">
        <f ca="1">IFERROR(__xludf.DUMMYFUNCTION("""COMPUTED_VALUE"""),"Fall")</f>
        <v>Fall</v>
      </c>
      <c r="L793" s="1" t="str">
        <f ca="1">IFERROR(__xludf.DUMMYFUNCTION("""COMPUTED_VALUE"""),"Savannah")</f>
        <v>Savannah</v>
      </c>
      <c r="M793" s="1" t="str">
        <f ca="1">IFERROR(__xludf.DUMMYFUNCTION("""COMPUTED_VALUE"""),"GA")</f>
        <v>GA</v>
      </c>
      <c r="N793" s="6">
        <f ca="1">IFERROR(__xludf.DUMMYFUNCTION("""COMPUTED_VALUE"""),44724)</f>
        <v>44724</v>
      </c>
      <c r="O793" s="1" t="str">
        <f ca="1">IFERROR(__xludf.DUMMYFUNCTION("""COMPUTED_VALUE"""),"Parking Lot")</f>
        <v>Parking Lot</v>
      </c>
      <c r="P793" s="1" t="str">
        <f ca="1">IFERROR(__xludf.DUMMYFUNCTION("""COMPUTED_VALUE"""),"Outside on School Property")</f>
        <v>Outside on School Property</v>
      </c>
      <c r="Q793" s="1" t="str">
        <f ca="1">IFERROR(__xludf.DUMMYFUNCTION("""COMPUTED_VALUE"""),"No")</f>
        <v>No</v>
      </c>
      <c r="R793" s="1" t="str">
        <f ca="1">IFERROR(__xludf.DUMMYFUNCTION("""COMPUTED_VALUE"""),"Evening")</f>
        <v>Evening</v>
      </c>
      <c r="S793" s="5">
        <f ca="1">IFERROR(__xludf.DUMMYFUNCTION("""COMPUTED_VALUE"""),0.791666666666666)</f>
        <v>0.79166666666666596</v>
      </c>
      <c r="T793" s="1">
        <f ca="1">IFERROR(__xludf.DUMMYFUNCTION("""COMPUTED_VALUE"""),1)</f>
        <v>1</v>
      </c>
      <c r="U793" s="1" t="str">
        <f ca="1">IFERROR(__xludf.DUMMYFUNCTION("""COMPUTED_VALUE"""),"Man fired shots at occupied vehicles in the school parking lot")</f>
        <v>Man fired shots at occupied vehicles in the school parking lot</v>
      </c>
      <c r="V793" s="1" t="str">
        <f ca="1">IFERROR(__xludf.DUMMYFUNCTION("""COMPUTED_VALUE"""),"A 33-year-old man fired shots at random occupied vehicles in the school parking lot. When police arrived, he fired more shots at other vehicles. Police arrested him. One person was injured by broken glass. Police said the shooting was random and the man h"&amp;"as no connection to the school. Prior arrests for domestic violence, battery, and false imprisonment.")</f>
        <v>A 33-year-old man fired shots at random occupied vehicles in the school parking lot. When police arrived, he fired more shots at other vehicles. Police arrested him. One person was injured by broken glass. Police said the shooting was random and the man has no connection to the school. Prior arrests for domestic violence, battery, and false imprisonment.</v>
      </c>
      <c r="W793" s="1" t="str">
        <f ca="1">IFERROR(__xludf.DUMMYFUNCTION("""COMPUTED_VALUE"""),"Indiscriminate Shooting")</f>
        <v>Indiscriminate Shooting</v>
      </c>
      <c r="X793" s="1" t="str">
        <f ca="1">IFERROR(__xludf.DUMMYFUNCTION("""COMPUTED_VALUE"""),"Random Shooting")</f>
        <v>Random Shooting</v>
      </c>
      <c r="Y793" s="1" t="str">
        <f ca="1">IFERROR(__xludf.DUMMYFUNCTION("""COMPUTED_VALUE"""),"No")</f>
        <v>No</v>
      </c>
      <c r="Z793" s="1"/>
      <c r="AA793" s="1" t="str">
        <f ca="1">IFERROR(__xludf.DUMMYFUNCTION("""COMPUTED_VALUE"""),"No")</f>
        <v>No</v>
      </c>
      <c r="AB793" s="1" t="str">
        <f ca="1">IFERROR(__xludf.DUMMYFUNCTION("""COMPUTED_VALUE"""),"No")</f>
        <v>No</v>
      </c>
      <c r="AC793" s="1" t="str">
        <f ca="1">IFERROR(__xludf.DUMMYFUNCTION("""COMPUTED_VALUE"""),"No")</f>
        <v>No</v>
      </c>
      <c r="AD793" s="1" t="str">
        <f ca="1">IFERROR(__xludf.DUMMYFUNCTION("""COMPUTED_VALUE"""),"No")</f>
        <v>No</v>
      </c>
      <c r="AE793" s="1" t="str">
        <f ca="1">IFERROR(__xludf.DUMMYFUNCTION("""COMPUTED_VALUE"""),"No")</f>
        <v>No</v>
      </c>
      <c r="AF793" s="1" t="str">
        <f ca="1">IFERROR(__xludf.DUMMYFUNCTION("""COMPUTED_VALUE"""),"No")</f>
        <v>No</v>
      </c>
      <c r="AG793" s="1" t="str">
        <f ca="1">IFERROR(__xludf.DUMMYFUNCTION("""COMPUTED_VALUE"""),"Yes")</f>
        <v>Yes</v>
      </c>
      <c r="AH793" s="1"/>
    </row>
    <row r="794" spans="1:34" ht="12.5">
      <c r="A794" s="1" t="str">
        <f ca="1">IFERROR(__xludf.DUMMYFUNCTION("""COMPUTED_VALUE"""),"20211018PALIP")</f>
        <v>20211018PALIP</v>
      </c>
      <c r="B794" s="1">
        <f ca="1">IFERROR(__xludf.DUMMYFUNCTION("""COMPUTED_VALUE"""),10)</f>
        <v>10</v>
      </c>
      <c r="C794" s="1">
        <f ca="1">IFERROR(__xludf.DUMMYFUNCTION("""COMPUTED_VALUE"""),18)</f>
        <v>18</v>
      </c>
      <c r="D794" s="1">
        <f ca="1">IFERROR(__xludf.DUMMYFUNCTION("""COMPUTED_VALUE"""),2021)</f>
        <v>2021</v>
      </c>
      <c r="E794" s="4">
        <f ca="1">IFERROR(__xludf.DUMMYFUNCTION("""COMPUTED_VALUE"""),44487)</f>
        <v>44487</v>
      </c>
      <c r="F794" s="1" t="str">
        <f ca="1">IFERROR(__xludf.DUMMYFUNCTION("""COMPUTED_VALUE"""),"Lincoln High School")</f>
        <v>Lincoln High School</v>
      </c>
      <c r="G794" s="1">
        <f ca="1">IFERROR(__xludf.DUMMYFUNCTION("""COMPUTED_VALUE"""),0)</f>
        <v>0</v>
      </c>
      <c r="H794" s="1">
        <f ca="1">IFERROR(__xludf.DUMMYFUNCTION("""COMPUTED_VALUE"""),2)</f>
        <v>2</v>
      </c>
      <c r="I794" s="1">
        <f ca="1">IFERROR(__xludf.DUMMYFUNCTION("""COMPUTED_VALUE"""),2)</f>
        <v>2</v>
      </c>
      <c r="J794" s="1">
        <f ca="1">IFERROR(__xludf.DUMMYFUNCTION("""COMPUTED_VALUE"""),0)</f>
        <v>0</v>
      </c>
      <c r="K794" s="1" t="str">
        <f ca="1">IFERROR(__xludf.DUMMYFUNCTION("""COMPUTED_VALUE"""),"Fall")</f>
        <v>Fall</v>
      </c>
      <c r="L794" s="1" t="str">
        <f ca="1">IFERROR(__xludf.DUMMYFUNCTION("""COMPUTED_VALUE"""),"Philadelphia")</f>
        <v>Philadelphia</v>
      </c>
      <c r="M794" s="1" t="str">
        <f ca="1">IFERROR(__xludf.DUMMYFUNCTION("""COMPUTED_VALUE"""),"PA")</f>
        <v>PA</v>
      </c>
      <c r="N794" s="1" t="str">
        <f ca="1">IFERROR(__xludf.DUMMYFUNCTION("""COMPUTED_VALUE"""),"High")</f>
        <v>High</v>
      </c>
      <c r="O794" s="1" t="str">
        <f ca="1">IFERROR(__xludf.DUMMYFUNCTION("""COMPUTED_VALUE"""),"Field (General)")</f>
        <v>Field (General)</v>
      </c>
      <c r="P794" s="1" t="str">
        <f ca="1">IFERROR(__xludf.DUMMYFUNCTION("""COMPUTED_VALUE"""),"Outside on School Property")</f>
        <v>Outside on School Property</v>
      </c>
      <c r="Q794" s="1" t="str">
        <f ca="1">IFERROR(__xludf.DUMMYFUNCTION("""COMPUTED_VALUE"""),"Yes")</f>
        <v>Yes</v>
      </c>
      <c r="R794" s="1" t="str">
        <f ca="1">IFERROR(__xludf.DUMMYFUNCTION("""COMPUTED_VALUE"""),"Dismissal")</f>
        <v>Dismissal</v>
      </c>
      <c r="S794" s="5">
        <f ca="1">IFERROR(__xludf.DUMMYFUNCTION("""COMPUTED_VALUE"""),0.614583333333333)</f>
        <v>0.61458333333333304</v>
      </c>
      <c r="T794" s="1">
        <f ca="1">IFERROR(__xludf.DUMMYFUNCTION("""COMPUTED_VALUE"""),1)</f>
        <v>1</v>
      </c>
      <c r="U794" s="1" t="str">
        <f ca="1">IFERROR(__xludf.DUMMYFUNCTION("""COMPUTED_VALUE"""),"Brother of student fired 15 shots at group of students during fight")</f>
        <v>Brother of student fired 15 shots at group of students during fight</v>
      </c>
      <c r="V794" s="1" t="str">
        <f ca="1">IFERROR(__xludf.DUMMYFUNCTION("""COMPUTED_VALUE"""),"At dismissal, a 21-year-old male (brother of a student), fired 5 shots at a group of students involved in a fight outside the school. One shot fatally struck a 66-year-old male in a vehicle who crashed through a fence onto the school's athletic field. Two"&amp;" police officers witnessed the shooting and arrested the shooter.")</f>
        <v>At dismissal, a 21-year-old male (brother of a student), fired 5 shots at a group of students involved in a fight outside the school. One shot fatally struck a 66-year-old male in a vehicle who crashed through a fence onto the school's athletic field. Two police officers witnessed the shooting and arrested the shooter.</v>
      </c>
      <c r="W794" s="1" t="str">
        <f ca="1">IFERROR(__xludf.DUMMYFUNCTION("""COMPUTED_VALUE"""),"Escalation of Dispute")</f>
        <v>Escalation of Dispute</v>
      </c>
      <c r="X794" s="1" t="str">
        <f ca="1">IFERROR(__xludf.DUMMYFUNCTION("""COMPUTED_VALUE"""),"Both")</f>
        <v>Both</v>
      </c>
      <c r="Y794" s="1" t="str">
        <f ca="1">IFERROR(__xludf.DUMMYFUNCTION("""COMPUTED_VALUE"""),"No")</f>
        <v>No</v>
      </c>
      <c r="Z794" s="1"/>
      <c r="AA794" s="1" t="str">
        <f ca="1">IFERROR(__xludf.DUMMYFUNCTION("""COMPUTED_VALUE"""),"No")</f>
        <v>No</v>
      </c>
      <c r="AB794" s="1" t="str">
        <f ca="1">IFERROR(__xludf.DUMMYFUNCTION("""COMPUTED_VALUE"""),"No")</f>
        <v>No</v>
      </c>
      <c r="AC794" s="1" t="str">
        <f ca="1">IFERROR(__xludf.DUMMYFUNCTION("""COMPUTED_VALUE"""),"No")</f>
        <v>No</v>
      </c>
      <c r="AD794" s="1" t="str">
        <f ca="1">IFERROR(__xludf.DUMMYFUNCTION("""COMPUTED_VALUE"""),"No")</f>
        <v>No</v>
      </c>
      <c r="AE794" s="1" t="str">
        <f ca="1">IFERROR(__xludf.DUMMYFUNCTION("""COMPUTED_VALUE"""),"No")</f>
        <v>No</v>
      </c>
      <c r="AF794" s="1"/>
      <c r="AG794" s="1" t="str">
        <f ca="1">IFERROR(__xludf.DUMMYFUNCTION("""COMPUTED_VALUE"""),"No")</f>
        <v>No</v>
      </c>
      <c r="AH794" s="1">
        <f ca="1">IFERROR(__xludf.DUMMYFUNCTION("""COMPUTED_VALUE"""),15)</f>
        <v>15</v>
      </c>
    </row>
    <row r="795" spans="1:34" ht="12.5">
      <c r="A795" s="1" t="str">
        <f ca="1">IFERROR(__xludf.DUMMYFUNCTION("""COMPUTED_VALUE"""),"20211017ARROR")</f>
        <v>20211017ARROR</v>
      </c>
      <c r="B795" s="1">
        <f ca="1">IFERROR(__xludf.DUMMYFUNCTION("""COMPUTED_VALUE"""),10)</f>
        <v>10</v>
      </c>
      <c r="C795" s="1">
        <f ca="1">IFERROR(__xludf.DUMMYFUNCTION("""COMPUTED_VALUE"""),17)</f>
        <v>17</v>
      </c>
      <c r="D795" s="1">
        <f ca="1">IFERROR(__xludf.DUMMYFUNCTION("""COMPUTED_VALUE"""),2021)</f>
        <v>2021</v>
      </c>
      <c r="E795" s="4">
        <f ca="1">IFERROR(__xludf.DUMMYFUNCTION("""COMPUTED_VALUE"""),44486)</f>
        <v>44486</v>
      </c>
      <c r="F795" s="1" t="str">
        <f ca="1">IFERROR(__xludf.DUMMYFUNCTION("""COMPUTED_VALUE"""),"Rogers High School")</f>
        <v>Rogers High School</v>
      </c>
      <c r="G795" s="1">
        <f ca="1">IFERROR(__xludf.DUMMYFUNCTION("""COMPUTED_VALUE"""),0)</f>
        <v>0</v>
      </c>
      <c r="H795" s="1">
        <f ca="1">IFERROR(__xludf.DUMMYFUNCTION("""COMPUTED_VALUE"""),0)</f>
        <v>0</v>
      </c>
      <c r="I795" s="1">
        <f ca="1">IFERROR(__xludf.DUMMYFUNCTION("""COMPUTED_VALUE"""),0)</f>
        <v>0</v>
      </c>
      <c r="J795" s="1">
        <f ca="1">IFERROR(__xludf.DUMMYFUNCTION("""COMPUTED_VALUE"""),0)</f>
        <v>0</v>
      </c>
      <c r="K795" s="1"/>
      <c r="L795" s="1" t="str">
        <f ca="1">IFERROR(__xludf.DUMMYFUNCTION("""COMPUTED_VALUE"""),"Rogers")</f>
        <v>Rogers</v>
      </c>
      <c r="M795" s="1" t="str">
        <f ca="1">IFERROR(__xludf.DUMMYFUNCTION("""COMPUTED_VALUE"""),"AR")</f>
        <v>AR</v>
      </c>
      <c r="N795" s="1" t="str">
        <f ca="1">IFERROR(__xludf.DUMMYFUNCTION("""COMPUTED_VALUE"""),"High")</f>
        <v>High</v>
      </c>
      <c r="O795" s="1" t="str">
        <f ca="1">IFERROR(__xludf.DUMMYFUNCTION("""COMPUTED_VALUE"""),"Football Field/Track")</f>
        <v>Football Field/Track</v>
      </c>
      <c r="P795" s="1" t="str">
        <f ca="1">IFERROR(__xludf.DUMMYFUNCTION("""COMPUTED_VALUE"""),"Outside on School Property")</f>
        <v>Outside on School Property</v>
      </c>
      <c r="Q795" s="1" t="str">
        <f ca="1">IFERROR(__xludf.DUMMYFUNCTION("""COMPUTED_VALUE"""),"No")</f>
        <v>No</v>
      </c>
      <c r="R795" s="1" t="str">
        <f ca="1">IFERROR(__xludf.DUMMYFUNCTION("""COMPUTED_VALUE"""),"Evening")</f>
        <v>Evening</v>
      </c>
      <c r="S795" s="5">
        <f ca="1">IFERROR(__xludf.DUMMYFUNCTION("""COMPUTED_VALUE"""),0.836805555555555)</f>
        <v>0.83680555555555503</v>
      </c>
      <c r="T795" s="1">
        <f ca="1">IFERROR(__xludf.DUMMYFUNCTION("""COMPUTED_VALUE"""),1)</f>
        <v>1</v>
      </c>
      <c r="U795" s="1" t="str">
        <f ca="1">IFERROR(__xludf.DUMMYFUNCTION("""COMPUTED_VALUE"""),"Man fired 16 shots at stadium press box")</f>
        <v>Man fired 16 shots at stadium press box</v>
      </c>
      <c r="V795" s="1" t="str">
        <f ca="1">IFERROR(__xludf.DUMMYFUNCTION("""COMPUTED_VALUE"""),"A 28-year-old male fired 16 shots at the stadium press box causing $30,000 in damage. Stadium was empty at the time of the shooting. He was identified and pulled over in a vehicle after leaving the school. He was arrested and police found multiple rifles "&amp;"and ammunition inside his van. Involved in a dispute prior to the shooting when a gun store did not allow him to purchase another weapon. He fired 4 shots outside the store before going to the high school. Charged with multiple felonies and held without b"&amp;"ond.")</f>
        <v>A 28-year-old male fired 16 shots at the stadium press box causing $30,000 in damage. Stadium was empty at the time of the shooting. He was identified and pulled over in a vehicle after leaving the school. He was arrested and police found multiple rifles and ammunition inside his van. Involved in a dispute prior to the shooting when a gun store did not allow him to purchase another weapon. He fired 4 shots outside the store before going to the high school. Charged with multiple felonies and held without bond.</v>
      </c>
      <c r="W795" s="1" t="str">
        <f ca="1">IFERROR(__xludf.DUMMYFUNCTION("""COMPUTED_VALUE"""),"Intentional Property Damage")</f>
        <v>Intentional Property Damage</v>
      </c>
      <c r="X795" s="1" t="str">
        <f ca="1">IFERROR(__xludf.DUMMYFUNCTION("""COMPUTED_VALUE"""),"Neither")</f>
        <v>Neither</v>
      </c>
      <c r="Y795" s="1" t="str">
        <f ca="1">IFERROR(__xludf.DUMMYFUNCTION("""COMPUTED_VALUE"""),"No")</f>
        <v>No</v>
      </c>
      <c r="Z795" s="1"/>
      <c r="AA795" s="1" t="str">
        <f ca="1">IFERROR(__xludf.DUMMYFUNCTION("""COMPUTED_VALUE"""),"No")</f>
        <v>No</v>
      </c>
      <c r="AB795" s="1" t="str">
        <f ca="1">IFERROR(__xludf.DUMMYFUNCTION("""COMPUTED_VALUE"""),"No")</f>
        <v>No</v>
      </c>
      <c r="AC795" s="1" t="str">
        <f ca="1">IFERROR(__xludf.DUMMYFUNCTION("""COMPUTED_VALUE"""),"No")</f>
        <v>No</v>
      </c>
      <c r="AD795" s="1" t="str">
        <f ca="1">IFERROR(__xludf.DUMMYFUNCTION("""COMPUTED_VALUE"""),"No")</f>
        <v>No</v>
      </c>
      <c r="AE795" s="1" t="str">
        <f ca="1">IFERROR(__xludf.DUMMYFUNCTION("""COMPUTED_VALUE"""),"No")</f>
        <v>No</v>
      </c>
      <c r="AF795" s="1" t="str">
        <f ca="1">IFERROR(__xludf.DUMMYFUNCTION("""COMPUTED_VALUE"""),"No")</f>
        <v>No</v>
      </c>
      <c r="AG795" s="1" t="str">
        <f ca="1">IFERROR(__xludf.DUMMYFUNCTION("""COMPUTED_VALUE"""),"No")</f>
        <v>No</v>
      </c>
      <c r="AH795" s="1">
        <f ca="1">IFERROR(__xludf.DUMMYFUNCTION("""COMPUTED_VALUE"""),16)</f>
        <v>16</v>
      </c>
    </row>
    <row r="796" spans="1:34" ht="12.5">
      <c r="A796" s="1" t="str">
        <f ca="1">IFERROR(__xludf.DUMMYFUNCTION("""COMPUTED_VALUE"""),"20211015CAKEF")</f>
        <v>20211015CAKEF</v>
      </c>
      <c r="B796" s="1">
        <f ca="1">IFERROR(__xludf.DUMMYFUNCTION("""COMPUTED_VALUE"""),10)</f>
        <v>10</v>
      </c>
      <c r="C796" s="1">
        <f ca="1">IFERROR(__xludf.DUMMYFUNCTION("""COMPUTED_VALUE"""),15)</f>
        <v>15</v>
      </c>
      <c r="D796" s="1">
        <f ca="1">IFERROR(__xludf.DUMMYFUNCTION("""COMPUTED_VALUE"""),2021)</f>
        <v>2021</v>
      </c>
      <c r="E796" s="4">
        <f ca="1">IFERROR(__xludf.DUMMYFUNCTION("""COMPUTED_VALUE"""),44484)</f>
        <v>44484</v>
      </c>
      <c r="F796" s="1" t="str">
        <f ca="1">IFERROR(__xludf.DUMMYFUNCTION("""COMPUTED_VALUE"""),"Kepler Community School")</f>
        <v>Kepler Community School</v>
      </c>
      <c r="G796" s="1">
        <f ca="1">IFERROR(__xludf.DUMMYFUNCTION("""COMPUTED_VALUE"""),0)</f>
        <v>0</v>
      </c>
      <c r="H796" s="1">
        <f ca="1">IFERROR(__xludf.DUMMYFUNCTION("""COMPUTED_VALUE"""),1)</f>
        <v>1</v>
      </c>
      <c r="I796" s="1">
        <f ca="1">IFERROR(__xludf.DUMMYFUNCTION("""COMPUTED_VALUE"""),1)</f>
        <v>1</v>
      </c>
      <c r="J796" s="1">
        <f ca="1">IFERROR(__xludf.DUMMYFUNCTION("""COMPUTED_VALUE"""),0)</f>
        <v>0</v>
      </c>
      <c r="K796" s="1" t="str">
        <f ca="1">IFERROR(__xludf.DUMMYFUNCTION("""COMPUTED_VALUE"""),"Fall")</f>
        <v>Fall</v>
      </c>
      <c r="L796" s="1" t="str">
        <f ca="1">IFERROR(__xludf.DUMMYFUNCTION("""COMPUTED_VALUE"""),"Fresno")</f>
        <v>Fresno</v>
      </c>
      <c r="M796" s="1" t="str">
        <f ca="1">IFERROR(__xludf.DUMMYFUNCTION("""COMPUTED_VALUE"""),"CA")</f>
        <v>CA</v>
      </c>
      <c r="N796" s="1" t="str">
        <f ca="1">IFERROR(__xludf.DUMMYFUNCTION("""COMPUTED_VALUE"""),"Elementary")</f>
        <v>Elementary</v>
      </c>
      <c r="O796" s="1" t="str">
        <f ca="1">IFERROR(__xludf.DUMMYFUNCTION("""COMPUTED_VALUE"""),"Playground")</f>
        <v>Playground</v>
      </c>
      <c r="P796" s="1" t="str">
        <f ca="1">IFERROR(__xludf.DUMMYFUNCTION("""COMPUTED_VALUE"""),"Outside on School Property")</f>
        <v>Outside on School Property</v>
      </c>
      <c r="Q796" s="1" t="str">
        <f ca="1">IFERROR(__xludf.DUMMYFUNCTION("""COMPUTED_VALUE"""),"Yes")</f>
        <v>Yes</v>
      </c>
      <c r="R796" s="1" t="str">
        <f ca="1">IFERROR(__xludf.DUMMYFUNCTION("""COMPUTED_VALUE"""),"Morning Classes")</f>
        <v>Morning Classes</v>
      </c>
      <c r="S796" s="5">
        <f ca="1">IFERROR(__xludf.DUMMYFUNCTION("""COMPUTED_VALUE"""),0.430555555555555)</f>
        <v>0.43055555555555503</v>
      </c>
      <c r="T796" s="1">
        <f ca="1">IFERROR(__xludf.DUMMYFUNCTION("""COMPUTED_VALUE"""),1)</f>
        <v>1</v>
      </c>
      <c r="U796" s="1" t="str">
        <f ca="1">IFERROR(__xludf.DUMMYFUNCTION("""COMPUTED_VALUE"""),"Gym teacher talked down man with gun on school playground")</f>
        <v>Gym teacher talked down man with gun on school playground</v>
      </c>
      <c r="V796" s="1" t="str">
        <f ca="1">IFERROR(__xludf.DUMMYFUNCTION("""COMPUTED_VALUE"""),"A 33-year-old male was involved in a shooting inside a home near the campus where he threatened to kill 4 people. He then walked onto the school playground and was told to leave the campus by the gym teacher (retired police officer). The man refused to le"&amp;"ave and showed the teacher a gun he was holding in his pocket. After a 45 minute standoff, the man surrendered to police. No shots were fired. School was locked down during the incident.")</f>
        <v>A 33-year-old male was involved in a shooting inside a home near the campus where he threatened to kill 4 people. He then walked onto the school playground and was told to leave the campus by the gym teacher (retired police officer). The man refused to leave and showed the teacher a gun he was holding in his pocket. After a 45 minute standoff, the man surrendered to police. No shots were fired. School was locked down during the incident.</v>
      </c>
      <c r="W796" s="1" t="str">
        <f ca="1">IFERROR(__xludf.DUMMYFUNCTION("""COMPUTED_VALUE"""),"Hostage/Standoff")</f>
        <v>Hostage/Standoff</v>
      </c>
      <c r="X796" s="1" t="str">
        <f ca="1">IFERROR(__xludf.DUMMYFUNCTION("""COMPUTED_VALUE"""),"Neither")</f>
        <v>Neither</v>
      </c>
      <c r="Y796" s="1" t="str">
        <f ca="1">IFERROR(__xludf.DUMMYFUNCTION("""COMPUTED_VALUE"""),"No")</f>
        <v>No</v>
      </c>
      <c r="Z796" s="1"/>
      <c r="AA796" s="1" t="str">
        <f ca="1">IFERROR(__xludf.DUMMYFUNCTION("""COMPUTED_VALUE"""),"No")</f>
        <v>No</v>
      </c>
      <c r="AB796" s="1" t="str">
        <f ca="1">IFERROR(__xludf.DUMMYFUNCTION("""COMPUTED_VALUE"""),"No")</f>
        <v>No</v>
      </c>
      <c r="AC796" s="1" t="str">
        <f ca="1">IFERROR(__xludf.DUMMYFUNCTION("""COMPUTED_VALUE"""),"No")</f>
        <v>No</v>
      </c>
      <c r="AD796" s="1" t="str">
        <f ca="1">IFERROR(__xludf.DUMMYFUNCTION("""COMPUTED_VALUE"""),"No")</f>
        <v>No</v>
      </c>
      <c r="AE796" s="1" t="str">
        <f ca="1">IFERROR(__xludf.DUMMYFUNCTION("""COMPUTED_VALUE"""),"No")</f>
        <v>No</v>
      </c>
      <c r="AF796" s="1" t="str">
        <f ca="1">IFERROR(__xludf.DUMMYFUNCTION("""COMPUTED_VALUE"""),"No")</f>
        <v>No</v>
      </c>
      <c r="AG796" s="1" t="str">
        <f ca="1">IFERROR(__xludf.DUMMYFUNCTION("""COMPUTED_VALUE"""),"No")</f>
        <v>No</v>
      </c>
      <c r="AH796" s="1">
        <f ca="1">IFERROR(__xludf.DUMMYFUNCTION("""COMPUTED_VALUE"""),0)</f>
        <v>0</v>
      </c>
    </row>
    <row r="797" spans="1:34" ht="12.5">
      <c r="A797" s="1" t="str">
        <f ca="1">IFERROR(__xludf.DUMMYFUNCTION("""COMPUTED_VALUE"""),"20211015ALWIM")</f>
        <v>20211015ALWIM</v>
      </c>
      <c r="B797" s="1">
        <f ca="1">IFERROR(__xludf.DUMMYFUNCTION("""COMPUTED_VALUE"""),10)</f>
        <v>10</v>
      </c>
      <c r="C797" s="1">
        <f ca="1">IFERROR(__xludf.DUMMYFUNCTION("""COMPUTED_VALUE"""),15)</f>
        <v>15</v>
      </c>
      <c r="D797" s="1">
        <f ca="1">IFERROR(__xludf.DUMMYFUNCTION("""COMPUTED_VALUE"""),2021)</f>
        <v>2021</v>
      </c>
      <c r="E797" s="4">
        <f ca="1">IFERROR(__xludf.DUMMYFUNCTION("""COMPUTED_VALUE"""),44484)</f>
        <v>44484</v>
      </c>
      <c r="F797" s="1" t="str">
        <f ca="1">IFERROR(__xludf.DUMMYFUNCTION("""COMPUTED_VALUE"""),"Williamson High School")</f>
        <v>Williamson High School</v>
      </c>
      <c r="G797" s="1">
        <f ca="1">IFERROR(__xludf.DUMMYFUNCTION("""COMPUTED_VALUE"""),0)</f>
        <v>0</v>
      </c>
      <c r="H797" s="1">
        <f ca="1">IFERROR(__xludf.DUMMYFUNCTION("""COMPUTED_VALUE"""),4)</f>
        <v>4</v>
      </c>
      <c r="I797" s="1">
        <f ca="1">IFERROR(__xludf.DUMMYFUNCTION("""COMPUTED_VALUE"""),4)</f>
        <v>4</v>
      </c>
      <c r="J797" s="1">
        <f ca="1">IFERROR(__xludf.DUMMYFUNCTION("""COMPUTED_VALUE"""),0)</f>
        <v>0</v>
      </c>
      <c r="K797" s="1"/>
      <c r="L797" s="1" t="str">
        <f ca="1">IFERROR(__xludf.DUMMYFUNCTION("""COMPUTED_VALUE"""),"Mobile")</f>
        <v>Mobile</v>
      </c>
      <c r="M797" s="1" t="str">
        <f ca="1">IFERROR(__xludf.DUMMYFUNCTION("""COMPUTED_VALUE"""),"AL")</f>
        <v>AL</v>
      </c>
      <c r="N797" s="6">
        <f ca="1">IFERROR(__xludf.DUMMYFUNCTION("""COMPUTED_VALUE"""),44724)</f>
        <v>44724</v>
      </c>
      <c r="O797" s="1" t="str">
        <f ca="1">IFERROR(__xludf.DUMMYFUNCTION("""COMPUTED_VALUE"""),"Football Field/Track")</f>
        <v>Football Field/Track</v>
      </c>
      <c r="P797" s="1" t="str">
        <f ca="1">IFERROR(__xludf.DUMMYFUNCTION("""COMPUTED_VALUE"""),"Outside on School Property")</f>
        <v>Outside on School Property</v>
      </c>
      <c r="Q797" s="1" t="str">
        <f ca="1">IFERROR(__xludf.DUMMYFUNCTION("""COMPUTED_VALUE"""),"No")</f>
        <v>No</v>
      </c>
      <c r="R797" s="1" t="str">
        <f ca="1">IFERROR(__xludf.DUMMYFUNCTION("""COMPUTED_VALUE"""),"Sport Event")</f>
        <v>Sport Event</v>
      </c>
      <c r="S797" s="5">
        <f ca="1">IFERROR(__xludf.DUMMYFUNCTION("""COMPUTED_VALUE"""),0.913888888888888)</f>
        <v>0.91388888888888797</v>
      </c>
      <c r="T797" s="1">
        <f ca="1">IFERROR(__xludf.DUMMYFUNCTION("""COMPUTED_VALUE"""),1)</f>
        <v>1</v>
      </c>
      <c r="U797" s="1" t="str">
        <f ca="1">IFERROR(__xludf.DUMMYFUNCTION("""COMPUTED_VALUE"""),"4 shot inside the football stadium during game")</f>
        <v>4 shot inside the football stadium during game</v>
      </c>
      <c r="V797" s="1" t="str">
        <f ca="1">IFERROR(__xludf.DUMMYFUNCTION("""COMPUTED_VALUE"""),"4 people were shot in the concourse of the stadium during the 4th quarter of the high school football game. The PA announcer told fans to take cover and defend themselves. Players evacuated the field. The remainder of the game was cancelled. Shooter and s"&amp;"econd suspect fled the area in a vehicle. Two victims were transported to the hospital, one in critical condition. The stadium has metal detectors at the gates following 9 people shot in 2019.")</f>
        <v>4 people were shot in the concourse of the stadium during the 4th quarter of the high school football game. The PA announcer told fans to take cover and defend themselves. Players evacuated the field. The remainder of the game was cancelled. Shooter and second suspect fled the area in a vehicle. Two victims were transported to the hospital, one in critical condition. The stadium has metal detectors at the gates following 9 people shot in 2019.</v>
      </c>
      <c r="W797" s="1"/>
      <c r="X797" s="1" t="str">
        <f ca="1">IFERROR(__xludf.DUMMYFUNCTION("""COMPUTED_VALUE"""),"Both")</f>
        <v>Both</v>
      </c>
      <c r="Y797" s="1" t="str">
        <f ca="1">IFERROR(__xludf.DUMMYFUNCTION("""COMPUTED_VALUE"""),"Yes")</f>
        <v>Yes</v>
      </c>
      <c r="Z797" s="1" t="str">
        <f ca="1">IFERROR(__xludf.DUMMYFUNCTION("""COMPUTED_VALUE"""),"Two suspects fled")</f>
        <v>Two suspects fled</v>
      </c>
      <c r="AA797" s="1" t="str">
        <f ca="1">IFERROR(__xludf.DUMMYFUNCTION("""COMPUTED_VALUE"""),"No")</f>
        <v>No</v>
      </c>
      <c r="AB797" s="1" t="str">
        <f ca="1">IFERROR(__xludf.DUMMYFUNCTION("""COMPUTED_VALUE"""),"No")</f>
        <v>No</v>
      </c>
      <c r="AC797" s="1" t="str">
        <f ca="1">IFERROR(__xludf.DUMMYFUNCTION("""COMPUTED_VALUE"""),"No")</f>
        <v>No</v>
      </c>
      <c r="AD797" s="1" t="str">
        <f ca="1">IFERROR(__xludf.DUMMYFUNCTION("""COMPUTED_VALUE"""),"No")</f>
        <v>No</v>
      </c>
      <c r="AE797" s="1" t="str">
        <f ca="1">IFERROR(__xludf.DUMMYFUNCTION("""COMPUTED_VALUE"""),"No")</f>
        <v>No</v>
      </c>
      <c r="AF797" s="1"/>
      <c r="AG797" s="1" t="str">
        <f ca="1">IFERROR(__xludf.DUMMYFUNCTION("""COMPUTED_VALUE"""),"No")</f>
        <v>No</v>
      </c>
      <c r="AH797" s="1"/>
    </row>
    <row r="798" spans="1:34" ht="12.5">
      <c r="A798" s="1" t="str">
        <f ca="1">IFERROR(__xludf.DUMMYFUNCTION("""COMPUTED_VALUE"""),"20211014MEREP")</f>
        <v>20211014MEREP</v>
      </c>
      <c r="B798" s="1">
        <f ca="1">IFERROR(__xludf.DUMMYFUNCTION("""COMPUTED_VALUE"""),10)</f>
        <v>10</v>
      </c>
      <c r="C798" s="1">
        <f ca="1">IFERROR(__xludf.DUMMYFUNCTION("""COMPUTED_VALUE"""),14)</f>
        <v>14</v>
      </c>
      <c r="D798" s="1">
        <f ca="1">IFERROR(__xludf.DUMMYFUNCTION("""COMPUTED_VALUE"""),2021)</f>
        <v>2021</v>
      </c>
      <c r="E798" s="4">
        <f ca="1">IFERROR(__xludf.DUMMYFUNCTION("""COMPUTED_VALUE"""),44483)</f>
        <v>44483</v>
      </c>
      <c r="F798" s="1" t="str">
        <f ca="1">IFERROR(__xludf.DUMMYFUNCTION("""COMPUTED_VALUE"""),"Reiche Community School")</f>
        <v>Reiche Community School</v>
      </c>
      <c r="G798" s="1">
        <f ca="1">IFERROR(__xludf.DUMMYFUNCTION("""COMPUTED_VALUE"""),1)</f>
        <v>1</v>
      </c>
      <c r="H798" s="1">
        <f ca="1">IFERROR(__xludf.DUMMYFUNCTION("""COMPUTED_VALUE"""),0)</f>
        <v>0</v>
      </c>
      <c r="I798" s="1">
        <f ca="1">IFERROR(__xludf.DUMMYFUNCTION("""COMPUTED_VALUE"""),1)</f>
        <v>1</v>
      </c>
      <c r="J798" s="1">
        <f ca="1">IFERROR(__xludf.DUMMYFUNCTION("""COMPUTED_VALUE"""),0)</f>
        <v>0</v>
      </c>
      <c r="K798" s="1" t="str">
        <f ca="1">IFERROR(__xludf.DUMMYFUNCTION("""COMPUTED_VALUE"""),"Fall")</f>
        <v>Fall</v>
      </c>
      <c r="L798" s="1" t="str">
        <f ca="1">IFERROR(__xludf.DUMMYFUNCTION("""COMPUTED_VALUE"""),"Portland")</f>
        <v>Portland</v>
      </c>
      <c r="M798" s="1" t="str">
        <f ca="1">IFERROR(__xludf.DUMMYFUNCTION("""COMPUTED_VALUE"""),"ME")</f>
        <v>ME</v>
      </c>
      <c r="N798" s="1" t="str">
        <f ca="1">IFERROR(__xludf.DUMMYFUNCTION("""COMPUTED_VALUE"""),"Elementary")</f>
        <v>Elementary</v>
      </c>
      <c r="O798" s="1" t="str">
        <f ca="1">IFERROR(__xludf.DUMMYFUNCTION("""COMPUTED_VALUE"""),"Playground")</f>
        <v>Playground</v>
      </c>
      <c r="P798" s="1" t="str">
        <f ca="1">IFERROR(__xludf.DUMMYFUNCTION("""COMPUTED_VALUE"""),"Outside on School Property")</f>
        <v>Outside on School Property</v>
      </c>
      <c r="Q798" s="1" t="str">
        <f ca="1">IFERROR(__xludf.DUMMYFUNCTION("""COMPUTED_VALUE"""),"No")</f>
        <v>No</v>
      </c>
      <c r="R798" s="1" t="str">
        <f ca="1">IFERROR(__xludf.DUMMYFUNCTION("""COMPUTED_VALUE"""),"Night")</f>
        <v>Night</v>
      </c>
      <c r="S798" s="5">
        <f ca="1">IFERROR(__xludf.DUMMYFUNCTION("""COMPUTED_VALUE"""),0.96875)</f>
        <v>0.96875</v>
      </c>
      <c r="T798" s="1">
        <f ca="1">IFERROR(__xludf.DUMMYFUNCTION("""COMPUTED_VALUE"""),1)</f>
        <v>1</v>
      </c>
      <c r="U798" s="1" t="str">
        <f ca="1">IFERROR(__xludf.DUMMYFUNCTION("""COMPUTED_VALUE"""),"Person shot on the school playground")</f>
        <v>Person shot on the school playground</v>
      </c>
      <c r="V798" s="1" t="str">
        <f ca="1">IFERROR(__xludf.DUMMYFUNCTION("""COMPUTED_VALUE"""),"At 11:15PM, police were called for shots fired near the school and did not find anything. The following morning, police were called for a shooting victim on the playground of the school. School held classes. Students were not allowed on the playground unt"&amp;"il the investigation was concluded. Person shot was not affiliated with the school.")</f>
        <v>At 11:15PM, police were called for shots fired near the school and did not find anything. The following morning, police were called for a shooting victim on the playground of the school. School held classes. Students were not allowed on the playground until the investigation was concluded. Person shot was not affiliated with the school.</v>
      </c>
      <c r="W798" s="1"/>
      <c r="X798" s="1" t="str">
        <f ca="1">IFERROR(__xludf.DUMMYFUNCTION("""COMPUTED_VALUE"""),"Victims Targeted")</f>
        <v>Victims Targeted</v>
      </c>
      <c r="Y798" s="1" t="str">
        <f ca="1">IFERROR(__xludf.DUMMYFUNCTION("""COMPUTED_VALUE"""),"No")</f>
        <v>No</v>
      </c>
      <c r="Z798" s="1"/>
      <c r="AA798" s="1" t="str">
        <f ca="1">IFERROR(__xludf.DUMMYFUNCTION("""COMPUTED_VALUE"""),"No")</f>
        <v>No</v>
      </c>
      <c r="AB798" s="1" t="str">
        <f ca="1">IFERROR(__xludf.DUMMYFUNCTION("""COMPUTED_VALUE"""),"No")</f>
        <v>No</v>
      </c>
      <c r="AC798" s="1" t="str">
        <f ca="1">IFERROR(__xludf.DUMMYFUNCTION("""COMPUTED_VALUE"""),"No")</f>
        <v>No</v>
      </c>
      <c r="AD798" s="1" t="str">
        <f ca="1">IFERROR(__xludf.DUMMYFUNCTION("""COMPUTED_VALUE"""),"No")</f>
        <v>No</v>
      </c>
      <c r="AE798" s="1" t="str">
        <f ca="1">IFERROR(__xludf.DUMMYFUNCTION("""COMPUTED_VALUE"""),"No")</f>
        <v>No</v>
      </c>
      <c r="AF798" s="1"/>
      <c r="AG798" s="1" t="str">
        <f ca="1">IFERROR(__xludf.DUMMYFUNCTION("""COMPUTED_VALUE"""),"No")</f>
        <v>No</v>
      </c>
      <c r="AH798" s="1"/>
    </row>
    <row r="799" spans="1:34" ht="12.5">
      <c r="A799" s="1" t="str">
        <f ca="1">IFERROR(__xludf.DUMMYFUNCTION("""COMPUTED_VALUE"""),"20211013PACHD")</f>
        <v>20211013PACHD</v>
      </c>
      <c r="B799" s="1">
        <f ca="1">IFERROR(__xludf.DUMMYFUNCTION("""COMPUTED_VALUE"""),10)</f>
        <v>10</v>
      </c>
      <c r="C799" s="1">
        <f ca="1">IFERROR(__xludf.DUMMYFUNCTION("""COMPUTED_VALUE"""),13)</f>
        <v>13</v>
      </c>
      <c r="D799" s="1">
        <f ca="1">IFERROR(__xludf.DUMMYFUNCTION("""COMPUTED_VALUE"""),2021)</f>
        <v>2021</v>
      </c>
      <c r="E799" s="4">
        <f ca="1">IFERROR(__xludf.DUMMYFUNCTION("""COMPUTED_VALUE"""),44482)</f>
        <v>44482</v>
      </c>
      <c r="F799" s="1" t="str">
        <f ca="1">IFERROR(__xludf.DUMMYFUNCTION("""COMPUTED_VALUE"""),"Charles Kelly Elementary")</f>
        <v>Charles Kelly Elementary</v>
      </c>
      <c r="G799" s="1">
        <f ca="1">IFERROR(__xludf.DUMMYFUNCTION("""COMPUTED_VALUE"""),0)</f>
        <v>0</v>
      </c>
      <c r="H799" s="1">
        <f ca="1">IFERROR(__xludf.DUMMYFUNCTION("""COMPUTED_VALUE"""),0)</f>
        <v>0</v>
      </c>
      <c r="I799" s="1">
        <f ca="1">IFERROR(__xludf.DUMMYFUNCTION("""COMPUTED_VALUE"""),0)</f>
        <v>0</v>
      </c>
      <c r="J799" s="1">
        <f ca="1">IFERROR(__xludf.DUMMYFUNCTION("""COMPUTED_VALUE"""),0)</f>
        <v>0</v>
      </c>
      <c r="K799" s="1" t="str">
        <f ca="1">IFERROR(__xludf.DUMMYFUNCTION("""COMPUTED_VALUE"""),"Fall")</f>
        <v>Fall</v>
      </c>
      <c r="L799" s="1" t="str">
        <f ca="1">IFERROR(__xludf.DUMMYFUNCTION("""COMPUTED_VALUE"""),"Drexel Hill")</f>
        <v>Drexel Hill</v>
      </c>
      <c r="M799" s="1" t="str">
        <f ca="1">IFERROR(__xludf.DUMMYFUNCTION("""COMPUTED_VALUE"""),"PA")</f>
        <v>PA</v>
      </c>
      <c r="N799" s="1" t="str">
        <f ca="1">IFERROR(__xludf.DUMMYFUNCTION("""COMPUTED_VALUE"""),"Elementary")</f>
        <v>Elementary</v>
      </c>
      <c r="O799" s="1" t="str">
        <f ca="1">IFERROR(__xludf.DUMMYFUNCTION("""COMPUTED_VALUE"""),"School Bus")</f>
        <v>School Bus</v>
      </c>
      <c r="P799" s="1" t="str">
        <f ca="1">IFERROR(__xludf.DUMMYFUNCTION("""COMPUTED_VALUE"""),"School Bus")</f>
        <v>School Bus</v>
      </c>
      <c r="Q799" s="1" t="str">
        <f ca="1">IFERROR(__xludf.DUMMYFUNCTION("""COMPUTED_VALUE"""),"Yes")</f>
        <v>Yes</v>
      </c>
      <c r="R799" s="1" t="str">
        <f ca="1">IFERROR(__xludf.DUMMYFUNCTION("""COMPUTED_VALUE"""),"School Start")</f>
        <v>School Start</v>
      </c>
      <c r="S799" s="5">
        <f ca="1">IFERROR(__xludf.DUMMYFUNCTION("""COMPUTED_VALUE"""),0.333333333333333)</f>
        <v>0.33333333333333298</v>
      </c>
      <c r="T799" s="1">
        <f ca="1">IFERROR(__xludf.DUMMYFUNCTION("""COMPUTED_VALUE"""),10)</f>
        <v>10</v>
      </c>
      <c r="U799" s="1" t="str">
        <f ca="1">IFERROR(__xludf.DUMMYFUNCTION("""COMPUTED_VALUE"""),"Two students shot 4 classmates with pellet gun")</f>
        <v>Two students shot 4 classmates with pellet gun</v>
      </c>
      <c r="V799" s="1" t="str">
        <f ca="1">IFERROR(__xludf.DUMMYFUNCTION("""COMPUTED_VALUE"""),"A 4th grade student with a pellet gun shot 3 students at the bus stop with a pellet gun. The students all got on the school bus and the student fired at a 4th victim. The student then passed the pellet gun to a 2nd student who fired at the 4th victim agai"&amp;"n. The bus driver was notified about the weapon, took it away, and drove to the school. Police and parents were notified. Both students who fired the gun were suspended.")</f>
        <v>A 4th grade student with a pellet gun shot 3 students at the bus stop with a pellet gun. The students all got on the school bus and the student fired at a 4th victim. The student then passed the pellet gun to a 2nd student who fired at the 4th victim again. The bus driver was notified about the weapon, took it away, and drove to the school. Police and parents were notified. Both students who fired the gun were suspended.</v>
      </c>
      <c r="W799" s="1" t="str">
        <f ca="1">IFERROR(__xludf.DUMMYFUNCTION("""COMPUTED_VALUE"""),"Indiscriminate Shooting")</f>
        <v>Indiscriminate Shooting</v>
      </c>
      <c r="X799" s="1" t="str">
        <f ca="1">IFERROR(__xludf.DUMMYFUNCTION("""COMPUTED_VALUE"""),"Both")</f>
        <v>Both</v>
      </c>
      <c r="Y799" s="1" t="str">
        <f ca="1">IFERROR(__xludf.DUMMYFUNCTION("""COMPUTED_VALUE"""),"Yes")</f>
        <v>Yes</v>
      </c>
      <c r="Z799" s="1" t="str">
        <f ca="1">IFERROR(__xludf.DUMMYFUNCTION("""COMPUTED_VALUE"""),"Two students fired weapon")</f>
        <v>Two students fired weapon</v>
      </c>
      <c r="AA799" s="1" t="str">
        <f ca="1">IFERROR(__xludf.DUMMYFUNCTION("""COMPUTED_VALUE"""),"No")</f>
        <v>No</v>
      </c>
      <c r="AB799" s="1" t="str">
        <f ca="1">IFERROR(__xludf.DUMMYFUNCTION("""COMPUTED_VALUE"""),"No")</f>
        <v>No</v>
      </c>
      <c r="AC799" s="1" t="str">
        <f ca="1">IFERROR(__xludf.DUMMYFUNCTION("""COMPUTED_VALUE"""),"No")</f>
        <v>No</v>
      </c>
      <c r="AD799" s="1" t="str">
        <f ca="1">IFERROR(__xludf.DUMMYFUNCTION("""COMPUTED_VALUE"""),"No")</f>
        <v>No</v>
      </c>
      <c r="AE799" s="1" t="str">
        <f ca="1">IFERROR(__xludf.DUMMYFUNCTION("""COMPUTED_VALUE"""),"No")</f>
        <v>No</v>
      </c>
      <c r="AF799" s="1" t="str">
        <f ca="1">IFERROR(__xludf.DUMMYFUNCTION("""COMPUTED_VALUE"""),"No")</f>
        <v>No</v>
      </c>
      <c r="AG799" s="1" t="str">
        <f ca="1">IFERROR(__xludf.DUMMYFUNCTION("""COMPUTED_VALUE"""),"No")</f>
        <v>No</v>
      </c>
      <c r="AH799" s="1"/>
    </row>
    <row r="800" spans="1:34" ht="12.5">
      <c r="A800" s="1" t="str">
        <f ca="1">IFERROR(__xludf.DUMMYFUNCTION("""COMPUTED_VALUE"""),"20211013ILMCC")</f>
        <v>20211013ILMCC</v>
      </c>
      <c r="B800" s="1">
        <f ca="1">IFERROR(__xludf.DUMMYFUNCTION("""COMPUTED_VALUE"""),10)</f>
        <v>10</v>
      </c>
      <c r="C800" s="1">
        <f ca="1">IFERROR(__xludf.DUMMYFUNCTION("""COMPUTED_VALUE"""),13)</f>
        <v>13</v>
      </c>
      <c r="D800" s="1">
        <f ca="1">IFERROR(__xludf.DUMMYFUNCTION("""COMPUTED_VALUE"""),2021)</f>
        <v>2021</v>
      </c>
      <c r="E800" s="4">
        <f ca="1">IFERROR(__xludf.DUMMYFUNCTION("""COMPUTED_VALUE"""),44482)</f>
        <v>44482</v>
      </c>
      <c r="F800" s="1" t="str">
        <f ca="1">IFERROR(__xludf.DUMMYFUNCTION("""COMPUTED_VALUE"""),"McDade Classical Elementary School")</f>
        <v>McDade Classical Elementary School</v>
      </c>
      <c r="G800" s="1">
        <f ca="1">IFERROR(__xludf.DUMMYFUNCTION("""COMPUTED_VALUE"""),0)</f>
        <v>0</v>
      </c>
      <c r="H800" s="1">
        <f ca="1">IFERROR(__xludf.DUMMYFUNCTION("""COMPUTED_VALUE"""),0)</f>
        <v>0</v>
      </c>
      <c r="I800" s="1">
        <f ca="1">IFERROR(__xludf.DUMMYFUNCTION("""COMPUTED_VALUE"""),0)</f>
        <v>0</v>
      </c>
      <c r="J800" s="1">
        <f ca="1">IFERROR(__xludf.DUMMYFUNCTION("""COMPUTED_VALUE"""),0)</f>
        <v>0</v>
      </c>
      <c r="K800" s="1" t="str">
        <f ca="1">IFERROR(__xludf.DUMMYFUNCTION("""COMPUTED_VALUE"""),"Fall")</f>
        <v>Fall</v>
      </c>
      <c r="L800" s="1" t="str">
        <f ca="1">IFERROR(__xludf.DUMMYFUNCTION("""COMPUTED_VALUE"""),"Chicago")</f>
        <v>Chicago</v>
      </c>
      <c r="M800" s="1" t="str">
        <f ca="1">IFERROR(__xludf.DUMMYFUNCTION("""COMPUTED_VALUE"""),"IL")</f>
        <v>IL</v>
      </c>
      <c r="N800" s="1" t="str">
        <f ca="1">IFERROR(__xludf.DUMMYFUNCTION("""COMPUTED_VALUE"""),"Elementary")</f>
        <v>Elementary</v>
      </c>
      <c r="O800" s="1" t="str">
        <f ca="1">IFERROR(__xludf.DUMMYFUNCTION("""COMPUTED_VALUE"""),"Front of School")</f>
        <v>Front of School</v>
      </c>
      <c r="P800" s="1" t="str">
        <f ca="1">IFERROR(__xludf.DUMMYFUNCTION("""COMPUTED_VALUE"""),"Outside on School Property")</f>
        <v>Outside on School Property</v>
      </c>
      <c r="Q800" s="1" t="str">
        <f ca="1">IFERROR(__xludf.DUMMYFUNCTION("""COMPUTED_VALUE"""),"Yes")</f>
        <v>Yes</v>
      </c>
      <c r="R800" s="1" t="str">
        <f ca="1">IFERROR(__xludf.DUMMYFUNCTION("""COMPUTED_VALUE"""),"School Start")</f>
        <v>School Start</v>
      </c>
      <c r="S800" s="5">
        <f ca="1">IFERROR(__xludf.DUMMYFUNCTION("""COMPUTED_VALUE"""),0.360416666666666)</f>
        <v>0.360416666666666</v>
      </c>
      <c r="T800" s="1">
        <f ca="1">IFERROR(__xludf.DUMMYFUNCTION("""COMPUTED_VALUE"""),1)</f>
        <v>1</v>
      </c>
      <c r="U800" s="1" t="str">
        <f ca="1">IFERROR(__xludf.DUMMYFUNCTION("""COMPUTED_VALUE"""),"28 shots fired from a vehicle, multiple bullets hit school building")</f>
        <v>28 shots fired from a vehicle, multiple bullets hit school building</v>
      </c>
      <c r="V800" s="1" t="str">
        <f ca="1">IFERROR(__xludf.DUMMYFUNCTION("""COMPUTED_VALUE"""),"As the school was opening, 28 shots were fired from a passing vehicle and multiple bullets hit the school building. Multiple bullets hit the cafeteria windows. School was locked down. No injuries to students or staff.")</f>
        <v>As the school was opening, 28 shots were fired from a passing vehicle and multiple bullets hit the school building. Multiple bullets hit the cafeteria windows. School was locked down. No injuries to students or staff.</v>
      </c>
      <c r="W800" s="1" t="str">
        <f ca="1">IFERROR(__xludf.DUMMYFUNCTION("""COMPUTED_VALUE"""),"Drive-by Shooting")</f>
        <v>Drive-by Shooting</v>
      </c>
      <c r="X800" s="1" t="str">
        <f ca="1">IFERROR(__xludf.DUMMYFUNCTION("""COMPUTED_VALUE"""),"Random Shooting")</f>
        <v>Random Shooting</v>
      </c>
      <c r="Y800" s="1"/>
      <c r="Z800" s="1"/>
      <c r="AA800" s="1" t="str">
        <f ca="1">IFERROR(__xludf.DUMMYFUNCTION("""COMPUTED_VALUE"""),"No")</f>
        <v>No</v>
      </c>
      <c r="AB800" s="1" t="str">
        <f ca="1">IFERROR(__xludf.DUMMYFUNCTION("""COMPUTED_VALUE"""),"No")</f>
        <v>No</v>
      </c>
      <c r="AC800" s="1" t="str">
        <f ca="1">IFERROR(__xludf.DUMMYFUNCTION("""COMPUTED_VALUE"""),"No")</f>
        <v>No</v>
      </c>
      <c r="AD800" s="1" t="str">
        <f ca="1">IFERROR(__xludf.DUMMYFUNCTION("""COMPUTED_VALUE"""),"No")</f>
        <v>No</v>
      </c>
      <c r="AE800" s="1" t="str">
        <f ca="1">IFERROR(__xludf.DUMMYFUNCTION("""COMPUTED_VALUE"""),"No")</f>
        <v>No</v>
      </c>
      <c r="AF800" s="1"/>
      <c r="AG800" s="1" t="str">
        <f ca="1">IFERROR(__xludf.DUMMYFUNCTION("""COMPUTED_VALUE"""),"No")</f>
        <v>No</v>
      </c>
      <c r="AH800" s="1">
        <f ca="1">IFERROR(__xludf.DUMMYFUNCTION("""COMPUTED_VALUE"""),28)</f>
        <v>28</v>
      </c>
    </row>
    <row r="801" spans="1:34" ht="12.5">
      <c r="A801" s="1" t="str">
        <f ca="1">IFERROR(__xludf.DUMMYFUNCTION("""COMPUTED_VALUE"""),"20211012OKUNT")</f>
        <v>20211012OKUNT</v>
      </c>
      <c r="B801" s="1">
        <f ca="1">IFERROR(__xludf.DUMMYFUNCTION("""COMPUTED_VALUE"""),10)</f>
        <v>10</v>
      </c>
      <c r="C801" s="1">
        <f ca="1">IFERROR(__xludf.DUMMYFUNCTION("""COMPUTED_VALUE"""),12)</f>
        <v>12</v>
      </c>
      <c r="D801" s="1">
        <f ca="1">IFERROR(__xludf.DUMMYFUNCTION("""COMPUTED_VALUE"""),2021)</f>
        <v>2021</v>
      </c>
      <c r="E801" s="4">
        <f ca="1">IFERROR(__xludf.DUMMYFUNCTION("""COMPUTED_VALUE"""),44481)</f>
        <v>44481</v>
      </c>
      <c r="F801" s="1" t="str">
        <f ca="1">IFERROR(__xludf.DUMMYFUNCTION("""COMPUTED_VALUE"""),"Union High School")</f>
        <v>Union High School</v>
      </c>
      <c r="G801" s="1">
        <f ca="1">IFERROR(__xludf.DUMMYFUNCTION("""COMPUTED_VALUE"""),0)</f>
        <v>0</v>
      </c>
      <c r="H801" s="1">
        <f ca="1">IFERROR(__xludf.DUMMYFUNCTION("""COMPUTED_VALUE"""),0)</f>
        <v>0</v>
      </c>
      <c r="I801" s="1">
        <f ca="1">IFERROR(__xludf.DUMMYFUNCTION("""COMPUTED_VALUE"""),0)</f>
        <v>0</v>
      </c>
      <c r="J801" s="1">
        <f ca="1">IFERROR(__xludf.DUMMYFUNCTION("""COMPUTED_VALUE"""),0)</f>
        <v>0</v>
      </c>
      <c r="K801" s="1" t="str">
        <f ca="1">IFERROR(__xludf.DUMMYFUNCTION("""COMPUTED_VALUE"""),"Fall")</f>
        <v>Fall</v>
      </c>
      <c r="L801" s="1" t="str">
        <f ca="1">IFERROR(__xludf.DUMMYFUNCTION("""COMPUTED_VALUE"""),"Tulsa")</f>
        <v>Tulsa</v>
      </c>
      <c r="M801" s="1" t="str">
        <f ca="1">IFERROR(__xludf.DUMMYFUNCTION("""COMPUTED_VALUE"""),"OK")</f>
        <v>OK</v>
      </c>
      <c r="N801" s="1" t="str">
        <f ca="1">IFERROR(__xludf.DUMMYFUNCTION("""COMPUTED_VALUE"""),"High")</f>
        <v>High</v>
      </c>
      <c r="O801" s="1" t="str">
        <f ca="1">IFERROR(__xludf.DUMMYFUNCTION("""COMPUTED_VALUE"""),"Front of School")</f>
        <v>Front of School</v>
      </c>
      <c r="P801" s="1" t="str">
        <f ca="1">IFERROR(__xludf.DUMMYFUNCTION("""COMPUTED_VALUE"""),"Outside on School Property")</f>
        <v>Outside on School Property</v>
      </c>
      <c r="Q801" s="1" t="str">
        <f ca="1">IFERROR(__xludf.DUMMYFUNCTION("""COMPUTED_VALUE"""),"Yes")</f>
        <v>Yes</v>
      </c>
      <c r="R801" s="1" t="str">
        <f ca="1">IFERROR(__xludf.DUMMYFUNCTION("""COMPUTED_VALUE"""),"Dismissal")</f>
        <v>Dismissal</v>
      </c>
      <c r="S801" s="5">
        <f ca="1">IFERROR(__xludf.DUMMYFUNCTION("""COMPUTED_VALUE"""),0.604166666666666)</f>
        <v>0.60416666666666596</v>
      </c>
      <c r="T801" s="1">
        <f ca="1">IFERROR(__xludf.DUMMYFUNCTION("""COMPUTED_VALUE"""),1)</f>
        <v>1</v>
      </c>
      <c r="U801" s="1" t="str">
        <f ca="1">IFERROR(__xludf.DUMMYFUNCTION("""COMPUTED_VALUE"""),"Student fired plastic projectile gun at group of students and staff waiting for the buses")</f>
        <v>Student fired plastic projectile gun at group of students and staff waiting for the buses</v>
      </c>
      <c r="V801" s="1" t="str">
        <f ca="1">IFERROR(__xludf.DUMMYFUNCTION("""COMPUTED_VALUE"""),"A student in a vehicle fired a plastic projectile gun at 12 students and 2 staff members who were waiting for the buses in front of the school. Police described the weapon as a fully automatic gel projectile weapon. Students were evaluated by the school n"&amp;"urse and did not have any injuries. Police were called for a shooting at the school. Both students (driver and shooter) were detained and suspended, but no charges were filed. The plastic gun was purchased at the fair.")</f>
        <v>A student in a vehicle fired a plastic projectile gun at 12 students and 2 staff members who were waiting for the buses in front of the school. Police described the weapon as a fully automatic gel projectile weapon. Students were evaluated by the school nurse and did not have any injuries. Police were called for a shooting at the school. Both students (driver and shooter) were detained and suspended, but no charges were filed. The plastic gun was purchased at the fair.</v>
      </c>
      <c r="W801" s="1" t="str">
        <f ca="1">IFERROR(__xludf.DUMMYFUNCTION("""COMPUTED_VALUE"""),"Drive-by Shooting")</f>
        <v>Drive-by Shooting</v>
      </c>
      <c r="X801" s="1" t="str">
        <f ca="1">IFERROR(__xludf.DUMMYFUNCTION("""COMPUTED_VALUE"""),"Random Shooting")</f>
        <v>Random Shooting</v>
      </c>
      <c r="Y801" s="1" t="str">
        <f ca="1">IFERROR(__xludf.DUMMYFUNCTION("""COMPUTED_VALUE"""),"Yes")</f>
        <v>Yes</v>
      </c>
      <c r="Z801" s="1" t="str">
        <f ca="1">IFERROR(__xludf.DUMMYFUNCTION("""COMPUTED_VALUE"""),"Shooter and driver")</f>
        <v>Shooter and driver</v>
      </c>
      <c r="AA801" s="1" t="str">
        <f ca="1">IFERROR(__xludf.DUMMYFUNCTION("""COMPUTED_VALUE"""),"No")</f>
        <v>No</v>
      </c>
      <c r="AB801" s="1" t="str">
        <f ca="1">IFERROR(__xludf.DUMMYFUNCTION("""COMPUTED_VALUE"""),"No")</f>
        <v>No</v>
      </c>
      <c r="AC801" s="1" t="str">
        <f ca="1">IFERROR(__xludf.DUMMYFUNCTION("""COMPUTED_VALUE"""),"No")</f>
        <v>No</v>
      </c>
      <c r="AD801" s="1" t="str">
        <f ca="1">IFERROR(__xludf.DUMMYFUNCTION("""COMPUTED_VALUE"""),"No")</f>
        <v>No</v>
      </c>
      <c r="AE801" s="1" t="str">
        <f ca="1">IFERROR(__xludf.DUMMYFUNCTION("""COMPUTED_VALUE"""),"No")</f>
        <v>No</v>
      </c>
      <c r="AF801" s="1" t="str">
        <f ca="1">IFERROR(__xludf.DUMMYFUNCTION("""COMPUTED_VALUE"""),"No")</f>
        <v>No</v>
      </c>
      <c r="AG801" s="1" t="str">
        <f ca="1">IFERROR(__xludf.DUMMYFUNCTION("""COMPUTED_VALUE"""),"No")</f>
        <v>No</v>
      </c>
      <c r="AH801" s="1"/>
    </row>
    <row r="802" spans="1:34" ht="12.5">
      <c r="A802" s="1" t="str">
        <f ca="1">IFERROR(__xludf.DUMMYFUNCTION("""COMPUTED_VALUE"""),"20211012MIELK")</f>
        <v>20211012MIELK</v>
      </c>
      <c r="B802" s="1">
        <f ca="1">IFERROR(__xludf.DUMMYFUNCTION("""COMPUTED_VALUE"""),10)</f>
        <v>10</v>
      </c>
      <c r="C802" s="1">
        <f ca="1">IFERROR(__xludf.DUMMYFUNCTION("""COMPUTED_VALUE"""),12)</f>
        <v>12</v>
      </c>
      <c r="D802" s="1">
        <f ca="1">IFERROR(__xludf.DUMMYFUNCTION("""COMPUTED_VALUE"""),2021)</f>
        <v>2021</v>
      </c>
      <c r="E802" s="4">
        <f ca="1">IFERROR(__xludf.DUMMYFUNCTION("""COMPUTED_VALUE"""),44481)</f>
        <v>44481</v>
      </c>
      <c r="F802" s="1" t="str">
        <f ca="1">IFERROR(__xludf.DUMMYFUNCTION("""COMPUTED_VALUE"""),"El Sol Academy")</f>
        <v>El Sol Academy</v>
      </c>
      <c r="G802" s="1">
        <f ca="1">IFERROR(__xludf.DUMMYFUNCTION("""COMPUTED_VALUE"""),0)</f>
        <v>0</v>
      </c>
      <c r="H802" s="1">
        <f ca="1">IFERROR(__xludf.DUMMYFUNCTION("""COMPUTED_VALUE"""),2)</f>
        <v>2</v>
      </c>
      <c r="I802" s="1">
        <f ca="1">IFERROR(__xludf.DUMMYFUNCTION("""COMPUTED_VALUE"""),2)</f>
        <v>2</v>
      </c>
      <c r="J802" s="1">
        <f ca="1">IFERROR(__xludf.DUMMYFUNCTION("""COMPUTED_VALUE"""),0)</f>
        <v>0</v>
      </c>
      <c r="K802" s="1" t="str">
        <f ca="1">IFERROR(__xludf.DUMMYFUNCTION("""COMPUTED_VALUE"""),"Fall")</f>
        <v>Fall</v>
      </c>
      <c r="L802" s="1" t="str">
        <f ca="1">IFERROR(__xludf.DUMMYFUNCTION("""COMPUTED_VALUE"""),"Kalamazoo")</f>
        <v>Kalamazoo</v>
      </c>
      <c r="M802" s="1" t="str">
        <f ca="1">IFERROR(__xludf.DUMMYFUNCTION("""COMPUTED_VALUE"""),"MI")</f>
        <v>MI</v>
      </c>
      <c r="N802" s="1" t="str">
        <f ca="1">IFERROR(__xludf.DUMMYFUNCTION("""COMPUTED_VALUE"""),"Elementary")</f>
        <v>Elementary</v>
      </c>
      <c r="O802" s="1" t="str">
        <f ca="1">IFERROR(__xludf.DUMMYFUNCTION("""COMPUTED_VALUE"""),"Parking Lot")</f>
        <v>Parking Lot</v>
      </c>
      <c r="P802" s="1" t="str">
        <f ca="1">IFERROR(__xludf.DUMMYFUNCTION("""COMPUTED_VALUE"""),"Outside on School Property")</f>
        <v>Outside on School Property</v>
      </c>
      <c r="Q802" s="1" t="str">
        <f ca="1">IFERROR(__xludf.DUMMYFUNCTION("""COMPUTED_VALUE"""),"No")</f>
        <v>No</v>
      </c>
      <c r="R802" s="1" t="str">
        <f ca="1">IFERROR(__xludf.DUMMYFUNCTION("""COMPUTED_VALUE"""),"After School")</f>
        <v>After School</v>
      </c>
      <c r="S802" s="5">
        <f ca="1">IFERROR(__xludf.DUMMYFUNCTION("""COMPUTED_VALUE"""),0.666666666666666)</f>
        <v>0.66666666666666596</v>
      </c>
      <c r="T802" s="1">
        <f ca="1">IFERROR(__xludf.DUMMYFUNCTION("""COMPUTED_VALUE"""),1)</f>
        <v>1</v>
      </c>
      <c r="U802" s="1" t="str">
        <f ca="1">IFERROR(__xludf.DUMMYFUNCTION("""COMPUTED_VALUE"""),"Group of teens was shot by a masked gunman")</f>
        <v>Group of teens was shot by a masked gunman</v>
      </c>
      <c r="V802" s="1" t="str">
        <f ca="1">IFERROR(__xludf.DUMMYFUNCTION("""COMPUTED_VALUE"""),"A group of teens walking near the gate to the school parking lot were shot at by a masked gunman. 15-year-old and 17-year-old were shot, one critical condition. Neither of the victims were students at the school. Gunman fled.")</f>
        <v>A group of teens walking near the gate to the school parking lot were shot at by a masked gunman. 15-year-old and 17-year-old were shot, one critical condition. Neither of the victims were students at the school. Gunman fled.</v>
      </c>
      <c r="W802" s="1"/>
      <c r="X802" s="1" t="str">
        <f ca="1">IFERROR(__xludf.DUMMYFUNCTION("""COMPUTED_VALUE"""),"Victims Targeted")</f>
        <v>Victims Targeted</v>
      </c>
      <c r="Y802" s="1" t="str">
        <f ca="1">IFERROR(__xludf.DUMMYFUNCTION("""COMPUTED_VALUE"""),"No")</f>
        <v>No</v>
      </c>
      <c r="Z802" s="1"/>
      <c r="AA802" s="1" t="str">
        <f ca="1">IFERROR(__xludf.DUMMYFUNCTION("""COMPUTED_VALUE"""),"No")</f>
        <v>No</v>
      </c>
      <c r="AB802" s="1" t="str">
        <f ca="1">IFERROR(__xludf.DUMMYFUNCTION("""COMPUTED_VALUE"""),"No")</f>
        <v>No</v>
      </c>
      <c r="AC802" s="1" t="str">
        <f ca="1">IFERROR(__xludf.DUMMYFUNCTION("""COMPUTED_VALUE"""),"No")</f>
        <v>No</v>
      </c>
      <c r="AD802" s="1" t="str">
        <f ca="1">IFERROR(__xludf.DUMMYFUNCTION("""COMPUTED_VALUE"""),"No")</f>
        <v>No</v>
      </c>
      <c r="AE802" s="1" t="str">
        <f ca="1">IFERROR(__xludf.DUMMYFUNCTION("""COMPUTED_VALUE"""),"No")</f>
        <v>No</v>
      </c>
      <c r="AF802" s="1"/>
      <c r="AG802" s="1" t="str">
        <f ca="1">IFERROR(__xludf.DUMMYFUNCTION("""COMPUTED_VALUE"""),"No")</f>
        <v>No</v>
      </c>
      <c r="AH802" s="1"/>
    </row>
    <row r="803" spans="1:34" ht="12.5">
      <c r="A803" s="1" t="str">
        <f ca="1">IFERROR(__xludf.DUMMYFUNCTION("""COMPUTED_VALUE"""),"20211012ILWEC")</f>
        <v>20211012ILWEC</v>
      </c>
      <c r="B803" s="1">
        <f ca="1">IFERROR(__xludf.DUMMYFUNCTION("""COMPUTED_VALUE"""),10)</f>
        <v>10</v>
      </c>
      <c r="C803" s="1">
        <f ca="1">IFERROR(__xludf.DUMMYFUNCTION("""COMPUTED_VALUE"""),12)</f>
        <v>12</v>
      </c>
      <c r="D803" s="1">
        <f ca="1">IFERROR(__xludf.DUMMYFUNCTION("""COMPUTED_VALUE"""),2021)</f>
        <v>2021</v>
      </c>
      <c r="E803" s="4">
        <f ca="1">IFERROR(__xludf.DUMMYFUNCTION("""COMPUTED_VALUE"""),44481)</f>
        <v>44481</v>
      </c>
      <c r="F803" s="1" t="str">
        <f ca="1">IFERROR(__xludf.DUMMYFUNCTION("""COMPUTED_VALUE"""),"Wendell Phillips Academy High School")</f>
        <v>Wendell Phillips Academy High School</v>
      </c>
      <c r="G803" s="1">
        <f ca="1">IFERROR(__xludf.DUMMYFUNCTION("""COMPUTED_VALUE"""),0)</f>
        <v>0</v>
      </c>
      <c r="H803" s="1">
        <f ca="1">IFERROR(__xludf.DUMMYFUNCTION("""COMPUTED_VALUE"""),2)</f>
        <v>2</v>
      </c>
      <c r="I803" s="1">
        <f ca="1">IFERROR(__xludf.DUMMYFUNCTION("""COMPUTED_VALUE"""),2)</f>
        <v>2</v>
      </c>
      <c r="J803" s="1">
        <f ca="1">IFERROR(__xludf.DUMMYFUNCTION("""COMPUTED_VALUE"""),0)</f>
        <v>0</v>
      </c>
      <c r="K803" s="1" t="str">
        <f ca="1">IFERROR(__xludf.DUMMYFUNCTION("""COMPUTED_VALUE"""),"Fall")</f>
        <v>Fall</v>
      </c>
      <c r="L803" s="1" t="str">
        <f ca="1">IFERROR(__xludf.DUMMYFUNCTION("""COMPUTED_VALUE"""),"Chicago")</f>
        <v>Chicago</v>
      </c>
      <c r="M803" s="1" t="str">
        <f ca="1">IFERROR(__xludf.DUMMYFUNCTION("""COMPUTED_VALUE"""),"IL")</f>
        <v>IL</v>
      </c>
      <c r="N803" s="1" t="str">
        <f ca="1">IFERROR(__xludf.DUMMYFUNCTION("""COMPUTED_VALUE"""),"High")</f>
        <v>High</v>
      </c>
      <c r="O803" s="1" t="str">
        <f ca="1">IFERROR(__xludf.DUMMYFUNCTION("""COMPUTED_VALUE"""),"Entryway")</f>
        <v>Entryway</v>
      </c>
      <c r="P803" s="1" t="str">
        <f ca="1">IFERROR(__xludf.DUMMYFUNCTION("""COMPUTED_VALUE"""),"Outside on School Property")</f>
        <v>Outside on School Property</v>
      </c>
      <c r="Q803" s="1" t="str">
        <f ca="1">IFERROR(__xludf.DUMMYFUNCTION("""COMPUTED_VALUE"""),"Yes")</f>
        <v>Yes</v>
      </c>
      <c r="R803" s="1" t="str">
        <f ca="1">IFERROR(__xludf.DUMMYFUNCTION("""COMPUTED_VALUE"""),"Dismissal")</f>
        <v>Dismissal</v>
      </c>
      <c r="S803" s="5">
        <f ca="1">IFERROR(__xludf.DUMMYFUNCTION("""COMPUTED_VALUE"""),0.604166666666666)</f>
        <v>0.60416666666666596</v>
      </c>
      <c r="T803" s="1">
        <f ca="1">IFERROR(__xludf.DUMMYFUNCTION("""COMPUTED_VALUE"""),1)</f>
        <v>1</v>
      </c>
      <c r="U803" s="1" t="str">
        <f ca="1">IFERROR(__xludf.DUMMYFUNCTION("""COMPUTED_VALUE"""),"SRO and student shot multiple times when they exited school at dismissal")</f>
        <v>SRO and student shot multiple times when they exited school at dismissal</v>
      </c>
      <c r="V803" s="1" t="str">
        <f ca="1">IFERROR(__xludf.DUMMYFUNCTION("""COMPUTED_VALUE"""),"When the SRO opened the locked front door to the school at dismissal, a masked gunman fired 8 shots striking him 5 times and a 14-year-old student 3 times. The student was critically injured. Both were transported to the hospital. Shooter fled in a vehicl"&amp;"e. School was locked down and students were released individually to their parents. Motive unknown. No suspect identified.")</f>
        <v>When the SRO opened the locked front door to the school at dismissal, a masked gunman fired 8 shots striking him 5 times and a 14-year-old student 3 times. The student was critically injured. Both were transported to the hospital. Shooter fled in a vehicle. School was locked down and students were released individually to their parents. Motive unknown. No suspect identified.</v>
      </c>
      <c r="W803" s="1" t="str">
        <f ca="1">IFERROR(__xludf.DUMMYFUNCTION("""COMPUTED_VALUE"""),"Murder/Assassination")</f>
        <v>Murder/Assassination</v>
      </c>
      <c r="X803" s="1" t="str">
        <f ca="1">IFERROR(__xludf.DUMMYFUNCTION("""COMPUTED_VALUE"""),"Both")</f>
        <v>Both</v>
      </c>
      <c r="Y803" s="1" t="str">
        <f ca="1">IFERROR(__xludf.DUMMYFUNCTION("""COMPUTED_VALUE"""),"No")</f>
        <v>No</v>
      </c>
      <c r="Z803" s="1"/>
      <c r="AA803" s="1" t="str">
        <f ca="1">IFERROR(__xludf.DUMMYFUNCTION("""COMPUTED_VALUE"""),"No")</f>
        <v>No</v>
      </c>
      <c r="AB803" s="1" t="str">
        <f ca="1">IFERROR(__xludf.DUMMYFUNCTION("""COMPUTED_VALUE"""),"No")</f>
        <v>No</v>
      </c>
      <c r="AC803" s="1" t="str">
        <f ca="1">IFERROR(__xludf.DUMMYFUNCTION("""COMPUTED_VALUE"""),"No")</f>
        <v>No</v>
      </c>
      <c r="AD803" s="1" t="str">
        <f ca="1">IFERROR(__xludf.DUMMYFUNCTION("""COMPUTED_VALUE"""),"No")</f>
        <v>No</v>
      </c>
      <c r="AE803" s="1" t="str">
        <f ca="1">IFERROR(__xludf.DUMMYFUNCTION("""COMPUTED_VALUE"""),"No")</f>
        <v>No</v>
      </c>
      <c r="AF803" s="1"/>
      <c r="AG803" s="1" t="str">
        <f ca="1">IFERROR(__xludf.DUMMYFUNCTION("""COMPUTED_VALUE"""),"No")</f>
        <v>No</v>
      </c>
      <c r="AH803" s="1">
        <f ca="1">IFERROR(__xludf.DUMMYFUNCTION("""COMPUTED_VALUE"""),8)</f>
        <v>8</v>
      </c>
    </row>
    <row r="804" spans="1:34" ht="12.5">
      <c r="A804" s="1" t="str">
        <f ca="1">IFERROR(__xludf.DUMMYFUNCTION("""COMPUTED_VALUE"""),"20211012ARLIL")</f>
        <v>20211012ARLIL</v>
      </c>
      <c r="B804" s="1">
        <f ca="1">IFERROR(__xludf.DUMMYFUNCTION("""COMPUTED_VALUE"""),10)</f>
        <v>10</v>
      </c>
      <c r="C804" s="1">
        <f ca="1">IFERROR(__xludf.DUMMYFUNCTION("""COMPUTED_VALUE"""),12)</f>
        <v>12</v>
      </c>
      <c r="D804" s="1">
        <f ca="1">IFERROR(__xludf.DUMMYFUNCTION("""COMPUTED_VALUE"""),2021)</f>
        <v>2021</v>
      </c>
      <c r="E804" s="4">
        <f ca="1">IFERROR(__xludf.DUMMYFUNCTION("""COMPUTED_VALUE"""),44481)</f>
        <v>44481</v>
      </c>
      <c r="F804" s="1" t="str">
        <f ca="1">IFERROR(__xludf.DUMMYFUNCTION("""COMPUTED_VALUE"""),"Little Rock Central High School")</f>
        <v>Little Rock Central High School</v>
      </c>
      <c r="G804" s="1">
        <f ca="1">IFERROR(__xludf.DUMMYFUNCTION("""COMPUTED_VALUE"""),0)</f>
        <v>0</v>
      </c>
      <c r="H804" s="1">
        <f ca="1">IFERROR(__xludf.DUMMYFUNCTION("""COMPUTED_VALUE"""),0)</f>
        <v>0</v>
      </c>
      <c r="I804" s="1">
        <f ca="1">IFERROR(__xludf.DUMMYFUNCTION("""COMPUTED_VALUE"""),0)</f>
        <v>0</v>
      </c>
      <c r="J804" s="1">
        <f ca="1">IFERROR(__xludf.DUMMYFUNCTION("""COMPUTED_VALUE"""),0)</f>
        <v>0</v>
      </c>
      <c r="K804" s="1" t="str">
        <f ca="1">IFERROR(__xludf.DUMMYFUNCTION("""COMPUTED_VALUE"""),"Fall")</f>
        <v>Fall</v>
      </c>
      <c r="L804" s="1" t="str">
        <f ca="1">IFERROR(__xludf.DUMMYFUNCTION("""COMPUTED_VALUE"""),"Little Rock")</f>
        <v>Little Rock</v>
      </c>
      <c r="M804" s="1" t="str">
        <f ca="1">IFERROR(__xludf.DUMMYFUNCTION("""COMPUTED_VALUE"""),"AR")</f>
        <v>AR</v>
      </c>
      <c r="N804" s="1" t="str">
        <f ca="1">IFERROR(__xludf.DUMMYFUNCTION("""COMPUTED_VALUE"""),"High")</f>
        <v>High</v>
      </c>
      <c r="O804" s="1" t="str">
        <f ca="1">IFERROR(__xludf.DUMMYFUNCTION("""COMPUTED_VALUE"""),"Front of School")</f>
        <v>Front of School</v>
      </c>
      <c r="P804" s="1" t="str">
        <f ca="1">IFERROR(__xludf.DUMMYFUNCTION("""COMPUTED_VALUE"""),"Outside on School Property")</f>
        <v>Outside on School Property</v>
      </c>
      <c r="Q804" s="1" t="str">
        <f ca="1">IFERROR(__xludf.DUMMYFUNCTION("""COMPUTED_VALUE"""),"Yes")</f>
        <v>Yes</v>
      </c>
      <c r="R804" s="1" t="str">
        <f ca="1">IFERROR(__xludf.DUMMYFUNCTION("""COMPUTED_VALUE"""),"Morning Classes")</f>
        <v>Morning Classes</v>
      </c>
      <c r="S804" s="5">
        <f ca="1">IFERROR(__xludf.DUMMYFUNCTION("""COMPUTED_VALUE"""),0.493055555555555)</f>
        <v>0.49305555555555503</v>
      </c>
      <c r="T804" s="1">
        <f ca="1">IFERROR(__xludf.DUMMYFUNCTION("""COMPUTED_VALUE"""),1)</f>
        <v>1</v>
      </c>
      <c r="U804" s="1" t="str">
        <f ca="1">IFERROR(__xludf.DUMMYFUNCTION("""COMPUTED_VALUE"""),"Multiple bullets struck school and broke an occupied classroom window")</f>
        <v>Multiple bullets struck school and broke an occupied classroom window</v>
      </c>
      <c r="V804" s="1" t="str">
        <f ca="1">IFERROR(__xludf.DUMMYFUNCTION("""COMPUTED_VALUE"""),"The school building was struck by multiple gunshots fired from one block down the street. One bullet broke the window of an occupied classroom. Students and staff heard multiple shots and believed there was an active shooter. School was locked down and di"&amp;"smissed. School switched to virtual classes the following day. Police said the shooting did not target the school. Shots were fired from a vehicle that fled the area. No injuries to students or staff.")</f>
        <v>The school building was struck by multiple gunshots fired from one block down the street. One bullet broke the window of an occupied classroom. Students and staff heard multiple shots and believed there was an active shooter. School was locked down and dismissed. School switched to virtual classes the following day. Police said the shooting did not target the school. Shots were fired from a vehicle that fled the area. No injuries to students or staff.</v>
      </c>
      <c r="W804" s="1" t="str">
        <f ca="1">IFERROR(__xludf.DUMMYFUNCTION("""COMPUTED_VALUE"""),"Drive-by Shooting")</f>
        <v>Drive-by Shooting</v>
      </c>
      <c r="X804" s="1" t="str">
        <f ca="1">IFERROR(__xludf.DUMMYFUNCTION("""COMPUTED_VALUE"""),"Random Shooting")</f>
        <v>Random Shooting</v>
      </c>
      <c r="Y804" s="1"/>
      <c r="Z804" s="1"/>
      <c r="AA804" s="1" t="str">
        <f ca="1">IFERROR(__xludf.DUMMYFUNCTION("""COMPUTED_VALUE"""),"No")</f>
        <v>No</v>
      </c>
      <c r="AB804" s="1" t="str">
        <f ca="1">IFERROR(__xludf.DUMMYFUNCTION("""COMPUTED_VALUE"""),"No")</f>
        <v>No</v>
      </c>
      <c r="AC804" s="1" t="str">
        <f ca="1">IFERROR(__xludf.DUMMYFUNCTION("""COMPUTED_VALUE"""),"No")</f>
        <v>No</v>
      </c>
      <c r="AD804" s="1" t="str">
        <f ca="1">IFERROR(__xludf.DUMMYFUNCTION("""COMPUTED_VALUE"""),"No")</f>
        <v>No</v>
      </c>
      <c r="AE804" s="1" t="str">
        <f ca="1">IFERROR(__xludf.DUMMYFUNCTION("""COMPUTED_VALUE"""),"No")</f>
        <v>No</v>
      </c>
      <c r="AF804" s="1"/>
      <c r="AG804" s="1" t="str">
        <f ca="1">IFERROR(__xludf.DUMMYFUNCTION("""COMPUTED_VALUE"""),"No")</f>
        <v>No</v>
      </c>
      <c r="AH804" s="1"/>
    </row>
    <row r="805" spans="1:34" ht="12.5">
      <c r="A805" s="1" t="str">
        <f ca="1">IFERROR(__xludf.DUMMYFUNCTION("""COMPUTED_VALUE"""),"20211011ORROP")</f>
        <v>20211011ORROP</v>
      </c>
      <c r="B805" s="1">
        <f ca="1">IFERROR(__xludf.DUMMYFUNCTION("""COMPUTED_VALUE"""),10)</f>
        <v>10</v>
      </c>
      <c r="C805" s="1">
        <f ca="1">IFERROR(__xludf.DUMMYFUNCTION("""COMPUTED_VALUE"""),11)</f>
        <v>11</v>
      </c>
      <c r="D805" s="1">
        <f ca="1">IFERROR(__xludf.DUMMYFUNCTION("""COMPUTED_VALUE"""),2021)</f>
        <v>2021</v>
      </c>
      <c r="E805" s="4">
        <f ca="1">IFERROR(__xludf.DUMMYFUNCTION("""COMPUTED_VALUE"""),44480)</f>
        <v>44480</v>
      </c>
      <c r="F805" s="1" t="str">
        <f ca="1">IFERROR(__xludf.DUMMYFUNCTION("""COMPUTED_VALUE"""),"Rosemary Anderson High School")</f>
        <v>Rosemary Anderson High School</v>
      </c>
      <c r="G805" s="1">
        <f ca="1">IFERROR(__xludf.DUMMYFUNCTION("""COMPUTED_VALUE"""),0)</f>
        <v>0</v>
      </c>
      <c r="H805" s="1">
        <f ca="1">IFERROR(__xludf.DUMMYFUNCTION("""COMPUTED_VALUE"""),1)</f>
        <v>1</v>
      </c>
      <c r="I805" s="1">
        <f ca="1">IFERROR(__xludf.DUMMYFUNCTION("""COMPUTED_VALUE"""),1)</f>
        <v>1</v>
      </c>
      <c r="J805" s="1">
        <f ca="1">IFERROR(__xludf.DUMMYFUNCTION("""COMPUTED_VALUE"""),0)</f>
        <v>0</v>
      </c>
      <c r="K805" s="1" t="str">
        <f ca="1">IFERROR(__xludf.DUMMYFUNCTION("""COMPUTED_VALUE"""),"Fall")</f>
        <v>Fall</v>
      </c>
      <c r="L805" s="1" t="str">
        <f ca="1">IFERROR(__xludf.DUMMYFUNCTION("""COMPUTED_VALUE"""),"Portland")</f>
        <v>Portland</v>
      </c>
      <c r="M805" s="1" t="str">
        <f ca="1">IFERROR(__xludf.DUMMYFUNCTION("""COMPUTED_VALUE"""),"OR")</f>
        <v>OR</v>
      </c>
      <c r="N805" s="1" t="str">
        <f ca="1">IFERROR(__xludf.DUMMYFUNCTION("""COMPUTED_VALUE"""),"High")</f>
        <v>High</v>
      </c>
      <c r="O805" s="1" t="str">
        <f ca="1">IFERROR(__xludf.DUMMYFUNCTION("""COMPUTED_VALUE"""),"Off School Property")</f>
        <v>Off School Property</v>
      </c>
      <c r="P805" s="1" t="str">
        <f ca="1">IFERROR(__xludf.DUMMYFUNCTION("""COMPUTED_VALUE"""),"Off School Property")</f>
        <v>Off School Property</v>
      </c>
      <c r="Q805" s="1" t="str">
        <f ca="1">IFERROR(__xludf.DUMMYFUNCTION("""COMPUTED_VALUE"""),"Yes")</f>
        <v>Yes</v>
      </c>
      <c r="R805" s="1" t="str">
        <f ca="1">IFERROR(__xludf.DUMMYFUNCTION("""COMPUTED_VALUE"""),"Morning Classes")</f>
        <v>Morning Classes</v>
      </c>
      <c r="S805" s="5">
        <f ca="1">IFERROR(__xludf.DUMMYFUNCTION("""COMPUTED_VALUE"""),0.375)</f>
        <v>0.375</v>
      </c>
      <c r="T805" s="1">
        <f ca="1">IFERROR(__xludf.DUMMYFUNCTION("""COMPUTED_VALUE"""),1)</f>
        <v>1</v>
      </c>
      <c r="U805" s="1" t="str">
        <f ca="1">IFERROR(__xludf.DUMMYFUNCTION("""COMPUTED_VALUE"""),"Teen student was shot at shopping center, to school for assistance")</f>
        <v>Teen student was shot at shopping center, to school for assistance</v>
      </c>
      <c r="V805" s="1" t="str">
        <f ca="1">IFERROR(__xludf.DUMMYFUNCTION("""COMPUTED_VALUE"""),"A teen student was shot at the shopping center across from the school. Ran to the school for assistance. School staff called 911 and student was transported to the hospital.")</f>
        <v>A teen student was shot at the shopping center across from the school. Ran to the school for assistance. School staff called 911 and student was transported to the hospital.</v>
      </c>
      <c r="W805" s="1"/>
      <c r="X805" s="1"/>
      <c r="Y805" s="1" t="str">
        <f ca="1">IFERROR(__xludf.DUMMYFUNCTION("""COMPUTED_VALUE"""),"No")</f>
        <v>No</v>
      </c>
      <c r="Z805" s="1"/>
      <c r="AA805" s="1" t="str">
        <f ca="1">IFERROR(__xludf.DUMMYFUNCTION("""COMPUTED_VALUE"""),"No")</f>
        <v>No</v>
      </c>
      <c r="AB805" s="1" t="str">
        <f ca="1">IFERROR(__xludf.DUMMYFUNCTION("""COMPUTED_VALUE"""),"No")</f>
        <v>No</v>
      </c>
      <c r="AC805" s="1" t="str">
        <f ca="1">IFERROR(__xludf.DUMMYFUNCTION("""COMPUTED_VALUE"""),"No")</f>
        <v>No</v>
      </c>
      <c r="AD805" s="1" t="str">
        <f ca="1">IFERROR(__xludf.DUMMYFUNCTION("""COMPUTED_VALUE"""),"No")</f>
        <v>No</v>
      </c>
      <c r="AE805" s="1" t="str">
        <f ca="1">IFERROR(__xludf.DUMMYFUNCTION("""COMPUTED_VALUE"""),"No")</f>
        <v>No</v>
      </c>
      <c r="AF805" s="1"/>
      <c r="AG805" s="1" t="str">
        <f ca="1">IFERROR(__xludf.DUMMYFUNCTION("""COMPUTED_VALUE"""),"No")</f>
        <v>No</v>
      </c>
      <c r="AH805" s="1"/>
    </row>
    <row r="806" spans="1:34" ht="12.5">
      <c r="A806" s="1" t="str">
        <f ca="1">IFERROR(__xludf.DUMMYFUNCTION("""COMPUTED_VALUE"""),"20211008OKCOC")</f>
        <v>20211008OKCOC</v>
      </c>
      <c r="B806" s="1">
        <f ca="1">IFERROR(__xludf.DUMMYFUNCTION("""COMPUTED_VALUE"""),10)</f>
        <v>10</v>
      </c>
      <c r="C806" s="1">
        <f ca="1">IFERROR(__xludf.DUMMYFUNCTION("""COMPUTED_VALUE"""),8)</f>
        <v>8</v>
      </c>
      <c r="D806" s="1">
        <f ca="1">IFERROR(__xludf.DUMMYFUNCTION("""COMPUTED_VALUE"""),2021)</f>
        <v>2021</v>
      </c>
      <c r="E806" s="4">
        <f ca="1">IFERROR(__xludf.DUMMYFUNCTION("""COMPUTED_VALUE"""),44477)</f>
        <v>44477</v>
      </c>
      <c r="F806" s="1" t="str">
        <f ca="1">IFERROR(__xludf.DUMMYFUNCTION("""COMPUTED_VALUE"""),"Comanche Middle School")</f>
        <v>Comanche Middle School</v>
      </c>
      <c r="G806" s="1">
        <f ca="1">IFERROR(__xludf.DUMMYFUNCTION("""COMPUTED_VALUE"""),0)</f>
        <v>0</v>
      </c>
      <c r="H806" s="1">
        <f ca="1">IFERROR(__xludf.DUMMYFUNCTION("""COMPUTED_VALUE"""),0)</f>
        <v>0</v>
      </c>
      <c r="I806" s="1">
        <f ca="1">IFERROR(__xludf.DUMMYFUNCTION("""COMPUTED_VALUE"""),0)</f>
        <v>0</v>
      </c>
      <c r="J806" s="1">
        <f ca="1">IFERROR(__xludf.DUMMYFUNCTION("""COMPUTED_VALUE"""),0)</f>
        <v>0</v>
      </c>
      <c r="K806" s="1" t="str">
        <f ca="1">IFERROR(__xludf.DUMMYFUNCTION("""COMPUTED_VALUE"""),"Fall")</f>
        <v>Fall</v>
      </c>
      <c r="L806" s="1" t="str">
        <f ca="1">IFERROR(__xludf.DUMMYFUNCTION("""COMPUTED_VALUE"""),"Comanche")</f>
        <v>Comanche</v>
      </c>
      <c r="M806" s="1" t="str">
        <f ca="1">IFERROR(__xludf.DUMMYFUNCTION("""COMPUTED_VALUE"""),"OK")</f>
        <v>OK</v>
      </c>
      <c r="N806" s="1" t="str">
        <f ca="1">IFERROR(__xludf.DUMMYFUNCTION("""COMPUTED_VALUE"""),"Middle")</f>
        <v>Middle</v>
      </c>
      <c r="O806" s="1" t="str">
        <f ca="1">IFERROR(__xludf.DUMMYFUNCTION("""COMPUTED_VALUE"""),"Cafeteria")</f>
        <v>Cafeteria</v>
      </c>
      <c r="P806" s="1" t="str">
        <f ca="1">IFERROR(__xludf.DUMMYFUNCTION("""COMPUTED_VALUE"""),"Outside on School Property")</f>
        <v>Outside on School Property</v>
      </c>
      <c r="Q806" s="1" t="str">
        <f ca="1">IFERROR(__xludf.DUMMYFUNCTION("""COMPUTED_VALUE"""),"No")</f>
        <v>No</v>
      </c>
      <c r="R806" s="1" t="str">
        <f ca="1">IFERROR(__xludf.DUMMYFUNCTION("""COMPUTED_VALUE"""),"After School")</f>
        <v>After School</v>
      </c>
      <c r="S806" s="5">
        <f ca="1">IFERROR(__xludf.DUMMYFUNCTION("""COMPUTED_VALUE"""),0.6875)</f>
        <v>0.6875</v>
      </c>
      <c r="T806" s="1">
        <f ca="1">IFERROR(__xludf.DUMMYFUNCTION("""COMPUTED_VALUE"""),1)</f>
        <v>1</v>
      </c>
      <c r="U806" s="1" t="str">
        <f ca="1">IFERROR(__xludf.DUMMYFUNCTION("""COMPUTED_VALUE"""),"Student shot out glass door to cafeteria, staff member was inside")</f>
        <v>Student shot out glass door to cafeteria, staff member was inside</v>
      </c>
      <c r="V806" s="1" t="str">
        <f ca="1">IFERROR(__xludf.DUMMYFUNCTION("""COMPUTED_VALUE"""),"A student fired shots breaking the glass door to the cafeteria. School had dismissed, staff were still inside. A staff member inside the cafeteria took cover when the shots were fired. The student was arrested outside of the school. Motive unknown.")</f>
        <v>A student fired shots breaking the glass door to the cafeteria. School had dismissed, staff were still inside. A staff member inside the cafeteria took cover when the shots were fired. The student was arrested outside of the school. Motive unknown.</v>
      </c>
      <c r="W806" s="1"/>
      <c r="X806" s="1" t="str">
        <f ca="1">IFERROR(__xludf.DUMMYFUNCTION("""COMPUTED_VALUE"""),"Random Shooting")</f>
        <v>Random Shooting</v>
      </c>
      <c r="Y806" s="1" t="str">
        <f ca="1">IFERROR(__xludf.DUMMYFUNCTION("""COMPUTED_VALUE"""),"No")</f>
        <v>No</v>
      </c>
      <c r="Z806" s="1"/>
      <c r="AA806" s="1" t="str">
        <f ca="1">IFERROR(__xludf.DUMMYFUNCTION("""COMPUTED_VALUE"""),"No")</f>
        <v>No</v>
      </c>
      <c r="AB806" s="1" t="str">
        <f ca="1">IFERROR(__xludf.DUMMYFUNCTION("""COMPUTED_VALUE"""),"No")</f>
        <v>No</v>
      </c>
      <c r="AC806" s="1" t="str">
        <f ca="1">IFERROR(__xludf.DUMMYFUNCTION("""COMPUTED_VALUE"""),"No")</f>
        <v>No</v>
      </c>
      <c r="AD806" s="1" t="str">
        <f ca="1">IFERROR(__xludf.DUMMYFUNCTION("""COMPUTED_VALUE"""),"No")</f>
        <v>No</v>
      </c>
      <c r="AE806" s="1" t="str">
        <f ca="1">IFERROR(__xludf.DUMMYFUNCTION("""COMPUTED_VALUE"""),"No")</f>
        <v>No</v>
      </c>
      <c r="AF806" s="1" t="str">
        <f ca="1">IFERROR(__xludf.DUMMYFUNCTION("""COMPUTED_VALUE"""),"No")</f>
        <v>No</v>
      </c>
      <c r="AG806" s="1" t="str">
        <f ca="1">IFERROR(__xludf.DUMMYFUNCTION("""COMPUTED_VALUE"""),"No")</f>
        <v>No</v>
      </c>
      <c r="AH806" s="1"/>
    </row>
    <row r="807" spans="1:34" ht="12.5">
      <c r="A807" s="1" t="str">
        <f ca="1">IFERROR(__xludf.DUMMYFUNCTION("""COMPUTED_VALUE"""),"20211007TXEAW")</f>
        <v>20211007TXEAW</v>
      </c>
      <c r="B807" s="1">
        <f ca="1">IFERROR(__xludf.DUMMYFUNCTION("""COMPUTED_VALUE"""),10)</f>
        <v>10</v>
      </c>
      <c r="C807" s="1">
        <f ca="1">IFERROR(__xludf.DUMMYFUNCTION("""COMPUTED_VALUE"""),7)</f>
        <v>7</v>
      </c>
      <c r="D807" s="1">
        <f ca="1">IFERROR(__xludf.DUMMYFUNCTION("""COMPUTED_VALUE"""),2021)</f>
        <v>2021</v>
      </c>
      <c r="E807" s="4">
        <f ca="1">IFERROR(__xludf.DUMMYFUNCTION("""COMPUTED_VALUE"""),44476)</f>
        <v>44476</v>
      </c>
      <c r="F807" s="1" t="str">
        <f ca="1">IFERROR(__xludf.DUMMYFUNCTION("""COMPUTED_VALUE"""),"East Chambers High School")</f>
        <v>East Chambers High School</v>
      </c>
      <c r="G807" s="1">
        <f ca="1">IFERROR(__xludf.DUMMYFUNCTION("""COMPUTED_VALUE"""),0)</f>
        <v>0</v>
      </c>
      <c r="H807" s="1">
        <f ca="1">IFERROR(__xludf.DUMMYFUNCTION("""COMPUTED_VALUE"""),1)</f>
        <v>1</v>
      </c>
      <c r="I807" s="1">
        <f ca="1">IFERROR(__xludf.DUMMYFUNCTION("""COMPUTED_VALUE"""),1)</f>
        <v>1</v>
      </c>
      <c r="J807" s="1">
        <f ca="1">IFERROR(__xludf.DUMMYFUNCTION("""COMPUTED_VALUE"""),0)</f>
        <v>0</v>
      </c>
      <c r="K807" s="1" t="str">
        <f ca="1">IFERROR(__xludf.DUMMYFUNCTION("""COMPUTED_VALUE"""),"Fall")</f>
        <v>Fall</v>
      </c>
      <c r="L807" s="1" t="str">
        <f ca="1">IFERROR(__xludf.DUMMYFUNCTION("""COMPUTED_VALUE"""),"Winnie")</f>
        <v>Winnie</v>
      </c>
      <c r="M807" s="1" t="str">
        <f ca="1">IFERROR(__xludf.DUMMYFUNCTION("""COMPUTED_VALUE"""),"TX")</f>
        <v>TX</v>
      </c>
      <c r="N807" s="1" t="str">
        <f ca="1">IFERROR(__xludf.DUMMYFUNCTION("""COMPUTED_VALUE"""),"High")</f>
        <v>High</v>
      </c>
      <c r="O807" s="1" t="str">
        <f ca="1">IFERROR(__xludf.DUMMYFUNCTION("""COMPUTED_VALUE"""),"Football Field/Track")</f>
        <v>Football Field/Track</v>
      </c>
      <c r="P807" s="1" t="str">
        <f ca="1">IFERROR(__xludf.DUMMYFUNCTION("""COMPUTED_VALUE"""),"Outside on School Property")</f>
        <v>Outside on School Property</v>
      </c>
      <c r="Q807" s="1" t="str">
        <f ca="1">IFERROR(__xludf.DUMMYFUNCTION("""COMPUTED_VALUE"""),"No")</f>
        <v>No</v>
      </c>
      <c r="R807" s="1" t="str">
        <f ca="1">IFERROR(__xludf.DUMMYFUNCTION("""COMPUTED_VALUE"""),"Sport Event")</f>
        <v>Sport Event</v>
      </c>
      <c r="S807" s="5">
        <f ca="1">IFERROR(__xludf.DUMMYFUNCTION("""COMPUTED_VALUE"""),0.833333333333333)</f>
        <v>0.83333333333333304</v>
      </c>
      <c r="T807" s="1">
        <f ca="1">IFERROR(__xludf.DUMMYFUNCTION("""COMPUTED_VALUE"""),1)</f>
        <v>1</v>
      </c>
      <c r="U807" s="1" t="str">
        <f ca="1">IFERROR(__xludf.DUMMYFUNCTION("""COMPUTED_VALUE"""),"Teen girl hit by stray bullet")</f>
        <v>Teen girl hit by stray bullet</v>
      </c>
      <c r="V807" s="1" t="str">
        <f ca="1">IFERROR(__xludf.DUMMYFUNCTION("""COMPUTED_VALUE"""),"A female teen student was sitting in the stands at a football game when she was struck in the leg by a bullet. She did not realize it was a gun shot and no one hear the sound of a gun fire. She was taken to the hospital where they realized the nature of t"&amp;"he injury. Police said the bullet was likely fired into the air away from the stadium.")</f>
        <v>A female teen student was sitting in the stands at a football game when she was struck in the leg by a bullet. She did not realize it was a gun shot and no one hear the sound of a gun fire. She was taken to the hospital where they realized the nature of the injury. Police said the bullet was likely fired into the air away from the stadium.</v>
      </c>
      <c r="W807" s="1" t="str">
        <f ca="1">IFERROR(__xludf.DUMMYFUNCTION("""COMPUTED_VALUE"""),"Accidental")</f>
        <v>Accidental</v>
      </c>
      <c r="X807" s="1" t="str">
        <f ca="1">IFERROR(__xludf.DUMMYFUNCTION("""COMPUTED_VALUE"""),"Random Shooting")</f>
        <v>Random Shooting</v>
      </c>
      <c r="Y807" s="1" t="str">
        <f ca="1">IFERROR(__xludf.DUMMYFUNCTION("""COMPUTED_VALUE"""),"No")</f>
        <v>No</v>
      </c>
      <c r="Z807" s="1"/>
      <c r="AA807" s="1" t="str">
        <f ca="1">IFERROR(__xludf.DUMMYFUNCTION("""COMPUTED_VALUE"""),"No")</f>
        <v>No</v>
      </c>
      <c r="AB807" s="1" t="str">
        <f ca="1">IFERROR(__xludf.DUMMYFUNCTION("""COMPUTED_VALUE"""),"No")</f>
        <v>No</v>
      </c>
      <c r="AC807" s="1" t="str">
        <f ca="1">IFERROR(__xludf.DUMMYFUNCTION("""COMPUTED_VALUE"""),"No")</f>
        <v>No</v>
      </c>
      <c r="AD807" s="1" t="str">
        <f ca="1">IFERROR(__xludf.DUMMYFUNCTION("""COMPUTED_VALUE"""),"No")</f>
        <v>No</v>
      </c>
      <c r="AE807" s="1" t="str">
        <f ca="1">IFERROR(__xludf.DUMMYFUNCTION("""COMPUTED_VALUE"""),"No")</f>
        <v>No</v>
      </c>
      <c r="AF807" s="1" t="str">
        <f ca="1">IFERROR(__xludf.DUMMYFUNCTION("""COMPUTED_VALUE"""),"No")</f>
        <v>No</v>
      </c>
      <c r="AG807" s="1" t="str">
        <f ca="1">IFERROR(__xludf.DUMMYFUNCTION("""COMPUTED_VALUE"""),"No")</f>
        <v>No</v>
      </c>
      <c r="AH807" s="1"/>
    </row>
    <row r="808" spans="1:34" ht="12.5">
      <c r="A808" s="1" t="str">
        <f ca="1">IFERROR(__xludf.DUMMYFUNCTION("""COMPUTED_VALUE"""),"20211007PAANP")</f>
        <v>20211007PAANP</v>
      </c>
      <c r="B808" s="1">
        <f ca="1">IFERROR(__xludf.DUMMYFUNCTION("""COMPUTED_VALUE"""),10)</f>
        <v>10</v>
      </c>
      <c r="C808" s="1">
        <f ca="1">IFERROR(__xludf.DUMMYFUNCTION("""COMPUTED_VALUE"""),7)</f>
        <v>7</v>
      </c>
      <c r="D808" s="1">
        <f ca="1">IFERROR(__xludf.DUMMYFUNCTION("""COMPUTED_VALUE"""),2021)</f>
        <v>2021</v>
      </c>
      <c r="E808" s="4">
        <f ca="1">IFERROR(__xludf.DUMMYFUNCTION("""COMPUTED_VALUE"""),44476)</f>
        <v>44476</v>
      </c>
      <c r="F808" s="1" t="str">
        <f ca="1">IFERROR(__xludf.DUMMYFUNCTION("""COMPUTED_VALUE"""),"Antonia Pantoja Charter School")</f>
        <v>Antonia Pantoja Charter School</v>
      </c>
      <c r="G808" s="1">
        <f ca="1">IFERROR(__xludf.DUMMYFUNCTION("""COMPUTED_VALUE"""),0)</f>
        <v>0</v>
      </c>
      <c r="H808" s="1">
        <f ca="1">IFERROR(__xludf.DUMMYFUNCTION("""COMPUTED_VALUE"""),0)</f>
        <v>0</v>
      </c>
      <c r="I808" s="1">
        <f ca="1">IFERROR(__xludf.DUMMYFUNCTION("""COMPUTED_VALUE"""),0)</f>
        <v>0</v>
      </c>
      <c r="J808" s="1">
        <f ca="1">IFERROR(__xludf.DUMMYFUNCTION("""COMPUTED_VALUE"""),0)</f>
        <v>0</v>
      </c>
      <c r="K808" s="1" t="str">
        <f ca="1">IFERROR(__xludf.DUMMYFUNCTION("""COMPUTED_VALUE"""),"Fall")</f>
        <v>Fall</v>
      </c>
      <c r="L808" s="1" t="str">
        <f ca="1">IFERROR(__xludf.DUMMYFUNCTION("""COMPUTED_VALUE"""),"Philadelphia")</f>
        <v>Philadelphia</v>
      </c>
      <c r="M808" s="1" t="str">
        <f ca="1">IFERROR(__xludf.DUMMYFUNCTION("""COMPUTED_VALUE"""),"PA")</f>
        <v>PA</v>
      </c>
      <c r="N808" s="1" t="str">
        <f ca="1">IFERROR(__xludf.DUMMYFUNCTION("""COMPUTED_VALUE"""),"K-8")</f>
        <v>K-8</v>
      </c>
      <c r="O808" s="1" t="str">
        <f ca="1">IFERROR(__xludf.DUMMYFUNCTION("""COMPUTED_VALUE"""),"Cafeteria")</f>
        <v>Cafeteria</v>
      </c>
      <c r="P808" s="1" t="str">
        <f ca="1">IFERROR(__xludf.DUMMYFUNCTION("""COMPUTED_VALUE"""),"Both Inside/Outside")</f>
        <v>Both Inside/Outside</v>
      </c>
      <c r="Q808" s="1" t="str">
        <f ca="1">IFERROR(__xludf.DUMMYFUNCTION("""COMPUTED_VALUE"""),"No")</f>
        <v>No</v>
      </c>
      <c r="R808" s="1" t="str">
        <f ca="1">IFERROR(__xludf.DUMMYFUNCTION("""COMPUTED_VALUE"""),"Night")</f>
        <v>Night</v>
      </c>
      <c r="S808" s="1"/>
      <c r="T808" s="1">
        <f ca="1">IFERROR(__xludf.DUMMYFUNCTION("""COMPUTED_VALUE"""),1)</f>
        <v>1</v>
      </c>
      <c r="U808" s="1" t="str">
        <f ca="1">IFERROR(__xludf.DUMMYFUNCTION("""COMPUTED_VALUE"""),"Multiple shots broke windows of the cafeteria, bullets found inside")</f>
        <v>Multiple shots broke windows of the cafeteria, bullets found inside</v>
      </c>
      <c r="V808" s="1" t="str">
        <f ca="1">IFERROR(__xludf.DUMMYFUNCTION("""COMPUTED_VALUE"""),"Multiple shots were fired at the school breaking windows during the night. When staff arrived in the morning, they reported the damage to police. Bullet fragments were recovered inside the school.")</f>
        <v>Multiple shots were fired at the school breaking windows during the night. When staff arrived in the morning, they reported the damage to police. Bullet fragments were recovered inside the school.</v>
      </c>
      <c r="W808" s="1" t="str">
        <f ca="1">IFERROR(__xludf.DUMMYFUNCTION("""COMPUTED_VALUE"""),"Intentional Property Damage")</f>
        <v>Intentional Property Damage</v>
      </c>
      <c r="X808" s="1" t="str">
        <f ca="1">IFERROR(__xludf.DUMMYFUNCTION("""COMPUTED_VALUE"""),"Neither")</f>
        <v>Neither</v>
      </c>
      <c r="Y808" s="1"/>
      <c r="Z808" s="1"/>
      <c r="AA808" s="1" t="str">
        <f ca="1">IFERROR(__xludf.DUMMYFUNCTION("""COMPUTED_VALUE"""),"No")</f>
        <v>No</v>
      </c>
      <c r="AB808" s="1" t="str">
        <f ca="1">IFERROR(__xludf.DUMMYFUNCTION("""COMPUTED_VALUE"""),"No")</f>
        <v>No</v>
      </c>
      <c r="AC808" s="1" t="str">
        <f ca="1">IFERROR(__xludf.DUMMYFUNCTION("""COMPUTED_VALUE"""),"No")</f>
        <v>No</v>
      </c>
      <c r="AD808" s="1" t="str">
        <f ca="1">IFERROR(__xludf.DUMMYFUNCTION("""COMPUTED_VALUE"""),"No")</f>
        <v>No</v>
      </c>
      <c r="AE808" s="1" t="str">
        <f ca="1">IFERROR(__xludf.DUMMYFUNCTION("""COMPUTED_VALUE"""),"No")</f>
        <v>No</v>
      </c>
      <c r="AF808" s="1"/>
      <c r="AG808" s="1" t="str">
        <f ca="1">IFERROR(__xludf.DUMMYFUNCTION("""COMPUTED_VALUE"""),"No")</f>
        <v>No</v>
      </c>
      <c r="AH808" s="1"/>
    </row>
    <row r="809" spans="1:34" ht="12.5">
      <c r="A809" s="1" t="str">
        <f ca="1">IFERROR(__xludf.DUMMYFUNCTION("""COMPUTED_VALUE"""),"20211007NCEAD")</f>
        <v>20211007NCEAD</v>
      </c>
      <c r="B809" s="1">
        <f ca="1">IFERROR(__xludf.DUMMYFUNCTION("""COMPUTED_VALUE"""),10)</f>
        <v>10</v>
      </c>
      <c r="C809" s="1">
        <f ca="1">IFERROR(__xludf.DUMMYFUNCTION("""COMPUTED_VALUE"""),7)</f>
        <v>7</v>
      </c>
      <c r="D809" s="1">
        <f ca="1">IFERROR(__xludf.DUMMYFUNCTION("""COMPUTED_VALUE"""),2021)</f>
        <v>2021</v>
      </c>
      <c r="E809" s="4">
        <f ca="1">IFERROR(__xludf.DUMMYFUNCTION("""COMPUTED_VALUE"""),44476)</f>
        <v>44476</v>
      </c>
      <c r="F809" s="1" t="str">
        <f ca="1">IFERROR(__xludf.DUMMYFUNCTION("""COMPUTED_VALUE"""),"Eastway Elementary School")</f>
        <v>Eastway Elementary School</v>
      </c>
      <c r="G809" s="1">
        <f ca="1">IFERROR(__xludf.DUMMYFUNCTION("""COMPUTED_VALUE"""),0)</f>
        <v>0</v>
      </c>
      <c r="H809" s="1">
        <f ca="1">IFERROR(__xludf.DUMMYFUNCTION("""COMPUTED_VALUE"""),0)</f>
        <v>0</v>
      </c>
      <c r="I809" s="1">
        <f ca="1">IFERROR(__xludf.DUMMYFUNCTION("""COMPUTED_VALUE"""),0)</f>
        <v>0</v>
      </c>
      <c r="J809" s="1">
        <f ca="1">IFERROR(__xludf.DUMMYFUNCTION("""COMPUTED_VALUE"""),1)</f>
        <v>1</v>
      </c>
      <c r="K809" s="1" t="str">
        <f ca="1">IFERROR(__xludf.DUMMYFUNCTION("""COMPUTED_VALUE"""),"Fall")</f>
        <v>Fall</v>
      </c>
      <c r="L809" s="1" t="str">
        <f ca="1">IFERROR(__xludf.DUMMYFUNCTION("""COMPUTED_VALUE"""),"Durham")</f>
        <v>Durham</v>
      </c>
      <c r="M809" s="1" t="str">
        <f ca="1">IFERROR(__xludf.DUMMYFUNCTION("""COMPUTED_VALUE"""),"NC")</f>
        <v>NC</v>
      </c>
      <c r="N809" s="1" t="str">
        <f ca="1">IFERROR(__xludf.DUMMYFUNCTION("""COMPUTED_VALUE"""),"Elementary")</f>
        <v>Elementary</v>
      </c>
      <c r="O809" s="1" t="str">
        <f ca="1">IFERROR(__xludf.DUMMYFUNCTION("""COMPUTED_VALUE"""),"Parking Lot")</f>
        <v>Parking Lot</v>
      </c>
      <c r="P809" s="1" t="str">
        <f ca="1">IFERROR(__xludf.DUMMYFUNCTION("""COMPUTED_VALUE"""),"Outside on School Property")</f>
        <v>Outside on School Property</v>
      </c>
      <c r="Q809" s="1" t="str">
        <f ca="1">IFERROR(__xludf.DUMMYFUNCTION("""COMPUTED_VALUE"""),"No")</f>
        <v>No</v>
      </c>
      <c r="R809" s="1" t="str">
        <f ca="1">IFERROR(__xludf.DUMMYFUNCTION("""COMPUTED_VALUE"""),"After School")</f>
        <v>After School</v>
      </c>
      <c r="S809" s="5">
        <f ca="1">IFERROR(__xludf.DUMMYFUNCTION("""COMPUTED_VALUE"""),0.6875)</f>
        <v>0.6875</v>
      </c>
      <c r="T809" s="1">
        <f ca="1">IFERROR(__xludf.DUMMYFUNCTION("""COMPUTED_VALUE"""),1)</f>
        <v>1</v>
      </c>
      <c r="U809" s="1" t="str">
        <f ca="1">IFERROR(__xludf.DUMMYFUNCTION("""COMPUTED_VALUE"""),"Man found dead in vehicle in the school parking lot")</f>
        <v>Man found dead in vehicle in the school parking lot</v>
      </c>
      <c r="V809" s="1" t="str">
        <f ca="1">IFERROR(__xludf.DUMMYFUNCTION("""COMPUTED_VALUE"""),"A 39-year-old man was found dead (suicide) in a vehicle in the school parking lot. Students had already dismissed. Police said the vehicle had been parked for at least a day before the body was discovered. The man was wanted for a homicide and Newport New"&amp;"s, VA and considered ""armed and dangerous"". Unknown why the man parked at the school.")</f>
        <v>A 39-year-old man was found dead (suicide) in a vehicle in the school parking lot. Students had already dismissed. Police said the vehicle had been parked for at least a day before the body was discovered. The man was wanted for a homicide and Newport News, VA and considered "armed and dangerous". Unknown why the man parked at the school.</v>
      </c>
      <c r="W809" s="1" t="str">
        <f ca="1">IFERROR(__xludf.DUMMYFUNCTION("""COMPUTED_VALUE"""),"Suicide/Attempted")</f>
        <v>Suicide/Attempted</v>
      </c>
      <c r="X809" s="1" t="str">
        <f ca="1">IFERROR(__xludf.DUMMYFUNCTION("""COMPUTED_VALUE"""),"Victims Targeted")</f>
        <v>Victims Targeted</v>
      </c>
      <c r="Y809" s="1" t="str">
        <f ca="1">IFERROR(__xludf.DUMMYFUNCTION("""COMPUTED_VALUE"""),"No")</f>
        <v>No</v>
      </c>
      <c r="Z809" s="1"/>
      <c r="AA809" s="1" t="str">
        <f ca="1">IFERROR(__xludf.DUMMYFUNCTION("""COMPUTED_VALUE"""),"No")</f>
        <v>No</v>
      </c>
      <c r="AB809" s="1" t="str">
        <f ca="1">IFERROR(__xludf.DUMMYFUNCTION("""COMPUTED_VALUE"""),"No")</f>
        <v>No</v>
      </c>
      <c r="AC809" s="1" t="str">
        <f ca="1">IFERROR(__xludf.DUMMYFUNCTION("""COMPUTED_VALUE"""),"No")</f>
        <v>No</v>
      </c>
      <c r="AD809" s="1" t="str">
        <f ca="1">IFERROR(__xludf.DUMMYFUNCTION("""COMPUTED_VALUE"""),"No")</f>
        <v>No</v>
      </c>
      <c r="AE809" s="1" t="str">
        <f ca="1">IFERROR(__xludf.DUMMYFUNCTION("""COMPUTED_VALUE"""),"No")</f>
        <v>No</v>
      </c>
      <c r="AF809" s="1" t="str">
        <f ca="1">IFERROR(__xludf.DUMMYFUNCTION("""COMPUTED_VALUE"""),"No")</f>
        <v>No</v>
      </c>
      <c r="AG809" s="1" t="str">
        <f ca="1">IFERROR(__xludf.DUMMYFUNCTION("""COMPUTED_VALUE"""),"No")</f>
        <v>No</v>
      </c>
      <c r="AH809" s="1">
        <f ca="1">IFERROR(__xludf.DUMMYFUNCTION("""COMPUTED_VALUE"""),1)</f>
        <v>1</v>
      </c>
    </row>
    <row r="810" spans="1:34" ht="12.5">
      <c r="A810" s="1" t="str">
        <f ca="1">IFERROR(__xludf.DUMMYFUNCTION("""COMPUTED_VALUE"""),"20211007DCWAW")</f>
        <v>20211007DCWAW</v>
      </c>
      <c r="B810" s="1">
        <f ca="1">IFERROR(__xludf.DUMMYFUNCTION("""COMPUTED_VALUE"""),10)</f>
        <v>10</v>
      </c>
      <c r="C810" s="1">
        <f ca="1">IFERROR(__xludf.DUMMYFUNCTION("""COMPUTED_VALUE"""),7)</f>
        <v>7</v>
      </c>
      <c r="D810" s="1">
        <f ca="1">IFERROR(__xludf.DUMMYFUNCTION("""COMPUTED_VALUE"""),2021)</f>
        <v>2021</v>
      </c>
      <c r="E810" s="4">
        <f ca="1">IFERROR(__xludf.DUMMYFUNCTION("""COMPUTED_VALUE"""),44476)</f>
        <v>44476</v>
      </c>
      <c r="F810" s="1" t="str">
        <f ca="1">IFERROR(__xludf.DUMMYFUNCTION("""COMPUTED_VALUE"""),"Walkins Elementary School")</f>
        <v>Walkins Elementary School</v>
      </c>
      <c r="G810" s="1">
        <f ca="1">IFERROR(__xludf.DUMMYFUNCTION("""COMPUTED_VALUE"""),1)</f>
        <v>1</v>
      </c>
      <c r="H810" s="1">
        <f ca="1">IFERROR(__xludf.DUMMYFUNCTION("""COMPUTED_VALUE"""),0)</f>
        <v>0</v>
      </c>
      <c r="I810" s="1">
        <f ca="1">IFERROR(__xludf.DUMMYFUNCTION("""COMPUTED_VALUE"""),1)</f>
        <v>1</v>
      </c>
      <c r="J810" s="1">
        <f ca="1">IFERROR(__xludf.DUMMYFUNCTION("""COMPUTED_VALUE"""),0)</f>
        <v>0</v>
      </c>
      <c r="K810" s="1" t="str">
        <f ca="1">IFERROR(__xludf.DUMMYFUNCTION("""COMPUTED_VALUE"""),"Fall")</f>
        <v>Fall</v>
      </c>
      <c r="L810" s="1" t="str">
        <f ca="1">IFERROR(__xludf.DUMMYFUNCTION("""COMPUTED_VALUE"""),"Washington")</f>
        <v>Washington</v>
      </c>
      <c r="M810" s="1" t="str">
        <f ca="1">IFERROR(__xludf.DUMMYFUNCTION("""COMPUTED_VALUE"""),"DC")</f>
        <v>DC</v>
      </c>
      <c r="N810" s="1" t="str">
        <f ca="1">IFERROR(__xludf.DUMMYFUNCTION("""COMPUTED_VALUE"""),"Elementary")</f>
        <v>Elementary</v>
      </c>
      <c r="O810" s="1" t="str">
        <f ca="1">IFERROR(__xludf.DUMMYFUNCTION("""COMPUTED_VALUE"""),"Football Field/Track")</f>
        <v>Football Field/Track</v>
      </c>
      <c r="P810" s="1" t="str">
        <f ca="1">IFERROR(__xludf.DUMMYFUNCTION("""COMPUTED_VALUE"""),"Outside on School Property")</f>
        <v>Outside on School Property</v>
      </c>
      <c r="Q810" s="1" t="str">
        <f ca="1">IFERROR(__xludf.DUMMYFUNCTION("""COMPUTED_VALUE"""),"No")</f>
        <v>No</v>
      </c>
      <c r="R810" s="1" t="str">
        <f ca="1">IFERROR(__xludf.DUMMYFUNCTION("""COMPUTED_VALUE"""),"Sport Event")</f>
        <v>Sport Event</v>
      </c>
      <c r="S810" s="5">
        <f ca="1">IFERROR(__xludf.DUMMYFUNCTION("""COMPUTED_VALUE"""),0.907638888888888)</f>
        <v>0.907638888888888</v>
      </c>
      <c r="T810" s="1">
        <f ca="1">IFERROR(__xludf.DUMMYFUNCTION("""COMPUTED_VALUE"""),1)</f>
        <v>1</v>
      </c>
      <c r="U810" s="1" t="str">
        <f ca="1">IFERROR(__xludf.DUMMYFUNCTION("""COMPUTED_VALUE"""),"Man shot following flag football game")</f>
        <v>Man shot following flag football game</v>
      </c>
      <c r="V810" s="1" t="str">
        <f ca="1">IFERROR(__xludf.DUMMYFUNCTION("""COMPUTED_VALUE"""),"A 26-year-old man was fatally shot at the end of a flag football game on the school field. There was an argument at the end of the game and an unidentified man went to his bag, pulled out a gun, and shot the victim in front of his family members. Neighbor"&amp;"s reported hearing 12 shots fired. The shooter fled in a vehicle. Youth football practice ended 1 hour before the shooting. A letter was sent to parent of students at the school explaining the situation.")</f>
        <v>A 26-year-old man was fatally shot at the end of a flag football game on the school field. There was an argument at the end of the game and an unidentified man went to his bag, pulled out a gun, and shot the victim in front of his family members. Neighbors reported hearing 12 shots fired. The shooter fled in a vehicle. Youth football practice ended 1 hour before the shooting. A letter was sent to parent of students at the school explaining the situation.</v>
      </c>
      <c r="W810" s="1" t="str">
        <f ca="1">IFERROR(__xludf.DUMMYFUNCTION("""COMPUTED_VALUE"""),"Escalation of Dispute")</f>
        <v>Escalation of Dispute</v>
      </c>
      <c r="X810" s="1" t="str">
        <f ca="1">IFERROR(__xludf.DUMMYFUNCTION("""COMPUTED_VALUE"""),"Victims Targeted")</f>
        <v>Victims Targeted</v>
      </c>
      <c r="Y810" s="1"/>
      <c r="Z810" s="1"/>
      <c r="AA810" s="1" t="str">
        <f ca="1">IFERROR(__xludf.DUMMYFUNCTION("""COMPUTED_VALUE"""),"No")</f>
        <v>No</v>
      </c>
      <c r="AB810" s="1" t="str">
        <f ca="1">IFERROR(__xludf.DUMMYFUNCTION("""COMPUTED_VALUE"""),"No")</f>
        <v>No</v>
      </c>
      <c r="AC810" s="1" t="str">
        <f ca="1">IFERROR(__xludf.DUMMYFUNCTION("""COMPUTED_VALUE"""),"No")</f>
        <v>No</v>
      </c>
      <c r="AD810" s="1" t="str">
        <f ca="1">IFERROR(__xludf.DUMMYFUNCTION("""COMPUTED_VALUE"""),"No")</f>
        <v>No</v>
      </c>
      <c r="AE810" s="1" t="str">
        <f ca="1">IFERROR(__xludf.DUMMYFUNCTION("""COMPUTED_VALUE"""),"No")</f>
        <v>No</v>
      </c>
      <c r="AF810" s="1"/>
      <c r="AG810" s="1" t="str">
        <f ca="1">IFERROR(__xludf.DUMMYFUNCTION("""COMPUTED_VALUE"""),"No")</f>
        <v>No</v>
      </c>
      <c r="AH810" s="1">
        <f ca="1">IFERROR(__xludf.DUMMYFUNCTION("""COMPUTED_VALUE"""),12)</f>
        <v>12</v>
      </c>
    </row>
    <row r="811" spans="1:34" ht="12.5">
      <c r="A811" s="1" t="str">
        <f ca="1">IFERROR(__xludf.DUMMYFUNCTION("""COMPUTED_VALUE"""),"20211006TXTIA")</f>
        <v>20211006TXTIA</v>
      </c>
      <c r="B811" s="1">
        <f ca="1">IFERROR(__xludf.DUMMYFUNCTION("""COMPUTED_VALUE"""),10)</f>
        <v>10</v>
      </c>
      <c r="C811" s="1">
        <f ca="1">IFERROR(__xludf.DUMMYFUNCTION("""COMPUTED_VALUE"""),6)</f>
        <v>6</v>
      </c>
      <c r="D811" s="1">
        <f ca="1">IFERROR(__xludf.DUMMYFUNCTION("""COMPUTED_VALUE"""),2021)</f>
        <v>2021</v>
      </c>
      <c r="E811" s="4">
        <f ca="1">IFERROR(__xludf.DUMMYFUNCTION("""COMPUTED_VALUE"""),44475)</f>
        <v>44475</v>
      </c>
      <c r="F811" s="1" t="str">
        <f ca="1">IFERROR(__xludf.DUMMYFUNCTION("""COMPUTED_VALUE"""),"Timberview High School")</f>
        <v>Timberview High School</v>
      </c>
      <c r="G811" s="1">
        <f ca="1">IFERROR(__xludf.DUMMYFUNCTION("""COMPUTED_VALUE"""),0)</f>
        <v>0</v>
      </c>
      <c r="H811" s="1">
        <f ca="1">IFERROR(__xludf.DUMMYFUNCTION("""COMPUTED_VALUE"""),3)</f>
        <v>3</v>
      </c>
      <c r="I811" s="1">
        <f ca="1">IFERROR(__xludf.DUMMYFUNCTION("""COMPUTED_VALUE"""),3)</f>
        <v>3</v>
      </c>
      <c r="J811" s="1">
        <f ca="1">IFERROR(__xludf.DUMMYFUNCTION("""COMPUTED_VALUE"""),0)</f>
        <v>0</v>
      </c>
      <c r="K811" s="1" t="str">
        <f ca="1">IFERROR(__xludf.DUMMYFUNCTION("""COMPUTED_VALUE"""),"Fall")</f>
        <v>Fall</v>
      </c>
      <c r="L811" s="1" t="str">
        <f ca="1">IFERROR(__xludf.DUMMYFUNCTION("""COMPUTED_VALUE"""),"Arlington")</f>
        <v>Arlington</v>
      </c>
      <c r="M811" s="1" t="str">
        <f ca="1">IFERROR(__xludf.DUMMYFUNCTION("""COMPUTED_VALUE"""),"TX")</f>
        <v>TX</v>
      </c>
      <c r="N811" s="1" t="str">
        <f ca="1">IFERROR(__xludf.DUMMYFUNCTION("""COMPUTED_VALUE"""),"High")</f>
        <v>High</v>
      </c>
      <c r="O811" s="1" t="str">
        <f ca="1">IFERROR(__xludf.DUMMYFUNCTION("""COMPUTED_VALUE"""),"Classroom")</f>
        <v>Classroom</v>
      </c>
      <c r="P811" s="1" t="str">
        <f ca="1">IFERROR(__xludf.DUMMYFUNCTION("""COMPUTED_VALUE"""),"Inside School Building")</f>
        <v>Inside School Building</v>
      </c>
      <c r="Q811" s="1" t="str">
        <f ca="1">IFERROR(__xludf.DUMMYFUNCTION("""COMPUTED_VALUE"""),"Yes")</f>
        <v>Yes</v>
      </c>
      <c r="R811" s="1" t="str">
        <f ca="1">IFERROR(__xludf.DUMMYFUNCTION("""COMPUTED_VALUE"""),"Morning Classes")</f>
        <v>Morning Classes</v>
      </c>
      <c r="S811" s="5">
        <f ca="1">IFERROR(__xludf.DUMMYFUNCTION("""COMPUTED_VALUE"""),0.385416666666666)</f>
        <v>0.38541666666666602</v>
      </c>
      <c r="T811" s="1">
        <f ca="1">IFERROR(__xludf.DUMMYFUNCTION("""COMPUTED_VALUE"""),1)</f>
        <v>1</v>
      </c>
      <c r="U811" s="1" t="str">
        <f ca="1">IFERROR(__xludf.DUMMYFUNCTION("""COMPUTED_VALUE"""),"Shots fired during fight inside a classroom")</f>
        <v>Shots fired during fight inside a classroom</v>
      </c>
      <c r="V811" s="1" t="str">
        <f ca="1">IFERROR(__xludf.DUMMYFUNCTION("""COMPUTED_VALUE"""),"Shots were fired by an 18-year-old student during a fight inside the classroom. Shooter was in a classroom when another student, 15-year-old male, walked in and started to fight with the shooter, witnesses said, according to an arrest warrant affidavit su"&amp;"pporting shooters’ arrest. 15-year-old student was critically injured. A 25-year-old teacher was shot in the back. A female student was grazed. A student also sustained a none gunshot injury. Four people were transported to the hospital. Shooter fled the "&amp;"scene and was arrested away from the school. School was placed on lockdown, searched by police, and students were evacuated from the building to an alternate location to reunite with parents. Police investigation showed no signs of bullying prior to the s"&amp;"hooting.")</f>
        <v>Shots were fired by an 18-year-old student during a fight inside the classroom. Shooter was in a classroom when another student, 15-year-old male, walked in and started to fight with the shooter, witnesses said, according to an arrest warrant affidavit supporting shooters’ arrest. 15-year-old student was critically injured. A 25-year-old teacher was shot in the back. A female student was grazed. A student also sustained a none gunshot injury. Four people were transported to the hospital. Shooter fled the scene and was arrested away from the school. School was placed on lockdown, searched by police, and students were evacuated from the building to an alternate location to reunite with parents. Police investigation showed no signs of bullying prior to the shooting.</v>
      </c>
      <c r="W811" s="1" t="str">
        <f ca="1">IFERROR(__xludf.DUMMYFUNCTION("""COMPUTED_VALUE"""),"Escalation of Dispute")</f>
        <v>Escalation of Dispute</v>
      </c>
      <c r="X811" s="1" t="str">
        <f ca="1">IFERROR(__xludf.DUMMYFUNCTION("""COMPUTED_VALUE"""),"Both")</f>
        <v>Both</v>
      </c>
      <c r="Y811" s="1" t="str">
        <f ca="1">IFERROR(__xludf.DUMMYFUNCTION("""COMPUTED_VALUE"""),"No")</f>
        <v>No</v>
      </c>
      <c r="Z811" s="1"/>
      <c r="AA811" s="1" t="str">
        <f ca="1">IFERROR(__xludf.DUMMYFUNCTION("""COMPUTED_VALUE"""),"No")</f>
        <v>No</v>
      </c>
      <c r="AB811" s="1" t="str">
        <f ca="1">IFERROR(__xludf.DUMMYFUNCTION("""COMPUTED_VALUE"""),"No")</f>
        <v>No</v>
      </c>
      <c r="AC811" s="1" t="str">
        <f ca="1">IFERROR(__xludf.DUMMYFUNCTION("""COMPUTED_VALUE"""),"No")</f>
        <v>No</v>
      </c>
      <c r="AD811" s="1" t="str">
        <f ca="1">IFERROR(__xludf.DUMMYFUNCTION("""COMPUTED_VALUE"""),"No")</f>
        <v>No</v>
      </c>
      <c r="AE811" s="1" t="str">
        <f ca="1">IFERROR(__xludf.DUMMYFUNCTION("""COMPUTED_VALUE"""),"No")</f>
        <v>No</v>
      </c>
      <c r="AF811" s="1" t="str">
        <f ca="1">IFERROR(__xludf.DUMMYFUNCTION("""COMPUTED_VALUE"""),"No")</f>
        <v>No</v>
      </c>
      <c r="AG811" s="1" t="str">
        <f ca="1">IFERROR(__xludf.DUMMYFUNCTION("""COMPUTED_VALUE"""),"No")</f>
        <v>No</v>
      </c>
      <c r="AH811" s="1">
        <f ca="1">IFERROR(__xludf.DUMMYFUNCTION("""COMPUTED_VALUE"""),6)</f>
        <v>6</v>
      </c>
    </row>
    <row r="812" spans="1:34" ht="12.5">
      <c r="A812" s="1" t="str">
        <f ca="1">IFERROR(__xludf.DUMMYFUNCTION("""COMPUTED_VALUE"""),"20211005NDHEH")</f>
        <v>20211005NDHEH</v>
      </c>
      <c r="B812" s="1">
        <f ca="1">IFERROR(__xludf.DUMMYFUNCTION("""COMPUTED_VALUE"""),10)</f>
        <v>10</v>
      </c>
      <c r="C812" s="1">
        <f ca="1">IFERROR(__xludf.DUMMYFUNCTION("""COMPUTED_VALUE"""),5)</f>
        <v>5</v>
      </c>
      <c r="D812" s="1">
        <f ca="1">IFERROR(__xludf.DUMMYFUNCTION("""COMPUTED_VALUE"""),2021)</f>
        <v>2021</v>
      </c>
      <c r="E812" s="4">
        <f ca="1">IFERROR(__xludf.DUMMYFUNCTION("""COMPUTED_VALUE"""),44474)</f>
        <v>44474</v>
      </c>
      <c r="F812" s="1" t="str">
        <f ca="1">IFERROR(__xludf.DUMMYFUNCTION("""COMPUTED_VALUE"""),"Hettinger Public School")</f>
        <v>Hettinger Public School</v>
      </c>
      <c r="G812" s="1">
        <f ca="1">IFERROR(__xludf.DUMMYFUNCTION("""COMPUTED_VALUE"""),0)</f>
        <v>0</v>
      </c>
      <c r="H812" s="1">
        <f ca="1">IFERROR(__xludf.DUMMYFUNCTION("""COMPUTED_VALUE"""),0)</f>
        <v>0</v>
      </c>
      <c r="I812" s="1">
        <f ca="1">IFERROR(__xludf.DUMMYFUNCTION("""COMPUTED_VALUE"""),0)</f>
        <v>0</v>
      </c>
      <c r="J812" s="1">
        <f ca="1">IFERROR(__xludf.DUMMYFUNCTION("""COMPUTED_VALUE"""),0)</f>
        <v>0</v>
      </c>
      <c r="K812" s="1" t="str">
        <f ca="1">IFERROR(__xludf.DUMMYFUNCTION("""COMPUTED_VALUE"""),"Fall")</f>
        <v>Fall</v>
      </c>
      <c r="L812" s="1" t="str">
        <f ca="1">IFERROR(__xludf.DUMMYFUNCTION("""COMPUTED_VALUE"""),"Hettinger")</f>
        <v>Hettinger</v>
      </c>
      <c r="M812" s="1" t="str">
        <f ca="1">IFERROR(__xludf.DUMMYFUNCTION("""COMPUTED_VALUE"""),"ND")</f>
        <v>ND</v>
      </c>
      <c r="N812" s="1" t="str">
        <f ca="1">IFERROR(__xludf.DUMMYFUNCTION("""COMPUTED_VALUE"""),"K-12")</f>
        <v>K-12</v>
      </c>
      <c r="O812" s="1" t="str">
        <f ca="1">IFERROR(__xludf.DUMMYFUNCTION("""COMPUTED_VALUE"""),"Classroom")</f>
        <v>Classroom</v>
      </c>
      <c r="P812" s="1" t="str">
        <f ca="1">IFERROR(__xludf.DUMMYFUNCTION("""COMPUTED_VALUE"""),"Inside School Building")</f>
        <v>Inside School Building</v>
      </c>
      <c r="Q812" s="1" t="str">
        <f ca="1">IFERROR(__xludf.DUMMYFUNCTION("""COMPUTED_VALUE"""),"Yes")</f>
        <v>Yes</v>
      </c>
      <c r="R812" s="1" t="str">
        <f ca="1">IFERROR(__xludf.DUMMYFUNCTION("""COMPUTED_VALUE"""),"Morning Classes")</f>
        <v>Morning Classes</v>
      </c>
      <c r="S812" s="5">
        <f ca="1">IFERROR(__xludf.DUMMYFUNCTION("""COMPUTED_VALUE"""),0.402083333333333)</f>
        <v>0.40208333333333302</v>
      </c>
      <c r="T812" s="1">
        <f ca="1">IFERROR(__xludf.DUMMYFUNCTION("""COMPUTED_VALUE"""),1)</f>
        <v>1</v>
      </c>
      <c r="U812" s="1" t="str">
        <f ca="1">IFERROR(__xludf.DUMMYFUNCTION("""COMPUTED_VALUE"""),"Student walked into classroom and shot self in front of the class")</f>
        <v>Student walked into classroom and shot self in front of the class</v>
      </c>
      <c r="V812" s="1" t="str">
        <f ca="1">IFERROR(__xludf.DUMMYFUNCTION("""COMPUTED_VALUE"""),"A student walked into a classroom and shot him/herself in front of the class. School was locked down and then dismissed. Classes cancelled the following day.")</f>
        <v>A student walked into a classroom and shot him/herself in front of the class. School was locked down and then dismissed. Classes cancelled the following day.</v>
      </c>
      <c r="W812" s="1" t="str">
        <f ca="1">IFERROR(__xludf.DUMMYFUNCTION("""COMPUTED_VALUE"""),"Suicide/Attempted")</f>
        <v>Suicide/Attempted</v>
      </c>
      <c r="X812" s="1" t="str">
        <f ca="1">IFERROR(__xludf.DUMMYFUNCTION("""COMPUTED_VALUE"""),"Victims Targeted")</f>
        <v>Victims Targeted</v>
      </c>
      <c r="Y812" s="1" t="str">
        <f ca="1">IFERROR(__xludf.DUMMYFUNCTION("""COMPUTED_VALUE"""),"No")</f>
        <v>No</v>
      </c>
      <c r="Z812" s="1"/>
      <c r="AA812" s="1" t="str">
        <f ca="1">IFERROR(__xludf.DUMMYFUNCTION("""COMPUTED_VALUE"""),"No")</f>
        <v>No</v>
      </c>
      <c r="AB812" s="1" t="str">
        <f ca="1">IFERROR(__xludf.DUMMYFUNCTION("""COMPUTED_VALUE"""),"No")</f>
        <v>No</v>
      </c>
      <c r="AC812" s="1" t="str">
        <f ca="1">IFERROR(__xludf.DUMMYFUNCTION("""COMPUTED_VALUE"""),"No")</f>
        <v>No</v>
      </c>
      <c r="AD812" s="1"/>
      <c r="AE812" s="1" t="str">
        <f ca="1">IFERROR(__xludf.DUMMYFUNCTION("""COMPUTED_VALUE"""),"No")</f>
        <v>No</v>
      </c>
      <c r="AF812" s="1" t="str">
        <f ca="1">IFERROR(__xludf.DUMMYFUNCTION("""COMPUTED_VALUE"""),"No")</f>
        <v>No</v>
      </c>
      <c r="AG812" s="1" t="str">
        <f ca="1">IFERROR(__xludf.DUMMYFUNCTION("""COMPUTED_VALUE"""),"No")</f>
        <v>No</v>
      </c>
      <c r="AH812" s="1">
        <f ca="1">IFERROR(__xludf.DUMMYFUNCTION("""COMPUTED_VALUE"""),1)</f>
        <v>1</v>
      </c>
    </row>
    <row r="813" spans="1:34" ht="12.5">
      <c r="A813" s="1" t="str">
        <f ca="1">IFERROR(__xludf.DUMMYFUNCTION("""COMPUTED_VALUE"""),"20211005NCGAC")</f>
        <v>20211005NCGAC</v>
      </c>
      <c r="B813" s="1">
        <f ca="1">IFERROR(__xludf.DUMMYFUNCTION("""COMPUTED_VALUE"""),10)</f>
        <v>10</v>
      </c>
      <c r="C813" s="1">
        <f ca="1">IFERROR(__xludf.DUMMYFUNCTION("""COMPUTED_VALUE"""),5)</f>
        <v>5</v>
      </c>
      <c r="D813" s="1">
        <f ca="1">IFERROR(__xludf.DUMMYFUNCTION("""COMPUTED_VALUE"""),2021)</f>
        <v>2021</v>
      </c>
      <c r="E813" s="4">
        <f ca="1">IFERROR(__xludf.DUMMYFUNCTION("""COMPUTED_VALUE"""),44474)</f>
        <v>44474</v>
      </c>
      <c r="F813" s="1" t="str">
        <f ca="1">IFERROR(__xludf.DUMMYFUNCTION("""COMPUTED_VALUE"""),"Garinger High School")</f>
        <v>Garinger High School</v>
      </c>
      <c r="G813" s="1">
        <f ca="1">IFERROR(__xludf.DUMMYFUNCTION("""COMPUTED_VALUE"""),0)</f>
        <v>0</v>
      </c>
      <c r="H813" s="1">
        <f ca="1">IFERROR(__xludf.DUMMYFUNCTION("""COMPUTED_VALUE"""),0)</f>
        <v>0</v>
      </c>
      <c r="I813" s="1">
        <f ca="1">IFERROR(__xludf.DUMMYFUNCTION("""COMPUTED_VALUE"""),0)</f>
        <v>0</v>
      </c>
      <c r="J813" s="1">
        <f ca="1">IFERROR(__xludf.DUMMYFUNCTION("""COMPUTED_VALUE"""),0)</f>
        <v>0</v>
      </c>
      <c r="K813" s="1" t="str">
        <f ca="1">IFERROR(__xludf.DUMMYFUNCTION("""COMPUTED_VALUE"""),"Fall")</f>
        <v>Fall</v>
      </c>
      <c r="L813" s="1" t="str">
        <f ca="1">IFERROR(__xludf.DUMMYFUNCTION("""COMPUTED_VALUE"""),"Charlotte")</f>
        <v>Charlotte</v>
      </c>
      <c r="M813" s="1" t="str">
        <f ca="1">IFERROR(__xludf.DUMMYFUNCTION("""COMPUTED_VALUE"""),"NC")</f>
        <v>NC</v>
      </c>
      <c r="N813" s="1" t="str">
        <f ca="1">IFERROR(__xludf.DUMMYFUNCTION("""COMPUTED_VALUE"""),"High")</f>
        <v>High</v>
      </c>
      <c r="O813" s="1" t="str">
        <f ca="1">IFERROR(__xludf.DUMMYFUNCTION("""COMPUTED_VALUE"""),"Front of School")</f>
        <v>Front of School</v>
      </c>
      <c r="P813" s="1" t="str">
        <f ca="1">IFERROR(__xludf.DUMMYFUNCTION("""COMPUTED_VALUE"""),"Outside on School Property")</f>
        <v>Outside on School Property</v>
      </c>
      <c r="Q813" s="1" t="str">
        <f ca="1">IFERROR(__xludf.DUMMYFUNCTION("""COMPUTED_VALUE"""),"Yes")</f>
        <v>Yes</v>
      </c>
      <c r="R813" s="1" t="str">
        <f ca="1">IFERROR(__xludf.DUMMYFUNCTION("""COMPUTED_VALUE"""),"Morning Classes")</f>
        <v>Morning Classes</v>
      </c>
      <c r="S813" s="5">
        <f ca="1">IFERROR(__xludf.DUMMYFUNCTION("""COMPUTED_VALUE"""),0.291666666666666)</f>
        <v>0.29166666666666602</v>
      </c>
      <c r="T813" s="1">
        <f ca="1">IFERROR(__xludf.DUMMYFUNCTION("""COMPUTED_VALUE"""),1)</f>
        <v>1</v>
      </c>
      <c r="U813" s="1" t="str">
        <f ca="1">IFERROR(__xludf.DUMMYFUNCTION("""COMPUTED_VALUE"""),"Student fired shot at vehicle and then ran inside the school, lockdown, gun recovered")</f>
        <v>Student fired shot at vehicle and then ran inside the school, lockdown, gun recovered</v>
      </c>
      <c r="V813" s="1" t="str">
        <f ca="1">IFERROR(__xludf.DUMMYFUNCTION("""COMPUTED_VALUE"""),"A teenage student fired shots at a vehicle on the street in front of the school. Shot may have been fired from the vehicle at the student. The shooter then ran into the school. The school was locked down and search by police. Police recovered a loaded han"&amp;"dgun and 2 magazines. Student was arrested.")</f>
        <v>A teenage student fired shots at a vehicle on the street in front of the school. Shot may have been fired from the vehicle at the student. The shooter then ran into the school. The school was locked down and search by police. Police recovered a loaded handgun and 2 magazines. Student was arrested.</v>
      </c>
      <c r="W813" s="1" t="str">
        <f ca="1">IFERROR(__xludf.DUMMYFUNCTION("""COMPUTED_VALUE"""),"Drive-by Shooting")</f>
        <v>Drive-by Shooting</v>
      </c>
      <c r="X813" s="1" t="str">
        <f ca="1">IFERROR(__xludf.DUMMYFUNCTION("""COMPUTED_VALUE"""),"Victims Targeted")</f>
        <v>Victims Targeted</v>
      </c>
      <c r="Y813" s="1" t="str">
        <f ca="1">IFERROR(__xludf.DUMMYFUNCTION("""COMPUTED_VALUE"""),"Yes")</f>
        <v>Yes</v>
      </c>
      <c r="Z813" s="1"/>
      <c r="AA813" s="1"/>
      <c r="AB813" s="1" t="str">
        <f ca="1">IFERROR(__xludf.DUMMYFUNCTION("""COMPUTED_VALUE"""),"No")</f>
        <v>No</v>
      </c>
      <c r="AC813" s="1" t="str">
        <f ca="1">IFERROR(__xludf.DUMMYFUNCTION("""COMPUTED_VALUE"""),"No")</f>
        <v>No</v>
      </c>
      <c r="AD813" s="1" t="str">
        <f ca="1">IFERROR(__xludf.DUMMYFUNCTION("""COMPUTED_VALUE"""),"No")</f>
        <v>No</v>
      </c>
      <c r="AE813" s="1" t="str">
        <f ca="1">IFERROR(__xludf.DUMMYFUNCTION("""COMPUTED_VALUE"""),"No")</f>
        <v>No</v>
      </c>
      <c r="AF813" s="1"/>
      <c r="AG813" s="1" t="str">
        <f ca="1">IFERROR(__xludf.DUMMYFUNCTION("""COMPUTED_VALUE"""),"No")</f>
        <v>No</v>
      </c>
      <c r="AH813" s="1"/>
    </row>
    <row r="814" spans="1:34" ht="12.5">
      <c r="A814" s="1" t="str">
        <f ca="1">IFERROR(__xludf.DUMMYFUNCTION("""COMPUTED_VALUE"""),"20211004PASCP")</f>
        <v>20211004PASCP</v>
      </c>
      <c r="B814" s="1">
        <f ca="1">IFERROR(__xludf.DUMMYFUNCTION("""COMPUTED_VALUE"""),10)</f>
        <v>10</v>
      </c>
      <c r="C814" s="1">
        <f ca="1">IFERROR(__xludf.DUMMYFUNCTION("""COMPUTED_VALUE"""),4)</f>
        <v>4</v>
      </c>
      <c r="D814" s="1">
        <f ca="1">IFERROR(__xludf.DUMMYFUNCTION("""COMPUTED_VALUE"""),2021)</f>
        <v>2021</v>
      </c>
      <c r="E814" s="4">
        <f ca="1">IFERROR(__xludf.DUMMYFUNCTION("""COMPUTED_VALUE"""),44473)</f>
        <v>44473</v>
      </c>
      <c r="F814" s="1" t="str">
        <f ca="1">IFERROR(__xludf.DUMMYFUNCTION("""COMPUTED_VALUE"""),"School of the Future")</f>
        <v>School of the Future</v>
      </c>
      <c r="G814" s="1">
        <f ca="1">IFERROR(__xludf.DUMMYFUNCTION("""COMPUTED_VALUE"""),0)</f>
        <v>0</v>
      </c>
      <c r="H814" s="1">
        <f ca="1">IFERROR(__xludf.DUMMYFUNCTION("""COMPUTED_VALUE"""),2)</f>
        <v>2</v>
      </c>
      <c r="I814" s="1">
        <f ca="1">IFERROR(__xludf.DUMMYFUNCTION("""COMPUTED_VALUE"""),2)</f>
        <v>2</v>
      </c>
      <c r="J814" s="1">
        <f ca="1">IFERROR(__xludf.DUMMYFUNCTION("""COMPUTED_VALUE"""),0)</f>
        <v>0</v>
      </c>
      <c r="K814" s="1" t="str">
        <f ca="1">IFERROR(__xludf.DUMMYFUNCTION("""COMPUTED_VALUE"""),"Fall")</f>
        <v>Fall</v>
      </c>
      <c r="L814" s="1" t="str">
        <f ca="1">IFERROR(__xludf.DUMMYFUNCTION("""COMPUTED_VALUE"""),"Philadelphia")</f>
        <v>Philadelphia</v>
      </c>
      <c r="M814" s="1" t="str">
        <f ca="1">IFERROR(__xludf.DUMMYFUNCTION("""COMPUTED_VALUE"""),"PA")</f>
        <v>PA</v>
      </c>
      <c r="N814" s="1" t="str">
        <f ca="1">IFERROR(__xludf.DUMMYFUNCTION("""COMPUTED_VALUE"""),"High")</f>
        <v>High</v>
      </c>
      <c r="O814" s="1" t="str">
        <f ca="1">IFERROR(__xludf.DUMMYFUNCTION("""COMPUTED_VALUE"""),"Outside on School Property")</f>
        <v>Outside on School Property</v>
      </c>
      <c r="P814" s="1" t="str">
        <f ca="1">IFERROR(__xludf.DUMMYFUNCTION("""COMPUTED_VALUE"""),"Outside on School Property")</f>
        <v>Outside on School Property</v>
      </c>
      <c r="Q814" s="1" t="str">
        <f ca="1">IFERROR(__xludf.DUMMYFUNCTION("""COMPUTED_VALUE"""),"No")</f>
        <v>No</v>
      </c>
      <c r="R814" s="1" t="str">
        <f ca="1">IFERROR(__xludf.DUMMYFUNCTION("""COMPUTED_VALUE"""),"Night")</f>
        <v>Night</v>
      </c>
      <c r="S814" s="5">
        <f ca="1">IFERROR(__xludf.DUMMYFUNCTION("""COMPUTED_VALUE"""),0.0590277777777777)</f>
        <v>5.90277777777777E-2</v>
      </c>
      <c r="T814" s="1">
        <f ca="1">IFERROR(__xludf.DUMMYFUNCTION("""COMPUTED_VALUE"""),1)</f>
        <v>1</v>
      </c>
      <c r="U814" s="1" t="str">
        <f ca="1">IFERROR(__xludf.DUMMYFUNCTION("""COMPUTED_VALUE"""),"Active shooter fled workplace shooting scene, shootout with police behind school")</f>
        <v>Active shooter fled workplace shooting scene, shootout with police behind school</v>
      </c>
      <c r="V814" s="1" t="str">
        <f ca="1">IFERROR(__xludf.DUMMYFUNCTION("""COMPUTED_VALUE"""),"An adult male with a semi-auto rifle, handgun, and wearing body armor shot 2 coworkers at Center City Hospital. He fled on foot and was engaged by 4 officers behind the high school. Two officers were shot. Shooter was shot multiple times and transported i"&amp;"n critical condition. School was switched to virtual learning due to shooting.")</f>
        <v>An adult male with a semi-auto rifle, handgun, and wearing body armor shot 2 coworkers at Center City Hospital. He fled on foot and was engaged by 4 officers behind the high school. Two officers were shot. Shooter was shot multiple times and transported in critical condition. School was switched to virtual learning due to shooting.</v>
      </c>
      <c r="W814" s="1"/>
      <c r="X814" s="1" t="str">
        <f ca="1">IFERROR(__xludf.DUMMYFUNCTION("""COMPUTED_VALUE"""),"Both")</f>
        <v>Both</v>
      </c>
      <c r="Y814" s="1" t="str">
        <f ca="1">IFERROR(__xludf.DUMMYFUNCTION("""COMPUTED_VALUE"""),"No")</f>
        <v>No</v>
      </c>
      <c r="Z814" s="1"/>
      <c r="AA814" s="1" t="str">
        <f ca="1">IFERROR(__xludf.DUMMYFUNCTION("""COMPUTED_VALUE"""),"No")</f>
        <v>No</v>
      </c>
      <c r="AB814" s="1" t="str">
        <f ca="1">IFERROR(__xludf.DUMMYFUNCTION("""COMPUTED_VALUE"""),"No")</f>
        <v>No</v>
      </c>
      <c r="AC814" s="1" t="str">
        <f ca="1">IFERROR(__xludf.DUMMYFUNCTION("""COMPUTED_VALUE"""),"No")</f>
        <v>No</v>
      </c>
      <c r="AD814" s="1" t="str">
        <f ca="1">IFERROR(__xludf.DUMMYFUNCTION("""COMPUTED_VALUE"""),"No")</f>
        <v>No</v>
      </c>
      <c r="AE814" s="1"/>
      <c r="AF814" s="1" t="str">
        <f ca="1">IFERROR(__xludf.DUMMYFUNCTION("""COMPUTED_VALUE"""),"No")</f>
        <v>No</v>
      </c>
      <c r="AG814" s="1" t="str">
        <f ca="1">IFERROR(__xludf.DUMMYFUNCTION("""COMPUTED_VALUE"""),"Yes")</f>
        <v>Yes</v>
      </c>
      <c r="AH814" s="1">
        <f ca="1">IFERROR(__xludf.DUMMYFUNCTION("""COMPUTED_VALUE"""),100)</f>
        <v>100</v>
      </c>
    </row>
    <row r="815" spans="1:34" ht="12.5">
      <c r="A815" s="1" t="str">
        <f ca="1">IFERROR(__xludf.DUMMYFUNCTION("""COMPUTED_VALUE"""),"20211004OHWOT")</f>
        <v>20211004OHWOT</v>
      </c>
      <c r="B815" s="1">
        <f ca="1">IFERROR(__xludf.DUMMYFUNCTION("""COMPUTED_VALUE"""),10)</f>
        <v>10</v>
      </c>
      <c r="C815" s="1">
        <f ca="1">IFERROR(__xludf.DUMMYFUNCTION("""COMPUTED_VALUE"""),4)</f>
        <v>4</v>
      </c>
      <c r="D815" s="1">
        <f ca="1">IFERROR(__xludf.DUMMYFUNCTION("""COMPUTED_VALUE"""),2021)</f>
        <v>2021</v>
      </c>
      <c r="E815" s="4">
        <f ca="1">IFERROR(__xludf.DUMMYFUNCTION("""COMPUTED_VALUE"""),44473)</f>
        <v>44473</v>
      </c>
      <c r="F815" s="1" t="str">
        <f ca="1">IFERROR(__xludf.DUMMYFUNCTION("""COMPUTED_VALUE"""),"Woodward High School")</f>
        <v>Woodward High School</v>
      </c>
      <c r="G815" s="1">
        <f ca="1">IFERROR(__xludf.DUMMYFUNCTION("""COMPUTED_VALUE"""),0)</f>
        <v>0</v>
      </c>
      <c r="H815" s="1">
        <f ca="1">IFERROR(__xludf.DUMMYFUNCTION("""COMPUTED_VALUE"""),1)</f>
        <v>1</v>
      </c>
      <c r="I815" s="1">
        <f ca="1">IFERROR(__xludf.DUMMYFUNCTION("""COMPUTED_VALUE"""),1)</f>
        <v>1</v>
      </c>
      <c r="J815" s="1">
        <f ca="1">IFERROR(__xludf.DUMMYFUNCTION("""COMPUTED_VALUE"""),0)</f>
        <v>0</v>
      </c>
      <c r="K815" s="1" t="str">
        <f ca="1">IFERROR(__xludf.DUMMYFUNCTION("""COMPUTED_VALUE"""),"Fall")</f>
        <v>Fall</v>
      </c>
      <c r="L815" s="1" t="str">
        <f ca="1">IFERROR(__xludf.DUMMYFUNCTION("""COMPUTED_VALUE"""),"Toledo")</f>
        <v>Toledo</v>
      </c>
      <c r="M815" s="1" t="str">
        <f ca="1">IFERROR(__xludf.DUMMYFUNCTION("""COMPUTED_VALUE"""),"OH")</f>
        <v>OH</v>
      </c>
      <c r="N815" s="1" t="str">
        <f ca="1">IFERROR(__xludf.DUMMYFUNCTION("""COMPUTED_VALUE"""),"High")</f>
        <v>High</v>
      </c>
      <c r="O815" s="1" t="str">
        <f ca="1">IFERROR(__xludf.DUMMYFUNCTION("""COMPUTED_VALUE"""),"Off School Property")</f>
        <v>Off School Property</v>
      </c>
      <c r="P815" s="1" t="str">
        <f ca="1">IFERROR(__xludf.DUMMYFUNCTION("""COMPUTED_VALUE"""),"Off School Property")</f>
        <v>Off School Property</v>
      </c>
      <c r="Q815" s="1" t="str">
        <f ca="1">IFERROR(__xludf.DUMMYFUNCTION("""COMPUTED_VALUE"""),"No")</f>
        <v>No</v>
      </c>
      <c r="R815" s="1" t="str">
        <f ca="1">IFERROR(__xludf.DUMMYFUNCTION("""COMPUTED_VALUE"""),"After School")</f>
        <v>After School</v>
      </c>
      <c r="S815" s="5">
        <f ca="1">IFERROR(__xludf.DUMMYFUNCTION("""COMPUTED_VALUE"""),0.6875)</f>
        <v>0.6875</v>
      </c>
      <c r="T815" s="1">
        <f ca="1">IFERROR(__xludf.DUMMYFUNCTION("""COMPUTED_VALUE"""),1)</f>
        <v>1</v>
      </c>
      <c r="U815" s="1" t="str">
        <f ca="1">IFERROR(__xludf.DUMMYFUNCTION("""COMPUTED_VALUE"""),"Student shot across the street, ran to school for assistance")</f>
        <v>Student shot across the street, ran to school for assistance</v>
      </c>
      <c r="V815" s="1" t="str">
        <f ca="1">IFERROR(__xludf.DUMMYFUNCTION("""COMPUTED_VALUE"""),"A 17-year-old student was with a group of student in the parking lot across from the high school when he was shot. The shooter fled. The student ran to the school for assistance. Teachers and staff still at the school locked down the building. Police and "&amp;"EMS responded to the school and the student was transported to the hospital.")</f>
        <v>A 17-year-old student was with a group of student in the parking lot across from the high school when he was shot. The shooter fled. The student ran to the school for assistance. Teachers and staff still at the school locked down the building. Police and EMS responded to the school and the student was transported to the hospital.</v>
      </c>
      <c r="W815" s="1"/>
      <c r="X815" s="1"/>
      <c r="Y815" s="1" t="str">
        <f ca="1">IFERROR(__xludf.DUMMYFUNCTION("""COMPUTED_VALUE"""),"No")</f>
        <v>No</v>
      </c>
      <c r="Z815" s="1"/>
      <c r="AA815" s="1" t="str">
        <f ca="1">IFERROR(__xludf.DUMMYFUNCTION("""COMPUTED_VALUE"""),"No")</f>
        <v>No</v>
      </c>
      <c r="AB815" s="1" t="str">
        <f ca="1">IFERROR(__xludf.DUMMYFUNCTION("""COMPUTED_VALUE"""),"No")</f>
        <v>No</v>
      </c>
      <c r="AC815" s="1" t="str">
        <f ca="1">IFERROR(__xludf.DUMMYFUNCTION("""COMPUTED_VALUE"""),"No")</f>
        <v>No</v>
      </c>
      <c r="AD815" s="1" t="str">
        <f ca="1">IFERROR(__xludf.DUMMYFUNCTION("""COMPUTED_VALUE"""),"No")</f>
        <v>No</v>
      </c>
      <c r="AE815" s="1" t="str">
        <f ca="1">IFERROR(__xludf.DUMMYFUNCTION("""COMPUTED_VALUE"""),"No")</f>
        <v>No</v>
      </c>
      <c r="AF815" s="1"/>
      <c r="AG815" s="1" t="str">
        <f ca="1">IFERROR(__xludf.DUMMYFUNCTION("""COMPUTED_VALUE"""),"No")</f>
        <v>No</v>
      </c>
      <c r="AH815" s="1"/>
    </row>
    <row r="816" spans="1:34" ht="12.5">
      <c r="A816" s="1" t="str">
        <f ca="1">IFERROR(__xludf.DUMMYFUNCTION("""COMPUTED_VALUE"""),"20211004NMSAS")</f>
        <v>20211004NMSAS</v>
      </c>
      <c r="B816" s="1">
        <f ca="1">IFERROR(__xludf.DUMMYFUNCTION("""COMPUTED_VALUE"""),10)</f>
        <v>10</v>
      </c>
      <c r="C816" s="1">
        <f ca="1">IFERROR(__xludf.DUMMYFUNCTION("""COMPUTED_VALUE"""),4)</f>
        <v>4</v>
      </c>
      <c r="D816" s="1">
        <f ca="1">IFERROR(__xludf.DUMMYFUNCTION("""COMPUTED_VALUE"""),2021)</f>
        <v>2021</v>
      </c>
      <c r="E816" s="4">
        <f ca="1">IFERROR(__xludf.DUMMYFUNCTION("""COMPUTED_VALUE"""),44473)</f>
        <v>44473</v>
      </c>
      <c r="F816" s="1" t="str">
        <f ca="1">IFERROR(__xludf.DUMMYFUNCTION("""COMPUTED_VALUE"""),"Santa Fe Indian School")</f>
        <v>Santa Fe Indian School</v>
      </c>
      <c r="G816" s="1">
        <f ca="1">IFERROR(__xludf.DUMMYFUNCTION("""COMPUTED_VALUE"""),0)</f>
        <v>0</v>
      </c>
      <c r="H816" s="1">
        <f ca="1">IFERROR(__xludf.DUMMYFUNCTION("""COMPUTED_VALUE"""),0)</f>
        <v>0</v>
      </c>
      <c r="I816" s="1">
        <f ca="1">IFERROR(__xludf.DUMMYFUNCTION("""COMPUTED_VALUE"""),0)</f>
        <v>0</v>
      </c>
      <c r="J816" s="1">
        <f ca="1">IFERROR(__xludf.DUMMYFUNCTION("""COMPUTED_VALUE"""),0)</f>
        <v>0</v>
      </c>
      <c r="K816" s="1" t="str">
        <f ca="1">IFERROR(__xludf.DUMMYFUNCTION("""COMPUTED_VALUE"""),"Winter")</f>
        <v>Winter</v>
      </c>
      <c r="L816" s="1" t="str">
        <f ca="1">IFERROR(__xludf.DUMMYFUNCTION("""COMPUTED_VALUE"""),"Santa Fe")</f>
        <v>Santa Fe</v>
      </c>
      <c r="M816" s="1" t="str">
        <f ca="1">IFERROR(__xludf.DUMMYFUNCTION("""COMPUTED_VALUE"""),"NM")</f>
        <v>NM</v>
      </c>
      <c r="N816" s="6">
        <f ca="1">IFERROR(__xludf.DUMMYFUNCTION("""COMPUTED_VALUE"""),44724)</f>
        <v>44724</v>
      </c>
      <c r="O816" s="1" t="str">
        <f ca="1">IFERROR(__xludf.DUMMYFUNCTION("""COMPUTED_VALUE"""),"Outside on School Property")</f>
        <v>Outside on School Property</v>
      </c>
      <c r="P816" s="1" t="str">
        <f ca="1">IFERROR(__xludf.DUMMYFUNCTION("""COMPUTED_VALUE"""),"Outside on School Property")</f>
        <v>Outside on School Property</v>
      </c>
      <c r="Q816" s="1" t="str">
        <f ca="1">IFERROR(__xludf.DUMMYFUNCTION("""COMPUTED_VALUE"""),"Yes")</f>
        <v>Yes</v>
      </c>
      <c r="R816" s="1"/>
      <c r="S816" s="1"/>
      <c r="T816" s="1"/>
      <c r="U816" s="1" t="str">
        <f ca="1">IFERROR(__xludf.DUMMYFUNCTION("""COMPUTED_VALUE"""),"Man fired shots and attempted to steal vehicles, arrested on school property")</f>
        <v>Man fired shots and attempted to steal vehicles, arrested on school property</v>
      </c>
      <c r="V816" s="1" t="str">
        <f ca="1">IFERROR(__xludf.DUMMYFUNCTION("""COMPUTED_VALUE"""),"A wanted felon committed multiple crimes in a 12 hour period. He was arrested on school property after firing multiple times and attempting to steal vehicles. Charged for a murder the day prior and 13 other felonies. No students injured.")</f>
        <v>A wanted felon committed multiple crimes in a 12 hour period. He was arrested on school property after firing multiple times and attempting to steal vehicles. Charged for a murder the day prior and 13 other felonies. No students injured.</v>
      </c>
      <c r="W816" s="1" t="str">
        <f ca="1">IFERROR(__xludf.DUMMYFUNCTION("""COMPUTED_VALUE"""),"Illegal Activity")</f>
        <v>Illegal Activity</v>
      </c>
      <c r="X816" s="1" t="str">
        <f ca="1">IFERROR(__xludf.DUMMYFUNCTION("""COMPUTED_VALUE"""),"Random Shooting")</f>
        <v>Random Shooting</v>
      </c>
      <c r="Y816" s="1" t="str">
        <f ca="1">IFERROR(__xludf.DUMMYFUNCTION("""COMPUTED_VALUE"""),"No")</f>
        <v>No</v>
      </c>
      <c r="Z816" s="1"/>
      <c r="AA816" s="1" t="str">
        <f ca="1">IFERROR(__xludf.DUMMYFUNCTION("""COMPUTED_VALUE"""),"No")</f>
        <v>No</v>
      </c>
      <c r="AB816" s="1" t="str">
        <f ca="1">IFERROR(__xludf.DUMMYFUNCTION("""COMPUTED_VALUE"""),"No")</f>
        <v>No</v>
      </c>
      <c r="AC816" s="1" t="str">
        <f ca="1">IFERROR(__xludf.DUMMYFUNCTION("""COMPUTED_VALUE"""),"No")</f>
        <v>No</v>
      </c>
      <c r="AD816" s="1" t="str">
        <f ca="1">IFERROR(__xludf.DUMMYFUNCTION("""COMPUTED_VALUE"""),"No")</f>
        <v>No</v>
      </c>
      <c r="AE816" s="1" t="str">
        <f ca="1">IFERROR(__xludf.DUMMYFUNCTION("""COMPUTED_VALUE"""),"No")</f>
        <v>No</v>
      </c>
      <c r="AF816" s="1" t="str">
        <f ca="1">IFERROR(__xludf.DUMMYFUNCTION("""COMPUTED_VALUE"""),"No")</f>
        <v>No</v>
      </c>
      <c r="AG816" s="1" t="str">
        <f ca="1">IFERROR(__xludf.DUMMYFUNCTION("""COMPUTED_VALUE"""),"No")</f>
        <v>No</v>
      </c>
      <c r="AH816" s="1"/>
    </row>
    <row r="817" spans="1:34" ht="12.5">
      <c r="A817" s="1" t="str">
        <f ca="1">IFERROR(__xludf.DUMMYFUNCTION("""COMPUTED_VALUE"""),"20211004ILLAC")</f>
        <v>20211004ILLAC</v>
      </c>
      <c r="B817" s="1">
        <f ca="1">IFERROR(__xludf.DUMMYFUNCTION("""COMPUTED_VALUE"""),10)</f>
        <v>10</v>
      </c>
      <c r="C817" s="1">
        <f ca="1">IFERROR(__xludf.DUMMYFUNCTION("""COMPUTED_VALUE"""),4)</f>
        <v>4</v>
      </c>
      <c r="D817" s="1">
        <f ca="1">IFERROR(__xludf.DUMMYFUNCTION("""COMPUTED_VALUE"""),2021)</f>
        <v>2021</v>
      </c>
      <c r="E817" s="4">
        <f ca="1">IFERROR(__xludf.DUMMYFUNCTION("""COMPUTED_VALUE"""),44473)</f>
        <v>44473</v>
      </c>
      <c r="F817" s="1" t="str">
        <f ca="1">IFERROR(__xludf.DUMMYFUNCTION("""COMPUTED_VALUE"""),"Lakeview High School")</f>
        <v>Lakeview High School</v>
      </c>
      <c r="G817" s="1">
        <f ca="1">IFERROR(__xludf.DUMMYFUNCTION("""COMPUTED_VALUE"""),0)</f>
        <v>0</v>
      </c>
      <c r="H817" s="1">
        <f ca="1">IFERROR(__xludf.DUMMYFUNCTION("""COMPUTED_VALUE"""),0)</f>
        <v>0</v>
      </c>
      <c r="I817" s="1">
        <f ca="1">IFERROR(__xludf.DUMMYFUNCTION("""COMPUTED_VALUE"""),0)</f>
        <v>0</v>
      </c>
      <c r="J817" s="1">
        <f ca="1">IFERROR(__xludf.DUMMYFUNCTION("""COMPUTED_VALUE"""),0)</f>
        <v>0</v>
      </c>
      <c r="K817" s="1" t="str">
        <f ca="1">IFERROR(__xludf.DUMMYFUNCTION("""COMPUTED_VALUE"""),"Fall")</f>
        <v>Fall</v>
      </c>
      <c r="L817" s="1" t="str">
        <f ca="1">IFERROR(__xludf.DUMMYFUNCTION("""COMPUTED_VALUE"""),"Chicago")</f>
        <v>Chicago</v>
      </c>
      <c r="M817" s="1" t="str">
        <f ca="1">IFERROR(__xludf.DUMMYFUNCTION("""COMPUTED_VALUE"""),"IL")</f>
        <v>IL</v>
      </c>
      <c r="N817" s="1" t="str">
        <f ca="1">IFERROR(__xludf.DUMMYFUNCTION("""COMPUTED_VALUE"""),"High")</f>
        <v>High</v>
      </c>
      <c r="O817" s="1" t="str">
        <f ca="1">IFERROR(__xludf.DUMMYFUNCTION("""COMPUTED_VALUE"""),"Parking Lot")</f>
        <v>Parking Lot</v>
      </c>
      <c r="P817" s="1" t="str">
        <f ca="1">IFERROR(__xludf.DUMMYFUNCTION("""COMPUTED_VALUE"""),"Outside on School Property")</f>
        <v>Outside on School Property</v>
      </c>
      <c r="Q817" s="1"/>
      <c r="R817" s="1"/>
      <c r="S817" s="1"/>
      <c r="T817" s="1">
        <f ca="1">IFERROR(__xludf.DUMMYFUNCTION("""COMPUTED_VALUE"""),1)</f>
        <v>1</v>
      </c>
      <c r="U817" s="1" t="str">
        <f ca="1">IFERROR(__xludf.DUMMYFUNCTION("""COMPUTED_VALUE"""),"Shots fired in school parking lot")</f>
        <v>Shots fired in school parking lot</v>
      </c>
      <c r="V817" s="1" t="str">
        <f ca="1">IFERROR(__xludf.DUMMYFUNCTION("""COMPUTED_VALUE"""),"CCTV footage shows more than 12 shots fired in the school parking lot. No other information available.")</f>
        <v>CCTV footage shows more than 12 shots fired in the school parking lot. No other information available.</v>
      </c>
      <c r="W817" s="1"/>
      <c r="X817" s="1"/>
      <c r="Y817" s="1"/>
      <c r="Z817" s="1"/>
      <c r="AA817" s="1" t="str">
        <f ca="1">IFERROR(__xludf.DUMMYFUNCTION("""COMPUTED_VALUE"""),"No")</f>
        <v>No</v>
      </c>
      <c r="AB817" s="1" t="str">
        <f ca="1">IFERROR(__xludf.DUMMYFUNCTION("""COMPUTED_VALUE"""),"No")</f>
        <v>No</v>
      </c>
      <c r="AC817" s="1" t="str">
        <f ca="1">IFERROR(__xludf.DUMMYFUNCTION("""COMPUTED_VALUE"""),"No")</f>
        <v>No</v>
      </c>
      <c r="AD817" s="1" t="str">
        <f ca="1">IFERROR(__xludf.DUMMYFUNCTION("""COMPUTED_VALUE"""),"No")</f>
        <v>No</v>
      </c>
      <c r="AE817" s="1" t="str">
        <f ca="1">IFERROR(__xludf.DUMMYFUNCTION("""COMPUTED_VALUE"""),"No")</f>
        <v>No</v>
      </c>
      <c r="AF817" s="1"/>
      <c r="AG817" s="1" t="str">
        <f ca="1">IFERROR(__xludf.DUMMYFUNCTION("""COMPUTED_VALUE"""),"No")</f>
        <v>No</v>
      </c>
      <c r="AH817" s="1">
        <f ca="1">IFERROR(__xludf.DUMMYFUNCTION("""COMPUTED_VALUE"""),12)</f>
        <v>12</v>
      </c>
    </row>
    <row r="818" spans="1:34" ht="12.5">
      <c r="A818" s="1" t="str">
        <f ca="1">IFERROR(__xludf.DUMMYFUNCTION("""COMPUTED_VALUE"""),"20211001TXYEH")</f>
        <v>20211001TXYEH</v>
      </c>
      <c r="B818" s="1">
        <f ca="1">IFERROR(__xludf.DUMMYFUNCTION("""COMPUTED_VALUE"""),10)</f>
        <v>10</v>
      </c>
      <c r="C818" s="1">
        <f ca="1">IFERROR(__xludf.DUMMYFUNCTION("""COMPUTED_VALUE"""),1)</f>
        <v>1</v>
      </c>
      <c r="D818" s="1">
        <f ca="1">IFERROR(__xludf.DUMMYFUNCTION("""COMPUTED_VALUE"""),2021)</f>
        <v>2021</v>
      </c>
      <c r="E818" s="4">
        <f ca="1">IFERROR(__xludf.DUMMYFUNCTION("""COMPUTED_VALUE"""),44470)</f>
        <v>44470</v>
      </c>
      <c r="F818" s="1" t="str">
        <f ca="1">IFERROR(__xludf.DUMMYFUNCTION("""COMPUTED_VALUE"""),"YES Prep")</f>
        <v>YES Prep</v>
      </c>
      <c r="G818" s="1">
        <f ca="1">IFERROR(__xludf.DUMMYFUNCTION("""COMPUTED_VALUE"""),0)</f>
        <v>0</v>
      </c>
      <c r="H818" s="1">
        <f ca="1">IFERROR(__xludf.DUMMYFUNCTION("""COMPUTED_VALUE"""),1)</f>
        <v>1</v>
      </c>
      <c r="I818" s="1">
        <f ca="1">IFERROR(__xludf.DUMMYFUNCTION("""COMPUTED_VALUE"""),1)</f>
        <v>1</v>
      </c>
      <c r="J818" s="1">
        <f ca="1">IFERROR(__xludf.DUMMYFUNCTION("""COMPUTED_VALUE"""),0)</f>
        <v>0</v>
      </c>
      <c r="K818" s="1" t="str">
        <f ca="1">IFERROR(__xludf.DUMMYFUNCTION("""COMPUTED_VALUE"""),"Fall")</f>
        <v>Fall</v>
      </c>
      <c r="L818" s="1" t="str">
        <f ca="1">IFERROR(__xludf.DUMMYFUNCTION("""COMPUTED_VALUE"""),"Houston")</f>
        <v>Houston</v>
      </c>
      <c r="M818" s="1" t="str">
        <f ca="1">IFERROR(__xludf.DUMMYFUNCTION("""COMPUTED_VALUE"""),"TX")</f>
        <v>TX</v>
      </c>
      <c r="N818" s="1" t="str">
        <f ca="1">IFERROR(__xludf.DUMMYFUNCTION("""COMPUTED_VALUE"""),"High")</f>
        <v>High</v>
      </c>
      <c r="O818" s="1" t="str">
        <f ca="1">IFERROR(__xludf.DUMMYFUNCTION("""COMPUTED_VALUE"""),"Entryway")</f>
        <v>Entryway</v>
      </c>
      <c r="P818" s="1" t="str">
        <f ca="1">IFERROR(__xludf.DUMMYFUNCTION("""COMPUTED_VALUE"""),"Inside School Building")</f>
        <v>Inside School Building</v>
      </c>
      <c r="Q818" s="1" t="str">
        <f ca="1">IFERROR(__xludf.DUMMYFUNCTION("""COMPUTED_VALUE"""),"Yes")</f>
        <v>Yes</v>
      </c>
      <c r="R818" s="1" t="str">
        <f ca="1">IFERROR(__xludf.DUMMYFUNCTION("""COMPUTED_VALUE"""),"Morning Classes")</f>
        <v>Morning Classes</v>
      </c>
      <c r="S818" s="5">
        <f ca="1">IFERROR(__xludf.DUMMYFUNCTION("""COMPUTED_VALUE"""),0.489583333333333)</f>
        <v>0.48958333333333298</v>
      </c>
      <c r="T818" s="1"/>
      <c r="U818" s="1" t="str">
        <f ca="1">IFERROR(__xludf.DUMMYFUNCTION("""COMPUTED_VALUE"""),"Former student attacked school targeting specific staff member")</f>
        <v>Former student attacked school targeting specific staff member</v>
      </c>
      <c r="V818" s="1" t="str">
        <f ca="1">IFERROR(__xludf.DUMMYFUNCTION("""COMPUTED_VALUE"""),"A 25-year-old male former student, armed with a rifle, tried to open locked doors and then fired shots to break the glass front door. He then fired shots at the school principal. Family reported he had a history of mental illness and was hearing voices at"&amp;" the time of the shooting. Shooter admitted shooting to police and said that the principal was not his target, he was looking for another staff member. Shooter surrendered when officers arrived. No students were injured. School was locked down and then ev"&amp;"acuated. Principal was transported to hospital with graze wound to the back. Classes cancelled for next 3 days.")</f>
        <v>A 25-year-old male former student, armed with a rifle, tried to open locked doors and then fired shots to break the glass front door. He then fired shots at the school principal. Family reported he had a history of mental illness and was hearing voices at the time of the shooting. Shooter admitted shooting to police and said that the principal was not his target, he was looking for another staff member. Shooter surrendered when officers arrived. No students were injured. School was locked down and then evacuated. Principal was transported to hospital with graze wound to the back. Classes cancelled for next 3 days.</v>
      </c>
      <c r="W818" s="1" t="str">
        <f ca="1">IFERROR(__xludf.DUMMYFUNCTION("""COMPUTED_VALUE"""),"Psychosis")</f>
        <v>Psychosis</v>
      </c>
      <c r="X818" s="1" t="str">
        <f ca="1">IFERROR(__xludf.DUMMYFUNCTION("""COMPUTED_VALUE"""),"Both")</f>
        <v>Both</v>
      </c>
      <c r="Y818" s="1" t="str">
        <f ca="1">IFERROR(__xludf.DUMMYFUNCTION("""COMPUTED_VALUE"""),"No")</f>
        <v>No</v>
      </c>
      <c r="Z818" s="1" t="str">
        <f ca="1">IFERROR(__xludf.DUMMYFUNCTION("""COMPUTED_VALUE"""),"No")</f>
        <v>No</v>
      </c>
      <c r="AA818" s="1" t="str">
        <f ca="1">IFERROR(__xludf.DUMMYFUNCTION("""COMPUTED_VALUE"""),"No")</f>
        <v>No</v>
      </c>
      <c r="AB818" s="1" t="str">
        <f ca="1">IFERROR(__xludf.DUMMYFUNCTION("""COMPUTED_VALUE"""),"No")</f>
        <v>No</v>
      </c>
      <c r="AC818" s="1" t="str">
        <f ca="1">IFERROR(__xludf.DUMMYFUNCTION("""COMPUTED_VALUE"""),"No")</f>
        <v>No</v>
      </c>
      <c r="AD818" s="1" t="str">
        <f ca="1">IFERROR(__xludf.DUMMYFUNCTION("""COMPUTED_VALUE"""),"No")</f>
        <v>No</v>
      </c>
      <c r="AE818" s="1" t="str">
        <f ca="1">IFERROR(__xludf.DUMMYFUNCTION("""COMPUTED_VALUE"""),"No")</f>
        <v>No</v>
      </c>
      <c r="AF818" s="1" t="str">
        <f ca="1">IFERROR(__xludf.DUMMYFUNCTION("""COMPUTED_VALUE"""),"No")</f>
        <v>No</v>
      </c>
      <c r="AG818" s="1" t="str">
        <f ca="1">IFERROR(__xludf.DUMMYFUNCTION("""COMPUTED_VALUE"""),"Yes")</f>
        <v>Yes</v>
      </c>
      <c r="AH818" s="1">
        <f ca="1">IFERROR(__xludf.DUMMYFUNCTION("""COMPUTED_VALUE"""),4)</f>
        <v>4</v>
      </c>
    </row>
    <row r="819" spans="1:34" ht="12.5">
      <c r="A819" s="1" t="str">
        <f ca="1">IFERROR(__xludf.DUMMYFUNCTION("""COMPUTED_VALUE"""),"20211001NJCHC")</f>
        <v>20211001NJCHC</v>
      </c>
      <c r="B819" s="1">
        <f ca="1">IFERROR(__xludf.DUMMYFUNCTION("""COMPUTED_VALUE"""),10)</f>
        <v>10</v>
      </c>
      <c r="C819" s="1">
        <f ca="1">IFERROR(__xludf.DUMMYFUNCTION("""COMPUTED_VALUE"""),1)</f>
        <v>1</v>
      </c>
      <c r="D819" s="1">
        <f ca="1">IFERROR(__xludf.DUMMYFUNCTION("""COMPUTED_VALUE"""),2021)</f>
        <v>2021</v>
      </c>
      <c r="E819" s="4">
        <f ca="1">IFERROR(__xludf.DUMMYFUNCTION("""COMPUTED_VALUE"""),44470)</f>
        <v>44470</v>
      </c>
      <c r="F819" s="1" t="str">
        <f ca="1">IFERROR(__xludf.DUMMYFUNCTION("""COMPUTED_VALUE"""),"Cherry Hill West High School")</f>
        <v>Cherry Hill West High School</v>
      </c>
      <c r="G819" s="1">
        <f ca="1">IFERROR(__xludf.DUMMYFUNCTION("""COMPUTED_VALUE"""),0)</f>
        <v>0</v>
      </c>
      <c r="H819" s="1">
        <f ca="1">IFERROR(__xludf.DUMMYFUNCTION("""COMPUTED_VALUE"""),0)</f>
        <v>0</v>
      </c>
      <c r="I819" s="1">
        <f ca="1">IFERROR(__xludf.DUMMYFUNCTION("""COMPUTED_VALUE"""),0)</f>
        <v>0</v>
      </c>
      <c r="J819" s="1">
        <f ca="1">IFERROR(__xludf.DUMMYFUNCTION("""COMPUTED_VALUE"""),0)</f>
        <v>0</v>
      </c>
      <c r="K819" s="1" t="str">
        <f ca="1">IFERROR(__xludf.DUMMYFUNCTION("""COMPUTED_VALUE"""),"Fall")</f>
        <v>Fall</v>
      </c>
      <c r="L819" s="1" t="str">
        <f ca="1">IFERROR(__xludf.DUMMYFUNCTION("""COMPUTED_VALUE"""),"Cherry Hill")</f>
        <v>Cherry Hill</v>
      </c>
      <c r="M819" s="1" t="str">
        <f ca="1">IFERROR(__xludf.DUMMYFUNCTION("""COMPUTED_VALUE"""),"NJ")</f>
        <v>NJ</v>
      </c>
      <c r="N819" s="1" t="str">
        <f ca="1">IFERROR(__xludf.DUMMYFUNCTION("""COMPUTED_VALUE"""),"High")</f>
        <v>High</v>
      </c>
      <c r="O819" s="1" t="str">
        <f ca="1">IFERROR(__xludf.DUMMYFUNCTION("""COMPUTED_VALUE"""),"Football Field/Track")</f>
        <v>Football Field/Track</v>
      </c>
      <c r="P819" s="1" t="str">
        <f ca="1">IFERROR(__xludf.DUMMYFUNCTION("""COMPUTED_VALUE"""),"Off School Property")</f>
        <v>Off School Property</v>
      </c>
      <c r="Q819" s="1" t="str">
        <f ca="1">IFERROR(__xludf.DUMMYFUNCTION("""COMPUTED_VALUE"""),"No")</f>
        <v>No</v>
      </c>
      <c r="R819" s="1" t="str">
        <f ca="1">IFERROR(__xludf.DUMMYFUNCTION("""COMPUTED_VALUE"""),"Sport Event")</f>
        <v>Sport Event</v>
      </c>
      <c r="S819" s="5">
        <f ca="1">IFERROR(__xludf.DUMMYFUNCTION("""COMPUTED_VALUE"""),0.864583333333333)</f>
        <v>0.86458333333333304</v>
      </c>
      <c r="T819" s="1">
        <f ca="1">IFERROR(__xludf.DUMMYFUNCTION("""COMPUTED_VALUE"""),1)</f>
        <v>1</v>
      </c>
      <c r="U819" s="1" t="str">
        <f ca="1">IFERROR(__xludf.DUMMYFUNCTION("""COMPUTED_VALUE"""),"Male fired 8 shots at the football stadium stands then fled")</f>
        <v>Male fired 8 shots at the football stadium stands then fled</v>
      </c>
      <c r="V819" s="1" t="str">
        <f ca="1">IFERROR(__xludf.DUMMYFUNCTION("""COMPUTED_VALUE"""),"An unidentified male fired 8 shots from outside the stadium in the direction of the football stadium visitor side stands and then fled. No one was struck. Police recovered shell casings.")</f>
        <v>An unidentified male fired 8 shots from outside the stadium in the direction of the football stadium visitor side stands and then fled. No one was struck. Police recovered shell casings.</v>
      </c>
      <c r="W819" s="1" t="str">
        <f ca="1">IFERROR(__xludf.DUMMYFUNCTION("""COMPUTED_VALUE"""),"Indiscriminate Shooting")</f>
        <v>Indiscriminate Shooting</v>
      </c>
      <c r="X819" s="1" t="str">
        <f ca="1">IFERROR(__xludf.DUMMYFUNCTION("""COMPUTED_VALUE"""),"Random Shooting")</f>
        <v>Random Shooting</v>
      </c>
      <c r="Y819" s="1" t="str">
        <f ca="1">IFERROR(__xludf.DUMMYFUNCTION("""COMPUTED_VALUE"""),"No")</f>
        <v>No</v>
      </c>
      <c r="Z819" s="1"/>
      <c r="AA819" s="1" t="str">
        <f ca="1">IFERROR(__xludf.DUMMYFUNCTION("""COMPUTED_VALUE"""),"No")</f>
        <v>No</v>
      </c>
      <c r="AB819" s="1" t="str">
        <f ca="1">IFERROR(__xludf.DUMMYFUNCTION("""COMPUTED_VALUE"""),"No")</f>
        <v>No</v>
      </c>
      <c r="AC819" s="1" t="str">
        <f ca="1">IFERROR(__xludf.DUMMYFUNCTION("""COMPUTED_VALUE"""),"No")</f>
        <v>No</v>
      </c>
      <c r="AD819" s="1" t="str">
        <f ca="1">IFERROR(__xludf.DUMMYFUNCTION("""COMPUTED_VALUE"""),"No")</f>
        <v>No</v>
      </c>
      <c r="AE819" s="1" t="str">
        <f ca="1">IFERROR(__xludf.DUMMYFUNCTION("""COMPUTED_VALUE"""),"No")</f>
        <v>No</v>
      </c>
      <c r="AF819" s="1"/>
      <c r="AG819" s="1" t="str">
        <f ca="1">IFERROR(__xludf.DUMMYFUNCTION("""COMPUTED_VALUE"""),"No")</f>
        <v>No</v>
      </c>
      <c r="AH819" s="1">
        <f ca="1">IFERROR(__xludf.DUMMYFUNCTION("""COMPUTED_VALUE"""),8)</f>
        <v>8</v>
      </c>
    </row>
    <row r="820" spans="1:34" ht="12.5">
      <c r="A820" s="1" t="str">
        <f ca="1">IFERROR(__xludf.DUMMYFUNCTION("""COMPUTED_VALUE"""),"20211001NCSEF")</f>
        <v>20211001NCSEF</v>
      </c>
      <c r="B820" s="1">
        <f ca="1">IFERROR(__xludf.DUMMYFUNCTION("""COMPUTED_VALUE"""),10)</f>
        <v>10</v>
      </c>
      <c r="C820" s="1">
        <f ca="1">IFERROR(__xludf.DUMMYFUNCTION("""COMPUTED_VALUE"""),1)</f>
        <v>1</v>
      </c>
      <c r="D820" s="1">
        <f ca="1">IFERROR(__xludf.DUMMYFUNCTION("""COMPUTED_VALUE"""),2021)</f>
        <v>2021</v>
      </c>
      <c r="E820" s="4">
        <f ca="1">IFERROR(__xludf.DUMMYFUNCTION("""COMPUTED_VALUE"""),44470)</f>
        <v>44470</v>
      </c>
      <c r="F820" s="1" t="str">
        <f ca="1">IFERROR(__xludf.DUMMYFUNCTION("""COMPUTED_VALUE"""),"Seventy-First High School")</f>
        <v>Seventy-First High School</v>
      </c>
      <c r="G820" s="1">
        <f ca="1">IFERROR(__xludf.DUMMYFUNCTION("""COMPUTED_VALUE"""),0)</f>
        <v>0</v>
      </c>
      <c r="H820" s="1">
        <f ca="1">IFERROR(__xludf.DUMMYFUNCTION("""COMPUTED_VALUE"""),2)</f>
        <v>2</v>
      </c>
      <c r="I820" s="1">
        <f ca="1">IFERROR(__xludf.DUMMYFUNCTION("""COMPUTED_VALUE"""),2)</f>
        <v>2</v>
      </c>
      <c r="J820" s="1">
        <f ca="1">IFERROR(__xludf.DUMMYFUNCTION("""COMPUTED_VALUE"""),0)</f>
        <v>0</v>
      </c>
      <c r="K820" s="1" t="str">
        <f ca="1">IFERROR(__xludf.DUMMYFUNCTION("""COMPUTED_VALUE"""),"Fall")</f>
        <v>Fall</v>
      </c>
      <c r="L820" s="1" t="str">
        <f ca="1">IFERROR(__xludf.DUMMYFUNCTION("""COMPUTED_VALUE"""),"Fayetteville")</f>
        <v>Fayetteville</v>
      </c>
      <c r="M820" s="1" t="str">
        <f ca="1">IFERROR(__xludf.DUMMYFUNCTION("""COMPUTED_VALUE"""),"NC")</f>
        <v>NC</v>
      </c>
      <c r="N820" s="1" t="str">
        <f ca="1">IFERROR(__xludf.DUMMYFUNCTION("""COMPUTED_VALUE"""),"High")</f>
        <v>High</v>
      </c>
      <c r="O820" s="1" t="str">
        <f ca="1">IFERROR(__xludf.DUMMYFUNCTION("""COMPUTED_VALUE"""),"Parking Lot")</f>
        <v>Parking Lot</v>
      </c>
      <c r="P820" s="1" t="str">
        <f ca="1">IFERROR(__xludf.DUMMYFUNCTION("""COMPUTED_VALUE"""),"Outside on School Property")</f>
        <v>Outside on School Property</v>
      </c>
      <c r="Q820" s="1" t="str">
        <f ca="1">IFERROR(__xludf.DUMMYFUNCTION("""COMPUTED_VALUE"""),"No")</f>
        <v>No</v>
      </c>
      <c r="R820" s="1" t="str">
        <f ca="1">IFERROR(__xludf.DUMMYFUNCTION("""COMPUTED_VALUE"""),"Sport Event")</f>
        <v>Sport Event</v>
      </c>
      <c r="S820" s="5">
        <f ca="1">IFERROR(__xludf.DUMMYFUNCTION("""COMPUTED_VALUE"""),0.916666666666666)</f>
        <v>0.91666666666666596</v>
      </c>
      <c r="T820" s="1">
        <f ca="1">IFERROR(__xludf.DUMMYFUNCTION("""COMPUTED_VALUE"""),1)</f>
        <v>1</v>
      </c>
      <c r="U820" s="1" t="str">
        <f ca="1">IFERROR(__xludf.DUMMYFUNCTION("""COMPUTED_VALUE"""),"Two teens shot in parking lot following football game")</f>
        <v>Two teens shot in parking lot following football game</v>
      </c>
      <c r="V820" s="1" t="str">
        <f ca="1">IFERROR(__xludf.DUMMYFUNCTION("""COMPUTED_VALUE"""),"A 19-year-old and 18-year-old were shot in the parking lot following the high school football game. A vehicle was also struck. Shooter fled. The following day, a 15-year-old was arrested for threating a mass shooting at the school in retaliation for the s"&amp;"hooting.")</f>
        <v>A 19-year-old and 18-year-old were shot in the parking lot following the high school football game. A vehicle was also struck. Shooter fled. The following day, a 15-year-old was arrested for threating a mass shooting at the school in retaliation for the shooting.</v>
      </c>
      <c r="W820" s="1" t="str">
        <f ca="1">IFERROR(__xludf.DUMMYFUNCTION("""COMPUTED_VALUE"""),"Escalation of Dispute")</f>
        <v>Escalation of Dispute</v>
      </c>
      <c r="X820" s="1" t="str">
        <f ca="1">IFERROR(__xludf.DUMMYFUNCTION("""COMPUTED_VALUE"""),"Victims Targeted")</f>
        <v>Victims Targeted</v>
      </c>
      <c r="Y820" s="1" t="str">
        <f ca="1">IFERROR(__xludf.DUMMYFUNCTION("""COMPUTED_VALUE"""),"No")</f>
        <v>No</v>
      </c>
      <c r="Z820" s="1"/>
      <c r="AA820" s="1" t="str">
        <f ca="1">IFERROR(__xludf.DUMMYFUNCTION("""COMPUTED_VALUE"""),"No")</f>
        <v>No</v>
      </c>
      <c r="AB820" s="1" t="str">
        <f ca="1">IFERROR(__xludf.DUMMYFUNCTION("""COMPUTED_VALUE"""),"No")</f>
        <v>No</v>
      </c>
      <c r="AC820" s="1" t="str">
        <f ca="1">IFERROR(__xludf.DUMMYFUNCTION("""COMPUTED_VALUE"""),"No")</f>
        <v>No</v>
      </c>
      <c r="AD820" s="1" t="str">
        <f ca="1">IFERROR(__xludf.DUMMYFUNCTION("""COMPUTED_VALUE"""),"No")</f>
        <v>No</v>
      </c>
      <c r="AE820" s="1" t="str">
        <f ca="1">IFERROR(__xludf.DUMMYFUNCTION("""COMPUTED_VALUE"""),"No")</f>
        <v>No</v>
      </c>
      <c r="AF820" s="1" t="str">
        <f ca="1">IFERROR(__xludf.DUMMYFUNCTION("""COMPUTED_VALUE"""),"Yes")</f>
        <v>Yes</v>
      </c>
      <c r="AG820" s="1" t="str">
        <f ca="1">IFERROR(__xludf.DUMMYFUNCTION("""COMPUTED_VALUE"""),"No")</f>
        <v>No</v>
      </c>
      <c r="AH820" s="1"/>
    </row>
    <row r="821" spans="1:34" ht="12.5">
      <c r="A821" s="1" t="str">
        <f ca="1">IFERROR(__xludf.DUMMYFUNCTION("""COMPUTED_VALUE"""),"20211001NCNOD")</f>
        <v>20211001NCNOD</v>
      </c>
      <c r="B821" s="1">
        <f ca="1">IFERROR(__xludf.DUMMYFUNCTION("""COMPUTED_VALUE"""),10)</f>
        <v>10</v>
      </c>
      <c r="C821" s="1">
        <f ca="1">IFERROR(__xludf.DUMMYFUNCTION("""COMPUTED_VALUE"""),1)</f>
        <v>1</v>
      </c>
      <c r="D821" s="1">
        <f ca="1">IFERROR(__xludf.DUMMYFUNCTION("""COMPUTED_VALUE"""),2021)</f>
        <v>2021</v>
      </c>
      <c r="E821" s="4">
        <f ca="1">IFERROR(__xludf.DUMMYFUNCTION("""COMPUTED_VALUE"""),44470)</f>
        <v>44470</v>
      </c>
      <c r="F821" s="1" t="str">
        <f ca="1">IFERROR(__xludf.DUMMYFUNCTION("""COMPUTED_VALUE"""),"Northern High School")</f>
        <v>Northern High School</v>
      </c>
      <c r="G821" s="1">
        <f ca="1">IFERROR(__xludf.DUMMYFUNCTION("""COMPUTED_VALUE"""),0)</f>
        <v>0</v>
      </c>
      <c r="H821" s="1">
        <f ca="1">IFERROR(__xludf.DUMMYFUNCTION("""COMPUTED_VALUE"""),1)</f>
        <v>1</v>
      </c>
      <c r="I821" s="1">
        <f ca="1">IFERROR(__xludf.DUMMYFUNCTION("""COMPUTED_VALUE"""),1)</f>
        <v>1</v>
      </c>
      <c r="J821" s="1">
        <f ca="1">IFERROR(__xludf.DUMMYFUNCTION("""COMPUTED_VALUE"""),0)</f>
        <v>0</v>
      </c>
      <c r="K821" s="1" t="str">
        <f ca="1">IFERROR(__xludf.DUMMYFUNCTION("""COMPUTED_VALUE"""),"Fall")</f>
        <v>Fall</v>
      </c>
      <c r="L821" s="1" t="str">
        <f ca="1">IFERROR(__xludf.DUMMYFUNCTION("""COMPUTED_VALUE"""),"Durham")</f>
        <v>Durham</v>
      </c>
      <c r="M821" s="1" t="str">
        <f ca="1">IFERROR(__xludf.DUMMYFUNCTION("""COMPUTED_VALUE"""),"NC")</f>
        <v>NC</v>
      </c>
      <c r="N821" s="1" t="str">
        <f ca="1">IFERROR(__xludf.DUMMYFUNCTION("""COMPUTED_VALUE"""),"High")</f>
        <v>High</v>
      </c>
      <c r="O821" s="1" t="str">
        <f ca="1">IFERROR(__xludf.DUMMYFUNCTION("""COMPUTED_VALUE"""),"Football Field/Track")</f>
        <v>Football Field/Track</v>
      </c>
      <c r="P821" s="1" t="str">
        <f ca="1">IFERROR(__xludf.DUMMYFUNCTION("""COMPUTED_VALUE"""),"Outside on School Property")</f>
        <v>Outside on School Property</v>
      </c>
      <c r="Q821" s="1" t="str">
        <f ca="1">IFERROR(__xludf.DUMMYFUNCTION("""COMPUTED_VALUE"""),"No")</f>
        <v>No</v>
      </c>
      <c r="R821" s="1" t="str">
        <f ca="1">IFERROR(__xludf.DUMMYFUNCTION("""COMPUTED_VALUE"""),"Sport Event")</f>
        <v>Sport Event</v>
      </c>
      <c r="S821" s="5">
        <f ca="1">IFERROR(__xludf.DUMMYFUNCTION("""COMPUTED_VALUE"""),0.904166666666666)</f>
        <v>0.90416666666666601</v>
      </c>
      <c r="T821" s="1">
        <f ca="1">IFERROR(__xludf.DUMMYFUNCTION("""COMPUTED_VALUE"""),1)</f>
        <v>1</v>
      </c>
      <c r="U821" s="1" t="str">
        <f ca="1">IFERROR(__xludf.DUMMYFUNCTION("""COMPUTED_VALUE"""),"Vehicle drove onto grass near stadium and fired 10-15 shots as crowd was exiting")</f>
        <v>Vehicle drove onto grass near stadium and fired 10-15 shots as crowd was exiting</v>
      </c>
      <c r="V821" s="1" t="str">
        <f ca="1">IFERROR(__xludf.DUMMYFUNCTION("""COMPUTED_VALUE"""),"A vehicle drove onto the grass near the stadium exit and fired 10-15 shots as fans were exiting. A 17-year-old was wounded and multiple vehicle were struck. Shooter fled.")</f>
        <v>A vehicle drove onto the grass near the stadium exit and fired 10-15 shots as fans were exiting. A 17-year-old was wounded and multiple vehicle were struck. Shooter fled.</v>
      </c>
      <c r="W821" s="1" t="str">
        <f ca="1">IFERROR(__xludf.DUMMYFUNCTION("""COMPUTED_VALUE"""),"Drive-by Shooting")</f>
        <v>Drive-by Shooting</v>
      </c>
      <c r="X821" s="1" t="str">
        <f ca="1">IFERROR(__xludf.DUMMYFUNCTION("""COMPUTED_VALUE"""),"Random Shooting")</f>
        <v>Random Shooting</v>
      </c>
      <c r="Y821" s="1"/>
      <c r="Z821" s="1"/>
      <c r="AA821" s="1" t="str">
        <f ca="1">IFERROR(__xludf.DUMMYFUNCTION("""COMPUTED_VALUE"""),"No")</f>
        <v>No</v>
      </c>
      <c r="AB821" s="1" t="str">
        <f ca="1">IFERROR(__xludf.DUMMYFUNCTION("""COMPUTED_VALUE"""),"No")</f>
        <v>No</v>
      </c>
      <c r="AC821" s="1" t="str">
        <f ca="1">IFERROR(__xludf.DUMMYFUNCTION("""COMPUTED_VALUE"""),"No")</f>
        <v>No</v>
      </c>
      <c r="AD821" s="1" t="str">
        <f ca="1">IFERROR(__xludf.DUMMYFUNCTION("""COMPUTED_VALUE"""),"No")</f>
        <v>No</v>
      </c>
      <c r="AE821" s="1" t="str">
        <f ca="1">IFERROR(__xludf.DUMMYFUNCTION("""COMPUTED_VALUE"""),"No")</f>
        <v>No</v>
      </c>
      <c r="AF821" s="1"/>
      <c r="AG821" s="1" t="str">
        <f ca="1">IFERROR(__xludf.DUMMYFUNCTION("""COMPUTED_VALUE"""),"No")</f>
        <v>No</v>
      </c>
      <c r="AH821" s="1">
        <f ca="1">IFERROR(__xludf.DUMMYFUNCTION("""COMPUTED_VALUE"""),15)</f>
        <v>15</v>
      </c>
    </row>
    <row r="822" spans="1:34" ht="12.5">
      <c r="A822" s="1" t="str">
        <f ca="1">IFERROR(__xludf.DUMMYFUNCTION("""COMPUTED_VALUE"""),"20211001INBEI")</f>
        <v>20211001INBEI</v>
      </c>
      <c r="B822" s="1">
        <f ca="1">IFERROR(__xludf.DUMMYFUNCTION("""COMPUTED_VALUE"""),10)</f>
        <v>10</v>
      </c>
      <c r="C822" s="1">
        <f ca="1">IFERROR(__xludf.DUMMYFUNCTION("""COMPUTED_VALUE"""),1)</f>
        <v>1</v>
      </c>
      <c r="D822" s="1">
        <f ca="1">IFERROR(__xludf.DUMMYFUNCTION("""COMPUTED_VALUE"""),2021)</f>
        <v>2021</v>
      </c>
      <c r="E822" s="4">
        <f ca="1">IFERROR(__xludf.DUMMYFUNCTION("""COMPUTED_VALUE"""),44470)</f>
        <v>44470</v>
      </c>
      <c r="F822" s="1" t="str">
        <f ca="1">IFERROR(__xludf.DUMMYFUNCTION("""COMPUTED_VALUE"""),"Ben Davis High School")</f>
        <v>Ben Davis High School</v>
      </c>
      <c r="G822" s="1">
        <f ca="1">IFERROR(__xludf.DUMMYFUNCTION("""COMPUTED_VALUE"""),0)</f>
        <v>0</v>
      </c>
      <c r="H822" s="1">
        <f ca="1">IFERROR(__xludf.DUMMYFUNCTION("""COMPUTED_VALUE"""),1)</f>
        <v>1</v>
      </c>
      <c r="I822" s="1">
        <f ca="1">IFERROR(__xludf.DUMMYFUNCTION("""COMPUTED_VALUE"""),1)</f>
        <v>1</v>
      </c>
      <c r="J822" s="1">
        <f ca="1">IFERROR(__xludf.DUMMYFUNCTION("""COMPUTED_VALUE"""),0)</f>
        <v>0</v>
      </c>
      <c r="K822" s="1" t="str">
        <f ca="1">IFERROR(__xludf.DUMMYFUNCTION("""COMPUTED_VALUE"""),"Fall")</f>
        <v>Fall</v>
      </c>
      <c r="L822" s="1" t="str">
        <f ca="1">IFERROR(__xludf.DUMMYFUNCTION("""COMPUTED_VALUE"""),"Indianapolis")</f>
        <v>Indianapolis</v>
      </c>
      <c r="M822" s="1" t="str">
        <f ca="1">IFERROR(__xludf.DUMMYFUNCTION("""COMPUTED_VALUE"""),"IN")</f>
        <v>IN</v>
      </c>
      <c r="N822" s="1" t="str">
        <f ca="1">IFERROR(__xludf.DUMMYFUNCTION("""COMPUTED_VALUE"""),"High")</f>
        <v>High</v>
      </c>
      <c r="O822" s="1" t="str">
        <f ca="1">IFERROR(__xludf.DUMMYFUNCTION("""COMPUTED_VALUE"""),"Football Field/Track")</f>
        <v>Football Field/Track</v>
      </c>
      <c r="P822" s="1" t="str">
        <f ca="1">IFERROR(__xludf.DUMMYFUNCTION("""COMPUTED_VALUE"""),"Outside on School Property")</f>
        <v>Outside on School Property</v>
      </c>
      <c r="Q822" s="1" t="str">
        <f ca="1">IFERROR(__xludf.DUMMYFUNCTION("""COMPUTED_VALUE"""),"No")</f>
        <v>No</v>
      </c>
      <c r="R822" s="1" t="str">
        <f ca="1">IFERROR(__xludf.DUMMYFUNCTION("""COMPUTED_VALUE"""),"Sport Event")</f>
        <v>Sport Event</v>
      </c>
      <c r="S822" s="5">
        <f ca="1">IFERROR(__xludf.DUMMYFUNCTION("""COMPUTED_VALUE"""),0.875)</f>
        <v>0.875</v>
      </c>
      <c r="T822" s="1">
        <f ca="1">IFERROR(__xludf.DUMMYFUNCTION("""COMPUTED_VALUE"""),1)</f>
        <v>1</v>
      </c>
      <c r="U822" s="1" t="str">
        <f ca="1">IFERROR(__xludf.DUMMYFUNCTION("""COMPUTED_VALUE"""),"Teen shot by another teen at the stadium gate during a football game")</f>
        <v>Teen shot by another teen at the stadium gate during a football game</v>
      </c>
      <c r="V822" s="1" t="str">
        <f ca="1">IFERROR(__xludf.DUMMYFUNCTION("""COMPUTED_VALUE"""),"An 18-year-old teen shot a 16-year-old teen need the gate to the football stadium. 5-6 shots were fired. Players ran off the field and the stands were evacuated. Game was televised and the shots could be heard on the TV broadcast. Police said neither were"&amp;" students at the school. Stadium had metal detectors, shooting occurred by the ticket office before the screening. The shooter fled and was chased by campus police. He was arrested near the campus. Shooter involved in two prior shootings in area and other"&amp;" violent incidents.")</f>
        <v>An 18-year-old teen shot a 16-year-old teen need the gate to the football stadium. 5-6 shots were fired. Players ran off the field and the stands were evacuated. Game was televised and the shots could be heard on the TV broadcast. Police said neither were students at the school. Stadium had metal detectors, shooting occurred by the ticket office before the screening. The shooter fled and was chased by campus police. He was arrested near the campus. Shooter involved in two prior shootings in area and other violent incidents.</v>
      </c>
      <c r="W822" s="1" t="str">
        <f ca="1">IFERROR(__xludf.DUMMYFUNCTION("""COMPUTED_VALUE"""),"Illegal Activity")</f>
        <v>Illegal Activity</v>
      </c>
      <c r="X822" s="1" t="str">
        <f ca="1">IFERROR(__xludf.DUMMYFUNCTION("""COMPUTED_VALUE"""),"Victims Targeted")</f>
        <v>Victims Targeted</v>
      </c>
      <c r="Y822" s="1" t="str">
        <f ca="1">IFERROR(__xludf.DUMMYFUNCTION("""COMPUTED_VALUE"""),"No")</f>
        <v>No</v>
      </c>
      <c r="Z822" s="1"/>
      <c r="AA822" s="1" t="str">
        <f ca="1">IFERROR(__xludf.DUMMYFUNCTION("""COMPUTED_VALUE"""),"No")</f>
        <v>No</v>
      </c>
      <c r="AB822" s="1" t="str">
        <f ca="1">IFERROR(__xludf.DUMMYFUNCTION("""COMPUTED_VALUE"""),"No")</f>
        <v>No</v>
      </c>
      <c r="AC822" s="1" t="str">
        <f ca="1">IFERROR(__xludf.DUMMYFUNCTION("""COMPUTED_VALUE"""),"No")</f>
        <v>No</v>
      </c>
      <c r="AD822" s="1" t="str">
        <f ca="1">IFERROR(__xludf.DUMMYFUNCTION("""COMPUTED_VALUE"""),"No")</f>
        <v>No</v>
      </c>
      <c r="AE822" s="1" t="str">
        <f ca="1">IFERROR(__xludf.DUMMYFUNCTION("""COMPUTED_VALUE"""),"No")</f>
        <v>No</v>
      </c>
      <c r="AF822" s="1"/>
      <c r="AG822" s="1" t="str">
        <f ca="1">IFERROR(__xludf.DUMMYFUNCTION("""COMPUTED_VALUE"""),"No")</f>
        <v>No</v>
      </c>
      <c r="AH822" s="1">
        <f ca="1">IFERROR(__xludf.DUMMYFUNCTION("""COMPUTED_VALUE"""),6)</f>
        <v>6</v>
      </c>
    </row>
    <row r="823" spans="1:34" ht="12.5">
      <c r="A823" s="1" t="str">
        <f ca="1">IFERROR(__xludf.DUMMYFUNCTION("""COMPUTED_VALUE"""),"20210930TNCUM")</f>
        <v>20210930TNCUM</v>
      </c>
      <c r="B823" s="1">
        <f ca="1">IFERROR(__xludf.DUMMYFUNCTION("""COMPUTED_VALUE"""),9)</f>
        <v>9</v>
      </c>
      <c r="C823" s="1">
        <f ca="1">IFERROR(__xludf.DUMMYFUNCTION("""COMPUTED_VALUE"""),30)</f>
        <v>30</v>
      </c>
      <c r="D823" s="1">
        <f ca="1">IFERROR(__xludf.DUMMYFUNCTION("""COMPUTED_VALUE"""),2021)</f>
        <v>2021</v>
      </c>
      <c r="E823" s="4">
        <f ca="1">IFERROR(__xludf.DUMMYFUNCTION("""COMPUTED_VALUE"""),44469)</f>
        <v>44469</v>
      </c>
      <c r="F823" s="1" t="str">
        <f ca="1">IFERROR(__xludf.DUMMYFUNCTION("""COMPUTED_VALUE"""),"Cummings Elementary School")</f>
        <v>Cummings Elementary School</v>
      </c>
      <c r="G823" s="1">
        <f ca="1">IFERROR(__xludf.DUMMYFUNCTION("""COMPUTED_VALUE"""),0)</f>
        <v>0</v>
      </c>
      <c r="H823" s="1">
        <f ca="1">IFERROR(__xludf.DUMMYFUNCTION("""COMPUTED_VALUE"""),1)</f>
        <v>1</v>
      </c>
      <c r="I823" s="1">
        <f ca="1">IFERROR(__xludf.DUMMYFUNCTION("""COMPUTED_VALUE"""),1)</f>
        <v>1</v>
      </c>
      <c r="J823" s="1">
        <f ca="1">IFERROR(__xludf.DUMMYFUNCTION("""COMPUTED_VALUE"""),0)</f>
        <v>0</v>
      </c>
      <c r="K823" s="1" t="str">
        <f ca="1">IFERROR(__xludf.DUMMYFUNCTION("""COMPUTED_VALUE"""),"Fall")</f>
        <v>Fall</v>
      </c>
      <c r="L823" s="1" t="str">
        <f ca="1">IFERROR(__xludf.DUMMYFUNCTION("""COMPUTED_VALUE"""),"Memphis")</f>
        <v>Memphis</v>
      </c>
      <c r="M823" s="1" t="str">
        <f ca="1">IFERROR(__xludf.DUMMYFUNCTION("""COMPUTED_VALUE"""),"TN")</f>
        <v>TN</v>
      </c>
      <c r="N823" s="1" t="str">
        <f ca="1">IFERROR(__xludf.DUMMYFUNCTION("""COMPUTED_VALUE"""),"K-8")</f>
        <v>K-8</v>
      </c>
      <c r="O823" s="1" t="str">
        <f ca="1">IFERROR(__xludf.DUMMYFUNCTION("""COMPUTED_VALUE"""),"Hallway")</f>
        <v>Hallway</v>
      </c>
      <c r="P823" s="1" t="str">
        <f ca="1">IFERROR(__xludf.DUMMYFUNCTION("""COMPUTED_VALUE"""),"Inside School Building")</f>
        <v>Inside School Building</v>
      </c>
      <c r="Q823" s="1" t="str">
        <f ca="1">IFERROR(__xludf.DUMMYFUNCTION("""COMPUTED_VALUE"""),"Yes")</f>
        <v>Yes</v>
      </c>
      <c r="R823" s="1" t="str">
        <f ca="1">IFERROR(__xludf.DUMMYFUNCTION("""COMPUTED_VALUE"""),"Morning Classes")</f>
        <v>Morning Classes</v>
      </c>
      <c r="S823" s="5">
        <f ca="1">IFERROR(__xludf.DUMMYFUNCTION("""COMPUTED_VALUE"""),0.385416666666666)</f>
        <v>0.38541666666666602</v>
      </c>
      <c r="T823" s="1">
        <f ca="1">IFERROR(__xludf.DUMMYFUNCTION("""COMPUTED_VALUE"""),1)</f>
        <v>1</v>
      </c>
      <c r="U823" s="1" t="str">
        <f ca="1">IFERROR(__xludf.DUMMYFUNCTION("""COMPUTED_VALUE"""),"Student shot student in the stairwell then fled in vehicle")</f>
        <v>Student shot student in the stairwell then fled in vehicle</v>
      </c>
      <c r="V823" s="1" t="str">
        <f ca="1">IFERROR(__xludf.DUMMYFUNCTION("""COMPUTED_VALUE"""),"A 13-year-old male student shot another 13-year-old male student during a fight in the stairwell of the school during morning classes, then fled in a vehicle. No other students were in the stairwell when the shooting occurred. It was recorded on CCTV. The"&amp;" school was placed on lockdown. Students were evacuated by police to a church across the street where they were released to their parents. Shooter turned himself in at the police station.")</f>
        <v>A 13-year-old male student shot another 13-year-old male student during a fight in the stairwell of the school during morning classes, then fled in a vehicle. No other students were in the stairwell when the shooting occurred. It was recorded on CCTV. The school was placed on lockdown. Students were evacuated by police to a church across the street where they were released to their parents. Shooter turned himself in at the police station.</v>
      </c>
      <c r="W823" s="1" t="str">
        <f ca="1">IFERROR(__xludf.DUMMYFUNCTION("""COMPUTED_VALUE"""),"Escalation of Dispute")</f>
        <v>Escalation of Dispute</v>
      </c>
      <c r="X823" s="1" t="str">
        <f ca="1">IFERROR(__xludf.DUMMYFUNCTION("""COMPUTED_VALUE"""),"Victims Targeted")</f>
        <v>Victims Targeted</v>
      </c>
      <c r="Y823" s="1" t="str">
        <f ca="1">IFERROR(__xludf.DUMMYFUNCTION("""COMPUTED_VALUE"""),"Yes")</f>
        <v>Yes</v>
      </c>
      <c r="Z823" s="1" t="str">
        <f ca="1">IFERROR(__xludf.DUMMYFUNCTION("""COMPUTED_VALUE"""),"Fled in vehicle")</f>
        <v>Fled in vehicle</v>
      </c>
      <c r="AA823" s="1" t="str">
        <f ca="1">IFERROR(__xludf.DUMMYFUNCTION("""COMPUTED_VALUE"""),"No")</f>
        <v>No</v>
      </c>
      <c r="AB823" s="1" t="str">
        <f ca="1">IFERROR(__xludf.DUMMYFUNCTION("""COMPUTED_VALUE"""),"No")</f>
        <v>No</v>
      </c>
      <c r="AC823" s="1" t="str">
        <f ca="1">IFERROR(__xludf.DUMMYFUNCTION("""COMPUTED_VALUE"""),"No")</f>
        <v>No</v>
      </c>
      <c r="AD823" s="1"/>
      <c r="AE823" s="1" t="str">
        <f ca="1">IFERROR(__xludf.DUMMYFUNCTION("""COMPUTED_VALUE"""),"No")</f>
        <v>No</v>
      </c>
      <c r="AF823" s="1"/>
      <c r="AG823" s="1" t="str">
        <f ca="1">IFERROR(__xludf.DUMMYFUNCTION("""COMPUTED_VALUE"""),"No")</f>
        <v>No</v>
      </c>
      <c r="AH823" s="1">
        <f ca="1">IFERROR(__xludf.DUMMYFUNCTION("""COMPUTED_VALUE"""),1)</f>
        <v>1</v>
      </c>
    </row>
    <row r="824" spans="1:34" ht="12.5">
      <c r="A824" s="1" t="str">
        <f ca="1">IFERROR(__xludf.DUMMYFUNCTION("""COMPUTED_VALUE"""),"20210930MSNEN")</f>
        <v>20210930MSNEN</v>
      </c>
      <c r="B824" s="1">
        <f ca="1">IFERROR(__xludf.DUMMYFUNCTION("""COMPUTED_VALUE"""),9)</f>
        <v>9</v>
      </c>
      <c r="C824" s="1">
        <f ca="1">IFERROR(__xludf.DUMMYFUNCTION("""COMPUTED_VALUE"""),30)</f>
        <v>30</v>
      </c>
      <c r="D824" s="1">
        <f ca="1">IFERROR(__xludf.DUMMYFUNCTION("""COMPUTED_VALUE"""),2021)</f>
        <v>2021</v>
      </c>
      <c r="E824" s="4">
        <f ca="1">IFERROR(__xludf.DUMMYFUNCTION("""COMPUTED_VALUE"""),44469)</f>
        <v>44469</v>
      </c>
      <c r="F824" s="1" t="str">
        <f ca="1">IFERROR(__xludf.DUMMYFUNCTION("""COMPUTED_VALUE"""),"Newton Elementary School")</f>
        <v>Newton Elementary School</v>
      </c>
      <c r="G824" s="1">
        <f ca="1">IFERROR(__xludf.DUMMYFUNCTION("""COMPUTED_VALUE"""),0)</f>
        <v>0</v>
      </c>
      <c r="H824" s="1">
        <f ca="1">IFERROR(__xludf.DUMMYFUNCTION("""COMPUTED_VALUE"""),1)</f>
        <v>1</v>
      </c>
      <c r="I824" s="1">
        <f ca="1">IFERROR(__xludf.DUMMYFUNCTION("""COMPUTED_VALUE"""),1)</f>
        <v>1</v>
      </c>
      <c r="J824" s="1">
        <f ca="1">IFERROR(__xludf.DUMMYFUNCTION("""COMPUTED_VALUE"""),0)</f>
        <v>0</v>
      </c>
      <c r="K824" s="1" t="str">
        <f ca="1">IFERROR(__xludf.DUMMYFUNCTION("""COMPUTED_VALUE"""),"Fall")</f>
        <v>Fall</v>
      </c>
      <c r="L824" s="1" t="str">
        <f ca="1">IFERROR(__xludf.DUMMYFUNCTION("""COMPUTED_VALUE"""),"Newton")</f>
        <v>Newton</v>
      </c>
      <c r="M824" s="1" t="str">
        <f ca="1">IFERROR(__xludf.DUMMYFUNCTION("""COMPUTED_VALUE"""),"MS")</f>
        <v>MS</v>
      </c>
      <c r="N824" s="1" t="str">
        <f ca="1">IFERROR(__xludf.DUMMYFUNCTION("""COMPUTED_VALUE"""),"Elementary")</f>
        <v>Elementary</v>
      </c>
      <c r="O824" s="1" t="str">
        <f ca="1">IFERROR(__xludf.DUMMYFUNCTION("""COMPUTED_VALUE"""),"Outside on School Property")</f>
        <v>Outside on School Property</v>
      </c>
      <c r="P824" s="1" t="str">
        <f ca="1">IFERROR(__xludf.DUMMYFUNCTION("""COMPUTED_VALUE"""),"Outside on School Property")</f>
        <v>Outside on School Property</v>
      </c>
      <c r="Q824" s="1" t="str">
        <f ca="1">IFERROR(__xludf.DUMMYFUNCTION("""COMPUTED_VALUE"""),"Yes")</f>
        <v>Yes</v>
      </c>
      <c r="R824" s="1" t="str">
        <f ca="1">IFERROR(__xludf.DUMMYFUNCTION("""COMPUTED_VALUE"""),"Dismissal")</f>
        <v>Dismissal</v>
      </c>
      <c r="S824" s="5">
        <f ca="1">IFERROR(__xludf.DUMMYFUNCTION("""COMPUTED_VALUE"""),0.6875)</f>
        <v>0.6875</v>
      </c>
      <c r="T824" s="1">
        <f ca="1">IFERROR(__xludf.DUMMYFUNCTION("""COMPUTED_VALUE"""),1)</f>
        <v>1</v>
      </c>
      <c r="U824" s="1" t="str">
        <f ca="1">IFERROR(__xludf.DUMMYFUNCTION("""COMPUTED_VALUE"""),"1st grader shot when gun inside backpack discharged")</f>
        <v>1st grader shot when gun inside backpack discharged</v>
      </c>
      <c r="V824" s="1" t="str">
        <f ca="1">IFERROR(__xludf.DUMMYFUNCTION("""COMPUTED_VALUE"""),"A 1st grade student was shot during dismissal when a gun in the backpack of another 1st grade student discharged. Victim was struck in the leg and airlifted to a trauma center. Police said the shooting was accidental.")</f>
        <v>A 1st grade student was shot during dismissal when a gun in the backpack of another 1st grade student discharged. Victim was struck in the leg and airlifted to a trauma center. Police said the shooting was accidental.</v>
      </c>
      <c r="W824" s="1" t="str">
        <f ca="1">IFERROR(__xludf.DUMMYFUNCTION("""COMPUTED_VALUE"""),"Accidental")</f>
        <v>Accidental</v>
      </c>
      <c r="X824" s="1" t="str">
        <f ca="1">IFERROR(__xludf.DUMMYFUNCTION("""COMPUTED_VALUE"""),"Random Shooting")</f>
        <v>Random Shooting</v>
      </c>
      <c r="Y824" s="1" t="str">
        <f ca="1">IFERROR(__xludf.DUMMYFUNCTION("""COMPUTED_VALUE"""),"No")</f>
        <v>No</v>
      </c>
      <c r="Z824" s="1"/>
      <c r="AA824" s="1" t="str">
        <f ca="1">IFERROR(__xludf.DUMMYFUNCTION("""COMPUTED_VALUE"""),"No")</f>
        <v>No</v>
      </c>
      <c r="AB824" s="1" t="str">
        <f ca="1">IFERROR(__xludf.DUMMYFUNCTION("""COMPUTED_VALUE"""),"No")</f>
        <v>No</v>
      </c>
      <c r="AC824" s="1" t="str">
        <f ca="1">IFERROR(__xludf.DUMMYFUNCTION("""COMPUTED_VALUE"""),"No")</f>
        <v>No</v>
      </c>
      <c r="AD824" s="1" t="str">
        <f ca="1">IFERROR(__xludf.DUMMYFUNCTION("""COMPUTED_VALUE"""),"No")</f>
        <v>No</v>
      </c>
      <c r="AE824" s="1" t="str">
        <f ca="1">IFERROR(__xludf.DUMMYFUNCTION("""COMPUTED_VALUE"""),"No")</f>
        <v>No</v>
      </c>
      <c r="AF824" s="1" t="str">
        <f ca="1">IFERROR(__xludf.DUMMYFUNCTION("""COMPUTED_VALUE"""),"No")</f>
        <v>No</v>
      </c>
      <c r="AG824" s="1" t="str">
        <f ca="1">IFERROR(__xludf.DUMMYFUNCTION("""COMPUTED_VALUE"""),"No")</f>
        <v>No</v>
      </c>
      <c r="AH824" s="1">
        <f ca="1">IFERROR(__xludf.DUMMYFUNCTION("""COMPUTED_VALUE"""),1)</f>
        <v>1</v>
      </c>
    </row>
    <row r="825" spans="1:34" ht="12.5">
      <c r="A825" s="1" t="str">
        <f ca="1">IFERROR(__xludf.DUMMYFUNCTION("""COMPUTED_VALUE"""),"20210929OHSHS")</f>
        <v>20210929OHSHS</v>
      </c>
      <c r="B825" s="1">
        <f ca="1">IFERROR(__xludf.DUMMYFUNCTION("""COMPUTED_VALUE"""),9)</f>
        <v>9</v>
      </c>
      <c r="C825" s="1">
        <f ca="1">IFERROR(__xludf.DUMMYFUNCTION("""COMPUTED_VALUE"""),29)</f>
        <v>29</v>
      </c>
      <c r="D825" s="1">
        <f ca="1">IFERROR(__xludf.DUMMYFUNCTION("""COMPUTED_VALUE"""),2021)</f>
        <v>2021</v>
      </c>
      <c r="E825" s="4">
        <f ca="1">IFERROR(__xludf.DUMMYFUNCTION("""COMPUTED_VALUE"""),44468)</f>
        <v>44468</v>
      </c>
      <c r="F825" s="1" t="str">
        <f ca="1">IFERROR(__xludf.DUMMYFUNCTION("""COMPUTED_VALUE"""),"Shaker Heights Middle School")</f>
        <v>Shaker Heights Middle School</v>
      </c>
      <c r="G825" s="1">
        <f ca="1">IFERROR(__xludf.DUMMYFUNCTION("""COMPUTED_VALUE"""),0)</f>
        <v>0</v>
      </c>
      <c r="H825" s="1">
        <f ca="1">IFERROR(__xludf.DUMMYFUNCTION("""COMPUTED_VALUE"""),0)</f>
        <v>0</v>
      </c>
      <c r="I825" s="1">
        <f ca="1">IFERROR(__xludf.DUMMYFUNCTION("""COMPUTED_VALUE"""),0)</f>
        <v>0</v>
      </c>
      <c r="J825" s="1">
        <f ca="1">IFERROR(__xludf.DUMMYFUNCTION("""COMPUTED_VALUE"""),0)</f>
        <v>0</v>
      </c>
      <c r="K825" s="1" t="str">
        <f ca="1">IFERROR(__xludf.DUMMYFUNCTION("""COMPUTED_VALUE"""),"Fall")</f>
        <v>Fall</v>
      </c>
      <c r="L825" s="1" t="str">
        <f ca="1">IFERROR(__xludf.DUMMYFUNCTION("""COMPUTED_VALUE"""),"Shaker Heights")</f>
        <v>Shaker Heights</v>
      </c>
      <c r="M825" s="1" t="str">
        <f ca="1">IFERROR(__xludf.DUMMYFUNCTION("""COMPUTED_VALUE"""),"OH")</f>
        <v>OH</v>
      </c>
      <c r="N825" s="1" t="str">
        <f ca="1">IFERROR(__xludf.DUMMYFUNCTION("""COMPUTED_VALUE"""),"Middle")</f>
        <v>Middle</v>
      </c>
      <c r="O825" s="1" t="str">
        <f ca="1">IFERROR(__xludf.DUMMYFUNCTION("""COMPUTED_VALUE"""),"Parking Lot")</f>
        <v>Parking Lot</v>
      </c>
      <c r="P825" s="1" t="str">
        <f ca="1">IFERROR(__xludf.DUMMYFUNCTION("""COMPUTED_VALUE"""),"Outside on School Property")</f>
        <v>Outside on School Property</v>
      </c>
      <c r="Q825" s="1" t="str">
        <f ca="1">IFERROR(__xludf.DUMMYFUNCTION("""COMPUTED_VALUE"""),"No")</f>
        <v>No</v>
      </c>
      <c r="R825" s="1" t="str">
        <f ca="1">IFERROR(__xludf.DUMMYFUNCTION("""COMPUTED_VALUE"""),"Sport Event")</f>
        <v>Sport Event</v>
      </c>
      <c r="S825" s="5">
        <f ca="1">IFERROR(__xludf.DUMMYFUNCTION("""COMPUTED_VALUE"""),0.770833333333333)</f>
        <v>0.77083333333333304</v>
      </c>
      <c r="T825" s="1">
        <f ca="1">IFERROR(__xludf.DUMMYFUNCTION("""COMPUTED_VALUE"""),1)</f>
        <v>1</v>
      </c>
      <c r="U825" s="1" t="str">
        <f ca="1">IFERROR(__xludf.DUMMYFUNCTION("""COMPUTED_VALUE"""),"Shot fired in school parking lot during football game")</f>
        <v>Shot fired in school parking lot during football game</v>
      </c>
      <c r="V825" s="1" t="str">
        <f ca="1">IFERROR(__xludf.DUMMYFUNCTION("""COMPUTED_VALUE"""),"A shot was fired during a large fight in the parking lot of the school during a middle school football game. Police received a description of the vehicle with the shooter and stopped it nearby. Female shooter did not have a permit for the weapon and said "&amp;"she fired into the air to breakup the fight. A handgun with a round that misfired was recovered. No injuries reported. Game was suspended.")</f>
        <v>A shot was fired during a large fight in the parking lot of the school during a middle school football game. Police received a description of the vehicle with the shooter and stopped it nearby. Female shooter did not have a permit for the weapon and said she fired into the air to breakup the fight. A handgun with a round that misfired was recovered. No injuries reported. Game was suspended.</v>
      </c>
      <c r="W825" s="1" t="str">
        <f ca="1">IFERROR(__xludf.DUMMYFUNCTION("""COMPUTED_VALUE"""),"Escalation of Dispute")</f>
        <v>Escalation of Dispute</v>
      </c>
      <c r="X825" s="1" t="str">
        <f ca="1">IFERROR(__xludf.DUMMYFUNCTION("""COMPUTED_VALUE"""),"Neither")</f>
        <v>Neither</v>
      </c>
      <c r="Y825" s="1" t="str">
        <f ca="1">IFERROR(__xludf.DUMMYFUNCTION("""COMPUTED_VALUE"""),"No")</f>
        <v>No</v>
      </c>
      <c r="Z825" s="1"/>
      <c r="AA825" s="1" t="str">
        <f ca="1">IFERROR(__xludf.DUMMYFUNCTION("""COMPUTED_VALUE"""),"No")</f>
        <v>No</v>
      </c>
      <c r="AB825" s="1" t="str">
        <f ca="1">IFERROR(__xludf.DUMMYFUNCTION("""COMPUTED_VALUE"""),"No")</f>
        <v>No</v>
      </c>
      <c r="AC825" s="1" t="str">
        <f ca="1">IFERROR(__xludf.DUMMYFUNCTION("""COMPUTED_VALUE"""),"No")</f>
        <v>No</v>
      </c>
      <c r="AD825" s="1" t="str">
        <f ca="1">IFERROR(__xludf.DUMMYFUNCTION("""COMPUTED_VALUE"""),"No")</f>
        <v>No</v>
      </c>
      <c r="AE825" s="1" t="str">
        <f ca="1">IFERROR(__xludf.DUMMYFUNCTION("""COMPUTED_VALUE"""),"No")</f>
        <v>No</v>
      </c>
      <c r="AF825" s="1" t="str">
        <f ca="1">IFERROR(__xludf.DUMMYFUNCTION("""COMPUTED_VALUE"""),"No")</f>
        <v>No</v>
      </c>
      <c r="AG825" s="1" t="str">
        <f ca="1">IFERROR(__xludf.DUMMYFUNCTION("""COMPUTED_VALUE"""),"No")</f>
        <v>No</v>
      </c>
      <c r="AH825" s="1">
        <f ca="1">IFERROR(__xludf.DUMMYFUNCTION("""COMPUTED_VALUE"""),1)</f>
        <v>1</v>
      </c>
    </row>
    <row r="826" spans="1:34" ht="12.5">
      <c r="A826" s="1" t="str">
        <f ca="1">IFERROR(__xludf.DUMMYFUNCTION("""COMPUTED_VALUE"""),"20210928MESOS")</f>
        <v>20210928MESOS</v>
      </c>
      <c r="B826" s="1">
        <f ca="1">IFERROR(__xludf.DUMMYFUNCTION("""COMPUTED_VALUE"""),9)</f>
        <v>9</v>
      </c>
      <c r="C826" s="1">
        <f ca="1">IFERROR(__xludf.DUMMYFUNCTION("""COMPUTED_VALUE"""),28)</f>
        <v>28</v>
      </c>
      <c r="D826" s="1">
        <f ca="1">IFERROR(__xludf.DUMMYFUNCTION("""COMPUTED_VALUE"""),2021)</f>
        <v>2021</v>
      </c>
      <c r="E826" s="4">
        <f ca="1">IFERROR(__xludf.DUMMYFUNCTION("""COMPUTED_VALUE"""),44467)</f>
        <v>44467</v>
      </c>
      <c r="F826" s="1" t="str">
        <f ca="1">IFERROR(__xludf.DUMMYFUNCTION("""COMPUTED_VALUE"""),"South Portland High School")</f>
        <v>South Portland High School</v>
      </c>
      <c r="G826" s="1">
        <f ca="1">IFERROR(__xludf.DUMMYFUNCTION("""COMPUTED_VALUE"""),0)</f>
        <v>0</v>
      </c>
      <c r="H826" s="1">
        <f ca="1">IFERROR(__xludf.DUMMYFUNCTION("""COMPUTED_VALUE"""),1)</f>
        <v>1</v>
      </c>
      <c r="I826" s="1">
        <f ca="1">IFERROR(__xludf.DUMMYFUNCTION("""COMPUTED_VALUE"""),1)</f>
        <v>1</v>
      </c>
      <c r="J826" s="1">
        <f ca="1">IFERROR(__xludf.DUMMYFUNCTION("""COMPUTED_VALUE"""),0)</f>
        <v>0</v>
      </c>
      <c r="K826" s="1" t="str">
        <f ca="1">IFERROR(__xludf.DUMMYFUNCTION("""COMPUTED_VALUE"""),"Fall")</f>
        <v>Fall</v>
      </c>
      <c r="L826" s="1" t="str">
        <f ca="1">IFERROR(__xludf.DUMMYFUNCTION("""COMPUTED_VALUE"""),"South Portland")</f>
        <v>South Portland</v>
      </c>
      <c r="M826" s="1" t="str">
        <f ca="1">IFERROR(__xludf.DUMMYFUNCTION("""COMPUTED_VALUE"""),"ME")</f>
        <v>ME</v>
      </c>
      <c r="N826" s="1" t="str">
        <f ca="1">IFERROR(__xludf.DUMMYFUNCTION("""COMPUTED_VALUE"""),"High")</f>
        <v>High</v>
      </c>
      <c r="O826" s="1" t="str">
        <f ca="1">IFERROR(__xludf.DUMMYFUNCTION("""COMPUTED_VALUE"""),"Parking Lot")</f>
        <v>Parking Lot</v>
      </c>
      <c r="P826" s="1" t="str">
        <f ca="1">IFERROR(__xludf.DUMMYFUNCTION("""COMPUTED_VALUE"""),"Outside on School Property")</f>
        <v>Outside on School Property</v>
      </c>
      <c r="Q826" s="1" t="str">
        <f ca="1">IFERROR(__xludf.DUMMYFUNCTION("""COMPUTED_VALUE"""),"No")</f>
        <v>No</v>
      </c>
      <c r="R826" s="1" t="str">
        <f ca="1">IFERROR(__xludf.DUMMYFUNCTION("""COMPUTED_VALUE"""),"Evening")</f>
        <v>Evening</v>
      </c>
      <c r="S826" s="5">
        <f ca="1">IFERROR(__xludf.DUMMYFUNCTION("""COMPUTED_VALUE"""),0.859722222222222)</f>
        <v>0.85972222222222205</v>
      </c>
      <c r="T826" s="1">
        <f ca="1">IFERROR(__xludf.DUMMYFUNCTION("""COMPUTED_VALUE"""),1)</f>
        <v>1</v>
      </c>
      <c r="U826" s="1" t="str">
        <f ca="1">IFERROR(__xludf.DUMMYFUNCTION("""COMPUTED_VALUE"""),"Teen shot in school parking lot")</f>
        <v>Teen shot in school parking lot</v>
      </c>
      <c r="V826" s="1" t="str">
        <f ca="1">IFERROR(__xludf.DUMMYFUNCTION("""COMPUTED_VALUE"""),"A teen was shot in the parking lot of the school. Shooter fled. Police said the shooting was targeted and isolated to just the shooter and the victim.")</f>
        <v>A teen was shot in the parking lot of the school. Shooter fled. Police said the shooting was targeted and isolated to just the shooter and the victim.</v>
      </c>
      <c r="W826" s="1"/>
      <c r="X826" s="1" t="str">
        <f ca="1">IFERROR(__xludf.DUMMYFUNCTION("""COMPUTED_VALUE"""),"Victims Targeted")</f>
        <v>Victims Targeted</v>
      </c>
      <c r="Y826" s="1" t="str">
        <f ca="1">IFERROR(__xludf.DUMMYFUNCTION("""COMPUTED_VALUE"""),"No")</f>
        <v>No</v>
      </c>
      <c r="Z826" s="1"/>
      <c r="AA826" s="1" t="str">
        <f ca="1">IFERROR(__xludf.DUMMYFUNCTION("""COMPUTED_VALUE"""),"No")</f>
        <v>No</v>
      </c>
      <c r="AB826" s="1" t="str">
        <f ca="1">IFERROR(__xludf.DUMMYFUNCTION("""COMPUTED_VALUE"""),"No")</f>
        <v>No</v>
      </c>
      <c r="AC826" s="1" t="str">
        <f ca="1">IFERROR(__xludf.DUMMYFUNCTION("""COMPUTED_VALUE"""),"No")</f>
        <v>No</v>
      </c>
      <c r="AD826" s="1" t="str">
        <f ca="1">IFERROR(__xludf.DUMMYFUNCTION("""COMPUTED_VALUE"""),"No")</f>
        <v>No</v>
      </c>
      <c r="AE826" s="1" t="str">
        <f ca="1">IFERROR(__xludf.DUMMYFUNCTION("""COMPUTED_VALUE"""),"No")</f>
        <v>No</v>
      </c>
      <c r="AF826" s="1" t="str">
        <f ca="1">IFERROR(__xludf.DUMMYFUNCTION("""COMPUTED_VALUE"""),"No")</f>
        <v>No</v>
      </c>
      <c r="AG826" s="1" t="str">
        <f ca="1">IFERROR(__xludf.DUMMYFUNCTION("""COMPUTED_VALUE"""),"No")</f>
        <v>No</v>
      </c>
      <c r="AH826" s="1"/>
    </row>
    <row r="827" spans="1:34" ht="12.5">
      <c r="A827" s="1" t="str">
        <f ca="1">IFERROR(__xludf.DUMMYFUNCTION("""COMPUTED_VALUE"""),"20210927ILCAC")</f>
        <v>20210927ILCAC</v>
      </c>
      <c r="B827" s="1">
        <f ca="1">IFERROR(__xludf.DUMMYFUNCTION("""COMPUTED_VALUE"""),9)</f>
        <v>9</v>
      </c>
      <c r="C827" s="1">
        <f ca="1">IFERROR(__xludf.DUMMYFUNCTION("""COMPUTED_VALUE"""),27)</f>
        <v>27</v>
      </c>
      <c r="D827" s="1">
        <f ca="1">IFERROR(__xludf.DUMMYFUNCTION("""COMPUTED_VALUE"""),2021)</f>
        <v>2021</v>
      </c>
      <c r="E827" s="4">
        <f ca="1">IFERROR(__xludf.DUMMYFUNCTION("""COMPUTED_VALUE"""),44466)</f>
        <v>44466</v>
      </c>
      <c r="F827" s="1" t="str">
        <f ca="1">IFERROR(__xludf.DUMMYFUNCTION("""COMPUTED_VALUE"""),"Canterbury Elementary School")</f>
        <v>Canterbury Elementary School</v>
      </c>
      <c r="G827" s="1">
        <f ca="1">IFERROR(__xludf.DUMMYFUNCTION("""COMPUTED_VALUE"""),0)</f>
        <v>0</v>
      </c>
      <c r="H827" s="1">
        <f ca="1">IFERROR(__xludf.DUMMYFUNCTION("""COMPUTED_VALUE"""),0)</f>
        <v>0</v>
      </c>
      <c r="I827" s="1">
        <f ca="1">IFERROR(__xludf.DUMMYFUNCTION("""COMPUTED_VALUE"""),0)</f>
        <v>0</v>
      </c>
      <c r="J827" s="1">
        <f ca="1">IFERROR(__xludf.DUMMYFUNCTION("""COMPUTED_VALUE"""),0)</f>
        <v>0</v>
      </c>
      <c r="K827" s="1" t="str">
        <f ca="1">IFERROR(__xludf.DUMMYFUNCTION("""COMPUTED_VALUE"""),"Fall")</f>
        <v>Fall</v>
      </c>
      <c r="L827" s="1" t="str">
        <f ca="1">IFERROR(__xludf.DUMMYFUNCTION("""COMPUTED_VALUE"""),"Crystal Lake")</f>
        <v>Crystal Lake</v>
      </c>
      <c r="M827" s="1" t="str">
        <f ca="1">IFERROR(__xludf.DUMMYFUNCTION("""COMPUTED_VALUE"""),"IL")</f>
        <v>IL</v>
      </c>
      <c r="N827" s="1" t="str">
        <f ca="1">IFERROR(__xludf.DUMMYFUNCTION("""COMPUTED_VALUE"""),"Elementary")</f>
        <v>Elementary</v>
      </c>
      <c r="O827" s="1" t="str">
        <f ca="1">IFERROR(__xludf.DUMMYFUNCTION("""COMPUTED_VALUE"""),"Playground")</f>
        <v>Playground</v>
      </c>
      <c r="P827" s="1" t="str">
        <f ca="1">IFERROR(__xludf.DUMMYFUNCTION("""COMPUTED_VALUE"""),"Outside on School Property")</f>
        <v>Outside on School Property</v>
      </c>
      <c r="Q827" s="1" t="str">
        <f ca="1">IFERROR(__xludf.DUMMYFUNCTION("""COMPUTED_VALUE"""),"Yes")</f>
        <v>Yes</v>
      </c>
      <c r="R827" s="1" t="str">
        <f ca="1">IFERROR(__xludf.DUMMYFUNCTION("""COMPUTED_VALUE"""),"Lunch")</f>
        <v>Lunch</v>
      </c>
      <c r="S827" s="5">
        <f ca="1">IFERROR(__xludf.DUMMYFUNCTION("""COMPUTED_VALUE"""),0.5)</f>
        <v>0.5</v>
      </c>
      <c r="T827" s="1"/>
      <c r="U827" s="1" t="str">
        <f ca="1">IFERROR(__xludf.DUMMYFUNCTION("""COMPUTED_VALUE"""),"Police called for student with gun on the playground, arrested student with BB gun")</f>
        <v>Police called for student with gun on the playground, arrested student with BB gun</v>
      </c>
      <c r="V827" s="1" t="str">
        <f ca="1">IFERROR(__xludf.DUMMYFUNCTION("""COMPUTED_VALUE"""),"Police were called for a student with a gun on the playground. Police arrested a juvenile in possession of a BB gun. Multiple students were shot and sustained minor injuries.")</f>
        <v>Police were called for a student with a gun on the playground. Police arrested a juvenile in possession of a BB gun. Multiple students were shot and sustained minor injuries.</v>
      </c>
      <c r="W827" s="1"/>
      <c r="X827" s="1"/>
      <c r="Y827" s="1" t="str">
        <f ca="1">IFERROR(__xludf.DUMMYFUNCTION("""COMPUTED_VALUE"""),"No")</f>
        <v>No</v>
      </c>
      <c r="Z827" s="1"/>
      <c r="AA827" s="1" t="str">
        <f ca="1">IFERROR(__xludf.DUMMYFUNCTION("""COMPUTED_VALUE"""),"No")</f>
        <v>No</v>
      </c>
      <c r="AB827" s="1" t="str">
        <f ca="1">IFERROR(__xludf.DUMMYFUNCTION("""COMPUTED_VALUE"""),"No")</f>
        <v>No</v>
      </c>
      <c r="AC827" s="1" t="str">
        <f ca="1">IFERROR(__xludf.DUMMYFUNCTION("""COMPUTED_VALUE"""),"No")</f>
        <v>No</v>
      </c>
      <c r="AD827" s="1"/>
      <c r="AE827" s="1" t="str">
        <f ca="1">IFERROR(__xludf.DUMMYFUNCTION("""COMPUTED_VALUE"""),"No")</f>
        <v>No</v>
      </c>
      <c r="AF827" s="1" t="str">
        <f ca="1">IFERROR(__xludf.DUMMYFUNCTION("""COMPUTED_VALUE"""),"No")</f>
        <v>No</v>
      </c>
      <c r="AG827" s="1" t="str">
        <f ca="1">IFERROR(__xludf.DUMMYFUNCTION("""COMPUTED_VALUE"""),"No")</f>
        <v>No</v>
      </c>
      <c r="AH827" s="1"/>
    </row>
    <row r="828" spans="1:34" ht="12.5">
      <c r="A828" s="1" t="str">
        <f ca="1">IFERROR(__xludf.DUMMYFUNCTION("""COMPUTED_VALUE"""),"20210924VAESE")</f>
        <v>20210924VAESE</v>
      </c>
      <c r="B828" s="1">
        <f ca="1">IFERROR(__xludf.DUMMYFUNCTION("""COMPUTED_VALUE"""),9)</f>
        <v>9</v>
      </c>
      <c r="C828" s="1">
        <f ca="1">IFERROR(__xludf.DUMMYFUNCTION("""COMPUTED_VALUE"""),24)</f>
        <v>24</v>
      </c>
      <c r="D828" s="1">
        <f ca="1">IFERROR(__xludf.DUMMYFUNCTION("""COMPUTED_VALUE"""),2021)</f>
        <v>2021</v>
      </c>
      <c r="E828" s="4">
        <f ca="1">IFERROR(__xludf.DUMMYFUNCTION("""COMPUTED_VALUE"""),44463)</f>
        <v>44463</v>
      </c>
      <c r="F828" s="1" t="str">
        <f ca="1">IFERROR(__xludf.DUMMYFUNCTION("""COMPUTED_VALUE"""),"Essex High School")</f>
        <v>Essex High School</v>
      </c>
      <c r="G828" s="1">
        <f ca="1">IFERROR(__xludf.DUMMYFUNCTION("""COMPUTED_VALUE"""),0)</f>
        <v>0</v>
      </c>
      <c r="H828" s="1">
        <f ca="1">IFERROR(__xludf.DUMMYFUNCTION("""COMPUTED_VALUE"""),0)</f>
        <v>0</v>
      </c>
      <c r="I828" s="1">
        <f ca="1">IFERROR(__xludf.DUMMYFUNCTION("""COMPUTED_VALUE"""),0)</f>
        <v>0</v>
      </c>
      <c r="J828" s="1">
        <f ca="1">IFERROR(__xludf.DUMMYFUNCTION("""COMPUTED_VALUE"""),0)</f>
        <v>0</v>
      </c>
      <c r="K828" s="1" t="str">
        <f ca="1">IFERROR(__xludf.DUMMYFUNCTION("""COMPUTED_VALUE"""),"Fall")</f>
        <v>Fall</v>
      </c>
      <c r="L828" s="1" t="str">
        <f ca="1">IFERROR(__xludf.DUMMYFUNCTION("""COMPUTED_VALUE"""),"Essex")</f>
        <v>Essex</v>
      </c>
      <c r="M828" s="1" t="str">
        <f ca="1">IFERROR(__xludf.DUMMYFUNCTION("""COMPUTED_VALUE"""),"VA")</f>
        <v>VA</v>
      </c>
      <c r="N828" s="1" t="str">
        <f ca="1">IFERROR(__xludf.DUMMYFUNCTION("""COMPUTED_VALUE"""),"High")</f>
        <v>High</v>
      </c>
      <c r="O828" s="1" t="str">
        <f ca="1">IFERROR(__xludf.DUMMYFUNCTION("""COMPUTED_VALUE"""),"Football Field/Track")</f>
        <v>Football Field/Track</v>
      </c>
      <c r="P828" s="1" t="str">
        <f ca="1">IFERROR(__xludf.DUMMYFUNCTION("""COMPUTED_VALUE"""),"Outside on School Property")</f>
        <v>Outside on School Property</v>
      </c>
      <c r="Q828" s="1" t="str">
        <f ca="1">IFERROR(__xludf.DUMMYFUNCTION("""COMPUTED_VALUE"""),"No")</f>
        <v>No</v>
      </c>
      <c r="R828" s="1" t="str">
        <f ca="1">IFERROR(__xludf.DUMMYFUNCTION("""COMPUTED_VALUE"""),"Sport Event")</f>
        <v>Sport Event</v>
      </c>
      <c r="S828" s="5">
        <f ca="1">IFERROR(__xludf.DUMMYFUNCTION("""COMPUTED_VALUE"""),0.847222222222222)</f>
        <v>0.84722222222222199</v>
      </c>
      <c r="T828" s="1">
        <f ca="1">IFERROR(__xludf.DUMMYFUNCTION("""COMPUTED_VALUE"""),10)</f>
        <v>10</v>
      </c>
      <c r="U828" s="1" t="str">
        <f ca="1">IFERROR(__xludf.DUMMYFUNCTION("""COMPUTED_VALUE"""),"Shots fired near ticket booth and softball field during football game")</f>
        <v>Shots fired near ticket booth and softball field during football game</v>
      </c>
      <c r="V828" s="1" t="str">
        <f ca="1">IFERROR(__xludf.DUMMYFUNCTION("""COMPUTED_VALUE"""),"Shots were fired when a fight broke out near the ticket booth at the football stadium. Police stopped the football game and stadium followed emergencies procedures. The fight continued and shots were fired near the softball field 10 minutes later. 2 deput"&amp;"ies were injured breaking up the fight. No one was struck by gunfire. Shooter fled.")</f>
        <v>Shots were fired when a fight broke out near the ticket booth at the football stadium. Police stopped the football game and stadium followed emergencies procedures. The fight continued and shots were fired near the softball field 10 minutes later. 2 deputies were injured breaking up the fight. No one was struck by gunfire. Shooter fled.</v>
      </c>
      <c r="W828" s="1" t="str">
        <f ca="1">IFERROR(__xludf.DUMMYFUNCTION("""COMPUTED_VALUE"""),"Escalation of Dispute")</f>
        <v>Escalation of Dispute</v>
      </c>
      <c r="X828" s="1" t="str">
        <f ca="1">IFERROR(__xludf.DUMMYFUNCTION("""COMPUTED_VALUE"""),"Neither")</f>
        <v>Neither</v>
      </c>
      <c r="Y828" s="1" t="str">
        <f ca="1">IFERROR(__xludf.DUMMYFUNCTION("""COMPUTED_VALUE"""),"No")</f>
        <v>No</v>
      </c>
      <c r="Z828" s="1"/>
      <c r="AA828" s="1" t="str">
        <f ca="1">IFERROR(__xludf.DUMMYFUNCTION("""COMPUTED_VALUE"""),"No")</f>
        <v>No</v>
      </c>
      <c r="AB828" s="1" t="str">
        <f ca="1">IFERROR(__xludf.DUMMYFUNCTION("""COMPUTED_VALUE"""),"No")</f>
        <v>No</v>
      </c>
      <c r="AC828" s="1" t="str">
        <f ca="1">IFERROR(__xludf.DUMMYFUNCTION("""COMPUTED_VALUE"""),"No")</f>
        <v>No</v>
      </c>
      <c r="AD828" s="1" t="str">
        <f ca="1">IFERROR(__xludf.DUMMYFUNCTION("""COMPUTED_VALUE"""),"No")</f>
        <v>No</v>
      </c>
      <c r="AE828" s="1" t="str">
        <f ca="1">IFERROR(__xludf.DUMMYFUNCTION("""COMPUTED_VALUE"""),"No")</f>
        <v>No</v>
      </c>
      <c r="AF828" s="1"/>
      <c r="AG828" s="1" t="str">
        <f ca="1">IFERROR(__xludf.DUMMYFUNCTION("""COMPUTED_VALUE"""),"No")</f>
        <v>No</v>
      </c>
      <c r="AH828" s="1">
        <f ca="1">IFERROR(__xludf.DUMMYFUNCTION("""COMPUTED_VALUE"""),10)</f>
        <v>10</v>
      </c>
    </row>
    <row r="829" spans="1:34" ht="12.5">
      <c r="A829" s="1" t="str">
        <f ca="1">IFERROR(__xludf.DUMMYFUNCTION("""COMPUTED_VALUE"""),"20210924TNSTS")</f>
        <v>20210924TNSTS</v>
      </c>
      <c r="B829" s="1">
        <f ca="1">IFERROR(__xludf.DUMMYFUNCTION("""COMPUTED_VALUE"""),9)</f>
        <v>9</v>
      </c>
      <c r="C829" s="1">
        <f ca="1">IFERROR(__xludf.DUMMYFUNCTION("""COMPUTED_VALUE"""),24)</f>
        <v>24</v>
      </c>
      <c r="D829" s="1">
        <f ca="1">IFERROR(__xludf.DUMMYFUNCTION("""COMPUTED_VALUE"""),2021)</f>
        <v>2021</v>
      </c>
      <c r="E829" s="4">
        <f ca="1">IFERROR(__xludf.DUMMYFUNCTION("""COMPUTED_VALUE"""),44463)</f>
        <v>44463</v>
      </c>
      <c r="F829" s="1" t="str">
        <f ca="1">IFERROR(__xludf.DUMMYFUNCTION("""COMPUTED_VALUE"""),"Stewarts Creek High School")</f>
        <v>Stewarts Creek High School</v>
      </c>
      <c r="G829" s="1">
        <f ca="1">IFERROR(__xludf.DUMMYFUNCTION("""COMPUTED_VALUE"""),0)</f>
        <v>0</v>
      </c>
      <c r="H829" s="1">
        <f ca="1">IFERROR(__xludf.DUMMYFUNCTION("""COMPUTED_VALUE"""),0)</f>
        <v>0</v>
      </c>
      <c r="I829" s="1">
        <f ca="1">IFERROR(__xludf.DUMMYFUNCTION("""COMPUTED_VALUE"""),0)</f>
        <v>0</v>
      </c>
      <c r="J829" s="1">
        <f ca="1">IFERROR(__xludf.DUMMYFUNCTION("""COMPUTED_VALUE"""),0)</f>
        <v>0</v>
      </c>
      <c r="K829" s="1" t="str">
        <f ca="1">IFERROR(__xludf.DUMMYFUNCTION("""COMPUTED_VALUE"""),"Fall")</f>
        <v>Fall</v>
      </c>
      <c r="L829" s="1" t="str">
        <f ca="1">IFERROR(__xludf.DUMMYFUNCTION("""COMPUTED_VALUE"""),"Smyrna")</f>
        <v>Smyrna</v>
      </c>
      <c r="M829" s="1" t="str">
        <f ca="1">IFERROR(__xludf.DUMMYFUNCTION("""COMPUTED_VALUE"""),"TN")</f>
        <v>TN</v>
      </c>
      <c r="N829" s="1" t="str">
        <f ca="1">IFERROR(__xludf.DUMMYFUNCTION("""COMPUTED_VALUE"""),"High")</f>
        <v>High</v>
      </c>
      <c r="O829" s="1" t="str">
        <f ca="1">IFERROR(__xludf.DUMMYFUNCTION("""COMPUTED_VALUE"""),"Parking Lot")</f>
        <v>Parking Lot</v>
      </c>
      <c r="P829" s="1" t="str">
        <f ca="1">IFERROR(__xludf.DUMMYFUNCTION("""COMPUTED_VALUE"""),"Outside on School Property")</f>
        <v>Outside on School Property</v>
      </c>
      <c r="Q829" s="1" t="str">
        <f ca="1">IFERROR(__xludf.DUMMYFUNCTION("""COMPUTED_VALUE"""),"No")</f>
        <v>No</v>
      </c>
      <c r="R829" s="1" t="str">
        <f ca="1">IFERROR(__xludf.DUMMYFUNCTION("""COMPUTED_VALUE"""),"Sport Event")</f>
        <v>Sport Event</v>
      </c>
      <c r="S829" s="5">
        <f ca="1">IFERROR(__xludf.DUMMYFUNCTION("""COMPUTED_VALUE"""),0.854166666666666)</f>
        <v>0.85416666666666596</v>
      </c>
      <c r="T829" s="1">
        <f ca="1">IFERROR(__xludf.DUMMYFUNCTION("""COMPUTED_VALUE"""),1)</f>
        <v>1</v>
      </c>
      <c r="U829" s="1" t="str">
        <f ca="1">IFERROR(__xludf.DUMMYFUNCTION("""COMPUTED_VALUE"""),"Teen fired shots into the air during a fight in the parking lot during a football game")</f>
        <v>Teen fired shots into the air during a fight in the parking lot during a football game</v>
      </c>
      <c r="V829" s="1" t="str">
        <f ca="1">IFERROR(__xludf.DUMMYFUNCTION("""COMPUTED_VALUE"""),"An 18-year-old male fired shots from a handgun into the air during a fight in the school parking lot near the football field. A SRO saw the muzzle flashes and was able to identify the shooter. A 17-year-old teen was seen with a rifle running from the area"&amp;" but did not fired the weapon. Both teens were arrested the week after the incident.")</f>
        <v>An 18-year-old male fired shots from a handgun into the air during a fight in the school parking lot near the football field. A SRO saw the muzzle flashes and was able to identify the shooter. A 17-year-old teen was seen with a rifle running from the area but did not fired the weapon. Both teens were arrested the week after the incident.</v>
      </c>
      <c r="W829" s="1" t="str">
        <f ca="1">IFERROR(__xludf.DUMMYFUNCTION("""COMPUTED_VALUE"""),"Escalation of Dispute")</f>
        <v>Escalation of Dispute</v>
      </c>
      <c r="X829" s="1" t="str">
        <f ca="1">IFERROR(__xludf.DUMMYFUNCTION("""COMPUTED_VALUE"""),"Neither")</f>
        <v>Neither</v>
      </c>
      <c r="Y829" s="1" t="str">
        <f ca="1">IFERROR(__xludf.DUMMYFUNCTION("""COMPUTED_VALUE"""),"No")</f>
        <v>No</v>
      </c>
      <c r="Z829" s="1"/>
      <c r="AA829" s="1"/>
      <c r="AB829" s="1" t="str">
        <f ca="1">IFERROR(__xludf.DUMMYFUNCTION("""COMPUTED_VALUE"""),"No")</f>
        <v>No</v>
      </c>
      <c r="AC829" s="1" t="str">
        <f ca="1">IFERROR(__xludf.DUMMYFUNCTION("""COMPUTED_VALUE"""),"No")</f>
        <v>No</v>
      </c>
      <c r="AD829" s="1" t="str">
        <f ca="1">IFERROR(__xludf.DUMMYFUNCTION("""COMPUTED_VALUE"""),"No")</f>
        <v>No</v>
      </c>
      <c r="AE829" s="1" t="str">
        <f ca="1">IFERROR(__xludf.DUMMYFUNCTION("""COMPUTED_VALUE"""),"No")</f>
        <v>No</v>
      </c>
      <c r="AF829" s="1" t="str">
        <f ca="1">IFERROR(__xludf.DUMMYFUNCTION("""COMPUTED_VALUE"""),"No")</f>
        <v>No</v>
      </c>
      <c r="AG829" s="1" t="str">
        <f ca="1">IFERROR(__xludf.DUMMYFUNCTION("""COMPUTED_VALUE"""),"No")</f>
        <v>No</v>
      </c>
      <c r="AH829" s="1"/>
    </row>
    <row r="830" spans="1:34" ht="12.5">
      <c r="A830" s="1" t="str">
        <f ca="1">IFERROR(__xludf.DUMMYFUNCTION("""COMPUTED_VALUE"""),"20210924MDWIB")</f>
        <v>20210924MDWIB</v>
      </c>
      <c r="B830" s="1">
        <f ca="1">IFERROR(__xludf.DUMMYFUNCTION("""COMPUTED_VALUE"""),9)</f>
        <v>9</v>
      </c>
      <c r="C830" s="1">
        <f ca="1">IFERROR(__xludf.DUMMYFUNCTION("""COMPUTED_VALUE"""),24)</f>
        <v>24</v>
      </c>
      <c r="D830" s="1">
        <f ca="1">IFERROR(__xludf.DUMMYFUNCTION("""COMPUTED_VALUE"""),2021)</f>
        <v>2021</v>
      </c>
      <c r="E830" s="4">
        <f ca="1">IFERROR(__xludf.DUMMYFUNCTION("""COMPUTED_VALUE"""),44463)</f>
        <v>44463</v>
      </c>
      <c r="F830" s="1" t="str">
        <f ca="1">IFERROR(__xludf.DUMMYFUNCTION("""COMPUTED_VALUE"""),"Wildwood Elementary/Middle School")</f>
        <v>Wildwood Elementary/Middle School</v>
      </c>
      <c r="G830" s="1">
        <f ca="1">IFERROR(__xludf.DUMMYFUNCTION("""COMPUTED_VALUE"""),0)</f>
        <v>0</v>
      </c>
      <c r="H830" s="1">
        <f ca="1">IFERROR(__xludf.DUMMYFUNCTION("""COMPUTED_VALUE"""),1)</f>
        <v>1</v>
      </c>
      <c r="I830" s="1">
        <f ca="1">IFERROR(__xludf.DUMMYFUNCTION("""COMPUTED_VALUE"""),1)</f>
        <v>1</v>
      </c>
      <c r="J830" s="1">
        <f ca="1">IFERROR(__xludf.DUMMYFUNCTION("""COMPUTED_VALUE"""),0)</f>
        <v>0</v>
      </c>
      <c r="K830" s="1" t="str">
        <f ca="1">IFERROR(__xludf.DUMMYFUNCTION("""COMPUTED_VALUE"""),"Fall")</f>
        <v>Fall</v>
      </c>
      <c r="L830" s="1" t="str">
        <f ca="1">IFERROR(__xludf.DUMMYFUNCTION("""COMPUTED_VALUE"""),"Baltimore")</f>
        <v>Baltimore</v>
      </c>
      <c r="M830" s="1" t="str">
        <f ca="1">IFERROR(__xludf.DUMMYFUNCTION("""COMPUTED_VALUE"""),"MD")</f>
        <v>MD</v>
      </c>
      <c r="N830" s="1" t="str">
        <f ca="1">IFERROR(__xludf.DUMMYFUNCTION("""COMPUTED_VALUE"""),"K-8")</f>
        <v>K-8</v>
      </c>
      <c r="O830" s="1" t="str">
        <f ca="1">IFERROR(__xludf.DUMMYFUNCTION("""COMPUTED_VALUE"""),"Outside on School Property")</f>
        <v>Outside on School Property</v>
      </c>
      <c r="P830" s="1" t="str">
        <f ca="1">IFERROR(__xludf.DUMMYFUNCTION("""COMPUTED_VALUE"""),"Outside on School Property")</f>
        <v>Outside on School Property</v>
      </c>
      <c r="Q830" s="1" t="str">
        <f ca="1">IFERROR(__xludf.DUMMYFUNCTION("""COMPUTED_VALUE"""),"No")</f>
        <v>No</v>
      </c>
      <c r="R830" s="1" t="str">
        <f ca="1">IFERROR(__xludf.DUMMYFUNCTION("""COMPUTED_VALUE"""),"Evening")</f>
        <v>Evening</v>
      </c>
      <c r="S830" s="5">
        <f ca="1">IFERROR(__xludf.DUMMYFUNCTION("""COMPUTED_VALUE"""),0.799305555555555)</f>
        <v>0.79930555555555505</v>
      </c>
      <c r="T830" s="1">
        <f ca="1">IFERROR(__xludf.DUMMYFUNCTION("""COMPUTED_VALUE"""),1)</f>
        <v>1</v>
      </c>
      <c r="U830" s="1" t="str">
        <f ca="1">IFERROR(__xludf.DUMMYFUNCTION("""COMPUTED_VALUE"""),"Teen shot outside of school")</f>
        <v>Teen shot outside of school</v>
      </c>
      <c r="V830" s="1" t="str">
        <f ca="1">IFERROR(__xludf.DUMMYFUNCTION("""COMPUTED_VALUE"""),"18-year-old male was shot outside of the school. Shooter fled.")</f>
        <v>18-year-old male was shot outside of the school. Shooter fled.</v>
      </c>
      <c r="W830" s="1"/>
      <c r="X830" s="1" t="str">
        <f ca="1">IFERROR(__xludf.DUMMYFUNCTION("""COMPUTED_VALUE"""),"Victims Targeted")</f>
        <v>Victims Targeted</v>
      </c>
      <c r="Y830" s="1" t="str">
        <f ca="1">IFERROR(__xludf.DUMMYFUNCTION("""COMPUTED_VALUE"""),"No")</f>
        <v>No</v>
      </c>
      <c r="Z830" s="1"/>
      <c r="AA830" s="1" t="str">
        <f ca="1">IFERROR(__xludf.DUMMYFUNCTION("""COMPUTED_VALUE"""),"No")</f>
        <v>No</v>
      </c>
      <c r="AB830" s="1" t="str">
        <f ca="1">IFERROR(__xludf.DUMMYFUNCTION("""COMPUTED_VALUE"""),"No")</f>
        <v>No</v>
      </c>
      <c r="AC830" s="1" t="str">
        <f ca="1">IFERROR(__xludf.DUMMYFUNCTION("""COMPUTED_VALUE"""),"No")</f>
        <v>No</v>
      </c>
      <c r="AD830" s="1" t="str">
        <f ca="1">IFERROR(__xludf.DUMMYFUNCTION("""COMPUTED_VALUE"""),"No")</f>
        <v>No</v>
      </c>
      <c r="AE830" s="1" t="str">
        <f ca="1">IFERROR(__xludf.DUMMYFUNCTION("""COMPUTED_VALUE"""),"No")</f>
        <v>No</v>
      </c>
      <c r="AF830" s="1"/>
      <c r="AG830" s="1" t="str">
        <f ca="1">IFERROR(__xludf.DUMMYFUNCTION("""COMPUTED_VALUE"""),"No")</f>
        <v>No</v>
      </c>
      <c r="AH830" s="1"/>
    </row>
    <row r="831" spans="1:34" ht="12.5">
      <c r="A831" s="1" t="str">
        <f ca="1">IFERROR(__xludf.DUMMYFUNCTION("""COMPUTED_VALUE"""),"20210924ALFAF")</f>
        <v>20210924ALFAF</v>
      </c>
      <c r="B831" s="1">
        <f ca="1">IFERROR(__xludf.DUMMYFUNCTION("""COMPUTED_VALUE"""),9)</f>
        <v>9</v>
      </c>
      <c r="C831" s="1">
        <f ca="1">IFERROR(__xludf.DUMMYFUNCTION("""COMPUTED_VALUE"""),24)</f>
        <v>24</v>
      </c>
      <c r="D831" s="1">
        <f ca="1">IFERROR(__xludf.DUMMYFUNCTION("""COMPUTED_VALUE"""),2021)</f>
        <v>2021</v>
      </c>
      <c r="E831" s="4">
        <f ca="1">IFERROR(__xludf.DUMMYFUNCTION("""COMPUTED_VALUE"""),44463)</f>
        <v>44463</v>
      </c>
      <c r="F831" s="1" t="str">
        <f ca="1">IFERROR(__xludf.DUMMYFUNCTION("""COMPUTED_VALUE"""),"Fairfield High Preparatory School")</f>
        <v>Fairfield High Preparatory School</v>
      </c>
      <c r="G831" s="1">
        <f ca="1">IFERROR(__xludf.DUMMYFUNCTION("""COMPUTED_VALUE"""),0)</f>
        <v>0</v>
      </c>
      <c r="H831" s="1">
        <f ca="1">IFERROR(__xludf.DUMMYFUNCTION("""COMPUTED_VALUE"""),1)</f>
        <v>1</v>
      </c>
      <c r="I831" s="1">
        <f ca="1">IFERROR(__xludf.DUMMYFUNCTION("""COMPUTED_VALUE"""),1)</f>
        <v>1</v>
      </c>
      <c r="J831" s="1">
        <f ca="1">IFERROR(__xludf.DUMMYFUNCTION("""COMPUTED_VALUE"""),0)</f>
        <v>0</v>
      </c>
      <c r="K831" s="1" t="str">
        <f ca="1">IFERROR(__xludf.DUMMYFUNCTION("""COMPUTED_VALUE"""),"Fall")</f>
        <v>Fall</v>
      </c>
      <c r="L831" s="1" t="str">
        <f ca="1">IFERROR(__xludf.DUMMYFUNCTION("""COMPUTED_VALUE"""),"Fairfield")</f>
        <v>Fairfield</v>
      </c>
      <c r="M831" s="1" t="str">
        <f ca="1">IFERROR(__xludf.DUMMYFUNCTION("""COMPUTED_VALUE"""),"AL")</f>
        <v>AL</v>
      </c>
      <c r="N831" s="1" t="str">
        <f ca="1">IFERROR(__xludf.DUMMYFUNCTION("""COMPUTED_VALUE"""),"High")</f>
        <v>High</v>
      </c>
      <c r="O831" s="1" t="str">
        <f ca="1">IFERROR(__xludf.DUMMYFUNCTION("""COMPUTED_VALUE"""),"Parking Lot")</f>
        <v>Parking Lot</v>
      </c>
      <c r="P831" s="1" t="str">
        <f ca="1">IFERROR(__xludf.DUMMYFUNCTION("""COMPUTED_VALUE"""),"Outside on School Property")</f>
        <v>Outside on School Property</v>
      </c>
      <c r="Q831" s="1" t="str">
        <f ca="1">IFERROR(__xludf.DUMMYFUNCTION("""COMPUTED_VALUE"""),"No")</f>
        <v>No</v>
      </c>
      <c r="R831" s="1" t="str">
        <f ca="1">IFERROR(__xludf.DUMMYFUNCTION("""COMPUTED_VALUE"""),"Sport Event")</f>
        <v>Sport Event</v>
      </c>
      <c r="S831" s="5">
        <f ca="1">IFERROR(__xludf.DUMMYFUNCTION("""COMPUTED_VALUE"""),0.907638888888888)</f>
        <v>0.907638888888888</v>
      </c>
      <c r="T831" s="1">
        <f ca="1">IFERROR(__xludf.DUMMYFUNCTION("""COMPUTED_VALUE"""),1)</f>
        <v>1</v>
      </c>
      <c r="U831" s="1" t="str">
        <f ca="1">IFERROR(__xludf.DUMMYFUNCTION("""COMPUTED_VALUE"""),"Shots fired at visiting fans in the parking lot")</f>
        <v>Shots fired at visiting fans in the parking lot</v>
      </c>
      <c r="V831" s="1" t="str">
        <f ca="1">IFERROR(__xludf.DUMMYFUNCTION("""COMPUTED_VALUE"""),"Multiple shots were fired at visiting fans in the parking lot outside of the football stadium. Shots were fired from an abandon house across the street. An adult male was struck and transported to the hospital. Police inside the stadium told players and f"&amp;"ans to get down and take cover. The game was cancelled.")</f>
        <v>Multiple shots were fired at visiting fans in the parking lot outside of the football stadium. Shots were fired from an abandon house across the street. An adult male was struck and transported to the hospital. Police inside the stadium told players and fans to get down and take cover. The game was cancelled.</v>
      </c>
      <c r="W831" s="1" t="str">
        <f ca="1">IFERROR(__xludf.DUMMYFUNCTION("""COMPUTED_VALUE"""),"Indiscriminate Shooting")</f>
        <v>Indiscriminate Shooting</v>
      </c>
      <c r="X831" s="1" t="str">
        <f ca="1">IFERROR(__xludf.DUMMYFUNCTION("""COMPUTED_VALUE"""),"Random Shooting")</f>
        <v>Random Shooting</v>
      </c>
      <c r="Y831" s="1" t="str">
        <f ca="1">IFERROR(__xludf.DUMMYFUNCTION("""COMPUTED_VALUE"""),"No")</f>
        <v>No</v>
      </c>
      <c r="Z831" s="1"/>
      <c r="AA831" s="1" t="str">
        <f ca="1">IFERROR(__xludf.DUMMYFUNCTION("""COMPUTED_VALUE"""),"No")</f>
        <v>No</v>
      </c>
      <c r="AB831" s="1" t="str">
        <f ca="1">IFERROR(__xludf.DUMMYFUNCTION("""COMPUTED_VALUE"""),"No")</f>
        <v>No</v>
      </c>
      <c r="AC831" s="1" t="str">
        <f ca="1">IFERROR(__xludf.DUMMYFUNCTION("""COMPUTED_VALUE"""),"No")</f>
        <v>No</v>
      </c>
      <c r="AD831" s="1" t="str">
        <f ca="1">IFERROR(__xludf.DUMMYFUNCTION("""COMPUTED_VALUE"""),"No")</f>
        <v>No</v>
      </c>
      <c r="AE831" s="1" t="str">
        <f ca="1">IFERROR(__xludf.DUMMYFUNCTION("""COMPUTED_VALUE"""),"No")</f>
        <v>No</v>
      </c>
      <c r="AF831" s="1" t="str">
        <f ca="1">IFERROR(__xludf.DUMMYFUNCTION("""COMPUTED_VALUE"""),"No")</f>
        <v>No</v>
      </c>
      <c r="AG831" s="1" t="str">
        <f ca="1">IFERROR(__xludf.DUMMYFUNCTION("""COMPUTED_VALUE"""),"No")</f>
        <v>No</v>
      </c>
      <c r="AH831" s="1"/>
    </row>
    <row r="832" spans="1:34" ht="12.5">
      <c r="A832" s="1" t="str">
        <f ca="1">IFERROR(__xludf.DUMMYFUNCTION("""COMPUTED_VALUE"""),"20210923IDRIR")</f>
        <v>20210923IDRIR</v>
      </c>
      <c r="B832" s="1">
        <f ca="1">IFERROR(__xludf.DUMMYFUNCTION("""COMPUTED_VALUE"""),9)</f>
        <v>9</v>
      </c>
      <c r="C832" s="1">
        <f ca="1">IFERROR(__xludf.DUMMYFUNCTION("""COMPUTED_VALUE"""),23)</f>
        <v>23</v>
      </c>
      <c r="D832" s="1">
        <f ca="1">IFERROR(__xludf.DUMMYFUNCTION("""COMPUTED_VALUE"""),2021)</f>
        <v>2021</v>
      </c>
      <c r="E832" s="4">
        <f ca="1">IFERROR(__xludf.DUMMYFUNCTION("""COMPUTED_VALUE"""),44462)</f>
        <v>44462</v>
      </c>
      <c r="F832" s="1" t="str">
        <f ca="1">IFERROR(__xludf.DUMMYFUNCTION("""COMPUTED_VALUE"""),"Rigby Middle School")</f>
        <v>Rigby Middle School</v>
      </c>
      <c r="G832" s="1">
        <f ca="1">IFERROR(__xludf.DUMMYFUNCTION("""COMPUTED_VALUE"""),0)</f>
        <v>0</v>
      </c>
      <c r="H832" s="1">
        <f ca="1">IFERROR(__xludf.DUMMYFUNCTION("""COMPUTED_VALUE"""),0)</f>
        <v>0</v>
      </c>
      <c r="I832" s="1">
        <f ca="1">IFERROR(__xludf.DUMMYFUNCTION("""COMPUTED_VALUE"""),0)</f>
        <v>0</v>
      </c>
      <c r="J832" s="1">
        <f ca="1">IFERROR(__xludf.DUMMYFUNCTION("""COMPUTED_VALUE"""),0)</f>
        <v>0</v>
      </c>
      <c r="K832" s="1" t="str">
        <f ca="1">IFERROR(__xludf.DUMMYFUNCTION("""COMPUTED_VALUE"""),"Fall")</f>
        <v>Fall</v>
      </c>
      <c r="L832" s="1" t="str">
        <f ca="1">IFERROR(__xludf.DUMMYFUNCTION("""COMPUTED_VALUE"""),"Rigby")</f>
        <v>Rigby</v>
      </c>
      <c r="M832" s="1" t="str">
        <f ca="1">IFERROR(__xludf.DUMMYFUNCTION("""COMPUTED_VALUE"""),"ID")</f>
        <v>ID</v>
      </c>
      <c r="N832" s="1" t="str">
        <f ca="1">IFERROR(__xludf.DUMMYFUNCTION("""COMPUTED_VALUE"""),"Middle")</f>
        <v>Middle</v>
      </c>
      <c r="O832" s="1" t="str">
        <f ca="1">IFERROR(__xludf.DUMMYFUNCTION("""COMPUTED_VALUE"""),"Bathroom")</f>
        <v>Bathroom</v>
      </c>
      <c r="P832" s="1" t="str">
        <f ca="1">IFERROR(__xludf.DUMMYFUNCTION("""COMPUTED_VALUE"""),"Inside School Building")</f>
        <v>Inside School Building</v>
      </c>
      <c r="Q832" s="1" t="str">
        <f ca="1">IFERROR(__xludf.DUMMYFUNCTION("""COMPUTED_VALUE"""),"Yes")</f>
        <v>Yes</v>
      </c>
      <c r="R832" s="1" t="str">
        <f ca="1">IFERROR(__xludf.DUMMYFUNCTION("""COMPUTED_VALUE"""),"Morning Classes")</f>
        <v>Morning Classes</v>
      </c>
      <c r="S832" s="1"/>
      <c r="T832" s="1">
        <f ca="1">IFERROR(__xludf.DUMMYFUNCTION("""COMPUTED_VALUE"""),1)</f>
        <v>1</v>
      </c>
      <c r="U832" s="1" t="str">
        <f ca="1">IFERROR(__xludf.DUMMYFUNCTION("""COMPUTED_VALUE"""),"Emotionally distressed student with a gun in the bathroom detained by SRO")</f>
        <v>Emotionally distressed student with a gun in the bathroom detained by SRO</v>
      </c>
      <c r="V832" s="1" t="str">
        <f ca="1">IFERROR(__xludf.DUMMYFUNCTION("""COMPUTED_VALUE"""),"Staff members were notified of an emotionally distressed female student in the bathroom. When a staff member checked on the student, they saw a gun and notified the SRO. The SRO was able to deescalate the situation, secure the weapon, and detain the stude"&amp;"nt. The school was locked down during the incident.")</f>
        <v>Staff members were notified of an emotionally distressed female student in the bathroom. When a staff member checked on the student, they saw a gun and notified the SRO. The SRO was able to deescalate the situation, secure the weapon, and detain the student. The school was locked down during the incident.</v>
      </c>
      <c r="W832" s="1" t="str">
        <f ca="1">IFERROR(__xludf.DUMMYFUNCTION("""COMPUTED_VALUE"""),"Suicide/Attempted")</f>
        <v>Suicide/Attempted</v>
      </c>
      <c r="X832" s="1" t="str">
        <f ca="1">IFERROR(__xludf.DUMMYFUNCTION("""COMPUTED_VALUE"""),"Victims Targeted")</f>
        <v>Victims Targeted</v>
      </c>
      <c r="Y832" s="1" t="str">
        <f ca="1">IFERROR(__xludf.DUMMYFUNCTION("""COMPUTED_VALUE"""),"No")</f>
        <v>No</v>
      </c>
      <c r="Z832" s="1"/>
      <c r="AA832" s="1" t="str">
        <f ca="1">IFERROR(__xludf.DUMMYFUNCTION("""COMPUTED_VALUE"""),"No")</f>
        <v>No</v>
      </c>
      <c r="AB832" s="1" t="str">
        <f ca="1">IFERROR(__xludf.DUMMYFUNCTION("""COMPUTED_VALUE"""),"No")</f>
        <v>No</v>
      </c>
      <c r="AC832" s="1" t="str">
        <f ca="1">IFERROR(__xludf.DUMMYFUNCTION("""COMPUTED_VALUE"""),"No")</f>
        <v>No</v>
      </c>
      <c r="AD832" s="1" t="str">
        <f ca="1">IFERROR(__xludf.DUMMYFUNCTION("""COMPUTED_VALUE"""),"No")</f>
        <v>No</v>
      </c>
      <c r="AE832" s="1" t="str">
        <f ca="1">IFERROR(__xludf.DUMMYFUNCTION("""COMPUTED_VALUE"""),"No")</f>
        <v>No</v>
      </c>
      <c r="AF832" s="1" t="str">
        <f ca="1">IFERROR(__xludf.DUMMYFUNCTION("""COMPUTED_VALUE"""),"No")</f>
        <v>No</v>
      </c>
      <c r="AG832" s="1" t="str">
        <f ca="1">IFERROR(__xludf.DUMMYFUNCTION("""COMPUTED_VALUE"""),"No")</f>
        <v>No</v>
      </c>
      <c r="AH832" s="1">
        <f ca="1">IFERROR(__xludf.DUMMYFUNCTION("""COMPUTED_VALUE"""),0)</f>
        <v>0</v>
      </c>
    </row>
    <row r="833" spans="1:34" ht="12.5">
      <c r="A833" s="1" t="str">
        <f ca="1">IFERROR(__xludf.DUMMYFUNCTION("""COMPUTED_VALUE"""),"20210922NYSOB")</f>
        <v>20210922NYSOB</v>
      </c>
      <c r="B833" s="1">
        <f ca="1">IFERROR(__xludf.DUMMYFUNCTION("""COMPUTED_VALUE"""),9)</f>
        <v>9</v>
      </c>
      <c r="C833" s="1">
        <f ca="1">IFERROR(__xludf.DUMMYFUNCTION("""COMPUTED_VALUE"""),22)</f>
        <v>22</v>
      </c>
      <c r="D833" s="1">
        <f ca="1">IFERROR(__xludf.DUMMYFUNCTION("""COMPUTED_VALUE"""),2021)</f>
        <v>2021</v>
      </c>
      <c r="E833" s="4">
        <f ca="1">IFERROR(__xludf.DUMMYFUNCTION("""COMPUTED_VALUE"""),44461)</f>
        <v>44461</v>
      </c>
      <c r="F833" s="1" t="str">
        <f ca="1">IFERROR(__xludf.DUMMYFUNCTION("""COMPUTED_VALUE"""),"South Shore High School")</f>
        <v>South Shore High School</v>
      </c>
      <c r="G833" s="1">
        <f ca="1">IFERROR(__xludf.DUMMYFUNCTION("""COMPUTED_VALUE"""),0)</f>
        <v>0</v>
      </c>
      <c r="H833" s="1">
        <f ca="1">IFERROR(__xludf.DUMMYFUNCTION("""COMPUTED_VALUE"""),1)</f>
        <v>1</v>
      </c>
      <c r="I833" s="1">
        <f ca="1">IFERROR(__xludf.DUMMYFUNCTION("""COMPUTED_VALUE"""),1)</f>
        <v>1</v>
      </c>
      <c r="J833" s="1">
        <f ca="1">IFERROR(__xludf.DUMMYFUNCTION("""COMPUTED_VALUE"""),0)</f>
        <v>0</v>
      </c>
      <c r="K833" s="1" t="str">
        <f ca="1">IFERROR(__xludf.DUMMYFUNCTION("""COMPUTED_VALUE"""),"Fall")</f>
        <v>Fall</v>
      </c>
      <c r="L833" s="1" t="str">
        <f ca="1">IFERROR(__xludf.DUMMYFUNCTION("""COMPUTED_VALUE"""),"Brooklyn")</f>
        <v>Brooklyn</v>
      </c>
      <c r="M833" s="1" t="str">
        <f ca="1">IFERROR(__xludf.DUMMYFUNCTION("""COMPUTED_VALUE"""),"NY")</f>
        <v>NY</v>
      </c>
      <c r="N833" s="1" t="str">
        <f ca="1">IFERROR(__xludf.DUMMYFUNCTION("""COMPUTED_VALUE"""),"High")</f>
        <v>High</v>
      </c>
      <c r="O833" s="1" t="str">
        <f ca="1">IFERROR(__xludf.DUMMYFUNCTION("""COMPUTED_VALUE"""),"Front of School")</f>
        <v>Front of School</v>
      </c>
      <c r="P833" s="1" t="str">
        <f ca="1">IFERROR(__xludf.DUMMYFUNCTION("""COMPUTED_VALUE"""),"Outside on School Property")</f>
        <v>Outside on School Property</v>
      </c>
      <c r="Q833" s="1" t="str">
        <f ca="1">IFERROR(__xludf.DUMMYFUNCTION("""COMPUTED_VALUE"""),"Yes")</f>
        <v>Yes</v>
      </c>
      <c r="R833" s="1" t="str">
        <f ca="1">IFERROR(__xludf.DUMMYFUNCTION("""COMPUTED_VALUE"""),"School Start")</f>
        <v>School Start</v>
      </c>
      <c r="S833" s="5">
        <f ca="1">IFERROR(__xludf.DUMMYFUNCTION("""COMPUTED_VALUE"""),0.364583333333333)</f>
        <v>0.36458333333333298</v>
      </c>
      <c r="T833" s="1">
        <f ca="1">IFERROR(__xludf.DUMMYFUNCTION("""COMPUTED_VALUE"""),1)</f>
        <v>1</v>
      </c>
      <c r="U833" s="1" t="str">
        <f ca="1">IFERROR(__xludf.DUMMYFUNCTION("""COMPUTED_VALUE"""),"Teen shot outside school, ran inside for help")</f>
        <v>Teen shot outside school, ran inside for help</v>
      </c>
      <c r="V833" s="1" t="str">
        <f ca="1">IFERROR(__xludf.DUMMYFUNCTION("""COMPUTED_VALUE"""),"A 17-year-old teen was shot outside of the school. He ran into the building for help. Shooter fled. Police responded to the school and victim was transported to the hospital.")</f>
        <v>A 17-year-old teen was shot outside of the school. He ran into the building for help. Shooter fled. Police responded to the school and victim was transported to the hospital.</v>
      </c>
      <c r="W833" s="1"/>
      <c r="X833" s="1"/>
      <c r="Y833" s="1" t="str">
        <f ca="1">IFERROR(__xludf.DUMMYFUNCTION("""COMPUTED_VALUE"""),"No")</f>
        <v>No</v>
      </c>
      <c r="Z833" s="1"/>
      <c r="AA833" s="1" t="str">
        <f ca="1">IFERROR(__xludf.DUMMYFUNCTION("""COMPUTED_VALUE"""),"No")</f>
        <v>No</v>
      </c>
      <c r="AB833" s="1" t="str">
        <f ca="1">IFERROR(__xludf.DUMMYFUNCTION("""COMPUTED_VALUE"""),"No")</f>
        <v>No</v>
      </c>
      <c r="AC833" s="1" t="str">
        <f ca="1">IFERROR(__xludf.DUMMYFUNCTION("""COMPUTED_VALUE"""),"No")</f>
        <v>No</v>
      </c>
      <c r="AD833" s="1" t="str">
        <f ca="1">IFERROR(__xludf.DUMMYFUNCTION("""COMPUTED_VALUE"""),"No")</f>
        <v>No</v>
      </c>
      <c r="AE833" s="1" t="str">
        <f ca="1">IFERROR(__xludf.DUMMYFUNCTION("""COMPUTED_VALUE"""),"No")</f>
        <v>No</v>
      </c>
      <c r="AF833" s="1"/>
      <c r="AG833" s="1" t="str">
        <f ca="1">IFERROR(__xludf.DUMMYFUNCTION("""COMPUTED_VALUE"""),"No")</f>
        <v>No</v>
      </c>
      <c r="AH833" s="1"/>
    </row>
    <row r="834" spans="1:34" ht="12.5">
      <c r="A834" s="1" t="str">
        <f ca="1">IFERROR(__xludf.DUMMYFUNCTION("""COMPUTED_VALUE"""),"20210922CTLIN")</f>
        <v>20210922CTLIN</v>
      </c>
      <c r="B834" s="1">
        <f ca="1">IFERROR(__xludf.DUMMYFUNCTION("""COMPUTED_VALUE"""),9)</f>
        <v>9</v>
      </c>
      <c r="C834" s="1">
        <f ca="1">IFERROR(__xludf.DUMMYFUNCTION("""COMPUTED_VALUE"""),22)</f>
        <v>22</v>
      </c>
      <c r="D834" s="1">
        <f ca="1">IFERROR(__xludf.DUMMYFUNCTION("""COMPUTED_VALUE"""),2021)</f>
        <v>2021</v>
      </c>
      <c r="E834" s="4">
        <f ca="1">IFERROR(__xludf.DUMMYFUNCTION("""COMPUTED_VALUE"""),44461)</f>
        <v>44461</v>
      </c>
      <c r="F834" s="1" t="str">
        <f ca="1">IFERROR(__xludf.DUMMYFUNCTION("""COMPUTED_VALUE"""),"Lincoln-Bassett Community School")</f>
        <v>Lincoln-Bassett Community School</v>
      </c>
      <c r="G834" s="1">
        <f ca="1">IFERROR(__xludf.DUMMYFUNCTION("""COMPUTED_VALUE"""),0)</f>
        <v>0</v>
      </c>
      <c r="H834" s="1">
        <f ca="1">IFERROR(__xludf.DUMMYFUNCTION("""COMPUTED_VALUE"""),0)</f>
        <v>0</v>
      </c>
      <c r="I834" s="1">
        <f ca="1">IFERROR(__xludf.DUMMYFUNCTION("""COMPUTED_VALUE"""),0)</f>
        <v>0</v>
      </c>
      <c r="J834" s="1">
        <f ca="1">IFERROR(__xludf.DUMMYFUNCTION("""COMPUTED_VALUE"""),0)</f>
        <v>0</v>
      </c>
      <c r="K834" s="1" t="str">
        <f ca="1">IFERROR(__xludf.DUMMYFUNCTION("""COMPUTED_VALUE"""),"Fall")</f>
        <v>Fall</v>
      </c>
      <c r="L834" s="1" t="str">
        <f ca="1">IFERROR(__xludf.DUMMYFUNCTION("""COMPUTED_VALUE"""),"New Haven")</f>
        <v>New Haven</v>
      </c>
      <c r="M834" s="1" t="str">
        <f ca="1">IFERROR(__xludf.DUMMYFUNCTION("""COMPUTED_VALUE"""),"CT")</f>
        <v>CT</v>
      </c>
      <c r="N834" s="1" t="str">
        <f ca="1">IFERROR(__xludf.DUMMYFUNCTION("""COMPUTED_VALUE"""),"Elementary")</f>
        <v>Elementary</v>
      </c>
      <c r="O834" s="1" t="str">
        <f ca="1">IFERROR(__xludf.DUMMYFUNCTION("""COMPUTED_VALUE"""),"Off School Property")</f>
        <v>Off School Property</v>
      </c>
      <c r="P834" s="1" t="str">
        <f ca="1">IFERROR(__xludf.DUMMYFUNCTION("""COMPUTED_VALUE"""),"Outside on School Property")</f>
        <v>Outside on School Property</v>
      </c>
      <c r="Q834" s="1" t="str">
        <f ca="1">IFERROR(__xludf.DUMMYFUNCTION("""COMPUTED_VALUE"""),"Yes")</f>
        <v>Yes</v>
      </c>
      <c r="R834" s="1" t="str">
        <f ca="1">IFERROR(__xludf.DUMMYFUNCTION("""COMPUTED_VALUE"""),"Lunch")</f>
        <v>Lunch</v>
      </c>
      <c r="S834" s="5">
        <f ca="1">IFERROR(__xludf.DUMMYFUNCTION("""COMPUTED_VALUE"""),0.458333333333333)</f>
        <v>0.45833333333333298</v>
      </c>
      <c r="T834" s="1">
        <f ca="1">IFERROR(__xludf.DUMMYFUNCTION("""COMPUTED_VALUE"""),1)</f>
        <v>1</v>
      </c>
      <c r="U834" s="1" t="str">
        <f ca="1">IFERROR(__xludf.DUMMYFUNCTION("""COMPUTED_VALUE"""),"Shots fired while students were outside for recess")</f>
        <v>Shots fired while students were outside for recess</v>
      </c>
      <c r="V834" s="1" t="str">
        <f ca="1">IFERROR(__xludf.DUMMYFUNCTION("""COMPUTED_VALUE"""),"Shots were fired from a vehicle near the school while children were outside for recess. Security officers and staff moved students inside and locked down until police arrived. No students or staff were injured.")</f>
        <v>Shots were fired from a vehicle near the school while children were outside for recess. Security officers and staff moved students inside and locked down until police arrived. No students or staff were injured.</v>
      </c>
      <c r="W834" s="1" t="str">
        <f ca="1">IFERROR(__xludf.DUMMYFUNCTION("""COMPUTED_VALUE"""),"Drive-by Shooting")</f>
        <v>Drive-by Shooting</v>
      </c>
      <c r="X834" s="1" t="str">
        <f ca="1">IFERROR(__xludf.DUMMYFUNCTION("""COMPUTED_VALUE"""),"Neither")</f>
        <v>Neither</v>
      </c>
      <c r="Y834" s="1" t="str">
        <f ca="1">IFERROR(__xludf.DUMMYFUNCTION("""COMPUTED_VALUE"""),"No")</f>
        <v>No</v>
      </c>
      <c r="Z834" s="1"/>
      <c r="AA834" s="1" t="str">
        <f ca="1">IFERROR(__xludf.DUMMYFUNCTION("""COMPUTED_VALUE"""),"No")</f>
        <v>No</v>
      </c>
      <c r="AB834" s="1" t="str">
        <f ca="1">IFERROR(__xludf.DUMMYFUNCTION("""COMPUTED_VALUE"""),"No")</f>
        <v>No</v>
      </c>
      <c r="AC834" s="1" t="str">
        <f ca="1">IFERROR(__xludf.DUMMYFUNCTION("""COMPUTED_VALUE"""),"No")</f>
        <v>No</v>
      </c>
      <c r="AD834" s="1" t="str">
        <f ca="1">IFERROR(__xludf.DUMMYFUNCTION("""COMPUTED_VALUE"""),"No")</f>
        <v>No</v>
      </c>
      <c r="AE834" s="1" t="str">
        <f ca="1">IFERROR(__xludf.DUMMYFUNCTION("""COMPUTED_VALUE"""),"No")</f>
        <v>No</v>
      </c>
      <c r="AF834" s="1"/>
      <c r="AG834" s="1" t="str">
        <f ca="1">IFERROR(__xludf.DUMMYFUNCTION("""COMPUTED_VALUE"""),"No")</f>
        <v>No</v>
      </c>
      <c r="AH834" s="1"/>
    </row>
    <row r="835" spans="1:34" ht="12.5">
      <c r="A835" s="1" t="str">
        <f ca="1">IFERROR(__xludf.DUMMYFUNCTION("""COMPUTED_VALUE"""),"20210921PAVAP")</f>
        <v>20210921PAVAP</v>
      </c>
      <c r="B835" s="1">
        <f ca="1">IFERROR(__xludf.DUMMYFUNCTION("""COMPUTED_VALUE"""),9)</f>
        <v>9</v>
      </c>
      <c r="C835" s="1">
        <f ca="1">IFERROR(__xludf.DUMMYFUNCTION("""COMPUTED_VALUE"""),21)</f>
        <v>21</v>
      </c>
      <c r="D835" s="1">
        <f ca="1">IFERROR(__xludf.DUMMYFUNCTION("""COMPUTED_VALUE"""),2021)</f>
        <v>2021</v>
      </c>
      <c r="E835" s="4">
        <f ca="1">IFERROR(__xludf.DUMMYFUNCTION("""COMPUTED_VALUE"""),44460)</f>
        <v>44460</v>
      </c>
      <c r="F835" s="1" t="str">
        <f ca="1">IFERROR(__xludf.DUMMYFUNCTION("""COMPUTED_VALUE"""),"Vaux Big Picture High School")</f>
        <v>Vaux Big Picture High School</v>
      </c>
      <c r="G835" s="1">
        <f ca="1">IFERROR(__xludf.DUMMYFUNCTION("""COMPUTED_VALUE"""),0)</f>
        <v>0</v>
      </c>
      <c r="H835" s="1">
        <f ca="1">IFERROR(__xludf.DUMMYFUNCTION("""COMPUTED_VALUE"""),1)</f>
        <v>1</v>
      </c>
      <c r="I835" s="1">
        <f ca="1">IFERROR(__xludf.DUMMYFUNCTION("""COMPUTED_VALUE"""),1)</f>
        <v>1</v>
      </c>
      <c r="J835" s="1">
        <f ca="1">IFERROR(__xludf.DUMMYFUNCTION("""COMPUTED_VALUE"""),0)</f>
        <v>0</v>
      </c>
      <c r="K835" s="1" t="str">
        <f ca="1">IFERROR(__xludf.DUMMYFUNCTION("""COMPUTED_VALUE"""),"Fall")</f>
        <v>Fall</v>
      </c>
      <c r="L835" s="1" t="str">
        <f ca="1">IFERROR(__xludf.DUMMYFUNCTION("""COMPUTED_VALUE"""),"Philadelphia")</f>
        <v>Philadelphia</v>
      </c>
      <c r="M835" s="1" t="str">
        <f ca="1">IFERROR(__xludf.DUMMYFUNCTION("""COMPUTED_VALUE"""),"PA")</f>
        <v>PA</v>
      </c>
      <c r="N835" s="1" t="str">
        <f ca="1">IFERROR(__xludf.DUMMYFUNCTION("""COMPUTED_VALUE"""),"High")</f>
        <v>High</v>
      </c>
      <c r="O835" s="1" t="str">
        <f ca="1">IFERROR(__xludf.DUMMYFUNCTION("""COMPUTED_VALUE"""),"Front of School")</f>
        <v>Front of School</v>
      </c>
      <c r="P835" s="1" t="str">
        <f ca="1">IFERROR(__xludf.DUMMYFUNCTION("""COMPUTED_VALUE"""),"Outside on School Property")</f>
        <v>Outside on School Property</v>
      </c>
      <c r="Q835" s="1" t="str">
        <f ca="1">IFERROR(__xludf.DUMMYFUNCTION("""COMPUTED_VALUE"""),"Yes")</f>
        <v>Yes</v>
      </c>
      <c r="R835" s="1" t="str">
        <f ca="1">IFERROR(__xludf.DUMMYFUNCTION("""COMPUTED_VALUE"""),"Dismissal")</f>
        <v>Dismissal</v>
      </c>
      <c r="S835" s="5">
        <f ca="1">IFERROR(__xludf.DUMMYFUNCTION("""COMPUTED_VALUE"""),0.622916666666666)</f>
        <v>0.62291666666666601</v>
      </c>
      <c r="T835" s="1">
        <f ca="1">IFERROR(__xludf.DUMMYFUNCTION("""COMPUTED_VALUE"""),1)</f>
        <v>1</v>
      </c>
      <c r="U835" s="1" t="str">
        <f ca="1">IFERROR(__xludf.DUMMYFUNCTION("""COMPUTED_VALUE"""),"Student shot in front of school during dismissal")</f>
        <v>Student shot in front of school during dismissal</v>
      </c>
      <c r="V835" s="1" t="str">
        <f ca="1">IFERROR(__xludf.DUMMYFUNCTION("""COMPUTED_VALUE"""),"A 15-year-old male student was shot in the leg during dismissal. Shooter fled.")</f>
        <v>A 15-year-old male student was shot in the leg during dismissal. Shooter fled.</v>
      </c>
      <c r="W835" s="1"/>
      <c r="X835" s="1" t="str">
        <f ca="1">IFERROR(__xludf.DUMMYFUNCTION("""COMPUTED_VALUE"""),"Victims Targeted")</f>
        <v>Victims Targeted</v>
      </c>
      <c r="Y835" s="1" t="str">
        <f ca="1">IFERROR(__xludf.DUMMYFUNCTION("""COMPUTED_VALUE"""),"No")</f>
        <v>No</v>
      </c>
      <c r="Z835" s="1"/>
      <c r="AA835" s="1" t="str">
        <f ca="1">IFERROR(__xludf.DUMMYFUNCTION("""COMPUTED_VALUE"""),"No")</f>
        <v>No</v>
      </c>
      <c r="AB835" s="1" t="str">
        <f ca="1">IFERROR(__xludf.DUMMYFUNCTION("""COMPUTED_VALUE"""),"No")</f>
        <v>No</v>
      </c>
      <c r="AC835" s="1" t="str">
        <f ca="1">IFERROR(__xludf.DUMMYFUNCTION("""COMPUTED_VALUE"""),"No")</f>
        <v>No</v>
      </c>
      <c r="AD835" s="1" t="str">
        <f ca="1">IFERROR(__xludf.DUMMYFUNCTION("""COMPUTED_VALUE"""),"No")</f>
        <v>No</v>
      </c>
      <c r="AE835" s="1" t="str">
        <f ca="1">IFERROR(__xludf.DUMMYFUNCTION("""COMPUTED_VALUE"""),"No")</f>
        <v>No</v>
      </c>
      <c r="AF835" s="1"/>
      <c r="AG835" s="1" t="str">
        <f ca="1">IFERROR(__xludf.DUMMYFUNCTION("""COMPUTED_VALUE"""),"No")</f>
        <v>No</v>
      </c>
      <c r="AH835" s="1"/>
    </row>
    <row r="836" spans="1:34" ht="12.5">
      <c r="A836" s="1" t="str">
        <f ca="1">IFERROR(__xludf.DUMMYFUNCTION("""COMPUTED_VALUE"""),"20210921OHMIM")</f>
        <v>20210921OHMIM</v>
      </c>
      <c r="B836" s="1">
        <f ca="1">IFERROR(__xludf.DUMMYFUNCTION("""COMPUTED_VALUE"""),9)</f>
        <v>9</v>
      </c>
      <c r="C836" s="1">
        <f ca="1">IFERROR(__xludf.DUMMYFUNCTION("""COMPUTED_VALUE"""),21)</f>
        <v>21</v>
      </c>
      <c r="D836" s="1">
        <f ca="1">IFERROR(__xludf.DUMMYFUNCTION("""COMPUTED_VALUE"""),2021)</f>
        <v>2021</v>
      </c>
      <c r="E836" s="4">
        <f ca="1">IFERROR(__xludf.DUMMYFUNCTION("""COMPUTED_VALUE"""),44460)</f>
        <v>44460</v>
      </c>
      <c r="F836" s="1" t="str">
        <f ca="1">IFERROR(__xludf.DUMMYFUNCTION("""COMPUTED_VALUE"""),"Middletown Preparatory and Fitness Academy")</f>
        <v>Middletown Preparatory and Fitness Academy</v>
      </c>
      <c r="G836" s="1">
        <f ca="1">IFERROR(__xludf.DUMMYFUNCTION("""COMPUTED_VALUE"""),0)</f>
        <v>0</v>
      </c>
      <c r="H836" s="1">
        <f ca="1">IFERROR(__xludf.DUMMYFUNCTION("""COMPUTED_VALUE"""),0)</f>
        <v>0</v>
      </c>
      <c r="I836" s="1">
        <f ca="1">IFERROR(__xludf.DUMMYFUNCTION("""COMPUTED_VALUE"""),0)</f>
        <v>0</v>
      </c>
      <c r="J836" s="1">
        <f ca="1">IFERROR(__xludf.DUMMYFUNCTION("""COMPUTED_VALUE"""),0)</f>
        <v>0</v>
      </c>
      <c r="K836" s="1" t="str">
        <f ca="1">IFERROR(__xludf.DUMMYFUNCTION("""COMPUTED_VALUE"""),"Fall")</f>
        <v>Fall</v>
      </c>
      <c r="L836" s="1" t="str">
        <f ca="1">IFERROR(__xludf.DUMMYFUNCTION("""COMPUTED_VALUE"""),"Middletown")</f>
        <v>Middletown</v>
      </c>
      <c r="M836" s="1" t="str">
        <f ca="1">IFERROR(__xludf.DUMMYFUNCTION("""COMPUTED_VALUE"""),"OH")</f>
        <v>OH</v>
      </c>
      <c r="N836" s="1" t="str">
        <f ca="1">IFERROR(__xludf.DUMMYFUNCTION("""COMPUTED_VALUE"""),"High")</f>
        <v>High</v>
      </c>
      <c r="O836" s="1" t="str">
        <f ca="1">IFERROR(__xludf.DUMMYFUNCTION("""COMPUTED_VALUE"""),"School Bus")</f>
        <v>School Bus</v>
      </c>
      <c r="P836" s="1" t="str">
        <f ca="1">IFERROR(__xludf.DUMMYFUNCTION("""COMPUTED_VALUE"""),"School Bus")</f>
        <v>School Bus</v>
      </c>
      <c r="Q836" s="1" t="str">
        <f ca="1">IFERROR(__xludf.DUMMYFUNCTION("""COMPUTED_VALUE"""),"Yes")</f>
        <v>Yes</v>
      </c>
      <c r="R836" s="1" t="str">
        <f ca="1">IFERROR(__xludf.DUMMYFUNCTION("""COMPUTED_VALUE"""),"Dismissal")</f>
        <v>Dismissal</v>
      </c>
      <c r="S836" s="5">
        <f ca="1">IFERROR(__xludf.DUMMYFUNCTION("""COMPUTED_VALUE"""),0.625)</f>
        <v>0.625</v>
      </c>
      <c r="T836" s="1">
        <f ca="1">IFERROR(__xludf.DUMMYFUNCTION("""COMPUTED_VALUE"""),1)</f>
        <v>1</v>
      </c>
      <c r="U836" s="1" t="str">
        <f ca="1">IFERROR(__xludf.DUMMYFUNCTION("""COMPUTED_VALUE"""),"Occupied school bus shot by multiple BBs")</f>
        <v>Occupied school bus shot by multiple BBs</v>
      </c>
      <c r="V836" s="1" t="str">
        <f ca="1">IFERROR(__xludf.DUMMYFUNCTION("""COMPUTED_VALUE"""),"An occupied school bus leaving the school was shot with multiple BBs. The school bus driver stopped and notified police. No students were injured. Parents drove to the bus to pick their children up. Shooter fled.")</f>
        <v>An occupied school bus leaving the school was shot with multiple BBs. The school bus driver stopped and notified police. No students were injured. Parents drove to the bus to pick their children up. Shooter fled.</v>
      </c>
      <c r="W836" s="1" t="str">
        <f ca="1">IFERROR(__xludf.DUMMYFUNCTION("""COMPUTED_VALUE"""),"Intentional Property Damage")</f>
        <v>Intentional Property Damage</v>
      </c>
      <c r="X836" s="1" t="str">
        <f ca="1">IFERROR(__xludf.DUMMYFUNCTION("""COMPUTED_VALUE"""),"Neither")</f>
        <v>Neither</v>
      </c>
      <c r="Y836" s="1" t="str">
        <f ca="1">IFERROR(__xludf.DUMMYFUNCTION("""COMPUTED_VALUE"""),"No")</f>
        <v>No</v>
      </c>
      <c r="Z836" s="1"/>
      <c r="AA836" s="1" t="str">
        <f ca="1">IFERROR(__xludf.DUMMYFUNCTION("""COMPUTED_VALUE"""),"No")</f>
        <v>No</v>
      </c>
      <c r="AB836" s="1" t="str">
        <f ca="1">IFERROR(__xludf.DUMMYFUNCTION("""COMPUTED_VALUE"""),"No")</f>
        <v>No</v>
      </c>
      <c r="AC836" s="1" t="str">
        <f ca="1">IFERROR(__xludf.DUMMYFUNCTION("""COMPUTED_VALUE"""),"No")</f>
        <v>No</v>
      </c>
      <c r="AD836" s="1" t="str">
        <f ca="1">IFERROR(__xludf.DUMMYFUNCTION("""COMPUTED_VALUE"""),"No")</f>
        <v>No</v>
      </c>
      <c r="AE836" s="1" t="str">
        <f ca="1">IFERROR(__xludf.DUMMYFUNCTION("""COMPUTED_VALUE"""),"No")</f>
        <v>No</v>
      </c>
      <c r="AF836" s="1" t="str">
        <f ca="1">IFERROR(__xludf.DUMMYFUNCTION("""COMPUTED_VALUE"""),"No")</f>
        <v>No</v>
      </c>
      <c r="AG836" s="1" t="str">
        <f ca="1">IFERROR(__xludf.DUMMYFUNCTION("""COMPUTED_VALUE"""),"No")</f>
        <v>No</v>
      </c>
      <c r="AH836" s="1"/>
    </row>
    <row r="837" spans="1:34" ht="12.5">
      <c r="A837" s="1" t="str">
        <f ca="1">IFERROR(__xludf.DUMMYFUNCTION("""COMPUTED_VALUE"""),"20210921KSEAW")</f>
        <v>20210921KSEAW</v>
      </c>
      <c r="B837" s="1">
        <f ca="1">IFERROR(__xludf.DUMMYFUNCTION("""COMPUTED_VALUE"""),9)</f>
        <v>9</v>
      </c>
      <c r="C837" s="1">
        <f ca="1">IFERROR(__xludf.DUMMYFUNCTION("""COMPUTED_VALUE"""),21)</f>
        <v>21</v>
      </c>
      <c r="D837" s="1">
        <f ca="1">IFERROR(__xludf.DUMMYFUNCTION("""COMPUTED_VALUE"""),2021)</f>
        <v>2021</v>
      </c>
      <c r="E837" s="4">
        <f ca="1">IFERROR(__xludf.DUMMYFUNCTION("""COMPUTED_VALUE"""),44460)</f>
        <v>44460</v>
      </c>
      <c r="F837" s="1" t="str">
        <f ca="1">IFERROR(__xludf.DUMMYFUNCTION("""COMPUTED_VALUE"""),"East High School")</f>
        <v>East High School</v>
      </c>
      <c r="G837" s="1">
        <f ca="1">IFERROR(__xludf.DUMMYFUNCTION("""COMPUTED_VALUE"""),0)</f>
        <v>0</v>
      </c>
      <c r="H837" s="1">
        <f ca="1">IFERROR(__xludf.DUMMYFUNCTION("""COMPUTED_VALUE"""),3)</f>
        <v>3</v>
      </c>
      <c r="I837" s="1">
        <f ca="1">IFERROR(__xludf.DUMMYFUNCTION("""COMPUTED_VALUE"""),3)</f>
        <v>3</v>
      </c>
      <c r="J837" s="1">
        <f ca="1">IFERROR(__xludf.DUMMYFUNCTION("""COMPUTED_VALUE"""),0)</f>
        <v>0</v>
      </c>
      <c r="K837" s="1" t="str">
        <f ca="1">IFERROR(__xludf.DUMMYFUNCTION("""COMPUTED_VALUE"""),"Fall")</f>
        <v>Fall</v>
      </c>
      <c r="L837" s="1" t="str">
        <f ca="1">IFERROR(__xludf.DUMMYFUNCTION("""COMPUTED_VALUE"""),"Wichita")</f>
        <v>Wichita</v>
      </c>
      <c r="M837" s="1" t="str">
        <f ca="1">IFERROR(__xludf.DUMMYFUNCTION("""COMPUTED_VALUE"""),"KS")</f>
        <v>KS</v>
      </c>
      <c r="N837" s="1" t="str">
        <f ca="1">IFERROR(__xludf.DUMMYFUNCTION("""COMPUTED_VALUE"""),"High")</f>
        <v>High</v>
      </c>
      <c r="O837" s="1" t="str">
        <f ca="1">IFERROR(__xludf.DUMMYFUNCTION("""COMPUTED_VALUE"""),"Front of School")</f>
        <v>Front of School</v>
      </c>
      <c r="P837" s="1" t="str">
        <f ca="1">IFERROR(__xludf.DUMMYFUNCTION("""COMPUTED_VALUE"""),"Outside on School Property")</f>
        <v>Outside on School Property</v>
      </c>
      <c r="Q837" s="1" t="str">
        <f ca="1">IFERROR(__xludf.DUMMYFUNCTION("""COMPUTED_VALUE"""),"Yes")</f>
        <v>Yes</v>
      </c>
      <c r="R837" s="1" t="str">
        <f ca="1">IFERROR(__xludf.DUMMYFUNCTION("""COMPUTED_VALUE"""),"Lunch")</f>
        <v>Lunch</v>
      </c>
      <c r="S837" s="5">
        <f ca="1">IFERROR(__xludf.DUMMYFUNCTION("""COMPUTED_VALUE"""),0.520833333333333)</f>
        <v>0.52083333333333304</v>
      </c>
      <c r="T837" s="1">
        <f ca="1">IFERROR(__xludf.DUMMYFUNCTION("""COMPUTED_VALUE"""),1)</f>
        <v>1</v>
      </c>
      <c r="U837" s="1" t="str">
        <f ca="1">IFERROR(__xludf.DUMMYFUNCTION("""COMPUTED_VALUE"""),"Three students shot outside school during lunch")</f>
        <v>Three students shot outside school during lunch</v>
      </c>
      <c r="V837" s="1" t="str">
        <f ca="1">IFERROR(__xludf.DUMMYFUNCTION("""COMPUTED_VALUE"""),"Shots were fired from off the school campus in the direction of the school during lunch time. Three students were wounded and bullets struck the school building. Three teen suspects were arrested. The shooting was related to an ongoing dispute. The victim"&amp;"s were targeted.")</f>
        <v>Shots were fired from off the school campus in the direction of the school during lunch time. Three students were wounded and bullets struck the school building. Three teen suspects were arrested. The shooting was related to an ongoing dispute. The victims were targeted.</v>
      </c>
      <c r="W837" s="1" t="str">
        <f ca="1">IFERROR(__xludf.DUMMYFUNCTION("""COMPUTED_VALUE"""),"Escalation of Dispute")</f>
        <v>Escalation of Dispute</v>
      </c>
      <c r="X837" s="1" t="str">
        <f ca="1">IFERROR(__xludf.DUMMYFUNCTION("""COMPUTED_VALUE"""),"Both")</f>
        <v>Both</v>
      </c>
      <c r="Y837" s="1" t="str">
        <f ca="1">IFERROR(__xludf.DUMMYFUNCTION("""COMPUTED_VALUE"""),"Yes")</f>
        <v>Yes</v>
      </c>
      <c r="Z837" s="1" t="str">
        <f ca="1">IFERROR(__xludf.DUMMYFUNCTION("""COMPUTED_VALUE"""),"3 teens arrested")</f>
        <v>3 teens arrested</v>
      </c>
      <c r="AA837" s="1" t="str">
        <f ca="1">IFERROR(__xludf.DUMMYFUNCTION("""COMPUTED_VALUE"""),"No")</f>
        <v>No</v>
      </c>
      <c r="AB837" s="1" t="str">
        <f ca="1">IFERROR(__xludf.DUMMYFUNCTION("""COMPUTED_VALUE"""),"No")</f>
        <v>No</v>
      </c>
      <c r="AC837" s="1" t="str">
        <f ca="1">IFERROR(__xludf.DUMMYFUNCTION("""COMPUTED_VALUE"""),"No")</f>
        <v>No</v>
      </c>
      <c r="AD837" s="1" t="str">
        <f ca="1">IFERROR(__xludf.DUMMYFUNCTION("""COMPUTED_VALUE"""),"No")</f>
        <v>No</v>
      </c>
      <c r="AE837" s="1" t="str">
        <f ca="1">IFERROR(__xludf.DUMMYFUNCTION("""COMPUTED_VALUE"""),"No")</f>
        <v>No</v>
      </c>
      <c r="AF837" s="1" t="str">
        <f ca="1">IFERROR(__xludf.DUMMYFUNCTION("""COMPUTED_VALUE"""),"No")</f>
        <v>No</v>
      </c>
      <c r="AG837" s="1" t="str">
        <f ca="1">IFERROR(__xludf.DUMMYFUNCTION("""COMPUTED_VALUE"""),"No")</f>
        <v>No</v>
      </c>
      <c r="AH837" s="1"/>
    </row>
    <row r="838" spans="1:34" ht="12.5">
      <c r="A838" s="1" t="str">
        <f ca="1">IFERROR(__xludf.DUMMYFUNCTION("""COMPUTED_VALUE"""),"20210921GAFRA")</f>
        <v>20210921GAFRA</v>
      </c>
      <c r="B838" s="1">
        <f ca="1">IFERROR(__xludf.DUMMYFUNCTION("""COMPUTED_VALUE"""),9)</f>
        <v>9</v>
      </c>
      <c r="C838" s="1">
        <f ca="1">IFERROR(__xludf.DUMMYFUNCTION("""COMPUTED_VALUE"""),21)</f>
        <v>21</v>
      </c>
      <c r="D838" s="1">
        <f ca="1">IFERROR(__xludf.DUMMYFUNCTION("""COMPUTED_VALUE"""),2021)</f>
        <v>2021</v>
      </c>
      <c r="E838" s="4">
        <f ca="1">IFERROR(__xludf.DUMMYFUNCTION("""COMPUTED_VALUE"""),44460)</f>
        <v>44460</v>
      </c>
      <c r="F838" s="1" t="str">
        <f ca="1">IFERROR(__xludf.DUMMYFUNCTION("""COMPUTED_VALUE"""),"Fred A. Toomer Elementary School")</f>
        <v>Fred A. Toomer Elementary School</v>
      </c>
      <c r="G838" s="1">
        <f ca="1">IFERROR(__xludf.DUMMYFUNCTION("""COMPUTED_VALUE"""),0)</f>
        <v>0</v>
      </c>
      <c r="H838" s="1">
        <f ca="1">IFERROR(__xludf.DUMMYFUNCTION("""COMPUTED_VALUE"""),0)</f>
        <v>0</v>
      </c>
      <c r="I838" s="1">
        <f ca="1">IFERROR(__xludf.DUMMYFUNCTION("""COMPUTED_VALUE"""),0)</f>
        <v>0</v>
      </c>
      <c r="J838" s="1">
        <f ca="1">IFERROR(__xludf.DUMMYFUNCTION("""COMPUTED_VALUE"""),0)</f>
        <v>0</v>
      </c>
      <c r="K838" s="1" t="str">
        <f ca="1">IFERROR(__xludf.DUMMYFUNCTION("""COMPUTED_VALUE"""),"Fall")</f>
        <v>Fall</v>
      </c>
      <c r="L838" s="1" t="str">
        <f ca="1">IFERROR(__xludf.DUMMYFUNCTION("""COMPUTED_VALUE"""),"Atlanta")</f>
        <v>Atlanta</v>
      </c>
      <c r="M838" s="1" t="str">
        <f ca="1">IFERROR(__xludf.DUMMYFUNCTION("""COMPUTED_VALUE"""),"GA")</f>
        <v>GA</v>
      </c>
      <c r="N838" s="1" t="str">
        <f ca="1">IFERROR(__xludf.DUMMYFUNCTION("""COMPUTED_VALUE"""),"Elementary")</f>
        <v>Elementary</v>
      </c>
      <c r="O838" s="1" t="str">
        <f ca="1">IFERROR(__xludf.DUMMYFUNCTION("""COMPUTED_VALUE"""),"Outside on School Property")</f>
        <v>Outside on School Property</v>
      </c>
      <c r="P838" s="1" t="str">
        <f ca="1">IFERROR(__xludf.DUMMYFUNCTION("""COMPUTED_VALUE"""),"Outside on School Property")</f>
        <v>Outside on School Property</v>
      </c>
      <c r="Q838" s="1" t="str">
        <f ca="1">IFERROR(__xludf.DUMMYFUNCTION("""COMPUTED_VALUE"""),"Yes")</f>
        <v>Yes</v>
      </c>
      <c r="R838" s="1" t="str">
        <f ca="1">IFERROR(__xludf.DUMMYFUNCTION("""COMPUTED_VALUE"""),"School Start")</f>
        <v>School Start</v>
      </c>
      <c r="S838" s="5">
        <f ca="1">IFERROR(__xludf.DUMMYFUNCTION("""COMPUTED_VALUE"""),0.322916666666666)</f>
        <v>0.32291666666666602</v>
      </c>
      <c r="T838" s="1">
        <f ca="1">IFERROR(__xludf.DUMMYFUNCTION("""COMPUTED_VALUE"""),1)</f>
        <v>1</v>
      </c>
      <c r="U838" s="1" t="str">
        <f ca="1">IFERROR(__xludf.DUMMYFUNCTION("""COMPUTED_VALUE"""),"Shots fired during argument between parents")</f>
        <v>Shots fired during argument between parents</v>
      </c>
      <c r="V838" s="1" t="str">
        <f ca="1">IFERROR(__xludf.DUMMYFUNCTION("""COMPUTED_VALUE"""),"Shots were fired outside of the school during an argument between parents. School was locked down. Shooter fled but was identified by police.")</f>
        <v>Shots were fired outside of the school during an argument between parents. School was locked down. Shooter fled but was identified by police.</v>
      </c>
      <c r="W838" s="1" t="str">
        <f ca="1">IFERROR(__xludf.DUMMYFUNCTION("""COMPUTED_VALUE"""),"Escalation of Dispute")</f>
        <v>Escalation of Dispute</v>
      </c>
      <c r="X838" s="1" t="str">
        <f ca="1">IFERROR(__xludf.DUMMYFUNCTION("""COMPUTED_VALUE"""),"Victims Targeted")</f>
        <v>Victims Targeted</v>
      </c>
      <c r="Y838" s="1" t="str">
        <f ca="1">IFERROR(__xludf.DUMMYFUNCTION("""COMPUTED_VALUE"""),"No")</f>
        <v>No</v>
      </c>
      <c r="Z838" s="1"/>
      <c r="AA838" s="1" t="str">
        <f ca="1">IFERROR(__xludf.DUMMYFUNCTION("""COMPUTED_VALUE"""),"No")</f>
        <v>No</v>
      </c>
      <c r="AB838" s="1" t="str">
        <f ca="1">IFERROR(__xludf.DUMMYFUNCTION("""COMPUTED_VALUE"""),"No")</f>
        <v>No</v>
      </c>
      <c r="AC838" s="1" t="str">
        <f ca="1">IFERROR(__xludf.DUMMYFUNCTION("""COMPUTED_VALUE"""),"No")</f>
        <v>No</v>
      </c>
      <c r="AD838" s="1" t="str">
        <f ca="1">IFERROR(__xludf.DUMMYFUNCTION("""COMPUTED_VALUE"""),"No")</f>
        <v>No</v>
      </c>
      <c r="AE838" s="1" t="str">
        <f ca="1">IFERROR(__xludf.DUMMYFUNCTION("""COMPUTED_VALUE"""),"No")</f>
        <v>No</v>
      </c>
      <c r="AF838" s="1" t="str">
        <f ca="1">IFERROR(__xludf.DUMMYFUNCTION("""COMPUTED_VALUE"""),"No")</f>
        <v>No</v>
      </c>
      <c r="AG838" s="1" t="str">
        <f ca="1">IFERROR(__xludf.DUMMYFUNCTION("""COMPUTED_VALUE"""),"No")</f>
        <v>No</v>
      </c>
      <c r="AH838" s="1"/>
    </row>
    <row r="839" spans="1:34" ht="12.5">
      <c r="A839" s="1" t="str">
        <f ca="1">IFERROR(__xludf.DUMMYFUNCTION("""COMPUTED_VALUE"""),"20210921FLLAL")</f>
        <v>20210921FLLAL</v>
      </c>
      <c r="B839" s="1">
        <f ca="1">IFERROR(__xludf.DUMMYFUNCTION("""COMPUTED_VALUE"""),9)</f>
        <v>9</v>
      </c>
      <c r="C839" s="1">
        <f ca="1">IFERROR(__xludf.DUMMYFUNCTION("""COMPUTED_VALUE"""),21)</f>
        <v>21</v>
      </c>
      <c r="D839" s="1">
        <f ca="1">IFERROR(__xludf.DUMMYFUNCTION("""COMPUTED_VALUE"""),2021)</f>
        <v>2021</v>
      </c>
      <c r="E839" s="4">
        <f ca="1">IFERROR(__xludf.DUMMYFUNCTION("""COMPUTED_VALUE"""),44460)</f>
        <v>44460</v>
      </c>
      <c r="F839" s="1" t="str">
        <f ca="1">IFERROR(__xludf.DUMMYFUNCTION("""COMPUTED_VALUE"""),"Lake Asbury Elementary School")</f>
        <v>Lake Asbury Elementary School</v>
      </c>
      <c r="G839" s="1">
        <f ca="1">IFERROR(__xludf.DUMMYFUNCTION("""COMPUTED_VALUE"""),0)</f>
        <v>0</v>
      </c>
      <c r="H839" s="1">
        <f ca="1">IFERROR(__xludf.DUMMYFUNCTION("""COMPUTED_VALUE"""),0)</f>
        <v>0</v>
      </c>
      <c r="I839" s="1">
        <f ca="1">IFERROR(__xludf.DUMMYFUNCTION("""COMPUTED_VALUE"""),0)</f>
        <v>0</v>
      </c>
      <c r="J839" s="1">
        <f ca="1">IFERROR(__xludf.DUMMYFUNCTION("""COMPUTED_VALUE"""),0)</f>
        <v>0</v>
      </c>
      <c r="K839" s="1" t="str">
        <f ca="1">IFERROR(__xludf.DUMMYFUNCTION("""COMPUTED_VALUE"""),"Fall")</f>
        <v>Fall</v>
      </c>
      <c r="L839" s="1" t="str">
        <f ca="1">IFERROR(__xludf.DUMMYFUNCTION("""COMPUTED_VALUE"""),"Lake Asbury")</f>
        <v>Lake Asbury</v>
      </c>
      <c r="M839" s="1" t="str">
        <f ca="1">IFERROR(__xludf.DUMMYFUNCTION("""COMPUTED_VALUE"""),"FL")</f>
        <v>FL</v>
      </c>
      <c r="N839" s="1" t="str">
        <f ca="1">IFERROR(__xludf.DUMMYFUNCTION("""COMPUTED_VALUE"""),"Elementary")</f>
        <v>Elementary</v>
      </c>
      <c r="O839" s="1" t="str">
        <f ca="1">IFERROR(__xludf.DUMMYFUNCTION("""COMPUTED_VALUE"""),"School Bus")</f>
        <v>School Bus</v>
      </c>
      <c r="P839" s="1" t="str">
        <f ca="1">IFERROR(__xludf.DUMMYFUNCTION("""COMPUTED_VALUE"""),"School Bus")</f>
        <v>School Bus</v>
      </c>
      <c r="Q839" s="1" t="str">
        <f ca="1">IFERROR(__xludf.DUMMYFUNCTION("""COMPUTED_VALUE"""),"Yes")</f>
        <v>Yes</v>
      </c>
      <c r="R839" s="1" t="str">
        <f ca="1">IFERROR(__xludf.DUMMYFUNCTION("""COMPUTED_VALUE"""),"School Start")</f>
        <v>School Start</v>
      </c>
      <c r="S839" s="5">
        <f ca="1">IFERROR(__xludf.DUMMYFUNCTION("""COMPUTED_VALUE"""),0.246527777777777)</f>
        <v>0.24652777777777701</v>
      </c>
      <c r="T839" s="1">
        <f ca="1">IFERROR(__xludf.DUMMYFUNCTION("""COMPUTED_VALUE"""),10)</f>
        <v>10</v>
      </c>
      <c r="U839" s="1" t="str">
        <f ca="1">IFERROR(__xludf.DUMMYFUNCTION("""COMPUTED_VALUE"""),"Windows of two occupied school buses broken by BBs")</f>
        <v>Windows of two occupied school buses broken by BBs</v>
      </c>
      <c r="V839" s="1" t="str">
        <f ca="1">IFERROR(__xludf.DUMMYFUNCTION("""COMPUTED_VALUE"""),"Two school buses were shot with BBs 10 minutes apart near Lake Asbury Elementary School. The first bus was shot while parked. The second was shot on a nearby street. Both buses had a driver, monitor, and student on board. Shooter fled. No injuries.")</f>
        <v>Two school buses were shot with BBs 10 minutes apart near Lake Asbury Elementary School. The first bus was shot while parked. The second was shot on a nearby street. Both buses had a driver, monitor, and student on board. Shooter fled. No injuries.</v>
      </c>
      <c r="W839" s="1" t="str">
        <f ca="1">IFERROR(__xludf.DUMMYFUNCTION("""COMPUTED_VALUE"""),"Intentional Property Damage")</f>
        <v>Intentional Property Damage</v>
      </c>
      <c r="X839" s="1" t="str">
        <f ca="1">IFERROR(__xludf.DUMMYFUNCTION("""COMPUTED_VALUE"""),"Neither")</f>
        <v>Neither</v>
      </c>
      <c r="Y839" s="1" t="str">
        <f ca="1">IFERROR(__xludf.DUMMYFUNCTION("""COMPUTED_VALUE"""),"No")</f>
        <v>No</v>
      </c>
      <c r="Z839" s="1"/>
      <c r="AA839" s="1" t="str">
        <f ca="1">IFERROR(__xludf.DUMMYFUNCTION("""COMPUTED_VALUE"""),"No")</f>
        <v>No</v>
      </c>
      <c r="AB839" s="1" t="str">
        <f ca="1">IFERROR(__xludf.DUMMYFUNCTION("""COMPUTED_VALUE"""),"No")</f>
        <v>No</v>
      </c>
      <c r="AC839" s="1" t="str">
        <f ca="1">IFERROR(__xludf.DUMMYFUNCTION("""COMPUTED_VALUE"""),"No")</f>
        <v>No</v>
      </c>
      <c r="AD839" s="1" t="str">
        <f ca="1">IFERROR(__xludf.DUMMYFUNCTION("""COMPUTED_VALUE"""),"No")</f>
        <v>No</v>
      </c>
      <c r="AE839" s="1" t="str">
        <f ca="1">IFERROR(__xludf.DUMMYFUNCTION("""COMPUTED_VALUE"""),"No")</f>
        <v>No</v>
      </c>
      <c r="AF839" s="1" t="str">
        <f ca="1">IFERROR(__xludf.DUMMYFUNCTION("""COMPUTED_VALUE"""),"No")</f>
        <v>No</v>
      </c>
      <c r="AG839" s="1" t="str">
        <f ca="1">IFERROR(__xludf.DUMMYFUNCTION("""COMPUTED_VALUE"""),"No")</f>
        <v>No</v>
      </c>
      <c r="AH839" s="1"/>
    </row>
    <row r="840" spans="1:34" ht="12.5">
      <c r="A840" s="1" t="str">
        <f ca="1">IFERROR(__xludf.DUMMYFUNCTION("""COMPUTED_VALUE"""),"20210920VAHEN")</f>
        <v>20210920VAHEN</v>
      </c>
      <c r="B840" s="1">
        <f ca="1">IFERROR(__xludf.DUMMYFUNCTION("""COMPUTED_VALUE"""),9)</f>
        <v>9</v>
      </c>
      <c r="C840" s="1">
        <f ca="1">IFERROR(__xludf.DUMMYFUNCTION("""COMPUTED_VALUE"""),20)</f>
        <v>20</v>
      </c>
      <c r="D840" s="1">
        <f ca="1">IFERROR(__xludf.DUMMYFUNCTION("""COMPUTED_VALUE"""),2021)</f>
        <v>2021</v>
      </c>
      <c r="E840" s="4">
        <f ca="1">IFERROR(__xludf.DUMMYFUNCTION("""COMPUTED_VALUE"""),44459)</f>
        <v>44459</v>
      </c>
      <c r="F840" s="1" t="str">
        <f ca="1">IFERROR(__xludf.DUMMYFUNCTION("""COMPUTED_VALUE"""),"Heritage High School")</f>
        <v>Heritage High School</v>
      </c>
      <c r="G840" s="1">
        <f ca="1">IFERROR(__xludf.DUMMYFUNCTION("""COMPUTED_VALUE"""),0)</f>
        <v>0</v>
      </c>
      <c r="H840" s="1">
        <f ca="1">IFERROR(__xludf.DUMMYFUNCTION("""COMPUTED_VALUE"""),2)</f>
        <v>2</v>
      </c>
      <c r="I840" s="1">
        <f ca="1">IFERROR(__xludf.DUMMYFUNCTION("""COMPUTED_VALUE"""),2)</f>
        <v>2</v>
      </c>
      <c r="J840" s="1">
        <f ca="1">IFERROR(__xludf.DUMMYFUNCTION("""COMPUTED_VALUE"""),0)</f>
        <v>0</v>
      </c>
      <c r="K840" s="1" t="str">
        <f ca="1">IFERROR(__xludf.DUMMYFUNCTION("""COMPUTED_VALUE"""),"Fall")</f>
        <v>Fall</v>
      </c>
      <c r="L840" s="1" t="str">
        <f ca="1">IFERROR(__xludf.DUMMYFUNCTION("""COMPUTED_VALUE"""),"Newport News")</f>
        <v>Newport News</v>
      </c>
      <c r="M840" s="1" t="str">
        <f ca="1">IFERROR(__xludf.DUMMYFUNCTION("""COMPUTED_VALUE"""),"VA")</f>
        <v>VA</v>
      </c>
      <c r="N840" s="1" t="str">
        <f ca="1">IFERROR(__xludf.DUMMYFUNCTION("""COMPUTED_VALUE"""),"High")</f>
        <v>High</v>
      </c>
      <c r="O840" s="1" t="str">
        <f ca="1">IFERROR(__xludf.DUMMYFUNCTION("""COMPUTED_VALUE"""),"Hallway")</f>
        <v>Hallway</v>
      </c>
      <c r="P840" s="1" t="str">
        <f ca="1">IFERROR(__xludf.DUMMYFUNCTION("""COMPUTED_VALUE"""),"Inside School Building")</f>
        <v>Inside School Building</v>
      </c>
      <c r="Q840" s="1" t="str">
        <f ca="1">IFERROR(__xludf.DUMMYFUNCTION("""COMPUTED_VALUE"""),"Yes")</f>
        <v>Yes</v>
      </c>
      <c r="R840" s="1" t="str">
        <f ca="1">IFERROR(__xludf.DUMMYFUNCTION("""COMPUTED_VALUE"""),"Lunch")</f>
        <v>Lunch</v>
      </c>
      <c r="S840" s="5">
        <f ca="1">IFERROR(__xludf.DUMMYFUNCTION("""COMPUTED_VALUE"""),0.486111111111111)</f>
        <v>0.48611111111111099</v>
      </c>
      <c r="T840" s="1">
        <f ca="1">IFERROR(__xludf.DUMMYFUNCTION("""COMPUTED_VALUE"""),1)</f>
        <v>1</v>
      </c>
      <c r="U840" s="1" t="str">
        <f ca="1">IFERROR(__xludf.DUMMYFUNCTION("""COMPUTED_VALUE"""),"Student shot two other students during fight in hallway then fled")</f>
        <v>Student shot two other students during fight in hallway then fled</v>
      </c>
      <c r="V840" s="1" t="str">
        <f ca="1">IFERROR(__xludf.DUMMYFUNCTION("""COMPUTED_VALUE"""),"A 15-year-old student had a physical altercation with a 17-year-old student in the hallway. A staff member broke up the fight. The 15-year-old then pulled a gun from his waistband and fired multiple shots at the 17-year-old victim striking him in the head"&amp;", leg, and hand. One shot struck a 17-year-old female student in the leg who was walking in the hallway. Shooter fled the scene, put gun inside of a backpack and threw it in a trashcan outside of the school, and ran to his house. The shooter was identifie"&amp;"d from CCTV footage and personal documents in the backpack with the gun. The shooter was wearing an ankle monitor from a Juvenile Detention program and was tracked to his home with GPS. School was locked down and dismissed. Classes were cancelled the foll"&amp;"owing day.")</f>
        <v>A 15-year-old student had a physical altercation with a 17-year-old student in the hallway. A staff member broke up the fight. The 15-year-old then pulled a gun from his waistband and fired multiple shots at the 17-year-old victim striking him in the head, leg, and hand. One shot struck a 17-year-old female student in the leg who was walking in the hallway. Shooter fled the scene, put gun inside of a backpack and threw it in a trashcan outside of the school, and ran to his house. The shooter was identified from CCTV footage and personal documents in the backpack with the gun. The shooter was wearing an ankle monitor from a Juvenile Detention program and was tracked to his home with GPS. School was locked down and dismissed. Classes were cancelled the following day.</v>
      </c>
      <c r="W840" s="1" t="str">
        <f ca="1">IFERROR(__xludf.DUMMYFUNCTION("""COMPUTED_VALUE"""),"Escalation of Dispute")</f>
        <v>Escalation of Dispute</v>
      </c>
      <c r="X840" s="1" t="str">
        <f ca="1">IFERROR(__xludf.DUMMYFUNCTION("""COMPUTED_VALUE"""),"Both")</f>
        <v>Both</v>
      </c>
      <c r="Y840" s="1" t="str">
        <f ca="1">IFERROR(__xludf.DUMMYFUNCTION("""COMPUTED_VALUE"""),"No")</f>
        <v>No</v>
      </c>
      <c r="Z840" s="1"/>
      <c r="AA840" s="1" t="str">
        <f ca="1">IFERROR(__xludf.DUMMYFUNCTION("""COMPUTED_VALUE"""),"No")</f>
        <v>No</v>
      </c>
      <c r="AB840" s="1" t="str">
        <f ca="1">IFERROR(__xludf.DUMMYFUNCTION("""COMPUTED_VALUE"""),"No")</f>
        <v>No</v>
      </c>
      <c r="AC840" s="1" t="str">
        <f ca="1">IFERROR(__xludf.DUMMYFUNCTION("""COMPUTED_VALUE"""),"No")</f>
        <v>No</v>
      </c>
      <c r="AD840" s="1" t="str">
        <f ca="1">IFERROR(__xludf.DUMMYFUNCTION("""COMPUTED_VALUE"""),"No")</f>
        <v>No</v>
      </c>
      <c r="AE840" s="1" t="str">
        <f ca="1">IFERROR(__xludf.DUMMYFUNCTION("""COMPUTED_VALUE"""),"No")</f>
        <v>No</v>
      </c>
      <c r="AF840" s="1"/>
      <c r="AG840" s="1" t="str">
        <f ca="1">IFERROR(__xludf.DUMMYFUNCTION("""COMPUTED_VALUE"""),"No")</f>
        <v>No</v>
      </c>
      <c r="AH840" s="1">
        <f ca="1">IFERROR(__xludf.DUMMYFUNCTION("""COMPUTED_VALUE"""),5)</f>
        <v>5</v>
      </c>
    </row>
    <row r="841" spans="1:34" ht="12.5">
      <c r="A841" s="1" t="str">
        <f ca="1">IFERROR(__xludf.DUMMYFUNCTION("""COMPUTED_VALUE"""),"20210920OHEAC")</f>
        <v>20210920OHEAC</v>
      </c>
      <c r="B841" s="1">
        <f ca="1">IFERROR(__xludf.DUMMYFUNCTION("""COMPUTED_VALUE"""),9)</f>
        <v>9</v>
      </c>
      <c r="C841" s="1">
        <f ca="1">IFERROR(__xludf.DUMMYFUNCTION("""COMPUTED_VALUE"""),20)</f>
        <v>20</v>
      </c>
      <c r="D841" s="1">
        <f ca="1">IFERROR(__xludf.DUMMYFUNCTION("""COMPUTED_VALUE"""),2021)</f>
        <v>2021</v>
      </c>
      <c r="E841" s="4">
        <f ca="1">IFERROR(__xludf.DUMMYFUNCTION("""COMPUTED_VALUE"""),44459)</f>
        <v>44459</v>
      </c>
      <c r="F841" s="1" t="str">
        <f ca="1">IFERROR(__xludf.DUMMYFUNCTION("""COMPUTED_VALUE"""),"Eastside Arts Academy")</f>
        <v>Eastside Arts Academy</v>
      </c>
      <c r="G841" s="1">
        <f ca="1">IFERROR(__xludf.DUMMYFUNCTION("""COMPUTED_VALUE"""),0)</f>
        <v>0</v>
      </c>
      <c r="H841" s="1">
        <f ca="1">IFERROR(__xludf.DUMMYFUNCTION("""COMPUTED_VALUE"""),3)</f>
        <v>3</v>
      </c>
      <c r="I841" s="1">
        <f ca="1">IFERROR(__xludf.DUMMYFUNCTION("""COMPUTED_VALUE"""),3)</f>
        <v>3</v>
      </c>
      <c r="J841" s="1">
        <f ca="1">IFERROR(__xludf.DUMMYFUNCTION("""COMPUTED_VALUE"""),0)</f>
        <v>0</v>
      </c>
      <c r="K841" s="1" t="str">
        <f ca="1">IFERROR(__xludf.DUMMYFUNCTION("""COMPUTED_VALUE"""),"Fall")</f>
        <v>Fall</v>
      </c>
      <c r="L841" s="1" t="str">
        <f ca="1">IFERROR(__xludf.DUMMYFUNCTION("""COMPUTED_VALUE"""),"Cleveland")</f>
        <v>Cleveland</v>
      </c>
      <c r="M841" s="1" t="str">
        <f ca="1">IFERROR(__xludf.DUMMYFUNCTION("""COMPUTED_VALUE"""),"OH")</f>
        <v>OH</v>
      </c>
      <c r="N841" s="1" t="str">
        <f ca="1">IFERROR(__xludf.DUMMYFUNCTION("""COMPUTED_VALUE"""),"Elementary")</f>
        <v>Elementary</v>
      </c>
      <c r="O841" s="1" t="str">
        <f ca="1">IFERROR(__xludf.DUMMYFUNCTION("""COMPUTED_VALUE"""),"Playground")</f>
        <v>Playground</v>
      </c>
      <c r="P841" s="1" t="str">
        <f ca="1">IFERROR(__xludf.DUMMYFUNCTION("""COMPUTED_VALUE"""),"Outside on School Property")</f>
        <v>Outside on School Property</v>
      </c>
      <c r="Q841" s="1" t="str">
        <f ca="1">IFERROR(__xludf.DUMMYFUNCTION("""COMPUTED_VALUE"""),"No")</f>
        <v>No</v>
      </c>
      <c r="R841" s="1" t="str">
        <f ca="1">IFERROR(__xludf.DUMMYFUNCTION("""COMPUTED_VALUE"""),"Evening")</f>
        <v>Evening</v>
      </c>
      <c r="S841" s="5">
        <f ca="1">IFERROR(__xludf.DUMMYFUNCTION("""COMPUTED_VALUE"""),0.751388888888888)</f>
        <v>0.751388888888888</v>
      </c>
      <c r="T841" s="1">
        <f ca="1">IFERROR(__xludf.DUMMYFUNCTION("""COMPUTED_VALUE"""),1)</f>
        <v>1</v>
      </c>
      <c r="U841" s="1" t="str">
        <f ca="1">IFERROR(__xludf.DUMMYFUNCTION("""COMPUTED_VALUE"""),"Three teens shot on the school playground")</f>
        <v>Three teens shot on the school playground</v>
      </c>
      <c r="V841" s="1" t="str">
        <f ca="1">IFERROR(__xludf.DUMMYFUNCTION("""COMPUTED_VALUE"""),"Three male teens (14, 15, and 19) shot on the playground of the school. Two male shooters fled the scene.")</f>
        <v>Three male teens (14, 15, and 19) shot on the playground of the school. Two male shooters fled the scene.</v>
      </c>
      <c r="W841" s="1"/>
      <c r="X841" s="1"/>
      <c r="Y841" s="1" t="str">
        <f ca="1">IFERROR(__xludf.DUMMYFUNCTION("""COMPUTED_VALUE"""),"Yes")</f>
        <v>Yes</v>
      </c>
      <c r="Z841" s="1" t="str">
        <f ca="1">IFERROR(__xludf.DUMMYFUNCTION("""COMPUTED_VALUE"""),"Two shooters")</f>
        <v>Two shooters</v>
      </c>
      <c r="AA841" s="1" t="str">
        <f ca="1">IFERROR(__xludf.DUMMYFUNCTION("""COMPUTED_VALUE"""),"No")</f>
        <v>No</v>
      </c>
      <c r="AB841" s="1" t="str">
        <f ca="1">IFERROR(__xludf.DUMMYFUNCTION("""COMPUTED_VALUE"""),"No")</f>
        <v>No</v>
      </c>
      <c r="AC841" s="1" t="str">
        <f ca="1">IFERROR(__xludf.DUMMYFUNCTION("""COMPUTED_VALUE"""),"No")</f>
        <v>No</v>
      </c>
      <c r="AD841" s="1" t="str">
        <f ca="1">IFERROR(__xludf.DUMMYFUNCTION("""COMPUTED_VALUE"""),"No")</f>
        <v>No</v>
      </c>
      <c r="AE841" s="1" t="str">
        <f ca="1">IFERROR(__xludf.DUMMYFUNCTION("""COMPUTED_VALUE"""),"No")</f>
        <v>No</v>
      </c>
      <c r="AF841" s="1"/>
      <c r="AG841" s="1" t="str">
        <f ca="1">IFERROR(__xludf.DUMMYFUNCTION("""COMPUTED_VALUE"""),"No")</f>
        <v>No</v>
      </c>
      <c r="AH841" s="1"/>
    </row>
    <row r="842" spans="1:34" ht="12.5">
      <c r="A842" s="1" t="str">
        <f ca="1">IFERROR(__xludf.DUMMYFUNCTION("""COMPUTED_VALUE"""),"20210918COWIC")</f>
        <v>20210918COWIC</v>
      </c>
      <c r="B842" s="1">
        <f ca="1">IFERROR(__xludf.DUMMYFUNCTION("""COMPUTED_VALUE"""),9)</f>
        <v>9</v>
      </c>
      <c r="C842" s="1">
        <f ca="1">IFERROR(__xludf.DUMMYFUNCTION("""COMPUTED_VALUE"""),18)</f>
        <v>18</v>
      </c>
      <c r="D842" s="1">
        <f ca="1">IFERROR(__xludf.DUMMYFUNCTION("""COMPUTED_VALUE"""),2021)</f>
        <v>2021</v>
      </c>
      <c r="E842" s="4">
        <f ca="1">IFERROR(__xludf.DUMMYFUNCTION("""COMPUTED_VALUE"""),44457)</f>
        <v>44457</v>
      </c>
      <c r="F842" s="1" t="str">
        <f ca="1">IFERROR(__xludf.DUMMYFUNCTION("""COMPUTED_VALUE"""),"Widefield High School")</f>
        <v>Widefield High School</v>
      </c>
      <c r="G842" s="1">
        <f ca="1">IFERROR(__xludf.DUMMYFUNCTION("""COMPUTED_VALUE"""),0)</f>
        <v>0</v>
      </c>
      <c r="H842" s="1">
        <f ca="1">IFERROR(__xludf.DUMMYFUNCTION("""COMPUTED_VALUE"""),3)</f>
        <v>3</v>
      </c>
      <c r="I842" s="1">
        <f ca="1">IFERROR(__xludf.DUMMYFUNCTION("""COMPUTED_VALUE"""),3)</f>
        <v>3</v>
      </c>
      <c r="J842" s="1">
        <f ca="1">IFERROR(__xludf.DUMMYFUNCTION("""COMPUTED_VALUE"""),0)</f>
        <v>0</v>
      </c>
      <c r="K842" s="1" t="str">
        <f ca="1">IFERROR(__xludf.DUMMYFUNCTION("""COMPUTED_VALUE"""),"Fall")</f>
        <v>Fall</v>
      </c>
      <c r="L842" s="1" t="str">
        <f ca="1">IFERROR(__xludf.DUMMYFUNCTION("""COMPUTED_VALUE"""),"Colorado Springs")</f>
        <v>Colorado Springs</v>
      </c>
      <c r="M842" s="1" t="str">
        <f ca="1">IFERROR(__xludf.DUMMYFUNCTION("""COMPUTED_VALUE"""),"CO")</f>
        <v>CO</v>
      </c>
      <c r="N842" s="1" t="str">
        <f ca="1">IFERROR(__xludf.DUMMYFUNCTION("""COMPUTED_VALUE"""),"High")</f>
        <v>High</v>
      </c>
      <c r="O842" s="1" t="str">
        <f ca="1">IFERROR(__xludf.DUMMYFUNCTION("""COMPUTED_VALUE"""),"Parking Lot")</f>
        <v>Parking Lot</v>
      </c>
      <c r="P842" s="1" t="str">
        <f ca="1">IFERROR(__xludf.DUMMYFUNCTION("""COMPUTED_VALUE"""),"Outside on School Property")</f>
        <v>Outside on School Property</v>
      </c>
      <c r="Q842" s="1" t="str">
        <f ca="1">IFERROR(__xludf.DUMMYFUNCTION("""COMPUTED_VALUE"""),"No")</f>
        <v>No</v>
      </c>
      <c r="R842" s="1" t="str">
        <f ca="1">IFERROR(__xludf.DUMMYFUNCTION("""COMPUTED_VALUE"""),"Sport Event")</f>
        <v>Sport Event</v>
      </c>
      <c r="S842" s="5">
        <f ca="1">IFERROR(__xludf.DUMMYFUNCTION("""COMPUTED_VALUE"""),0.68125)</f>
        <v>0.68125000000000002</v>
      </c>
      <c r="T842" s="1">
        <f ca="1">IFERROR(__xludf.DUMMYFUNCTION("""COMPUTED_VALUE"""),1)</f>
        <v>1</v>
      </c>
      <c r="U842" s="1" t="str">
        <f ca="1">IFERROR(__xludf.DUMMYFUNCTION("""COMPUTED_VALUE"""),"2 teens and 1 adult shot in the parking lot at the end of a football game")</f>
        <v>2 teens and 1 adult shot in the parking lot at the end of a football game</v>
      </c>
      <c r="V842" s="1" t="str">
        <f ca="1">IFERROR(__xludf.DUMMYFUNCTION("""COMPUTED_VALUE"""),"Two teens and one adult were shot in the parking lot of the high school at the end of a football game. Motive unknown. Shooter fled.")</f>
        <v>Two teens and one adult were shot in the parking lot of the high school at the end of a football game. Motive unknown. Shooter fled.</v>
      </c>
      <c r="W842" s="1"/>
      <c r="X842" s="1" t="str">
        <f ca="1">IFERROR(__xludf.DUMMYFUNCTION("""COMPUTED_VALUE"""),"Both")</f>
        <v>Both</v>
      </c>
      <c r="Y842" s="1" t="str">
        <f ca="1">IFERROR(__xludf.DUMMYFUNCTION("""COMPUTED_VALUE"""),"No")</f>
        <v>No</v>
      </c>
      <c r="Z842" s="1"/>
      <c r="AA842" s="1" t="str">
        <f ca="1">IFERROR(__xludf.DUMMYFUNCTION("""COMPUTED_VALUE"""),"No")</f>
        <v>No</v>
      </c>
      <c r="AB842" s="1" t="str">
        <f ca="1">IFERROR(__xludf.DUMMYFUNCTION("""COMPUTED_VALUE"""),"No")</f>
        <v>No</v>
      </c>
      <c r="AC842" s="1" t="str">
        <f ca="1">IFERROR(__xludf.DUMMYFUNCTION("""COMPUTED_VALUE"""),"No")</f>
        <v>No</v>
      </c>
      <c r="AD842" s="1" t="str">
        <f ca="1">IFERROR(__xludf.DUMMYFUNCTION("""COMPUTED_VALUE"""),"No")</f>
        <v>No</v>
      </c>
      <c r="AE842" s="1" t="str">
        <f ca="1">IFERROR(__xludf.DUMMYFUNCTION("""COMPUTED_VALUE"""),"No")</f>
        <v>No</v>
      </c>
      <c r="AF842" s="1"/>
      <c r="AG842" s="1" t="str">
        <f ca="1">IFERROR(__xludf.DUMMYFUNCTION("""COMPUTED_VALUE"""),"No")</f>
        <v>No</v>
      </c>
      <c r="AH842" s="1"/>
    </row>
    <row r="843" spans="1:34" ht="12.5">
      <c r="A843" s="1" t="str">
        <f ca="1">IFERROR(__xludf.DUMMYFUNCTION("""COMPUTED_VALUE"""),"20210917VAHEH")</f>
        <v>20210917VAHEH</v>
      </c>
      <c r="B843" s="1">
        <f ca="1">IFERROR(__xludf.DUMMYFUNCTION("""COMPUTED_VALUE"""),9)</f>
        <v>9</v>
      </c>
      <c r="C843" s="1">
        <f ca="1">IFERROR(__xludf.DUMMYFUNCTION("""COMPUTED_VALUE"""),17)</f>
        <v>17</v>
      </c>
      <c r="D843" s="1">
        <f ca="1">IFERROR(__xludf.DUMMYFUNCTION("""COMPUTED_VALUE"""),2021)</f>
        <v>2021</v>
      </c>
      <c r="E843" s="4">
        <f ca="1">IFERROR(__xludf.DUMMYFUNCTION("""COMPUTED_VALUE"""),44456)</f>
        <v>44456</v>
      </c>
      <c r="F843" s="1" t="str">
        <f ca="1">IFERROR(__xludf.DUMMYFUNCTION("""COMPUTED_VALUE"""),"Hermitage High School")</f>
        <v>Hermitage High School</v>
      </c>
      <c r="G843" s="1">
        <f ca="1">IFERROR(__xludf.DUMMYFUNCTION("""COMPUTED_VALUE"""),0)</f>
        <v>0</v>
      </c>
      <c r="H843" s="1">
        <f ca="1">IFERROR(__xludf.DUMMYFUNCTION("""COMPUTED_VALUE"""),0)</f>
        <v>0</v>
      </c>
      <c r="I843" s="1">
        <f ca="1">IFERROR(__xludf.DUMMYFUNCTION("""COMPUTED_VALUE"""),0)</f>
        <v>0</v>
      </c>
      <c r="J843" s="1">
        <f ca="1">IFERROR(__xludf.DUMMYFUNCTION("""COMPUTED_VALUE"""),0)</f>
        <v>0</v>
      </c>
      <c r="K843" s="1" t="str">
        <f ca="1">IFERROR(__xludf.DUMMYFUNCTION("""COMPUTED_VALUE"""),"Fall")</f>
        <v>Fall</v>
      </c>
      <c r="L843" s="1" t="str">
        <f ca="1">IFERROR(__xludf.DUMMYFUNCTION("""COMPUTED_VALUE"""),"Henrico")</f>
        <v>Henrico</v>
      </c>
      <c r="M843" s="1" t="str">
        <f ca="1">IFERROR(__xludf.DUMMYFUNCTION("""COMPUTED_VALUE"""),"VA")</f>
        <v>VA</v>
      </c>
      <c r="N843" s="1" t="str">
        <f ca="1">IFERROR(__xludf.DUMMYFUNCTION("""COMPUTED_VALUE"""),"High")</f>
        <v>High</v>
      </c>
      <c r="O843" s="1" t="str">
        <f ca="1">IFERROR(__xludf.DUMMYFUNCTION("""COMPUTED_VALUE"""),"Parking Lot")</f>
        <v>Parking Lot</v>
      </c>
      <c r="P843" s="1" t="str">
        <f ca="1">IFERROR(__xludf.DUMMYFUNCTION("""COMPUTED_VALUE"""),"Outside on School Property")</f>
        <v>Outside on School Property</v>
      </c>
      <c r="Q843" s="1" t="str">
        <f ca="1">IFERROR(__xludf.DUMMYFUNCTION("""COMPUTED_VALUE"""),"No")</f>
        <v>No</v>
      </c>
      <c r="R843" s="1" t="str">
        <f ca="1">IFERROR(__xludf.DUMMYFUNCTION("""COMPUTED_VALUE"""),"Sport Event")</f>
        <v>Sport Event</v>
      </c>
      <c r="S843" s="5">
        <f ca="1">IFERROR(__xludf.DUMMYFUNCTION("""COMPUTED_VALUE"""),0.958333333333333)</f>
        <v>0.95833333333333304</v>
      </c>
      <c r="T843" s="1">
        <f ca="1">IFERROR(__xludf.DUMMYFUNCTION("""COMPUTED_VALUE"""),1)</f>
        <v>1</v>
      </c>
      <c r="U843" s="1" t="str">
        <f ca="1">IFERROR(__xludf.DUMMYFUNCTION("""COMPUTED_VALUE"""),"Shots fired during a fight in the parking lot following football game")</f>
        <v>Shots fired during a fight in the parking lot following football game</v>
      </c>
      <c r="V843" s="1" t="str">
        <f ca="1">IFERROR(__xludf.DUMMYFUNCTION("""COMPUTED_VALUE"""),"Shots were fired during a fight in the parking lot following the football game. Police were already in the area trying to clear the remaining attendees out of the parking lot. No injuries. Shooter fled the scene.")</f>
        <v>Shots were fired during a fight in the parking lot following the football game. Police were already in the area trying to clear the remaining attendees out of the parking lot. No injuries. Shooter fled the scene.</v>
      </c>
      <c r="W843" s="1" t="str">
        <f ca="1">IFERROR(__xludf.DUMMYFUNCTION("""COMPUTED_VALUE"""),"Escalation of Dispute")</f>
        <v>Escalation of Dispute</v>
      </c>
      <c r="X843" s="1" t="str">
        <f ca="1">IFERROR(__xludf.DUMMYFUNCTION("""COMPUTED_VALUE"""),"Neither")</f>
        <v>Neither</v>
      </c>
      <c r="Y843" s="1" t="str">
        <f ca="1">IFERROR(__xludf.DUMMYFUNCTION("""COMPUTED_VALUE"""),"No")</f>
        <v>No</v>
      </c>
      <c r="Z843" s="1"/>
      <c r="AA843" s="1" t="str">
        <f ca="1">IFERROR(__xludf.DUMMYFUNCTION("""COMPUTED_VALUE"""),"No")</f>
        <v>No</v>
      </c>
      <c r="AB843" s="1" t="str">
        <f ca="1">IFERROR(__xludf.DUMMYFUNCTION("""COMPUTED_VALUE"""),"No")</f>
        <v>No</v>
      </c>
      <c r="AC843" s="1" t="str">
        <f ca="1">IFERROR(__xludf.DUMMYFUNCTION("""COMPUTED_VALUE"""),"No")</f>
        <v>No</v>
      </c>
      <c r="AD843" s="1" t="str">
        <f ca="1">IFERROR(__xludf.DUMMYFUNCTION("""COMPUTED_VALUE"""),"No")</f>
        <v>No</v>
      </c>
      <c r="AE843" s="1" t="str">
        <f ca="1">IFERROR(__xludf.DUMMYFUNCTION("""COMPUTED_VALUE"""),"No")</f>
        <v>No</v>
      </c>
      <c r="AF843" s="1" t="str">
        <f ca="1">IFERROR(__xludf.DUMMYFUNCTION("""COMPUTED_VALUE"""),"No")</f>
        <v>No</v>
      </c>
      <c r="AG843" s="1" t="str">
        <f ca="1">IFERROR(__xludf.DUMMYFUNCTION("""COMPUTED_VALUE"""),"No")</f>
        <v>No</v>
      </c>
      <c r="AH843" s="1"/>
    </row>
    <row r="844" spans="1:34" ht="12.5">
      <c r="A844" s="1" t="str">
        <f ca="1">IFERROR(__xludf.DUMMYFUNCTION("""COMPUTED_VALUE"""),"20210917TNAUK")</f>
        <v>20210917TNAUK</v>
      </c>
      <c r="B844" s="1">
        <f ca="1">IFERROR(__xludf.DUMMYFUNCTION("""COMPUTED_VALUE"""),9)</f>
        <v>9</v>
      </c>
      <c r="C844" s="1">
        <f ca="1">IFERROR(__xludf.DUMMYFUNCTION("""COMPUTED_VALUE"""),17)</f>
        <v>17</v>
      </c>
      <c r="D844" s="1">
        <f ca="1">IFERROR(__xludf.DUMMYFUNCTION("""COMPUTED_VALUE"""),2021)</f>
        <v>2021</v>
      </c>
      <c r="E844" s="4">
        <f ca="1">IFERROR(__xludf.DUMMYFUNCTION("""COMPUTED_VALUE"""),44456)</f>
        <v>44456</v>
      </c>
      <c r="F844" s="1" t="str">
        <f ca="1">IFERROR(__xludf.DUMMYFUNCTION("""COMPUTED_VALUE"""),"Austin-East High School")</f>
        <v>Austin-East High School</v>
      </c>
      <c r="G844" s="1">
        <f ca="1">IFERROR(__xludf.DUMMYFUNCTION("""COMPUTED_VALUE"""),0)</f>
        <v>0</v>
      </c>
      <c r="H844" s="1">
        <f ca="1">IFERROR(__xludf.DUMMYFUNCTION("""COMPUTED_VALUE"""),1)</f>
        <v>1</v>
      </c>
      <c r="I844" s="1">
        <f ca="1">IFERROR(__xludf.DUMMYFUNCTION("""COMPUTED_VALUE"""),1)</f>
        <v>1</v>
      </c>
      <c r="J844" s="1">
        <f ca="1">IFERROR(__xludf.DUMMYFUNCTION("""COMPUTED_VALUE"""),0)</f>
        <v>0</v>
      </c>
      <c r="K844" s="1" t="str">
        <f ca="1">IFERROR(__xludf.DUMMYFUNCTION("""COMPUTED_VALUE"""),"Fall")</f>
        <v>Fall</v>
      </c>
      <c r="L844" s="1" t="str">
        <f ca="1">IFERROR(__xludf.DUMMYFUNCTION("""COMPUTED_VALUE"""),"Knoxville")</f>
        <v>Knoxville</v>
      </c>
      <c r="M844" s="1" t="str">
        <f ca="1">IFERROR(__xludf.DUMMYFUNCTION("""COMPUTED_VALUE"""),"TN")</f>
        <v>TN</v>
      </c>
      <c r="N844" s="1" t="str">
        <f ca="1">IFERROR(__xludf.DUMMYFUNCTION("""COMPUTED_VALUE"""),"High")</f>
        <v>High</v>
      </c>
      <c r="O844" s="1" t="str">
        <f ca="1">IFERROR(__xludf.DUMMYFUNCTION("""COMPUTED_VALUE"""),"Off School Property")</f>
        <v>Off School Property</v>
      </c>
      <c r="P844" s="1" t="str">
        <f ca="1">IFERROR(__xludf.DUMMYFUNCTION("""COMPUTED_VALUE"""),"Off School Property")</f>
        <v>Off School Property</v>
      </c>
      <c r="Q844" s="1" t="str">
        <f ca="1">IFERROR(__xludf.DUMMYFUNCTION("""COMPUTED_VALUE"""),"No")</f>
        <v>No</v>
      </c>
      <c r="R844" s="1" t="str">
        <f ca="1">IFERROR(__xludf.DUMMYFUNCTION("""COMPUTED_VALUE"""),"Sport Event")</f>
        <v>Sport Event</v>
      </c>
      <c r="S844" s="5">
        <f ca="1">IFERROR(__xludf.DUMMYFUNCTION("""COMPUTED_VALUE"""),0.867361111111111)</f>
        <v>0.86736111111111103</v>
      </c>
      <c r="T844" s="1">
        <f ca="1">IFERROR(__xludf.DUMMYFUNCTION("""COMPUTED_VALUE"""),1)</f>
        <v>1</v>
      </c>
      <c r="U844" s="1" t="str">
        <f ca="1">IFERROR(__xludf.DUMMYFUNCTION("""COMPUTED_VALUE"""),"Teen shot outside football stadium, field cleared")</f>
        <v>Teen shot outside football stadium, field cleared</v>
      </c>
      <c r="V844" s="1" t="str">
        <f ca="1">IFERROR(__xludf.DUMMYFUNCTION("""COMPUTED_VALUE"""),"A teen was shot in the head outside of the football stadium during the homecoming football game. Shots were heard inside the stadium and officials cleared the field. Teen was transported to the hospital. Shooter fled the scene.")</f>
        <v>A teen was shot in the head outside of the football stadium during the homecoming football game. Shots were heard inside the stadium and officials cleared the field. Teen was transported to the hospital. Shooter fled the scene.</v>
      </c>
      <c r="W844" s="1"/>
      <c r="X844" s="1"/>
      <c r="Y844" s="1" t="str">
        <f ca="1">IFERROR(__xludf.DUMMYFUNCTION("""COMPUTED_VALUE"""),"No")</f>
        <v>No</v>
      </c>
      <c r="Z844" s="1"/>
      <c r="AA844" s="1" t="str">
        <f ca="1">IFERROR(__xludf.DUMMYFUNCTION("""COMPUTED_VALUE"""),"No")</f>
        <v>No</v>
      </c>
      <c r="AB844" s="1" t="str">
        <f ca="1">IFERROR(__xludf.DUMMYFUNCTION("""COMPUTED_VALUE"""),"No")</f>
        <v>No</v>
      </c>
      <c r="AC844" s="1" t="str">
        <f ca="1">IFERROR(__xludf.DUMMYFUNCTION("""COMPUTED_VALUE"""),"No")</f>
        <v>No</v>
      </c>
      <c r="AD844" s="1" t="str">
        <f ca="1">IFERROR(__xludf.DUMMYFUNCTION("""COMPUTED_VALUE"""),"No")</f>
        <v>No</v>
      </c>
      <c r="AE844" s="1" t="str">
        <f ca="1">IFERROR(__xludf.DUMMYFUNCTION("""COMPUTED_VALUE"""),"No")</f>
        <v>No</v>
      </c>
      <c r="AF844" s="1"/>
      <c r="AG844" s="1" t="str">
        <f ca="1">IFERROR(__xludf.DUMMYFUNCTION("""COMPUTED_VALUE"""),"No")</f>
        <v>No</v>
      </c>
      <c r="AH844" s="1"/>
    </row>
    <row r="845" spans="1:34" ht="12.5">
      <c r="A845" s="1" t="str">
        <f ca="1">IFERROR(__xludf.DUMMYFUNCTION("""COMPUTED_VALUE"""),"20210917PAWEP")</f>
        <v>20210917PAWEP</v>
      </c>
      <c r="B845" s="1">
        <f ca="1">IFERROR(__xludf.DUMMYFUNCTION("""COMPUTED_VALUE"""),9)</f>
        <v>9</v>
      </c>
      <c r="C845" s="1">
        <f ca="1">IFERROR(__xludf.DUMMYFUNCTION("""COMPUTED_VALUE"""),17)</f>
        <v>17</v>
      </c>
      <c r="D845" s="1">
        <f ca="1">IFERROR(__xludf.DUMMYFUNCTION("""COMPUTED_VALUE"""),2021)</f>
        <v>2021</v>
      </c>
      <c r="E845" s="4">
        <f ca="1">IFERROR(__xludf.DUMMYFUNCTION("""COMPUTED_VALUE"""),44456)</f>
        <v>44456</v>
      </c>
      <c r="F845" s="1" t="str">
        <f ca="1">IFERROR(__xludf.DUMMYFUNCTION("""COMPUTED_VALUE"""),"West Philadelphia High School")</f>
        <v>West Philadelphia High School</v>
      </c>
      <c r="G845" s="1">
        <f ca="1">IFERROR(__xludf.DUMMYFUNCTION("""COMPUTED_VALUE"""),0)</f>
        <v>0</v>
      </c>
      <c r="H845" s="1">
        <f ca="1">IFERROR(__xludf.DUMMYFUNCTION("""COMPUTED_VALUE"""),2)</f>
        <v>2</v>
      </c>
      <c r="I845" s="1">
        <f ca="1">IFERROR(__xludf.DUMMYFUNCTION("""COMPUTED_VALUE"""),2)</f>
        <v>2</v>
      </c>
      <c r="J845" s="1">
        <f ca="1">IFERROR(__xludf.DUMMYFUNCTION("""COMPUTED_VALUE"""),0)</f>
        <v>0</v>
      </c>
      <c r="K845" s="1" t="str">
        <f ca="1">IFERROR(__xludf.DUMMYFUNCTION("""COMPUTED_VALUE"""),"Fall")</f>
        <v>Fall</v>
      </c>
      <c r="L845" s="1" t="str">
        <f ca="1">IFERROR(__xludf.DUMMYFUNCTION("""COMPUTED_VALUE"""),"Philadelphia")</f>
        <v>Philadelphia</v>
      </c>
      <c r="M845" s="1" t="str">
        <f ca="1">IFERROR(__xludf.DUMMYFUNCTION("""COMPUTED_VALUE"""),"PA")</f>
        <v>PA</v>
      </c>
      <c r="N845" s="1" t="str">
        <f ca="1">IFERROR(__xludf.DUMMYFUNCTION("""COMPUTED_VALUE"""),"High")</f>
        <v>High</v>
      </c>
      <c r="O845" s="1" t="str">
        <f ca="1">IFERROR(__xludf.DUMMYFUNCTION("""COMPUTED_VALUE"""),"Football Field/Track")</f>
        <v>Football Field/Track</v>
      </c>
      <c r="P845" s="1" t="str">
        <f ca="1">IFERROR(__xludf.DUMMYFUNCTION("""COMPUTED_VALUE"""),"Outside on School Property")</f>
        <v>Outside on School Property</v>
      </c>
      <c r="Q845" s="1" t="str">
        <f ca="1">IFERROR(__xludf.DUMMYFUNCTION("""COMPUTED_VALUE"""),"No")</f>
        <v>No</v>
      </c>
      <c r="R845" s="1" t="str">
        <f ca="1">IFERROR(__xludf.DUMMYFUNCTION("""COMPUTED_VALUE"""),"Sport Event")</f>
        <v>Sport Event</v>
      </c>
      <c r="S845" s="5">
        <f ca="1">IFERROR(__xludf.DUMMYFUNCTION("""COMPUTED_VALUE"""),0.833333333333333)</f>
        <v>0.83333333333333304</v>
      </c>
      <c r="T845" s="1">
        <f ca="1">IFERROR(__xludf.DUMMYFUNCTION("""COMPUTED_VALUE"""),1)</f>
        <v>1</v>
      </c>
      <c r="U845" s="1" t="str">
        <f ca="1">IFERROR(__xludf.DUMMYFUNCTION("""COMPUTED_VALUE"""),"20 shots fired during football game, teens involved ran across the field")</f>
        <v>20 shots fired during football game, teens involved ran across the field</v>
      </c>
      <c r="V845" s="1" t="str">
        <f ca="1">IFERROR(__xludf.DUMMYFUNCTION("""COMPUTED_VALUE"""),"20 shots were fired during the Central High School and West Philadelphia High School football game. Teens involved in the shooting jumped the fences and ran across the field. The remainder of the game was cancelled. a 14-year-old and 16-year-old were woun"&amp;"ded. Officers assigned to the game heard the shots and immediately responded.")</f>
        <v>20 shots were fired during the Central High School and West Philadelphia High School football game. Teens involved in the shooting jumped the fences and ran across the field. The remainder of the game was cancelled. a 14-year-old and 16-year-old were wounded. Officers assigned to the game heard the shots and immediately responded.</v>
      </c>
      <c r="W845" s="1" t="str">
        <f ca="1">IFERROR(__xludf.DUMMYFUNCTION("""COMPUTED_VALUE"""),"Escalation of Dispute")</f>
        <v>Escalation of Dispute</v>
      </c>
      <c r="X845" s="1"/>
      <c r="Y845" s="1" t="str">
        <f ca="1">IFERROR(__xludf.DUMMYFUNCTION("""COMPUTED_VALUE"""),"No")</f>
        <v>No</v>
      </c>
      <c r="Z845" s="1"/>
      <c r="AA845" s="1" t="str">
        <f ca="1">IFERROR(__xludf.DUMMYFUNCTION("""COMPUTED_VALUE"""),"No")</f>
        <v>No</v>
      </c>
      <c r="AB845" s="1" t="str">
        <f ca="1">IFERROR(__xludf.DUMMYFUNCTION("""COMPUTED_VALUE"""),"No")</f>
        <v>No</v>
      </c>
      <c r="AC845" s="1" t="str">
        <f ca="1">IFERROR(__xludf.DUMMYFUNCTION("""COMPUTED_VALUE"""),"No")</f>
        <v>No</v>
      </c>
      <c r="AD845" s="1" t="str">
        <f ca="1">IFERROR(__xludf.DUMMYFUNCTION("""COMPUTED_VALUE"""),"No")</f>
        <v>No</v>
      </c>
      <c r="AE845" s="1" t="str">
        <f ca="1">IFERROR(__xludf.DUMMYFUNCTION("""COMPUTED_VALUE"""),"No")</f>
        <v>No</v>
      </c>
      <c r="AF845" s="1"/>
      <c r="AG845" s="1" t="str">
        <f ca="1">IFERROR(__xludf.DUMMYFUNCTION("""COMPUTED_VALUE"""),"No")</f>
        <v>No</v>
      </c>
      <c r="AH845" s="1">
        <f ca="1">IFERROR(__xludf.DUMMYFUNCTION("""COMPUTED_VALUE"""),20)</f>
        <v>20</v>
      </c>
    </row>
    <row r="846" spans="1:34" ht="12.5">
      <c r="A846" s="1" t="str">
        <f ca="1">IFERROR(__xludf.DUMMYFUNCTION("""COMPUTED_VALUE"""),"20210917NCPAW")</f>
        <v>20210917NCPAW</v>
      </c>
      <c r="B846" s="1">
        <f ca="1">IFERROR(__xludf.DUMMYFUNCTION("""COMPUTED_VALUE"""),9)</f>
        <v>9</v>
      </c>
      <c r="C846" s="1">
        <f ca="1">IFERROR(__xludf.DUMMYFUNCTION("""COMPUTED_VALUE"""),17)</f>
        <v>17</v>
      </c>
      <c r="D846" s="1">
        <f ca="1">IFERROR(__xludf.DUMMYFUNCTION("""COMPUTED_VALUE"""),2021)</f>
        <v>2021</v>
      </c>
      <c r="E846" s="4">
        <f ca="1">IFERROR(__xludf.DUMMYFUNCTION("""COMPUTED_VALUE"""),44456)</f>
        <v>44456</v>
      </c>
      <c r="F846" s="1" t="str">
        <f ca="1">IFERROR(__xludf.DUMMYFUNCTION("""COMPUTED_VALUE"""),"Parkland High School")</f>
        <v>Parkland High School</v>
      </c>
      <c r="G846" s="1">
        <f ca="1">IFERROR(__xludf.DUMMYFUNCTION("""COMPUTED_VALUE"""),0)</f>
        <v>0</v>
      </c>
      <c r="H846" s="1">
        <f ca="1">IFERROR(__xludf.DUMMYFUNCTION("""COMPUTED_VALUE"""),0)</f>
        <v>0</v>
      </c>
      <c r="I846" s="1">
        <f ca="1">IFERROR(__xludf.DUMMYFUNCTION("""COMPUTED_VALUE"""),0)</f>
        <v>0</v>
      </c>
      <c r="J846" s="1">
        <f ca="1">IFERROR(__xludf.DUMMYFUNCTION("""COMPUTED_VALUE"""),0)</f>
        <v>0</v>
      </c>
      <c r="K846" s="1" t="str">
        <f ca="1">IFERROR(__xludf.DUMMYFUNCTION("""COMPUTED_VALUE"""),"Fall")</f>
        <v>Fall</v>
      </c>
      <c r="L846" s="1" t="str">
        <f ca="1">IFERROR(__xludf.DUMMYFUNCTION("""COMPUTED_VALUE"""),"Winston-Salem")</f>
        <v>Winston-Salem</v>
      </c>
      <c r="M846" s="1" t="str">
        <f ca="1">IFERROR(__xludf.DUMMYFUNCTION("""COMPUTED_VALUE"""),"NC")</f>
        <v>NC</v>
      </c>
      <c r="N846" s="1" t="str">
        <f ca="1">IFERROR(__xludf.DUMMYFUNCTION("""COMPUTED_VALUE"""),"High")</f>
        <v>High</v>
      </c>
      <c r="O846" s="1" t="str">
        <f ca="1">IFERROR(__xludf.DUMMYFUNCTION("""COMPUTED_VALUE"""),"Field (General)")</f>
        <v>Field (General)</v>
      </c>
      <c r="P846" s="1" t="str">
        <f ca="1">IFERROR(__xludf.DUMMYFUNCTION("""COMPUTED_VALUE"""),"Outside on School Property")</f>
        <v>Outside on School Property</v>
      </c>
      <c r="Q846" s="1" t="str">
        <f ca="1">IFERROR(__xludf.DUMMYFUNCTION("""COMPUTED_VALUE"""),"Yes")</f>
        <v>Yes</v>
      </c>
      <c r="R846" s="1" t="str">
        <f ca="1">IFERROR(__xludf.DUMMYFUNCTION("""COMPUTED_VALUE"""),"After School")</f>
        <v>After School</v>
      </c>
      <c r="S846" s="5">
        <f ca="1">IFERROR(__xludf.DUMMYFUNCTION("""COMPUTED_VALUE"""),0.666666666666666)</f>
        <v>0.66666666666666596</v>
      </c>
      <c r="T846" s="1">
        <f ca="1">IFERROR(__xludf.DUMMYFUNCTION("""COMPUTED_VALUE"""),1)</f>
        <v>1</v>
      </c>
      <c r="U846" s="1" t="str">
        <f ca="1">IFERROR(__xludf.DUMMYFUNCTION("""COMPUTED_VALUE"""),"Shots fired toward the school building during a fight between 30 teens")</f>
        <v>Shots fired toward the school building during a fight between 30 teens</v>
      </c>
      <c r="V846" s="1" t="str">
        <f ca="1">IFERROR(__xludf.DUMMYFUNCTION("""COMPUTED_VALUE"""),"Students were outside of the school for after school activities when a gunman fired shots during a fight between 30 people. Students ran back inside the school building to lockdown. Shooter fled the area.")</f>
        <v>Students were outside of the school for after school activities when a gunman fired shots during a fight between 30 people. Students ran back inside the school building to lockdown. Shooter fled the area.</v>
      </c>
      <c r="W846" s="1" t="str">
        <f ca="1">IFERROR(__xludf.DUMMYFUNCTION("""COMPUTED_VALUE"""),"Escalation of Dispute")</f>
        <v>Escalation of Dispute</v>
      </c>
      <c r="X846" s="1" t="str">
        <f ca="1">IFERROR(__xludf.DUMMYFUNCTION("""COMPUTED_VALUE"""),"Random Shooting")</f>
        <v>Random Shooting</v>
      </c>
      <c r="Y846" s="1" t="str">
        <f ca="1">IFERROR(__xludf.DUMMYFUNCTION("""COMPUTED_VALUE"""),"No")</f>
        <v>No</v>
      </c>
      <c r="Z846" s="1"/>
      <c r="AA846" s="1" t="str">
        <f ca="1">IFERROR(__xludf.DUMMYFUNCTION("""COMPUTED_VALUE"""),"No")</f>
        <v>No</v>
      </c>
      <c r="AB846" s="1" t="str">
        <f ca="1">IFERROR(__xludf.DUMMYFUNCTION("""COMPUTED_VALUE"""),"No")</f>
        <v>No</v>
      </c>
      <c r="AC846" s="1" t="str">
        <f ca="1">IFERROR(__xludf.DUMMYFUNCTION("""COMPUTED_VALUE"""),"No")</f>
        <v>No</v>
      </c>
      <c r="AD846" s="1" t="str">
        <f ca="1">IFERROR(__xludf.DUMMYFUNCTION("""COMPUTED_VALUE"""),"No")</f>
        <v>No</v>
      </c>
      <c r="AE846" s="1" t="str">
        <f ca="1">IFERROR(__xludf.DUMMYFUNCTION("""COMPUTED_VALUE"""),"No")</f>
        <v>No</v>
      </c>
      <c r="AF846" s="1"/>
      <c r="AG846" s="1" t="str">
        <f ca="1">IFERROR(__xludf.DUMMYFUNCTION("""COMPUTED_VALUE"""),"No")</f>
        <v>No</v>
      </c>
      <c r="AH846" s="1"/>
    </row>
    <row r="847" spans="1:34" ht="12.5">
      <c r="A847" s="1" t="str">
        <f ca="1">IFERROR(__xludf.DUMMYFUNCTION("""COMPUTED_VALUE"""),"20210917GASWS")</f>
        <v>20210917GASWS</v>
      </c>
      <c r="B847" s="1">
        <f ca="1">IFERROR(__xludf.DUMMYFUNCTION("""COMPUTED_VALUE"""),9)</f>
        <v>9</v>
      </c>
      <c r="C847" s="1">
        <f ca="1">IFERROR(__xludf.DUMMYFUNCTION("""COMPUTED_VALUE"""),17)</f>
        <v>17</v>
      </c>
      <c r="D847" s="1">
        <f ca="1">IFERROR(__xludf.DUMMYFUNCTION("""COMPUTED_VALUE"""),2021)</f>
        <v>2021</v>
      </c>
      <c r="E847" s="4">
        <f ca="1">IFERROR(__xludf.DUMMYFUNCTION("""COMPUTED_VALUE"""),44456)</f>
        <v>44456</v>
      </c>
      <c r="F847" s="1" t="str">
        <f ca="1">IFERROR(__xludf.DUMMYFUNCTION("""COMPUTED_VALUE"""),"Swainsboro High School")</f>
        <v>Swainsboro High School</v>
      </c>
      <c r="G847" s="1">
        <f ca="1">IFERROR(__xludf.DUMMYFUNCTION("""COMPUTED_VALUE"""),0)</f>
        <v>0</v>
      </c>
      <c r="H847" s="1">
        <f ca="1">IFERROR(__xludf.DUMMYFUNCTION("""COMPUTED_VALUE"""),0)</f>
        <v>0</v>
      </c>
      <c r="I847" s="1">
        <f ca="1">IFERROR(__xludf.DUMMYFUNCTION("""COMPUTED_VALUE"""),0)</f>
        <v>0</v>
      </c>
      <c r="J847" s="1">
        <f ca="1">IFERROR(__xludf.DUMMYFUNCTION("""COMPUTED_VALUE"""),0)</f>
        <v>0</v>
      </c>
      <c r="K847" s="1" t="str">
        <f ca="1">IFERROR(__xludf.DUMMYFUNCTION("""COMPUTED_VALUE"""),"Fall")</f>
        <v>Fall</v>
      </c>
      <c r="L847" s="1" t="str">
        <f ca="1">IFERROR(__xludf.DUMMYFUNCTION("""COMPUTED_VALUE"""),"Swainsboro")</f>
        <v>Swainsboro</v>
      </c>
      <c r="M847" s="1" t="str">
        <f ca="1">IFERROR(__xludf.DUMMYFUNCTION("""COMPUTED_VALUE"""),"GA")</f>
        <v>GA</v>
      </c>
      <c r="N847" s="1" t="str">
        <f ca="1">IFERROR(__xludf.DUMMYFUNCTION("""COMPUTED_VALUE"""),"High")</f>
        <v>High</v>
      </c>
      <c r="O847" s="1" t="str">
        <f ca="1">IFERROR(__xludf.DUMMYFUNCTION("""COMPUTED_VALUE"""),"Football Field/Track")</f>
        <v>Football Field/Track</v>
      </c>
      <c r="P847" s="1" t="str">
        <f ca="1">IFERROR(__xludf.DUMMYFUNCTION("""COMPUTED_VALUE"""),"Outside on School Property")</f>
        <v>Outside on School Property</v>
      </c>
      <c r="Q847" s="1" t="str">
        <f ca="1">IFERROR(__xludf.DUMMYFUNCTION("""COMPUTED_VALUE"""),"No")</f>
        <v>No</v>
      </c>
      <c r="R847" s="1" t="str">
        <f ca="1">IFERROR(__xludf.DUMMYFUNCTION("""COMPUTED_VALUE"""),"Sport Event")</f>
        <v>Sport Event</v>
      </c>
      <c r="S847" s="5">
        <f ca="1">IFERROR(__xludf.DUMMYFUNCTION("""COMPUTED_VALUE"""),0.875)</f>
        <v>0.875</v>
      </c>
      <c r="T847" s="1">
        <f ca="1">IFERROR(__xludf.DUMMYFUNCTION("""COMPUTED_VALUE"""),1)</f>
        <v>1</v>
      </c>
      <c r="U847" s="1" t="str">
        <f ca="1">IFERROR(__xludf.DUMMYFUNCTION("""COMPUTED_VALUE"""),"Shots fired in the stands of the football stadium during a fight")</f>
        <v>Shots fired in the stands of the football stadium during a fight</v>
      </c>
      <c r="V847" s="1" t="str">
        <f ca="1">IFERROR(__xludf.DUMMYFUNCTION("""COMPUTED_VALUE"""),"Shots were fired at the end of the football game during a fight in the stands. The PA announcer notified the crowd to get down and take cover. Shooter fled the scene. No injuries reported.")</f>
        <v>Shots were fired at the end of the football game during a fight in the stands. The PA announcer notified the crowd to get down and take cover. Shooter fled the scene. No injuries reported.</v>
      </c>
      <c r="W847" s="1" t="str">
        <f ca="1">IFERROR(__xludf.DUMMYFUNCTION("""COMPUTED_VALUE"""),"Escalation of Dispute")</f>
        <v>Escalation of Dispute</v>
      </c>
      <c r="X847" s="1" t="str">
        <f ca="1">IFERROR(__xludf.DUMMYFUNCTION("""COMPUTED_VALUE"""),"Neither")</f>
        <v>Neither</v>
      </c>
      <c r="Y847" s="1" t="str">
        <f ca="1">IFERROR(__xludf.DUMMYFUNCTION("""COMPUTED_VALUE"""),"No")</f>
        <v>No</v>
      </c>
      <c r="Z847" s="1"/>
      <c r="AA847" s="1" t="str">
        <f ca="1">IFERROR(__xludf.DUMMYFUNCTION("""COMPUTED_VALUE"""),"No")</f>
        <v>No</v>
      </c>
      <c r="AB847" s="1" t="str">
        <f ca="1">IFERROR(__xludf.DUMMYFUNCTION("""COMPUTED_VALUE"""),"No")</f>
        <v>No</v>
      </c>
      <c r="AC847" s="1" t="str">
        <f ca="1">IFERROR(__xludf.DUMMYFUNCTION("""COMPUTED_VALUE"""),"No")</f>
        <v>No</v>
      </c>
      <c r="AD847" s="1" t="str">
        <f ca="1">IFERROR(__xludf.DUMMYFUNCTION("""COMPUTED_VALUE"""),"No")</f>
        <v>No</v>
      </c>
      <c r="AE847" s="1" t="str">
        <f ca="1">IFERROR(__xludf.DUMMYFUNCTION("""COMPUTED_VALUE"""),"No")</f>
        <v>No</v>
      </c>
      <c r="AF847" s="1"/>
      <c r="AG847" s="1" t="str">
        <f ca="1">IFERROR(__xludf.DUMMYFUNCTION("""COMPUTED_VALUE"""),"No")</f>
        <v>No</v>
      </c>
      <c r="AH847" s="1">
        <f ca="1">IFERROR(__xludf.DUMMYFUNCTION("""COMPUTED_VALUE"""),3)</f>
        <v>3</v>
      </c>
    </row>
    <row r="848" spans="1:34" ht="12.5">
      <c r="A848" s="1" t="str">
        <f ca="1">IFERROR(__xludf.DUMMYFUNCTION("""COMPUTED_VALUE"""),"20210916WIORM")</f>
        <v>20210916WIORM</v>
      </c>
      <c r="B848" s="1">
        <f ca="1">IFERROR(__xludf.DUMMYFUNCTION("""COMPUTED_VALUE"""),9)</f>
        <v>9</v>
      </c>
      <c r="C848" s="1">
        <f ca="1">IFERROR(__xludf.DUMMYFUNCTION("""COMPUTED_VALUE"""),16)</f>
        <v>16</v>
      </c>
      <c r="D848" s="1">
        <f ca="1">IFERROR(__xludf.DUMMYFUNCTION("""COMPUTED_VALUE"""),2021)</f>
        <v>2021</v>
      </c>
      <c r="E848" s="4">
        <f ca="1">IFERROR(__xludf.DUMMYFUNCTION("""COMPUTED_VALUE"""),44455)</f>
        <v>44455</v>
      </c>
      <c r="F848" s="1" t="str">
        <f ca="1">IFERROR(__xludf.DUMMYFUNCTION("""COMPUTED_VALUE"""),"Orchard Ridge Elementary School")</f>
        <v>Orchard Ridge Elementary School</v>
      </c>
      <c r="G848" s="1">
        <f ca="1">IFERROR(__xludf.DUMMYFUNCTION("""COMPUTED_VALUE"""),0)</f>
        <v>0</v>
      </c>
      <c r="H848" s="1">
        <f ca="1">IFERROR(__xludf.DUMMYFUNCTION("""COMPUTED_VALUE"""),0)</f>
        <v>0</v>
      </c>
      <c r="I848" s="1">
        <f ca="1">IFERROR(__xludf.DUMMYFUNCTION("""COMPUTED_VALUE"""),0)</f>
        <v>0</v>
      </c>
      <c r="J848" s="1">
        <f ca="1">IFERROR(__xludf.DUMMYFUNCTION("""COMPUTED_VALUE"""),0)</f>
        <v>0</v>
      </c>
      <c r="K848" s="1" t="str">
        <f ca="1">IFERROR(__xludf.DUMMYFUNCTION("""COMPUTED_VALUE"""),"Fall")</f>
        <v>Fall</v>
      </c>
      <c r="L848" s="1" t="str">
        <f ca="1">IFERROR(__xludf.DUMMYFUNCTION("""COMPUTED_VALUE"""),"Madison")</f>
        <v>Madison</v>
      </c>
      <c r="M848" s="1" t="str">
        <f ca="1">IFERROR(__xludf.DUMMYFUNCTION("""COMPUTED_VALUE"""),"WI")</f>
        <v>WI</v>
      </c>
      <c r="N848" s="1" t="str">
        <f ca="1">IFERROR(__xludf.DUMMYFUNCTION("""COMPUTED_VALUE"""),"Elementary")</f>
        <v>Elementary</v>
      </c>
      <c r="O848" s="1" t="str">
        <f ca="1">IFERROR(__xludf.DUMMYFUNCTION("""COMPUTED_VALUE"""),"Beside Building")</f>
        <v>Beside Building</v>
      </c>
      <c r="P848" s="1" t="str">
        <f ca="1">IFERROR(__xludf.DUMMYFUNCTION("""COMPUTED_VALUE"""),"Outside on School Property")</f>
        <v>Outside on School Property</v>
      </c>
      <c r="Q848" s="1" t="str">
        <f ca="1">IFERROR(__xludf.DUMMYFUNCTION("""COMPUTED_VALUE"""),"No")</f>
        <v>No</v>
      </c>
      <c r="R848" s="1" t="str">
        <f ca="1">IFERROR(__xludf.DUMMYFUNCTION("""COMPUTED_VALUE"""),"Night")</f>
        <v>Night</v>
      </c>
      <c r="S848" s="5">
        <f ca="1">IFERROR(__xludf.DUMMYFUNCTION("""COMPUTED_VALUE"""),0.125)</f>
        <v>0.125</v>
      </c>
      <c r="T848" s="1">
        <f ca="1">IFERROR(__xludf.DUMMYFUNCTION("""COMPUTED_VALUE"""),1)</f>
        <v>1</v>
      </c>
      <c r="U848" s="1" t="str">
        <f ca="1">IFERROR(__xludf.DUMMYFUNCTION("""COMPUTED_VALUE"""),"Shot fired near school, police found shell casings")</f>
        <v>Shot fired near school, police found shell casings</v>
      </c>
      <c r="V848" s="1" t="str">
        <f ca="1">IFERROR(__xludf.DUMMYFUNCTION("""COMPUTED_VALUE"""),"Police were called for shots fired near the elementary school. Witnesses said the shooter fled the scene. Police found shell casings near the building. No injuries reported.")</f>
        <v>Police were called for shots fired near the elementary school. Witnesses said the shooter fled the scene. Police found shell casings near the building. No injuries reported.</v>
      </c>
      <c r="W848" s="1"/>
      <c r="X848" s="1"/>
      <c r="Y848" s="1" t="str">
        <f ca="1">IFERROR(__xludf.DUMMYFUNCTION("""COMPUTED_VALUE"""),"No")</f>
        <v>No</v>
      </c>
      <c r="Z848" s="1"/>
      <c r="AA848" s="1" t="str">
        <f ca="1">IFERROR(__xludf.DUMMYFUNCTION("""COMPUTED_VALUE"""),"No")</f>
        <v>No</v>
      </c>
      <c r="AB848" s="1" t="str">
        <f ca="1">IFERROR(__xludf.DUMMYFUNCTION("""COMPUTED_VALUE"""),"No")</f>
        <v>No</v>
      </c>
      <c r="AC848" s="1" t="str">
        <f ca="1">IFERROR(__xludf.DUMMYFUNCTION("""COMPUTED_VALUE"""),"No")</f>
        <v>No</v>
      </c>
      <c r="AD848" s="1" t="str">
        <f ca="1">IFERROR(__xludf.DUMMYFUNCTION("""COMPUTED_VALUE"""),"No")</f>
        <v>No</v>
      </c>
      <c r="AE848" s="1" t="str">
        <f ca="1">IFERROR(__xludf.DUMMYFUNCTION("""COMPUTED_VALUE"""),"No")</f>
        <v>No</v>
      </c>
      <c r="AF848" s="1"/>
      <c r="AG848" s="1" t="str">
        <f ca="1">IFERROR(__xludf.DUMMYFUNCTION("""COMPUTED_VALUE"""),"No")</f>
        <v>No</v>
      </c>
      <c r="AH848" s="1"/>
    </row>
    <row r="849" spans="1:34" ht="12.5">
      <c r="A849" s="1" t="str">
        <f ca="1">IFERROR(__xludf.DUMMYFUNCTION("""COMPUTED_VALUE"""),"20210916UTPRP")</f>
        <v>20210916UTPRP</v>
      </c>
      <c r="B849" s="1">
        <f ca="1">IFERROR(__xludf.DUMMYFUNCTION("""COMPUTED_VALUE"""),9)</f>
        <v>9</v>
      </c>
      <c r="C849" s="1">
        <f ca="1">IFERROR(__xludf.DUMMYFUNCTION("""COMPUTED_VALUE"""),16)</f>
        <v>16</v>
      </c>
      <c r="D849" s="1">
        <f ca="1">IFERROR(__xludf.DUMMYFUNCTION("""COMPUTED_VALUE"""),2021)</f>
        <v>2021</v>
      </c>
      <c r="E849" s="4">
        <f ca="1">IFERROR(__xludf.DUMMYFUNCTION("""COMPUTED_VALUE"""),44455)</f>
        <v>44455</v>
      </c>
      <c r="F849" s="1" t="str">
        <f ca="1">IFERROR(__xludf.DUMMYFUNCTION("""COMPUTED_VALUE"""),"Provo High School")</f>
        <v>Provo High School</v>
      </c>
      <c r="G849" s="1">
        <f ca="1">IFERROR(__xludf.DUMMYFUNCTION("""COMPUTED_VALUE"""),0)</f>
        <v>0</v>
      </c>
      <c r="H849" s="1">
        <f ca="1">IFERROR(__xludf.DUMMYFUNCTION("""COMPUTED_VALUE"""),0)</f>
        <v>0</v>
      </c>
      <c r="I849" s="1">
        <f ca="1">IFERROR(__xludf.DUMMYFUNCTION("""COMPUTED_VALUE"""),0)</f>
        <v>0</v>
      </c>
      <c r="J849" s="1">
        <f ca="1">IFERROR(__xludf.DUMMYFUNCTION("""COMPUTED_VALUE"""),0)</f>
        <v>0</v>
      </c>
      <c r="K849" s="1" t="str">
        <f ca="1">IFERROR(__xludf.DUMMYFUNCTION("""COMPUTED_VALUE"""),"Fall")</f>
        <v>Fall</v>
      </c>
      <c r="L849" s="1" t="str">
        <f ca="1">IFERROR(__xludf.DUMMYFUNCTION("""COMPUTED_VALUE"""),"Provo")</f>
        <v>Provo</v>
      </c>
      <c r="M849" s="1" t="str">
        <f ca="1">IFERROR(__xludf.DUMMYFUNCTION("""COMPUTED_VALUE"""),"UT")</f>
        <v>UT</v>
      </c>
      <c r="N849" s="1" t="str">
        <f ca="1">IFERROR(__xludf.DUMMYFUNCTION("""COMPUTED_VALUE"""),"High")</f>
        <v>High</v>
      </c>
      <c r="O849" s="1" t="str">
        <f ca="1">IFERROR(__xludf.DUMMYFUNCTION("""COMPUTED_VALUE"""),"Hallway")</f>
        <v>Hallway</v>
      </c>
      <c r="P849" s="1" t="str">
        <f ca="1">IFERROR(__xludf.DUMMYFUNCTION("""COMPUTED_VALUE"""),"Inside School Building")</f>
        <v>Inside School Building</v>
      </c>
      <c r="Q849" s="1" t="str">
        <f ca="1">IFERROR(__xludf.DUMMYFUNCTION("""COMPUTED_VALUE"""),"Yes")</f>
        <v>Yes</v>
      </c>
      <c r="R849" s="1" t="str">
        <f ca="1">IFERROR(__xludf.DUMMYFUNCTION("""COMPUTED_VALUE"""),"Night")</f>
        <v>Night</v>
      </c>
      <c r="S849" s="5">
        <f ca="1">IFERROR(__xludf.DUMMYFUNCTION("""COMPUTED_VALUE"""),0.525694444444444)</f>
        <v>0.52569444444444402</v>
      </c>
      <c r="T849" s="1">
        <f ca="1">IFERROR(__xludf.DUMMYFUNCTION("""COMPUTED_VALUE"""),1)</f>
        <v>1</v>
      </c>
      <c r="U849" s="1" t="str">
        <f ca="1">IFERROR(__xludf.DUMMYFUNCTION("""COMPUTED_VALUE"""),"Student brandished handgun during fight in the hallway")</f>
        <v>Student brandished handgun during fight in the hallway</v>
      </c>
      <c r="V849" s="1" t="str">
        <f ca="1">IFERROR(__xludf.DUMMYFUNCTION("""COMPUTED_VALUE"""),"A student brandished a handgun during a fight in the hallway. Another student reported the gun to a teacher and the school was locked down for multiple hours. Police were dispatched for an active shooter and searched the building. Police located the stude"&amp;"nt with the weapon and determined that it was a realistic airsoft pistol.")</f>
        <v>A student brandished a handgun during a fight in the hallway. Another student reported the gun to a teacher and the school was locked down for multiple hours. Police were dispatched for an active shooter and searched the building. Police located the student with the weapon and determined that it was a realistic airsoft pistol.</v>
      </c>
      <c r="W849" s="1" t="str">
        <f ca="1">IFERROR(__xludf.DUMMYFUNCTION("""COMPUTED_VALUE"""),"Escalation of Dispute")</f>
        <v>Escalation of Dispute</v>
      </c>
      <c r="X849" s="1" t="str">
        <f ca="1">IFERROR(__xludf.DUMMYFUNCTION("""COMPUTED_VALUE"""),"Victims Targeted")</f>
        <v>Victims Targeted</v>
      </c>
      <c r="Y849" s="1" t="str">
        <f ca="1">IFERROR(__xludf.DUMMYFUNCTION("""COMPUTED_VALUE"""),"No")</f>
        <v>No</v>
      </c>
      <c r="Z849" s="1"/>
      <c r="AA849" s="1" t="str">
        <f ca="1">IFERROR(__xludf.DUMMYFUNCTION("""COMPUTED_VALUE"""),"No")</f>
        <v>No</v>
      </c>
      <c r="AB849" s="1" t="str">
        <f ca="1">IFERROR(__xludf.DUMMYFUNCTION("""COMPUTED_VALUE"""),"No")</f>
        <v>No</v>
      </c>
      <c r="AC849" s="1" t="str">
        <f ca="1">IFERROR(__xludf.DUMMYFUNCTION("""COMPUTED_VALUE"""),"No")</f>
        <v>No</v>
      </c>
      <c r="AD849" s="1" t="str">
        <f ca="1">IFERROR(__xludf.DUMMYFUNCTION("""COMPUTED_VALUE"""),"No")</f>
        <v>No</v>
      </c>
      <c r="AE849" s="1" t="str">
        <f ca="1">IFERROR(__xludf.DUMMYFUNCTION("""COMPUTED_VALUE"""),"No")</f>
        <v>No</v>
      </c>
      <c r="AF849" s="1" t="str">
        <f ca="1">IFERROR(__xludf.DUMMYFUNCTION("""COMPUTED_VALUE"""),"No")</f>
        <v>No</v>
      </c>
      <c r="AG849" s="1" t="str">
        <f ca="1">IFERROR(__xludf.DUMMYFUNCTION("""COMPUTED_VALUE"""),"No")</f>
        <v>No</v>
      </c>
      <c r="AH849" s="1">
        <f ca="1">IFERROR(__xludf.DUMMYFUNCTION("""COMPUTED_VALUE"""),0)</f>
        <v>0</v>
      </c>
    </row>
    <row r="850" spans="1:34" ht="12.5">
      <c r="A850" s="1" t="str">
        <f ca="1">IFERROR(__xludf.DUMMYFUNCTION("""COMPUTED_VALUE"""),"20210916OHBEC")</f>
        <v>20210916OHBEC</v>
      </c>
      <c r="B850" s="1">
        <f ca="1">IFERROR(__xludf.DUMMYFUNCTION("""COMPUTED_VALUE"""),9)</f>
        <v>9</v>
      </c>
      <c r="C850" s="1">
        <f ca="1">IFERROR(__xludf.DUMMYFUNCTION("""COMPUTED_VALUE"""),16)</f>
        <v>16</v>
      </c>
      <c r="D850" s="1">
        <f ca="1">IFERROR(__xludf.DUMMYFUNCTION("""COMPUTED_VALUE"""),2021)</f>
        <v>2021</v>
      </c>
      <c r="E850" s="4">
        <f ca="1">IFERROR(__xludf.DUMMYFUNCTION("""COMPUTED_VALUE"""),44455)</f>
        <v>44455</v>
      </c>
      <c r="F850" s="1" t="str">
        <f ca="1">IFERROR(__xludf.DUMMYFUNCTION("""COMPUTED_VALUE"""),"Beechcroft High School")</f>
        <v>Beechcroft High School</v>
      </c>
      <c r="G850" s="1">
        <f ca="1">IFERROR(__xludf.DUMMYFUNCTION("""COMPUTED_VALUE"""),0)</f>
        <v>0</v>
      </c>
      <c r="H850" s="1">
        <f ca="1">IFERROR(__xludf.DUMMYFUNCTION("""COMPUTED_VALUE"""),0)</f>
        <v>0</v>
      </c>
      <c r="I850" s="1">
        <f ca="1">IFERROR(__xludf.DUMMYFUNCTION("""COMPUTED_VALUE"""),0)</f>
        <v>0</v>
      </c>
      <c r="J850" s="1">
        <f ca="1">IFERROR(__xludf.DUMMYFUNCTION("""COMPUTED_VALUE"""),0)</f>
        <v>0</v>
      </c>
      <c r="K850" s="1" t="str">
        <f ca="1">IFERROR(__xludf.DUMMYFUNCTION("""COMPUTED_VALUE"""),"Fall")</f>
        <v>Fall</v>
      </c>
      <c r="L850" s="1" t="str">
        <f ca="1">IFERROR(__xludf.DUMMYFUNCTION("""COMPUTED_VALUE"""),"Columbus")</f>
        <v>Columbus</v>
      </c>
      <c r="M850" s="1" t="str">
        <f ca="1">IFERROR(__xludf.DUMMYFUNCTION("""COMPUTED_VALUE"""),"OH")</f>
        <v>OH</v>
      </c>
      <c r="N850" s="1" t="str">
        <f ca="1">IFERROR(__xludf.DUMMYFUNCTION("""COMPUTED_VALUE"""),"High")</f>
        <v>High</v>
      </c>
      <c r="O850" s="1" t="str">
        <f ca="1">IFERROR(__xludf.DUMMYFUNCTION("""COMPUTED_VALUE"""),"Parking Lot")</f>
        <v>Parking Lot</v>
      </c>
      <c r="P850" s="1" t="str">
        <f ca="1">IFERROR(__xludf.DUMMYFUNCTION("""COMPUTED_VALUE"""),"Outside on School Property")</f>
        <v>Outside on School Property</v>
      </c>
      <c r="Q850" s="1" t="str">
        <f ca="1">IFERROR(__xludf.DUMMYFUNCTION("""COMPUTED_VALUE"""),"No")</f>
        <v>No</v>
      </c>
      <c r="R850" s="1" t="str">
        <f ca="1">IFERROR(__xludf.DUMMYFUNCTION("""COMPUTED_VALUE"""),"Sport Event")</f>
        <v>Sport Event</v>
      </c>
      <c r="S850" s="5">
        <f ca="1">IFERROR(__xludf.DUMMYFUNCTION("""COMPUTED_VALUE"""),0.911805555555555)</f>
        <v>0.91180555555555498</v>
      </c>
      <c r="T850" s="1">
        <f ca="1">IFERROR(__xludf.DUMMYFUNCTION("""COMPUTED_VALUE"""),1)</f>
        <v>1</v>
      </c>
      <c r="U850" s="1" t="str">
        <f ca="1">IFERROR(__xludf.DUMMYFUNCTION("""COMPUTED_VALUE"""),"Seven shots fired when fans were leaving the football game")</f>
        <v>Seven shots fired when fans were leaving the football game</v>
      </c>
      <c r="V850" s="1" t="str">
        <f ca="1">IFERROR(__xludf.DUMMYFUNCTION("""COMPUTED_VALUE"""),"Multiple car windows were broken when seven shots were fired after a high school football game. No injuries. Shooter fled the scene. Columbus schools ended the SRO program last school year, private security was working at the game.")</f>
        <v>Multiple car windows were broken when seven shots were fired after a high school football game. No injuries. Shooter fled the scene. Columbus schools ended the SRO program last school year, private security was working at the game.</v>
      </c>
      <c r="W850" s="1"/>
      <c r="X850" s="1" t="str">
        <f ca="1">IFERROR(__xludf.DUMMYFUNCTION("""COMPUTED_VALUE"""),"Neither")</f>
        <v>Neither</v>
      </c>
      <c r="Y850" s="1" t="str">
        <f ca="1">IFERROR(__xludf.DUMMYFUNCTION("""COMPUTED_VALUE"""),"No")</f>
        <v>No</v>
      </c>
      <c r="Z850" s="1"/>
      <c r="AA850" s="1" t="str">
        <f ca="1">IFERROR(__xludf.DUMMYFUNCTION("""COMPUTED_VALUE"""),"No")</f>
        <v>No</v>
      </c>
      <c r="AB850" s="1" t="str">
        <f ca="1">IFERROR(__xludf.DUMMYFUNCTION("""COMPUTED_VALUE"""),"No")</f>
        <v>No</v>
      </c>
      <c r="AC850" s="1" t="str">
        <f ca="1">IFERROR(__xludf.DUMMYFUNCTION("""COMPUTED_VALUE"""),"No")</f>
        <v>No</v>
      </c>
      <c r="AD850" s="1" t="str">
        <f ca="1">IFERROR(__xludf.DUMMYFUNCTION("""COMPUTED_VALUE"""),"No")</f>
        <v>No</v>
      </c>
      <c r="AE850" s="1" t="str">
        <f ca="1">IFERROR(__xludf.DUMMYFUNCTION("""COMPUTED_VALUE"""),"No")</f>
        <v>No</v>
      </c>
      <c r="AF850" s="1"/>
      <c r="AG850" s="1" t="str">
        <f ca="1">IFERROR(__xludf.DUMMYFUNCTION("""COMPUTED_VALUE"""),"No")</f>
        <v>No</v>
      </c>
      <c r="AH850" s="1">
        <f ca="1">IFERROR(__xludf.DUMMYFUNCTION("""COMPUTED_VALUE"""),7)</f>
        <v>7</v>
      </c>
    </row>
    <row r="851" spans="1:34" ht="12.5">
      <c r="A851" s="1" t="str">
        <f ca="1">IFERROR(__xludf.DUMMYFUNCTION("""COMPUTED_VALUE"""),"20210915VASPS")</f>
        <v>20210915VASPS</v>
      </c>
      <c r="B851" s="1">
        <f ca="1">IFERROR(__xludf.DUMMYFUNCTION("""COMPUTED_VALUE"""),9)</f>
        <v>9</v>
      </c>
      <c r="C851" s="1">
        <f ca="1">IFERROR(__xludf.DUMMYFUNCTION("""COMPUTED_VALUE"""),15)</f>
        <v>15</v>
      </c>
      <c r="D851" s="1">
        <f ca="1">IFERROR(__xludf.DUMMYFUNCTION("""COMPUTED_VALUE"""),2021)</f>
        <v>2021</v>
      </c>
      <c r="E851" s="4">
        <f ca="1">IFERROR(__xludf.DUMMYFUNCTION("""COMPUTED_VALUE"""),44454)</f>
        <v>44454</v>
      </c>
      <c r="F851" s="1" t="str">
        <f ca="1">IFERROR(__xludf.DUMMYFUNCTION("""COMPUTED_VALUE"""),"Springfield Estates Elementary")</f>
        <v>Springfield Estates Elementary</v>
      </c>
      <c r="G851" s="1">
        <f ca="1">IFERROR(__xludf.DUMMYFUNCTION("""COMPUTED_VALUE"""),0)</f>
        <v>0</v>
      </c>
      <c r="H851" s="1">
        <f ca="1">IFERROR(__xludf.DUMMYFUNCTION("""COMPUTED_VALUE"""),0)</f>
        <v>0</v>
      </c>
      <c r="I851" s="1">
        <f ca="1">IFERROR(__xludf.DUMMYFUNCTION("""COMPUTED_VALUE"""),0)</f>
        <v>0</v>
      </c>
      <c r="J851" s="1">
        <f ca="1">IFERROR(__xludf.DUMMYFUNCTION("""COMPUTED_VALUE"""),0)</f>
        <v>0</v>
      </c>
      <c r="K851" s="1" t="str">
        <f ca="1">IFERROR(__xludf.DUMMYFUNCTION("""COMPUTED_VALUE"""),"Fall")</f>
        <v>Fall</v>
      </c>
      <c r="L851" s="1" t="str">
        <f ca="1">IFERROR(__xludf.DUMMYFUNCTION("""COMPUTED_VALUE"""),"Springfield")</f>
        <v>Springfield</v>
      </c>
      <c r="M851" s="1" t="str">
        <f ca="1">IFERROR(__xludf.DUMMYFUNCTION("""COMPUTED_VALUE"""),"VA")</f>
        <v>VA</v>
      </c>
      <c r="N851" s="1" t="str">
        <f ca="1">IFERROR(__xludf.DUMMYFUNCTION("""COMPUTED_VALUE"""),"Elementary")</f>
        <v>Elementary</v>
      </c>
      <c r="O851" s="1" t="str">
        <f ca="1">IFERROR(__xludf.DUMMYFUNCTION("""COMPUTED_VALUE"""),"Inside School Building")</f>
        <v>Inside School Building</v>
      </c>
      <c r="P851" s="1" t="str">
        <f ca="1">IFERROR(__xludf.DUMMYFUNCTION("""COMPUTED_VALUE"""),"Inside School Building")</f>
        <v>Inside School Building</v>
      </c>
      <c r="Q851" s="1" t="str">
        <f ca="1">IFERROR(__xludf.DUMMYFUNCTION("""COMPUTED_VALUE"""),"Yes")</f>
        <v>Yes</v>
      </c>
      <c r="R851" s="1" t="str">
        <f ca="1">IFERROR(__xludf.DUMMYFUNCTION("""COMPUTED_VALUE"""),"Morning Classes")</f>
        <v>Morning Classes</v>
      </c>
      <c r="S851" s="1"/>
      <c r="T851" s="1"/>
      <c r="U851" s="1" t="str">
        <f ca="1">IFERROR(__xludf.DUMMYFUNCTION("""COMPUTED_VALUE"""),"Student used stungun on 3 classmates in the school")</f>
        <v>Student used stungun on 3 classmates in the school</v>
      </c>
      <c r="V851" s="1" t="str">
        <f ca="1">IFERROR(__xludf.DUMMYFUNCTION("""COMPUTED_VALUE"""),"An elementary school student used a stungun on 3 classmates inside the school at different times during the school day. Multiple students were seen with the weapon. Police were notified the following day. The 27-year-old female owner of the weapon was cha"&amp;"rged with delinquency of a minor for allowing access to the stun gun. None of the students stunned were injured.")</f>
        <v>An elementary school student used a stungun on 3 classmates inside the school at different times during the school day. Multiple students were seen with the weapon. Police were notified the following day. The 27-year-old female owner of the weapon was charged with delinquency of a minor for allowing access to the stun gun. None of the students stunned were injured.</v>
      </c>
      <c r="W851" s="1"/>
      <c r="X851" s="1"/>
      <c r="Y851" s="1"/>
      <c r="Z851" s="1"/>
      <c r="AA851" s="1" t="str">
        <f ca="1">IFERROR(__xludf.DUMMYFUNCTION("""COMPUTED_VALUE"""),"No")</f>
        <v>No</v>
      </c>
      <c r="AB851" s="1" t="str">
        <f ca="1">IFERROR(__xludf.DUMMYFUNCTION("""COMPUTED_VALUE"""),"No")</f>
        <v>No</v>
      </c>
      <c r="AC851" s="1" t="str">
        <f ca="1">IFERROR(__xludf.DUMMYFUNCTION("""COMPUTED_VALUE"""),"No")</f>
        <v>No</v>
      </c>
      <c r="AD851" s="1" t="str">
        <f ca="1">IFERROR(__xludf.DUMMYFUNCTION("""COMPUTED_VALUE"""),"No")</f>
        <v>No</v>
      </c>
      <c r="AE851" s="1" t="str">
        <f ca="1">IFERROR(__xludf.DUMMYFUNCTION("""COMPUTED_VALUE"""),"No")</f>
        <v>No</v>
      </c>
      <c r="AF851" s="1" t="str">
        <f ca="1">IFERROR(__xludf.DUMMYFUNCTION("""COMPUTED_VALUE"""),"No")</f>
        <v>No</v>
      </c>
      <c r="AG851" s="1" t="str">
        <f ca="1">IFERROR(__xludf.DUMMYFUNCTION("""COMPUTED_VALUE"""),"No")</f>
        <v>No</v>
      </c>
      <c r="AH851" s="1"/>
    </row>
    <row r="852" spans="1:34" ht="12.5">
      <c r="A852" s="1" t="str">
        <f ca="1">IFERROR(__xludf.DUMMYFUNCTION("""COMPUTED_VALUE"""),"20210915KYMAL")</f>
        <v>20210915KYMAL</v>
      </c>
      <c r="B852" s="1">
        <f ca="1">IFERROR(__xludf.DUMMYFUNCTION("""COMPUTED_VALUE"""),9)</f>
        <v>9</v>
      </c>
      <c r="C852" s="1">
        <f ca="1">IFERROR(__xludf.DUMMYFUNCTION("""COMPUTED_VALUE"""),15)</f>
        <v>15</v>
      </c>
      <c r="D852" s="1">
        <f ca="1">IFERROR(__xludf.DUMMYFUNCTION("""COMPUTED_VALUE"""),2021)</f>
        <v>2021</v>
      </c>
      <c r="E852" s="4">
        <f ca="1">IFERROR(__xludf.DUMMYFUNCTION("""COMPUTED_VALUE"""),44454)</f>
        <v>44454</v>
      </c>
      <c r="F852" s="1" t="str">
        <f ca="1">IFERROR(__xludf.DUMMYFUNCTION("""COMPUTED_VALUE"""),"Mary Todd Elementary School")</f>
        <v>Mary Todd Elementary School</v>
      </c>
      <c r="G852" s="1">
        <f ca="1">IFERROR(__xludf.DUMMYFUNCTION("""COMPUTED_VALUE"""),0)</f>
        <v>0</v>
      </c>
      <c r="H852" s="1">
        <f ca="1">IFERROR(__xludf.DUMMYFUNCTION("""COMPUTED_VALUE"""),1)</f>
        <v>1</v>
      </c>
      <c r="I852" s="1">
        <f ca="1">IFERROR(__xludf.DUMMYFUNCTION("""COMPUTED_VALUE"""),1)</f>
        <v>1</v>
      </c>
      <c r="J852" s="1">
        <f ca="1">IFERROR(__xludf.DUMMYFUNCTION("""COMPUTED_VALUE"""),0)</f>
        <v>0</v>
      </c>
      <c r="K852" s="1" t="str">
        <f ca="1">IFERROR(__xludf.DUMMYFUNCTION("""COMPUTED_VALUE"""),"Fall")</f>
        <v>Fall</v>
      </c>
      <c r="L852" s="1" t="str">
        <f ca="1">IFERROR(__xludf.DUMMYFUNCTION("""COMPUTED_VALUE"""),"Lexington")</f>
        <v>Lexington</v>
      </c>
      <c r="M852" s="1" t="str">
        <f ca="1">IFERROR(__xludf.DUMMYFUNCTION("""COMPUTED_VALUE"""),"KY")</f>
        <v>KY</v>
      </c>
      <c r="N852" s="1" t="str">
        <f ca="1">IFERROR(__xludf.DUMMYFUNCTION("""COMPUTED_VALUE"""),"Elementary")</f>
        <v>Elementary</v>
      </c>
      <c r="O852" s="1" t="str">
        <f ca="1">IFERROR(__xludf.DUMMYFUNCTION("""COMPUTED_VALUE"""),"Parking Lot")</f>
        <v>Parking Lot</v>
      </c>
      <c r="P852" s="1" t="str">
        <f ca="1">IFERROR(__xludf.DUMMYFUNCTION("""COMPUTED_VALUE"""),"Off School Property")</f>
        <v>Off School Property</v>
      </c>
      <c r="Q852" s="1" t="str">
        <f ca="1">IFERROR(__xludf.DUMMYFUNCTION("""COMPUTED_VALUE"""),"No")</f>
        <v>No</v>
      </c>
      <c r="R852" s="1" t="str">
        <f ca="1">IFERROR(__xludf.DUMMYFUNCTION("""COMPUTED_VALUE"""),"After School")</f>
        <v>After School</v>
      </c>
      <c r="S852" s="5">
        <f ca="1">IFERROR(__xludf.DUMMYFUNCTION("""COMPUTED_VALUE"""),0.666666666666666)</f>
        <v>0.66666666666666596</v>
      </c>
      <c r="T852" s="1">
        <f ca="1">IFERROR(__xludf.DUMMYFUNCTION("""COMPUTED_VALUE"""),1)</f>
        <v>1</v>
      </c>
      <c r="U852" s="1" t="str">
        <f ca="1">IFERROR(__xludf.DUMMYFUNCTION("""COMPUTED_VALUE"""),"Man shot and ran to elementary school for assistance")</f>
        <v>Man shot and ran to elementary school for assistance</v>
      </c>
      <c r="V852" s="1" t="str">
        <f ca="1">IFERROR(__xludf.DUMMYFUNCTION("""COMPUTED_VALUE"""),"An adult male was shot near the school and ran to the elementary school for assistance. Police and EMS responded and assisted him in the parking lot of the school.")</f>
        <v>An adult male was shot near the school and ran to the elementary school for assistance. Police and EMS responded and assisted him in the parking lot of the school.</v>
      </c>
      <c r="W852" s="1"/>
      <c r="X852" s="1" t="str">
        <f ca="1">IFERROR(__xludf.DUMMYFUNCTION("""COMPUTED_VALUE"""),"Victims Targeted")</f>
        <v>Victims Targeted</v>
      </c>
      <c r="Y852" s="1" t="str">
        <f ca="1">IFERROR(__xludf.DUMMYFUNCTION("""COMPUTED_VALUE"""),"No")</f>
        <v>No</v>
      </c>
      <c r="Z852" s="1"/>
      <c r="AA852" s="1" t="str">
        <f ca="1">IFERROR(__xludf.DUMMYFUNCTION("""COMPUTED_VALUE"""),"No")</f>
        <v>No</v>
      </c>
      <c r="AB852" s="1" t="str">
        <f ca="1">IFERROR(__xludf.DUMMYFUNCTION("""COMPUTED_VALUE"""),"No")</f>
        <v>No</v>
      </c>
      <c r="AC852" s="1" t="str">
        <f ca="1">IFERROR(__xludf.DUMMYFUNCTION("""COMPUTED_VALUE"""),"No")</f>
        <v>No</v>
      </c>
      <c r="AD852" s="1" t="str">
        <f ca="1">IFERROR(__xludf.DUMMYFUNCTION("""COMPUTED_VALUE"""),"No")</f>
        <v>No</v>
      </c>
      <c r="AE852" s="1" t="str">
        <f ca="1">IFERROR(__xludf.DUMMYFUNCTION("""COMPUTED_VALUE"""),"No")</f>
        <v>No</v>
      </c>
      <c r="AF852" s="1" t="str">
        <f ca="1">IFERROR(__xludf.DUMMYFUNCTION("""COMPUTED_VALUE"""),"No")</f>
        <v>No</v>
      </c>
      <c r="AG852" s="1" t="str">
        <f ca="1">IFERROR(__xludf.DUMMYFUNCTION("""COMPUTED_VALUE"""),"No")</f>
        <v>No</v>
      </c>
      <c r="AH852" s="1"/>
    </row>
    <row r="853" spans="1:34" ht="12.5">
      <c r="A853" s="1" t="str">
        <f ca="1">IFERROR(__xludf.DUMMYFUNCTION("""COMPUTED_VALUE"""),"20210915ILCEC")</f>
        <v>20210915ILCEC</v>
      </c>
      <c r="B853" s="1">
        <f ca="1">IFERROR(__xludf.DUMMYFUNCTION("""COMPUTED_VALUE"""),9)</f>
        <v>9</v>
      </c>
      <c r="C853" s="1">
        <f ca="1">IFERROR(__xludf.DUMMYFUNCTION("""COMPUTED_VALUE"""),15)</f>
        <v>15</v>
      </c>
      <c r="D853" s="1">
        <f ca="1">IFERROR(__xludf.DUMMYFUNCTION("""COMPUTED_VALUE"""),2021)</f>
        <v>2021</v>
      </c>
      <c r="E853" s="4">
        <f ca="1">IFERROR(__xludf.DUMMYFUNCTION("""COMPUTED_VALUE"""),44454)</f>
        <v>44454</v>
      </c>
      <c r="F853" s="1" t="str">
        <f ca="1">IFERROR(__xludf.DUMMYFUNCTION("""COMPUTED_VALUE"""),"Centennial High School")</f>
        <v>Centennial High School</v>
      </c>
      <c r="G853" s="1">
        <f ca="1">IFERROR(__xludf.DUMMYFUNCTION("""COMPUTED_VALUE"""),0)</f>
        <v>0</v>
      </c>
      <c r="H853" s="1">
        <f ca="1">IFERROR(__xludf.DUMMYFUNCTION("""COMPUTED_VALUE"""),0)</f>
        <v>0</v>
      </c>
      <c r="I853" s="1">
        <f ca="1">IFERROR(__xludf.DUMMYFUNCTION("""COMPUTED_VALUE"""),0)</f>
        <v>0</v>
      </c>
      <c r="J853" s="1">
        <f ca="1">IFERROR(__xludf.DUMMYFUNCTION("""COMPUTED_VALUE"""),0)</f>
        <v>0</v>
      </c>
      <c r="K853" s="1" t="str">
        <f ca="1">IFERROR(__xludf.DUMMYFUNCTION("""COMPUTED_VALUE"""),"Fall")</f>
        <v>Fall</v>
      </c>
      <c r="L853" s="1" t="str">
        <f ca="1">IFERROR(__xludf.DUMMYFUNCTION("""COMPUTED_VALUE"""),"Champaign")</f>
        <v>Champaign</v>
      </c>
      <c r="M853" s="1" t="str">
        <f ca="1">IFERROR(__xludf.DUMMYFUNCTION("""COMPUTED_VALUE"""),"IL")</f>
        <v>IL</v>
      </c>
      <c r="N853" s="1" t="str">
        <f ca="1">IFERROR(__xludf.DUMMYFUNCTION("""COMPUTED_VALUE"""),"High")</f>
        <v>High</v>
      </c>
      <c r="O853" s="1" t="str">
        <f ca="1">IFERROR(__xludf.DUMMYFUNCTION("""COMPUTED_VALUE"""),"Field (General)")</f>
        <v>Field (General)</v>
      </c>
      <c r="P853" s="1" t="str">
        <f ca="1">IFERROR(__xludf.DUMMYFUNCTION("""COMPUTED_VALUE"""),"Outside on School Property")</f>
        <v>Outside on School Property</v>
      </c>
      <c r="Q853" s="1" t="str">
        <f ca="1">IFERROR(__xludf.DUMMYFUNCTION("""COMPUTED_VALUE"""),"Yes")</f>
        <v>Yes</v>
      </c>
      <c r="R853" s="1" t="str">
        <f ca="1">IFERROR(__xludf.DUMMYFUNCTION("""COMPUTED_VALUE"""),"Afternoon Classes")</f>
        <v>Afternoon Classes</v>
      </c>
      <c r="S853" s="5">
        <f ca="1">IFERROR(__xludf.DUMMYFUNCTION("""COMPUTED_VALUE"""),0.5625)</f>
        <v>0.5625</v>
      </c>
      <c r="T853" s="1">
        <f ca="1">IFERROR(__xludf.DUMMYFUNCTION("""COMPUTED_VALUE"""),1)</f>
        <v>1</v>
      </c>
      <c r="U853" s="1" t="str">
        <f ca="1">IFERROR(__xludf.DUMMYFUNCTION("""COMPUTED_VALUE"""),"Shots fired outside of school, no injuries")</f>
        <v>Shots fired outside of school, no injuries</v>
      </c>
      <c r="V853" s="1" t="str">
        <f ca="1">IFERROR(__xludf.DUMMYFUNCTION("""COMPUTED_VALUE"""),"Shots were fired outside of the school during afternoon classes. Students in gym class on the field ran into the school. Other students took cover behind vehicles in the parking lot. High school and two other nearby schools were placed on lockdown. Police"&amp;" recovered 13 shell casings in two locations showing two different people fired shots. No injuries reported and shooter fled. 16-year-old shooter arrested on 9/30. A 17-year-old male who was the second shooter was arrested on 10/13.")</f>
        <v>Shots were fired outside of the school during afternoon classes. Students in gym class on the field ran into the school. Other students took cover behind vehicles in the parking lot. High school and two other nearby schools were placed on lockdown. Police recovered 13 shell casings in two locations showing two different people fired shots. No injuries reported and shooter fled. 16-year-old shooter arrested on 9/30. A 17-year-old male who was the second shooter was arrested on 10/13.</v>
      </c>
      <c r="W853" s="1"/>
      <c r="X853" s="1"/>
      <c r="Y853" s="1" t="str">
        <f ca="1">IFERROR(__xludf.DUMMYFUNCTION("""COMPUTED_VALUE"""),"No")</f>
        <v>No</v>
      </c>
      <c r="Z853" s="1"/>
      <c r="AA853" s="1" t="str">
        <f ca="1">IFERROR(__xludf.DUMMYFUNCTION("""COMPUTED_VALUE"""),"No")</f>
        <v>No</v>
      </c>
      <c r="AB853" s="1" t="str">
        <f ca="1">IFERROR(__xludf.DUMMYFUNCTION("""COMPUTED_VALUE"""),"No")</f>
        <v>No</v>
      </c>
      <c r="AC853" s="1" t="str">
        <f ca="1">IFERROR(__xludf.DUMMYFUNCTION("""COMPUTED_VALUE"""),"No")</f>
        <v>No</v>
      </c>
      <c r="AD853" s="1" t="str">
        <f ca="1">IFERROR(__xludf.DUMMYFUNCTION("""COMPUTED_VALUE"""),"No")</f>
        <v>No</v>
      </c>
      <c r="AE853" s="1" t="str">
        <f ca="1">IFERROR(__xludf.DUMMYFUNCTION("""COMPUTED_VALUE"""),"No")</f>
        <v>No</v>
      </c>
      <c r="AF853" s="1"/>
      <c r="AG853" s="1" t="str">
        <f ca="1">IFERROR(__xludf.DUMMYFUNCTION("""COMPUTED_VALUE"""),"No")</f>
        <v>No</v>
      </c>
      <c r="AH853" s="1">
        <f ca="1">IFERROR(__xludf.DUMMYFUNCTION("""COMPUTED_VALUE"""),13)</f>
        <v>13</v>
      </c>
    </row>
    <row r="854" spans="1:34" ht="12.5">
      <c r="A854" s="1" t="str">
        <f ca="1">IFERROR(__xludf.DUMMYFUNCTION("""COMPUTED_VALUE"""),"20210914TNLAL")</f>
        <v>20210914TNLAL</v>
      </c>
      <c r="B854" s="1">
        <f ca="1">IFERROR(__xludf.DUMMYFUNCTION("""COMPUTED_VALUE"""),9)</f>
        <v>9</v>
      </c>
      <c r="C854" s="1">
        <f ca="1">IFERROR(__xludf.DUMMYFUNCTION("""COMPUTED_VALUE"""),14)</f>
        <v>14</v>
      </c>
      <c r="D854" s="1">
        <f ca="1">IFERROR(__xludf.DUMMYFUNCTION("""COMPUTED_VALUE"""),2021)</f>
        <v>2021</v>
      </c>
      <c r="E854" s="4">
        <f ca="1">IFERROR(__xludf.DUMMYFUNCTION("""COMPUTED_VALUE"""),44453)</f>
        <v>44453</v>
      </c>
      <c r="F854" s="1" t="str">
        <f ca="1">IFERROR(__xludf.DUMMYFUNCTION("""COMPUTED_VALUE"""),"La Vergne High School")</f>
        <v>La Vergne High School</v>
      </c>
      <c r="G854" s="1">
        <f ca="1">IFERROR(__xludf.DUMMYFUNCTION("""COMPUTED_VALUE"""),0)</f>
        <v>0</v>
      </c>
      <c r="H854" s="1">
        <f ca="1">IFERROR(__xludf.DUMMYFUNCTION("""COMPUTED_VALUE"""),0)</f>
        <v>0</v>
      </c>
      <c r="I854" s="1">
        <f ca="1">IFERROR(__xludf.DUMMYFUNCTION("""COMPUTED_VALUE"""),0)</f>
        <v>0</v>
      </c>
      <c r="J854" s="1">
        <f ca="1">IFERROR(__xludf.DUMMYFUNCTION("""COMPUTED_VALUE"""),0)</f>
        <v>0</v>
      </c>
      <c r="K854" s="1" t="str">
        <f ca="1">IFERROR(__xludf.DUMMYFUNCTION("""COMPUTED_VALUE"""),"Fall")</f>
        <v>Fall</v>
      </c>
      <c r="L854" s="1" t="str">
        <f ca="1">IFERROR(__xludf.DUMMYFUNCTION("""COMPUTED_VALUE"""),"La Vergne")</f>
        <v>La Vergne</v>
      </c>
      <c r="M854" s="1" t="str">
        <f ca="1">IFERROR(__xludf.DUMMYFUNCTION("""COMPUTED_VALUE"""),"TN")</f>
        <v>TN</v>
      </c>
      <c r="N854" s="1" t="str">
        <f ca="1">IFERROR(__xludf.DUMMYFUNCTION("""COMPUTED_VALUE"""),"High")</f>
        <v>High</v>
      </c>
      <c r="O854" s="1" t="str">
        <f ca="1">IFERROR(__xludf.DUMMYFUNCTION("""COMPUTED_VALUE"""),"Parking Lot")</f>
        <v>Parking Lot</v>
      </c>
      <c r="P854" s="1" t="str">
        <f ca="1">IFERROR(__xludf.DUMMYFUNCTION("""COMPUTED_VALUE"""),"Outside on School Property")</f>
        <v>Outside on School Property</v>
      </c>
      <c r="Q854" s="1" t="str">
        <f ca="1">IFERROR(__xludf.DUMMYFUNCTION("""COMPUTED_VALUE"""),"Yes")</f>
        <v>Yes</v>
      </c>
      <c r="R854" s="1" t="str">
        <f ca="1">IFERROR(__xludf.DUMMYFUNCTION("""COMPUTED_VALUE"""),"Dismissal")</f>
        <v>Dismissal</v>
      </c>
      <c r="S854" s="5">
        <f ca="1">IFERROR(__xludf.DUMMYFUNCTION("""COMPUTED_VALUE"""),0.614583333333333)</f>
        <v>0.61458333333333304</v>
      </c>
      <c r="T854" s="1">
        <f ca="1">IFERROR(__xludf.DUMMYFUNCTION("""COMPUTED_VALUE"""),1)</f>
        <v>1</v>
      </c>
      <c r="U854" s="1" t="str">
        <f ca="1">IFERROR(__xludf.DUMMYFUNCTION("""COMPUTED_VALUE"""),"Teen fired 3 shots in the parking lot during dismissal")</f>
        <v>Teen fired 3 shots in the parking lot during dismissal</v>
      </c>
      <c r="V854" s="1" t="str">
        <f ca="1">IFERROR(__xludf.DUMMYFUNCTION("""COMPUTED_VALUE"""),"A 15-year-old student fired 3 shots in the parking lot at dismissal and then fled the area. The SRO was able to identify the student, notify police of the vehicle description, and the shooter was arrested with a 18-year-old male who also had a handgun. No"&amp;" injuries reported. Additional officers were assigned to the school the following day.")</f>
        <v>A 15-year-old student fired 3 shots in the parking lot at dismissal and then fled the area. The SRO was able to identify the student, notify police of the vehicle description, and the shooter was arrested with a 18-year-old male who also had a handgun. No injuries reported. Additional officers were assigned to the school the following day.</v>
      </c>
      <c r="W854" s="1"/>
      <c r="X854" s="1" t="str">
        <f ca="1">IFERROR(__xludf.DUMMYFUNCTION("""COMPUTED_VALUE"""),"Random Shooting")</f>
        <v>Random Shooting</v>
      </c>
      <c r="Y854" s="1" t="str">
        <f ca="1">IFERROR(__xludf.DUMMYFUNCTION("""COMPUTED_VALUE"""),"Yes")</f>
        <v>Yes</v>
      </c>
      <c r="Z854" s="1" t="str">
        <f ca="1">IFERROR(__xludf.DUMMYFUNCTION("""COMPUTED_VALUE"""),"Second teen arrested in vehicle with handgun")</f>
        <v>Second teen arrested in vehicle with handgun</v>
      </c>
      <c r="AA854" s="1" t="str">
        <f ca="1">IFERROR(__xludf.DUMMYFUNCTION("""COMPUTED_VALUE"""),"No")</f>
        <v>No</v>
      </c>
      <c r="AB854" s="1" t="str">
        <f ca="1">IFERROR(__xludf.DUMMYFUNCTION("""COMPUTED_VALUE"""),"No")</f>
        <v>No</v>
      </c>
      <c r="AC854" s="1" t="str">
        <f ca="1">IFERROR(__xludf.DUMMYFUNCTION("""COMPUTED_VALUE"""),"No")</f>
        <v>No</v>
      </c>
      <c r="AD854" s="1" t="str">
        <f ca="1">IFERROR(__xludf.DUMMYFUNCTION("""COMPUTED_VALUE"""),"No")</f>
        <v>No</v>
      </c>
      <c r="AE854" s="1" t="str">
        <f ca="1">IFERROR(__xludf.DUMMYFUNCTION("""COMPUTED_VALUE"""),"No")</f>
        <v>No</v>
      </c>
      <c r="AF854" s="1"/>
      <c r="AG854" s="1" t="str">
        <f ca="1">IFERROR(__xludf.DUMMYFUNCTION("""COMPUTED_VALUE"""),"No")</f>
        <v>No</v>
      </c>
      <c r="AH854" s="1">
        <f ca="1">IFERROR(__xludf.DUMMYFUNCTION("""COMPUTED_VALUE"""),3)</f>
        <v>3</v>
      </c>
    </row>
    <row r="855" spans="1:34" ht="12.5">
      <c r="A855" s="1" t="str">
        <f ca="1">IFERROR(__xludf.DUMMYFUNCTION("""COMPUTED_VALUE"""),"20210914MOMCH")</f>
        <v>20210914MOMCH</v>
      </c>
      <c r="B855" s="1">
        <f ca="1">IFERROR(__xludf.DUMMYFUNCTION("""COMPUTED_VALUE"""),9)</f>
        <v>9</v>
      </c>
      <c r="C855" s="1">
        <f ca="1">IFERROR(__xludf.DUMMYFUNCTION("""COMPUTED_VALUE"""),14)</f>
        <v>14</v>
      </c>
      <c r="D855" s="1">
        <f ca="1">IFERROR(__xludf.DUMMYFUNCTION("""COMPUTED_VALUE"""),2021)</f>
        <v>2021</v>
      </c>
      <c r="E855" s="4">
        <f ca="1">IFERROR(__xludf.DUMMYFUNCTION("""COMPUTED_VALUE"""),44453)</f>
        <v>44453</v>
      </c>
      <c r="F855" s="1" t="str">
        <f ca="1">IFERROR(__xludf.DUMMYFUNCTION("""COMPUTED_VALUE"""),"McNair Elementary School")</f>
        <v>McNair Elementary School</v>
      </c>
      <c r="G855" s="1">
        <f ca="1">IFERROR(__xludf.DUMMYFUNCTION("""COMPUTED_VALUE"""),0)</f>
        <v>0</v>
      </c>
      <c r="H855" s="1">
        <f ca="1">IFERROR(__xludf.DUMMYFUNCTION("""COMPUTED_VALUE"""),0)</f>
        <v>0</v>
      </c>
      <c r="I855" s="1">
        <f ca="1">IFERROR(__xludf.DUMMYFUNCTION("""COMPUTED_VALUE"""),0)</f>
        <v>0</v>
      </c>
      <c r="J855" s="1">
        <f ca="1">IFERROR(__xludf.DUMMYFUNCTION("""COMPUTED_VALUE"""),0)</f>
        <v>0</v>
      </c>
      <c r="K855" s="1" t="str">
        <f ca="1">IFERROR(__xludf.DUMMYFUNCTION("""COMPUTED_VALUE"""),"Fall")</f>
        <v>Fall</v>
      </c>
      <c r="L855" s="1" t="str">
        <f ca="1">IFERROR(__xludf.DUMMYFUNCTION("""COMPUTED_VALUE"""),"Hazelwood")</f>
        <v>Hazelwood</v>
      </c>
      <c r="M855" s="1" t="str">
        <f ca="1">IFERROR(__xludf.DUMMYFUNCTION("""COMPUTED_VALUE"""),"MO")</f>
        <v>MO</v>
      </c>
      <c r="N855" s="1" t="str">
        <f ca="1">IFERROR(__xludf.DUMMYFUNCTION("""COMPUTED_VALUE"""),"Elementary")</f>
        <v>Elementary</v>
      </c>
      <c r="O855" s="1" t="str">
        <f ca="1">IFERROR(__xludf.DUMMYFUNCTION("""COMPUTED_VALUE"""),"Parking Lot")</f>
        <v>Parking Lot</v>
      </c>
      <c r="P855" s="1" t="str">
        <f ca="1">IFERROR(__xludf.DUMMYFUNCTION("""COMPUTED_VALUE"""),"Outside on School Property")</f>
        <v>Outside on School Property</v>
      </c>
      <c r="Q855" s="1" t="str">
        <f ca="1">IFERROR(__xludf.DUMMYFUNCTION("""COMPUTED_VALUE"""),"Yes")</f>
        <v>Yes</v>
      </c>
      <c r="R855" s="1" t="str">
        <f ca="1">IFERROR(__xludf.DUMMYFUNCTION("""COMPUTED_VALUE"""),"School Start")</f>
        <v>School Start</v>
      </c>
      <c r="S855" s="5">
        <f ca="1">IFERROR(__xludf.DUMMYFUNCTION("""COMPUTED_VALUE"""),0.364583333333333)</f>
        <v>0.36458333333333298</v>
      </c>
      <c r="T855" s="1">
        <f ca="1">IFERROR(__xludf.DUMMYFUNCTION("""COMPUTED_VALUE"""),1)</f>
        <v>1</v>
      </c>
      <c r="U855" s="1" t="str">
        <f ca="1">IFERROR(__xludf.DUMMYFUNCTION("""COMPUTED_VALUE"""),"Two parents brandished handguns during an argument in the drop-off line")</f>
        <v>Two parents brandished handguns during an argument in the drop-off line</v>
      </c>
      <c r="V855" s="1" t="str">
        <f ca="1">IFERROR(__xludf.DUMMYFUNCTION("""COMPUTED_VALUE"""),"Two mothers each pulled handguns during a argument in the drop off line of the elementary school. School officials were able to defuse the situation and both parents left the area. Police were notified afterwards and charges are pending.")</f>
        <v>Two mothers each pulled handguns during a argument in the drop off line of the elementary school. School officials were able to defuse the situation and both parents left the area. Police were notified afterwards and charges are pending.</v>
      </c>
      <c r="W855" s="1" t="str">
        <f ca="1">IFERROR(__xludf.DUMMYFUNCTION("""COMPUTED_VALUE"""),"Escalation of Dispute")</f>
        <v>Escalation of Dispute</v>
      </c>
      <c r="X855" s="1" t="str">
        <f ca="1">IFERROR(__xludf.DUMMYFUNCTION("""COMPUTED_VALUE"""),"Victims Targeted")</f>
        <v>Victims Targeted</v>
      </c>
      <c r="Y855" s="1" t="str">
        <f ca="1">IFERROR(__xludf.DUMMYFUNCTION("""COMPUTED_VALUE"""),"No")</f>
        <v>No</v>
      </c>
      <c r="Z855" s="1"/>
      <c r="AA855" s="1" t="str">
        <f ca="1">IFERROR(__xludf.DUMMYFUNCTION("""COMPUTED_VALUE"""),"No")</f>
        <v>No</v>
      </c>
      <c r="AB855" s="1" t="str">
        <f ca="1">IFERROR(__xludf.DUMMYFUNCTION("""COMPUTED_VALUE"""),"No")</f>
        <v>No</v>
      </c>
      <c r="AC855" s="1" t="str">
        <f ca="1">IFERROR(__xludf.DUMMYFUNCTION("""COMPUTED_VALUE"""),"No")</f>
        <v>No</v>
      </c>
      <c r="AD855" s="1" t="str">
        <f ca="1">IFERROR(__xludf.DUMMYFUNCTION("""COMPUTED_VALUE"""),"No")</f>
        <v>No</v>
      </c>
      <c r="AE855" s="1" t="str">
        <f ca="1">IFERROR(__xludf.DUMMYFUNCTION("""COMPUTED_VALUE"""),"No")</f>
        <v>No</v>
      </c>
      <c r="AF855" s="1" t="str">
        <f ca="1">IFERROR(__xludf.DUMMYFUNCTION("""COMPUTED_VALUE"""),"No")</f>
        <v>No</v>
      </c>
      <c r="AG855" s="1" t="str">
        <f ca="1">IFERROR(__xludf.DUMMYFUNCTION("""COMPUTED_VALUE"""),"No")</f>
        <v>No</v>
      </c>
      <c r="AH855" s="1">
        <f ca="1">IFERROR(__xludf.DUMMYFUNCTION("""COMPUTED_VALUE"""),0)</f>
        <v>0</v>
      </c>
    </row>
    <row r="856" spans="1:34" ht="12.5">
      <c r="A856" s="1" t="str">
        <f ca="1">IFERROR(__xludf.DUMMYFUNCTION("""COMPUTED_VALUE"""),"20210913SCEDC")</f>
        <v>20210913SCEDC</v>
      </c>
      <c r="B856" s="1">
        <f ca="1">IFERROR(__xludf.DUMMYFUNCTION("""COMPUTED_VALUE"""),9)</f>
        <v>9</v>
      </c>
      <c r="C856" s="1">
        <f ca="1">IFERROR(__xludf.DUMMYFUNCTION("""COMPUTED_VALUE"""),13)</f>
        <v>13</v>
      </c>
      <c r="D856" s="1">
        <f ca="1">IFERROR(__xludf.DUMMYFUNCTION("""COMPUTED_VALUE"""),2021)</f>
        <v>2021</v>
      </c>
      <c r="E856" s="4">
        <f ca="1">IFERROR(__xludf.DUMMYFUNCTION("""COMPUTED_VALUE"""),44452)</f>
        <v>44452</v>
      </c>
      <c r="F856" s="1" t="str">
        <f ca="1">IFERROR(__xludf.DUMMYFUNCTION("""COMPUTED_VALUE"""),"Edwards Elementary School")</f>
        <v>Edwards Elementary School</v>
      </c>
      <c r="G856" s="1">
        <f ca="1">IFERROR(__xludf.DUMMYFUNCTION("""COMPUTED_VALUE"""),0)</f>
        <v>0</v>
      </c>
      <c r="H856" s="1">
        <f ca="1">IFERROR(__xludf.DUMMYFUNCTION("""COMPUTED_VALUE"""),1)</f>
        <v>1</v>
      </c>
      <c r="I856" s="1">
        <f ca="1">IFERROR(__xludf.DUMMYFUNCTION("""COMPUTED_VALUE"""),1)</f>
        <v>1</v>
      </c>
      <c r="J856" s="1">
        <f ca="1">IFERROR(__xludf.DUMMYFUNCTION("""COMPUTED_VALUE"""),0)</f>
        <v>0</v>
      </c>
      <c r="K856" s="1" t="str">
        <f ca="1">IFERROR(__xludf.DUMMYFUNCTION("""COMPUTED_VALUE"""),"Fall")</f>
        <v>Fall</v>
      </c>
      <c r="L856" s="1" t="str">
        <f ca="1">IFERROR(__xludf.DUMMYFUNCTION("""COMPUTED_VALUE"""),"Chesterfield County")</f>
        <v>Chesterfield County</v>
      </c>
      <c r="M856" s="1" t="str">
        <f ca="1">IFERROR(__xludf.DUMMYFUNCTION("""COMPUTED_VALUE"""),"SC")</f>
        <v>SC</v>
      </c>
      <c r="N856" s="1" t="str">
        <f ca="1">IFERROR(__xludf.DUMMYFUNCTION("""COMPUTED_VALUE"""),"Elementary")</f>
        <v>Elementary</v>
      </c>
      <c r="O856" s="1" t="str">
        <f ca="1">IFERROR(__xludf.DUMMYFUNCTION("""COMPUTED_VALUE"""),"Parking Lot")</f>
        <v>Parking Lot</v>
      </c>
      <c r="P856" s="1" t="str">
        <f ca="1">IFERROR(__xludf.DUMMYFUNCTION("""COMPUTED_VALUE"""),"Outside on School Property")</f>
        <v>Outside on School Property</v>
      </c>
      <c r="Q856" s="1" t="str">
        <f ca="1">IFERROR(__xludf.DUMMYFUNCTION("""COMPUTED_VALUE"""),"Yes")</f>
        <v>Yes</v>
      </c>
      <c r="R856" s="1" t="str">
        <f ca="1">IFERROR(__xludf.DUMMYFUNCTION("""COMPUTED_VALUE"""),"Afternoon Classes")</f>
        <v>Afternoon Classes</v>
      </c>
      <c r="S856" s="5">
        <f ca="1">IFERROR(__xludf.DUMMYFUNCTION("""COMPUTED_VALUE"""),0.5625)</f>
        <v>0.5625</v>
      </c>
      <c r="T856" s="1">
        <f ca="1">IFERROR(__xludf.DUMMYFUNCTION("""COMPUTED_VALUE"""),1)</f>
        <v>1</v>
      </c>
      <c r="U856" s="1" t="str">
        <f ca="1">IFERROR(__xludf.DUMMYFUNCTION("""COMPUTED_VALUE"""),"Woman shot her adult son-in-law during a domestic dispute in the parking lot")</f>
        <v>Woman shot her adult son-in-law during a domestic dispute in the parking lot</v>
      </c>
      <c r="V856" s="1" t="str">
        <f ca="1">IFERROR(__xludf.DUMMYFUNCTION("""COMPUTED_VALUE"""),"A 54-year-old woman shot her adult son-in-law in the parking lot of the elementary school while classes were in session. The school was placed on lockdown and she fled the area. She was identified and arrested away from the school.")</f>
        <v>A 54-year-old woman shot her adult son-in-law in the parking lot of the elementary school while classes were in session. The school was placed on lockdown and she fled the area. She was identified and arrested away from the school.</v>
      </c>
      <c r="W856" s="1" t="str">
        <f ca="1">IFERROR(__xludf.DUMMYFUNCTION("""COMPUTED_VALUE"""),"Domestic w/ Targeted Victim")</f>
        <v>Domestic w/ Targeted Victim</v>
      </c>
      <c r="X856" s="1" t="str">
        <f ca="1">IFERROR(__xludf.DUMMYFUNCTION("""COMPUTED_VALUE"""),"Victims Targeted")</f>
        <v>Victims Targeted</v>
      </c>
      <c r="Y856" s="1" t="str">
        <f ca="1">IFERROR(__xludf.DUMMYFUNCTION("""COMPUTED_VALUE"""),"No")</f>
        <v>No</v>
      </c>
      <c r="Z856" s="1"/>
      <c r="AA856" s="1" t="str">
        <f ca="1">IFERROR(__xludf.DUMMYFUNCTION("""COMPUTED_VALUE"""),"No")</f>
        <v>No</v>
      </c>
      <c r="AB856" s="1" t="str">
        <f ca="1">IFERROR(__xludf.DUMMYFUNCTION("""COMPUTED_VALUE"""),"No")</f>
        <v>No</v>
      </c>
      <c r="AC856" s="1" t="str">
        <f ca="1">IFERROR(__xludf.DUMMYFUNCTION("""COMPUTED_VALUE"""),"No")</f>
        <v>No</v>
      </c>
      <c r="AD856" s="1" t="str">
        <f ca="1">IFERROR(__xludf.DUMMYFUNCTION("""COMPUTED_VALUE"""),"No")</f>
        <v>No</v>
      </c>
      <c r="AE856" s="1" t="str">
        <f ca="1">IFERROR(__xludf.DUMMYFUNCTION("""COMPUTED_VALUE"""),"Yes")</f>
        <v>Yes</v>
      </c>
      <c r="AF856" s="1" t="str">
        <f ca="1">IFERROR(__xludf.DUMMYFUNCTION("""COMPUTED_VALUE"""),"No")</f>
        <v>No</v>
      </c>
      <c r="AG856" s="1" t="str">
        <f ca="1">IFERROR(__xludf.DUMMYFUNCTION("""COMPUTED_VALUE"""),"No")</f>
        <v>No</v>
      </c>
      <c r="AH856" s="1">
        <f ca="1">IFERROR(__xludf.DUMMYFUNCTION("""COMPUTED_VALUE"""),1)</f>
        <v>1</v>
      </c>
    </row>
    <row r="857" spans="1:34" ht="12.5">
      <c r="A857" s="1" t="str">
        <f ca="1">IFERROR(__xludf.DUMMYFUNCTION("""COMPUTED_VALUE"""),"20210910CONOA")</f>
        <v>20210910CONOA</v>
      </c>
      <c r="B857" s="1">
        <f ca="1">IFERROR(__xludf.DUMMYFUNCTION("""COMPUTED_VALUE"""),9)</f>
        <v>9</v>
      </c>
      <c r="C857" s="1">
        <f ca="1">IFERROR(__xludf.DUMMYFUNCTION("""COMPUTED_VALUE"""),10)</f>
        <v>10</v>
      </c>
      <c r="D857" s="1">
        <f ca="1">IFERROR(__xludf.DUMMYFUNCTION("""COMPUTED_VALUE"""),2021)</f>
        <v>2021</v>
      </c>
      <c r="E857" s="4">
        <f ca="1">IFERROR(__xludf.DUMMYFUNCTION("""COMPUTED_VALUE"""),44449)</f>
        <v>44449</v>
      </c>
      <c r="F857" s="1" t="str">
        <f ca="1">IFERROR(__xludf.DUMMYFUNCTION("""COMPUTED_VALUE"""),"North Area Athletic Complex")</f>
        <v>North Area Athletic Complex</v>
      </c>
      <c r="G857" s="1">
        <f ca="1">IFERROR(__xludf.DUMMYFUNCTION("""COMPUTED_VALUE"""),0)</f>
        <v>0</v>
      </c>
      <c r="H857" s="1">
        <f ca="1">IFERROR(__xludf.DUMMYFUNCTION("""COMPUTED_VALUE"""),0)</f>
        <v>0</v>
      </c>
      <c r="I857" s="1">
        <f ca="1">IFERROR(__xludf.DUMMYFUNCTION("""COMPUTED_VALUE"""),0)</f>
        <v>0</v>
      </c>
      <c r="J857" s="1">
        <f ca="1">IFERROR(__xludf.DUMMYFUNCTION("""COMPUTED_VALUE"""),0)</f>
        <v>0</v>
      </c>
      <c r="K857" s="1" t="str">
        <f ca="1">IFERROR(__xludf.DUMMYFUNCTION("""COMPUTED_VALUE"""),"Fall")</f>
        <v>Fall</v>
      </c>
      <c r="L857" s="1" t="str">
        <f ca="1">IFERROR(__xludf.DUMMYFUNCTION("""COMPUTED_VALUE"""),"Arvada")</f>
        <v>Arvada</v>
      </c>
      <c r="M857" s="1" t="str">
        <f ca="1">IFERROR(__xludf.DUMMYFUNCTION("""COMPUTED_VALUE"""),"CO")</f>
        <v>CO</v>
      </c>
      <c r="N857" s="1" t="str">
        <f ca="1">IFERROR(__xludf.DUMMYFUNCTION("""COMPUTED_VALUE"""),"High")</f>
        <v>High</v>
      </c>
      <c r="O857" s="1" t="str">
        <f ca="1">IFERROR(__xludf.DUMMYFUNCTION("""COMPUTED_VALUE"""),"Parking Lot")</f>
        <v>Parking Lot</v>
      </c>
      <c r="P857" s="1" t="str">
        <f ca="1">IFERROR(__xludf.DUMMYFUNCTION("""COMPUTED_VALUE"""),"Outside on School Property")</f>
        <v>Outside on School Property</v>
      </c>
      <c r="Q857" s="1" t="str">
        <f ca="1">IFERROR(__xludf.DUMMYFUNCTION("""COMPUTED_VALUE"""),"No")</f>
        <v>No</v>
      </c>
      <c r="R857" s="1" t="str">
        <f ca="1">IFERROR(__xludf.DUMMYFUNCTION("""COMPUTED_VALUE"""),"Sport Event")</f>
        <v>Sport Event</v>
      </c>
      <c r="S857" s="5">
        <f ca="1">IFERROR(__xludf.DUMMYFUNCTION("""COMPUTED_VALUE"""),0.854166666666666)</f>
        <v>0.85416666666666596</v>
      </c>
      <c r="T857" s="1">
        <f ca="1">IFERROR(__xludf.DUMMYFUNCTION("""COMPUTED_VALUE"""),1)</f>
        <v>1</v>
      </c>
      <c r="U857" s="1" t="str">
        <f ca="1">IFERROR(__xludf.DUMMYFUNCTION("""COMPUTED_VALUE"""),"Shots fired in the parking lot during high school football game")</f>
        <v>Shots fired in the parking lot during high school football game</v>
      </c>
      <c r="V857" s="1" t="str">
        <f ca="1">IFERROR(__xludf.DUMMYFUNCTION("""COMPUTED_VALUE"""),"4 shots were fired in the parking lot of the athletic complex during a high school football game. Officers were assigned to the game and responded to the area. Witnesses said a man fired the shots from a vehicle. No victims were found and the shooter fled"&amp;".")</f>
        <v>4 shots were fired in the parking lot of the athletic complex during a high school football game. Officers were assigned to the game and responded to the area. Witnesses said a man fired the shots from a vehicle. No victims were found and the shooter fled.</v>
      </c>
      <c r="W857" s="1" t="str">
        <f ca="1">IFERROR(__xludf.DUMMYFUNCTION("""COMPUTED_VALUE"""),"Drive-by Shooting")</f>
        <v>Drive-by Shooting</v>
      </c>
      <c r="X857" s="1" t="str">
        <f ca="1">IFERROR(__xludf.DUMMYFUNCTION("""COMPUTED_VALUE"""),"Victims Targeted")</f>
        <v>Victims Targeted</v>
      </c>
      <c r="Y857" s="1" t="str">
        <f ca="1">IFERROR(__xludf.DUMMYFUNCTION("""COMPUTED_VALUE"""),"No")</f>
        <v>No</v>
      </c>
      <c r="Z857" s="1"/>
      <c r="AA857" s="1" t="str">
        <f ca="1">IFERROR(__xludf.DUMMYFUNCTION("""COMPUTED_VALUE"""),"No")</f>
        <v>No</v>
      </c>
      <c r="AB857" s="1" t="str">
        <f ca="1">IFERROR(__xludf.DUMMYFUNCTION("""COMPUTED_VALUE"""),"No")</f>
        <v>No</v>
      </c>
      <c r="AC857" s="1" t="str">
        <f ca="1">IFERROR(__xludf.DUMMYFUNCTION("""COMPUTED_VALUE"""),"No")</f>
        <v>No</v>
      </c>
      <c r="AD857" s="1" t="str">
        <f ca="1">IFERROR(__xludf.DUMMYFUNCTION("""COMPUTED_VALUE"""),"No")</f>
        <v>No</v>
      </c>
      <c r="AE857" s="1" t="str">
        <f ca="1">IFERROR(__xludf.DUMMYFUNCTION("""COMPUTED_VALUE"""),"No")</f>
        <v>No</v>
      </c>
      <c r="AF857" s="1"/>
      <c r="AG857" s="1" t="str">
        <f ca="1">IFERROR(__xludf.DUMMYFUNCTION("""COMPUTED_VALUE"""),"No")</f>
        <v>No</v>
      </c>
      <c r="AH857" s="1">
        <f ca="1">IFERROR(__xludf.DUMMYFUNCTION("""COMPUTED_VALUE"""),4)</f>
        <v>4</v>
      </c>
    </row>
    <row r="858" spans="1:34" ht="12.5">
      <c r="A858" s="1" t="str">
        <f ca="1">IFERROR(__xludf.DUMMYFUNCTION("""COMPUTED_VALUE"""),"20210910CASTP")</f>
        <v>20210910CASTP</v>
      </c>
      <c r="B858" s="1">
        <f ca="1">IFERROR(__xludf.DUMMYFUNCTION("""COMPUTED_VALUE"""),9)</f>
        <v>9</v>
      </c>
      <c r="C858" s="1">
        <f ca="1">IFERROR(__xludf.DUMMYFUNCTION("""COMPUTED_VALUE"""),10)</f>
        <v>10</v>
      </c>
      <c r="D858" s="1">
        <f ca="1">IFERROR(__xludf.DUMMYFUNCTION("""COMPUTED_VALUE"""),2021)</f>
        <v>2021</v>
      </c>
      <c r="E858" s="4">
        <f ca="1">IFERROR(__xludf.DUMMYFUNCTION("""COMPUTED_VALUE"""),44449)</f>
        <v>44449</v>
      </c>
      <c r="F858" s="1" t="str">
        <f ca="1">IFERROR(__xludf.DUMMYFUNCTION("""COMPUTED_VALUE"""),"Stratford School")</f>
        <v>Stratford School</v>
      </c>
      <c r="G858" s="1">
        <f ca="1">IFERROR(__xludf.DUMMYFUNCTION("""COMPUTED_VALUE"""),0)</f>
        <v>0</v>
      </c>
      <c r="H858" s="1">
        <f ca="1">IFERROR(__xludf.DUMMYFUNCTION("""COMPUTED_VALUE"""),0)</f>
        <v>0</v>
      </c>
      <c r="I858" s="1">
        <f ca="1">IFERROR(__xludf.DUMMYFUNCTION("""COMPUTED_VALUE"""),0)</f>
        <v>0</v>
      </c>
      <c r="J858" s="1">
        <f ca="1">IFERROR(__xludf.DUMMYFUNCTION("""COMPUTED_VALUE"""),0)</f>
        <v>0</v>
      </c>
      <c r="K858" s="1" t="str">
        <f ca="1">IFERROR(__xludf.DUMMYFUNCTION("""COMPUTED_VALUE"""),"Fall")</f>
        <v>Fall</v>
      </c>
      <c r="L858" s="1" t="str">
        <f ca="1">IFERROR(__xludf.DUMMYFUNCTION("""COMPUTED_VALUE"""),"Palo Alto")</f>
        <v>Palo Alto</v>
      </c>
      <c r="M858" s="1" t="str">
        <f ca="1">IFERROR(__xludf.DUMMYFUNCTION("""COMPUTED_VALUE"""),"CA")</f>
        <v>CA</v>
      </c>
      <c r="N858" s="1" t="str">
        <f ca="1">IFERROR(__xludf.DUMMYFUNCTION("""COMPUTED_VALUE"""),"Elementary")</f>
        <v>Elementary</v>
      </c>
      <c r="O858" s="1" t="str">
        <f ca="1">IFERROR(__xludf.DUMMYFUNCTION("""COMPUTED_VALUE"""),"Playground")</f>
        <v>Playground</v>
      </c>
      <c r="P858" s="1" t="str">
        <f ca="1">IFERROR(__xludf.DUMMYFUNCTION("""COMPUTED_VALUE"""),"Outside on School Property")</f>
        <v>Outside on School Property</v>
      </c>
      <c r="Q858" s="1" t="str">
        <f ca="1">IFERROR(__xludf.DUMMYFUNCTION("""COMPUTED_VALUE"""),"Yes")</f>
        <v>Yes</v>
      </c>
      <c r="R858" s="1" t="str">
        <f ca="1">IFERROR(__xludf.DUMMYFUNCTION("""COMPUTED_VALUE"""),"Lunch")</f>
        <v>Lunch</v>
      </c>
      <c r="S858" s="5">
        <f ca="1">IFERROR(__xludf.DUMMYFUNCTION("""COMPUTED_VALUE"""),0.519444444444444)</f>
        <v>0.51944444444444404</v>
      </c>
      <c r="T858" s="1">
        <f ca="1">IFERROR(__xludf.DUMMYFUNCTION("""COMPUTED_VALUE"""),1)</f>
        <v>1</v>
      </c>
      <c r="U858" s="1" t="str">
        <f ca="1">IFERROR(__xludf.DUMMYFUNCTION("""COMPUTED_VALUE"""),"Man shot air rifle at a random student on the playground")</f>
        <v>Man shot air rifle at a random student on the playground</v>
      </c>
      <c r="V858" s="1" t="str">
        <f ca="1">IFERROR(__xludf.DUMMYFUNCTION("""COMPUTED_VALUE"""),"A 62-year-old man fired a single shot from an air rifle at a child on the school playground. A neighbor witnessed the shooting and called police. The shooter intentionally fired at the student but did not have any connection to the victim or specifically "&amp;"target the victim. The student was not injured. Shooter was arrested and charged with multiple felonies. School was locked down and nearby schools were notified.")</f>
        <v>A 62-year-old man fired a single shot from an air rifle at a child on the school playground. A neighbor witnessed the shooting and called police. The shooter intentionally fired at the student but did not have any connection to the victim or specifically target the victim. The student was not injured. Shooter was arrested and charged with multiple felonies. School was locked down and nearby schools were notified.</v>
      </c>
      <c r="W858" s="1" t="str">
        <f ca="1">IFERROR(__xludf.DUMMYFUNCTION("""COMPUTED_VALUE"""),"Indiscriminate Shooting")</f>
        <v>Indiscriminate Shooting</v>
      </c>
      <c r="X858" s="1" t="str">
        <f ca="1">IFERROR(__xludf.DUMMYFUNCTION("""COMPUTED_VALUE"""),"Random Shooting")</f>
        <v>Random Shooting</v>
      </c>
      <c r="Y858" s="1" t="str">
        <f ca="1">IFERROR(__xludf.DUMMYFUNCTION("""COMPUTED_VALUE"""),"No")</f>
        <v>No</v>
      </c>
      <c r="Z858" s="1"/>
      <c r="AA858" s="1" t="str">
        <f ca="1">IFERROR(__xludf.DUMMYFUNCTION("""COMPUTED_VALUE"""),"No")</f>
        <v>No</v>
      </c>
      <c r="AB858" s="1" t="str">
        <f ca="1">IFERROR(__xludf.DUMMYFUNCTION("""COMPUTED_VALUE"""),"No")</f>
        <v>No</v>
      </c>
      <c r="AC858" s="1" t="str">
        <f ca="1">IFERROR(__xludf.DUMMYFUNCTION("""COMPUTED_VALUE"""),"No")</f>
        <v>No</v>
      </c>
      <c r="AD858" s="1" t="str">
        <f ca="1">IFERROR(__xludf.DUMMYFUNCTION("""COMPUTED_VALUE"""),"No")</f>
        <v>No</v>
      </c>
      <c r="AE858" s="1" t="str">
        <f ca="1">IFERROR(__xludf.DUMMYFUNCTION("""COMPUTED_VALUE"""),"No")</f>
        <v>No</v>
      </c>
      <c r="AF858" s="1" t="str">
        <f ca="1">IFERROR(__xludf.DUMMYFUNCTION("""COMPUTED_VALUE"""),"No")</f>
        <v>No</v>
      </c>
      <c r="AG858" s="1" t="str">
        <f ca="1">IFERROR(__xludf.DUMMYFUNCTION("""COMPUTED_VALUE"""),"No")</f>
        <v>No</v>
      </c>
      <c r="AH858" s="1">
        <f ca="1">IFERROR(__xludf.DUMMYFUNCTION("""COMPUTED_VALUE"""),1)</f>
        <v>1</v>
      </c>
    </row>
    <row r="859" spans="1:34" ht="12.5">
      <c r="A859" s="1" t="str">
        <f ca="1">IFERROR(__xludf.DUMMYFUNCTION("""COMPUTED_VALUE"""),"20210909NCSHE")</f>
        <v>20210909NCSHE</v>
      </c>
      <c r="B859" s="1">
        <f ca="1">IFERROR(__xludf.DUMMYFUNCTION("""COMPUTED_VALUE"""),9)</f>
        <v>9</v>
      </c>
      <c r="C859" s="1">
        <f ca="1">IFERROR(__xludf.DUMMYFUNCTION("""COMPUTED_VALUE"""),9)</f>
        <v>9</v>
      </c>
      <c r="D859" s="1">
        <f ca="1">IFERROR(__xludf.DUMMYFUNCTION("""COMPUTED_VALUE"""),2021)</f>
        <v>2021</v>
      </c>
      <c r="E859" s="4">
        <f ca="1">IFERROR(__xludf.DUMMYFUNCTION("""COMPUTED_VALUE"""),44448)</f>
        <v>44448</v>
      </c>
      <c r="F859" s="1" t="str">
        <f ca="1">IFERROR(__xludf.DUMMYFUNCTION("""COMPUTED_VALUE"""),"Sheep-Harney Elementary School")</f>
        <v>Sheep-Harney Elementary School</v>
      </c>
      <c r="G859" s="1">
        <f ca="1">IFERROR(__xludf.DUMMYFUNCTION("""COMPUTED_VALUE"""),0)</f>
        <v>0</v>
      </c>
      <c r="H859" s="1">
        <f ca="1">IFERROR(__xludf.DUMMYFUNCTION("""COMPUTED_VALUE"""),0)</f>
        <v>0</v>
      </c>
      <c r="I859" s="1">
        <f ca="1">IFERROR(__xludf.DUMMYFUNCTION("""COMPUTED_VALUE"""),0)</f>
        <v>0</v>
      </c>
      <c r="J859" s="1">
        <f ca="1">IFERROR(__xludf.DUMMYFUNCTION("""COMPUTED_VALUE"""),0)</f>
        <v>0</v>
      </c>
      <c r="K859" s="1"/>
      <c r="L859" s="1" t="str">
        <f ca="1">IFERROR(__xludf.DUMMYFUNCTION("""COMPUTED_VALUE"""),"Elizabeth City")</f>
        <v>Elizabeth City</v>
      </c>
      <c r="M859" s="1" t="str">
        <f ca="1">IFERROR(__xludf.DUMMYFUNCTION("""COMPUTED_VALUE"""),"NC")</f>
        <v>NC</v>
      </c>
      <c r="N859" s="1" t="str">
        <f ca="1">IFERROR(__xludf.DUMMYFUNCTION("""COMPUTED_VALUE"""),"Elementary")</f>
        <v>Elementary</v>
      </c>
      <c r="O859" s="1" t="str">
        <f ca="1">IFERROR(__xludf.DUMMYFUNCTION("""COMPUTED_VALUE"""),"Front of School")</f>
        <v>Front of School</v>
      </c>
      <c r="P859" s="1" t="str">
        <f ca="1">IFERROR(__xludf.DUMMYFUNCTION("""COMPUTED_VALUE"""),"Outside on School Property")</f>
        <v>Outside on School Property</v>
      </c>
      <c r="Q859" s="1" t="str">
        <f ca="1">IFERROR(__xludf.DUMMYFUNCTION("""COMPUTED_VALUE"""),"No")</f>
        <v>No</v>
      </c>
      <c r="R859" s="1" t="str">
        <f ca="1">IFERROR(__xludf.DUMMYFUNCTION("""COMPUTED_VALUE"""),"Night")</f>
        <v>Night</v>
      </c>
      <c r="S859" s="5">
        <f ca="1">IFERROR(__xludf.DUMMYFUNCTION("""COMPUTED_VALUE"""),0.979166666666666)</f>
        <v>0.97916666666666596</v>
      </c>
      <c r="T859" s="1">
        <f ca="1">IFERROR(__xludf.DUMMYFUNCTION("""COMPUTED_VALUE"""),1)</f>
        <v>1</v>
      </c>
      <c r="U859" s="1" t="str">
        <f ca="1">IFERROR(__xludf.DUMMYFUNCTION("""COMPUTED_VALUE"""),"Multiple windows of the school were shot and broken")</f>
        <v>Multiple windows of the school were shot and broken</v>
      </c>
      <c r="V859" s="1" t="str">
        <f ca="1">IFERROR(__xludf.DUMMYFUNCTION("""COMPUTED_VALUE"""),"Multiple windows of the school were shot and broken. Bullet fragments were found inside the school. School was closed at the time of the shooting.")</f>
        <v>Multiple windows of the school were shot and broken. Bullet fragments were found inside the school. School was closed at the time of the shooting.</v>
      </c>
      <c r="W859" s="1" t="str">
        <f ca="1">IFERROR(__xludf.DUMMYFUNCTION("""COMPUTED_VALUE"""),"Intentional Property Damage")</f>
        <v>Intentional Property Damage</v>
      </c>
      <c r="X859" s="1" t="str">
        <f ca="1">IFERROR(__xludf.DUMMYFUNCTION("""COMPUTED_VALUE"""),"Random Shooting")</f>
        <v>Random Shooting</v>
      </c>
      <c r="Y859" s="1"/>
      <c r="Z859" s="1"/>
      <c r="AA859" s="1" t="str">
        <f ca="1">IFERROR(__xludf.DUMMYFUNCTION("""COMPUTED_VALUE"""),"No")</f>
        <v>No</v>
      </c>
      <c r="AB859" s="1" t="str">
        <f ca="1">IFERROR(__xludf.DUMMYFUNCTION("""COMPUTED_VALUE"""),"No")</f>
        <v>No</v>
      </c>
      <c r="AC859" s="1" t="str">
        <f ca="1">IFERROR(__xludf.DUMMYFUNCTION("""COMPUTED_VALUE"""),"No")</f>
        <v>No</v>
      </c>
      <c r="AD859" s="1" t="str">
        <f ca="1">IFERROR(__xludf.DUMMYFUNCTION("""COMPUTED_VALUE"""),"No")</f>
        <v>No</v>
      </c>
      <c r="AE859" s="1" t="str">
        <f ca="1">IFERROR(__xludf.DUMMYFUNCTION("""COMPUTED_VALUE"""),"No")</f>
        <v>No</v>
      </c>
      <c r="AF859" s="1" t="str">
        <f ca="1">IFERROR(__xludf.DUMMYFUNCTION("""COMPUTED_VALUE"""),"No")</f>
        <v>No</v>
      </c>
      <c r="AG859" s="1" t="str">
        <f ca="1">IFERROR(__xludf.DUMMYFUNCTION("""COMPUTED_VALUE"""),"No")</f>
        <v>No</v>
      </c>
      <c r="AH859" s="1"/>
    </row>
    <row r="860" spans="1:34" ht="12.5">
      <c r="A860" s="1" t="str">
        <f ca="1">IFERROR(__xludf.DUMMYFUNCTION("""COMPUTED_VALUE"""),"20210909MITRF")</f>
        <v>20210909MITRF</v>
      </c>
      <c r="B860" s="1">
        <f ca="1">IFERROR(__xludf.DUMMYFUNCTION("""COMPUTED_VALUE"""),9)</f>
        <v>9</v>
      </c>
      <c r="C860" s="1">
        <f ca="1">IFERROR(__xludf.DUMMYFUNCTION("""COMPUTED_VALUE"""),9)</f>
        <v>9</v>
      </c>
      <c r="D860" s="1">
        <f ca="1">IFERROR(__xludf.DUMMYFUNCTION("""COMPUTED_VALUE"""),2021)</f>
        <v>2021</v>
      </c>
      <c r="E860" s="4">
        <f ca="1">IFERROR(__xludf.DUMMYFUNCTION("""COMPUTED_VALUE"""),44448)</f>
        <v>44448</v>
      </c>
      <c r="F860" s="1" t="str">
        <f ca="1">IFERROR(__xludf.DUMMYFUNCTION("""COMPUTED_VALUE"""),"Tri-County Education Center")</f>
        <v>Tri-County Education Center</v>
      </c>
      <c r="G860" s="1">
        <f ca="1">IFERROR(__xludf.DUMMYFUNCTION("""COMPUTED_VALUE"""),0)</f>
        <v>0</v>
      </c>
      <c r="H860" s="1">
        <f ca="1">IFERROR(__xludf.DUMMYFUNCTION("""COMPUTED_VALUE"""),0)</f>
        <v>0</v>
      </c>
      <c r="I860" s="1">
        <f ca="1">IFERROR(__xludf.DUMMYFUNCTION("""COMPUTED_VALUE"""),0)</f>
        <v>0</v>
      </c>
      <c r="J860" s="1">
        <f ca="1">IFERROR(__xludf.DUMMYFUNCTION("""COMPUTED_VALUE"""),0)</f>
        <v>0</v>
      </c>
      <c r="K860" s="1" t="str">
        <f ca="1">IFERROR(__xludf.DUMMYFUNCTION("""COMPUTED_VALUE"""),"Fall")</f>
        <v>Fall</v>
      </c>
      <c r="L860" s="1" t="str">
        <f ca="1">IFERROR(__xludf.DUMMYFUNCTION("""COMPUTED_VALUE"""),"Ferndale")</f>
        <v>Ferndale</v>
      </c>
      <c r="M860" s="1" t="str">
        <f ca="1">IFERROR(__xludf.DUMMYFUNCTION("""COMPUTED_VALUE"""),"MI")</f>
        <v>MI</v>
      </c>
      <c r="N860" s="6">
        <f ca="1">IFERROR(__xludf.DUMMYFUNCTION("""COMPUTED_VALUE"""),44724)</f>
        <v>44724</v>
      </c>
      <c r="O860" s="1" t="str">
        <f ca="1">IFERROR(__xludf.DUMMYFUNCTION("""COMPUTED_VALUE"""),"Parking Lot")</f>
        <v>Parking Lot</v>
      </c>
      <c r="P860" s="1" t="str">
        <f ca="1">IFERROR(__xludf.DUMMYFUNCTION("""COMPUTED_VALUE"""),"Outside on School Property")</f>
        <v>Outside on School Property</v>
      </c>
      <c r="Q860" s="1" t="str">
        <f ca="1">IFERROR(__xludf.DUMMYFUNCTION("""COMPUTED_VALUE"""),"Yes")</f>
        <v>Yes</v>
      </c>
      <c r="R860" s="1" t="str">
        <f ca="1">IFERROR(__xludf.DUMMYFUNCTION("""COMPUTED_VALUE"""),"Dismissal")</f>
        <v>Dismissal</v>
      </c>
      <c r="S860" s="5">
        <f ca="1">IFERROR(__xludf.DUMMYFUNCTION("""COMPUTED_VALUE"""),0.604166666666666)</f>
        <v>0.60416666666666596</v>
      </c>
      <c r="T860" s="1">
        <f ca="1">IFERROR(__xludf.DUMMYFUNCTION("""COMPUTED_VALUE"""),1)</f>
        <v>1</v>
      </c>
      <c r="U860" s="1" t="str">
        <f ca="1">IFERROR(__xludf.DUMMYFUNCTION("""COMPUTED_VALUE"""),"Teen fired shot into the ground during a fight in the parking lot")</f>
        <v>Teen fired shot into the ground during a fight in the parking lot</v>
      </c>
      <c r="V860" s="1" t="str">
        <f ca="1">IFERROR(__xludf.DUMMYFUNCTION("""COMPUTED_VALUE"""),"A teen fired a single shot into the ground during a fight in the parking lot between two groups of teens. A group of a teens had surrounded another teen who pulled a knife. After pulling the knife, the shooter retrieved a handgun from a nearby house and c"&amp;"ame back to the school parking lot where the fight resumed. Two teens arrested at the scene.")</f>
        <v>A teen fired a single shot into the ground during a fight in the parking lot between two groups of teens. A group of a teens had surrounded another teen who pulled a knife. After pulling the knife, the shooter retrieved a handgun from a nearby house and came back to the school parking lot where the fight resumed. Two teens arrested at the scene.</v>
      </c>
      <c r="W860" s="1" t="str">
        <f ca="1">IFERROR(__xludf.DUMMYFUNCTION("""COMPUTED_VALUE"""),"Escalation of Dispute")</f>
        <v>Escalation of Dispute</v>
      </c>
      <c r="X860" s="1" t="str">
        <f ca="1">IFERROR(__xludf.DUMMYFUNCTION("""COMPUTED_VALUE"""),"Neither")</f>
        <v>Neither</v>
      </c>
      <c r="Y860" s="1" t="str">
        <f ca="1">IFERROR(__xludf.DUMMYFUNCTION("""COMPUTED_VALUE"""),"Yes")</f>
        <v>Yes</v>
      </c>
      <c r="Z860" s="1" t="str">
        <f ca="1">IFERROR(__xludf.DUMMYFUNCTION("""COMPUTED_VALUE"""),"Two teens arrested")</f>
        <v>Two teens arrested</v>
      </c>
      <c r="AA860" s="1" t="str">
        <f ca="1">IFERROR(__xludf.DUMMYFUNCTION("""COMPUTED_VALUE"""),"No")</f>
        <v>No</v>
      </c>
      <c r="AB860" s="1" t="str">
        <f ca="1">IFERROR(__xludf.DUMMYFUNCTION("""COMPUTED_VALUE"""),"No")</f>
        <v>No</v>
      </c>
      <c r="AC860" s="1" t="str">
        <f ca="1">IFERROR(__xludf.DUMMYFUNCTION("""COMPUTED_VALUE"""),"No")</f>
        <v>No</v>
      </c>
      <c r="AD860" s="1" t="str">
        <f ca="1">IFERROR(__xludf.DUMMYFUNCTION("""COMPUTED_VALUE"""),"No")</f>
        <v>No</v>
      </c>
      <c r="AE860" s="1" t="str">
        <f ca="1">IFERROR(__xludf.DUMMYFUNCTION("""COMPUTED_VALUE"""),"No")</f>
        <v>No</v>
      </c>
      <c r="AF860" s="1"/>
      <c r="AG860" s="1" t="str">
        <f ca="1">IFERROR(__xludf.DUMMYFUNCTION("""COMPUTED_VALUE"""),"No")</f>
        <v>No</v>
      </c>
      <c r="AH860" s="1">
        <f ca="1">IFERROR(__xludf.DUMMYFUNCTION("""COMPUTED_VALUE"""),1)</f>
        <v>1</v>
      </c>
    </row>
    <row r="861" spans="1:34" ht="12.5">
      <c r="A861" s="1" t="str">
        <f ca="1">IFERROR(__xludf.DUMMYFUNCTION("""COMPUTED_VALUE"""),"20210909ILCHC")</f>
        <v>20210909ILCHC</v>
      </c>
      <c r="B861" s="1">
        <f ca="1">IFERROR(__xludf.DUMMYFUNCTION("""COMPUTED_VALUE"""),9)</f>
        <v>9</v>
      </c>
      <c r="C861" s="1">
        <f ca="1">IFERROR(__xludf.DUMMYFUNCTION("""COMPUTED_VALUE"""),9)</f>
        <v>9</v>
      </c>
      <c r="D861" s="1">
        <f ca="1">IFERROR(__xludf.DUMMYFUNCTION("""COMPUTED_VALUE"""),2021)</f>
        <v>2021</v>
      </c>
      <c r="E861" s="4">
        <f ca="1">IFERROR(__xludf.DUMMYFUNCTION("""COMPUTED_VALUE"""),44448)</f>
        <v>44448</v>
      </c>
      <c r="F861" s="1" t="str">
        <f ca="1">IFERROR(__xludf.DUMMYFUNCTION("""COMPUTED_VALUE"""),"Champaign School Bus")</f>
        <v>Champaign School Bus</v>
      </c>
      <c r="G861" s="1">
        <f ca="1">IFERROR(__xludf.DUMMYFUNCTION("""COMPUTED_VALUE"""),0)</f>
        <v>0</v>
      </c>
      <c r="H861" s="1">
        <f ca="1">IFERROR(__xludf.DUMMYFUNCTION("""COMPUTED_VALUE"""),1)</f>
        <v>1</v>
      </c>
      <c r="I861" s="1">
        <f ca="1">IFERROR(__xludf.DUMMYFUNCTION("""COMPUTED_VALUE"""),1)</f>
        <v>1</v>
      </c>
      <c r="J861" s="1">
        <f ca="1">IFERROR(__xludf.DUMMYFUNCTION("""COMPUTED_VALUE"""),0)</f>
        <v>0</v>
      </c>
      <c r="K861" s="1" t="str">
        <f ca="1">IFERROR(__xludf.DUMMYFUNCTION("""COMPUTED_VALUE"""),"Fall")</f>
        <v>Fall</v>
      </c>
      <c r="L861" s="1" t="str">
        <f ca="1">IFERROR(__xludf.DUMMYFUNCTION("""COMPUTED_VALUE"""),"Champaign")</f>
        <v>Champaign</v>
      </c>
      <c r="M861" s="1" t="str">
        <f ca="1">IFERROR(__xludf.DUMMYFUNCTION("""COMPUTED_VALUE"""),"IL")</f>
        <v>IL</v>
      </c>
      <c r="N861" s="1" t="str">
        <f ca="1">IFERROR(__xludf.DUMMYFUNCTION("""COMPUTED_VALUE"""),"Elementary")</f>
        <v>Elementary</v>
      </c>
      <c r="O861" s="1" t="str">
        <f ca="1">IFERROR(__xludf.DUMMYFUNCTION("""COMPUTED_VALUE"""),"School Bus")</f>
        <v>School Bus</v>
      </c>
      <c r="P861" s="1" t="str">
        <f ca="1">IFERROR(__xludf.DUMMYFUNCTION("""COMPUTED_VALUE"""),"School Bus")</f>
        <v>School Bus</v>
      </c>
      <c r="Q861" s="1" t="str">
        <f ca="1">IFERROR(__xludf.DUMMYFUNCTION("""COMPUTED_VALUE"""),"Yes")</f>
        <v>Yes</v>
      </c>
      <c r="R861" s="1" t="str">
        <f ca="1">IFERROR(__xludf.DUMMYFUNCTION("""COMPUTED_VALUE"""),"Dismissal")</f>
        <v>Dismissal</v>
      </c>
      <c r="S861" s="5">
        <f ca="1">IFERROR(__xludf.DUMMYFUNCTION("""COMPUTED_VALUE"""),0.6125)</f>
        <v>0.61250000000000004</v>
      </c>
      <c r="T861" s="1">
        <f ca="1">IFERROR(__xludf.DUMMYFUNCTION("""COMPUTED_VALUE"""),1)</f>
        <v>1</v>
      </c>
      <c r="U861" s="1" t="str">
        <f ca="1">IFERROR(__xludf.DUMMYFUNCTION("""COMPUTED_VALUE"""),"Occupied school bus was struck by bullet during drive-by")</f>
        <v>Occupied school bus was struck by bullet during drive-by</v>
      </c>
      <c r="V861" s="1" t="str">
        <f ca="1">IFERROR(__xludf.DUMMYFUNCTION("""COMPUTED_VALUE"""),"A school bus taking kids home from school was struck by one bullet during a drive-by shooting involving another vehicle that was the target. The driver of the targeted vehicle was struck and transported to the hospital. The students and staff on the bus w"&amp;"ere not injured. Shooter fled the scene.")</f>
        <v>A school bus taking kids home from school was struck by one bullet during a drive-by shooting involving another vehicle that was the target. The driver of the targeted vehicle was struck and transported to the hospital. The students and staff on the bus were not injured. Shooter fled the scene.</v>
      </c>
      <c r="W861" s="1" t="str">
        <f ca="1">IFERROR(__xludf.DUMMYFUNCTION("""COMPUTED_VALUE"""),"Drive-by Shooting")</f>
        <v>Drive-by Shooting</v>
      </c>
      <c r="X861" s="1" t="str">
        <f ca="1">IFERROR(__xludf.DUMMYFUNCTION("""COMPUTED_VALUE"""),"Both")</f>
        <v>Both</v>
      </c>
      <c r="Y861" s="1" t="str">
        <f ca="1">IFERROR(__xludf.DUMMYFUNCTION("""COMPUTED_VALUE"""),"No")</f>
        <v>No</v>
      </c>
      <c r="Z861" s="1"/>
      <c r="AA861" s="1" t="str">
        <f ca="1">IFERROR(__xludf.DUMMYFUNCTION("""COMPUTED_VALUE"""),"No")</f>
        <v>No</v>
      </c>
      <c r="AB861" s="1" t="str">
        <f ca="1">IFERROR(__xludf.DUMMYFUNCTION("""COMPUTED_VALUE"""),"No")</f>
        <v>No</v>
      </c>
      <c r="AC861" s="1" t="str">
        <f ca="1">IFERROR(__xludf.DUMMYFUNCTION("""COMPUTED_VALUE"""),"No")</f>
        <v>No</v>
      </c>
      <c r="AD861" s="1" t="str">
        <f ca="1">IFERROR(__xludf.DUMMYFUNCTION("""COMPUTED_VALUE"""),"No")</f>
        <v>No</v>
      </c>
      <c r="AE861" s="1" t="str">
        <f ca="1">IFERROR(__xludf.DUMMYFUNCTION("""COMPUTED_VALUE"""),"No")</f>
        <v>No</v>
      </c>
      <c r="AF861" s="1"/>
      <c r="AG861" s="1" t="str">
        <f ca="1">IFERROR(__xludf.DUMMYFUNCTION("""COMPUTED_VALUE"""),"No")</f>
        <v>No</v>
      </c>
      <c r="AH861" s="1"/>
    </row>
    <row r="862" spans="1:34" ht="12.5">
      <c r="A862" s="1" t="str">
        <f ca="1">IFERROR(__xludf.DUMMYFUNCTION("""COMPUTED_VALUE"""),"20210908MNPRB")</f>
        <v>20210908MNPRB</v>
      </c>
      <c r="B862" s="1">
        <f ca="1">IFERROR(__xludf.DUMMYFUNCTION("""COMPUTED_VALUE"""),9)</f>
        <v>9</v>
      </c>
      <c r="C862" s="1">
        <f ca="1">IFERROR(__xludf.DUMMYFUNCTION("""COMPUTED_VALUE"""),9)</f>
        <v>9</v>
      </c>
      <c r="D862" s="1">
        <f ca="1">IFERROR(__xludf.DUMMYFUNCTION("""COMPUTED_VALUE"""),2021)</f>
        <v>2021</v>
      </c>
      <c r="E862" s="4">
        <f ca="1">IFERROR(__xludf.DUMMYFUNCTION("""COMPUTED_VALUE"""),44448)</f>
        <v>44448</v>
      </c>
      <c r="F862" s="1" t="str">
        <f ca="1">IFERROR(__xludf.DUMMYFUNCTION("""COMPUTED_VALUE"""),"Prairie Seeds Academy")</f>
        <v>Prairie Seeds Academy</v>
      </c>
      <c r="G862" s="1">
        <f ca="1">IFERROR(__xludf.DUMMYFUNCTION("""COMPUTED_VALUE"""),0)</f>
        <v>0</v>
      </c>
      <c r="H862" s="1">
        <f ca="1">IFERROR(__xludf.DUMMYFUNCTION("""COMPUTED_VALUE"""),1)</f>
        <v>1</v>
      </c>
      <c r="I862" s="1">
        <f ca="1">IFERROR(__xludf.DUMMYFUNCTION("""COMPUTED_VALUE"""),1)</f>
        <v>1</v>
      </c>
      <c r="J862" s="1">
        <f ca="1">IFERROR(__xludf.DUMMYFUNCTION("""COMPUTED_VALUE"""),0)</f>
        <v>0</v>
      </c>
      <c r="K862" s="1" t="str">
        <f ca="1">IFERROR(__xludf.DUMMYFUNCTION("""COMPUTED_VALUE"""),"Fall")</f>
        <v>Fall</v>
      </c>
      <c r="L862" s="1" t="str">
        <f ca="1">IFERROR(__xludf.DUMMYFUNCTION("""COMPUTED_VALUE"""),"Brooklyn Park")</f>
        <v>Brooklyn Park</v>
      </c>
      <c r="M862" s="1" t="str">
        <f ca="1">IFERROR(__xludf.DUMMYFUNCTION("""COMPUTED_VALUE"""),"MN")</f>
        <v>MN</v>
      </c>
      <c r="N862" s="1" t="str">
        <f ca="1">IFERROR(__xludf.DUMMYFUNCTION("""COMPUTED_VALUE"""),"High")</f>
        <v>High</v>
      </c>
      <c r="O862" s="1" t="str">
        <f ca="1">IFERROR(__xludf.DUMMYFUNCTION("""COMPUTED_VALUE"""),"Front of School")</f>
        <v>Front of School</v>
      </c>
      <c r="P862" s="1" t="str">
        <f ca="1">IFERROR(__xludf.DUMMYFUNCTION("""COMPUTED_VALUE"""),"Off School Property")</f>
        <v>Off School Property</v>
      </c>
      <c r="Q862" s="1" t="str">
        <f ca="1">IFERROR(__xludf.DUMMYFUNCTION("""COMPUTED_VALUE"""),"No")</f>
        <v>No</v>
      </c>
      <c r="R862" s="1" t="str">
        <f ca="1">IFERROR(__xludf.DUMMYFUNCTION("""COMPUTED_VALUE"""),"Evening")</f>
        <v>Evening</v>
      </c>
      <c r="S862" s="5">
        <f ca="1">IFERROR(__xludf.DUMMYFUNCTION("""COMPUTED_VALUE"""),0.798611111111111)</f>
        <v>0.79861111111111105</v>
      </c>
      <c r="T862" s="1">
        <f ca="1">IFERROR(__xludf.DUMMYFUNCTION("""COMPUTED_VALUE"""),1)</f>
        <v>1</v>
      </c>
      <c r="U862" s="1" t="str">
        <f ca="1">IFERROR(__xludf.DUMMYFUNCTION("""COMPUTED_VALUE"""),"Multiple people shooting, bullets struck the school building")</f>
        <v>Multiple people shooting, bullets struck the school building</v>
      </c>
      <c r="V862" s="1" t="str">
        <f ca="1">IFERROR(__xludf.DUMMYFUNCTION("""COMPUTED_VALUE"""),"Police were called for multiple people shooting near the school. Shooters fled the area. School building was struck by multiple bullets and damaged. Classes were cancelled the following day.")</f>
        <v>Police were called for multiple people shooting near the school. Shooters fled the area. School building was struck by multiple bullets and damaged. Classes were cancelled the following day.</v>
      </c>
      <c r="W862" s="1"/>
      <c r="X862" s="1" t="str">
        <f ca="1">IFERROR(__xludf.DUMMYFUNCTION("""COMPUTED_VALUE"""),"Both")</f>
        <v>Both</v>
      </c>
      <c r="Y862" s="1" t="str">
        <f ca="1">IFERROR(__xludf.DUMMYFUNCTION("""COMPUTED_VALUE"""),"Yes")</f>
        <v>Yes</v>
      </c>
      <c r="Z862" s="1" t="str">
        <f ca="1">IFERROR(__xludf.DUMMYFUNCTION("""COMPUTED_VALUE"""),"Multiple people shootings")</f>
        <v>Multiple people shootings</v>
      </c>
      <c r="AA862" s="1" t="str">
        <f ca="1">IFERROR(__xludf.DUMMYFUNCTION("""COMPUTED_VALUE"""),"No")</f>
        <v>No</v>
      </c>
      <c r="AB862" s="1" t="str">
        <f ca="1">IFERROR(__xludf.DUMMYFUNCTION("""COMPUTED_VALUE"""),"No")</f>
        <v>No</v>
      </c>
      <c r="AC862" s="1" t="str">
        <f ca="1">IFERROR(__xludf.DUMMYFUNCTION("""COMPUTED_VALUE"""),"No")</f>
        <v>No</v>
      </c>
      <c r="AD862" s="1" t="str">
        <f ca="1">IFERROR(__xludf.DUMMYFUNCTION("""COMPUTED_VALUE"""),"No")</f>
        <v>No</v>
      </c>
      <c r="AE862" s="1" t="str">
        <f ca="1">IFERROR(__xludf.DUMMYFUNCTION("""COMPUTED_VALUE"""),"No")</f>
        <v>No</v>
      </c>
      <c r="AF862" s="1"/>
      <c r="AG862" s="1" t="str">
        <f ca="1">IFERROR(__xludf.DUMMYFUNCTION("""COMPUTED_VALUE"""),"No")</f>
        <v>No</v>
      </c>
      <c r="AH862" s="1"/>
    </row>
    <row r="863" spans="1:34" ht="12.5">
      <c r="A863" s="1" t="str">
        <f ca="1">IFERROR(__xludf.DUMMYFUNCTION("""COMPUTED_VALUE"""),"20210908ILCEC")</f>
        <v>20210908ILCEC</v>
      </c>
      <c r="B863" s="1">
        <f ca="1">IFERROR(__xludf.DUMMYFUNCTION("""COMPUTED_VALUE"""),9)</f>
        <v>9</v>
      </c>
      <c r="C863" s="1">
        <f ca="1">IFERROR(__xludf.DUMMYFUNCTION("""COMPUTED_VALUE"""),8)</f>
        <v>8</v>
      </c>
      <c r="D863" s="1">
        <f ca="1">IFERROR(__xludf.DUMMYFUNCTION("""COMPUTED_VALUE"""),2021)</f>
        <v>2021</v>
      </c>
      <c r="E863" s="4">
        <f ca="1">IFERROR(__xludf.DUMMYFUNCTION("""COMPUTED_VALUE"""),44447)</f>
        <v>44447</v>
      </c>
      <c r="F863" s="1" t="str">
        <f ca="1">IFERROR(__xludf.DUMMYFUNCTION("""COMPUTED_VALUE"""),"Centennial High School")</f>
        <v>Centennial High School</v>
      </c>
      <c r="G863" s="1">
        <f ca="1">IFERROR(__xludf.DUMMYFUNCTION("""COMPUTED_VALUE"""),0)</f>
        <v>0</v>
      </c>
      <c r="H863" s="1">
        <f ca="1">IFERROR(__xludf.DUMMYFUNCTION("""COMPUTED_VALUE"""),0)</f>
        <v>0</v>
      </c>
      <c r="I863" s="1">
        <f ca="1">IFERROR(__xludf.DUMMYFUNCTION("""COMPUTED_VALUE"""),0)</f>
        <v>0</v>
      </c>
      <c r="J863" s="1">
        <f ca="1">IFERROR(__xludf.DUMMYFUNCTION("""COMPUTED_VALUE"""),0)</f>
        <v>0</v>
      </c>
      <c r="K863" s="1" t="str">
        <f ca="1">IFERROR(__xludf.DUMMYFUNCTION("""COMPUTED_VALUE"""),"Fall")</f>
        <v>Fall</v>
      </c>
      <c r="L863" s="1" t="str">
        <f ca="1">IFERROR(__xludf.DUMMYFUNCTION("""COMPUTED_VALUE"""),"Champaign")</f>
        <v>Champaign</v>
      </c>
      <c r="M863" s="1" t="str">
        <f ca="1">IFERROR(__xludf.DUMMYFUNCTION("""COMPUTED_VALUE"""),"IL")</f>
        <v>IL</v>
      </c>
      <c r="N863" s="1" t="str">
        <f ca="1">IFERROR(__xludf.DUMMYFUNCTION("""COMPUTED_VALUE"""),"High")</f>
        <v>High</v>
      </c>
      <c r="O863" s="1" t="str">
        <f ca="1">IFERROR(__xludf.DUMMYFUNCTION("""COMPUTED_VALUE"""),"Hallway")</f>
        <v>Hallway</v>
      </c>
      <c r="P863" s="1" t="str">
        <f ca="1">IFERROR(__xludf.DUMMYFUNCTION("""COMPUTED_VALUE"""),"Inside School Building")</f>
        <v>Inside School Building</v>
      </c>
      <c r="Q863" s="1" t="str">
        <f ca="1">IFERROR(__xludf.DUMMYFUNCTION("""COMPUTED_VALUE"""),"Yes")</f>
        <v>Yes</v>
      </c>
      <c r="R863" s="1" t="str">
        <f ca="1">IFERROR(__xludf.DUMMYFUNCTION("""COMPUTED_VALUE"""),"Afternoon Classes")</f>
        <v>Afternoon Classes</v>
      </c>
      <c r="S863" s="5">
        <f ca="1">IFERROR(__xludf.DUMMYFUNCTION("""COMPUTED_VALUE"""),0.541666666666666)</f>
        <v>0.54166666666666596</v>
      </c>
      <c r="T863" s="1">
        <f ca="1">IFERROR(__xludf.DUMMYFUNCTION("""COMPUTED_VALUE"""),1)</f>
        <v>1</v>
      </c>
      <c r="U863" s="1" t="str">
        <f ca="1">IFERROR(__xludf.DUMMYFUNCTION("""COMPUTED_VALUE"""),"Student pulled gun during fight in hallway then fled the school")</f>
        <v>Student pulled gun during fight in hallway then fled the school</v>
      </c>
      <c r="V863" s="1" t="str">
        <f ca="1">IFERROR(__xludf.DUMMYFUNCTION("""COMPUTED_VALUE"""),"An 18-year-old student pulled a gun in the school hallway during a fight and then fled the school. School was placed on lockdown. Student was identified by police.")</f>
        <v>An 18-year-old student pulled a gun in the school hallway during a fight and then fled the school. School was placed on lockdown. Student was identified by police.</v>
      </c>
      <c r="W863" s="1" t="str">
        <f ca="1">IFERROR(__xludf.DUMMYFUNCTION("""COMPUTED_VALUE"""),"Escalation of Dispute")</f>
        <v>Escalation of Dispute</v>
      </c>
      <c r="X863" s="1" t="str">
        <f ca="1">IFERROR(__xludf.DUMMYFUNCTION("""COMPUTED_VALUE"""),"Victims Targeted")</f>
        <v>Victims Targeted</v>
      </c>
      <c r="Y863" s="1" t="str">
        <f ca="1">IFERROR(__xludf.DUMMYFUNCTION("""COMPUTED_VALUE"""),"No")</f>
        <v>No</v>
      </c>
      <c r="Z863" s="1"/>
      <c r="AA863" s="1" t="str">
        <f ca="1">IFERROR(__xludf.DUMMYFUNCTION("""COMPUTED_VALUE"""),"No")</f>
        <v>No</v>
      </c>
      <c r="AB863" s="1" t="str">
        <f ca="1">IFERROR(__xludf.DUMMYFUNCTION("""COMPUTED_VALUE"""),"No")</f>
        <v>No</v>
      </c>
      <c r="AC863" s="1" t="str">
        <f ca="1">IFERROR(__xludf.DUMMYFUNCTION("""COMPUTED_VALUE"""),"No")</f>
        <v>No</v>
      </c>
      <c r="AD863" s="1" t="str">
        <f ca="1">IFERROR(__xludf.DUMMYFUNCTION("""COMPUTED_VALUE"""),"No")</f>
        <v>No</v>
      </c>
      <c r="AE863" s="1" t="str">
        <f ca="1">IFERROR(__xludf.DUMMYFUNCTION("""COMPUTED_VALUE"""),"No")</f>
        <v>No</v>
      </c>
      <c r="AF863" s="1" t="str">
        <f ca="1">IFERROR(__xludf.DUMMYFUNCTION("""COMPUTED_VALUE"""),"No")</f>
        <v>No</v>
      </c>
      <c r="AG863" s="1" t="str">
        <f ca="1">IFERROR(__xludf.DUMMYFUNCTION("""COMPUTED_VALUE"""),"No")</f>
        <v>No</v>
      </c>
      <c r="AH863" s="1">
        <f ca="1">IFERROR(__xludf.DUMMYFUNCTION("""COMPUTED_VALUE"""),0)</f>
        <v>0</v>
      </c>
    </row>
    <row r="864" spans="1:34" ht="12.5">
      <c r="A864" s="1" t="str">
        <f ca="1">IFERROR(__xludf.DUMMYFUNCTION("""COMPUTED_VALUE"""),"20210907TNLAL")</f>
        <v>20210907TNLAL</v>
      </c>
      <c r="B864" s="1">
        <f ca="1">IFERROR(__xludf.DUMMYFUNCTION("""COMPUTED_VALUE"""),9)</f>
        <v>9</v>
      </c>
      <c r="C864" s="1">
        <f ca="1">IFERROR(__xludf.DUMMYFUNCTION("""COMPUTED_VALUE"""),7)</f>
        <v>7</v>
      </c>
      <c r="D864" s="1">
        <f ca="1">IFERROR(__xludf.DUMMYFUNCTION("""COMPUTED_VALUE"""),2021)</f>
        <v>2021</v>
      </c>
      <c r="E864" s="4">
        <f ca="1">IFERROR(__xludf.DUMMYFUNCTION("""COMPUTED_VALUE"""),44446)</f>
        <v>44446</v>
      </c>
      <c r="F864" s="1" t="str">
        <f ca="1">IFERROR(__xludf.DUMMYFUNCTION("""COMPUTED_VALUE"""),"La Vergne High School")</f>
        <v>La Vergne High School</v>
      </c>
      <c r="G864" s="1">
        <f ca="1">IFERROR(__xludf.DUMMYFUNCTION("""COMPUTED_VALUE"""),0)</f>
        <v>0</v>
      </c>
      <c r="H864" s="1">
        <f ca="1">IFERROR(__xludf.DUMMYFUNCTION("""COMPUTED_VALUE"""),0)</f>
        <v>0</v>
      </c>
      <c r="I864" s="1">
        <f ca="1">IFERROR(__xludf.DUMMYFUNCTION("""COMPUTED_VALUE"""),0)</f>
        <v>0</v>
      </c>
      <c r="J864" s="1">
        <f ca="1">IFERROR(__xludf.DUMMYFUNCTION("""COMPUTED_VALUE"""),0)</f>
        <v>0</v>
      </c>
      <c r="K864" s="1" t="str">
        <f ca="1">IFERROR(__xludf.DUMMYFUNCTION("""COMPUTED_VALUE"""),"Fall")</f>
        <v>Fall</v>
      </c>
      <c r="L864" s="1" t="str">
        <f ca="1">IFERROR(__xludf.DUMMYFUNCTION("""COMPUTED_VALUE"""),"La Vergne")</f>
        <v>La Vergne</v>
      </c>
      <c r="M864" s="1" t="str">
        <f ca="1">IFERROR(__xludf.DUMMYFUNCTION("""COMPUTED_VALUE"""),"TN")</f>
        <v>TN</v>
      </c>
      <c r="N864" s="1" t="str">
        <f ca="1">IFERROR(__xludf.DUMMYFUNCTION("""COMPUTED_VALUE"""),"High")</f>
        <v>High</v>
      </c>
      <c r="O864" s="1" t="str">
        <f ca="1">IFERROR(__xludf.DUMMYFUNCTION("""COMPUTED_VALUE"""),"Parking Lot")</f>
        <v>Parking Lot</v>
      </c>
      <c r="P864" s="1" t="str">
        <f ca="1">IFERROR(__xludf.DUMMYFUNCTION("""COMPUTED_VALUE"""),"Outside on School Property")</f>
        <v>Outside on School Property</v>
      </c>
      <c r="Q864" s="1" t="str">
        <f ca="1">IFERROR(__xludf.DUMMYFUNCTION("""COMPUTED_VALUE"""),"Yes")</f>
        <v>Yes</v>
      </c>
      <c r="R864" s="1" t="str">
        <f ca="1">IFERROR(__xludf.DUMMYFUNCTION("""COMPUTED_VALUE"""),"Dismissal")</f>
        <v>Dismissal</v>
      </c>
      <c r="S864" s="5">
        <f ca="1">IFERROR(__xludf.DUMMYFUNCTION("""COMPUTED_VALUE"""),0.625)</f>
        <v>0.625</v>
      </c>
      <c r="T864" s="1">
        <f ca="1">IFERROR(__xludf.DUMMYFUNCTION("""COMPUTED_VALUE"""),1)</f>
        <v>1</v>
      </c>
      <c r="U864" s="1" t="str">
        <f ca="1">IFERROR(__xludf.DUMMYFUNCTION("""COMPUTED_VALUE"""),"Teen fired shots in parking lot during dismissal")</f>
        <v>Teen fired shots in parking lot during dismissal</v>
      </c>
      <c r="V864" s="1" t="str">
        <f ca="1">IFERROR(__xludf.DUMMYFUNCTION("""COMPUTED_VALUE"""),"A 15-year-old student fired three shots in the school parking lot during dismissal. No students were injured. A vehicle was struck. The SRO responded and stopped a vehicle near the school with the suspect inside. A second student was also arrested with a "&amp;"second handgun.")</f>
        <v>A 15-year-old student fired three shots in the school parking lot during dismissal. No students were injured. A vehicle was struck. The SRO responded and stopped a vehicle near the school with the suspect inside. A second student was also arrested with a second handgun.</v>
      </c>
      <c r="W864" s="1" t="str">
        <f ca="1">IFERROR(__xludf.DUMMYFUNCTION("""COMPUTED_VALUE"""),"Escalation of Dispute")</f>
        <v>Escalation of Dispute</v>
      </c>
      <c r="X864" s="1" t="str">
        <f ca="1">IFERROR(__xludf.DUMMYFUNCTION("""COMPUTED_VALUE"""),"Random Shooting")</f>
        <v>Random Shooting</v>
      </c>
      <c r="Y864" s="1" t="str">
        <f ca="1">IFERROR(__xludf.DUMMYFUNCTION("""COMPUTED_VALUE"""),"No")</f>
        <v>No</v>
      </c>
      <c r="Z864" s="1"/>
      <c r="AA864" s="1" t="str">
        <f ca="1">IFERROR(__xludf.DUMMYFUNCTION("""COMPUTED_VALUE"""),"No")</f>
        <v>No</v>
      </c>
      <c r="AB864" s="1" t="str">
        <f ca="1">IFERROR(__xludf.DUMMYFUNCTION("""COMPUTED_VALUE"""),"No")</f>
        <v>No</v>
      </c>
      <c r="AC864" s="1" t="str">
        <f ca="1">IFERROR(__xludf.DUMMYFUNCTION("""COMPUTED_VALUE"""),"No")</f>
        <v>No</v>
      </c>
      <c r="AD864" s="1" t="str">
        <f ca="1">IFERROR(__xludf.DUMMYFUNCTION("""COMPUTED_VALUE"""),"No")</f>
        <v>No</v>
      </c>
      <c r="AE864" s="1" t="str">
        <f ca="1">IFERROR(__xludf.DUMMYFUNCTION("""COMPUTED_VALUE"""),"No")</f>
        <v>No</v>
      </c>
      <c r="AF864" s="1"/>
      <c r="AG864" s="1" t="str">
        <f ca="1">IFERROR(__xludf.DUMMYFUNCTION("""COMPUTED_VALUE"""),"No")</f>
        <v>No</v>
      </c>
      <c r="AH864" s="1">
        <f ca="1">IFERROR(__xludf.DUMMYFUNCTION("""COMPUTED_VALUE"""),3)</f>
        <v>3</v>
      </c>
    </row>
    <row r="865" spans="1:34" ht="12.5">
      <c r="A865" s="1" t="str">
        <f ca="1">IFERROR(__xludf.DUMMYFUNCTION("""COMPUTED_VALUE"""),"20210907PAHAH")</f>
        <v>20210907PAHAH</v>
      </c>
      <c r="B865" s="1">
        <f ca="1">IFERROR(__xludf.DUMMYFUNCTION("""COMPUTED_VALUE"""),9)</f>
        <v>9</v>
      </c>
      <c r="C865" s="1">
        <f ca="1">IFERROR(__xludf.DUMMYFUNCTION("""COMPUTED_VALUE"""),7)</f>
        <v>7</v>
      </c>
      <c r="D865" s="1">
        <f ca="1">IFERROR(__xludf.DUMMYFUNCTION("""COMPUTED_VALUE"""),2021)</f>
        <v>2021</v>
      </c>
      <c r="E865" s="4">
        <f ca="1">IFERROR(__xludf.DUMMYFUNCTION("""COMPUTED_VALUE"""),44446)</f>
        <v>44446</v>
      </c>
      <c r="F865" s="1" t="str">
        <f ca="1">IFERROR(__xludf.DUMMYFUNCTION("""COMPUTED_VALUE"""),"Harrisburg High School")</f>
        <v>Harrisburg High School</v>
      </c>
      <c r="G865" s="1">
        <f ca="1">IFERROR(__xludf.DUMMYFUNCTION("""COMPUTED_VALUE"""),0)</f>
        <v>0</v>
      </c>
      <c r="H865" s="1">
        <f ca="1">IFERROR(__xludf.DUMMYFUNCTION("""COMPUTED_VALUE"""),0)</f>
        <v>0</v>
      </c>
      <c r="I865" s="1">
        <f ca="1">IFERROR(__xludf.DUMMYFUNCTION("""COMPUTED_VALUE"""),0)</f>
        <v>0</v>
      </c>
      <c r="J865" s="1">
        <f ca="1">IFERROR(__xludf.DUMMYFUNCTION("""COMPUTED_VALUE"""),0)</f>
        <v>0</v>
      </c>
      <c r="K865" s="1" t="str">
        <f ca="1">IFERROR(__xludf.DUMMYFUNCTION("""COMPUTED_VALUE"""),"Fall")</f>
        <v>Fall</v>
      </c>
      <c r="L865" s="1" t="str">
        <f ca="1">IFERROR(__xludf.DUMMYFUNCTION("""COMPUTED_VALUE"""),"Harrisburg")</f>
        <v>Harrisburg</v>
      </c>
      <c r="M865" s="1" t="str">
        <f ca="1">IFERROR(__xludf.DUMMYFUNCTION("""COMPUTED_VALUE"""),"PA")</f>
        <v>PA</v>
      </c>
      <c r="N865" s="1" t="str">
        <f ca="1">IFERROR(__xludf.DUMMYFUNCTION("""COMPUTED_VALUE"""),"High")</f>
        <v>High</v>
      </c>
      <c r="O865" s="1" t="str">
        <f ca="1">IFERROR(__xludf.DUMMYFUNCTION("""COMPUTED_VALUE"""),"Parking Lot")</f>
        <v>Parking Lot</v>
      </c>
      <c r="P865" s="1" t="str">
        <f ca="1">IFERROR(__xludf.DUMMYFUNCTION("""COMPUTED_VALUE"""),"Outside on School Property")</f>
        <v>Outside on School Property</v>
      </c>
      <c r="Q865" s="1" t="str">
        <f ca="1">IFERROR(__xludf.DUMMYFUNCTION("""COMPUTED_VALUE"""),"Yes")</f>
        <v>Yes</v>
      </c>
      <c r="R865" s="1" t="str">
        <f ca="1">IFERROR(__xludf.DUMMYFUNCTION("""COMPUTED_VALUE"""),"Dismissal")</f>
        <v>Dismissal</v>
      </c>
      <c r="S865" s="5">
        <f ca="1">IFERROR(__xludf.DUMMYFUNCTION("""COMPUTED_VALUE"""),0.125)</f>
        <v>0.125</v>
      </c>
      <c r="T865" s="1">
        <f ca="1">IFERROR(__xludf.DUMMYFUNCTION("""COMPUTED_VALUE"""),1)</f>
        <v>1</v>
      </c>
      <c r="U865" s="1" t="str">
        <f ca="1">IFERROR(__xludf.DUMMYFUNCTION("""COMPUTED_VALUE"""),"Shots fired during fight in the parking lot")</f>
        <v>Shots fired during fight in the parking lot</v>
      </c>
      <c r="V865" s="1" t="str">
        <f ca="1">IFERROR(__xludf.DUMMYFUNCTION("""COMPUTED_VALUE"""),"Shots fired during a fight in the school parking lot. Shooter and others involved fled before police arrived. Police found a shell casing on school property. School switched to virtual classes the following day while police investigated.")</f>
        <v>Shots fired during a fight in the school parking lot. Shooter and others involved fled before police arrived. Police found a shell casing on school property. School switched to virtual classes the following day while police investigated.</v>
      </c>
      <c r="W865" s="1" t="str">
        <f ca="1">IFERROR(__xludf.DUMMYFUNCTION("""COMPUTED_VALUE"""),"Escalation of Dispute")</f>
        <v>Escalation of Dispute</v>
      </c>
      <c r="X865" s="1" t="str">
        <f ca="1">IFERROR(__xludf.DUMMYFUNCTION("""COMPUTED_VALUE"""),"Neither")</f>
        <v>Neither</v>
      </c>
      <c r="Y865" s="1" t="str">
        <f ca="1">IFERROR(__xludf.DUMMYFUNCTION("""COMPUTED_VALUE"""),"No")</f>
        <v>No</v>
      </c>
      <c r="Z865" s="1"/>
      <c r="AA865" s="1" t="str">
        <f ca="1">IFERROR(__xludf.DUMMYFUNCTION("""COMPUTED_VALUE"""),"No")</f>
        <v>No</v>
      </c>
      <c r="AB865" s="1" t="str">
        <f ca="1">IFERROR(__xludf.DUMMYFUNCTION("""COMPUTED_VALUE"""),"No")</f>
        <v>No</v>
      </c>
      <c r="AC865" s="1" t="str">
        <f ca="1">IFERROR(__xludf.DUMMYFUNCTION("""COMPUTED_VALUE"""),"No")</f>
        <v>No</v>
      </c>
      <c r="AD865" s="1" t="str">
        <f ca="1">IFERROR(__xludf.DUMMYFUNCTION("""COMPUTED_VALUE"""),"No")</f>
        <v>No</v>
      </c>
      <c r="AE865" s="1" t="str">
        <f ca="1">IFERROR(__xludf.DUMMYFUNCTION("""COMPUTED_VALUE"""),"No")</f>
        <v>No</v>
      </c>
      <c r="AF865" s="1" t="str">
        <f ca="1">IFERROR(__xludf.DUMMYFUNCTION("""COMPUTED_VALUE"""),"No")</f>
        <v>No</v>
      </c>
      <c r="AG865" s="1" t="str">
        <f ca="1">IFERROR(__xludf.DUMMYFUNCTION("""COMPUTED_VALUE"""),"No")</f>
        <v>No</v>
      </c>
      <c r="AH865" s="1"/>
    </row>
    <row r="866" spans="1:34" ht="12.5">
      <c r="A866" s="1" t="str">
        <f ca="1">IFERROR(__xludf.DUMMYFUNCTION("""COMPUTED_VALUE"""),"20210907MAOMG")</f>
        <v>20210907MAOMG</v>
      </c>
      <c r="B866" s="1">
        <f ca="1">IFERROR(__xludf.DUMMYFUNCTION("""COMPUTED_VALUE"""),9)</f>
        <v>9</v>
      </c>
      <c r="C866" s="1">
        <f ca="1">IFERROR(__xludf.DUMMYFUNCTION("""COMPUTED_VALUE"""),7)</f>
        <v>7</v>
      </c>
      <c r="D866" s="1">
        <f ca="1">IFERROR(__xludf.DUMMYFUNCTION("""COMPUTED_VALUE"""),2021)</f>
        <v>2021</v>
      </c>
      <c r="E866" s="4">
        <f ca="1">IFERROR(__xludf.DUMMYFUNCTION("""COMPUTED_VALUE"""),44446)</f>
        <v>44446</v>
      </c>
      <c r="F866" s="1" t="str">
        <f ca="1">IFERROR(__xludf.DUMMYFUNCTION("""COMPUTED_VALUE"""),"O’Maley Innovation Middle School")</f>
        <v>O’Maley Innovation Middle School</v>
      </c>
      <c r="G866" s="1">
        <f ca="1">IFERROR(__xludf.DUMMYFUNCTION("""COMPUTED_VALUE"""),0)</f>
        <v>0</v>
      </c>
      <c r="H866" s="1">
        <f ca="1">IFERROR(__xludf.DUMMYFUNCTION("""COMPUTED_VALUE"""),0)</f>
        <v>0</v>
      </c>
      <c r="I866" s="1">
        <f ca="1">IFERROR(__xludf.DUMMYFUNCTION("""COMPUTED_VALUE"""),0)</f>
        <v>0</v>
      </c>
      <c r="J866" s="1">
        <f ca="1">IFERROR(__xludf.DUMMYFUNCTION("""COMPUTED_VALUE"""),0)</f>
        <v>0</v>
      </c>
      <c r="K866" s="1" t="str">
        <f ca="1">IFERROR(__xludf.DUMMYFUNCTION("""COMPUTED_VALUE"""),"Fall")</f>
        <v>Fall</v>
      </c>
      <c r="L866" s="1" t="str">
        <f ca="1">IFERROR(__xludf.DUMMYFUNCTION("""COMPUTED_VALUE"""),"Gloucester")</f>
        <v>Gloucester</v>
      </c>
      <c r="M866" s="1" t="str">
        <f ca="1">IFERROR(__xludf.DUMMYFUNCTION("""COMPUTED_VALUE"""),"MA")</f>
        <v>MA</v>
      </c>
      <c r="N866" s="1" t="str">
        <f ca="1">IFERROR(__xludf.DUMMYFUNCTION("""COMPUTED_VALUE"""),"Middle")</f>
        <v>Middle</v>
      </c>
      <c r="O866" s="1" t="str">
        <f ca="1">IFERROR(__xludf.DUMMYFUNCTION("""COMPUTED_VALUE"""),"Parking Lot")</f>
        <v>Parking Lot</v>
      </c>
      <c r="P866" s="1" t="str">
        <f ca="1">IFERROR(__xludf.DUMMYFUNCTION("""COMPUTED_VALUE"""),"Outside on School Property")</f>
        <v>Outside on School Property</v>
      </c>
      <c r="Q866" s="1" t="str">
        <f ca="1">IFERROR(__xludf.DUMMYFUNCTION("""COMPUTED_VALUE"""),"No")</f>
        <v>No</v>
      </c>
      <c r="R866" s="1" t="str">
        <f ca="1">IFERROR(__xludf.DUMMYFUNCTION("""COMPUTED_VALUE"""),"Night")</f>
        <v>Night</v>
      </c>
      <c r="S866" s="5">
        <f ca="1">IFERROR(__xludf.DUMMYFUNCTION("""COMPUTED_VALUE"""),0.104166666666666)</f>
        <v>0.10416666666666601</v>
      </c>
      <c r="T866" s="1"/>
      <c r="U866" s="1" t="str">
        <f ca="1">IFERROR(__xludf.DUMMYFUNCTION("""COMPUTED_VALUE"""),"Teens damaged 46 cars, 7 businesses, and broke 10 windows on a school bus during BB gun shooting spree")</f>
        <v>Teens damaged 46 cars, 7 businesses, and broke 10 windows on a school bus during BB gun shooting spree</v>
      </c>
      <c r="V866" s="1" t="str">
        <f ca="1">IFERROR(__xludf.DUMMYFUNCTION("""COMPUTED_VALUE"""),"Two 18-year-olds damaged 46 cars, 7 businesses, and broke 10 windows on a school bus during their BB gun shooting spree. Charged with having a weapon on school property and multiple other crimes. Teens were under the influence of alcohol during the shooti"&amp;"ngs.")</f>
        <v>Two 18-year-olds damaged 46 cars, 7 businesses, and broke 10 windows on a school bus during their BB gun shooting spree. Charged with having a weapon on school property and multiple other crimes. Teens were under the influence of alcohol during the shootings.</v>
      </c>
      <c r="W866" s="1" t="str">
        <f ca="1">IFERROR(__xludf.DUMMYFUNCTION("""COMPUTED_VALUE"""),"Intentional Property Damage")</f>
        <v>Intentional Property Damage</v>
      </c>
      <c r="X866" s="1" t="str">
        <f ca="1">IFERROR(__xludf.DUMMYFUNCTION("""COMPUTED_VALUE"""),"Random Shooting")</f>
        <v>Random Shooting</v>
      </c>
      <c r="Y866" s="1" t="str">
        <f ca="1">IFERROR(__xludf.DUMMYFUNCTION("""COMPUTED_VALUE"""),"Yes")</f>
        <v>Yes</v>
      </c>
      <c r="Z866" s="1" t="str">
        <f ca="1">IFERROR(__xludf.DUMMYFUNCTION("""COMPUTED_VALUE"""),"Two 18YOMs")</f>
        <v>Two 18YOMs</v>
      </c>
      <c r="AA866" s="1" t="str">
        <f ca="1">IFERROR(__xludf.DUMMYFUNCTION("""COMPUTED_VALUE"""),"No")</f>
        <v>No</v>
      </c>
      <c r="AB866" s="1" t="str">
        <f ca="1">IFERROR(__xludf.DUMMYFUNCTION("""COMPUTED_VALUE"""),"No")</f>
        <v>No</v>
      </c>
      <c r="AC866" s="1" t="str">
        <f ca="1">IFERROR(__xludf.DUMMYFUNCTION("""COMPUTED_VALUE"""),"No")</f>
        <v>No</v>
      </c>
      <c r="AD866" s="1" t="str">
        <f ca="1">IFERROR(__xludf.DUMMYFUNCTION("""COMPUTED_VALUE"""),"No")</f>
        <v>No</v>
      </c>
      <c r="AE866" s="1" t="str">
        <f ca="1">IFERROR(__xludf.DUMMYFUNCTION("""COMPUTED_VALUE"""),"No")</f>
        <v>No</v>
      </c>
      <c r="AF866" s="1" t="str">
        <f ca="1">IFERROR(__xludf.DUMMYFUNCTION("""COMPUTED_VALUE"""),"No")</f>
        <v>No</v>
      </c>
      <c r="AG866" s="1" t="str">
        <f ca="1">IFERROR(__xludf.DUMMYFUNCTION("""COMPUTED_VALUE"""),"No")</f>
        <v>No</v>
      </c>
      <c r="AH866" s="1">
        <f ca="1">IFERROR(__xludf.DUMMYFUNCTION("""COMPUTED_VALUE"""),100)</f>
        <v>100</v>
      </c>
    </row>
    <row r="867" spans="1:34" ht="12.5">
      <c r="A867" s="1" t="str">
        <f ca="1">IFERROR(__xludf.DUMMYFUNCTION("""COMPUTED_VALUE"""),"20210903NVDEL")</f>
        <v>20210903NVDEL</v>
      </c>
      <c r="B867" s="1">
        <f ca="1">IFERROR(__xludf.DUMMYFUNCTION("""COMPUTED_VALUE"""),9)</f>
        <v>9</v>
      </c>
      <c r="C867" s="1">
        <f ca="1">IFERROR(__xludf.DUMMYFUNCTION("""COMPUTED_VALUE"""),3)</f>
        <v>3</v>
      </c>
      <c r="D867" s="1">
        <f ca="1">IFERROR(__xludf.DUMMYFUNCTION("""COMPUTED_VALUE"""),2021)</f>
        <v>2021</v>
      </c>
      <c r="E867" s="4">
        <f ca="1">IFERROR(__xludf.DUMMYFUNCTION("""COMPUTED_VALUE"""),44442)</f>
        <v>44442</v>
      </c>
      <c r="F867" s="1" t="str">
        <f ca="1">IFERROR(__xludf.DUMMYFUNCTION("""COMPUTED_VALUE"""),"Desert Oasis High School")</f>
        <v>Desert Oasis High School</v>
      </c>
      <c r="G867" s="1">
        <f ca="1">IFERROR(__xludf.DUMMYFUNCTION("""COMPUTED_VALUE"""),0)</f>
        <v>0</v>
      </c>
      <c r="H867" s="1">
        <f ca="1">IFERROR(__xludf.DUMMYFUNCTION("""COMPUTED_VALUE"""),0)</f>
        <v>0</v>
      </c>
      <c r="I867" s="1">
        <f ca="1">IFERROR(__xludf.DUMMYFUNCTION("""COMPUTED_VALUE"""),0)</f>
        <v>0</v>
      </c>
      <c r="J867" s="1">
        <f ca="1">IFERROR(__xludf.DUMMYFUNCTION("""COMPUTED_VALUE"""),0)</f>
        <v>0</v>
      </c>
      <c r="K867" s="1" t="str">
        <f ca="1">IFERROR(__xludf.DUMMYFUNCTION("""COMPUTED_VALUE"""),"Fall")</f>
        <v>Fall</v>
      </c>
      <c r="L867" s="1" t="str">
        <f ca="1">IFERROR(__xludf.DUMMYFUNCTION("""COMPUTED_VALUE"""),"Las Vegas")</f>
        <v>Las Vegas</v>
      </c>
      <c r="M867" s="1" t="str">
        <f ca="1">IFERROR(__xludf.DUMMYFUNCTION("""COMPUTED_VALUE"""),"NV")</f>
        <v>NV</v>
      </c>
      <c r="N867" s="1" t="str">
        <f ca="1">IFERROR(__xludf.DUMMYFUNCTION("""COMPUTED_VALUE"""),"High")</f>
        <v>High</v>
      </c>
      <c r="O867" s="1" t="str">
        <f ca="1">IFERROR(__xludf.DUMMYFUNCTION("""COMPUTED_VALUE"""),"Parking Lot")</f>
        <v>Parking Lot</v>
      </c>
      <c r="P867" s="1" t="str">
        <f ca="1">IFERROR(__xludf.DUMMYFUNCTION("""COMPUTED_VALUE"""),"Outside on School Property")</f>
        <v>Outside on School Property</v>
      </c>
      <c r="Q867" s="1" t="str">
        <f ca="1">IFERROR(__xludf.DUMMYFUNCTION("""COMPUTED_VALUE"""),"No")</f>
        <v>No</v>
      </c>
      <c r="R867" s="1" t="str">
        <f ca="1">IFERROR(__xludf.DUMMYFUNCTION("""COMPUTED_VALUE"""),"Sport Event")</f>
        <v>Sport Event</v>
      </c>
      <c r="S867" s="5">
        <f ca="1">IFERROR(__xludf.DUMMYFUNCTION("""COMPUTED_VALUE"""),0.875)</f>
        <v>0.875</v>
      </c>
      <c r="T867" s="1">
        <f ca="1">IFERROR(__xludf.DUMMYFUNCTION("""COMPUTED_VALUE"""),1)</f>
        <v>1</v>
      </c>
      <c r="U867" s="1" t="str">
        <f ca="1">IFERROR(__xludf.DUMMYFUNCTION("""COMPUTED_VALUE"""),"Shots fired into air during fight following football game")</f>
        <v>Shots fired into air during fight following football game</v>
      </c>
      <c r="V867" s="1" t="str">
        <f ca="1">IFERROR(__xludf.DUMMYFUNCTION("""COMPUTED_VALUE"""),"Shots were fired into the air during a fight in the parking lot at the end of a football game. Police were assigned to the school for the game. Shooter fled the area. No victims. Police and school officials announced increased security for future games.")</f>
        <v>Shots were fired into the air during a fight in the parking lot at the end of a football game. Police were assigned to the school for the game. Shooter fled the area. No victims. Police and school officials announced increased security for future games.</v>
      </c>
      <c r="W867" s="1" t="str">
        <f ca="1">IFERROR(__xludf.DUMMYFUNCTION("""COMPUTED_VALUE"""),"Escalation of Dispute")</f>
        <v>Escalation of Dispute</v>
      </c>
      <c r="X867" s="1" t="str">
        <f ca="1">IFERROR(__xludf.DUMMYFUNCTION("""COMPUTED_VALUE"""),"Neither")</f>
        <v>Neither</v>
      </c>
      <c r="Y867" s="1" t="str">
        <f ca="1">IFERROR(__xludf.DUMMYFUNCTION("""COMPUTED_VALUE"""),"No")</f>
        <v>No</v>
      </c>
      <c r="Z867" s="1"/>
      <c r="AA867" s="1" t="str">
        <f ca="1">IFERROR(__xludf.DUMMYFUNCTION("""COMPUTED_VALUE"""),"No")</f>
        <v>No</v>
      </c>
      <c r="AB867" s="1" t="str">
        <f ca="1">IFERROR(__xludf.DUMMYFUNCTION("""COMPUTED_VALUE"""),"No")</f>
        <v>No</v>
      </c>
      <c r="AC867" s="1" t="str">
        <f ca="1">IFERROR(__xludf.DUMMYFUNCTION("""COMPUTED_VALUE"""),"No")</f>
        <v>No</v>
      </c>
      <c r="AD867" s="1" t="str">
        <f ca="1">IFERROR(__xludf.DUMMYFUNCTION("""COMPUTED_VALUE"""),"No")</f>
        <v>No</v>
      </c>
      <c r="AE867" s="1" t="str">
        <f ca="1">IFERROR(__xludf.DUMMYFUNCTION("""COMPUTED_VALUE"""),"No")</f>
        <v>No</v>
      </c>
      <c r="AF867" s="1"/>
      <c r="AG867" s="1" t="str">
        <f ca="1">IFERROR(__xludf.DUMMYFUNCTION("""COMPUTED_VALUE"""),"No")</f>
        <v>No</v>
      </c>
      <c r="AH867" s="1"/>
    </row>
    <row r="868" spans="1:34" ht="12.5">
      <c r="A868" s="1" t="str">
        <f ca="1">IFERROR(__xludf.DUMMYFUNCTION("""COMPUTED_VALUE"""),"20210903NCJUC")</f>
        <v>20210903NCJUC</v>
      </c>
      <c r="B868" s="1">
        <f ca="1">IFERROR(__xludf.DUMMYFUNCTION("""COMPUTED_VALUE"""),9)</f>
        <v>9</v>
      </c>
      <c r="C868" s="1">
        <f ca="1">IFERROR(__xludf.DUMMYFUNCTION("""COMPUTED_VALUE"""),3)</f>
        <v>3</v>
      </c>
      <c r="D868" s="1">
        <f ca="1">IFERROR(__xludf.DUMMYFUNCTION("""COMPUTED_VALUE"""),2021)</f>
        <v>2021</v>
      </c>
      <c r="E868" s="4">
        <f ca="1">IFERROR(__xludf.DUMMYFUNCTION("""COMPUTED_VALUE"""),44442)</f>
        <v>44442</v>
      </c>
      <c r="F868" s="1" t="str">
        <f ca="1">IFERROR(__xludf.DUMMYFUNCTION("""COMPUTED_VALUE"""),"Julius Chambers High School")</f>
        <v>Julius Chambers High School</v>
      </c>
      <c r="G868" s="1">
        <f ca="1">IFERROR(__xludf.DUMMYFUNCTION("""COMPUTED_VALUE"""),0)</f>
        <v>0</v>
      </c>
      <c r="H868" s="1">
        <f ca="1">IFERROR(__xludf.DUMMYFUNCTION("""COMPUTED_VALUE"""),0)</f>
        <v>0</v>
      </c>
      <c r="I868" s="1">
        <f ca="1">IFERROR(__xludf.DUMMYFUNCTION("""COMPUTED_VALUE"""),0)</f>
        <v>0</v>
      </c>
      <c r="J868" s="1">
        <f ca="1">IFERROR(__xludf.DUMMYFUNCTION("""COMPUTED_VALUE"""),0)</f>
        <v>0</v>
      </c>
      <c r="K868" s="1" t="str">
        <f ca="1">IFERROR(__xludf.DUMMYFUNCTION("""COMPUTED_VALUE"""),"Fall")</f>
        <v>Fall</v>
      </c>
      <c r="L868" s="1" t="str">
        <f ca="1">IFERROR(__xludf.DUMMYFUNCTION("""COMPUTED_VALUE"""),"Charlotte")</f>
        <v>Charlotte</v>
      </c>
      <c r="M868" s="1" t="str">
        <f ca="1">IFERROR(__xludf.DUMMYFUNCTION("""COMPUTED_VALUE"""),"NC")</f>
        <v>NC</v>
      </c>
      <c r="N868" s="1" t="str">
        <f ca="1">IFERROR(__xludf.DUMMYFUNCTION("""COMPUTED_VALUE"""),"High")</f>
        <v>High</v>
      </c>
      <c r="O868" s="1" t="str">
        <f ca="1">IFERROR(__xludf.DUMMYFUNCTION("""COMPUTED_VALUE"""),"Football Field/Track")</f>
        <v>Football Field/Track</v>
      </c>
      <c r="P868" s="1" t="str">
        <f ca="1">IFERROR(__xludf.DUMMYFUNCTION("""COMPUTED_VALUE"""),"Outside on School Property")</f>
        <v>Outside on School Property</v>
      </c>
      <c r="Q868" s="1" t="str">
        <f ca="1">IFERROR(__xludf.DUMMYFUNCTION("""COMPUTED_VALUE"""),"No")</f>
        <v>No</v>
      </c>
      <c r="R868" s="1" t="str">
        <f ca="1">IFERROR(__xludf.DUMMYFUNCTION("""COMPUTED_VALUE"""),"Sport Event")</f>
        <v>Sport Event</v>
      </c>
      <c r="S868" s="5">
        <f ca="1">IFERROR(__xludf.DUMMYFUNCTION("""COMPUTED_VALUE"""),0.895833333333333)</f>
        <v>0.89583333333333304</v>
      </c>
      <c r="T868" s="1">
        <f ca="1">IFERROR(__xludf.DUMMYFUNCTION("""COMPUTED_VALUE"""),1)</f>
        <v>1</v>
      </c>
      <c r="U868" s="1" t="str">
        <f ca="1">IFERROR(__xludf.DUMMYFUNCTION("""COMPUTED_VALUE"""),"Multiple shots fired near stadium gate following football game")</f>
        <v>Multiple shots fired near stadium gate following football game</v>
      </c>
      <c r="V868" s="1" t="str">
        <f ca="1">IFERROR(__xludf.DUMMYFUNCTION("""COMPUTED_VALUE"""),"Multiple shots were fired at the end of the high school football game while the parking lot was being cleared. Attendees and players still inside the stadium self-evacuated or took cover. Shooter fled. No injuries. Police recovered 4 shell casings near th"&amp;"e visitor gate. No fights or issues were reported during the game.")</f>
        <v>Multiple shots were fired at the end of the high school football game while the parking lot was being cleared. Attendees and players still inside the stadium self-evacuated or took cover. Shooter fled. No injuries. Police recovered 4 shell casings near the visitor gate. No fights or issues were reported during the game.</v>
      </c>
      <c r="W868" s="1"/>
      <c r="X868" s="1" t="str">
        <f ca="1">IFERROR(__xludf.DUMMYFUNCTION("""COMPUTED_VALUE"""),"Neither")</f>
        <v>Neither</v>
      </c>
      <c r="Y868" s="1" t="str">
        <f ca="1">IFERROR(__xludf.DUMMYFUNCTION("""COMPUTED_VALUE"""),"No")</f>
        <v>No</v>
      </c>
      <c r="Z868" s="1"/>
      <c r="AA868" s="1" t="str">
        <f ca="1">IFERROR(__xludf.DUMMYFUNCTION("""COMPUTED_VALUE"""),"No")</f>
        <v>No</v>
      </c>
      <c r="AB868" s="1" t="str">
        <f ca="1">IFERROR(__xludf.DUMMYFUNCTION("""COMPUTED_VALUE"""),"No")</f>
        <v>No</v>
      </c>
      <c r="AC868" s="1" t="str">
        <f ca="1">IFERROR(__xludf.DUMMYFUNCTION("""COMPUTED_VALUE"""),"No")</f>
        <v>No</v>
      </c>
      <c r="AD868" s="1" t="str">
        <f ca="1">IFERROR(__xludf.DUMMYFUNCTION("""COMPUTED_VALUE"""),"No")</f>
        <v>No</v>
      </c>
      <c r="AE868" s="1" t="str">
        <f ca="1">IFERROR(__xludf.DUMMYFUNCTION("""COMPUTED_VALUE"""),"No")</f>
        <v>No</v>
      </c>
      <c r="AF868" s="1" t="str">
        <f ca="1">IFERROR(__xludf.DUMMYFUNCTION("""COMPUTED_VALUE"""),"No")</f>
        <v>No</v>
      </c>
      <c r="AG868" s="1" t="str">
        <f ca="1">IFERROR(__xludf.DUMMYFUNCTION("""COMPUTED_VALUE"""),"No")</f>
        <v>No</v>
      </c>
      <c r="AH868" s="1">
        <f ca="1">IFERROR(__xludf.DUMMYFUNCTION("""COMPUTED_VALUE"""),4)</f>
        <v>4</v>
      </c>
    </row>
    <row r="869" spans="1:34" ht="12.5">
      <c r="A869" s="1" t="str">
        <f ca="1">IFERROR(__xludf.DUMMYFUNCTION("""COMPUTED_VALUE"""),"20210903CAMTH")</f>
        <v>20210903CAMTH</v>
      </c>
      <c r="B869" s="1">
        <f ca="1">IFERROR(__xludf.DUMMYFUNCTION("""COMPUTED_VALUE"""),9)</f>
        <v>9</v>
      </c>
      <c r="C869" s="1">
        <f ca="1">IFERROR(__xludf.DUMMYFUNCTION("""COMPUTED_VALUE"""),3)</f>
        <v>3</v>
      </c>
      <c r="D869" s="1">
        <f ca="1">IFERROR(__xludf.DUMMYFUNCTION("""COMPUTED_VALUE"""),2021)</f>
        <v>2021</v>
      </c>
      <c r="E869" s="4">
        <f ca="1">IFERROR(__xludf.DUMMYFUNCTION("""COMPUTED_VALUE"""),44442)</f>
        <v>44442</v>
      </c>
      <c r="F869" s="1" t="str">
        <f ca="1">IFERROR(__xludf.DUMMYFUNCTION("""COMPUTED_VALUE"""),"Mt. Eden High School")</f>
        <v>Mt. Eden High School</v>
      </c>
      <c r="G869" s="1">
        <f ca="1">IFERROR(__xludf.DUMMYFUNCTION("""COMPUTED_VALUE"""),0)</f>
        <v>0</v>
      </c>
      <c r="H869" s="1">
        <f ca="1">IFERROR(__xludf.DUMMYFUNCTION("""COMPUTED_VALUE"""),0)</f>
        <v>0</v>
      </c>
      <c r="I869" s="1">
        <f ca="1">IFERROR(__xludf.DUMMYFUNCTION("""COMPUTED_VALUE"""),0)</f>
        <v>0</v>
      </c>
      <c r="J869" s="1">
        <f ca="1">IFERROR(__xludf.DUMMYFUNCTION("""COMPUTED_VALUE"""),0)</f>
        <v>0</v>
      </c>
      <c r="K869" s="1" t="str">
        <f ca="1">IFERROR(__xludf.DUMMYFUNCTION("""COMPUTED_VALUE"""),"Fall")</f>
        <v>Fall</v>
      </c>
      <c r="L869" s="1" t="str">
        <f ca="1">IFERROR(__xludf.DUMMYFUNCTION("""COMPUTED_VALUE"""),"Hayward")</f>
        <v>Hayward</v>
      </c>
      <c r="M869" s="1" t="str">
        <f ca="1">IFERROR(__xludf.DUMMYFUNCTION("""COMPUTED_VALUE"""),"CA")</f>
        <v>CA</v>
      </c>
      <c r="N869" s="1" t="str">
        <f ca="1">IFERROR(__xludf.DUMMYFUNCTION("""COMPUTED_VALUE"""),"High")</f>
        <v>High</v>
      </c>
      <c r="O869" s="1" t="str">
        <f ca="1">IFERROR(__xludf.DUMMYFUNCTION("""COMPUTED_VALUE"""),"Front of School")</f>
        <v>Front of School</v>
      </c>
      <c r="P869" s="1" t="str">
        <f ca="1">IFERROR(__xludf.DUMMYFUNCTION("""COMPUTED_VALUE"""),"Outside on School Property")</f>
        <v>Outside on School Property</v>
      </c>
      <c r="Q869" s="1" t="str">
        <f ca="1">IFERROR(__xludf.DUMMYFUNCTION("""COMPUTED_VALUE"""),"Yes")</f>
        <v>Yes</v>
      </c>
      <c r="R869" s="1" t="str">
        <f ca="1">IFERROR(__xludf.DUMMYFUNCTION("""COMPUTED_VALUE"""),"School Start")</f>
        <v>School Start</v>
      </c>
      <c r="S869" s="5">
        <f ca="1">IFERROR(__xludf.DUMMYFUNCTION("""COMPUTED_VALUE"""),0.375)</f>
        <v>0.375</v>
      </c>
      <c r="T869" s="1">
        <f ca="1">IFERROR(__xludf.DUMMYFUNCTION("""COMPUTED_VALUE"""),1)</f>
        <v>1</v>
      </c>
      <c r="U869" s="1" t="str">
        <f ca="1">IFERROR(__xludf.DUMMYFUNCTION("""COMPUTED_VALUE"""),"Teen fired shots a vehicle on campus, fled, and then attempted to re-enter school with handgun")</f>
        <v>Teen fired shots a vehicle on campus, fled, and then attempted to re-enter school with handgun</v>
      </c>
      <c r="V869" s="1" t="str">
        <f ca="1">IFERROR(__xludf.DUMMYFUNCTION("""COMPUTED_VALUE"""),"A 16-year-old student fired shots at a vehicle on the school campus and then fled the area. The school was notified and given description of the shooter. A few minutes later, the shooter was spotted on campus and arrested with a handgun.")</f>
        <v>A 16-year-old student fired shots at a vehicle on the school campus and then fled the area. The school was notified and given description of the shooter. A few minutes later, the shooter was spotted on campus and arrested with a handgun.</v>
      </c>
      <c r="W869" s="1"/>
      <c r="X869" s="1" t="str">
        <f ca="1">IFERROR(__xludf.DUMMYFUNCTION("""COMPUTED_VALUE"""),"Victims Targeted")</f>
        <v>Victims Targeted</v>
      </c>
      <c r="Y869" s="1" t="str">
        <f ca="1">IFERROR(__xludf.DUMMYFUNCTION("""COMPUTED_VALUE"""),"No")</f>
        <v>No</v>
      </c>
      <c r="Z869" s="1"/>
      <c r="AA869" s="1" t="str">
        <f ca="1">IFERROR(__xludf.DUMMYFUNCTION("""COMPUTED_VALUE"""),"No")</f>
        <v>No</v>
      </c>
      <c r="AB869" s="1" t="str">
        <f ca="1">IFERROR(__xludf.DUMMYFUNCTION("""COMPUTED_VALUE"""),"No")</f>
        <v>No</v>
      </c>
      <c r="AC869" s="1" t="str">
        <f ca="1">IFERROR(__xludf.DUMMYFUNCTION("""COMPUTED_VALUE"""),"No")</f>
        <v>No</v>
      </c>
      <c r="AD869" s="1" t="str">
        <f ca="1">IFERROR(__xludf.DUMMYFUNCTION("""COMPUTED_VALUE"""),"No")</f>
        <v>No</v>
      </c>
      <c r="AE869" s="1" t="str">
        <f ca="1">IFERROR(__xludf.DUMMYFUNCTION("""COMPUTED_VALUE"""),"No")</f>
        <v>No</v>
      </c>
      <c r="AF869" s="1"/>
      <c r="AG869" s="1" t="str">
        <f ca="1">IFERROR(__xludf.DUMMYFUNCTION("""COMPUTED_VALUE"""),"No")</f>
        <v>No</v>
      </c>
      <c r="AH869" s="1"/>
    </row>
    <row r="870" spans="1:34" ht="12.5">
      <c r="A870" s="1" t="str">
        <f ca="1">IFERROR(__xludf.DUMMYFUNCTION("""COMPUTED_VALUE"""),"20210903CABUB")</f>
        <v>20210903CABUB</v>
      </c>
      <c r="B870" s="1">
        <f ca="1">IFERROR(__xludf.DUMMYFUNCTION("""COMPUTED_VALUE"""),9)</f>
        <v>9</v>
      </c>
      <c r="C870" s="1">
        <f ca="1">IFERROR(__xludf.DUMMYFUNCTION("""COMPUTED_VALUE"""),3)</f>
        <v>3</v>
      </c>
      <c r="D870" s="1">
        <f ca="1">IFERROR(__xludf.DUMMYFUNCTION("""COMPUTED_VALUE"""),2021)</f>
        <v>2021</v>
      </c>
      <c r="E870" s="4">
        <f ca="1">IFERROR(__xludf.DUMMYFUNCTION("""COMPUTED_VALUE"""),44442)</f>
        <v>44442</v>
      </c>
      <c r="F870" s="1" t="str">
        <f ca="1">IFERROR(__xludf.DUMMYFUNCTION("""COMPUTED_VALUE"""),"Buena Park School District Bus")</f>
        <v>Buena Park School District Bus</v>
      </c>
      <c r="G870" s="1">
        <f ca="1">IFERROR(__xludf.DUMMYFUNCTION("""COMPUTED_VALUE"""),0)</f>
        <v>0</v>
      </c>
      <c r="H870" s="1">
        <f ca="1">IFERROR(__xludf.DUMMYFUNCTION("""COMPUTED_VALUE"""),0)</f>
        <v>0</v>
      </c>
      <c r="I870" s="1">
        <f ca="1">IFERROR(__xludf.DUMMYFUNCTION("""COMPUTED_VALUE"""),0)</f>
        <v>0</v>
      </c>
      <c r="J870" s="1">
        <f ca="1">IFERROR(__xludf.DUMMYFUNCTION("""COMPUTED_VALUE"""),1)</f>
        <v>1</v>
      </c>
      <c r="K870" s="1" t="str">
        <f ca="1">IFERROR(__xludf.DUMMYFUNCTION("""COMPUTED_VALUE"""),"Fall")</f>
        <v>Fall</v>
      </c>
      <c r="L870" s="1" t="str">
        <f ca="1">IFERROR(__xludf.DUMMYFUNCTION("""COMPUTED_VALUE"""),"Buena Park")</f>
        <v>Buena Park</v>
      </c>
      <c r="M870" s="1" t="str">
        <f ca="1">IFERROR(__xludf.DUMMYFUNCTION("""COMPUTED_VALUE"""),"CA")</f>
        <v>CA</v>
      </c>
      <c r="N870" s="1"/>
      <c r="O870" s="1" t="str">
        <f ca="1">IFERROR(__xludf.DUMMYFUNCTION("""COMPUTED_VALUE"""),"School Bus")</f>
        <v>School Bus</v>
      </c>
      <c r="P870" s="1" t="str">
        <f ca="1">IFERROR(__xludf.DUMMYFUNCTION("""COMPUTED_VALUE"""),"School Bus")</f>
        <v>School Bus</v>
      </c>
      <c r="Q870" s="1" t="str">
        <f ca="1">IFERROR(__xludf.DUMMYFUNCTION("""COMPUTED_VALUE"""),"Yes")</f>
        <v>Yes</v>
      </c>
      <c r="R870" s="1" t="str">
        <f ca="1">IFERROR(__xludf.DUMMYFUNCTION("""COMPUTED_VALUE"""),"Dismissal")</f>
        <v>Dismissal</v>
      </c>
      <c r="S870" s="5">
        <f ca="1">IFERROR(__xludf.DUMMYFUNCTION("""COMPUTED_VALUE"""),0.581944444444444)</f>
        <v>0.58194444444444404</v>
      </c>
      <c r="T870" s="1">
        <f ca="1">IFERROR(__xludf.DUMMYFUNCTION("""COMPUTED_VALUE"""),1)</f>
        <v>1</v>
      </c>
      <c r="U870" s="1" t="str">
        <f ca="1">IFERROR(__xludf.DUMMYFUNCTION("""COMPUTED_VALUE"""),"Man fired shot at occupied school bus, attempting to kill wife (bus driver)")</f>
        <v>Man fired shot at occupied school bus, attempting to kill wife (bus driver)</v>
      </c>
      <c r="V870" s="1" t="str">
        <f ca="1">IFERROR(__xludf.DUMMYFUNCTION("""COMPUTED_VALUE"""),"A man fired multiple shots from his vehicle at an occupied school bus. An officer witnessed the shooting and pursued the vehicle. After a brief chase, the bus crashed through a locked gate onto school district property. The officer fired shots at the arme"&amp;"d driver and fatally struck him. The shooter was attempting to kill his estranged wife who was the bus driver. A student was on the bus during the shooting. Driver active domestic violence restraining order against the shooter.")</f>
        <v>A man fired multiple shots from his vehicle at an occupied school bus. An officer witnessed the shooting and pursued the vehicle. After a brief chase, the bus crashed through a locked gate onto school district property. The officer fired shots at the armed driver and fatally struck him. The shooter was attempting to kill his estranged wife who was the bus driver. A student was on the bus during the shooting. Driver active domestic violence restraining order against the shooter.</v>
      </c>
      <c r="W870" s="1" t="str">
        <f ca="1">IFERROR(__xludf.DUMMYFUNCTION("""COMPUTED_VALUE"""),"Domestic w/ Targeted Victim")</f>
        <v>Domestic w/ Targeted Victim</v>
      </c>
      <c r="X870" s="1" t="str">
        <f ca="1">IFERROR(__xludf.DUMMYFUNCTION("""COMPUTED_VALUE"""),"Victims Targeted")</f>
        <v>Victims Targeted</v>
      </c>
      <c r="Y870" s="1" t="str">
        <f ca="1">IFERROR(__xludf.DUMMYFUNCTION("""COMPUTED_VALUE"""),"No")</f>
        <v>No</v>
      </c>
      <c r="Z870" s="1"/>
      <c r="AA870" s="1" t="str">
        <f ca="1">IFERROR(__xludf.DUMMYFUNCTION("""COMPUTED_VALUE"""),"No")</f>
        <v>No</v>
      </c>
      <c r="AB870" s="1" t="str">
        <f ca="1">IFERROR(__xludf.DUMMYFUNCTION("""COMPUTED_VALUE"""),"No")</f>
        <v>No</v>
      </c>
      <c r="AC870" s="1" t="str">
        <f ca="1">IFERROR(__xludf.DUMMYFUNCTION("""COMPUTED_VALUE"""),"No")</f>
        <v>No</v>
      </c>
      <c r="AD870" s="1" t="str">
        <f ca="1">IFERROR(__xludf.DUMMYFUNCTION("""COMPUTED_VALUE"""),"No")</f>
        <v>No</v>
      </c>
      <c r="AE870" s="1" t="str">
        <f ca="1">IFERROR(__xludf.DUMMYFUNCTION("""COMPUTED_VALUE"""),"Yes")</f>
        <v>Yes</v>
      </c>
      <c r="AF870" s="1" t="str">
        <f ca="1">IFERROR(__xludf.DUMMYFUNCTION("""COMPUTED_VALUE"""),"No")</f>
        <v>No</v>
      </c>
      <c r="AG870" s="1" t="str">
        <f ca="1">IFERROR(__xludf.DUMMYFUNCTION("""COMPUTED_VALUE"""),"No")</f>
        <v>No</v>
      </c>
      <c r="AH870" s="1"/>
    </row>
    <row r="871" spans="1:34" ht="12.5">
      <c r="A871" s="1" t="str">
        <f ca="1">IFERROR(__xludf.DUMMYFUNCTION("""COMPUTED_VALUE"""),"20210902NMALA")</f>
        <v>20210902NMALA</v>
      </c>
      <c r="B871" s="1">
        <f ca="1">IFERROR(__xludf.DUMMYFUNCTION("""COMPUTED_VALUE"""),9)</f>
        <v>9</v>
      </c>
      <c r="C871" s="1">
        <f ca="1">IFERROR(__xludf.DUMMYFUNCTION("""COMPUTED_VALUE"""),2)</f>
        <v>2</v>
      </c>
      <c r="D871" s="1">
        <f ca="1">IFERROR(__xludf.DUMMYFUNCTION("""COMPUTED_VALUE"""),2021)</f>
        <v>2021</v>
      </c>
      <c r="E871" s="4">
        <f ca="1">IFERROR(__xludf.DUMMYFUNCTION("""COMPUTED_VALUE"""),44441)</f>
        <v>44441</v>
      </c>
      <c r="F871" s="1" t="str">
        <f ca="1">IFERROR(__xludf.DUMMYFUNCTION("""COMPUTED_VALUE"""),"Albuquerque Christ Lutheran Church and School")</f>
        <v>Albuquerque Christ Lutheran Church and School</v>
      </c>
      <c r="G871" s="1">
        <f ca="1">IFERROR(__xludf.DUMMYFUNCTION("""COMPUTED_VALUE"""),0)</f>
        <v>0</v>
      </c>
      <c r="H871" s="1">
        <f ca="1">IFERROR(__xludf.DUMMYFUNCTION("""COMPUTED_VALUE"""),0)</f>
        <v>0</v>
      </c>
      <c r="I871" s="1">
        <f ca="1">IFERROR(__xludf.DUMMYFUNCTION("""COMPUTED_VALUE"""),0)</f>
        <v>0</v>
      </c>
      <c r="J871" s="1">
        <f ca="1">IFERROR(__xludf.DUMMYFUNCTION("""COMPUTED_VALUE"""),0)</f>
        <v>0</v>
      </c>
      <c r="K871" s="1" t="str">
        <f ca="1">IFERROR(__xludf.DUMMYFUNCTION("""COMPUTED_VALUE"""),"Fall")</f>
        <v>Fall</v>
      </c>
      <c r="L871" s="1" t="str">
        <f ca="1">IFERROR(__xludf.DUMMYFUNCTION("""COMPUTED_VALUE"""),"Albuquerque")</f>
        <v>Albuquerque</v>
      </c>
      <c r="M871" s="1" t="str">
        <f ca="1">IFERROR(__xludf.DUMMYFUNCTION("""COMPUTED_VALUE"""),"NM")</f>
        <v>NM</v>
      </c>
      <c r="N871" s="1" t="str">
        <f ca="1">IFERROR(__xludf.DUMMYFUNCTION("""COMPUTED_VALUE"""),"K-8")</f>
        <v>K-8</v>
      </c>
      <c r="O871" s="1" t="str">
        <f ca="1">IFERROR(__xludf.DUMMYFUNCTION("""COMPUTED_VALUE"""),"Parking Lot")</f>
        <v>Parking Lot</v>
      </c>
      <c r="P871" s="1" t="str">
        <f ca="1">IFERROR(__xludf.DUMMYFUNCTION("""COMPUTED_VALUE"""),"Outside on School Property")</f>
        <v>Outside on School Property</v>
      </c>
      <c r="Q871" s="1" t="str">
        <f ca="1">IFERROR(__xludf.DUMMYFUNCTION("""COMPUTED_VALUE"""),"Yes")</f>
        <v>Yes</v>
      </c>
      <c r="R871" s="1" t="str">
        <f ca="1">IFERROR(__xludf.DUMMYFUNCTION("""COMPUTED_VALUE"""),"Lunch")</f>
        <v>Lunch</v>
      </c>
      <c r="S871" s="5">
        <f ca="1">IFERROR(__xludf.DUMMYFUNCTION("""COMPUTED_VALUE"""),0.520833333333333)</f>
        <v>0.52083333333333304</v>
      </c>
      <c r="T871" s="1">
        <f ca="1">IFERROR(__xludf.DUMMYFUNCTION("""COMPUTED_VALUE"""),1)</f>
        <v>1</v>
      </c>
      <c r="U871" s="1" t="str">
        <f ca="1">IFERROR(__xludf.DUMMYFUNCTION("""COMPUTED_VALUE"""),"Student fired shots at vehicle in the parking lot")</f>
        <v>Student fired shots at vehicle in the parking lot</v>
      </c>
      <c r="V871" s="1" t="str">
        <f ca="1">IFERROR(__xludf.DUMMYFUNCTION("""COMPUTED_VALUE"""),"A 16-year-old student at Sandia High School walked across the street to Christ Lutheran School to engage a group of teens who were coming to fight him. Teen fired multiple shots at a vehicle. Someone also fired from the vehicle at the teen. Shooter was sh"&amp;"ot in the leg. Shooter was transported to hospital in a personal vehicle. Gunshots were heard at the high school and the building went into lockdown. Shooter was known to carry a weapon on a regular basis.")</f>
        <v>A 16-year-old student at Sandia High School walked across the street to Christ Lutheran School to engage a group of teens who were coming to fight him. Teen fired multiple shots at a vehicle. Someone also fired from the vehicle at the teen. Shooter was shot in the leg. Shooter was transported to hospital in a personal vehicle. Gunshots were heard at the high school and the building went into lockdown. Shooter was known to carry a weapon on a regular basis.</v>
      </c>
      <c r="W871" s="1" t="str">
        <f ca="1">IFERROR(__xludf.DUMMYFUNCTION("""COMPUTED_VALUE"""),"Escalation of Dispute")</f>
        <v>Escalation of Dispute</v>
      </c>
      <c r="X871" s="1" t="str">
        <f ca="1">IFERROR(__xludf.DUMMYFUNCTION("""COMPUTED_VALUE"""),"Victims Targeted")</f>
        <v>Victims Targeted</v>
      </c>
      <c r="Y871" s="1" t="str">
        <f ca="1">IFERROR(__xludf.DUMMYFUNCTION("""COMPUTED_VALUE"""),"No")</f>
        <v>No</v>
      </c>
      <c r="Z871" s="1"/>
      <c r="AA871" s="1" t="str">
        <f ca="1">IFERROR(__xludf.DUMMYFUNCTION("""COMPUTED_VALUE"""),"No")</f>
        <v>No</v>
      </c>
      <c r="AB871" s="1" t="str">
        <f ca="1">IFERROR(__xludf.DUMMYFUNCTION("""COMPUTED_VALUE"""),"No")</f>
        <v>No</v>
      </c>
      <c r="AC871" s="1" t="str">
        <f ca="1">IFERROR(__xludf.DUMMYFUNCTION("""COMPUTED_VALUE"""),"No")</f>
        <v>No</v>
      </c>
      <c r="AD871" s="1" t="str">
        <f ca="1">IFERROR(__xludf.DUMMYFUNCTION("""COMPUTED_VALUE"""),"No")</f>
        <v>No</v>
      </c>
      <c r="AE871" s="1" t="str">
        <f ca="1">IFERROR(__xludf.DUMMYFUNCTION("""COMPUTED_VALUE"""),"No")</f>
        <v>No</v>
      </c>
      <c r="AF871" s="1"/>
      <c r="AG871" s="1" t="str">
        <f ca="1">IFERROR(__xludf.DUMMYFUNCTION("""COMPUTED_VALUE"""),"No")</f>
        <v>No</v>
      </c>
      <c r="AH871" s="1"/>
    </row>
    <row r="872" spans="1:34" ht="12.5">
      <c r="A872" s="1" t="str">
        <f ca="1">IFERROR(__xludf.DUMMYFUNCTION("""COMPUTED_VALUE"""),"20210902INWEG")</f>
        <v>20210902INWEG</v>
      </c>
      <c r="B872" s="1">
        <f ca="1">IFERROR(__xludf.DUMMYFUNCTION("""COMPUTED_VALUE"""),9)</f>
        <v>9</v>
      </c>
      <c r="C872" s="1">
        <f ca="1">IFERROR(__xludf.DUMMYFUNCTION("""COMPUTED_VALUE"""),2)</f>
        <v>2</v>
      </c>
      <c r="D872" s="1">
        <f ca="1">IFERROR(__xludf.DUMMYFUNCTION("""COMPUTED_VALUE"""),2021)</f>
        <v>2021</v>
      </c>
      <c r="E872" s="4">
        <f ca="1">IFERROR(__xludf.DUMMYFUNCTION("""COMPUTED_VALUE"""),44441)</f>
        <v>44441</v>
      </c>
      <c r="F872" s="1" t="str">
        <f ca="1">IFERROR(__xludf.DUMMYFUNCTION("""COMPUTED_VALUE"""),"West Side Leadership Academy")</f>
        <v>West Side Leadership Academy</v>
      </c>
      <c r="G872" s="1">
        <f ca="1">IFERROR(__xludf.DUMMYFUNCTION("""COMPUTED_VALUE"""),0)</f>
        <v>0</v>
      </c>
      <c r="H872" s="1">
        <f ca="1">IFERROR(__xludf.DUMMYFUNCTION("""COMPUTED_VALUE"""),1)</f>
        <v>1</v>
      </c>
      <c r="I872" s="1">
        <f ca="1">IFERROR(__xludf.DUMMYFUNCTION("""COMPUTED_VALUE"""),1)</f>
        <v>1</v>
      </c>
      <c r="J872" s="1">
        <f ca="1">IFERROR(__xludf.DUMMYFUNCTION("""COMPUTED_VALUE"""),0)</f>
        <v>0</v>
      </c>
      <c r="K872" s="1" t="str">
        <f ca="1">IFERROR(__xludf.DUMMYFUNCTION("""COMPUTED_VALUE"""),"Fall")</f>
        <v>Fall</v>
      </c>
      <c r="L872" s="1" t="str">
        <f ca="1">IFERROR(__xludf.DUMMYFUNCTION("""COMPUTED_VALUE"""),"Gary")</f>
        <v>Gary</v>
      </c>
      <c r="M872" s="1" t="str">
        <f ca="1">IFERROR(__xludf.DUMMYFUNCTION("""COMPUTED_VALUE"""),"IN")</f>
        <v>IN</v>
      </c>
      <c r="N872" s="1" t="str">
        <f ca="1">IFERROR(__xludf.DUMMYFUNCTION("""COMPUTED_VALUE"""),"High")</f>
        <v>High</v>
      </c>
      <c r="O872" s="1" t="str">
        <f ca="1">IFERROR(__xludf.DUMMYFUNCTION("""COMPUTED_VALUE"""),"School Bus")</f>
        <v>School Bus</v>
      </c>
      <c r="P872" s="1" t="str">
        <f ca="1">IFERROR(__xludf.DUMMYFUNCTION("""COMPUTED_VALUE"""),"School Bus")</f>
        <v>School Bus</v>
      </c>
      <c r="Q872" s="1" t="str">
        <f ca="1">IFERROR(__xludf.DUMMYFUNCTION("""COMPUTED_VALUE"""),"Yes")</f>
        <v>Yes</v>
      </c>
      <c r="R872" s="1" t="str">
        <f ca="1">IFERROR(__xludf.DUMMYFUNCTION("""COMPUTED_VALUE"""),"Dismissal")</f>
        <v>Dismissal</v>
      </c>
      <c r="S872" s="5">
        <f ca="1">IFERROR(__xludf.DUMMYFUNCTION("""COMPUTED_VALUE"""),0.625)</f>
        <v>0.625</v>
      </c>
      <c r="T872" s="1">
        <f ca="1">IFERROR(__xludf.DUMMYFUNCTION("""COMPUTED_VALUE"""),1)</f>
        <v>1</v>
      </c>
      <c r="U872" s="1" t="str">
        <f ca="1">IFERROR(__xludf.DUMMYFUNCTION("""COMPUTED_VALUE"""),"Student shot getting off school bus")</f>
        <v>Student shot getting off school bus</v>
      </c>
      <c r="V872" s="1" t="str">
        <f ca="1">IFERROR(__xludf.DUMMYFUNCTION("""COMPUTED_VALUE"""),"A vehicle trailed a school bus at dismissal. When a student got off the bus, someone got out of the vehicle, shot him, and fled the scene. The school switched back to remote learning following the shooting to develop a new security plan.")</f>
        <v>A vehicle trailed a school bus at dismissal. When a student got off the bus, someone got out of the vehicle, shot him, and fled the scene. The school switched back to remote learning following the shooting to develop a new security plan.</v>
      </c>
      <c r="W872" s="1" t="str">
        <f ca="1">IFERROR(__xludf.DUMMYFUNCTION("""COMPUTED_VALUE"""),"Murder/Assassination")</f>
        <v>Murder/Assassination</v>
      </c>
      <c r="X872" s="1" t="str">
        <f ca="1">IFERROR(__xludf.DUMMYFUNCTION("""COMPUTED_VALUE"""),"Victims Targeted")</f>
        <v>Victims Targeted</v>
      </c>
      <c r="Y872" s="1" t="str">
        <f ca="1">IFERROR(__xludf.DUMMYFUNCTION("""COMPUTED_VALUE"""),"No")</f>
        <v>No</v>
      </c>
      <c r="Z872" s="1"/>
      <c r="AA872" s="1" t="str">
        <f ca="1">IFERROR(__xludf.DUMMYFUNCTION("""COMPUTED_VALUE"""),"No")</f>
        <v>No</v>
      </c>
      <c r="AB872" s="1" t="str">
        <f ca="1">IFERROR(__xludf.DUMMYFUNCTION("""COMPUTED_VALUE"""),"No")</f>
        <v>No</v>
      </c>
      <c r="AC872" s="1" t="str">
        <f ca="1">IFERROR(__xludf.DUMMYFUNCTION("""COMPUTED_VALUE"""),"No")</f>
        <v>No</v>
      </c>
      <c r="AD872" s="1" t="str">
        <f ca="1">IFERROR(__xludf.DUMMYFUNCTION("""COMPUTED_VALUE"""),"No")</f>
        <v>No</v>
      </c>
      <c r="AE872" s="1" t="str">
        <f ca="1">IFERROR(__xludf.DUMMYFUNCTION("""COMPUTED_VALUE"""),"No")</f>
        <v>No</v>
      </c>
      <c r="AF872" s="1"/>
      <c r="AG872" s="1" t="str">
        <f ca="1">IFERROR(__xludf.DUMMYFUNCTION("""COMPUTED_VALUE"""),"No")</f>
        <v>No</v>
      </c>
      <c r="AH872" s="1"/>
    </row>
    <row r="873" spans="1:34" ht="12.5">
      <c r="A873" s="1" t="str">
        <f ca="1">IFERROR(__xludf.DUMMYFUNCTION("""COMPUTED_VALUE"""),"20210902GAWOS")</f>
        <v>20210902GAWOS</v>
      </c>
      <c r="B873" s="1">
        <f ca="1">IFERROR(__xludf.DUMMYFUNCTION("""COMPUTED_VALUE"""),9)</f>
        <v>9</v>
      </c>
      <c r="C873" s="1">
        <f ca="1">IFERROR(__xludf.DUMMYFUNCTION("""COMPUTED_VALUE"""),2)</f>
        <v>2</v>
      </c>
      <c r="D873" s="1">
        <f ca="1">IFERROR(__xludf.DUMMYFUNCTION("""COMPUTED_VALUE"""),2021)</f>
        <v>2021</v>
      </c>
      <c r="E873" s="4">
        <f ca="1">IFERROR(__xludf.DUMMYFUNCTION("""COMPUTED_VALUE"""),44441)</f>
        <v>44441</v>
      </c>
      <c r="F873" s="1" t="str">
        <f ca="1">IFERROR(__xludf.DUMMYFUNCTION("""COMPUTED_VALUE"""),"Woodland High School")</f>
        <v>Woodland High School</v>
      </c>
      <c r="G873" s="1">
        <f ca="1">IFERROR(__xludf.DUMMYFUNCTION("""COMPUTED_VALUE"""),0)</f>
        <v>0</v>
      </c>
      <c r="H873" s="1">
        <f ca="1">IFERROR(__xludf.DUMMYFUNCTION("""COMPUTED_VALUE"""),0)</f>
        <v>0</v>
      </c>
      <c r="I873" s="1">
        <f ca="1">IFERROR(__xludf.DUMMYFUNCTION("""COMPUTED_VALUE"""),0)</f>
        <v>0</v>
      </c>
      <c r="J873" s="1">
        <f ca="1">IFERROR(__xludf.DUMMYFUNCTION("""COMPUTED_VALUE"""),0)</f>
        <v>0</v>
      </c>
      <c r="K873" s="1" t="str">
        <f ca="1">IFERROR(__xludf.DUMMYFUNCTION("""COMPUTED_VALUE"""),"Fall")</f>
        <v>Fall</v>
      </c>
      <c r="L873" s="1" t="str">
        <f ca="1">IFERROR(__xludf.DUMMYFUNCTION("""COMPUTED_VALUE"""),"Stockbridge")</f>
        <v>Stockbridge</v>
      </c>
      <c r="M873" s="1" t="str">
        <f ca="1">IFERROR(__xludf.DUMMYFUNCTION("""COMPUTED_VALUE"""),"GA")</f>
        <v>GA</v>
      </c>
      <c r="N873" s="1" t="str">
        <f ca="1">IFERROR(__xludf.DUMMYFUNCTION("""COMPUTED_VALUE"""),"High")</f>
        <v>High</v>
      </c>
      <c r="O873" s="1" t="str">
        <f ca="1">IFERROR(__xludf.DUMMYFUNCTION("""COMPUTED_VALUE"""),"Outside on School Property")</f>
        <v>Outside on School Property</v>
      </c>
      <c r="P873" s="1" t="str">
        <f ca="1">IFERROR(__xludf.DUMMYFUNCTION("""COMPUTED_VALUE"""),"Outside on School Property")</f>
        <v>Outside on School Property</v>
      </c>
      <c r="Q873" s="1" t="str">
        <f ca="1">IFERROR(__xludf.DUMMYFUNCTION("""COMPUTED_VALUE"""),"Yes")</f>
        <v>Yes</v>
      </c>
      <c r="R873" s="1" t="str">
        <f ca="1">IFERROR(__xludf.DUMMYFUNCTION("""COMPUTED_VALUE"""),"Morning Classes")</f>
        <v>Morning Classes</v>
      </c>
      <c r="S873" s="5">
        <f ca="1">IFERROR(__xludf.DUMMYFUNCTION("""COMPUTED_VALUE"""),0.4375)</f>
        <v>0.4375</v>
      </c>
      <c r="T873" s="1"/>
      <c r="U873" s="1" t="str">
        <f ca="1">IFERROR(__xludf.DUMMYFUNCTION("""COMPUTED_VALUE"""),"Man outside of school waving gun, school locked down")</f>
        <v>Man outside of school waving gun, school locked down</v>
      </c>
      <c r="V873" s="1" t="str">
        <f ca="1">IFERROR(__xludf.DUMMYFUNCTION("""COMPUTED_VALUE"""),"An adult male was walking around the outside of the school waving a handgun. School went on lockdown and police were dispatched for an active shooter. Police arrested the man and recovered a handgun. No shots were fired. He was under the influence of narc"&amp;"otics at the time of the incident. School was locked down for 3.5 hours and then dismissed.")</f>
        <v>An adult male was walking around the outside of the school waving a handgun. School went on lockdown and police were dispatched for an active shooter. Police arrested the man and recovered a handgun. No shots were fired. He was under the influence of narcotics at the time of the incident. School was locked down for 3.5 hours and then dismissed.</v>
      </c>
      <c r="W873" s="1" t="str">
        <f ca="1">IFERROR(__xludf.DUMMYFUNCTION("""COMPUTED_VALUE"""),"Illegal Activity")</f>
        <v>Illegal Activity</v>
      </c>
      <c r="X873" s="1" t="str">
        <f ca="1">IFERROR(__xludf.DUMMYFUNCTION("""COMPUTED_VALUE"""),"Neither")</f>
        <v>Neither</v>
      </c>
      <c r="Y873" s="1" t="str">
        <f ca="1">IFERROR(__xludf.DUMMYFUNCTION("""COMPUTED_VALUE"""),"No")</f>
        <v>No</v>
      </c>
      <c r="Z873" s="1"/>
      <c r="AA873" s="1" t="str">
        <f ca="1">IFERROR(__xludf.DUMMYFUNCTION("""COMPUTED_VALUE"""),"No")</f>
        <v>No</v>
      </c>
      <c r="AB873" s="1" t="str">
        <f ca="1">IFERROR(__xludf.DUMMYFUNCTION("""COMPUTED_VALUE"""),"No")</f>
        <v>No</v>
      </c>
      <c r="AC873" s="1" t="str">
        <f ca="1">IFERROR(__xludf.DUMMYFUNCTION("""COMPUTED_VALUE"""),"No")</f>
        <v>No</v>
      </c>
      <c r="AD873" s="1" t="str">
        <f ca="1">IFERROR(__xludf.DUMMYFUNCTION("""COMPUTED_VALUE"""),"No")</f>
        <v>No</v>
      </c>
      <c r="AE873" s="1" t="str">
        <f ca="1">IFERROR(__xludf.DUMMYFUNCTION("""COMPUTED_VALUE"""),"No")</f>
        <v>No</v>
      </c>
      <c r="AF873" s="1" t="str">
        <f ca="1">IFERROR(__xludf.DUMMYFUNCTION("""COMPUTED_VALUE"""),"No")</f>
        <v>No</v>
      </c>
      <c r="AG873" s="1" t="str">
        <f ca="1">IFERROR(__xludf.DUMMYFUNCTION("""COMPUTED_VALUE"""),"No")</f>
        <v>No</v>
      </c>
      <c r="AH873" s="1">
        <f ca="1">IFERROR(__xludf.DUMMYFUNCTION("""COMPUTED_VALUE"""),0)</f>
        <v>0</v>
      </c>
    </row>
    <row r="874" spans="1:34" ht="12.5">
      <c r="A874" s="1" t="str">
        <f ca="1">IFERROR(__xludf.DUMMYFUNCTION("""COMPUTED_VALUE"""),"20210902CASAL")</f>
        <v>20210902CASAL</v>
      </c>
      <c r="B874" s="1">
        <f ca="1">IFERROR(__xludf.DUMMYFUNCTION("""COMPUTED_VALUE"""),9)</f>
        <v>9</v>
      </c>
      <c r="C874" s="1">
        <f ca="1">IFERROR(__xludf.DUMMYFUNCTION("""COMPUTED_VALUE"""),2)</f>
        <v>2</v>
      </c>
      <c r="D874" s="1">
        <f ca="1">IFERROR(__xludf.DUMMYFUNCTION("""COMPUTED_VALUE"""),2021)</f>
        <v>2021</v>
      </c>
      <c r="E874" s="4">
        <f ca="1">IFERROR(__xludf.DUMMYFUNCTION("""COMPUTED_VALUE"""),44441)</f>
        <v>44441</v>
      </c>
      <c r="F874" s="1" t="str">
        <f ca="1">IFERROR(__xludf.DUMMYFUNCTION("""COMPUTED_VALUE"""),"Santee High School")</f>
        <v>Santee High School</v>
      </c>
      <c r="G874" s="1">
        <f ca="1">IFERROR(__xludf.DUMMYFUNCTION("""COMPUTED_VALUE"""),0)</f>
        <v>0</v>
      </c>
      <c r="H874" s="1">
        <f ca="1">IFERROR(__xludf.DUMMYFUNCTION("""COMPUTED_VALUE"""),2)</f>
        <v>2</v>
      </c>
      <c r="I874" s="1">
        <f ca="1">IFERROR(__xludf.DUMMYFUNCTION("""COMPUTED_VALUE"""),2)</f>
        <v>2</v>
      </c>
      <c r="J874" s="1">
        <f ca="1">IFERROR(__xludf.DUMMYFUNCTION("""COMPUTED_VALUE"""),0)</f>
        <v>0</v>
      </c>
      <c r="K874" s="1" t="str">
        <f ca="1">IFERROR(__xludf.DUMMYFUNCTION("""COMPUTED_VALUE"""),"Fall")</f>
        <v>Fall</v>
      </c>
      <c r="L874" s="1" t="str">
        <f ca="1">IFERROR(__xludf.DUMMYFUNCTION("""COMPUTED_VALUE"""),"Los Angeles")</f>
        <v>Los Angeles</v>
      </c>
      <c r="M874" s="1" t="str">
        <f ca="1">IFERROR(__xludf.DUMMYFUNCTION("""COMPUTED_VALUE"""),"CA")</f>
        <v>CA</v>
      </c>
      <c r="N874" s="1" t="str">
        <f ca="1">IFERROR(__xludf.DUMMYFUNCTION("""COMPUTED_VALUE"""),"High")</f>
        <v>High</v>
      </c>
      <c r="O874" s="1" t="str">
        <f ca="1">IFERROR(__xludf.DUMMYFUNCTION("""COMPUTED_VALUE"""),"Football Field/Track")</f>
        <v>Football Field/Track</v>
      </c>
      <c r="P874" s="1" t="str">
        <f ca="1">IFERROR(__xludf.DUMMYFUNCTION("""COMPUTED_VALUE"""),"Outside on School Property")</f>
        <v>Outside on School Property</v>
      </c>
      <c r="Q874" s="1" t="str">
        <f ca="1">IFERROR(__xludf.DUMMYFUNCTION("""COMPUTED_VALUE"""),"Yes")</f>
        <v>Yes</v>
      </c>
      <c r="R874" s="1" t="str">
        <f ca="1">IFERROR(__xludf.DUMMYFUNCTION("""COMPUTED_VALUE"""),"Afternoon Classes")</f>
        <v>Afternoon Classes</v>
      </c>
      <c r="S874" s="5">
        <f ca="1">IFERROR(__xludf.DUMMYFUNCTION("""COMPUTED_VALUE"""),0.583333333333333)</f>
        <v>0.58333333333333304</v>
      </c>
      <c r="T874" s="1">
        <f ca="1">IFERROR(__xludf.DUMMYFUNCTION("""COMPUTED_VALUE"""),1)</f>
        <v>1</v>
      </c>
      <c r="U874" s="1" t="str">
        <f ca="1">IFERROR(__xludf.DUMMYFUNCTION("""COMPUTED_VALUE"""),"Two students shot during fight on football field")</f>
        <v>Two students shot during fight on football field</v>
      </c>
      <c r="V874" s="1" t="str">
        <f ca="1">IFERROR(__xludf.DUMMYFUNCTION("""COMPUTED_VALUE"""),"Two teens were shot during a fight on the football field of the school during afternoon classes. The high school and a neighboring primary school were locked down while police searched for the shooter. A teenage victim was found on the football field and "&amp;"a second victim was found on the street near the school. Shooter fled the scene and was arrested 12 days later. Police are still searching for multiple co-conspirators.")</f>
        <v>Two teens were shot during a fight on the football field of the school during afternoon classes. The high school and a neighboring primary school were locked down while police searched for the shooter. A teenage victim was found on the football field and a second victim was found on the street near the school. Shooter fled the scene and was arrested 12 days later. Police are still searching for multiple co-conspirators.</v>
      </c>
      <c r="W874" s="1" t="str">
        <f ca="1">IFERROR(__xludf.DUMMYFUNCTION("""COMPUTED_VALUE"""),"Escalation of Dispute")</f>
        <v>Escalation of Dispute</v>
      </c>
      <c r="X874" s="1" t="str">
        <f ca="1">IFERROR(__xludf.DUMMYFUNCTION("""COMPUTED_VALUE"""),"Both")</f>
        <v>Both</v>
      </c>
      <c r="Y874" s="1" t="str">
        <f ca="1">IFERROR(__xludf.DUMMYFUNCTION("""COMPUTED_VALUE"""),"Yes")</f>
        <v>Yes</v>
      </c>
      <c r="Z874" s="1" t="str">
        <f ca="1">IFERROR(__xludf.DUMMYFUNCTION("""COMPUTED_VALUE"""),"Multiple co conspirators")</f>
        <v>Multiple co conspirators</v>
      </c>
      <c r="AA874" s="1" t="str">
        <f ca="1">IFERROR(__xludf.DUMMYFUNCTION("""COMPUTED_VALUE"""),"No")</f>
        <v>No</v>
      </c>
      <c r="AB874" s="1" t="str">
        <f ca="1">IFERROR(__xludf.DUMMYFUNCTION("""COMPUTED_VALUE"""),"No")</f>
        <v>No</v>
      </c>
      <c r="AC874" s="1" t="str">
        <f ca="1">IFERROR(__xludf.DUMMYFUNCTION("""COMPUTED_VALUE"""),"No")</f>
        <v>No</v>
      </c>
      <c r="AD874" s="1" t="str">
        <f ca="1">IFERROR(__xludf.DUMMYFUNCTION("""COMPUTED_VALUE"""),"No")</f>
        <v>No</v>
      </c>
      <c r="AE874" s="1" t="str">
        <f ca="1">IFERROR(__xludf.DUMMYFUNCTION("""COMPUTED_VALUE"""),"No")</f>
        <v>No</v>
      </c>
      <c r="AF874" s="1"/>
      <c r="AG874" s="1" t="str">
        <f ca="1">IFERROR(__xludf.DUMMYFUNCTION("""COMPUTED_VALUE"""),"No")</f>
        <v>No</v>
      </c>
      <c r="AH874" s="1"/>
    </row>
    <row r="875" spans="1:34" ht="12.5">
      <c r="A875" s="1" t="str">
        <f ca="1">IFERROR(__xludf.DUMMYFUNCTION("""COMPUTED_VALUE"""),"20210902ARLIL")</f>
        <v>20210902ARLIL</v>
      </c>
      <c r="B875" s="1">
        <f ca="1">IFERROR(__xludf.DUMMYFUNCTION("""COMPUTED_VALUE"""),9)</f>
        <v>9</v>
      </c>
      <c r="C875" s="1">
        <f ca="1">IFERROR(__xludf.DUMMYFUNCTION("""COMPUTED_VALUE"""),2)</f>
        <v>2</v>
      </c>
      <c r="D875" s="1">
        <f ca="1">IFERROR(__xludf.DUMMYFUNCTION("""COMPUTED_VALUE"""),2021)</f>
        <v>2021</v>
      </c>
      <c r="E875" s="4">
        <f ca="1">IFERROR(__xludf.DUMMYFUNCTION("""COMPUTED_VALUE"""),44441)</f>
        <v>44441</v>
      </c>
      <c r="F875" s="1" t="str">
        <f ca="1">IFERROR(__xludf.DUMMYFUNCTION("""COMPUTED_VALUE"""),"Little Rock Central High School")</f>
        <v>Little Rock Central High School</v>
      </c>
      <c r="G875" s="1">
        <f ca="1">IFERROR(__xludf.DUMMYFUNCTION("""COMPUTED_VALUE"""),0)</f>
        <v>0</v>
      </c>
      <c r="H875" s="1">
        <f ca="1">IFERROR(__xludf.DUMMYFUNCTION("""COMPUTED_VALUE"""),0)</f>
        <v>0</v>
      </c>
      <c r="I875" s="1">
        <f ca="1">IFERROR(__xludf.DUMMYFUNCTION("""COMPUTED_VALUE"""),0)</f>
        <v>0</v>
      </c>
      <c r="J875" s="1">
        <f ca="1">IFERROR(__xludf.DUMMYFUNCTION("""COMPUTED_VALUE"""),0)</f>
        <v>0</v>
      </c>
      <c r="K875" s="1" t="str">
        <f ca="1">IFERROR(__xludf.DUMMYFUNCTION("""COMPUTED_VALUE"""),"Fall")</f>
        <v>Fall</v>
      </c>
      <c r="L875" s="1" t="str">
        <f ca="1">IFERROR(__xludf.DUMMYFUNCTION("""COMPUTED_VALUE"""),"Little Rock")</f>
        <v>Little Rock</v>
      </c>
      <c r="M875" s="1" t="str">
        <f ca="1">IFERROR(__xludf.DUMMYFUNCTION("""COMPUTED_VALUE"""),"AR")</f>
        <v>AR</v>
      </c>
      <c r="N875" s="1" t="str">
        <f ca="1">IFERROR(__xludf.DUMMYFUNCTION("""COMPUTED_VALUE"""),"High")</f>
        <v>High</v>
      </c>
      <c r="O875" s="1" t="str">
        <f ca="1">IFERROR(__xludf.DUMMYFUNCTION("""COMPUTED_VALUE"""),"Front of School")</f>
        <v>Front of School</v>
      </c>
      <c r="P875" s="1" t="str">
        <f ca="1">IFERROR(__xludf.DUMMYFUNCTION("""COMPUTED_VALUE"""),"Outside on School Property")</f>
        <v>Outside on School Property</v>
      </c>
      <c r="Q875" s="1" t="str">
        <f ca="1">IFERROR(__xludf.DUMMYFUNCTION("""COMPUTED_VALUE"""),"Yes")</f>
        <v>Yes</v>
      </c>
      <c r="R875" s="1" t="str">
        <f ca="1">IFERROR(__xludf.DUMMYFUNCTION("""COMPUTED_VALUE"""),"School Start")</f>
        <v>School Start</v>
      </c>
      <c r="S875" s="5">
        <f ca="1">IFERROR(__xludf.DUMMYFUNCTION("""COMPUTED_VALUE"""),0.333333333333333)</f>
        <v>0.33333333333333298</v>
      </c>
      <c r="T875" s="1">
        <f ca="1">IFERROR(__xludf.DUMMYFUNCTION("""COMPUTED_VALUE"""),1)</f>
        <v>1</v>
      </c>
      <c r="U875" s="1" t="str">
        <f ca="1">IFERROR(__xludf.DUMMYFUNCTION("""COMPUTED_VALUE"""),"Parent of student brandished gun during fight in front of school")</f>
        <v>Parent of student brandished gun during fight in front of school</v>
      </c>
      <c r="V875" s="1" t="str">
        <f ca="1">IFERROR(__xludf.DUMMYFUNCTION("""COMPUTED_VALUE"""),"Parent pulled a gun during a large fight between multiple students in front of the school. The SRO quickly responded and took the parent into custody. School was not locked down. Parent charged with multiple felonies.")</f>
        <v>Parent pulled a gun during a large fight between multiple students in front of the school. The SRO quickly responded and took the parent into custody. School was not locked down. Parent charged with multiple felonies.</v>
      </c>
      <c r="W875" s="1" t="str">
        <f ca="1">IFERROR(__xludf.DUMMYFUNCTION("""COMPUTED_VALUE"""),"Escalation of Dispute")</f>
        <v>Escalation of Dispute</v>
      </c>
      <c r="X875" s="1" t="str">
        <f ca="1">IFERROR(__xludf.DUMMYFUNCTION("""COMPUTED_VALUE"""),"Neither")</f>
        <v>Neither</v>
      </c>
      <c r="Y875" s="1" t="str">
        <f ca="1">IFERROR(__xludf.DUMMYFUNCTION("""COMPUTED_VALUE"""),"No")</f>
        <v>No</v>
      </c>
      <c r="Z875" s="1"/>
      <c r="AA875" s="1" t="str">
        <f ca="1">IFERROR(__xludf.DUMMYFUNCTION("""COMPUTED_VALUE"""),"No")</f>
        <v>No</v>
      </c>
      <c r="AB875" s="1" t="str">
        <f ca="1">IFERROR(__xludf.DUMMYFUNCTION("""COMPUTED_VALUE"""),"No")</f>
        <v>No</v>
      </c>
      <c r="AC875" s="1" t="str">
        <f ca="1">IFERROR(__xludf.DUMMYFUNCTION("""COMPUTED_VALUE"""),"No")</f>
        <v>No</v>
      </c>
      <c r="AD875" s="1" t="str">
        <f ca="1">IFERROR(__xludf.DUMMYFUNCTION("""COMPUTED_VALUE"""),"No")</f>
        <v>No</v>
      </c>
      <c r="AE875" s="1" t="str">
        <f ca="1">IFERROR(__xludf.DUMMYFUNCTION("""COMPUTED_VALUE"""),"No")</f>
        <v>No</v>
      </c>
      <c r="AF875" s="1" t="str">
        <f ca="1">IFERROR(__xludf.DUMMYFUNCTION("""COMPUTED_VALUE"""),"No")</f>
        <v>No</v>
      </c>
      <c r="AG875" s="1" t="str">
        <f ca="1">IFERROR(__xludf.DUMMYFUNCTION("""COMPUTED_VALUE"""),"No")</f>
        <v>No</v>
      </c>
      <c r="AH875" s="1">
        <f ca="1">IFERROR(__xludf.DUMMYFUNCTION("""COMPUTED_VALUE"""),0)</f>
        <v>0</v>
      </c>
    </row>
    <row r="876" spans="1:34" ht="12.5">
      <c r="A876" s="1" t="str">
        <f ca="1">IFERROR(__xludf.DUMMYFUNCTION("""COMPUTED_VALUE"""),"20210901NCMTW")</f>
        <v>20210901NCMTW</v>
      </c>
      <c r="B876" s="1">
        <f ca="1">IFERROR(__xludf.DUMMYFUNCTION("""COMPUTED_VALUE"""),9)</f>
        <v>9</v>
      </c>
      <c r="C876" s="1">
        <f ca="1">IFERROR(__xludf.DUMMYFUNCTION("""COMPUTED_VALUE"""),1)</f>
        <v>1</v>
      </c>
      <c r="D876" s="1">
        <f ca="1">IFERROR(__xludf.DUMMYFUNCTION("""COMPUTED_VALUE"""),2021)</f>
        <v>2021</v>
      </c>
      <c r="E876" s="4">
        <f ca="1">IFERROR(__xludf.DUMMYFUNCTION("""COMPUTED_VALUE"""),44440)</f>
        <v>44440</v>
      </c>
      <c r="F876" s="1" t="str">
        <f ca="1">IFERROR(__xludf.DUMMYFUNCTION("""COMPUTED_VALUE"""),"Mt. Tabor High School")</f>
        <v>Mt. Tabor High School</v>
      </c>
      <c r="G876" s="1">
        <f ca="1">IFERROR(__xludf.DUMMYFUNCTION("""COMPUTED_VALUE"""),1)</f>
        <v>1</v>
      </c>
      <c r="H876" s="1">
        <f ca="1">IFERROR(__xludf.DUMMYFUNCTION("""COMPUTED_VALUE"""),0)</f>
        <v>0</v>
      </c>
      <c r="I876" s="1">
        <f ca="1">IFERROR(__xludf.DUMMYFUNCTION("""COMPUTED_VALUE"""),1)</f>
        <v>1</v>
      </c>
      <c r="J876" s="1">
        <f ca="1">IFERROR(__xludf.DUMMYFUNCTION("""COMPUTED_VALUE"""),0)</f>
        <v>0</v>
      </c>
      <c r="K876" s="1" t="str">
        <f ca="1">IFERROR(__xludf.DUMMYFUNCTION("""COMPUTED_VALUE"""),"Fall")</f>
        <v>Fall</v>
      </c>
      <c r="L876" s="1" t="str">
        <f ca="1">IFERROR(__xludf.DUMMYFUNCTION("""COMPUTED_VALUE"""),"Winston-Salem")</f>
        <v>Winston-Salem</v>
      </c>
      <c r="M876" s="1" t="str">
        <f ca="1">IFERROR(__xludf.DUMMYFUNCTION("""COMPUTED_VALUE"""),"NC")</f>
        <v>NC</v>
      </c>
      <c r="N876" s="1" t="str">
        <f ca="1">IFERROR(__xludf.DUMMYFUNCTION("""COMPUTED_VALUE"""),"High")</f>
        <v>High</v>
      </c>
      <c r="O876" s="1" t="str">
        <f ca="1">IFERROR(__xludf.DUMMYFUNCTION("""COMPUTED_VALUE"""),"Hallway")</f>
        <v>Hallway</v>
      </c>
      <c r="P876" s="1" t="str">
        <f ca="1">IFERROR(__xludf.DUMMYFUNCTION("""COMPUTED_VALUE"""),"Inside School Building")</f>
        <v>Inside School Building</v>
      </c>
      <c r="Q876" s="1" t="str">
        <f ca="1">IFERROR(__xludf.DUMMYFUNCTION("""COMPUTED_VALUE"""),"Yes")</f>
        <v>Yes</v>
      </c>
      <c r="R876" s="1" t="str">
        <f ca="1">IFERROR(__xludf.DUMMYFUNCTION("""COMPUTED_VALUE"""),"Lunch")</f>
        <v>Lunch</v>
      </c>
      <c r="S876" s="5">
        <f ca="1">IFERROR(__xludf.DUMMYFUNCTION("""COMPUTED_VALUE"""),0.504861111111111)</f>
        <v>0.50486111111111098</v>
      </c>
      <c r="T876" s="1">
        <f ca="1">IFERROR(__xludf.DUMMYFUNCTION("""COMPUTED_VALUE"""),1)</f>
        <v>1</v>
      </c>
      <c r="U876" s="1" t="str">
        <f ca="1">IFERROR(__xludf.DUMMYFUNCTION("""COMPUTED_VALUE"""),"Student shot another student inside the school and fled the area")</f>
        <v>Student shot another student inside the school and fled the area</v>
      </c>
      <c r="V876" s="1" t="str">
        <f ca="1">IFERROR(__xludf.DUMMYFUNCTION("""COMPUTED_VALUE"""),"A 15-year-old student fatally shot another 15-year-old student in the hallway. Shooter fled the scene and was arrested 6 hours later. SRO responded and school was locked down. Police active shooter response locked down area and students were evacuated by "&amp;"officers to another location. Police have not released details on motive or other circumstances.")</f>
        <v>A 15-year-old student fatally shot another 15-year-old student in the hallway. Shooter fled the scene and was arrested 6 hours later. SRO responded and school was locked down. Police active shooter response locked down area and students were evacuated by officers to another location. Police have not released details on motive or other circumstances.</v>
      </c>
      <c r="W876" s="1"/>
      <c r="X876" s="1" t="str">
        <f ca="1">IFERROR(__xludf.DUMMYFUNCTION("""COMPUTED_VALUE"""),"Victims Targeted")</f>
        <v>Victims Targeted</v>
      </c>
      <c r="Y876" s="1"/>
      <c r="Z876" s="1"/>
      <c r="AA876" s="1" t="str">
        <f ca="1">IFERROR(__xludf.DUMMYFUNCTION("""COMPUTED_VALUE"""),"No")</f>
        <v>No</v>
      </c>
      <c r="AB876" s="1" t="str">
        <f ca="1">IFERROR(__xludf.DUMMYFUNCTION("""COMPUTED_VALUE"""),"No")</f>
        <v>No</v>
      </c>
      <c r="AC876" s="1" t="str">
        <f ca="1">IFERROR(__xludf.DUMMYFUNCTION("""COMPUTED_VALUE"""),"No")</f>
        <v>No</v>
      </c>
      <c r="AD876" s="1"/>
      <c r="AE876" s="1" t="str">
        <f ca="1">IFERROR(__xludf.DUMMYFUNCTION("""COMPUTED_VALUE"""),"No")</f>
        <v>No</v>
      </c>
      <c r="AF876" s="1" t="str">
        <f ca="1">IFERROR(__xludf.DUMMYFUNCTION("""COMPUTED_VALUE"""),"No")</f>
        <v>No</v>
      </c>
      <c r="AG876" s="1" t="str">
        <f ca="1">IFERROR(__xludf.DUMMYFUNCTION("""COMPUTED_VALUE"""),"No")</f>
        <v>No</v>
      </c>
      <c r="AH876" s="1"/>
    </row>
    <row r="877" spans="1:34" ht="12.5">
      <c r="A877" s="1" t="str">
        <f ca="1">IFERROR(__xludf.DUMMYFUNCTION("""COMPUTED_VALUE"""),"20210901ILFRC")</f>
        <v>20210901ILFRC</v>
      </c>
      <c r="B877" s="1">
        <f ca="1">IFERROR(__xludf.DUMMYFUNCTION("""COMPUTED_VALUE"""),9)</f>
        <v>9</v>
      </c>
      <c r="C877" s="1">
        <f ca="1">IFERROR(__xludf.DUMMYFUNCTION("""COMPUTED_VALUE"""),1)</f>
        <v>1</v>
      </c>
      <c r="D877" s="1">
        <f ca="1">IFERROR(__xludf.DUMMYFUNCTION("""COMPUTED_VALUE"""),2021)</f>
        <v>2021</v>
      </c>
      <c r="E877" s="4">
        <f ca="1">IFERROR(__xludf.DUMMYFUNCTION("""COMPUTED_VALUE"""),44440)</f>
        <v>44440</v>
      </c>
      <c r="F877" s="1" t="str">
        <f ca="1">IFERROR(__xludf.DUMMYFUNCTION("""COMPUTED_VALUE"""),"Frazier International Magnet School")</f>
        <v>Frazier International Magnet School</v>
      </c>
      <c r="G877" s="1">
        <f ca="1">IFERROR(__xludf.DUMMYFUNCTION("""COMPUTED_VALUE"""),1)</f>
        <v>1</v>
      </c>
      <c r="H877" s="1">
        <f ca="1">IFERROR(__xludf.DUMMYFUNCTION("""COMPUTED_VALUE"""),0)</f>
        <v>0</v>
      </c>
      <c r="I877" s="1">
        <f ca="1">IFERROR(__xludf.DUMMYFUNCTION("""COMPUTED_VALUE"""),1)</f>
        <v>1</v>
      </c>
      <c r="J877" s="1">
        <f ca="1">IFERROR(__xludf.DUMMYFUNCTION("""COMPUTED_VALUE"""),0)</f>
        <v>0</v>
      </c>
      <c r="K877" s="1" t="str">
        <f ca="1">IFERROR(__xludf.DUMMYFUNCTION("""COMPUTED_VALUE"""),"Fall")</f>
        <v>Fall</v>
      </c>
      <c r="L877" s="1" t="str">
        <f ca="1">IFERROR(__xludf.DUMMYFUNCTION("""COMPUTED_VALUE"""),"Chicago")</f>
        <v>Chicago</v>
      </c>
      <c r="M877" s="1" t="str">
        <f ca="1">IFERROR(__xludf.DUMMYFUNCTION("""COMPUTED_VALUE"""),"IL")</f>
        <v>IL</v>
      </c>
      <c r="N877" s="1" t="str">
        <f ca="1">IFERROR(__xludf.DUMMYFUNCTION("""COMPUTED_VALUE"""),"Elementary")</f>
        <v>Elementary</v>
      </c>
      <c r="O877" s="1" t="str">
        <f ca="1">IFERROR(__xludf.DUMMYFUNCTION("""COMPUTED_VALUE"""),"Front of School")</f>
        <v>Front of School</v>
      </c>
      <c r="P877" s="1" t="str">
        <f ca="1">IFERROR(__xludf.DUMMYFUNCTION("""COMPUTED_VALUE"""),"Outside on School Property")</f>
        <v>Outside on School Property</v>
      </c>
      <c r="Q877" s="1" t="str">
        <f ca="1">IFERROR(__xludf.DUMMYFUNCTION("""COMPUTED_VALUE"""),"No")</f>
        <v>No</v>
      </c>
      <c r="R877" s="1" t="str">
        <f ca="1">IFERROR(__xludf.DUMMYFUNCTION("""COMPUTED_VALUE"""),"Before School")</f>
        <v>Before School</v>
      </c>
      <c r="S877" s="5">
        <f ca="1">IFERROR(__xludf.DUMMYFUNCTION("""COMPUTED_VALUE"""),0.21875)</f>
        <v>0.21875</v>
      </c>
      <c r="T877" s="1">
        <f ca="1">IFERROR(__xludf.DUMMYFUNCTION("""COMPUTED_VALUE"""),1)</f>
        <v>1</v>
      </c>
      <c r="U877" s="1" t="str">
        <f ca="1">IFERROR(__xludf.DUMMYFUNCTION("""COMPUTED_VALUE"""),"Adult man fatally shot in front of the school")</f>
        <v>Adult man fatally shot in front of the school</v>
      </c>
      <c r="V877" s="1" t="str">
        <f ca="1">IFERROR(__xludf.DUMMYFUNCTION("""COMPUTED_VALUE"""),"A 41-year-old man was shot multiple times in front the school prior to opening. Parents were advised to use the rear door of the school due to the homicide investigation in front of the building.")</f>
        <v>A 41-year-old man was shot multiple times in front the school prior to opening. Parents were advised to use the rear door of the school due to the homicide investigation in front of the building.</v>
      </c>
      <c r="W877" s="1"/>
      <c r="X877" s="1" t="str">
        <f ca="1">IFERROR(__xludf.DUMMYFUNCTION("""COMPUTED_VALUE"""),"Victims Targeted")</f>
        <v>Victims Targeted</v>
      </c>
      <c r="Y877" s="1" t="str">
        <f ca="1">IFERROR(__xludf.DUMMYFUNCTION("""COMPUTED_VALUE"""),"No")</f>
        <v>No</v>
      </c>
      <c r="Z877" s="1"/>
      <c r="AA877" s="1" t="str">
        <f ca="1">IFERROR(__xludf.DUMMYFUNCTION("""COMPUTED_VALUE"""),"No")</f>
        <v>No</v>
      </c>
      <c r="AB877" s="1" t="str">
        <f ca="1">IFERROR(__xludf.DUMMYFUNCTION("""COMPUTED_VALUE"""),"No")</f>
        <v>No</v>
      </c>
      <c r="AC877" s="1" t="str">
        <f ca="1">IFERROR(__xludf.DUMMYFUNCTION("""COMPUTED_VALUE"""),"No")</f>
        <v>No</v>
      </c>
      <c r="AD877" s="1" t="str">
        <f ca="1">IFERROR(__xludf.DUMMYFUNCTION("""COMPUTED_VALUE"""),"No")</f>
        <v>No</v>
      </c>
      <c r="AE877" s="1" t="str">
        <f ca="1">IFERROR(__xludf.DUMMYFUNCTION("""COMPUTED_VALUE"""),"No")</f>
        <v>No</v>
      </c>
      <c r="AF877" s="1"/>
      <c r="AG877" s="1" t="str">
        <f ca="1">IFERROR(__xludf.DUMMYFUNCTION("""COMPUTED_VALUE"""),"No")</f>
        <v>No</v>
      </c>
      <c r="AH877" s="1"/>
    </row>
    <row r="878" spans="1:34" ht="12.5">
      <c r="A878" s="1" t="str">
        <f ca="1">IFERROR(__xludf.DUMMYFUNCTION("""COMPUTED_VALUE"""),"20210830NJWEN")</f>
        <v>20210830NJWEN</v>
      </c>
      <c r="B878" s="1">
        <f ca="1">IFERROR(__xludf.DUMMYFUNCTION("""COMPUTED_VALUE"""),8)</f>
        <v>8</v>
      </c>
      <c r="C878" s="1">
        <f ca="1">IFERROR(__xludf.DUMMYFUNCTION("""COMPUTED_VALUE"""),30)</f>
        <v>30</v>
      </c>
      <c r="D878" s="1">
        <f ca="1">IFERROR(__xludf.DUMMYFUNCTION("""COMPUTED_VALUE"""),2021)</f>
        <v>2021</v>
      </c>
      <c r="E878" s="4">
        <f ca="1">IFERROR(__xludf.DUMMYFUNCTION("""COMPUTED_VALUE"""),44438)</f>
        <v>44438</v>
      </c>
      <c r="F878" s="1" t="str">
        <f ca="1">IFERROR(__xludf.DUMMYFUNCTION("""COMPUTED_VALUE"""),"West Side High School")</f>
        <v>West Side High School</v>
      </c>
      <c r="G878" s="1">
        <f ca="1">IFERROR(__xludf.DUMMYFUNCTION("""COMPUTED_VALUE"""),1)</f>
        <v>1</v>
      </c>
      <c r="H878" s="1">
        <f ca="1">IFERROR(__xludf.DUMMYFUNCTION("""COMPUTED_VALUE"""),0)</f>
        <v>0</v>
      </c>
      <c r="I878" s="1">
        <f ca="1">IFERROR(__xludf.DUMMYFUNCTION("""COMPUTED_VALUE"""),1)</f>
        <v>1</v>
      </c>
      <c r="J878" s="1">
        <f ca="1">IFERROR(__xludf.DUMMYFUNCTION("""COMPUTED_VALUE"""),0)</f>
        <v>0</v>
      </c>
      <c r="K878" s="1" t="str">
        <f ca="1">IFERROR(__xludf.DUMMYFUNCTION("""COMPUTED_VALUE"""),"Fall")</f>
        <v>Fall</v>
      </c>
      <c r="L878" s="1" t="str">
        <f ca="1">IFERROR(__xludf.DUMMYFUNCTION("""COMPUTED_VALUE"""),"Newark")</f>
        <v>Newark</v>
      </c>
      <c r="M878" s="1" t="str">
        <f ca="1">IFERROR(__xludf.DUMMYFUNCTION("""COMPUTED_VALUE"""),"NJ")</f>
        <v>NJ</v>
      </c>
      <c r="N878" s="1" t="str">
        <f ca="1">IFERROR(__xludf.DUMMYFUNCTION("""COMPUTED_VALUE"""),"High")</f>
        <v>High</v>
      </c>
      <c r="O878" s="1" t="str">
        <f ca="1">IFERROR(__xludf.DUMMYFUNCTION("""COMPUTED_VALUE"""),"Front of School")</f>
        <v>Front of School</v>
      </c>
      <c r="P878" s="1" t="str">
        <f ca="1">IFERROR(__xludf.DUMMYFUNCTION("""COMPUTED_VALUE"""),"Outside on School Property")</f>
        <v>Outside on School Property</v>
      </c>
      <c r="Q878" s="1" t="str">
        <f ca="1">IFERROR(__xludf.DUMMYFUNCTION("""COMPUTED_VALUE"""),"Yes")</f>
        <v>Yes</v>
      </c>
      <c r="R878" s="1" t="str">
        <f ca="1">IFERROR(__xludf.DUMMYFUNCTION("""COMPUTED_VALUE"""),"Evening")</f>
        <v>Evening</v>
      </c>
      <c r="S878" s="5">
        <f ca="1">IFERROR(__xludf.DUMMYFUNCTION("""COMPUTED_VALUE"""),0.854166666666666)</f>
        <v>0.85416666666666596</v>
      </c>
      <c r="T878" s="1">
        <f ca="1">IFERROR(__xludf.DUMMYFUNCTION("""COMPUTED_VALUE"""),1)</f>
        <v>1</v>
      </c>
      <c r="U878" s="1" t="str">
        <f ca="1">IFERROR(__xludf.DUMMYFUNCTION("""COMPUTED_VALUE"""),"Teen fatally shot leaving night program at the school")</f>
        <v>Teen fatally shot leaving night program at the school</v>
      </c>
      <c r="V878" s="1" t="str">
        <f ca="1">IFERROR(__xludf.DUMMYFUNCTION("""COMPUTED_VALUE"""),"A teenage student was fatally shot leaving a night program at the school. He was shot multiple times in front of the school and ran 1/2 block before collapsing in the street. Shooter fled.")</f>
        <v>A teenage student was fatally shot leaving a night program at the school. He was shot multiple times in front of the school and ran 1/2 block before collapsing in the street. Shooter fled.</v>
      </c>
      <c r="W878" s="1"/>
      <c r="X878" s="1" t="str">
        <f ca="1">IFERROR(__xludf.DUMMYFUNCTION("""COMPUTED_VALUE"""),"Victims Targeted")</f>
        <v>Victims Targeted</v>
      </c>
      <c r="Y878" s="1" t="str">
        <f ca="1">IFERROR(__xludf.DUMMYFUNCTION("""COMPUTED_VALUE"""),"No")</f>
        <v>No</v>
      </c>
      <c r="Z878" s="1"/>
      <c r="AA878" s="1" t="str">
        <f ca="1">IFERROR(__xludf.DUMMYFUNCTION("""COMPUTED_VALUE"""),"No")</f>
        <v>No</v>
      </c>
      <c r="AB878" s="1" t="str">
        <f ca="1">IFERROR(__xludf.DUMMYFUNCTION("""COMPUTED_VALUE"""),"No")</f>
        <v>No</v>
      </c>
      <c r="AC878" s="1" t="str">
        <f ca="1">IFERROR(__xludf.DUMMYFUNCTION("""COMPUTED_VALUE"""),"No")</f>
        <v>No</v>
      </c>
      <c r="AD878" s="1" t="str">
        <f ca="1">IFERROR(__xludf.DUMMYFUNCTION("""COMPUTED_VALUE"""),"No")</f>
        <v>No</v>
      </c>
      <c r="AE878" s="1" t="str">
        <f ca="1">IFERROR(__xludf.DUMMYFUNCTION("""COMPUTED_VALUE"""),"No")</f>
        <v>No</v>
      </c>
      <c r="AF878" s="1"/>
      <c r="AG878" s="1" t="str">
        <f ca="1">IFERROR(__xludf.DUMMYFUNCTION("""COMPUTED_VALUE"""),"No")</f>
        <v>No</v>
      </c>
      <c r="AH878" s="1"/>
    </row>
    <row r="879" spans="1:34" ht="12.5">
      <c r="A879" s="1" t="str">
        <f ca="1">IFERROR(__xludf.DUMMYFUNCTION("""COMPUTED_VALUE"""),"20210830NCNEW")</f>
        <v>20210830NCNEW</v>
      </c>
      <c r="B879" s="1">
        <f ca="1">IFERROR(__xludf.DUMMYFUNCTION("""COMPUTED_VALUE"""),8)</f>
        <v>8</v>
      </c>
      <c r="C879" s="1">
        <f ca="1">IFERROR(__xludf.DUMMYFUNCTION("""COMPUTED_VALUE"""),30)</f>
        <v>30</v>
      </c>
      <c r="D879" s="1">
        <f ca="1">IFERROR(__xludf.DUMMYFUNCTION("""COMPUTED_VALUE"""),2021)</f>
        <v>2021</v>
      </c>
      <c r="E879" s="4">
        <f ca="1">IFERROR(__xludf.DUMMYFUNCTION("""COMPUTED_VALUE"""),44438)</f>
        <v>44438</v>
      </c>
      <c r="F879" s="1" t="str">
        <f ca="1">IFERROR(__xludf.DUMMYFUNCTION("""COMPUTED_VALUE"""),"New Hanover High School")</f>
        <v>New Hanover High School</v>
      </c>
      <c r="G879" s="1">
        <f ca="1">IFERROR(__xludf.DUMMYFUNCTION("""COMPUTED_VALUE"""),0)</f>
        <v>0</v>
      </c>
      <c r="H879" s="1">
        <f ca="1">IFERROR(__xludf.DUMMYFUNCTION("""COMPUTED_VALUE"""),1)</f>
        <v>1</v>
      </c>
      <c r="I879" s="1">
        <f ca="1">IFERROR(__xludf.DUMMYFUNCTION("""COMPUTED_VALUE"""),1)</f>
        <v>1</v>
      </c>
      <c r="J879" s="1">
        <f ca="1">IFERROR(__xludf.DUMMYFUNCTION("""COMPUTED_VALUE"""),0)</f>
        <v>0</v>
      </c>
      <c r="K879" s="1" t="str">
        <f ca="1">IFERROR(__xludf.DUMMYFUNCTION("""COMPUTED_VALUE"""),"Fall")</f>
        <v>Fall</v>
      </c>
      <c r="L879" s="1" t="str">
        <f ca="1">IFERROR(__xludf.DUMMYFUNCTION("""COMPUTED_VALUE"""),"Wilmington")</f>
        <v>Wilmington</v>
      </c>
      <c r="M879" s="1" t="str">
        <f ca="1">IFERROR(__xludf.DUMMYFUNCTION("""COMPUTED_VALUE"""),"NC")</f>
        <v>NC</v>
      </c>
      <c r="N879" s="1" t="str">
        <f ca="1">IFERROR(__xludf.DUMMYFUNCTION("""COMPUTED_VALUE"""),"High")</f>
        <v>High</v>
      </c>
      <c r="O879" s="1" t="str">
        <f ca="1">IFERROR(__xludf.DUMMYFUNCTION("""COMPUTED_VALUE"""),"Hallway")</f>
        <v>Hallway</v>
      </c>
      <c r="P879" s="1" t="str">
        <f ca="1">IFERROR(__xludf.DUMMYFUNCTION("""COMPUTED_VALUE"""),"Inside School Building")</f>
        <v>Inside School Building</v>
      </c>
      <c r="Q879" s="1" t="str">
        <f ca="1">IFERROR(__xludf.DUMMYFUNCTION("""COMPUTED_VALUE"""),"Yes")</f>
        <v>Yes</v>
      </c>
      <c r="R879" s="1" t="str">
        <f ca="1">IFERROR(__xludf.DUMMYFUNCTION("""COMPUTED_VALUE"""),"Morning Classes")</f>
        <v>Morning Classes</v>
      </c>
      <c r="S879" s="5">
        <f ca="1">IFERROR(__xludf.DUMMYFUNCTION("""COMPUTED_VALUE"""),0.475)</f>
        <v>0.47499999999999998</v>
      </c>
      <c r="T879" s="1">
        <f ca="1">IFERROR(__xludf.DUMMYFUNCTION("""COMPUTED_VALUE"""),1)</f>
        <v>1</v>
      </c>
      <c r="U879" s="1" t="str">
        <f ca="1">IFERROR(__xludf.DUMMYFUNCTION("""COMPUTED_VALUE"""),"Student shot during large fight in hallway")</f>
        <v>Student shot during large fight in hallway</v>
      </c>
      <c r="V879" s="1" t="str">
        <f ca="1">IFERROR(__xludf.DUMMYFUNCTION("""COMPUTED_VALUE"""),"Student shot during large fight in hallway")</f>
        <v>Student shot during large fight in hallway</v>
      </c>
      <c r="W879" s="1" t="str">
        <f ca="1">IFERROR(__xludf.DUMMYFUNCTION("""COMPUTED_VALUE"""),"Escalation of Dispute")</f>
        <v>Escalation of Dispute</v>
      </c>
      <c r="X879" s="1" t="str">
        <f ca="1">IFERROR(__xludf.DUMMYFUNCTION("""COMPUTED_VALUE"""),"Victims Targeted")</f>
        <v>Victims Targeted</v>
      </c>
      <c r="Y879" s="1" t="str">
        <f ca="1">IFERROR(__xludf.DUMMYFUNCTION("""COMPUTED_VALUE"""),"No")</f>
        <v>No</v>
      </c>
      <c r="Z879" s="1"/>
      <c r="AA879" s="1" t="str">
        <f ca="1">IFERROR(__xludf.DUMMYFUNCTION("""COMPUTED_VALUE"""),"No")</f>
        <v>No</v>
      </c>
      <c r="AB879" s="1" t="str">
        <f ca="1">IFERROR(__xludf.DUMMYFUNCTION("""COMPUTED_VALUE"""),"No")</f>
        <v>No</v>
      </c>
      <c r="AC879" s="1" t="str">
        <f ca="1">IFERROR(__xludf.DUMMYFUNCTION("""COMPUTED_VALUE"""),"No")</f>
        <v>No</v>
      </c>
      <c r="AD879" s="1" t="str">
        <f ca="1">IFERROR(__xludf.DUMMYFUNCTION("""COMPUTED_VALUE"""),"Yes")</f>
        <v>Yes</v>
      </c>
      <c r="AE879" s="1" t="str">
        <f ca="1">IFERROR(__xludf.DUMMYFUNCTION("""COMPUTED_VALUE"""),"No")</f>
        <v>No</v>
      </c>
      <c r="AF879" s="1" t="str">
        <f ca="1">IFERROR(__xludf.DUMMYFUNCTION("""COMPUTED_VALUE"""),"No")</f>
        <v>No</v>
      </c>
      <c r="AG879" s="1" t="str">
        <f ca="1">IFERROR(__xludf.DUMMYFUNCTION("""COMPUTED_VALUE"""),"No")</f>
        <v>No</v>
      </c>
      <c r="AH879" s="1"/>
    </row>
    <row r="880" spans="1:34" ht="12.5">
      <c r="A880" s="1" t="str">
        <f ca="1">IFERROR(__xludf.DUMMYFUNCTION("""COMPUTED_VALUE"""),"20210830MDNEO")</f>
        <v>20210830MDNEO</v>
      </c>
      <c r="B880" s="1">
        <f ca="1">IFERROR(__xludf.DUMMYFUNCTION("""COMPUTED_VALUE"""),8)</f>
        <v>8</v>
      </c>
      <c r="C880" s="1">
        <f ca="1">IFERROR(__xludf.DUMMYFUNCTION("""COMPUTED_VALUE"""),30)</f>
        <v>30</v>
      </c>
      <c r="D880" s="1">
        <f ca="1">IFERROR(__xludf.DUMMYFUNCTION("""COMPUTED_VALUE"""),2021)</f>
        <v>2021</v>
      </c>
      <c r="E880" s="4">
        <f ca="1">IFERROR(__xludf.DUMMYFUNCTION("""COMPUTED_VALUE"""),44438)</f>
        <v>44438</v>
      </c>
      <c r="F880" s="1" t="str">
        <f ca="1">IFERROR(__xludf.DUMMYFUNCTION("""COMPUTED_VALUE"""),"New Town High School")</f>
        <v>New Town High School</v>
      </c>
      <c r="G880" s="1">
        <f ca="1">IFERROR(__xludf.DUMMYFUNCTION("""COMPUTED_VALUE"""),0)</f>
        <v>0</v>
      </c>
      <c r="H880" s="1">
        <f ca="1">IFERROR(__xludf.DUMMYFUNCTION("""COMPUTED_VALUE"""),0)</f>
        <v>0</v>
      </c>
      <c r="I880" s="1">
        <f ca="1">IFERROR(__xludf.DUMMYFUNCTION("""COMPUTED_VALUE"""),0)</f>
        <v>0</v>
      </c>
      <c r="J880" s="1">
        <f ca="1">IFERROR(__xludf.DUMMYFUNCTION("""COMPUTED_VALUE"""),0)</f>
        <v>0</v>
      </c>
      <c r="K880" s="1" t="str">
        <f ca="1">IFERROR(__xludf.DUMMYFUNCTION("""COMPUTED_VALUE"""),"Fall")</f>
        <v>Fall</v>
      </c>
      <c r="L880" s="1" t="str">
        <f ca="1">IFERROR(__xludf.DUMMYFUNCTION("""COMPUTED_VALUE"""),"Owings Mills")</f>
        <v>Owings Mills</v>
      </c>
      <c r="M880" s="1" t="str">
        <f ca="1">IFERROR(__xludf.DUMMYFUNCTION("""COMPUTED_VALUE"""),"MD")</f>
        <v>MD</v>
      </c>
      <c r="N880" s="1" t="str">
        <f ca="1">IFERROR(__xludf.DUMMYFUNCTION("""COMPUTED_VALUE"""),"High")</f>
        <v>High</v>
      </c>
      <c r="O880" s="1" t="str">
        <f ca="1">IFERROR(__xludf.DUMMYFUNCTION("""COMPUTED_VALUE"""),"Outside on School Property")</f>
        <v>Outside on School Property</v>
      </c>
      <c r="P880" s="1" t="str">
        <f ca="1">IFERROR(__xludf.DUMMYFUNCTION("""COMPUTED_VALUE"""),"Outside on School Property")</f>
        <v>Outside on School Property</v>
      </c>
      <c r="Q880" s="1" t="str">
        <f ca="1">IFERROR(__xludf.DUMMYFUNCTION("""COMPUTED_VALUE"""),"Yes")</f>
        <v>Yes</v>
      </c>
      <c r="R880" s="1" t="str">
        <f ca="1">IFERROR(__xludf.DUMMYFUNCTION("""COMPUTED_VALUE"""),"Dismissal")</f>
        <v>Dismissal</v>
      </c>
      <c r="S880" s="5">
        <f ca="1">IFERROR(__xludf.DUMMYFUNCTION("""COMPUTED_VALUE"""),0.625)</f>
        <v>0.625</v>
      </c>
      <c r="T880" s="1">
        <f ca="1">IFERROR(__xludf.DUMMYFUNCTION("""COMPUTED_VALUE"""),1)</f>
        <v>1</v>
      </c>
      <c r="U880" s="1" t="str">
        <f ca="1">IFERROR(__xludf.DUMMYFUNCTION("""COMPUTED_VALUE"""),"Adult male fired shots during fight outside the school")</f>
        <v>Adult male fired shots during fight outside the school</v>
      </c>
      <c r="V880" s="1" t="str">
        <f ca="1">IFERROR(__xludf.DUMMYFUNCTION("""COMPUTED_VALUE"""),"A 34-year-old male fired shots during a fight outside the school. No one was injured. Shooter was arrested.")</f>
        <v>A 34-year-old male fired shots during a fight outside the school. No one was injured. Shooter was arrested.</v>
      </c>
      <c r="W880" s="1" t="str">
        <f ca="1">IFERROR(__xludf.DUMMYFUNCTION("""COMPUTED_VALUE"""),"Escalation of Dispute")</f>
        <v>Escalation of Dispute</v>
      </c>
      <c r="X880" s="1" t="str">
        <f ca="1">IFERROR(__xludf.DUMMYFUNCTION("""COMPUTED_VALUE"""),"Neither")</f>
        <v>Neither</v>
      </c>
      <c r="Y880" s="1" t="str">
        <f ca="1">IFERROR(__xludf.DUMMYFUNCTION("""COMPUTED_VALUE"""),"No")</f>
        <v>No</v>
      </c>
      <c r="Z880" s="1"/>
      <c r="AA880" s="1" t="str">
        <f ca="1">IFERROR(__xludf.DUMMYFUNCTION("""COMPUTED_VALUE"""),"No")</f>
        <v>No</v>
      </c>
      <c r="AB880" s="1" t="str">
        <f ca="1">IFERROR(__xludf.DUMMYFUNCTION("""COMPUTED_VALUE"""),"No")</f>
        <v>No</v>
      </c>
      <c r="AC880" s="1" t="str">
        <f ca="1">IFERROR(__xludf.DUMMYFUNCTION("""COMPUTED_VALUE"""),"No")</f>
        <v>No</v>
      </c>
      <c r="AD880" s="1" t="str">
        <f ca="1">IFERROR(__xludf.DUMMYFUNCTION("""COMPUTED_VALUE"""),"No")</f>
        <v>No</v>
      </c>
      <c r="AE880" s="1" t="str">
        <f ca="1">IFERROR(__xludf.DUMMYFUNCTION("""COMPUTED_VALUE"""),"No")</f>
        <v>No</v>
      </c>
      <c r="AF880" s="1"/>
      <c r="AG880" s="1" t="str">
        <f ca="1">IFERROR(__xludf.DUMMYFUNCTION("""COMPUTED_VALUE"""),"No")</f>
        <v>No</v>
      </c>
      <c r="AH880" s="1"/>
    </row>
    <row r="881" spans="1:34" ht="12.5">
      <c r="A881" s="1" t="str">
        <f ca="1">IFERROR(__xludf.DUMMYFUNCTION("""COMPUTED_VALUE"""),"20210830FLOKW")</f>
        <v>20210830FLOKW</v>
      </c>
      <c r="B881" s="1">
        <f ca="1">IFERROR(__xludf.DUMMYFUNCTION("""COMPUTED_VALUE"""),8)</f>
        <v>8</v>
      </c>
      <c r="C881" s="1">
        <f ca="1">IFERROR(__xludf.DUMMYFUNCTION("""COMPUTED_VALUE"""),30)</f>
        <v>30</v>
      </c>
      <c r="D881" s="1">
        <f ca="1">IFERROR(__xludf.DUMMYFUNCTION("""COMPUTED_VALUE"""),2021)</f>
        <v>2021</v>
      </c>
      <c r="E881" s="4">
        <f ca="1">IFERROR(__xludf.DUMMYFUNCTION("""COMPUTED_VALUE"""),44438)</f>
        <v>44438</v>
      </c>
      <c r="F881" s="1" t="str">
        <f ca="1">IFERROR(__xludf.DUMMYFUNCTION("""COMPUTED_VALUE"""),"Okeeheelee Middle School")</f>
        <v>Okeeheelee Middle School</v>
      </c>
      <c r="G881" s="1">
        <f ca="1">IFERROR(__xludf.DUMMYFUNCTION("""COMPUTED_VALUE"""),0)</f>
        <v>0</v>
      </c>
      <c r="H881" s="1">
        <f ca="1">IFERROR(__xludf.DUMMYFUNCTION("""COMPUTED_VALUE"""),0)</f>
        <v>0</v>
      </c>
      <c r="I881" s="1">
        <f ca="1">IFERROR(__xludf.DUMMYFUNCTION("""COMPUTED_VALUE"""),0)</f>
        <v>0</v>
      </c>
      <c r="J881" s="1">
        <f ca="1">IFERROR(__xludf.DUMMYFUNCTION("""COMPUTED_VALUE"""),0)</f>
        <v>0</v>
      </c>
      <c r="K881" s="1" t="str">
        <f ca="1">IFERROR(__xludf.DUMMYFUNCTION("""COMPUTED_VALUE"""),"Fall")</f>
        <v>Fall</v>
      </c>
      <c r="L881" s="1" t="str">
        <f ca="1">IFERROR(__xludf.DUMMYFUNCTION("""COMPUTED_VALUE"""),"West Palm Beach")</f>
        <v>West Palm Beach</v>
      </c>
      <c r="M881" s="1" t="str">
        <f ca="1">IFERROR(__xludf.DUMMYFUNCTION("""COMPUTED_VALUE"""),"FL")</f>
        <v>FL</v>
      </c>
      <c r="N881" s="1" t="str">
        <f ca="1">IFERROR(__xludf.DUMMYFUNCTION("""COMPUTED_VALUE"""),"Middle")</f>
        <v>Middle</v>
      </c>
      <c r="O881" s="1" t="str">
        <f ca="1">IFERROR(__xludf.DUMMYFUNCTION("""COMPUTED_VALUE"""),"School Bus")</f>
        <v>School Bus</v>
      </c>
      <c r="P881" s="1" t="str">
        <f ca="1">IFERROR(__xludf.DUMMYFUNCTION("""COMPUTED_VALUE"""),"School Bus")</f>
        <v>School Bus</v>
      </c>
      <c r="Q881" s="1" t="str">
        <f ca="1">IFERROR(__xludf.DUMMYFUNCTION("""COMPUTED_VALUE"""),"Yes")</f>
        <v>Yes</v>
      </c>
      <c r="R881" s="1" t="str">
        <f ca="1">IFERROR(__xludf.DUMMYFUNCTION("""COMPUTED_VALUE"""),"Dismissal")</f>
        <v>Dismissal</v>
      </c>
      <c r="S881" s="5">
        <f ca="1">IFERROR(__xludf.DUMMYFUNCTION("""COMPUTED_VALUE"""),0.604166666666666)</f>
        <v>0.60416666666666596</v>
      </c>
      <c r="T881" s="1">
        <f ca="1">IFERROR(__xludf.DUMMYFUNCTION("""COMPUTED_VALUE"""),1)</f>
        <v>1</v>
      </c>
      <c r="U881" s="1" t="str">
        <f ca="1">IFERROR(__xludf.DUMMYFUNCTION("""COMPUTED_VALUE"""),"Female student shot in the neck with a pellet gun on the school bus")</f>
        <v>Female student shot in the neck with a pellet gun on the school bus</v>
      </c>
      <c r="V881" s="1" t="str">
        <f ca="1">IFERROR(__xludf.DUMMYFUNCTION("""COMPUTED_VALUE"""),"A female student was shot in the neck with a pellet gun on the school bus. The incident was not reported by the bus driver. The shooter was suspended multiple days later after the school investigated at the request of the victim's parent.")</f>
        <v>A female student was shot in the neck with a pellet gun on the school bus. The incident was not reported by the bus driver. The shooter was suspended multiple days later after the school investigated at the request of the victim's parent.</v>
      </c>
      <c r="W881" s="1"/>
      <c r="X881" s="1"/>
      <c r="Y881" s="1"/>
      <c r="Z881" s="1"/>
      <c r="AA881" s="1" t="str">
        <f ca="1">IFERROR(__xludf.DUMMYFUNCTION("""COMPUTED_VALUE"""),"No")</f>
        <v>No</v>
      </c>
      <c r="AB881" s="1" t="str">
        <f ca="1">IFERROR(__xludf.DUMMYFUNCTION("""COMPUTED_VALUE"""),"No")</f>
        <v>No</v>
      </c>
      <c r="AC881" s="1" t="str">
        <f ca="1">IFERROR(__xludf.DUMMYFUNCTION("""COMPUTED_VALUE"""),"No")</f>
        <v>No</v>
      </c>
      <c r="AD881" s="1" t="str">
        <f ca="1">IFERROR(__xludf.DUMMYFUNCTION("""COMPUTED_VALUE"""),"No")</f>
        <v>No</v>
      </c>
      <c r="AE881" s="1" t="str">
        <f ca="1">IFERROR(__xludf.DUMMYFUNCTION("""COMPUTED_VALUE"""),"No")</f>
        <v>No</v>
      </c>
      <c r="AF881" s="1" t="str">
        <f ca="1">IFERROR(__xludf.DUMMYFUNCTION("""COMPUTED_VALUE"""),"No")</f>
        <v>No</v>
      </c>
      <c r="AG881" s="1" t="str">
        <f ca="1">IFERROR(__xludf.DUMMYFUNCTION("""COMPUTED_VALUE"""),"No")</f>
        <v>No</v>
      </c>
      <c r="AH881" s="1"/>
    </row>
    <row r="882" spans="1:34" ht="12.5">
      <c r="A882" s="1" t="str">
        <f ca="1">IFERROR(__xludf.DUMMYFUNCTION("""COMPUTED_VALUE"""),"20210828CASAS")</f>
        <v>20210828CASAS</v>
      </c>
      <c r="B882" s="1">
        <f ca="1">IFERROR(__xludf.DUMMYFUNCTION("""COMPUTED_VALUE"""),8)</f>
        <v>8</v>
      </c>
      <c r="C882" s="1">
        <f ca="1">IFERROR(__xludf.DUMMYFUNCTION("""COMPUTED_VALUE"""),28)</f>
        <v>28</v>
      </c>
      <c r="D882" s="1">
        <f ca="1">IFERROR(__xludf.DUMMYFUNCTION("""COMPUTED_VALUE"""),2021)</f>
        <v>2021</v>
      </c>
      <c r="E882" s="4">
        <f ca="1">IFERROR(__xludf.DUMMYFUNCTION("""COMPUTED_VALUE"""),44436)</f>
        <v>44436</v>
      </c>
      <c r="F882" s="1" t="str">
        <f ca="1">IFERROR(__xludf.DUMMYFUNCTION("""COMPUTED_VALUE"""),"Santa Maria High School")</f>
        <v>Santa Maria High School</v>
      </c>
      <c r="G882" s="1">
        <f ca="1">IFERROR(__xludf.DUMMYFUNCTION("""COMPUTED_VALUE"""),0)</f>
        <v>0</v>
      </c>
      <c r="H882" s="1">
        <f ca="1">IFERROR(__xludf.DUMMYFUNCTION("""COMPUTED_VALUE"""),0)</f>
        <v>0</v>
      </c>
      <c r="I882" s="1">
        <f ca="1">IFERROR(__xludf.DUMMYFUNCTION("""COMPUTED_VALUE"""),0)</f>
        <v>0</v>
      </c>
      <c r="J882" s="1">
        <f ca="1">IFERROR(__xludf.DUMMYFUNCTION("""COMPUTED_VALUE"""),0)</f>
        <v>0</v>
      </c>
      <c r="K882" s="1" t="str">
        <f ca="1">IFERROR(__xludf.DUMMYFUNCTION("""COMPUTED_VALUE"""),"Fall")</f>
        <v>Fall</v>
      </c>
      <c r="L882" s="1" t="str">
        <f ca="1">IFERROR(__xludf.DUMMYFUNCTION("""COMPUTED_VALUE"""),"Santa Maria")</f>
        <v>Santa Maria</v>
      </c>
      <c r="M882" s="1" t="str">
        <f ca="1">IFERROR(__xludf.DUMMYFUNCTION("""COMPUTED_VALUE"""),"CA")</f>
        <v>CA</v>
      </c>
      <c r="N882" s="1" t="str">
        <f ca="1">IFERROR(__xludf.DUMMYFUNCTION("""COMPUTED_VALUE"""),"High")</f>
        <v>High</v>
      </c>
      <c r="O882" s="1" t="str">
        <f ca="1">IFERROR(__xludf.DUMMYFUNCTION("""COMPUTED_VALUE"""),"Football Field/Track")</f>
        <v>Football Field/Track</v>
      </c>
      <c r="P882" s="1" t="str">
        <f ca="1">IFERROR(__xludf.DUMMYFUNCTION("""COMPUTED_VALUE"""),"Outside on School Property")</f>
        <v>Outside on School Property</v>
      </c>
      <c r="Q882" s="1" t="str">
        <f ca="1">IFERROR(__xludf.DUMMYFUNCTION("""COMPUTED_VALUE"""),"No")</f>
        <v>No</v>
      </c>
      <c r="R882" s="1" t="str">
        <f ca="1">IFERROR(__xludf.DUMMYFUNCTION("""COMPUTED_VALUE"""),"Sport Event")</f>
        <v>Sport Event</v>
      </c>
      <c r="S882" s="5">
        <f ca="1">IFERROR(__xludf.DUMMYFUNCTION("""COMPUTED_VALUE"""),0.666666666666666)</f>
        <v>0.66666666666666596</v>
      </c>
      <c r="T882" s="1">
        <f ca="1">IFERROR(__xludf.DUMMYFUNCTION("""COMPUTED_VALUE"""),1)</f>
        <v>1</v>
      </c>
      <c r="U882" s="1" t="str">
        <f ca="1">IFERROR(__xludf.DUMMYFUNCTION("""COMPUTED_VALUE"""),"Police called for shots fired at football game, police recovered gun")</f>
        <v>Police called for shots fired at football game, police recovered gun</v>
      </c>
      <c r="V882" s="1" t="str">
        <f ca="1">IFERROR(__xludf.DUMMYFUNCTION("""COMPUTED_VALUE"""),"Police were called for shots fired at a football game. Police searched the area and recovered a handgun. Shooter was not identified and fled the area. No injuries.")</f>
        <v>Police were called for shots fired at a football game. Police searched the area and recovered a handgun. Shooter was not identified and fled the area. No injuries.</v>
      </c>
      <c r="W882" s="1"/>
      <c r="X882" s="1"/>
      <c r="Y882" s="1" t="str">
        <f ca="1">IFERROR(__xludf.DUMMYFUNCTION("""COMPUTED_VALUE"""),"No")</f>
        <v>No</v>
      </c>
      <c r="Z882" s="1"/>
      <c r="AA882" s="1" t="str">
        <f ca="1">IFERROR(__xludf.DUMMYFUNCTION("""COMPUTED_VALUE"""),"No")</f>
        <v>No</v>
      </c>
      <c r="AB882" s="1" t="str">
        <f ca="1">IFERROR(__xludf.DUMMYFUNCTION("""COMPUTED_VALUE"""),"No")</f>
        <v>No</v>
      </c>
      <c r="AC882" s="1" t="str">
        <f ca="1">IFERROR(__xludf.DUMMYFUNCTION("""COMPUTED_VALUE"""),"No")</f>
        <v>No</v>
      </c>
      <c r="AD882" s="1" t="str">
        <f ca="1">IFERROR(__xludf.DUMMYFUNCTION("""COMPUTED_VALUE"""),"No")</f>
        <v>No</v>
      </c>
      <c r="AE882" s="1" t="str">
        <f ca="1">IFERROR(__xludf.DUMMYFUNCTION("""COMPUTED_VALUE"""),"No")</f>
        <v>No</v>
      </c>
      <c r="AF882" s="1"/>
      <c r="AG882" s="1" t="str">
        <f ca="1">IFERROR(__xludf.DUMMYFUNCTION("""COMPUTED_VALUE"""),"No")</f>
        <v>No</v>
      </c>
      <c r="AH882" s="1"/>
    </row>
    <row r="883" spans="1:34" ht="12.5">
      <c r="A883" s="1" t="str">
        <f ca="1">IFERROR(__xludf.DUMMYFUNCTION("""COMPUTED_VALUE"""),"20210827VTEDB")</f>
        <v>20210827VTEDB</v>
      </c>
      <c r="B883" s="1">
        <f ca="1">IFERROR(__xludf.DUMMYFUNCTION("""COMPUTED_VALUE"""),8)</f>
        <v>8</v>
      </c>
      <c r="C883" s="1">
        <f ca="1">IFERROR(__xludf.DUMMYFUNCTION("""COMPUTED_VALUE"""),27)</f>
        <v>27</v>
      </c>
      <c r="D883" s="1">
        <f ca="1">IFERROR(__xludf.DUMMYFUNCTION("""COMPUTED_VALUE"""),2021)</f>
        <v>2021</v>
      </c>
      <c r="E883" s="4">
        <f ca="1">IFERROR(__xludf.DUMMYFUNCTION("""COMPUTED_VALUE"""),44435)</f>
        <v>44435</v>
      </c>
      <c r="F883" s="1" t="str">
        <f ca="1">IFERROR(__xludf.DUMMYFUNCTION("""COMPUTED_VALUE"""),"Edmunds Middle School")</f>
        <v>Edmunds Middle School</v>
      </c>
      <c r="G883" s="1">
        <f ca="1">IFERROR(__xludf.DUMMYFUNCTION("""COMPUTED_VALUE"""),0)</f>
        <v>0</v>
      </c>
      <c r="H883" s="1">
        <f ca="1">IFERROR(__xludf.DUMMYFUNCTION("""COMPUTED_VALUE"""),0)</f>
        <v>0</v>
      </c>
      <c r="I883" s="1">
        <f ca="1">IFERROR(__xludf.DUMMYFUNCTION("""COMPUTED_VALUE"""),0)</f>
        <v>0</v>
      </c>
      <c r="J883" s="1">
        <f ca="1">IFERROR(__xludf.DUMMYFUNCTION("""COMPUTED_VALUE"""),0)</f>
        <v>0</v>
      </c>
      <c r="K883" s="1" t="str">
        <f ca="1">IFERROR(__xludf.DUMMYFUNCTION("""COMPUTED_VALUE"""),"Fall")</f>
        <v>Fall</v>
      </c>
      <c r="L883" s="1" t="str">
        <f ca="1">IFERROR(__xludf.DUMMYFUNCTION("""COMPUTED_VALUE"""),"Burlington")</f>
        <v>Burlington</v>
      </c>
      <c r="M883" s="1" t="str">
        <f ca="1">IFERROR(__xludf.DUMMYFUNCTION("""COMPUTED_VALUE"""),"VT")</f>
        <v>VT</v>
      </c>
      <c r="N883" s="1" t="str">
        <f ca="1">IFERROR(__xludf.DUMMYFUNCTION("""COMPUTED_VALUE"""),"Middle")</f>
        <v>Middle</v>
      </c>
      <c r="O883" s="1" t="str">
        <f ca="1">IFERROR(__xludf.DUMMYFUNCTION("""COMPUTED_VALUE"""),"Front of School")</f>
        <v>Front of School</v>
      </c>
      <c r="P883" s="1" t="str">
        <f ca="1">IFERROR(__xludf.DUMMYFUNCTION("""COMPUTED_VALUE"""),"Both Inside/Outside")</f>
        <v>Both Inside/Outside</v>
      </c>
      <c r="Q883" s="1" t="str">
        <f ca="1">IFERROR(__xludf.DUMMYFUNCTION("""COMPUTED_VALUE"""),"No")</f>
        <v>No</v>
      </c>
      <c r="R883" s="1" t="str">
        <f ca="1">IFERROR(__xludf.DUMMYFUNCTION("""COMPUTED_VALUE"""),"Before School")</f>
        <v>Before School</v>
      </c>
      <c r="S883" s="1"/>
      <c r="T883" s="1">
        <f ca="1">IFERROR(__xludf.DUMMYFUNCTION("""COMPUTED_VALUE"""),1)</f>
        <v>1</v>
      </c>
      <c r="U883" s="1" t="str">
        <f ca="1">IFERROR(__xludf.DUMMYFUNCTION("""COMPUTED_VALUE"""),"Bullet hole found in school window, classes cancelled at 2 schools")</f>
        <v>Bullet hole found in school window, classes cancelled at 2 schools</v>
      </c>
      <c r="V883" s="1" t="str">
        <f ca="1">IFERROR(__xludf.DUMMYFUNCTION("""COMPUTED_VALUE"""),"Police were called to the school for a bullet hole found in a 3rd floor window prior to the school opening. Police determined the shot was fired from 700 feet away and decided to cancel classes. No suspect was identified.")</f>
        <v>Police were called to the school for a bullet hole found in a 3rd floor window prior to the school opening. Police determined the shot was fired from 700 feet away and decided to cancel classes. No suspect was identified.</v>
      </c>
      <c r="W883" s="1" t="str">
        <f ca="1">IFERROR(__xludf.DUMMYFUNCTION("""COMPUTED_VALUE"""),"Intentional Property Damage")</f>
        <v>Intentional Property Damage</v>
      </c>
      <c r="X883" s="1" t="str">
        <f ca="1">IFERROR(__xludf.DUMMYFUNCTION("""COMPUTED_VALUE"""),"Neither")</f>
        <v>Neither</v>
      </c>
      <c r="Y883" s="1" t="str">
        <f ca="1">IFERROR(__xludf.DUMMYFUNCTION("""COMPUTED_VALUE"""),"No")</f>
        <v>No</v>
      </c>
      <c r="Z883" s="1"/>
      <c r="AA883" s="1" t="str">
        <f ca="1">IFERROR(__xludf.DUMMYFUNCTION("""COMPUTED_VALUE"""),"No")</f>
        <v>No</v>
      </c>
      <c r="AB883" s="1" t="str">
        <f ca="1">IFERROR(__xludf.DUMMYFUNCTION("""COMPUTED_VALUE"""),"No")</f>
        <v>No</v>
      </c>
      <c r="AC883" s="1" t="str">
        <f ca="1">IFERROR(__xludf.DUMMYFUNCTION("""COMPUTED_VALUE"""),"No")</f>
        <v>No</v>
      </c>
      <c r="AD883" s="1" t="str">
        <f ca="1">IFERROR(__xludf.DUMMYFUNCTION("""COMPUTED_VALUE"""),"No")</f>
        <v>No</v>
      </c>
      <c r="AE883" s="1" t="str">
        <f ca="1">IFERROR(__xludf.DUMMYFUNCTION("""COMPUTED_VALUE"""),"No")</f>
        <v>No</v>
      </c>
      <c r="AF883" s="1" t="str">
        <f ca="1">IFERROR(__xludf.DUMMYFUNCTION("""COMPUTED_VALUE"""),"No")</f>
        <v>No</v>
      </c>
      <c r="AG883" s="1" t="str">
        <f ca="1">IFERROR(__xludf.DUMMYFUNCTION("""COMPUTED_VALUE"""),"No")</f>
        <v>No</v>
      </c>
      <c r="AH883" s="1">
        <f ca="1">IFERROR(__xludf.DUMMYFUNCTION("""COMPUTED_VALUE"""),1)</f>
        <v>1</v>
      </c>
    </row>
    <row r="884" spans="1:34" ht="12.5">
      <c r="A884" s="1" t="str">
        <f ca="1">IFERROR(__xludf.DUMMYFUNCTION("""COMPUTED_VALUE"""),"20210827VAFRW")</f>
        <v>20210827VAFRW</v>
      </c>
      <c r="B884" s="1">
        <f ca="1">IFERROR(__xludf.DUMMYFUNCTION("""COMPUTED_VALUE"""),8)</f>
        <v>8</v>
      </c>
      <c r="C884" s="1">
        <f ca="1">IFERROR(__xludf.DUMMYFUNCTION("""COMPUTED_VALUE"""),27)</f>
        <v>27</v>
      </c>
      <c r="D884" s="1">
        <f ca="1">IFERROR(__xludf.DUMMYFUNCTION("""COMPUTED_VALUE"""),2021)</f>
        <v>2021</v>
      </c>
      <c r="E884" s="4">
        <f ca="1">IFERROR(__xludf.DUMMYFUNCTION("""COMPUTED_VALUE"""),44435)</f>
        <v>44435</v>
      </c>
      <c r="F884" s="1" t="str">
        <f ca="1">IFERROR(__xludf.DUMMYFUNCTION("""COMPUTED_VALUE"""),"Freedom High School")</f>
        <v>Freedom High School</v>
      </c>
      <c r="G884" s="1">
        <f ca="1">IFERROR(__xludf.DUMMYFUNCTION("""COMPUTED_VALUE"""),0)</f>
        <v>0</v>
      </c>
      <c r="H884" s="1">
        <f ca="1">IFERROR(__xludf.DUMMYFUNCTION("""COMPUTED_VALUE"""),2)</f>
        <v>2</v>
      </c>
      <c r="I884" s="1">
        <f ca="1">IFERROR(__xludf.DUMMYFUNCTION("""COMPUTED_VALUE"""),2)</f>
        <v>2</v>
      </c>
      <c r="J884" s="1">
        <f ca="1">IFERROR(__xludf.DUMMYFUNCTION("""COMPUTED_VALUE"""),0)</f>
        <v>0</v>
      </c>
      <c r="K884" s="1" t="str">
        <f ca="1">IFERROR(__xludf.DUMMYFUNCTION("""COMPUTED_VALUE"""),"Fall")</f>
        <v>Fall</v>
      </c>
      <c r="L884" s="1" t="str">
        <f ca="1">IFERROR(__xludf.DUMMYFUNCTION("""COMPUTED_VALUE"""),"Woodbridge")</f>
        <v>Woodbridge</v>
      </c>
      <c r="M884" s="1" t="str">
        <f ca="1">IFERROR(__xludf.DUMMYFUNCTION("""COMPUTED_VALUE"""),"VA")</f>
        <v>VA</v>
      </c>
      <c r="N884" s="1" t="str">
        <f ca="1">IFERROR(__xludf.DUMMYFUNCTION("""COMPUTED_VALUE"""),"High")</f>
        <v>High</v>
      </c>
      <c r="O884" s="1" t="str">
        <f ca="1">IFERROR(__xludf.DUMMYFUNCTION("""COMPUTED_VALUE"""),"Parking Lot")</f>
        <v>Parking Lot</v>
      </c>
      <c r="P884" s="1" t="str">
        <f ca="1">IFERROR(__xludf.DUMMYFUNCTION("""COMPUTED_VALUE"""),"Outside on School Property")</f>
        <v>Outside on School Property</v>
      </c>
      <c r="Q884" s="1" t="str">
        <f ca="1">IFERROR(__xludf.DUMMYFUNCTION("""COMPUTED_VALUE"""),"No")</f>
        <v>No</v>
      </c>
      <c r="R884" s="1" t="str">
        <f ca="1">IFERROR(__xludf.DUMMYFUNCTION("""COMPUTED_VALUE"""),"Sport Event")</f>
        <v>Sport Event</v>
      </c>
      <c r="S884" s="5">
        <f ca="1">IFERROR(__xludf.DUMMYFUNCTION("""COMPUTED_VALUE"""),0.881944444444444)</f>
        <v>0.88194444444444398</v>
      </c>
      <c r="T884" s="1">
        <f ca="1">IFERROR(__xludf.DUMMYFUNCTION("""COMPUTED_VALUE"""),1)</f>
        <v>1</v>
      </c>
      <c r="U884" s="1" t="str">
        <f ca="1">IFERROR(__xludf.DUMMYFUNCTION("""COMPUTED_VALUE"""),"Teen fired shots into the crowd following football game")</f>
        <v>Teen fired shots into the crowd following football game</v>
      </c>
      <c r="V884" s="1" t="str">
        <f ca="1">IFERROR(__xludf.DUMMYFUNCTION("""COMPUTED_VALUE"""),"17-year-old student was involved with fight between two groups of students in the parking lot as the football game ended. Shooter fired shots into the crowd striking two bystanders. A 15-year-old male student and 14-year-old female student were wounded. T"&amp;"he shooter fled the scene and was arrested in North Carolina with his family on vacation the following week.")</f>
        <v>17-year-old student was involved with fight between two groups of students in the parking lot as the football game ended. Shooter fired shots into the crowd striking two bystanders. A 15-year-old male student and 14-year-old female student were wounded. The shooter fled the scene and was arrested in North Carolina with his family on vacation the following week.</v>
      </c>
      <c r="W884" s="1" t="str">
        <f ca="1">IFERROR(__xludf.DUMMYFUNCTION("""COMPUTED_VALUE"""),"Escalation of Dispute")</f>
        <v>Escalation of Dispute</v>
      </c>
      <c r="X884" s="1" t="str">
        <f ca="1">IFERROR(__xludf.DUMMYFUNCTION("""COMPUTED_VALUE"""),"Both")</f>
        <v>Both</v>
      </c>
      <c r="Y884" s="1"/>
      <c r="Z884" s="1"/>
      <c r="AA884" s="1" t="str">
        <f ca="1">IFERROR(__xludf.DUMMYFUNCTION("""COMPUTED_VALUE"""),"No")</f>
        <v>No</v>
      </c>
      <c r="AB884" s="1" t="str">
        <f ca="1">IFERROR(__xludf.DUMMYFUNCTION("""COMPUTED_VALUE"""),"No")</f>
        <v>No</v>
      </c>
      <c r="AC884" s="1" t="str">
        <f ca="1">IFERROR(__xludf.DUMMYFUNCTION("""COMPUTED_VALUE"""),"No")</f>
        <v>No</v>
      </c>
      <c r="AD884" s="1" t="str">
        <f ca="1">IFERROR(__xludf.DUMMYFUNCTION("""COMPUTED_VALUE"""),"No")</f>
        <v>No</v>
      </c>
      <c r="AE884" s="1" t="str">
        <f ca="1">IFERROR(__xludf.DUMMYFUNCTION("""COMPUTED_VALUE"""),"No")</f>
        <v>No</v>
      </c>
      <c r="AF884" s="1" t="str">
        <f ca="1">IFERROR(__xludf.DUMMYFUNCTION("""COMPUTED_VALUE"""),"No")</f>
        <v>No</v>
      </c>
      <c r="AG884" s="1" t="str">
        <f ca="1">IFERROR(__xludf.DUMMYFUNCTION("""COMPUTED_VALUE"""),"No")</f>
        <v>No</v>
      </c>
      <c r="AH884" s="1"/>
    </row>
    <row r="885" spans="1:34" ht="12.5">
      <c r="A885" s="1" t="str">
        <f ca="1">IFERROR(__xludf.DUMMYFUNCTION("""COMPUTED_VALUE"""),"20210827PAACS")</f>
        <v>20210827PAACS</v>
      </c>
      <c r="B885" s="1">
        <f ca="1">IFERROR(__xludf.DUMMYFUNCTION("""COMPUTED_VALUE"""),8)</f>
        <v>8</v>
      </c>
      <c r="C885" s="1">
        <f ca="1">IFERROR(__xludf.DUMMYFUNCTION("""COMPUTED_VALUE"""),27)</f>
        <v>27</v>
      </c>
      <c r="D885" s="1">
        <f ca="1">IFERROR(__xludf.DUMMYFUNCTION("""COMPUTED_VALUE"""),2021)</f>
        <v>2021</v>
      </c>
      <c r="E885" s="4">
        <f ca="1">IFERROR(__xludf.DUMMYFUNCTION("""COMPUTED_VALUE"""),44435)</f>
        <v>44435</v>
      </c>
      <c r="F885" s="1" t="str">
        <f ca="1">IFERROR(__xludf.DUMMYFUNCTION("""COMPUTED_VALUE"""),"Academy Park High School")</f>
        <v>Academy Park High School</v>
      </c>
      <c r="G885" s="1">
        <f ca="1">IFERROR(__xludf.DUMMYFUNCTION("""COMPUTED_VALUE"""),1)</f>
        <v>1</v>
      </c>
      <c r="H885" s="1">
        <f ca="1">IFERROR(__xludf.DUMMYFUNCTION("""COMPUTED_VALUE"""),4)</f>
        <v>4</v>
      </c>
      <c r="I885" s="1">
        <f ca="1">IFERROR(__xludf.DUMMYFUNCTION("""COMPUTED_VALUE"""),5)</f>
        <v>5</v>
      </c>
      <c r="J885" s="1">
        <f ca="1">IFERROR(__xludf.DUMMYFUNCTION("""COMPUTED_VALUE"""),0)</f>
        <v>0</v>
      </c>
      <c r="K885" s="1" t="str">
        <f ca="1">IFERROR(__xludf.DUMMYFUNCTION("""COMPUTED_VALUE"""),"Fall")</f>
        <v>Fall</v>
      </c>
      <c r="L885" s="1" t="str">
        <f ca="1">IFERROR(__xludf.DUMMYFUNCTION("""COMPUTED_VALUE"""),"Sharon Hill")</f>
        <v>Sharon Hill</v>
      </c>
      <c r="M885" s="1" t="str">
        <f ca="1">IFERROR(__xludf.DUMMYFUNCTION("""COMPUTED_VALUE"""),"PA")</f>
        <v>PA</v>
      </c>
      <c r="N885" s="1" t="str">
        <f ca="1">IFERROR(__xludf.DUMMYFUNCTION("""COMPUTED_VALUE"""),"High")</f>
        <v>High</v>
      </c>
      <c r="O885" s="1" t="str">
        <f ca="1">IFERROR(__xludf.DUMMYFUNCTION("""COMPUTED_VALUE"""),"Football Field/Track")</f>
        <v>Football Field/Track</v>
      </c>
      <c r="P885" s="1" t="str">
        <f ca="1">IFERROR(__xludf.DUMMYFUNCTION("""COMPUTED_VALUE"""),"Outside on School Property")</f>
        <v>Outside on School Property</v>
      </c>
      <c r="Q885" s="1" t="str">
        <f ca="1">IFERROR(__xludf.DUMMYFUNCTION("""COMPUTED_VALUE"""),"No")</f>
        <v>No</v>
      </c>
      <c r="R885" s="1" t="str">
        <f ca="1">IFERROR(__xludf.DUMMYFUNCTION("""COMPUTED_VALUE"""),"Sport Event")</f>
        <v>Sport Event</v>
      </c>
      <c r="S885" s="5">
        <f ca="1">IFERROR(__xludf.DUMMYFUNCTION("""COMPUTED_VALUE"""),0.875)</f>
        <v>0.875</v>
      </c>
      <c r="T885" s="1">
        <f ca="1">IFERROR(__xludf.DUMMYFUNCTION("""COMPUTED_VALUE"""),1)</f>
        <v>1</v>
      </c>
      <c r="U885" s="1" t="str">
        <f ca="1">IFERROR(__xludf.DUMMYFUNCTION("""COMPUTED_VALUE"""),"Three officers fired into crowd following football game")</f>
        <v>Three officers fired into crowd following football game</v>
      </c>
      <c r="V885" s="1" t="str">
        <f ca="1">IFERROR(__xludf.DUMMYFUNCTION("""COMPUTED_VALUE"""),"Two teens, 16 and 18, fired shots at each other near the exit to the football field. One bystander was struck in the crossfire. Three police officers responded to the shots by firing multiple shots into the crowd that was exiting the football game. Shots "&amp;"were fired a block away from the stadium just prior to the officers' firing and a fight also occurred between multiple young males nearby. An 8-year-old female was fatally shot. 2 juveniles and 2 unidentified persons were wounded. Initial ballistics analy"&amp;"sis showed 4 of the 5 victims were struck by shots fire by the officers. Area was searched and no other weapons were recovered.")</f>
        <v>Two teens, 16 and 18, fired shots at each other near the exit to the football field. One bystander was struck in the crossfire. Three police officers responded to the shots by firing multiple shots into the crowd that was exiting the football game. Shots were fired a block away from the stadium just prior to the officers' firing and a fight also occurred between multiple young males nearby. An 8-year-old female was fatally shot. 2 juveniles and 2 unidentified persons were wounded. Initial ballistics analysis showed 4 of the 5 victims were struck by shots fire by the officers. Area was searched and no other weapons were recovered.</v>
      </c>
      <c r="W885" s="1" t="str">
        <f ca="1">IFERROR(__xludf.DUMMYFUNCTION("""COMPUTED_VALUE"""),"Escalation of Dispute")</f>
        <v>Escalation of Dispute</v>
      </c>
      <c r="X885" s="1" t="str">
        <f ca="1">IFERROR(__xludf.DUMMYFUNCTION("""COMPUTED_VALUE"""),"Random Shooting")</f>
        <v>Random Shooting</v>
      </c>
      <c r="Y885" s="1"/>
      <c r="Z885" s="1"/>
      <c r="AA885" s="1" t="str">
        <f ca="1">IFERROR(__xludf.DUMMYFUNCTION("""COMPUTED_VALUE"""),"No")</f>
        <v>No</v>
      </c>
      <c r="AB885" s="1" t="str">
        <f ca="1">IFERROR(__xludf.DUMMYFUNCTION("""COMPUTED_VALUE"""),"No")</f>
        <v>No</v>
      </c>
      <c r="AC885" s="1" t="str">
        <f ca="1">IFERROR(__xludf.DUMMYFUNCTION("""COMPUTED_VALUE"""),"Yes")</f>
        <v>Yes</v>
      </c>
      <c r="AD885" s="1" t="str">
        <f ca="1">IFERROR(__xludf.DUMMYFUNCTION("""COMPUTED_VALUE"""),"No")</f>
        <v>No</v>
      </c>
      <c r="AE885" s="1" t="str">
        <f ca="1">IFERROR(__xludf.DUMMYFUNCTION("""COMPUTED_VALUE"""),"No")</f>
        <v>No</v>
      </c>
      <c r="AF885" s="1" t="str">
        <f ca="1">IFERROR(__xludf.DUMMYFUNCTION("""COMPUTED_VALUE"""),"No")</f>
        <v>No</v>
      </c>
      <c r="AG885" s="1" t="str">
        <f ca="1">IFERROR(__xludf.DUMMYFUNCTION("""COMPUTED_VALUE"""),"No")</f>
        <v>No</v>
      </c>
      <c r="AH885" s="1"/>
    </row>
    <row r="886" spans="1:34" ht="12.5">
      <c r="A886" s="1" t="str">
        <f ca="1">IFERROR(__xludf.DUMMYFUNCTION("""COMPUTED_VALUE"""),"20210827KYAPO")</f>
        <v>20210827KYAPO</v>
      </c>
      <c r="B886" s="1">
        <f ca="1">IFERROR(__xludf.DUMMYFUNCTION("""COMPUTED_VALUE"""),8)</f>
        <v>8</v>
      </c>
      <c r="C886" s="1">
        <f ca="1">IFERROR(__xludf.DUMMYFUNCTION("""COMPUTED_VALUE"""),27)</f>
        <v>27</v>
      </c>
      <c r="D886" s="1">
        <f ca="1">IFERROR(__xludf.DUMMYFUNCTION("""COMPUTED_VALUE"""),2021)</f>
        <v>2021</v>
      </c>
      <c r="E886" s="4">
        <f ca="1">IFERROR(__xludf.DUMMYFUNCTION("""COMPUTED_VALUE"""),44435)</f>
        <v>44435</v>
      </c>
      <c r="F886" s="1" t="str">
        <f ca="1">IFERROR(__xludf.DUMMYFUNCTION("""COMPUTED_VALUE"""),"Apollo High School")</f>
        <v>Apollo High School</v>
      </c>
      <c r="G886" s="1">
        <f ca="1">IFERROR(__xludf.DUMMYFUNCTION("""COMPUTED_VALUE"""),0)</f>
        <v>0</v>
      </c>
      <c r="H886" s="1">
        <f ca="1">IFERROR(__xludf.DUMMYFUNCTION("""COMPUTED_VALUE"""),1)</f>
        <v>1</v>
      </c>
      <c r="I886" s="1">
        <f ca="1">IFERROR(__xludf.DUMMYFUNCTION("""COMPUTED_VALUE"""),1)</f>
        <v>1</v>
      </c>
      <c r="J886" s="1">
        <f ca="1">IFERROR(__xludf.DUMMYFUNCTION("""COMPUTED_VALUE"""),0)</f>
        <v>0</v>
      </c>
      <c r="K886" s="1" t="str">
        <f ca="1">IFERROR(__xludf.DUMMYFUNCTION("""COMPUTED_VALUE"""),"Fall")</f>
        <v>Fall</v>
      </c>
      <c r="L886" s="1" t="str">
        <f ca="1">IFERROR(__xludf.DUMMYFUNCTION("""COMPUTED_VALUE"""),"Owensboro")</f>
        <v>Owensboro</v>
      </c>
      <c r="M886" s="1" t="str">
        <f ca="1">IFERROR(__xludf.DUMMYFUNCTION("""COMPUTED_VALUE"""),"KY")</f>
        <v>KY</v>
      </c>
      <c r="N886" s="1" t="str">
        <f ca="1">IFERROR(__xludf.DUMMYFUNCTION("""COMPUTED_VALUE"""),"High")</f>
        <v>High</v>
      </c>
      <c r="O886" s="1" t="str">
        <f ca="1">IFERROR(__xludf.DUMMYFUNCTION("""COMPUTED_VALUE"""),"Parking Lot")</f>
        <v>Parking Lot</v>
      </c>
      <c r="P886" s="1" t="str">
        <f ca="1">IFERROR(__xludf.DUMMYFUNCTION("""COMPUTED_VALUE"""),"Outside on School Property")</f>
        <v>Outside on School Property</v>
      </c>
      <c r="Q886" s="1" t="str">
        <f ca="1">IFERROR(__xludf.DUMMYFUNCTION("""COMPUTED_VALUE"""),"No")</f>
        <v>No</v>
      </c>
      <c r="R886" s="1" t="str">
        <f ca="1">IFERROR(__xludf.DUMMYFUNCTION("""COMPUTED_VALUE"""),"Sport Event")</f>
        <v>Sport Event</v>
      </c>
      <c r="S886" s="5">
        <f ca="1">IFERROR(__xludf.DUMMYFUNCTION("""COMPUTED_VALUE"""),0.902777777777777)</f>
        <v>0.90277777777777701</v>
      </c>
      <c r="T886" s="1">
        <f ca="1">IFERROR(__xludf.DUMMYFUNCTION("""COMPUTED_VALUE"""),1)</f>
        <v>1</v>
      </c>
      <c r="U886" s="1" t="str">
        <f ca="1">IFERROR(__xludf.DUMMYFUNCTION("""COMPUTED_VALUE"""),"Man shot during fight following football game")</f>
        <v>Man shot during fight following football game</v>
      </c>
      <c r="V886" s="1" t="str">
        <f ca="1">IFERROR(__xludf.DUMMYFUNCTION("""COMPUTED_VALUE"""),"An adult male was shot in the parking lot during a fight between four nonstudents who were attending a high school football game. Police were assigned to the school and quickly took the shooter into custody. Police said the shooting was unintentional.")</f>
        <v>An adult male was shot in the parking lot during a fight between four nonstudents who were attending a high school football game. Police were assigned to the school and quickly took the shooter into custody. Police said the shooting was unintentional.</v>
      </c>
      <c r="W886" s="1" t="str">
        <f ca="1">IFERROR(__xludf.DUMMYFUNCTION("""COMPUTED_VALUE"""),"Escalation of Dispute")</f>
        <v>Escalation of Dispute</v>
      </c>
      <c r="X886" s="1" t="str">
        <f ca="1">IFERROR(__xludf.DUMMYFUNCTION("""COMPUTED_VALUE"""),"Victims Targeted")</f>
        <v>Victims Targeted</v>
      </c>
      <c r="Y886" s="1" t="str">
        <f ca="1">IFERROR(__xludf.DUMMYFUNCTION("""COMPUTED_VALUE"""),"No")</f>
        <v>No</v>
      </c>
      <c r="Z886" s="1"/>
      <c r="AA886" s="1" t="str">
        <f ca="1">IFERROR(__xludf.DUMMYFUNCTION("""COMPUTED_VALUE"""),"No")</f>
        <v>No</v>
      </c>
      <c r="AB886" s="1" t="str">
        <f ca="1">IFERROR(__xludf.DUMMYFUNCTION("""COMPUTED_VALUE"""),"No")</f>
        <v>No</v>
      </c>
      <c r="AC886" s="1" t="str">
        <f ca="1">IFERROR(__xludf.DUMMYFUNCTION("""COMPUTED_VALUE"""),"No")</f>
        <v>No</v>
      </c>
      <c r="AD886" s="1" t="str">
        <f ca="1">IFERROR(__xludf.DUMMYFUNCTION("""COMPUTED_VALUE"""),"No")</f>
        <v>No</v>
      </c>
      <c r="AE886" s="1" t="str">
        <f ca="1">IFERROR(__xludf.DUMMYFUNCTION("""COMPUTED_VALUE"""),"No")</f>
        <v>No</v>
      </c>
      <c r="AF886" s="1" t="str">
        <f ca="1">IFERROR(__xludf.DUMMYFUNCTION("""COMPUTED_VALUE"""),"No")</f>
        <v>No</v>
      </c>
      <c r="AG886" s="1" t="str">
        <f ca="1">IFERROR(__xludf.DUMMYFUNCTION("""COMPUTED_VALUE"""),"No")</f>
        <v>No</v>
      </c>
      <c r="AH886" s="1">
        <f ca="1">IFERROR(__xludf.DUMMYFUNCTION("""COMPUTED_VALUE"""),1)</f>
        <v>1</v>
      </c>
    </row>
    <row r="887" spans="1:34" ht="12.5">
      <c r="A887" s="1" t="str">
        <f ca="1">IFERROR(__xludf.DUMMYFUNCTION("""COMPUTED_VALUE"""),"20210827INHAH")</f>
        <v>20210827INHAH</v>
      </c>
      <c r="B887" s="1">
        <f ca="1">IFERROR(__xludf.DUMMYFUNCTION("""COMPUTED_VALUE"""),8)</f>
        <v>8</v>
      </c>
      <c r="C887" s="1">
        <f ca="1">IFERROR(__xludf.DUMMYFUNCTION("""COMPUTED_VALUE"""),27)</f>
        <v>27</v>
      </c>
      <c r="D887" s="1">
        <f ca="1">IFERROR(__xludf.DUMMYFUNCTION("""COMPUTED_VALUE"""),2021)</f>
        <v>2021</v>
      </c>
      <c r="E887" s="4">
        <f ca="1">IFERROR(__xludf.DUMMYFUNCTION("""COMPUTED_VALUE"""),44435)</f>
        <v>44435</v>
      </c>
      <c r="F887" s="1" t="str">
        <f ca="1">IFERROR(__xludf.DUMMYFUNCTION("""COMPUTED_VALUE"""),"Hammond Central High School")</f>
        <v>Hammond Central High School</v>
      </c>
      <c r="G887" s="1">
        <f ca="1">IFERROR(__xludf.DUMMYFUNCTION("""COMPUTED_VALUE"""),0)</f>
        <v>0</v>
      </c>
      <c r="H887" s="1">
        <f ca="1">IFERROR(__xludf.DUMMYFUNCTION("""COMPUTED_VALUE"""),2)</f>
        <v>2</v>
      </c>
      <c r="I887" s="1">
        <f ca="1">IFERROR(__xludf.DUMMYFUNCTION("""COMPUTED_VALUE"""),2)</f>
        <v>2</v>
      </c>
      <c r="J887" s="1">
        <f ca="1">IFERROR(__xludf.DUMMYFUNCTION("""COMPUTED_VALUE"""),0)</f>
        <v>0</v>
      </c>
      <c r="K887" s="1" t="str">
        <f ca="1">IFERROR(__xludf.DUMMYFUNCTION("""COMPUTED_VALUE"""),"Fall")</f>
        <v>Fall</v>
      </c>
      <c r="L887" s="1" t="str">
        <f ca="1">IFERROR(__xludf.DUMMYFUNCTION("""COMPUTED_VALUE"""),"Hammond")</f>
        <v>Hammond</v>
      </c>
      <c r="M887" s="1" t="str">
        <f ca="1">IFERROR(__xludf.DUMMYFUNCTION("""COMPUTED_VALUE"""),"IN")</f>
        <v>IN</v>
      </c>
      <c r="N887" s="1" t="str">
        <f ca="1">IFERROR(__xludf.DUMMYFUNCTION("""COMPUTED_VALUE"""),"High")</f>
        <v>High</v>
      </c>
      <c r="O887" s="1" t="str">
        <f ca="1">IFERROR(__xludf.DUMMYFUNCTION("""COMPUTED_VALUE"""),"Beside Building")</f>
        <v>Beside Building</v>
      </c>
      <c r="P887" s="1" t="str">
        <f ca="1">IFERROR(__xludf.DUMMYFUNCTION("""COMPUTED_VALUE"""),"Outside on School Property")</f>
        <v>Outside on School Property</v>
      </c>
      <c r="Q887" s="1" t="str">
        <f ca="1">IFERROR(__xludf.DUMMYFUNCTION("""COMPUTED_VALUE"""),"Yes")</f>
        <v>Yes</v>
      </c>
      <c r="R887" s="1" t="str">
        <f ca="1">IFERROR(__xludf.DUMMYFUNCTION("""COMPUTED_VALUE"""),"Dismissal")</f>
        <v>Dismissal</v>
      </c>
      <c r="S887" s="5">
        <f ca="1">IFERROR(__xludf.DUMMYFUNCTION("""COMPUTED_VALUE"""),0.600694444444444)</f>
        <v>0.60069444444444398</v>
      </c>
      <c r="T887" s="1">
        <f ca="1">IFERROR(__xludf.DUMMYFUNCTION("""COMPUTED_VALUE"""),1)</f>
        <v>1</v>
      </c>
      <c r="U887" s="1" t="str">
        <f ca="1">IFERROR(__xludf.DUMMYFUNCTION("""COMPUTED_VALUE"""),"Two student shot beside the school building")</f>
        <v>Two student shot beside the school building</v>
      </c>
      <c r="V887" s="1" t="str">
        <f ca="1">IFERROR(__xludf.DUMMYFUNCTION("""COMPUTED_VALUE"""),"Teen student fired at a group of students next to the school building during dismissal. Shooter was not a student and was seen on CCTV footage waiting outside the school prior to the shooting. Shooter fled the scene and was arrested at 8pm (5.5 hours afte"&amp;"r). A bullet fired struck one student, passed through him and struck a second student. CCTV video recorded the incident and allowed police to identify the shooter. Police gang unit was aware of the identity of the shooter. Shooter had prior criminal histo"&amp;"ry and was known to police.")</f>
        <v>Teen student fired at a group of students next to the school building during dismissal. Shooter was not a student and was seen on CCTV footage waiting outside the school prior to the shooting. Shooter fled the scene and was arrested at 8pm (5.5 hours after). A bullet fired struck one student, passed through him and struck a second student. CCTV video recorded the incident and allowed police to identify the shooter. Police gang unit was aware of the identity of the shooter. Shooter had prior criminal history and was known to police.</v>
      </c>
      <c r="W887" s="1" t="str">
        <f ca="1">IFERROR(__xludf.DUMMYFUNCTION("""COMPUTED_VALUE"""),"Illegal Activity")</f>
        <v>Illegal Activity</v>
      </c>
      <c r="X887" s="1" t="str">
        <f ca="1">IFERROR(__xludf.DUMMYFUNCTION("""COMPUTED_VALUE"""),"Both")</f>
        <v>Both</v>
      </c>
      <c r="Y887" s="1" t="str">
        <f ca="1">IFERROR(__xludf.DUMMYFUNCTION("""COMPUTED_VALUE"""),"Yes")</f>
        <v>Yes</v>
      </c>
      <c r="Z887" s="1"/>
      <c r="AA887" s="1" t="str">
        <f ca="1">IFERROR(__xludf.DUMMYFUNCTION("""COMPUTED_VALUE"""),"No")</f>
        <v>No</v>
      </c>
      <c r="AB887" s="1" t="str">
        <f ca="1">IFERROR(__xludf.DUMMYFUNCTION("""COMPUTED_VALUE"""),"No")</f>
        <v>No</v>
      </c>
      <c r="AC887" s="1" t="str">
        <f ca="1">IFERROR(__xludf.DUMMYFUNCTION("""COMPUTED_VALUE"""),"No")</f>
        <v>No</v>
      </c>
      <c r="AD887" s="1" t="str">
        <f ca="1">IFERROR(__xludf.DUMMYFUNCTION("""COMPUTED_VALUE"""),"No")</f>
        <v>No</v>
      </c>
      <c r="AE887" s="1" t="str">
        <f ca="1">IFERROR(__xludf.DUMMYFUNCTION("""COMPUTED_VALUE"""),"No")</f>
        <v>No</v>
      </c>
      <c r="AF887" s="1" t="str">
        <f ca="1">IFERROR(__xludf.DUMMYFUNCTION("""COMPUTED_VALUE"""),"Yes")</f>
        <v>Yes</v>
      </c>
      <c r="AG887" s="1" t="str">
        <f ca="1">IFERROR(__xludf.DUMMYFUNCTION("""COMPUTED_VALUE"""),"No")</f>
        <v>No</v>
      </c>
      <c r="AH887" s="1"/>
    </row>
    <row r="888" spans="1:34" ht="12.5">
      <c r="A888" s="1" t="str">
        <f ca="1">IFERROR(__xludf.DUMMYFUNCTION("""COMPUTED_VALUE"""),"20210826WAAKS")</f>
        <v>20210826WAAKS</v>
      </c>
      <c r="B888" s="1">
        <f ca="1">IFERROR(__xludf.DUMMYFUNCTION("""COMPUTED_VALUE"""),8)</f>
        <v>8</v>
      </c>
      <c r="C888" s="1">
        <f ca="1">IFERROR(__xludf.DUMMYFUNCTION("""COMPUTED_VALUE"""),26)</f>
        <v>26</v>
      </c>
      <c r="D888" s="1">
        <f ca="1">IFERROR(__xludf.DUMMYFUNCTION("""COMPUTED_VALUE"""),2021)</f>
        <v>2021</v>
      </c>
      <c r="E888" s="4">
        <f ca="1">IFERROR(__xludf.DUMMYFUNCTION("""COMPUTED_VALUE"""),44434)</f>
        <v>44434</v>
      </c>
      <c r="F888" s="1" t="str">
        <f ca="1">IFERROR(__xludf.DUMMYFUNCTION("""COMPUTED_VALUE"""),"Aki Kurose Middle School")</f>
        <v>Aki Kurose Middle School</v>
      </c>
      <c r="G888" s="1">
        <f ca="1">IFERROR(__xludf.DUMMYFUNCTION("""COMPUTED_VALUE"""),0)</f>
        <v>0</v>
      </c>
      <c r="H888" s="1">
        <f ca="1">IFERROR(__xludf.DUMMYFUNCTION("""COMPUTED_VALUE"""),0)</f>
        <v>0</v>
      </c>
      <c r="I888" s="1">
        <f ca="1">IFERROR(__xludf.DUMMYFUNCTION("""COMPUTED_VALUE"""),0)</f>
        <v>0</v>
      </c>
      <c r="J888" s="1">
        <f ca="1">IFERROR(__xludf.DUMMYFUNCTION("""COMPUTED_VALUE"""),0)</f>
        <v>0</v>
      </c>
      <c r="K888" s="1" t="str">
        <f ca="1">IFERROR(__xludf.DUMMYFUNCTION("""COMPUTED_VALUE"""),"Fall")</f>
        <v>Fall</v>
      </c>
      <c r="L888" s="1" t="str">
        <f ca="1">IFERROR(__xludf.DUMMYFUNCTION("""COMPUTED_VALUE"""),"Seattle")</f>
        <v>Seattle</v>
      </c>
      <c r="M888" s="1" t="str">
        <f ca="1">IFERROR(__xludf.DUMMYFUNCTION("""COMPUTED_VALUE"""),"WA")</f>
        <v>WA</v>
      </c>
      <c r="N888" s="1" t="str">
        <f ca="1">IFERROR(__xludf.DUMMYFUNCTION("""COMPUTED_VALUE"""),"Middle")</f>
        <v>Middle</v>
      </c>
      <c r="O888" s="1" t="str">
        <f ca="1">IFERROR(__xludf.DUMMYFUNCTION("""COMPUTED_VALUE"""),"Front of School")</f>
        <v>Front of School</v>
      </c>
      <c r="P888" s="1" t="str">
        <f ca="1">IFERROR(__xludf.DUMMYFUNCTION("""COMPUTED_VALUE"""),"Outside on School Property")</f>
        <v>Outside on School Property</v>
      </c>
      <c r="Q888" s="1" t="str">
        <f ca="1">IFERROR(__xludf.DUMMYFUNCTION("""COMPUTED_VALUE"""),"No")</f>
        <v>No</v>
      </c>
      <c r="R888" s="1" t="str">
        <f ca="1">IFERROR(__xludf.DUMMYFUNCTION("""COMPUTED_VALUE"""),"Evening")</f>
        <v>Evening</v>
      </c>
      <c r="S888" s="5">
        <f ca="1">IFERROR(__xludf.DUMMYFUNCTION("""COMPUTED_VALUE"""),0.770833333333333)</f>
        <v>0.77083333333333304</v>
      </c>
      <c r="T888" s="1">
        <f ca="1">IFERROR(__xludf.DUMMYFUNCTION("""COMPUTED_VALUE"""),1)</f>
        <v>1</v>
      </c>
      <c r="U888" s="1" t="str">
        <f ca="1">IFERROR(__xludf.DUMMYFUNCTION("""COMPUTED_VALUE"""),"Teen was sitting on front steps of school when he was shot multiple times by another teen")</f>
        <v>Teen was sitting on front steps of school when he was shot multiple times by another teen</v>
      </c>
      <c r="V888" s="1" t="str">
        <f ca="1">IFERROR(__xludf.DUMMYFUNCTION("""COMPUTED_VALUE"""),"A 17-year-old teen was sitting on the front steps of the school when he was shot multiple times by a 14-year-old teen. The 17-year-old shot back at the 14-year-old who fled the area. The 17-year-old was critically injured and found by police outside the s"&amp;"chool.")</f>
        <v>A 17-year-old teen was sitting on the front steps of the school when he was shot multiple times by a 14-year-old teen. The 17-year-old shot back at the 14-year-old who fled the area. The 17-year-old was critically injured and found by police outside the school.</v>
      </c>
      <c r="W888" s="1"/>
      <c r="X888" s="1" t="str">
        <f ca="1">IFERROR(__xludf.DUMMYFUNCTION("""COMPUTED_VALUE"""),"Victims Targeted")</f>
        <v>Victims Targeted</v>
      </c>
      <c r="Y888" s="1" t="str">
        <f ca="1">IFERROR(__xludf.DUMMYFUNCTION("""COMPUTED_VALUE"""),"No")</f>
        <v>No</v>
      </c>
      <c r="Z888" s="1"/>
      <c r="AA888" s="1" t="str">
        <f ca="1">IFERROR(__xludf.DUMMYFUNCTION("""COMPUTED_VALUE"""),"No")</f>
        <v>No</v>
      </c>
      <c r="AB888" s="1" t="str">
        <f ca="1">IFERROR(__xludf.DUMMYFUNCTION("""COMPUTED_VALUE"""),"No")</f>
        <v>No</v>
      </c>
      <c r="AC888" s="1" t="str">
        <f ca="1">IFERROR(__xludf.DUMMYFUNCTION("""COMPUTED_VALUE"""),"No")</f>
        <v>No</v>
      </c>
      <c r="AD888" s="1" t="str">
        <f ca="1">IFERROR(__xludf.DUMMYFUNCTION("""COMPUTED_VALUE"""),"No")</f>
        <v>No</v>
      </c>
      <c r="AE888" s="1" t="str">
        <f ca="1">IFERROR(__xludf.DUMMYFUNCTION("""COMPUTED_VALUE"""),"No")</f>
        <v>No</v>
      </c>
      <c r="AF888" s="1" t="str">
        <f ca="1">IFERROR(__xludf.DUMMYFUNCTION("""COMPUTED_VALUE"""),"No")</f>
        <v>No</v>
      </c>
      <c r="AG888" s="1" t="str">
        <f ca="1">IFERROR(__xludf.DUMMYFUNCTION("""COMPUTED_VALUE"""),"No")</f>
        <v>No</v>
      </c>
      <c r="AH888" s="1"/>
    </row>
    <row r="889" spans="1:34" ht="12.5">
      <c r="A889" s="1" t="str">
        <f ca="1">IFERROR(__xludf.DUMMYFUNCTION("""COMPUTED_VALUE"""),"20210826OHNOT")</f>
        <v>20210826OHNOT</v>
      </c>
      <c r="B889" s="1">
        <f ca="1">IFERROR(__xludf.DUMMYFUNCTION("""COMPUTED_VALUE"""),8)</f>
        <v>8</v>
      </c>
      <c r="C889" s="1">
        <f ca="1">IFERROR(__xludf.DUMMYFUNCTION("""COMPUTED_VALUE"""),26)</f>
        <v>26</v>
      </c>
      <c r="D889" s="1">
        <f ca="1">IFERROR(__xludf.DUMMYFUNCTION("""COMPUTED_VALUE"""),2021)</f>
        <v>2021</v>
      </c>
      <c r="E889" s="4">
        <f ca="1">IFERROR(__xludf.DUMMYFUNCTION("""COMPUTED_VALUE"""),44434)</f>
        <v>44434</v>
      </c>
      <c r="F889" s="1" t="str">
        <f ca="1">IFERROR(__xludf.DUMMYFUNCTION("""COMPUTED_VALUE"""),"Northpointe Academy Elementary School")</f>
        <v>Northpointe Academy Elementary School</v>
      </c>
      <c r="G889" s="1">
        <f ca="1">IFERROR(__xludf.DUMMYFUNCTION("""COMPUTED_VALUE"""),0)</f>
        <v>0</v>
      </c>
      <c r="H889" s="1">
        <f ca="1">IFERROR(__xludf.DUMMYFUNCTION("""COMPUTED_VALUE"""),0)</f>
        <v>0</v>
      </c>
      <c r="I889" s="1">
        <f ca="1">IFERROR(__xludf.DUMMYFUNCTION("""COMPUTED_VALUE"""),0)</f>
        <v>0</v>
      </c>
      <c r="J889" s="1">
        <f ca="1">IFERROR(__xludf.DUMMYFUNCTION("""COMPUTED_VALUE"""),0)</f>
        <v>0</v>
      </c>
      <c r="K889" s="1" t="str">
        <f ca="1">IFERROR(__xludf.DUMMYFUNCTION("""COMPUTED_VALUE"""),"Fall")</f>
        <v>Fall</v>
      </c>
      <c r="L889" s="1" t="str">
        <f ca="1">IFERROR(__xludf.DUMMYFUNCTION("""COMPUTED_VALUE"""),"Toledo")</f>
        <v>Toledo</v>
      </c>
      <c r="M889" s="1" t="str">
        <f ca="1">IFERROR(__xludf.DUMMYFUNCTION("""COMPUTED_VALUE"""),"OH")</f>
        <v>OH</v>
      </c>
      <c r="N889" s="1" t="str">
        <f ca="1">IFERROR(__xludf.DUMMYFUNCTION("""COMPUTED_VALUE"""),"Elementary")</f>
        <v>Elementary</v>
      </c>
      <c r="O889" s="1" t="str">
        <f ca="1">IFERROR(__xludf.DUMMYFUNCTION("""COMPUTED_VALUE"""),"Football Field/Track")</f>
        <v>Football Field/Track</v>
      </c>
      <c r="P889" s="1" t="str">
        <f ca="1">IFERROR(__xludf.DUMMYFUNCTION("""COMPUTED_VALUE"""),"Outside on School Property")</f>
        <v>Outside on School Property</v>
      </c>
      <c r="Q889" s="1" t="str">
        <f ca="1">IFERROR(__xludf.DUMMYFUNCTION("""COMPUTED_VALUE"""),"No")</f>
        <v>No</v>
      </c>
      <c r="R889" s="1" t="str">
        <f ca="1">IFERROR(__xludf.DUMMYFUNCTION("""COMPUTED_VALUE"""),"Sport Event")</f>
        <v>Sport Event</v>
      </c>
      <c r="S889" s="5">
        <f ca="1">IFERROR(__xludf.DUMMYFUNCTION("""COMPUTED_VALUE"""),0.795138888888888)</f>
        <v>0.79513888888888795</v>
      </c>
      <c r="T889" s="1">
        <f ca="1">IFERROR(__xludf.DUMMYFUNCTION("""COMPUTED_VALUE"""),1)</f>
        <v>1</v>
      </c>
      <c r="U889" s="1" t="str">
        <f ca="1">IFERROR(__xludf.DUMMYFUNCTION("""COMPUTED_VALUE"""),"Coach fired shots into the air during fight at football game")</f>
        <v>Coach fired shots into the air during fight at football game</v>
      </c>
      <c r="V889" s="1" t="str">
        <f ca="1">IFERROR(__xludf.DUMMYFUNCTION("""COMPUTED_VALUE"""),"Adult football coach fired shots into the air during fight between multiple people at a youth football game. When police arrived, 150 people were fleeing the area. Witnesses did not cooperate with police. Coach was not identified and fled the scene prior "&amp;"to police arriving.")</f>
        <v>Adult football coach fired shots into the air during fight between multiple people at a youth football game. When police arrived, 150 people were fleeing the area. Witnesses did not cooperate with police. Coach was not identified and fled the scene prior to police arriving.</v>
      </c>
      <c r="W889" s="1" t="str">
        <f ca="1">IFERROR(__xludf.DUMMYFUNCTION("""COMPUTED_VALUE"""),"Escalation of Dispute")</f>
        <v>Escalation of Dispute</v>
      </c>
      <c r="X889" s="1" t="str">
        <f ca="1">IFERROR(__xludf.DUMMYFUNCTION("""COMPUTED_VALUE"""),"Neither")</f>
        <v>Neither</v>
      </c>
      <c r="Y889" s="1" t="str">
        <f ca="1">IFERROR(__xludf.DUMMYFUNCTION("""COMPUTED_VALUE"""),"No")</f>
        <v>No</v>
      </c>
      <c r="Z889" s="1"/>
      <c r="AA889" s="1" t="str">
        <f ca="1">IFERROR(__xludf.DUMMYFUNCTION("""COMPUTED_VALUE"""),"No")</f>
        <v>No</v>
      </c>
      <c r="AB889" s="1" t="str">
        <f ca="1">IFERROR(__xludf.DUMMYFUNCTION("""COMPUTED_VALUE"""),"No")</f>
        <v>No</v>
      </c>
      <c r="AC889" s="1" t="str">
        <f ca="1">IFERROR(__xludf.DUMMYFUNCTION("""COMPUTED_VALUE"""),"No")</f>
        <v>No</v>
      </c>
      <c r="AD889" s="1" t="str">
        <f ca="1">IFERROR(__xludf.DUMMYFUNCTION("""COMPUTED_VALUE"""),"No")</f>
        <v>No</v>
      </c>
      <c r="AE889" s="1" t="str">
        <f ca="1">IFERROR(__xludf.DUMMYFUNCTION("""COMPUTED_VALUE"""),"No")</f>
        <v>No</v>
      </c>
      <c r="AF889" s="1" t="str">
        <f ca="1">IFERROR(__xludf.DUMMYFUNCTION("""COMPUTED_VALUE"""),"No")</f>
        <v>No</v>
      </c>
      <c r="AG889" s="1" t="str">
        <f ca="1">IFERROR(__xludf.DUMMYFUNCTION("""COMPUTED_VALUE"""),"No")</f>
        <v>No</v>
      </c>
      <c r="AH889" s="1"/>
    </row>
    <row r="890" spans="1:34" ht="12.5">
      <c r="A890" s="1" t="str">
        <f ca="1">IFERROR(__xludf.DUMMYFUNCTION("""COMPUTED_VALUE"""),"20210826NYHAH")</f>
        <v>20210826NYHAH</v>
      </c>
      <c r="B890" s="1">
        <f ca="1">IFERROR(__xludf.DUMMYFUNCTION("""COMPUTED_VALUE"""),8)</f>
        <v>8</v>
      </c>
      <c r="C890" s="1">
        <f ca="1">IFERROR(__xludf.DUMMYFUNCTION("""COMPUTED_VALUE"""),26)</f>
        <v>26</v>
      </c>
      <c r="D890" s="1">
        <f ca="1">IFERROR(__xludf.DUMMYFUNCTION("""COMPUTED_VALUE"""),2021)</f>
        <v>2021</v>
      </c>
      <c r="E890" s="4">
        <f ca="1">IFERROR(__xludf.DUMMYFUNCTION("""COMPUTED_VALUE"""),44434)</f>
        <v>44434</v>
      </c>
      <c r="F890" s="1" t="str">
        <f ca="1">IFERROR(__xludf.DUMMYFUNCTION("""COMPUTED_VALUE"""),"Hauppauge Middle School")</f>
        <v>Hauppauge Middle School</v>
      </c>
      <c r="G890" s="1">
        <f ca="1">IFERROR(__xludf.DUMMYFUNCTION("""COMPUTED_VALUE"""),0)</f>
        <v>0</v>
      </c>
      <c r="H890" s="1">
        <f ca="1">IFERROR(__xludf.DUMMYFUNCTION("""COMPUTED_VALUE"""),0)</f>
        <v>0</v>
      </c>
      <c r="I890" s="1">
        <f ca="1">IFERROR(__xludf.DUMMYFUNCTION("""COMPUTED_VALUE"""),0)</f>
        <v>0</v>
      </c>
      <c r="J890" s="1">
        <f ca="1">IFERROR(__xludf.DUMMYFUNCTION("""COMPUTED_VALUE"""),0)</f>
        <v>0</v>
      </c>
      <c r="K890" s="1" t="str">
        <f ca="1">IFERROR(__xludf.DUMMYFUNCTION("""COMPUTED_VALUE"""),"Fall")</f>
        <v>Fall</v>
      </c>
      <c r="L890" s="1" t="str">
        <f ca="1">IFERROR(__xludf.DUMMYFUNCTION("""COMPUTED_VALUE"""),"Hauppauge")</f>
        <v>Hauppauge</v>
      </c>
      <c r="M890" s="1" t="str">
        <f ca="1">IFERROR(__xludf.DUMMYFUNCTION("""COMPUTED_VALUE"""),"NY")</f>
        <v>NY</v>
      </c>
      <c r="N890" s="1" t="str">
        <f ca="1">IFERROR(__xludf.DUMMYFUNCTION("""COMPUTED_VALUE"""),"Middle")</f>
        <v>Middle</v>
      </c>
      <c r="O890" s="1" t="str">
        <f ca="1">IFERROR(__xludf.DUMMYFUNCTION("""COMPUTED_VALUE"""),"Beside Building")</f>
        <v>Beside Building</v>
      </c>
      <c r="P890" s="1" t="str">
        <f ca="1">IFERROR(__xludf.DUMMYFUNCTION("""COMPUTED_VALUE"""),"Outside on School Property")</f>
        <v>Outside on School Property</v>
      </c>
      <c r="Q890" s="1" t="str">
        <f ca="1">IFERROR(__xludf.DUMMYFUNCTION("""COMPUTED_VALUE"""),"Yes")</f>
        <v>Yes</v>
      </c>
      <c r="R890" s="1" t="str">
        <f ca="1">IFERROR(__xludf.DUMMYFUNCTION("""COMPUTED_VALUE"""),"Morning Classes")</f>
        <v>Morning Classes</v>
      </c>
      <c r="S890" s="5">
        <f ca="1">IFERROR(__xludf.DUMMYFUNCTION("""COMPUTED_VALUE"""),0.489583333333333)</f>
        <v>0.48958333333333298</v>
      </c>
      <c r="T890" s="1">
        <f ca="1">IFERROR(__xludf.DUMMYFUNCTION("""COMPUTED_VALUE"""),1)</f>
        <v>1</v>
      </c>
      <c r="U890" s="1" t="str">
        <f ca="1">IFERROR(__xludf.DUMMYFUNCTION("""COMPUTED_VALUE"""),"Man fired shots during dispute, then fired at security officer")</f>
        <v>Man fired shots during dispute, then fired at security officer</v>
      </c>
      <c r="V890" s="1" t="str">
        <f ca="1">IFERROR(__xludf.DUMMYFUNCTION("""COMPUTED_VALUE"""),"A man fired shots during a dispute outside the school. The school security officer heard shots and approached the man. He fired shots at the officer and fled. Police located the man and arrested him a short distance from the school.")</f>
        <v>A man fired shots during a dispute outside the school. The school security officer heard shots and approached the man. He fired shots at the officer and fled. Police located the man and arrested him a short distance from the school.</v>
      </c>
      <c r="W890" s="1" t="str">
        <f ca="1">IFERROR(__xludf.DUMMYFUNCTION("""COMPUTED_VALUE"""),"Escalation of Dispute")</f>
        <v>Escalation of Dispute</v>
      </c>
      <c r="X890" s="1" t="str">
        <f ca="1">IFERROR(__xludf.DUMMYFUNCTION("""COMPUTED_VALUE"""),"Both")</f>
        <v>Both</v>
      </c>
      <c r="Y890" s="1" t="str">
        <f ca="1">IFERROR(__xludf.DUMMYFUNCTION("""COMPUTED_VALUE"""),"No")</f>
        <v>No</v>
      </c>
      <c r="Z890" s="1"/>
      <c r="AA890" s="1" t="str">
        <f ca="1">IFERROR(__xludf.DUMMYFUNCTION("""COMPUTED_VALUE"""),"No")</f>
        <v>No</v>
      </c>
      <c r="AB890" s="1" t="str">
        <f ca="1">IFERROR(__xludf.DUMMYFUNCTION("""COMPUTED_VALUE"""),"No")</f>
        <v>No</v>
      </c>
      <c r="AC890" s="1" t="str">
        <f ca="1">IFERROR(__xludf.DUMMYFUNCTION("""COMPUTED_VALUE"""),"No")</f>
        <v>No</v>
      </c>
      <c r="AD890" s="1" t="str">
        <f ca="1">IFERROR(__xludf.DUMMYFUNCTION("""COMPUTED_VALUE"""),"No")</f>
        <v>No</v>
      </c>
      <c r="AE890" s="1" t="str">
        <f ca="1">IFERROR(__xludf.DUMMYFUNCTION("""COMPUTED_VALUE"""),"No")</f>
        <v>No</v>
      </c>
      <c r="AF890" s="1" t="str">
        <f ca="1">IFERROR(__xludf.DUMMYFUNCTION("""COMPUTED_VALUE"""),"No")</f>
        <v>No</v>
      </c>
      <c r="AG890" s="1" t="str">
        <f ca="1">IFERROR(__xludf.DUMMYFUNCTION("""COMPUTED_VALUE"""),"No")</f>
        <v>No</v>
      </c>
      <c r="AH890" s="1"/>
    </row>
    <row r="891" spans="1:34" ht="12.5">
      <c r="A891" s="1" t="str">
        <f ca="1">IFERROR(__xludf.DUMMYFUNCTION("""COMPUTED_VALUE"""),"20210822ILWER")</f>
        <v>20210822ILWER</v>
      </c>
      <c r="B891" s="1">
        <f ca="1">IFERROR(__xludf.DUMMYFUNCTION("""COMPUTED_VALUE"""),8)</f>
        <v>8</v>
      </c>
      <c r="C891" s="1">
        <f ca="1">IFERROR(__xludf.DUMMYFUNCTION("""COMPUTED_VALUE"""),22)</f>
        <v>22</v>
      </c>
      <c r="D891" s="1">
        <f ca="1">IFERROR(__xludf.DUMMYFUNCTION("""COMPUTED_VALUE"""),2021)</f>
        <v>2021</v>
      </c>
      <c r="E891" s="4">
        <f ca="1">IFERROR(__xludf.DUMMYFUNCTION("""COMPUTED_VALUE"""),44430)</f>
        <v>44430</v>
      </c>
      <c r="F891" s="1" t="str">
        <f ca="1">IFERROR(__xludf.DUMMYFUNCTION("""COMPUTED_VALUE"""),"West Middle School")</f>
        <v>West Middle School</v>
      </c>
      <c r="G891" s="1">
        <f ca="1">IFERROR(__xludf.DUMMYFUNCTION("""COMPUTED_VALUE"""),0)</f>
        <v>0</v>
      </c>
      <c r="H891" s="1">
        <f ca="1">IFERROR(__xludf.DUMMYFUNCTION("""COMPUTED_VALUE"""),1)</f>
        <v>1</v>
      </c>
      <c r="I891" s="1">
        <f ca="1">IFERROR(__xludf.DUMMYFUNCTION("""COMPUTED_VALUE"""),1)</f>
        <v>1</v>
      </c>
      <c r="J891" s="1">
        <f ca="1">IFERROR(__xludf.DUMMYFUNCTION("""COMPUTED_VALUE"""),0)</f>
        <v>0</v>
      </c>
      <c r="K891" s="1" t="str">
        <f ca="1">IFERROR(__xludf.DUMMYFUNCTION("""COMPUTED_VALUE"""),"Fall")</f>
        <v>Fall</v>
      </c>
      <c r="L891" s="1" t="str">
        <f ca="1">IFERROR(__xludf.DUMMYFUNCTION("""COMPUTED_VALUE"""),"Rockford")</f>
        <v>Rockford</v>
      </c>
      <c r="M891" s="1" t="str">
        <f ca="1">IFERROR(__xludf.DUMMYFUNCTION("""COMPUTED_VALUE"""),"IL")</f>
        <v>IL</v>
      </c>
      <c r="N891" s="1" t="str">
        <f ca="1">IFERROR(__xludf.DUMMYFUNCTION("""COMPUTED_VALUE"""),"Middle")</f>
        <v>Middle</v>
      </c>
      <c r="O891" s="1" t="str">
        <f ca="1">IFERROR(__xludf.DUMMYFUNCTION("""COMPUTED_VALUE"""),"Parking Lot")</f>
        <v>Parking Lot</v>
      </c>
      <c r="P891" s="1" t="str">
        <f ca="1">IFERROR(__xludf.DUMMYFUNCTION("""COMPUTED_VALUE"""),"Outside on School Property")</f>
        <v>Outside on School Property</v>
      </c>
      <c r="Q891" s="1" t="str">
        <f ca="1">IFERROR(__xludf.DUMMYFUNCTION("""COMPUTED_VALUE"""),"No")</f>
        <v>No</v>
      </c>
      <c r="R891" s="1" t="str">
        <f ca="1">IFERROR(__xludf.DUMMYFUNCTION("""COMPUTED_VALUE"""),"Not a School Day")</f>
        <v>Not a School Day</v>
      </c>
      <c r="S891" s="5">
        <f ca="1">IFERROR(__xludf.DUMMYFUNCTION("""COMPUTED_VALUE"""),0.583333333333333)</f>
        <v>0.58333333333333304</v>
      </c>
      <c r="T891" s="1">
        <f ca="1">IFERROR(__xludf.DUMMYFUNCTION("""COMPUTED_VALUE"""),1)</f>
        <v>1</v>
      </c>
      <c r="U891" s="1" t="str">
        <f ca="1">IFERROR(__xludf.DUMMYFUNCTION("""COMPUTED_VALUE"""),"Teen shot during fight in the school parking lot")</f>
        <v>Teen shot during fight in the school parking lot</v>
      </c>
      <c r="V891" s="1" t="str">
        <f ca="1">IFERROR(__xludf.DUMMYFUNCTION("""COMPUTED_VALUE"""),"A 13-year-old teen was shot during a fight between multiple teens in the school parking lot. Shooter fled the scene. 17-year-old shooter was arrested the following week and charged with aggravated battery.")</f>
        <v>A 13-year-old teen was shot during a fight between multiple teens in the school parking lot. Shooter fled the scene. 17-year-old shooter was arrested the following week and charged with aggravated battery.</v>
      </c>
      <c r="W891" s="1" t="str">
        <f ca="1">IFERROR(__xludf.DUMMYFUNCTION("""COMPUTED_VALUE"""),"Escalation of Dispute")</f>
        <v>Escalation of Dispute</v>
      </c>
      <c r="X891" s="1" t="str">
        <f ca="1">IFERROR(__xludf.DUMMYFUNCTION("""COMPUTED_VALUE"""),"Victims Targeted")</f>
        <v>Victims Targeted</v>
      </c>
      <c r="Y891" s="1"/>
      <c r="Z891" s="1"/>
      <c r="AA891" s="1" t="str">
        <f ca="1">IFERROR(__xludf.DUMMYFUNCTION("""COMPUTED_VALUE"""),"No")</f>
        <v>No</v>
      </c>
      <c r="AB891" s="1" t="str">
        <f ca="1">IFERROR(__xludf.DUMMYFUNCTION("""COMPUTED_VALUE"""),"No")</f>
        <v>No</v>
      </c>
      <c r="AC891" s="1" t="str">
        <f ca="1">IFERROR(__xludf.DUMMYFUNCTION("""COMPUTED_VALUE"""),"No")</f>
        <v>No</v>
      </c>
      <c r="AD891" s="1"/>
      <c r="AE891" s="1" t="str">
        <f ca="1">IFERROR(__xludf.DUMMYFUNCTION("""COMPUTED_VALUE"""),"No")</f>
        <v>No</v>
      </c>
      <c r="AF891" s="1"/>
      <c r="AG891" s="1" t="str">
        <f ca="1">IFERROR(__xludf.DUMMYFUNCTION("""COMPUTED_VALUE"""),"No")</f>
        <v>No</v>
      </c>
      <c r="AH891" s="1"/>
    </row>
    <row r="892" spans="1:34" ht="12.5">
      <c r="A892" s="1" t="str">
        <f ca="1">IFERROR(__xludf.DUMMYFUNCTION("""COMPUTED_VALUE"""),"20210820NEMIO")</f>
        <v>20210820NEMIO</v>
      </c>
      <c r="B892" s="1">
        <f ca="1">IFERROR(__xludf.DUMMYFUNCTION("""COMPUTED_VALUE"""),8)</f>
        <v>8</v>
      </c>
      <c r="C892" s="1">
        <f ca="1">IFERROR(__xludf.DUMMYFUNCTION("""COMPUTED_VALUE"""),20)</f>
        <v>20</v>
      </c>
      <c r="D892" s="1">
        <f ca="1">IFERROR(__xludf.DUMMYFUNCTION("""COMPUTED_VALUE"""),2021)</f>
        <v>2021</v>
      </c>
      <c r="E892" s="4">
        <f ca="1">IFERROR(__xludf.DUMMYFUNCTION("""COMPUTED_VALUE"""),44428)</f>
        <v>44428</v>
      </c>
      <c r="F892" s="1" t="str">
        <f ca="1">IFERROR(__xludf.DUMMYFUNCTION("""COMPUTED_VALUE"""),"Miller Park Elementary")</f>
        <v>Miller Park Elementary</v>
      </c>
      <c r="G892" s="1">
        <f ca="1">IFERROR(__xludf.DUMMYFUNCTION("""COMPUTED_VALUE"""),0)</f>
        <v>0</v>
      </c>
      <c r="H892" s="1">
        <f ca="1">IFERROR(__xludf.DUMMYFUNCTION("""COMPUTED_VALUE"""),2)</f>
        <v>2</v>
      </c>
      <c r="I892" s="1">
        <f ca="1">IFERROR(__xludf.DUMMYFUNCTION("""COMPUTED_VALUE"""),2)</f>
        <v>2</v>
      </c>
      <c r="J892" s="1">
        <f ca="1">IFERROR(__xludf.DUMMYFUNCTION("""COMPUTED_VALUE"""),0)</f>
        <v>0</v>
      </c>
      <c r="K892" s="1" t="str">
        <f ca="1">IFERROR(__xludf.DUMMYFUNCTION("""COMPUTED_VALUE"""),"Fall")</f>
        <v>Fall</v>
      </c>
      <c r="L892" s="1" t="str">
        <f ca="1">IFERROR(__xludf.DUMMYFUNCTION("""COMPUTED_VALUE"""),"Omaha")</f>
        <v>Omaha</v>
      </c>
      <c r="M892" s="1" t="str">
        <f ca="1">IFERROR(__xludf.DUMMYFUNCTION("""COMPUTED_VALUE"""),"NE")</f>
        <v>NE</v>
      </c>
      <c r="N892" s="1" t="str">
        <f ca="1">IFERROR(__xludf.DUMMYFUNCTION("""COMPUTED_VALUE"""),"Elementary")</f>
        <v>Elementary</v>
      </c>
      <c r="O892" s="1" t="str">
        <f ca="1">IFERROR(__xludf.DUMMYFUNCTION("""COMPUTED_VALUE"""),"Playground")</f>
        <v>Playground</v>
      </c>
      <c r="P892" s="1" t="str">
        <f ca="1">IFERROR(__xludf.DUMMYFUNCTION("""COMPUTED_VALUE"""),"Outside on School Property")</f>
        <v>Outside on School Property</v>
      </c>
      <c r="Q892" s="1" t="str">
        <f ca="1">IFERROR(__xludf.DUMMYFUNCTION("""COMPUTED_VALUE"""),"No")</f>
        <v>No</v>
      </c>
      <c r="R892" s="1" t="str">
        <f ca="1">IFERROR(__xludf.DUMMYFUNCTION("""COMPUTED_VALUE"""),"Night")</f>
        <v>Night</v>
      </c>
      <c r="S892" s="5">
        <f ca="1">IFERROR(__xludf.DUMMYFUNCTION("""COMPUTED_VALUE"""),0.104166666666666)</f>
        <v>0.10416666666666601</v>
      </c>
      <c r="T892" s="1">
        <f ca="1">IFERROR(__xludf.DUMMYFUNCTION("""COMPUTED_VALUE"""),1)</f>
        <v>1</v>
      </c>
      <c r="U892" s="1" t="str">
        <f ca="1">IFERROR(__xludf.DUMMYFUNCTION("""COMPUTED_VALUE"""),"Two adults shot in front of elementary school")</f>
        <v>Two adults shot in front of elementary school</v>
      </c>
      <c r="V892" s="1" t="str">
        <f ca="1">IFERROR(__xludf.DUMMYFUNCTION("""COMPUTED_VALUE"""),"Two adults were shot in front of the elementary school. Crime scene extended across the front lawn of the school and playground. 27 shots were fired. School was closed at the time of the shooting. Crime scene investigation was active as students and paren"&amp;"ts arrived at the school.")</f>
        <v>Two adults were shot in front of the elementary school. Crime scene extended across the front lawn of the school and playground. 27 shots were fired. School was closed at the time of the shooting. Crime scene investigation was active as students and parents arrived at the school.</v>
      </c>
      <c r="W892" s="1"/>
      <c r="X892" s="1" t="str">
        <f ca="1">IFERROR(__xludf.DUMMYFUNCTION("""COMPUTED_VALUE"""),"Victims Targeted")</f>
        <v>Victims Targeted</v>
      </c>
      <c r="Y892" s="1"/>
      <c r="Z892" s="1"/>
      <c r="AA892" s="1" t="str">
        <f ca="1">IFERROR(__xludf.DUMMYFUNCTION("""COMPUTED_VALUE"""),"No")</f>
        <v>No</v>
      </c>
      <c r="AB892" s="1" t="str">
        <f ca="1">IFERROR(__xludf.DUMMYFUNCTION("""COMPUTED_VALUE"""),"No")</f>
        <v>No</v>
      </c>
      <c r="AC892" s="1" t="str">
        <f ca="1">IFERROR(__xludf.DUMMYFUNCTION("""COMPUTED_VALUE"""),"No")</f>
        <v>No</v>
      </c>
      <c r="AD892" s="1" t="str">
        <f ca="1">IFERROR(__xludf.DUMMYFUNCTION("""COMPUTED_VALUE"""),"No")</f>
        <v>No</v>
      </c>
      <c r="AE892" s="1"/>
      <c r="AF892" s="1"/>
      <c r="AG892" s="1" t="str">
        <f ca="1">IFERROR(__xludf.DUMMYFUNCTION("""COMPUTED_VALUE"""),"No")</f>
        <v>No</v>
      </c>
      <c r="AH892" s="1">
        <f ca="1">IFERROR(__xludf.DUMMYFUNCTION("""COMPUTED_VALUE"""),27)</f>
        <v>27</v>
      </c>
    </row>
    <row r="893" spans="1:34" ht="12.5">
      <c r="A893" s="1" t="str">
        <f ca="1">IFERROR(__xludf.DUMMYFUNCTION("""COMPUTED_VALUE"""),"20210820CACEF")</f>
        <v>20210820CACEF</v>
      </c>
      <c r="B893" s="1">
        <f ca="1">IFERROR(__xludf.DUMMYFUNCTION("""COMPUTED_VALUE"""),8)</f>
        <v>8</v>
      </c>
      <c r="C893" s="1">
        <f ca="1">IFERROR(__xludf.DUMMYFUNCTION("""COMPUTED_VALUE"""),20)</f>
        <v>20</v>
      </c>
      <c r="D893" s="1">
        <f ca="1">IFERROR(__xludf.DUMMYFUNCTION("""COMPUTED_VALUE"""),2021)</f>
        <v>2021</v>
      </c>
      <c r="E893" s="4">
        <f ca="1">IFERROR(__xludf.DUMMYFUNCTION("""COMPUTED_VALUE"""),44428)</f>
        <v>44428</v>
      </c>
      <c r="F893" s="1" t="str">
        <f ca="1">IFERROR(__xludf.DUMMYFUNCTION("""COMPUTED_VALUE"""),"Central High-Bullard High")</f>
        <v>Central High-Bullard High</v>
      </c>
      <c r="G893" s="1">
        <f ca="1">IFERROR(__xludf.DUMMYFUNCTION("""COMPUTED_VALUE"""),0)</f>
        <v>0</v>
      </c>
      <c r="H893" s="1">
        <f ca="1">IFERROR(__xludf.DUMMYFUNCTION("""COMPUTED_VALUE"""),1)</f>
        <v>1</v>
      </c>
      <c r="I893" s="1">
        <f ca="1">IFERROR(__xludf.DUMMYFUNCTION("""COMPUTED_VALUE"""),1)</f>
        <v>1</v>
      </c>
      <c r="J893" s="1">
        <f ca="1">IFERROR(__xludf.DUMMYFUNCTION("""COMPUTED_VALUE"""),0)</f>
        <v>0</v>
      </c>
      <c r="K893" s="1" t="str">
        <f ca="1">IFERROR(__xludf.DUMMYFUNCTION("""COMPUTED_VALUE"""),"Fall")</f>
        <v>Fall</v>
      </c>
      <c r="L893" s="1" t="str">
        <f ca="1">IFERROR(__xludf.DUMMYFUNCTION("""COMPUTED_VALUE"""),"Fresno")</f>
        <v>Fresno</v>
      </c>
      <c r="M893" s="1" t="str">
        <f ca="1">IFERROR(__xludf.DUMMYFUNCTION("""COMPUTED_VALUE"""),"CA")</f>
        <v>CA</v>
      </c>
      <c r="N893" s="1" t="str">
        <f ca="1">IFERROR(__xludf.DUMMYFUNCTION("""COMPUTED_VALUE"""),"High")</f>
        <v>High</v>
      </c>
      <c r="O893" s="1" t="str">
        <f ca="1">IFERROR(__xludf.DUMMYFUNCTION("""COMPUTED_VALUE"""),"Parking Lot")</f>
        <v>Parking Lot</v>
      </c>
      <c r="P893" s="1" t="str">
        <f ca="1">IFERROR(__xludf.DUMMYFUNCTION("""COMPUTED_VALUE"""),"Outside on School Property")</f>
        <v>Outside on School Property</v>
      </c>
      <c r="Q893" s="1" t="str">
        <f ca="1">IFERROR(__xludf.DUMMYFUNCTION("""COMPUTED_VALUE"""),"No")</f>
        <v>No</v>
      </c>
      <c r="R893" s="1" t="str">
        <f ca="1">IFERROR(__xludf.DUMMYFUNCTION("""COMPUTED_VALUE"""),"Sport Event")</f>
        <v>Sport Event</v>
      </c>
      <c r="S893" s="5">
        <f ca="1">IFERROR(__xludf.DUMMYFUNCTION("""COMPUTED_VALUE"""),0.920138888888888)</f>
        <v>0.92013888888888795</v>
      </c>
      <c r="T893" s="1">
        <f ca="1">IFERROR(__xludf.DUMMYFUNCTION("""COMPUTED_VALUE"""),1)</f>
        <v>1</v>
      </c>
      <c r="U893" s="1" t="str">
        <f ca="1">IFERROR(__xludf.DUMMYFUNCTION("""COMPUTED_VALUE"""),"Teen shot multiple times in the parking lot following football game")</f>
        <v>Teen shot multiple times in the parking lot following football game</v>
      </c>
      <c r="V893" s="1" t="str">
        <f ca="1">IFERROR(__xludf.DUMMYFUNCTION("""COMPUTED_VALUE"""),"A 19-year-old teen was shot by another 19-year-old teen in the parking lot of the high school when fans were leaving after a football game. Students and parents ran from the area. Police officers assigned to the game were already in the parking lot and de"&amp;"tained the shooter who attempted to run. Police reported the shooter and victim were gang members and not students at the school.")</f>
        <v>A 19-year-old teen was shot by another 19-year-old teen in the parking lot of the high school when fans were leaving after a football game. Students and parents ran from the area. Police officers assigned to the game were already in the parking lot and detained the shooter who attempted to run. Police reported the shooter and victim were gang members and not students at the school.</v>
      </c>
      <c r="W893" s="1" t="str">
        <f ca="1">IFERROR(__xludf.DUMMYFUNCTION("""COMPUTED_VALUE"""),"Escalation of Dispute")</f>
        <v>Escalation of Dispute</v>
      </c>
      <c r="X893" s="1" t="str">
        <f ca="1">IFERROR(__xludf.DUMMYFUNCTION("""COMPUTED_VALUE"""),"Victims Targeted")</f>
        <v>Victims Targeted</v>
      </c>
      <c r="Y893" s="1" t="str">
        <f ca="1">IFERROR(__xludf.DUMMYFUNCTION("""COMPUTED_VALUE"""),"No")</f>
        <v>No</v>
      </c>
      <c r="Z893" s="1"/>
      <c r="AA893" s="1" t="str">
        <f ca="1">IFERROR(__xludf.DUMMYFUNCTION("""COMPUTED_VALUE"""),"No")</f>
        <v>No</v>
      </c>
      <c r="AB893" s="1" t="str">
        <f ca="1">IFERROR(__xludf.DUMMYFUNCTION("""COMPUTED_VALUE"""),"No")</f>
        <v>No</v>
      </c>
      <c r="AC893" s="1" t="str">
        <f ca="1">IFERROR(__xludf.DUMMYFUNCTION("""COMPUTED_VALUE"""),"No")</f>
        <v>No</v>
      </c>
      <c r="AD893" s="1" t="str">
        <f ca="1">IFERROR(__xludf.DUMMYFUNCTION("""COMPUTED_VALUE"""),"No")</f>
        <v>No</v>
      </c>
      <c r="AE893" s="1" t="str">
        <f ca="1">IFERROR(__xludf.DUMMYFUNCTION("""COMPUTED_VALUE"""),"No")</f>
        <v>No</v>
      </c>
      <c r="AF893" s="1" t="str">
        <f ca="1">IFERROR(__xludf.DUMMYFUNCTION("""COMPUTED_VALUE"""),"Yes")</f>
        <v>Yes</v>
      </c>
      <c r="AG893" s="1" t="str">
        <f ca="1">IFERROR(__xludf.DUMMYFUNCTION("""COMPUTED_VALUE"""),"No")</f>
        <v>No</v>
      </c>
      <c r="AH893" s="1"/>
    </row>
    <row r="894" spans="1:34" ht="12.5">
      <c r="A894" s="1" t="str">
        <f ca="1">IFERROR(__xludf.DUMMYFUNCTION("""COMPUTED_VALUE"""),"20210818SCORO")</f>
        <v>20210818SCORO</v>
      </c>
      <c r="B894" s="1">
        <f ca="1">IFERROR(__xludf.DUMMYFUNCTION("""COMPUTED_VALUE"""),8)</f>
        <v>8</v>
      </c>
      <c r="C894" s="1">
        <f ca="1">IFERROR(__xludf.DUMMYFUNCTION("""COMPUTED_VALUE"""),18)</f>
        <v>18</v>
      </c>
      <c r="D894" s="1">
        <f ca="1">IFERROR(__xludf.DUMMYFUNCTION("""COMPUTED_VALUE"""),2021)</f>
        <v>2021</v>
      </c>
      <c r="E894" s="4">
        <f ca="1">IFERROR(__xludf.DUMMYFUNCTION("""COMPUTED_VALUE"""),44426)</f>
        <v>44426</v>
      </c>
      <c r="F894" s="1" t="str">
        <f ca="1">IFERROR(__xludf.DUMMYFUNCTION("""COMPUTED_VALUE"""),"Orangeburg-Wilkinson High School")</f>
        <v>Orangeburg-Wilkinson High School</v>
      </c>
      <c r="G894" s="1">
        <f ca="1">IFERROR(__xludf.DUMMYFUNCTION("""COMPUTED_VALUE"""),0)</f>
        <v>0</v>
      </c>
      <c r="H894" s="1">
        <f ca="1">IFERROR(__xludf.DUMMYFUNCTION("""COMPUTED_VALUE"""),3)</f>
        <v>3</v>
      </c>
      <c r="I894" s="1">
        <f ca="1">IFERROR(__xludf.DUMMYFUNCTION("""COMPUTED_VALUE"""),3)</f>
        <v>3</v>
      </c>
      <c r="J894" s="1">
        <f ca="1">IFERROR(__xludf.DUMMYFUNCTION("""COMPUTED_VALUE"""),0)</f>
        <v>0</v>
      </c>
      <c r="K894" s="1" t="str">
        <f ca="1">IFERROR(__xludf.DUMMYFUNCTION("""COMPUTED_VALUE"""),"Fall")</f>
        <v>Fall</v>
      </c>
      <c r="L894" s="1" t="str">
        <f ca="1">IFERROR(__xludf.DUMMYFUNCTION("""COMPUTED_VALUE"""),"Orangeburg")</f>
        <v>Orangeburg</v>
      </c>
      <c r="M894" s="1" t="str">
        <f ca="1">IFERROR(__xludf.DUMMYFUNCTION("""COMPUTED_VALUE"""),"SC")</f>
        <v>SC</v>
      </c>
      <c r="N894" s="1" t="str">
        <f ca="1">IFERROR(__xludf.DUMMYFUNCTION("""COMPUTED_VALUE"""),"High")</f>
        <v>High</v>
      </c>
      <c r="O894" s="1" t="str">
        <f ca="1">IFERROR(__xludf.DUMMYFUNCTION("""COMPUTED_VALUE"""),"Parking Lot")</f>
        <v>Parking Lot</v>
      </c>
      <c r="P894" s="1" t="str">
        <f ca="1">IFERROR(__xludf.DUMMYFUNCTION("""COMPUTED_VALUE"""),"Outside on School Property")</f>
        <v>Outside on School Property</v>
      </c>
      <c r="Q894" s="1" t="str">
        <f ca="1">IFERROR(__xludf.DUMMYFUNCTION("""COMPUTED_VALUE"""),"Yes")</f>
        <v>Yes</v>
      </c>
      <c r="R894" s="1" t="str">
        <f ca="1">IFERROR(__xludf.DUMMYFUNCTION("""COMPUTED_VALUE"""),"Dismissal")</f>
        <v>Dismissal</v>
      </c>
      <c r="S894" s="5">
        <f ca="1">IFERROR(__xludf.DUMMYFUNCTION("""COMPUTED_VALUE"""),0.666666666666666)</f>
        <v>0.66666666666666596</v>
      </c>
      <c r="T894" s="1">
        <f ca="1">IFERROR(__xludf.DUMMYFUNCTION("""COMPUTED_VALUE"""),1)</f>
        <v>1</v>
      </c>
      <c r="U894" s="1" t="str">
        <f ca="1">IFERROR(__xludf.DUMMYFUNCTION("""COMPUTED_VALUE"""),"Teen shot 3 students in school parking lot during dismissal")</f>
        <v>Teen shot 3 students in school parking lot during dismissal</v>
      </c>
      <c r="V894" s="1" t="str">
        <f ca="1">IFERROR(__xludf.DUMMYFUNCTION("""COMPUTED_VALUE"""),"A 14-year-old male shot 3 students in the parking lot outside of the school during dismissal. Shooter fled the scene and was arrested the following day. Principal credited ""stop the bleed"" training with saving the lives of the victims. Police increased "&amp;"presence at the school. Shooter obtained the gun in Atlanta while visiting the family, that the shooting was pre-meditated, that Glover bragged about the shooting before it happened, and he strategically waited for the victims. Shooter claims multiple stu"&amp;"dents had weapons on campus the day of the shooting.")</f>
        <v>A 14-year-old male shot 3 students in the parking lot outside of the school during dismissal. Shooter fled the scene and was arrested the following day. Principal credited "stop the bleed" training with saving the lives of the victims. Police increased presence at the school. Shooter obtained the gun in Atlanta while visiting the family, that the shooting was pre-meditated, that Glover bragged about the shooting before it happened, and he strategically waited for the victims. Shooter claims multiple students had weapons on campus the day of the shooting.</v>
      </c>
      <c r="W894" s="1" t="str">
        <f ca="1">IFERROR(__xludf.DUMMYFUNCTION("""COMPUTED_VALUE"""),"Escalation of Dispute")</f>
        <v>Escalation of Dispute</v>
      </c>
      <c r="X894" s="1" t="str">
        <f ca="1">IFERROR(__xludf.DUMMYFUNCTION("""COMPUTED_VALUE"""),"Both")</f>
        <v>Both</v>
      </c>
      <c r="Y894" s="1" t="str">
        <f ca="1">IFERROR(__xludf.DUMMYFUNCTION("""COMPUTED_VALUE"""),"No")</f>
        <v>No</v>
      </c>
      <c r="Z894" s="1"/>
      <c r="AA894" s="1" t="str">
        <f ca="1">IFERROR(__xludf.DUMMYFUNCTION("""COMPUTED_VALUE"""),"No")</f>
        <v>No</v>
      </c>
      <c r="AB894" s="1" t="str">
        <f ca="1">IFERROR(__xludf.DUMMYFUNCTION("""COMPUTED_VALUE"""),"No")</f>
        <v>No</v>
      </c>
      <c r="AC894" s="1" t="str">
        <f ca="1">IFERROR(__xludf.DUMMYFUNCTION("""COMPUTED_VALUE"""),"No")</f>
        <v>No</v>
      </c>
      <c r="AD894" s="1" t="str">
        <f ca="1">IFERROR(__xludf.DUMMYFUNCTION("""COMPUTED_VALUE"""),"Yes")</f>
        <v>Yes</v>
      </c>
      <c r="AE894" s="1" t="str">
        <f ca="1">IFERROR(__xludf.DUMMYFUNCTION("""COMPUTED_VALUE"""),"No")</f>
        <v>No</v>
      </c>
      <c r="AF894" s="1"/>
      <c r="AG894" s="1" t="str">
        <f ca="1">IFERROR(__xludf.DUMMYFUNCTION("""COMPUTED_VALUE"""),"No")</f>
        <v>No</v>
      </c>
      <c r="AH894" s="1">
        <f ca="1">IFERROR(__xludf.DUMMYFUNCTION("""COMPUTED_VALUE"""),99)</f>
        <v>99</v>
      </c>
    </row>
    <row r="895" spans="1:34" ht="12.5">
      <c r="A895" s="1" t="str">
        <f ca="1">IFERROR(__xludf.DUMMYFUNCTION("""COMPUTED_VALUE"""),"20210817COYED")</f>
        <v>20210817COYED</v>
      </c>
      <c r="B895" s="1">
        <f ca="1">IFERROR(__xludf.DUMMYFUNCTION("""COMPUTED_VALUE"""),8)</f>
        <v>8</v>
      </c>
      <c r="C895" s="1">
        <f ca="1">IFERROR(__xludf.DUMMYFUNCTION("""COMPUTED_VALUE"""),17)</f>
        <v>17</v>
      </c>
      <c r="D895" s="1">
        <f ca="1">IFERROR(__xludf.DUMMYFUNCTION("""COMPUTED_VALUE"""),2021)</f>
        <v>2021</v>
      </c>
      <c r="E895" s="4">
        <f ca="1">IFERROR(__xludf.DUMMYFUNCTION("""COMPUTED_VALUE"""),44425)</f>
        <v>44425</v>
      </c>
      <c r="F895" s="1" t="str">
        <f ca="1">IFERROR(__xludf.DUMMYFUNCTION("""COMPUTED_VALUE"""),"Yeshiva Toras Chaim High School")</f>
        <v>Yeshiva Toras Chaim High School</v>
      </c>
      <c r="G895" s="1">
        <f ca="1">IFERROR(__xludf.DUMMYFUNCTION("""COMPUTED_VALUE"""),1)</f>
        <v>1</v>
      </c>
      <c r="H895" s="1">
        <f ca="1">IFERROR(__xludf.DUMMYFUNCTION("""COMPUTED_VALUE"""),0)</f>
        <v>0</v>
      </c>
      <c r="I895" s="1">
        <f ca="1">IFERROR(__xludf.DUMMYFUNCTION("""COMPUTED_VALUE"""),1)</f>
        <v>1</v>
      </c>
      <c r="J895" s="1">
        <f ca="1">IFERROR(__xludf.DUMMYFUNCTION("""COMPUTED_VALUE"""),0)</f>
        <v>0</v>
      </c>
      <c r="K895" s="1" t="str">
        <f ca="1">IFERROR(__xludf.DUMMYFUNCTION("""COMPUTED_VALUE"""),"Fall")</f>
        <v>Fall</v>
      </c>
      <c r="L895" s="1" t="str">
        <f ca="1">IFERROR(__xludf.DUMMYFUNCTION("""COMPUTED_VALUE"""),"Denver")</f>
        <v>Denver</v>
      </c>
      <c r="M895" s="1" t="str">
        <f ca="1">IFERROR(__xludf.DUMMYFUNCTION("""COMPUTED_VALUE"""),"CO")</f>
        <v>CO</v>
      </c>
      <c r="N895" s="1" t="str">
        <f ca="1">IFERROR(__xludf.DUMMYFUNCTION("""COMPUTED_VALUE"""),"High")</f>
        <v>High</v>
      </c>
      <c r="O895" s="1" t="str">
        <f ca="1">IFERROR(__xludf.DUMMYFUNCTION("""COMPUTED_VALUE"""),"Front of School")</f>
        <v>Front of School</v>
      </c>
      <c r="P895" s="1" t="str">
        <f ca="1">IFERROR(__xludf.DUMMYFUNCTION("""COMPUTED_VALUE"""),"Outside on School Property")</f>
        <v>Outside on School Property</v>
      </c>
      <c r="Q895" s="1" t="str">
        <f ca="1">IFERROR(__xludf.DUMMYFUNCTION("""COMPUTED_VALUE"""),"Yes")</f>
        <v>Yes</v>
      </c>
      <c r="R895" s="1" t="str">
        <f ca="1">IFERROR(__xludf.DUMMYFUNCTION("""COMPUTED_VALUE"""),"Night")</f>
        <v>Night</v>
      </c>
      <c r="S895" s="5">
        <f ca="1">IFERROR(__xludf.DUMMYFUNCTION("""COMPUTED_VALUE"""),0.982638888888888)</f>
        <v>0.98263888888888795</v>
      </c>
      <c r="T895" s="1">
        <f ca="1">IFERROR(__xludf.DUMMYFUNCTION("""COMPUTED_VALUE"""),1)</f>
        <v>1</v>
      </c>
      <c r="U895" s="1" t="str">
        <f ca="1">IFERROR(__xludf.DUMMYFUNCTION("""COMPUTED_VALUE"""),"Student fatally shot during robbery in front of school")</f>
        <v>Student fatally shot during robbery in front of school</v>
      </c>
      <c r="V895" s="1" t="str">
        <f ca="1">IFERROR(__xludf.DUMMYFUNCTION("""COMPUTED_VALUE"""),"An 18-year-old student was making a phone call outside of the Orthodox Jewish High School when he was fatally shot during a robbery. The shooter was involved in 2 other armed robberies just prior to the shooting. Shooter fled the scene and was arrested th"&amp;"e next day. Four suspects were arrested for their role in the shooting and other crimes prior to it.")</f>
        <v>An 18-year-old student was making a phone call outside of the Orthodox Jewish High School when he was fatally shot during a robbery. The shooter was involved in 2 other armed robberies just prior to the shooting. Shooter fled the scene and was arrested the next day. Four suspects were arrested for their role in the shooting and other crimes prior to it.</v>
      </c>
      <c r="W895" s="1" t="str">
        <f ca="1">IFERROR(__xludf.DUMMYFUNCTION("""COMPUTED_VALUE"""),"Illegal Activity")</f>
        <v>Illegal Activity</v>
      </c>
      <c r="X895" s="1" t="str">
        <f ca="1">IFERROR(__xludf.DUMMYFUNCTION("""COMPUTED_VALUE"""),"Victims Targeted")</f>
        <v>Victims Targeted</v>
      </c>
      <c r="Y895" s="1" t="str">
        <f ca="1">IFERROR(__xludf.DUMMYFUNCTION("""COMPUTED_VALUE"""),"Yes")</f>
        <v>Yes</v>
      </c>
      <c r="Z895" s="1" t="str">
        <f ca="1">IFERROR(__xludf.DUMMYFUNCTION("""COMPUTED_VALUE"""),"4 suspects arrested")</f>
        <v>4 suspects arrested</v>
      </c>
      <c r="AA895" s="1" t="str">
        <f ca="1">IFERROR(__xludf.DUMMYFUNCTION("""COMPUTED_VALUE"""),"No")</f>
        <v>No</v>
      </c>
      <c r="AB895" s="1" t="str">
        <f ca="1">IFERROR(__xludf.DUMMYFUNCTION("""COMPUTED_VALUE"""),"No")</f>
        <v>No</v>
      </c>
      <c r="AC895" s="1" t="str">
        <f ca="1">IFERROR(__xludf.DUMMYFUNCTION("""COMPUTED_VALUE"""),"No")</f>
        <v>No</v>
      </c>
      <c r="AD895" s="1" t="str">
        <f ca="1">IFERROR(__xludf.DUMMYFUNCTION("""COMPUTED_VALUE"""),"No")</f>
        <v>No</v>
      </c>
      <c r="AE895" s="1" t="str">
        <f ca="1">IFERROR(__xludf.DUMMYFUNCTION("""COMPUTED_VALUE"""),"No")</f>
        <v>No</v>
      </c>
      <c r="AF895" s="1" t="str">
        <f ca="1">IFERROR(__xludf.DUMMYFUNCTION("""COMPUTED_VALUE"""),"No")</f>
        <v>No</v>
      </c>
      <c r="AG895" s="1" t="str">
        <f ca="1">IFERROR(__xludf.DUMMYFUNCTION("""COMPUTED_VALUE"""),"No")</f>
        <v>No</v>
      </c>
      <c r="AH895" s="1"/>
    </row>
    <row r="896" spans="1:34" ht="12.5">
      <c r="A896" s="1" t="str">
        <f ca="1">IFERROR(__xludf.DUMMYFUNCTION("""COMPUTED_VALUE"""),"20210815VAROD")</f>
        <v>20210815VAROD</v>
      </c>
      <c r="B896" s="1">
        <f ca="1">IFERROR(__xludf.DUMMYFUNCTION("""COMPUTED_VALUE"""),8)</f>
        <v>8</v>
      </c>
      <c r="C896" s="1">
        <f ca="1">IFERROR(__xludf.DUMMYFUNCTION("""COMPUTED_VALUE"""),15)</f>
        <v>15</v>
      </c>
      <c r="D896" s="1">
        <f ca="1">IFERROR(__xludf.DUMMYFUNCTION("""COMPUTED_VALUE"""),2021)</f>
        <v>2021</v>
      </c>
      <c r="E896" s="4">
        <f ca="1">IFERROR(__xludf.DUMMYFUNCTION("""COMPUTED_VALUE"""),44423)</f>
        <v>44423</v>
      </c>
      <c r="F896" s="1" t="str">
        <f ca="1">IFERROR(__xludf.DUMMYFUNCTION("""COMPUTED_VALUE"""),"Rosa Park Elementary School")</f>
        <v>Rosa Park Elementary School</v>
      </c>
      <c r="G896" s="1">
        <f ca="1">IFERROR(__xludf.DUMMYFUNCTION("""COMPUTED_VALUE"""),0)</f>
        <v>0</v>
      </c>
      <c r="H896" s="1">
        <f ca="1">IFERROR(__xludf.DUMMYFUNCTION("""COMPUTED_VALUE"""),0)</f>
        <v>0</v>
      </c>
      <c r="I896" s="1">
        <f ca="1">IFERROR(__xludf.DUMMYFUNCTION("""COMPUTED_VALUE"""),0)</f>
        <v>0</v>
      </c>
      <c r="J896" s="1">
        <f ca="1">IFERROR(__xludf.DUMMYFUNCTION("""COMPUTED_VALUE"""),0)</f>
        <v>0</v>
      </c>
      <c r="K896" s="1" t="str">
        <f ca="1">IFERROR(__xludf.DUMMYFUNCTION("""COMPUTED_VALUE"""),"Summer")</f>
        <v>Summer</v>
      </c>
      <c r="L896" s="1" t="str">
        <f ca="1">IFERROR(__xludf.DUMMYFUNCTION("""COMPUTED_VALUE"""),"Dale City")</f>
        <v>Dale City</v>
      </c>
      <c r="M896" s="1" t="str">
        <f ca="1">IFERROR(__xludf.DUMMYFUNCTION("""COMPUTED_VALUE"""),"VA")</f>
        <v>VA</v>
      </c>
      <c r="N896" s="1" t="str">
        <f ca="1">IFERROR(__xludf.DUMMYFUNCTION("""COMPUTED_VALUE"""),"Elementary")</f>
        <v>Elementary</v>
      </c>
      <c r="O896" s="1" t="str">
        <f ca="1">IFERROR(__xludf.DUMMYFUNCTION("""COMPUTED_VALUE"""),"Parking Lot")</f>
        <v>Parking Lot</v>
      </c>
      <c r="P896" s="1" t="str">
        <f ca="1">IFERROR(__xludf.DUMMYFUNCTION("""COMPUTED_VALUE"""),"Outside on School Property")</f>
        <v>Outside on School Property</v>
      </c>
      <c r="Q896" s="1" t="str">
        <f ca="1">IFERROR(__xludf.DUMMYFUNCTION("""COMPUTED_VALUE"""),"No")</f>
        <v>No</v>
      </c>
      <c r="R896" s="1" t="str">
        <f ca="1">IFERROR(__xludf.DUMMYFUNCTION("""COMPUTED_VALUE"""),"Not a School Day")</f>
        <v>Not a School Day</v>
      </c>
      <c r="S896" s="5">
        <f ca="1">IFERROR(__xludf.DUMMYFUNCTION("""COMPUTED_VALUE"""),0.767361111111111)</f>
        <v>0.76736111111111105</v>
      </c>
      <c r="T896" s="1">
        <f ca="1">IFERROR(__xludf.DUMMYFUNCTION("""COMPUTED_VALUE"""),1)</f>
        <v>1</v>
      </c>
      <c r="U896" s="1" t="str">
        <f ca="1">IFERROR(__xludf.DUMMYFUNCTION("""COMPUTED_VALUE"""),"Shots fired in school parking lot during fight between a group of people")</f>
        <v>Shots fired in school parking lot during fight between a group of people</v>
      </c>
      <c r="V896" s="1" t="str">
        <f ca="1">IFERROR(__xludf.DUMMYFUNCTION("""COMPUTED_VALUE"""),"Shots were fired in the school parking lot during a fight between a group of people. All persons involved fled the scene before police arrived. Police recovered shell casing from the parking lot. No injuries reported. School was closed at the time of the "&amp;"shooting.")</f>
        <v>Shots were fired in the school parking lot during a fight between a group of people. All persons involved fled the scene before police arrived. Police recovered shell casing from the parking lot. No injuries reported. School was closed at the time of the shooting.</v>
      </c>
      <c r="W896" s="1" t="str">
        <f ca="1">IFERROR(__xludf.DUMMYFUNCTION("""COMPUTED_VALUE"""),"Escalation of Dispute")</f>
        <v>Escalation of Dispute</v>
      </c>
      <c r="X896" s="1" t="str">
        <f ca="1">IFERROR(__xludf.DUMMYFUNCTION("""COMPUTED_VALUE"""),"Neither")</f>
        <v>Neither</v>
      </c>
      <c r="Y896" s="1" t="str">
        <f ca="1">IFERROR(__xludf.DUMMYFUNCTION("""COMPUTED_VALUE"""),"No")</f>
        <v>No</v>
      </c>
      <c r="Z896" s="1"/>
      <c r="AA896" s="1" t="str">
        <f ca="1">IFERROR(__xludf.DUMMYFUNCTION("""COMPUTED_VALUE"""),"No")</f>
        <v>No</v>
      </c>
      <c r="AB896" s="1" t="str">
        <f ca="1">IFERROR(__xludf.DUMMYFUNCTION("""COMPUTED_VALUE"""),"No")</f>
        <v>No</v>
      </c>
      <c r="AC896" s="1" t="str">
        <f ca="1">IFERROR(__xludf.DUMMYFUNCTION("""COMPUTED_VALUE"""),"No")</f>
        <v>No</v>
      </c>
      <c r="AD896" s="1" t="str">
        <f ca="1">IFERROR(__xludf.DUMMYFUNCTION("""COMPUTED_VALUE"""),"No")</f>
        <v>No</v>
      </c>
      <c r="AE896" s="1" t="str">
        <f ca="1">IFERROR(__xludf.DUMMYFUNCTION("""COMPUTED_VALUE"""),"No")</f>
        <v>No</v>
      </c>
      <c r="AF896" s="1"/>
      <c r="AG896" s="1" t="str">
        <f ca="1">IFERROR(__xludf.DUMMYFUNCTION("""COMPUTED_VALUE"""),"No")</f>
        <v>No</v>
      </c>
      <c r="AH896" s="1"/>
    </row>
    <row r="897" spans="1:34" ht="12.5">
      <c r="A897" s="1" t="str">
        <f ca="1">IFERROR(__xludf.DUMMYFUNCTION("""COMPUTED_VALUE"""),"20210814SCDAH")</f>
        <v>20210814SCDAH</v>
      </c>
      <c r="B897" s="1">
        <f ca="1">IFERROR(__xludf.DUMMYFUNCTION("""COMPUTED_VALUE"""),8)</f>
        <v>8</v>
      </c>
      <c r="C897" s="1">
        <f ca="1">IFERROR(__xludf.DUMMYFUNCTION("""COMPUTED_VALUE"""),14)</f>
        <v>14</v>
      </c>
      <c r="D897" s="1">
        <f ca="1">IFERROR(__xludf.DUMMYFUNCTION("""COMPUTED_VALUE"""),2021)</f>
        <v>2021</v>
      </c>
      <c r="E897" s="4">
        <f ca="1">IFERROR(__xludf.DUMMYFUNCTION("""COMPUTED_VALUE"""),44422)</f>
        <v>44422</v>
      </c>
      <c r="F897" s="1" t="str">
        <f ca="1">IFERROR(__xludf.DUMMYFUNCTION("""COMPUTED_VALUE"""),"Darlington County School District Buses")</f>
        <v>Darlington County School District Buses</v>
      </c>
      <c r="G897" s="1">
        <f ca="1">IFERROR(__xludf.DUMMYFUNCTION("""COMPUTED_VALUE"""),0)</f>
        <v>0</v>
      </c>
      <c r="H897" s="1">
        <f ca="1">IFERROR(__xludf.DUMMYFUNCTION("""COMPUTED_VALUE"""),0)</f>
        <v>0</v>
      </c>
      <c r="I897" s="1">
        <f ca="1">IFERROR(__xludf.DUMMYFUNCTION("""COMPUTED_VALUE"""),0)</f>
        <v>0</v>
      </c>
      <c r="J897" s="1">
        <f ca="1">IFERROR(__xludf.DUMMYFUNCTION("""COMPUTED_VALUE"""),0)</f>
        <v>0</v>
      </c>
      <c r="K897" s="1" t="str">
        <f ca="1">IFERROR(__xludf.DUMMYFUNCTION("""COMPUTED_VALUE"""),"Summer")</f>
        <v>Summer</v>
      </c>
      <c r="L897" s="1" t="str">
        <f ca="1">IFERROR(__xludf.DUMMYFUNCTION("""COMPUTED_VALUE"""),"Hartsville")</f>
        <v>Hartsville</v>
      </c>
      <c r="M897" s="1" t="str">
        <f ca="1">IFERROR(__xludf.DUMMYFUNCTION("""COMPUTED_VALUE"""),"SC")</f>
        <v>SC</v>
      </c>
      <c r="N897" s="1"/>
      <c r="O897" s="1" t="str">
        <f ca="1">IFERROR(__xludf.DUMMYFUNCTION("""COMPUTED_VALUE"""),"School Bus")</f>
        <v>School Bus</v>
      </c>
      <c r="P897" s="1" t="str">
        <f ca="1">IFERROR(__xludf.DUMMYFUNCTION("""COMPUTED_VALUE"""),"School Bus")</f>
        <v>School Bus</v>
      </c>
      <c r="Q897" s="1"/>
      <c r="R897" s="1" t="str">
        <f ca="1">IFERROR(__xludf.DUMMYFUNCTION("""COMPUTED_VALUE"""),"Not a School Day")</f>
        <v>Not a School Day</v>
      </c>
      <c r="S897" s="1"/>
      <c r="T897" s="1"/>
      <c r="U897" s="1" t="str">
        <f ca="1">IFERROR(__xludf.DUMMYFUNCTION("""COMPUTED_VALUE"""),"Windows of 6 school buses shot with BBs")</f>
        <v>Windows of 6 school buses shot with BBs</v>
      </c>
      <c r="V897" s="1" t="str">
        <f ca="1">IFERROR(__xludf.DUMMYFUNCTION("""COMPUTED_VALUE"""),"The windows of 6 school buses that were parked were shot with BBs or pellets over the weekend. No students or staff were injured.")</f>
        <v>The windows of 6 school buses that were parked were shot with BBs or pellets over the weekend. No students or staff were injured.</v>
      </c>
      <c r="W897" s="1" t="str">
        <f ca="1">IFERROR(__xludf.DUMMYFUNCTION("""COMPUTED_VALUE"""),"Intentional Property Damage")</f>
        <v>Intentional Property Damage</v>
      </c>
      <c r="X897" s="1" t="str">
        <f ca="1">IFERROR(__xludf.DUMMYFUNCTION("""COMPUTED_VALUE"""),"Neither")</f>
        <v>Neither</v>
      </c>
      <c r="Y897" s="1"/>
      <c r="Z897" s="1"/>
      <c r="AA897" s="1" t="str">
        <f ca="1">IFERROR(__xludf.DUMMYFUNCTION("""COMPUTED_VALUE"""),"No")</f>
        <v>No</v>
      </c>
      <c r="AB897" s="1" t="str">
        <f ca="1">IFERROR(__xludf.DUMMYFUNCTION("""COMPUTED_VALUE"""),"No")</f>
        <v>No</v>
      </c>
      <c r="AC897" s="1" t="str">
        <f ca="1">IFERROR(__xludf.DUMMYFUNCTION("""COMPUTED_VALUE"""),"No")</f>
        <v>No</v>
      </c>
      <c r="AD897" s="1"/>
      <c r="AE897" s="1" t="str">
        <f ca="1">IFERROR(__xludf.DUMMYFUNCTION("""COMPUTED_VALUE"""),"No")</f>
        <v>No</v>
      </c>
      <c r="AF897" s="1" t="str">
        <f ca="1">IFERROR(__xludf.DUMMYFUNCTION("""COMPUTED_VALUE"""),"No")</f>
        <v>No</v>
      </c>
      <c r="AG897" s="1" t="str">
        <f ca="1">IFERROR(__xludf.DUMMYFUNCTION("""COMPUTED_VALUE"""),"No")</f>
        <v>No</v>
      </c>
      <c r="AH897" s="1"/>
    </row>
    <row r="898" spans="1:34" ht="12.5">
      <c r="A898" s="1" t="str">
        <f ca="1">IFERROR(__xludf.DUMMYFUNCTION("""COMPUTED_VALUE"""),"20210814ILMAC")</f>
        <v>20210814ILMAC</v>
      </c>
      <c r="B898" s="1">
        <f ca="1">IFERROR(__xludf.DUMMYFUNCTION("""COMPUTED_VALUE"""),8)</f>
        <v>8</v>
      </c>
      <c r="C898" s="1">
        <f ca="1">IFERROR(__xludf.DUMMYFUNCTION("""COMPUTED_VALUE"""),14)</f>
        <v>14</v>
      </c>
      <c r="D898" s="1">
        <f ca="1">IFERROR(__xludf.DUMMYFUNCTION("""COMPUTED_VALUE"""),2021)</f>
        <v>2021</v>
      </c>
      <c r="E898" s="4">
        <f ca="1">IFERROR(__xludf.DUMMYFUNCTION("""COMPUTED_VALUE"""),44422)</f>
        <v>44422</v>
      </c>
      <c r="F898" s="1" t="str">
        <f ca="1">IFERROR(__xludf.DUMMYFUNCTION("""COMPUTED_VALUE"""),"Mary E. McDowell Elementary School")</f>
        <v>Mary E. McDowell Elementary School</v>
      </c>
      <c r="G898" s="1">
        <f ca="1">IFERROR(__xludf.DUMMYFUNCTION("""COMPUTED_VALUE"""),0)</f>
        <v>0</v>
      </c>
      <c r="H898" s="1">
        <f ca="1">IFERROR(__xludf.DUMMYFUNCTION("""COMPUTED_VALUE"""),1)</f>
        <v>1</v>
      </c>
      <c r="I898" s="1">
        <f ca="1">IFERROR(__xludf.DUMMYFUNCTION("""COMPUTED_VALUE"""),1)</f>
        <v>1</v>
      </c>
      <c r="J898" s="1">
        <f ca="1">IFERROR(__xludf.DUMMYFUNCTION("""COMPUTED_VALUE"""),0)</f>
        <v>0</v>
      </c>
      <c r="K898" s="1" t="str">
        <f ca="1">IFERROR(__xludf.DUMMYFUNCTION("""COMPUTED_VALUE"""),"Summer")</f>
        <v>Summer</v>
      </c>
      <c r="L898" s="1" t="str">
        <f ca="1">IFERROR(__xludf.DUMMYFUNCTION("""COMPUTED_VALUE"""),"Chicago")</f>
        <v>Chicago</v>
      </c>
      <c r="M898" s="1" t="str">
        <f ca="1">IFERROR(__xludf.DUMMYFUNCTION("""COMPUTED_VALUE"""),"IL")</f>
        <v>IL</v>
      </c>
      <c r="N898" s="1" t="str">
        <f ca="1">IFERROR(__xludf.DUMMYFUNCTION("""COMPUTED_VALUE"""),"Elementary")</f>
        <v>Elementary</v>
      </c>
      <c r="O898" s="1" t="str">
        <f ca="1">IFERROR(__xludf.DUMMYFUNCTION("""COMPUTED_VALUE"""),"Outside on School Property")</f>
        <v>Outside on School Property</v>
      </c>
      <c r="P898" s="1" t="str">
        <f ca="1">IFERROR(__xludf.DUMMYFUNCTION("""COMPUTED_VALUE"""),"Outside on School Property")</f>
        <v>Outside on School Property</v>
      </c>
      <c r="Q898" s="1" t="str">
        <f ca="1">IFERROR(__xludf.DUMMYFUNCTION("""COMPUTED_VALUE"""),"No")</f>
        <v>No</v>
      </c>
      <c r="R898" s="1" t="str">
        <f ca="1">IFERROR(__xludf.DUMMYFUNCTION("""COMPUTED_VALUE"""),"Not a School Day")</f>
        <v>Not a School Day</v>
      </c>
      <c r="S898" s="5">
        <f ca="1">IFERROR(__xludf.DUMMYFUNCTION("""COMPUTED_VALUE"""),0.693055555555555)</f>
        <v>0.69305555555555498</v>
      </c>
      <c r="T898" s="1">
        <f ca="1">IFERROR(__xludf.DUMMYFUNCTION("""COMPUTED_VALUE"""),1)</f>
        <v>1</v>
      </c>
      <c r="U898" s="1" t="str">
        <f ca="1">IFERROR(__xludf.DUMMYFUNCTION("""COMPUTED_VALUE"""),"Teen shot during drive-by outside elementary school")</f>
        <v>Teen shot during drive-by outside elementary school</v>
      </c>
      <c r="V898" s="1" t="str">
        <f ca="1">IFERROR(__xludf.DUMMYFUNCTION("""COMPUTED_VALUE"""),"A 15-year-old teen was sitting outside of an elementary school when someone fired shots at him from a vehicle. He was wounded and transported to the hospital. Shooter fled.")</f>
        <v>A 15-year-old teen was sitting outside of an elementary school when someone fired shots at him from a vehicle. He was wounded and transported to the hospital. Shooter fled.</v>
      </c>
      <c r="W898" s="1" t="str">
        <f ca="1">IFERROR(__xludf.DUMMYFUNCTION("""COMPUTED_VALUE"""),"Drive-by Shooting")</f>
        <v>Drive-by Shooting</v>
      </c>
      <c r="X898" s="1" t="str">
        <f ca="1">IFERROR(__xludf.DUMMYFUNCTION("""COMPUTED_VALUE"""),"Victims Targeted")</f>
        <v>Victims Targeted</v>
      </c>
      <c r="Y898" s="1"/>
      <c r="Z898" s="1"/>
      <c r="AA898" s="1" t="str">
        <f ca="1">IFERROR(__xludf.DUMMYFUNCTION("""COMPUTED_VALUE"""),"No")</f>
        <v>No</v>
      </c>
      <c r="AB898" s="1" t="str">
        <f ca="1">IFERROR(__xludf.DUMMYFUNCTION("""COMPUTED_VALUE"""),"No")</f>
        <v>No</v>
      </c>
      <c r="AC898" s="1" t="str">
        <f ca="1">IFERROR(__xludf.DUMMYFUNCTION("""COMPUTED_VALUE"""),"No")</f>
        <v>No</v>
      </c>
      <c r="AD898" s="1" t="str">
        <f ca="1">IFERROR(__xludf.DUMMYFUNCTION("""COMPUTED_VALUE"""),"No")</f>
        <v>No</v>
      </c>
      <c r="AE898" s="1" t="str">
        <f ca="1">IFERROR(__xludf.DUMMYFUNCTION("""COMPUTED_VALUE"""),"No")</f>
        <v>No</v>
      </c>
      <c r="AF898" s="1"/>
      <c r="AG898" s="1" t="str">
        <f ca="1">IFERROR(__xludf.DUMMYFUNCTION("""COMPUTED_VALUE"""),"No")</f>
        <v>No</v>
      </c>
      <c r="AH898" s="1"/>
    </row>
    <row r="899" spans="1:34" ht="12.5">
      <c r="A899" s="1" t="str">
        <f ca="1">IFERROR(__xludf.DUMMYFUNCTION("""COMPUTED_VALUE"""),"20210813NMWAA")</f>
        <v>20210813NMWAA</v>
      </c>
      <c r="B899" s="1">
        <f ca="1">IFERROR(__xludf.DUMMYFUNCTION("""COMPUTED_VALUE"""),8)</f>
        <v>8</v>
      </c>
      <c r="C899" s="1">
        <f ca="1">IFERROR(__xludf.DUMMYFUNCTION("""COMPUTED_VALUE"""),13)</f>
        <v>13</v>
      </c>
      <c r="D899" s="1">
        <f ca="1">IFERROR(__xludf.DUMMYFUNCTION("""COMPUTED_VALUE"""),2021)</f>
        <v>2021</v>
      </c>
      <c r="E899" s="4">
        <f ca="1">IFERROR(__xludf.DUMMYFUNCTION("""COMPUTED_VALUE"""),44421)</f>
        <v>44421</v>
      </c>
      <c r="F899" s="1" t="str">
        <f ca="1">IFERROR(__xludf.DUMMYFUNCTION("""COMPUTED_VALUE"""),"Washington Middle School")</f>
        <v>Washington Middle School</v>
      </c>
      <c r="G899" s="1">
        <f ca="1">IFERROR(__xludf.DUMMYFUNCTION("""COMPUTED_VALUE"""),1)</f>
        <v>1</v>
      </c>
      <c r="H899" s="1">
        <f ca="1">IFERROR(__xludf.DUMMYFUNCTION("""COMPUTED_VALUE"""),0)</f>
        <v>0</v>
      </c>
      <c r="I899" s="1">
        <f ca="1">IFERROR(__xludf.DUMMYFUNCTION("""COMPUTED_VALUE"""),1)</f>
        <v>1</v>
      </c>
      <c r="J899" s="1">
        <f ca="1">IFERROR(__xludf.DUMMYFUNCTION("""COMPUTED_VALUE"""),0)</f>
        <v>0</v>
      </c>
      <c r="K899" s="1" t="str">
        <f ca="1">IFERROR(__xludf.DUMMYFUNCTION("""COMPUTED_VALUE"""),"Fall")</f>
        <v>Fall</v>
      </c>
      <c r="L899" s="1" t="str">
        <f ca="1">IFERROR(__xludf.DUMMYFUNCTION("""COMPUTED_VALUE"""),"Albuquerque")</f>
        <v>Albuquerque</v>
      </c>
      <c r="M899" s="1" t="str">
        <f ca="1">IFERROR(__xludf.DUMMYFUNCTION("""COMPUTED_VALUE"""),"NM")</f>
        <v>NM</v>
      </c>
      <c r="N899" s="1" t="str">
        <f ca="1">IFERROR(__xludf.DUMMYFUNCTION("""COMPUTED_VALUE"""),"Middle")</f>
        <v>Middle</v>
      </c>
      <c r="O899" s="1" t="str">
        <f ca="1">IFERROR(__xludf.DUMMYFUNCTION("""COMPUTED_VALUE"""),"Playground")</f>
        <v>Playground</v>
      </c>
      <c r="P899" s="1" t="str">
        <f ca="1">IFERROR(__xludf.DUMMYFUNCTION("""COMPUTED_VALUE"""),"Outside on School Property")</f>
        <v>Outside on School Property</v>
      </c>
      <c r="Q899" s="1" t="str">
        <f ca="1">IFERROR(__xludf.DUMMYFUNCTION("""COMPUTED_VALUE"""),"Yes")</f>
        <v>Yes</v>
      </c>
      <c r="R899" s="1" t="str">
        <f ca="1">IFERROR(__xludf.DUMMYFUNCTION("""COMPUTED_VALUE"""),"Lunch")</f>
        <v>Lunch</v>
      </c>
      <c r="S899" s="5">
        <f ca="1">IFERROR(__xludf.DUMMYFUNCTION("""COMPUTED_VALUE"""),0.53125)</f>
        <v>0.53125</v>
      </c>
      <c r="T899" s="1">
        <f ca="1">IFERROR(__xludf.DUMMYFUNCTION("""COMPUTED_VALUE"""),1)</f>
        <v>1</v>
      </c>
      <c r="U899" s="1" t="str">
        <f ca="1">IFERROR(__xludf.DUMMYFUNCTION("""COMPUTED_VALUE"""),"Student shot another student during recess following a prior dispute")</f>
        <v>Student shot another student during recess following a prior dispute</v>
      </c>
      <c r="V899" s="1" t="str">
        <f ca="1">IFERROR(__xludf.DUMMYFUNCTION("""COMPUTED_VALUE"""),"A 13-year-old student fired 6 shots at another 13-year-old student on the playground of the school during recess. Other students witnessed the shooting and said the victim was attempting to de-escalate a conflict between other students when he was shot. A"&amp;" SRO was nearby and able to quickly detain the shooter. School went into lockdown and then dismissed. Multiple students reported to police that the shooter had shown them a gun prior to the shooting. Two years later, the school system paid a $900,000 sett"&amp;"lement to the victim's family. Gun was reported to an SRO but failed to take action.")</f>
        <v>A 13-year-old student fired 6 shots at another 13-year-old student on the playground of the school during recess. Other students witnessed the shooting and said the victim was attempting to de-escalate a conflict between other students when he was shot. A SRO was nearby and able to quickly detain the shooter. School went into lockdown and then dismissed. Multiple students reported to police that the shooter had shown them a gun prior to the shooting. Two years later, the school system paid a $900,000 settlement to the victim's family. Gun was reported to an SRO but failed to take action.</v>
      </c>
      <c r="W899" s="1" t="str">
        <f ca="1">IFERROR(__xludf.DUMMYFUNCTION("""COMPUTED_VALUE"""),"Escalation of Dispute")</f>
        <v>Escalation of Dispute</v>
      </c>
      <c r="X899" s="1" t="str">
        <f ca="1">IFERROR(__xludf.DUMMYFUNCTION("""COMPUTED_VALUE"""),"Victims Targeted")</f>
        <v>Victims Targeted</v>
      </c>
      <c r="Y899" s="1" t="str">
        <f ca="1">IFERROR(__xludf.DUMMYFUNCTION("""COMPUTED_VALUE"""),"No")</f>
        <v>No</v>
      </c>
      <c r="Z899" s="1"/>
      <c r="AA899" s="1" t="str">
        <f ca="1">IFERROR(__xludf.DUMMYFUNCTION("""COMPUTED_VALUE"""),"No")</f>
        <v>No</v>
      </c>
      <c r="AB899" s="1" t="str">
        <f ca="1">IFERROR(__xludf.DUMMYFUNCTION("""COMPUTED_VALUE"""),"No")</f>
        <v>No</v>
      </c>
      <c r="AC899" s="1" t="str">
        <f ca="1">IFERROR(__xludf.DUMMYFUNCTION("""COMPUTED_VALUE"""),"No")</f>
        <v>No</v>
      </c>
      <c r="AD899" s="1" t="str">
        <f ca="1">IFERROR(__xludf.DUMMYFUNCTION("""COMPUTED_VALUE"""),"Yes")</f>
        <v>Yes</v>
      </c>
      <c r="AE899" s="1" t="str">
        <f ca="1">IFERROR(__xludf.DUMMYFUNCTION("""COMPUTED_VALUE"""),"No")</f>
        <v>No</v>
      </c>
      <c r="AF899" s="1" t="str">
        <f ca="1">IFERROR(__xludf.DUMMYFUNCTION("""COMPUTED_VALUE"""),"No")</f>
        <v>No</v>
      </c>
      <c r="AG899" s="1" t="str">
        <f ca="1">IFERROR(__xludf.DUMMYFUNCTION("""COMPUTED_VALUE"""),"No")</f>
        <v>No</v>
      </c>
      <c r="AH899" s="1">
        <f ca="1">IFERROR(__xludf.DUMMYFUNCTION("""COMPUTED_VALUE"""),6)</f>
        <v>6</v>
      </c>
    </row>
    <row r="900" spans="1:34" ht="12.5">
      <c r="A900" s="1" t="str">
        <f ca="1">IFERROR(__xludf.DUMMYFUNCTION("""COMPUTED_VALUE"""),"20210813GACAS")</f>
        <v>20210813GACAS</v>
      </c>
      <c r="B900" s="1">
        <f ca="1">IFERROR(__xludf.DUMMYFUNCTION("""COMPUTED_VALUE"""),8)</f>
        <v>8</v>
      </c>
      <c r="C900" s="1">
        <f ca="1">IFERROR(__xludf.DUMMYFUNCTION("""COMPUTED_VALUE"""),13)</f>
        <v>13</v>
      </c>
      <c r="D900" s="1">
        <f ca="1">IFERROR(__xludf.DUMMYFUNCTION("""COMPUTED_VALUE"""),2021)</f>
        <v>2021</v>
      </c>
      <c r="E900" s="4">
        <f ca="1">IFERROR(__xludf.DUMMYFUNCTION("""COMPUTED_VALUE"""),44421)</f>
        <v>44421</v>
      </c>
      <c r="F900" s="1" t="str">
        <f ca="1">IFERROR(__xludf.DUMMYFUNCTION("""COMPUTED_VALUE"""),"Campbell High SChool")</f>
        <v>Campbell High SChool</v>
      </c>
      <c r="G900" s="1">
        <f ca="1">IFERROR(__xludf.DUMMYFUNCTION("""COMPUTED_VALUE"""),0)</f>
        <v>0</v>
      </c>
      <c r="H900" s="1">
        <f ca="1">IFERROR(__xludf.DUMMYFUNCTION("""COMPUTED_VALUE"""),0)</f>
        <v>0</v>
      </c>
      <c r="I900" s="1">
        <f ca="1">IFERROR(__xludf.DUMMYFUNCTION("""COMPUTED_VALUE"""),0)</f>
        <v>0</v>
      </c>
      <c r="J900" s="1">
        <f ca="1">IFERROR(__xludf.DUMMYFUNCTION("""COMPUTED_VALUE"""),0)</f>
        <v>0</v>
      </c>
      <c r="K900" s="1" t="str">
        <f ca="1">IFERROR(__xludf.DUMMYFUNCTION("""COMPUTED_VALUE"""),"Fall")</f>
        <v>Fall</v>
      </c>
      <c r="L900" s="1" t="str">
        <f ca="1">IFERROR(__xludf.DUMMYFUNCTION("""COMPUTED_VALUE"""),"Smyrna")</f>
        <v>Smyrna</v>
      </c>
      <c r="M900" s="1" t="str">
        <f ca="1">IFERROR(__xludf.DUMMYFUNCTION("""COMPUTED_VALUE"""),"GA")</f>
        <v>GA</v>
      </c>
      <c r="N900" s="1" t="str">
        <f ca="1">IFERROR(__xludf.DUMMYFUNCTION("""COMPUTED_VALUE"""),"High")</f>
        <v>High</v>
      </c>
      <c r="O900" s="1" t="str">
        <f ca="1">IFERROR(__xludf.DUMMYFUNCTION("""COMPUTED_VALUE"""),"Football Field/Track")</f>
        <v>Football Field/Track</v>
      </c>
      <c r="P900" s="1" t="str">
        <f ca="1">IFERROR(__xludf.DUMMYFUNCTION("""COMPUTED_VALUE"""),"Outside on School Property")</f>
        <v>Outside on School Property</v>
      </c>
      <c r="Q900" s="1" t="str">
        <f ca="1">IFERROR(__xludf.DUMMYFUNCTION("""COMPUTED_VALUE"""),"No")</f>
        <v>No</v>
      </c>
      <c r="R900" s="1" t="str">
        <f ca="1">IFERROR(__xludf.DUMMYFUNCTION("""COMPUTED_VALUE"""),"Sport Event")</f>
        <v>Sport Event</v>
      </c>
      <c r="S900" s="5">
        <f ca="1">IFERROR(__xludf.DUMMYFUNCTION("""COMPUTED_VALUE"""),0.885416666666666)</f>
        <v>0.88541666666666596</v>
      </c>
      <c r="T900" s="1">
        <f ca="1">IFERROR(__xludf.DUMMYFUNCTION("""COMPUTED_VALUE"""),1)</f>
        <v>1</v>
      </c>
      <c r="U900" s="1" t="str">
        <f ca="1">IFERROR(__xludf.DUMMYFUNCTION("""COMPUTED_VALUE"""),"Shots fired during fight following high school football game")</f>
        <v>Shots fired during fight following high school football game</v>
      </c>
      <c r="V900" s="1" t="str">
        <f ca="1">IFERROR(__xludf.DUMMYFUNCTION("""COMPUTED_VALUE"""),"Shots were figured during a fight between multiple people at the end of a high school football game. No injuries. Shooter fled. Students and attendees ran from the stadium. After the shooting, threats were posted on Snapchat warning students not to come t"&amp;"o school on Monday.")</f>
        <v>Shots were figured during a fight between multiple people at the end of a high school football game. No injuries. Shooter fled. Students and attendees ran from the stadium. After the shooting, threats were posted on Snapchat warning students not to come to school on Monday.</v>
      </c>
      <c r="W900" s="1" t="str">
        <f ca="1">IFERROR(__xludf.DUMMYFUNCTION("""COMPUTED_VALUE"""),"Escalation of Dispute")</f>
        <v>Escalation of Dispute</v>
      </c>
      <c r="X900" s="1" t="str">
        <f ca="1">IFERROR(__xludf.DUMMYFUNCTION("""COMPUTED_VALUE"""),"Neither")</f>
        <v>Neither</v>
      </c>
      <c r="Y900" s="1" t="str">
        <f ca="1">IFERROR(__xludf.DUMMYFUNCTION("""COMPUTED_VALUE"""),"No")</f>
        <v>No</v>
      </c>
      <c r="Z900" s="1"/>
      <c r="AA900" s="1" t="str">
        <f ca="1">IFERROR(__xludf.DUMMYFUNCTION("""COMPUTED_VALUE"""),"No")</f>
        <v>No</v>
      </c>
      <c r="AB900" s="1" t="str">
        <f ca="1">IFERROR(__xludf.DUMMYFUNCTION("""COMPUTED_VALUE"""),"No")</f>
        <v>No</v>
      </c>
      <c r="AC900" s="1" t="str">
        <f ca="1">IFERROR(__xludf.DUMMYFUNCTION("""COMPUTED_VALUE"""),"No")</f>
        <v>No</v>
      </c>
      <c r="AD900" s="1" t="str">
        <f ca="1">IFERROR(__xludf.DUMMYFUNCTION("""COMPUTED_VALUE"""),"No")</f>
        <v>No</v>
      </c>
      <c r="AE900" s="1" t="str">
        <f ca="1">IFERROR(__xludf.DUMMYFUNCTION("""COMPUTED_VALUE"""),"No")</f>
        <v>No</v>
      </c>
      <c r="AF900" s="1"/>
      <c r="AG900" s="1" t="str">
        <f ca="1">IFERROR(__xludf.DUMMYFUNCTION("""COMPUTED_VALUE"""),"No")</f>
        <v>No</v>
      </c>
      <c r="AH900" s="1"/>
    </row>
    <row r="901" spans="1:34" ht="12.5">
      <c r="A901" s="1" t="str">
        <f ca="1">IFERROR(__xludf.DUMMYFUNCTION("""COMPUTED_VALUE"""),"20210812GALIL")</f>
        <v>20210812GALIL</v>
      </c>
      <c r="B901" s="1">
        <f ca="1">IFERROR(__xludf.DUMMYFUNCTION("""COMPUTED_VALUE"""),8)</f>
        <v>8</v>
      </c>
      <c r="C901" s="1">
        <f ca="1">IFERROR(__xludf.DUMMYFUNCTION("""COMPUTED_VALUE"""),12)</f>
        <v>12</v>
      </c>
      <c r="D901" s="1">
        <f ca="1">IFERROR(__xludf.DUMMYFUNCTION("""COMPUTED_VALUE"""),2021)</f>
        <v>2021</v>
      </c>
      <c r="E901" s="4">
        <f ca="1">IFERROR(__xludf.DUMMYFUNCTION("""COMPUTED_VALUE"""),44420)</f>
        <v>44420</v>
      </c>
      <c r="F901" s="1" t="str">
        <f ca="1">IFERROR(__xludf.DUMMYFUNCTION("""COMPUTED_VALUE"""),"Lithonia High School")</f>
        <v>Lithonia High School</v>
      </c>
      <c r="G901" s="1">
        <f ca="1">IFERROR(__xludf.DUMMYFUNCTION("""COMPUTED_VALUE"""),0)</f>
        <v>0</v>
      </c>
      <c r="H901" s="1">
        <f ca="1">IFERROR(__xludf.DUMMYFUNCTION("""COMPUTED_VALUE"""),1)</f>
        <v>1</v>
      </c>
      <c r="I901" s="1">
        <f ca="1">IFERROR(__xludf.DUMMYFUNCTION("""COMPUTED_VALUE"""),1)</f>
        <v>1</v>
      </c>
      <c r="J901" s="1">
        <f ca="1">IFERROR(__xludf.DUMMYFUNCTION("""COMPUTED_VALUE"""),0)</f>
        <v>0</v>
      </c>
      <c r="K901" s="1" t="str">
        <f ca="1">IFERROR(__xludf.DUMMYFUNCTION("""COMPUTED_VALUE"""),"Fall")</f>
        <v>Fall</v>
      </c>
      <c r="L901" s="1" t="str">
        <f ca="1">IFERROR(__xludf.DUMMYFUNCTION("""COMPUTED_VALUE"""),"Lithonia")</f>
        <v>Lithonia</v>
      </c>
      <c r="M901" s="1" t="str">
        <f ca="1">IFERROR(__xludf.DUMMYFUNCTION("""COMPUTED_VALUE"""),"GA")</f>
        <v>GA</v>
      </c>
      <c r="N901" s="1" t="str">
        <f ca="1">IFERROR(__xludf.DUMMYFUNCTION("""COMPUTED_VALUE"""),"High")</f>
        <v>High</v>
      </c>
      <c r="O901" s="1" t="str">
        <f ca="1">IFERROR(__xludf.DUMMYFUNCTION("""COMPUTED_VALUE"""),"Parking Lot")</f>
        <v>Parking Lot</v>
      </c>
      <c r="P901" s="1" t="str">
        <f ca="1">IFERROR(__xludf.DUMMYFUNCTION("""COMPUTED_VALUE"""),"Outside on School Property")</f>
        <v>Outside on School Property</v>
      </c>
      <c r="Q901" s="1" t="str">
        <f ca="1">IFERROR(__xludf.DUMMYFUNCTION("""COMPUTED_VALUE"""),"Yes")</f>
        <v>Yes</v>
      </c>
      <c r="R901" s="1" t="str">
        <f ca="1">IFERROR(__xludf.DUMMYFUNCTION("""COMPUTED_VALUE"""),"Afternoon Classes")</f>
        <v>Afternoon Classes</v>
      </c>
      <c r="S901" s="5">
        <f ca="1">IFERROR(__xludf.DUMMYFUNCTION("""COMPUTED_VALUE"""),0.625)</f>
        <v>0.625</v>
      </c>
      <c r="T901" s="1">
        <f ca="1">IFERROR(__xludf.DUMMYFUNCTION("""COMPUTED_VALUE"""),1)</f>
        <v>1</v>
      </c>
      <c r="U901" s="1" t="str">
        <f ca="1">IFERROR(__xludf.DUMMYFUNCTION("""COMPUTED_VALUE"""),"SRO attempted to stop 2 men, they fled in vehicle, and SRO fired shots at the vehicle")</f>
        <v>SRO attempted to stop 2 men, they fled in vehicle, and SRO fired shots at the vehicle</v>
      </c>
      <c r="V901" s="1" t="str">
        <f ca="1">IFERROR(__xludf.DUMMYFUNCTION("""COMPUTED_VALUE"""),"Teachers alerted the SRO about 2 unauthorized men on the campus. The SRO attempted to stop the men in the school parking lot and they ran to a vehicle. Once in the vehicle, the men drove toward the SRO. He fired multiple shots striking the vehicle and the"&amp;" driver. Both men were arrested and a handgun was recovered from the vehicle. School was locked down. No students were injured.")</f>
        <v>Teachers alerted the SRO about 2 unauthorized men on the campus. The SRO attempted to stop the men in the school parking lot and they ran to a vehicle. Once in the vehicle, the men drove toward the SRO. He fired multiple shots striking the vehicle and the driver. Both men were arrested and a handgun was recovered from the vehicle. School was locked down. No students were injured.</v>
      </c>
      <c r="W901" s="1" t="str">
        <f ca="1">IFERROR(__xludf.DUMMYFUNCTION("""COMPUTED_VALUE"""),"Officer-Involved Shooting")</f>
        <v>Officer-Involved Shooting</v>
      </c>
      <c r="X901" s="1"/>
      <c r="Y901" s="1"/>
      <c r="Z901" s="1"/>
      <c r="AA901" s="1"/>
      <c r="AB901" s="1"/>
      <c r="AC901" s="1" t="str">
        <f ca="1">IFERROR(__xludf.DUMMYFUNCTION("""COMPUTED_VALUE"""),"Yes")</f>
        <v>Yes</v>
      </c>
      <c r="AD901" s="1"/>
      <c r="AE901" s="1"/>
      <c r="AF901" s="1"/>
      <c r="AG901" s="1"/>
      <c r="AH901" s="1"/>
    </row>
    <row r="902" spans="1:34" ht="12.5">
      <c r="A902" s="1" t="str">
        <f ca="1">IFERROR(__xludf.DUMMYFUNCTION("""COMPUTED_VALUE"""),"20210812CANOS")</f>
        <v>20210812CANOS</v>
      </c>
      <c r="B902" s="1">
        <f ca="1">IFERROR(__xludf.DUMMYFUNCTION("""COMPUTED_VALUE"""),8)</f>
        <v>8</v>
      </c>
      <c r="C902" s="1">
        <f ca="1">IFERROR(__xludf.DUMMYFUNCTION("""COMPUTED_VALUE"""),12)</f>
        <v>12</v>
      </c>
      <c r="D902" s="1">
        <f ca="1">IFERROR(__xludf.DUMMYFUNCTION("""COMPUTED_VALUE"""),2021)</f>
        <v>2021</v>
      </c>
      <c r="E902" s="4">
        <f ca="1">IFERROR(__xludf.DUMMYFUNCTION("""COMPUTED_VALUE"""),44420)</f>
        <v>44420</v>
      </c>
      <c r="F902" s="1" t="str">
        <f ca="1">IFERROR(__xludf.DUMMYFUNCTION("""COMPUTED_VALUE"""),"North Mountain Middle School")</f>
        <v>North Mountain Middle School</v>
      </c>
      <c r="G902" s="1">
        <f ca="1">IFERROR(__xludf.DUMMYFUNCTION("""COMPUTED_VALUE"""),0)</f>
        <v>0</v>
      </c>
      <c r="H902" s="1">
        <f ca="1">IFERROR(__xludf.DUMMYFUNCTION("""COMPUTED_VALUE"""),0)</f>
        <v>0</v>
      </c>
      <c r="I902" s="1">
        <f ca="1">IFERROR(__xludf.DUMMYFUNCTION("""COMPUTED_VALUE"""),0)</f>
        <v>0</v>
      </c>
      <c r="J902" s="1">
        <f ca="1">IFERROR(__xludf.DUMMYFUNCTION("""COMPUTED_VALUE"""),0)</f>
        <v>0</v>
      </c>
      <c r="K902" s="1" t="str">
        <f ca="1">IFERROR(__xludf.DUMMYFUNCTION("""COMPUTED_VALUE"""),"Fall")</f>
        <v>Fall</v>
      </c>
      <c r="L902" s="1" t="str">
        <f ca="1">IFERROR(__xludf.DUMMYFUNCTION("""COMPUTED_VALUE"""),"San Jacinto")</f>
        <v>San Jacinto</v>
      </c>
      <c r="M902" s="1" t="str">
        <f ca="1">IFERROR(__xludf.DUMMYFUNCTION("""COMPUTED_VALUE"""),"CA")</f>
        <v>CA</v>
      </c>
      <c r="N902" s="1" t="str">
        <f ca="1">IFERROR(__xludf.DUMMYFUNCTION("""COMPUTED_VALUE"""),"Middle")</f>
        <v>Middle</v>
      </c>
      <c r="O902" s="1" t="str">
        <f ca="1">IFERROR(__xludf.DUMMYFUNCTION("""COMPUTED_VALUE"""),"Bathroom")</f>
        <v>Bathroom</v>
      </c>
      <c r="P902" s="1" t="str">
        <f ca="1">IFERROR(__xludf.DUMMYFUNCTION("""COMPUTED_VALUE"""),"Inside School Building")</f>
        <v>Inside School Building</v>
      </c>
      <c r="Q902" s="1" t="str">
        <f ca="1">IFERROR(__xludf.DUMMYFUNCTION("""COMPUTED_VALUE"""),"Yes")</f>
        <v>Yes</v>
      </c>
      <c r="R902" s="1" t="str">
        <f ca="1">IFERROR(__xludf.DUMMYFUNCTION("""COMPUTED_VALUE"""),"School Start")</f>
        <v>School Start</v>
      </c>
      <c r="S902" s="5">
        <f ca="1">IFERROR(__xludf.DUMMYFUNCTION("""COMPUTED_VALUE"""),0.299305555555555)</f>
        <v>0.29930555555555499</v>
      </c>
      <c r="T902" s="1">
        <f ca="1">IFERROR(__xludf.DUMMYFUNCTION("""COMPUTED_VALUE"""),1)</f>
        <v>1</v>
      </c>
      <c r="U902" s="1" t="str">
        <f ca="1">IFERROR(__xludf.DUMMYFUNCTION("""COMPUTED_VALUE"""),"Student fired shot in the school bathroom")</f>
        <v>Student fired shot in the school bathroom</v>
      </c>
      <c r="V902" s="1" t="str">
        <f ca="1">IFERROR(__xludf.DUMMYFUNCTION("""COMPUTED_VALUE"""),"As the school opened, a student fired a shot inside a bathroom of the school. The student was the only person in the bathroom at the time of the shooting. School used active shooter plan and went into lockdown. 4 minutes later, sheriff's deputies located "&amp;"the student, secured the firearm, and released the lockdown. Student was arrested. Motive unknown.")</f>
        <v>As the school opened, a student fired a shot inside a bathroom of the school. The student was the only person in the bathroom at the time of the shooting. School used active shooter plan and went into lockdown. 4 minutes later, sheriff's deputies located the student, secured the firearm, and released the lockdown. Student was arrested. Motive unknown.</v>
      </c>
      <c r="W902" s="1"/>
      <c r="X902" s="1" t="str">
        <f ca="1">IFERROR(__xludf.DUMMYFUNCTION("""COMPUTED_VALUE"""),"Neither")</f>
        <v>Neither</v>
      </c>
      <c r="Y902" s="1" t="str">
        <f ca="1">IFERROR(__xludf.DUMMYFUNCTION("""COMPUTED_VALUE"""),"No")</f>
        <v>No</v>
      </c>
      <c r="Z902" s="1"/>
      <c r="AA902" s="1" t="str">
        <f ca="1">IFERROR(__xludf.DUMMYFUNCTION("""COMPUTED_VALUE"""),"No")</f>
        <v>No</v>
      </c>
      <c r="AB902" s="1" t="str">
        <f ca="1">IFERROR(__xludf.DUMMYFUNCTION("""COMPUTED_VALUE"""),"No")</f>
        <v>No</v>
      </c>
      <c r="AC902" s="1" t="str">
        <f ca="1">IFERROR(__xludf.DUMMYFUNCTION("""COMPUTED_VALUE"""),"No")</f>
        <v>No</v>
      </c>
      <c r="AD902" s="1"/>
      <c r="AE902" s="1" t="str">
        <f ca="1">IFERROR(__xludf.DUMMYFUNCTION("""COMPUTED_VALUE"""),"No")</f>
        <v>No</v>
      </c>
      <c r="AF902" s="1" t="str">
        <f ca="1">IFERROR(__xludf.DUMMYFUNCTION("""COMPUTED_VALUE"""),"No")</f>
        <v>No</v>
      </c>
      <c r="AG902" s="1" t="str">
        <f ca="1">IFERROR(__xludf.DUMMYFUNCTION("""COMPUTED_VALUE"""),"No")</f>
        <v>No</v>
      </c>
      <c r="AH902" s="1">
        <f ca="1">IFERROR(__xludf.DUMMYFUNCTION("""COMPUTED_VALUE"""),1)</f>
        <v>1</v>
      </c>
    </row>
    <row r="903" spans="1:34" ht="12.5">
      <c r="A903" s="1" t="str">
        <f ca="1">IFERROR(__xludf.DUMMYFUNCTION("""COMPUTED_VALUE"""),"20210811COMAC")</f>
        <v>20210811COMAC</v>
      </c>
      <c r="B903" s="1">
        <f ca="1">IFERROR(__xludf.DUMMYFUNCTION("""COMPUTED_VALUE"""),8)</f>
        <v>8</v>
      </c>
      <c r="C903" s="1">
        <f ca="1">IFERROR(__xludf.DUMMYFUNCTION("""COMPUTED_VALUE"""),11)</f>
        <v>11</v>
      </c>
      <c r="D903" s="1">
        <f ca="1">IFERROR(__xludf.DUMMYFUNCTION("""COMPUTED_VALUE"""),2021)</f>
        <v>2021</v>
      </c>
      <c r="E903" s="4">
        <f ca="1">IFERROR(__xludf.DUMMYFUNCTION("""COMPUTED_VALUE"""),44419)</f>
        <v>44419</v>
      </c>
      <c r="F903" s="1" t="str">
        <f ca="1">IFERROR(__xludf.DUMMYFUNCTION("""COMPUTED_VALUE"""),"Mark Twain Elementary School")</f>
        <v>Mark Twain Elementary School</v>
      </c>
      <c r="G903" s="1">
        <f ca="1">IFERROR(__xludf.DUMMYFUNCTION("""COMPUTED_VALUE"""),0)</f>
        <v>0</v>
      </c>
      <c r="H903" s="1">
        <f ca="1">IFERROR(__xludf.DUMMYFUNCTION("""COMPUTED_VALUE"""),1)</f>
        <v>1</v>
      </c>
      <c r="I903" s="1">
        <f ca="1">IFERROR(__xludf.DUMMYFUNCTION("""COMPUTED_VALUE"""),1)</f>
        <v>1</v>
      </c>
      <c r="J903" s="1">
        <f ca="1">IFERROR(__xludf.DUMMYFUNCTION("""COMPUTED_VALUE"""),0)</f>
        <v>0</v>
      </c>
      <c r="K903" s="1" t="str">
        <f ca="1">IFERROR(__xludf.DUMMYFUNCTION("""COMPUTED_VALUE"""),"Summer")</f>
        <v>Summer</v>
      </c>
      <c r="L903" s="1" t="str">
        <f ca="1">IFERROR(__xludf.DUMMYFUNCTION("""COMPUTED_VALUE"""),"Colorado Springs")</f>
        <v>Colorado Springs</v>
      </c>
      <c r="M903" s="1" t="str">
        <f ca="1">IFERROR(__xludf.DUMMYFUNCTION("""COMPUTED_VALUE"""),"CO")</f>
        <v>CO</v>
      </c>
      <c r="N903" s="1" t="str">
        <f ca="1">IFERROR(__xludf.DUMMYFUNCTION("""COMPUTED_VALUE"""),"Elementary")</f>
        <v>Elementary</v>
      </c>
      <c r="O903" s="1" t="str">
        <f ca="1">IFERROR(__xludf.DUMMYFUNCTION("""COMPUTED_VALUE"""),"Outside on School Property")</f>
        <v>Outside on School Property</v>
      </c>
      <c r="P903" s="1" t="str">
        <f ca="1">IFERROR(__xludf.DUMMYFUNCTION("""COMPUTED_VALUE"""),"Outside on School Property")</f>
        <v>Outside on School Property</v>
      </c>
      <c r="Q903" s="1" t="str">
        <f ca="1">IFERROR(__xludf.DUMMYFUNCTION("""COMPUTED_VALUE"""),"No")</f>
        <v>No</v>
      </c>
      <c r="R903" s="1" t="str">
        <f ca="1">IFERROR(__xludf.DUMMYFUNCTION("""COMPUTED_VALUE"""),"Night")</f>
        <v>Night</v>
      </c>
      <c r="S903" s="5">
        <f ca="1">IFERROR(__xludf.DUMMYFUNCTION("""COMPUTED_VALUE"""),0.0416666666666666)</f>
        <v>4.1666666666666602E-2</v>
      </c>
      <c r="T903" s="1">
        <f ca="1">IFERROR(__xludf.DUMMYFUNCTION("""COMPUTED_VALUE"""),1)</f>
        <v>1</v>
      </c>
      <c r="U903" s="1" t="str">
        <f ca="1">IFERROR(__xludf.DUMMYFUNCTION("""COMPUTED_VALUE"""),"Man shot outside of the school")</f>
        <v>Man shot outside of the school</v>
      </c>
      <c r="V903" s="1" t="str">
        <f ca="1">IFERROR(__xludf.DUMMYFUNCTION("""COMPUTED_VALUE"""),"An adult male was shot outside of the school and walked several blocks before telling officers he was shot. School was closed at the time of the shooting.")</f>
        <v>An adult male was shot outside of the school and walked several blocks before telling officers he was shot. School was closed at the time of the shooting.</v>
      </c>
      <c r="W903" s="1"/>
      <c r="X903" s="1"/>
      <c r="Y903" s="1" t="str">
        <f ca="1">IFERROR(__xludf.DUMMYFUNCTION("""COMPUTED_VALUE"""),"No")</f>
        <v>No</v>
      </c>
      <c r="Z903" s="1"/>
      <c r="AA903" s="1" t="str">
        <f ca="1">IFERROR(__xludf.DUMMYFUNCTION("""COMPUTED_VALUE"""),"No")</f>
        <v>No</v>
      </c>
      <c r="AB903" s="1" t="str">
        <f ca="1">IFERROR(__xludf.DUMMYFUNCTION("""COMPUTED_VALUE"""),"No")</f>
        <v>No</v>
      </c>
      <c r="AC903" s="1" t="str">
        <f ca="1">IFERROR(__xludf.DUMMYFUNCTION("""COMPUTED_VALUE"""),"No")</f>
        <v>No</v>
      </c>
      <c r="AD903" s="1" t="str">
        <f ca="1">IFERROR(__xludf.DUMMYFUNCTION("""COMPUTED_VALUE"""),"No")</f>
        <v>No</v>
      </c>
      <c r="AE903" s="1" t="str">
        <f ca="1">IFERROR(__xludf.DUMMYFUNCTION("""COMPUTED_VALUE"""),"No")</f>
        <v>No</v>
      </c>
      <c r="AF903" s="1"/>
      <c r="AG903" s="1" t="str">
        <f ca="1">IFERROR(__xludf.DUMMYFUNCTION("""COMPUTED_VALUE"""),"No")</f>
        <v>No</v>
      </c>
      <c r="AH903" s="1"/>
    </row>
    <row r="904" spans="1:34" ht="12.5">
      <c r="A904" s="1" t="str">
        <f ca="1">IFERROR(__xludf.DUMMYFUNCTION("""COMPUTED_VALUE"""),"20210811CAOAO")</f>
        <v>20210811CAOAO</v>
      </c>
      <c r="B904" s="1">
        <f ca="1">IFERROR(__xludf.DUMMYFUNCTION("""COMPUTED_VALUE"""),8)</f>
        <v>8</v>
      </c>
      <c r="C904" s="1">
        <f ca="1">IFERROR(__xludf.DUMMYFUNCTION("""COMPUTED_VALUE"""),11)</f>
        <v>11</v>
      </c>
      <c r="D904" s="1">
        <f ca="1">IFERROR(__xludf.DUMMYFUNCTION("""COMPUTED_VALUE"""),2021)</f>
        <v>2021</v>
      </c>
      <c r="E904" s="4">
        <f ca="1">IFERROR(__xludf.DUMMYFUNCTION("""COMPUTED_VALUE"""),44419)</f>
        <v>44419</v>
      </c>
      <c r="F904" s="1" t="str">
        <f ca="1">IFERROR(__xludf.DUMMYFUNCTION("""COMPUTED_VALUE"""),"Oakland Tech High School")</f>
        <v>Oakland Tech High School</v>
      </c>
      <c r="G904" s="1">
        <f ca="1">IFERROR(__xludf.DUMMYFUNCTION("""COMPUTED_VALUE"""),0)</f>
        <v>0</v>
      </c>
      <c r="H904" s="1">
        <f ca="1">IFERROR(__xludf.DUMMYFUNCTION("""COMPUTED_VALUE"""),0)</f>
        <v>0</v>
      </c>
      <c r="I904" s="1">
        <f ca="1">IFERROR(__xludf.DUMMYFUNCTION("""COMPUTED_VALUE"""),0)</f>
        <v>0</v>
      </c>
      <c r="J904" s="1">
        <f ca="1">IFERROR(__xludf.DUMMYFUNCTION("""COMPUTED_VALUE"""),0)</f>
        <v>0</v>
      </c>
      <c r="K904" s="1" t="str">
        <f ca="1">IFERROR(__xludf.DUMMYFUNCTION("""COMPUTED_VALUE"""),"Fall")</f>
        <v>Fall</v>
      </c>
      <c r="L904" s="1" t="str">
        <f ca="1">IFERROR(__xludf.DUMMYFUNCTION("""COMPUTED_VALUE"""),"Oakland")</f>
        <v>Oakland</v>
      </c>
      <c r="M904" s="1" t="str">
        <f ca="1">IFERROR(__xludf.DUMMYFUNCTION("""COMPUTED_VALUE"""),"CA")</f>
        <v>CA</v>
      </c>
      <c r="N904" s="1" t="str">
        <f ca="1">IFERROR(__xludf.DUMMYFUNCTION("""COMPUTED_VALUE"""),"High")</f>
        <v>High</v>
      </c>
      <c r="O904" s="1" t="str">
        <f ca="1">IFERROR(__xludf.DUMMYFUNCTION("""COMPUTED_VALUE"""),"Beside Building")</f>
        <v>Beside Building</v>
      </c>
      <c r="P904" s="1" t="str">
        <f ca="1">IFERROR(__xludf.DUMMYFUNCTION("""COMPUTED_VALUE"""),"Outside on School Property")</f>
        <v>Outside on School Property</v>
      </c>
      <c r="Q904" s="1" t="str">
        <f ca="1">IFERROR(__xludf.DUMMYFUNCTION("""COMPUTED_VALUE"""),"Yes")</f>
        <v>Yes</v>
      </c>
      <c r="R904" s="1" t="str">
        <f ca="1">IFERROR(__xludf.DUMMYFUNCTION("""COMPUTED_VALUE"""),"Dismissal")</f>
        <v>Dismissal</v>
      </c>
      <c r="S904" s="5">
        <f ca="1">IFERROR(__xludf.DUMMYFUNCTION("""COMPUTED_VALUE"""),0.645833333333333)</f>
        <v>0.64583333333333304</v>
      </c>
      <c r="T904" s="1">
        <f ca="1">IFERROR(__xludf.DUMMYFUNCTION("""COMPUTED_VALUE"""),1)</f>
        <v>1</v>
      </c>
      <c r="U904" s="1" t="str">
        <f ca="1">IFERROR(__xludf.DUMMYFUNCTION("""COMPUTED_VALUE"""),"Shots fired outside of the school during dismissal")</f>
        <v>Shots fired outside of the school during dismissal</v>
      </c>
      <c r="V904" s="1" t="str">
        <f ca="1">IFERROR(__xludf.DUMMYFUNCTION("""COMPUTED_VALUE"""),"10 shots were fired during dismissal of the school. Shooter fled the scene. Students who were still in the building were locked down and parents picked them up away from the campus. No injuries. Shell casing were recovered next to the building.")</f>
        <v>10 shots were fired during dismissal of the school. Shooter fled the scene. Students who were still in the building were locked down and parents picked them up away from the campus. No injuries. Shell casing were recovered next to the building.</v>
      </c>
      <c r="W904" s="1"/>
      <c r="X904" s="1"/>
      <c r="Y904" s="1" t="str">
        <f ca="1">IFERROR(__xludf.DUMMYFUNCTION("""COMPUTED_VALUE"""),"No")</f>
        <v>No</v>
      </c>
      <c r="Z904" s="1"/>
      <c r="AA904" s="1" t="str">
        <f ca="1">IFERROR(__xludf.DUMMYFUNCTION("""COMPUTED_VALUE"""),"No")</f>
        <v>No</v>
      </c>
      <c r="AB904" s="1" t="str">
        <f ca="1">IFERROR(__xludf.DUMMYFUNCTION("""COMPUTED_VALUE"""),"No")</f>
        <v>No</v>
      </c>
      <c r="AC904" s="1" t="str">
        <f ca="1">IFERROR(__xludf.DUMMYFUNCTION("""COMPUTED_VALUE"""),"No")</f>
        <v>No</v>
      </c>
      <c r="AD904" s="1" t="str">
        <f ca="1">IFERROR(__xludf.DUMMYFUNCTION("""COMPUTED_VALUE"""),"No")</f>
        <v>No</v>
      </c>
      <c r="AE904" s="1" t="str">
        <f ca="1">IFERROR(__xludf.DUMMYFUNCTION("""COMPUTED_VALUE"""),"No")</f>
        <v>No</v>
      </c>
      <c r="AF904" s="1"/>
      <c r="AG904" s="1" t="str">
        <f ca="1">IFERROR(__xludf.DUMMYFUNCTION("""COMPUTED_VALUE"""),"No")</f>
        <v>No</v>
      </c>
      <c r="AH904" s="1">
        <f ca="1">IFERROR(__xludf.DUMMYFUNCTION("""COMPUTED_VALUE"""),10)</f>
        <v>10</v>
      </c>
    </row>
    <row r="905" spans="1:34" ht="12.5">
      <c r="A905" s="1" t="str">
        <f ca="1">IFERROR(__xludf.DUMMYFUNCTION("""COMPUTED_VALUE"""),"20210810OHEAC")</f>
        <v>20210810OHEAC</v>
      </c>
      <c r="B905" s="1">
        <f ca="1">IFERROR(__xludf.DUMMYFUNCTION("""COMPUTED_VALUE"""),8)</f>
        <v>8</v>
      </c>
      <c r="C905" s="1">
        <f ca="1">IFERROR(__xludf.DUMMYFUNCTION("""COMPUTED_VALUE"""),10)</f>
        <v>10</v>
      </c>
      <c r="D905" s="1">
        <f ca="1">IFERROR(__xludf.DUMMYFUNCTION("""COMPUTED_VALUE"""),2021)</f>
        <v>2021</v>
      </c>
      <c r="E905" s="4">
        <f ca="1">IFERROR(__xludf.DUMMYFUNCTION("""COMPUTED_VALUE"""),44418)</f>
        <v>44418</v>
      </c>
      <c r="F905" s="1" t="str">
        <f ca="1">IFERROR(__xludf.DUMMYFUNCTION("""COMPUTED_VALUE"""),"East Linden Elementary School")</f>
        <v>East Linden Elementary School</v>
      </c>
      <c r="G905" s="1">
        <f ca="1">IFERROR(__xludf.DUMMYFUNCTION("""COMPUTED_VALUE"""),0)</f>
        <v>0</v>
      </c>
      <c r="H905" s="1">
        <f ca="1">IFERROR(__xludf.DUMMYFUNCTION("""COMPUTED_VALUE"""),1)</f>
        <v>1</v>
      </c>
      <c r="I905" s="1">
        <f ca="1">IFERROR(__xludf.DUMMYFUNCTION("""COMPUTED_VALUE"""),1)</f>
        <v>1</v>
      </c>
      <c r="J905" s="1">
        <f ca="1">IFERROR(__xludf.DUMMYFUNCTION("""COMPUTED_VALUE"""),0)</f>
        <v>0</v>
      </c>
      <c r="K905" s="1" t="str">
        <f ca="1">IFERROR(__xludf.DUMMYFUNCTION("""COMPUTED_VALUE"""),"Summer")</f>
        <v>Summer</v>
      </c>
      <c r="L905" s="1" t="str">
        <f ca="1">IFERROR(__xludf.DUMMYFUNCTION("""COMPUTED_VALUE"""),"Columbus")</f>
        <v>Columbus</v>
      </c>
      <c r="M905" s="1" t="str">
        <f ca="1">IFERROR(__xludf.DUMMYFUNCTION("""COMPUTED_VALUE"""),"OH")</f>
        <v>OH</v>
      </c>
      <c r="N905" s="1" t="str">
        <f ca="1">IFERROR(__xludf.DUMMYFUNCTION("""COMPUTED_VALUE"""),"Elementary")</f>
        <v>Elementary</v>
      </c>
      <c r="O905" s="1" t="str">
        <f ca="1">IFERROR(__xludf.DUMMYFUNCTION("""COMPUTED_VALUE"""),"Beside Building")</f>
        <v>Beside Building</v>
      </c>
      <c r="P905" s="1" t="str">
        <f ca="1">IFERROR(__xludf.DUMMYFUNCTION("""COMPUTED_VALUE"""),"Outside on School Property")</f>
        <v>Outside on School Property</v>
      </c>
      <c r="Q905" s="1" t="str">
        <f ca="1">IFERROR(__xludf.DUMMYFUNCTION("""COMPUTED_VALUE"""),"No")</f>
        <v>No</v>
      </c>
      <c r="R905" s="1" t="str">
        <f ca="1">IFERROR(__xludf.DUMMYFUNCTION("""COMPUTED_VALUE"""),"Evening")</f>
        <v>Evening</v>
      </c>
      <c r="S905" s="5">
        <f ca="1">IFERROR(__xludf.DUMMYFUNCTION("""COMPUTED_VALUE"""),0.716666666666666)</f>
        <v>0.71666666666666601</v>
      </c>
      <c r="T905" s="1">
        <f ca="1">IFERROR(__xludf.DUMMYFUNCTION("""COMPUTED_VALUE"""),1)</f>
        <v>1</v>
      </c>
      <c r="U905" s="1" t="str">
        <f ca="1">IFERROR(__xludf.DUMMYFUNCTION("""COMPUTED_VALUE"""),"Group of teens was playing with gun, one shot was fired striking a teen")</f>
        <v>Group of teens was playing with gun, one shot was fired striking a teen</v>
      </c>
      <c r="V905" s="1" t="str">
        <f ca="1">IFERROR(__xludf.DUMMYFUNCTION("""COMPUTED_VALUE"""),"A 15-year-old teen was shot in the stomach. A group of teens were playing with the gun and a 12-year-old male fired the accidental shot. Police are reviewing the case to determine if charges will be filed. Victim was transported to the hospital.")</f>
        <v>A 15-year-old teen was shot in the stomach. A group of teens were playing with the gun and a 12-year-old male fired the accidental shot. Police are reviewing the case to determine if charges will be filed. Victim was transported to the hospital.</v>
      </c>
      <c r="W905" s="1" t="str">
        <f ca="1">IFERROR(__xludf.DUMMYFUNCTION("""COMPUTED_VALUE"""),"Accidental")</f>
        <v>Accidental</v>
      </c>
      <c r="X905" s="1" t="str">
        <f ca="1">IFERROR(__xludf.DUMMYFUNCTION("""COMPUTED_VALUE"""),"Random Shooting")</f>
        <v>Random Shooting</v>
      </c>
      <c r="Y905" s="1" t="str">
        <f ca="1">IFERROR(__xludf.DUMMYFUNCTION("""COMPUTED_VALUE"""),"No")</f>
        <v>No</v>
      </c>
      <c r="Z905" s="1"/>
      <c r="AA905" s="1" t="str">
        <f ca="1">IFERROR(__xludf.DUMMYFUNCTION("""COMPUTED_VALUE"""),"No")</f>
        <v>No</v>
      </c>
      <c r="AB905" s="1" t="str">
        <f ca="1">IFERROR(__xludf.DUMMYFUNCTION("""COMPUTED_VALUE"""),"No")</f>
        <v>No</v>
      </c>
      <c r="AC905" s="1" t="str">
        <f ca="1">IFERROR(__xludf.DUMMYFUNCTION("""COMPUTED_VALUE"""),"No")</f>
        <v>No</v>
      </c>
      <c r="AD905" s="1" t="str">
        <f ca="1">IFERROR(__xludf.DUMMYFUNCTION("""COMPUTED_VALUE"""),"No")</f>
        <v>No</v>
      </c>
      <c r="AE905" s="1" t="str">
        <f ca="1">IFERROR(__xludf.DUMMYFUNCTION("""COMPUTED_VALUE"""),"No")</f>
        <v>No</v>
      </c>
      <c r="AF905" s="1" t="str">
        <f ca="1">IFERROR(__xludf.DUMMYFUNCTION("""COMPUTED_VALUE"""),"No")</f>
        <v>No</v>
      </c>
      <c r="AG905" s="1" t="str">
        <f ca="1">IFERROR(__xludf.DUMMYFUNCTION("""COMPUTED_VALUE"""),"No")</f>
        <v>No</v>
      </c>
      <c r="AH905" s="1">
        <f ca="1">IFERROR(__xludf.DUMMYFUNCTION("""COMPUTED_VALUE"""),1)</f>
        <v>1</v>
      </c>
    </row>
    <row r="906" spans="1:34" ht="12.5">
      <c r="A906" s="1" t="str">
        <f ca="1">IFERROR(__xludf.DUMMYFUNCTION("""COMPUTED_VALUE"""),"20210807ORGIP")</f>
        <v>20210807ORGIP</v>
      </c>
      <c r="B906" s="1">
        <f ca="1">IFERROR(__xludf.DUMMYFUNCTION("""COMPUTED_VALUE"""),8)</f>
        <v>8</v>
      </c>
      <c r="C906" s="1">
        <f ca="1">IFERROR(__xludf.DUMMYFUNCTION("""COMPUTED_VALUE"""),7)</f>
        <v>7</v>
      </c>
      <c r="D906" s="1">
        <f ca="1">IFERROR(__xludf.DUMMYFUNCTION("""COMPUTED_VALUE"""),2021)</f>
        <v>2021</v>
      </c>
      <c r="E906" s="4">
        <f ca="1">IFERROR(__xludf.DUMMYFUNCTION("""COMPUTED_VALUE"""),44415)</f>
        <v>44415</v>
      </c>
      <c r="F906" s="1" t="str">
        <f ca="1">IFERROR(__xludf.DUMMYFUNCTION("""COMPUTED_VALUE"""),"Gilbert Heights Elementary School")</f>
        <v>Gilbert Heights Elementary School</v>
      </c>
      <c r="G906" s="1">
        <f ca="1">IFERROR(__xludf.DUMMYFUNCTION("""COMPUTED_VALUE"""),1)</f>
        <v>1</v>
      </c>
      <c r="H906" s="1">
        <f ca="1">IFERROR(__xludf.DUMMYFUNCTION("""COMPUTED_VALUE"""),0)</f>
        <v>0</v>
      </c>
      <c r="I906" s="1">
        <f ca="1">IFERROR(__xludf.DUMMYFUNCTION("""COMPUTED_VALUE"""),1)</f>
        <v>1</v>
      </c>
      <c r="J906" s="1">
        <f ca="1">IFERROR(__xludf.DUMMYFUNCTION("""COMPUTED_VALUE"""),0)</f>
        <v>0</v>
      </c>
      <c r="K906" s="1" t="str">
        <f ca="1">IFERROR(__xludf.DUMMYFUNCTION("""COMPUTED_VALUE"""),"Summer")</f>
        <v>Summer</v>
      </c>
      <c r="L906" s="1" t="str">
        <f ca="1">IFERROR(__xludf.DUMMYFUNCTION("""COMPUTED_VALUE"""),"Portland")</f>
        <v>Portland</v>
      </c>
      <c r="M906" s="1" t="str">
        <f ca="1">IFERROR(__xludf.DUMMYFUNCTION("""COMPUTED_VALUE"""),"OR")</f>
        <v>OR</v>
      </c>
      <c r="N906" s="1" t="str">
        <f ca="1">IFERROR(__xludf.DUMMYFUNCTION("""COMPUTED_VALUE"""),"Elementary")</f>
        <v>Elementary</v>
      </c>
      <c r="O906" s="1" t="str">
        <f ca="1">IFERROR(__xludf.DUMMYFUNCTION("""COMPUTED_VALUE"""),"Parking Lot")</f>
        <v>Parking Lot</v>
      </c>
      <c r="P906" s="1" t="str">
        <f ca="1">IFERROR(__xludf.DUMMYFUNCTION("""COMPUTED_VALUE"""),"Outside on School Property")</f>
        <v>Outside on School Property</v>
      </c>
      <c r="Q906" s="1" t="str">
        <f ca="1">IFERROR(__xludf.DUMMYFUNCTION("""COMPUTED_VALUE"""),"No")</f>
        <v>No</v>
      </c>
      <c r="R906" s="1" t="str">
        <f ca="1">IFERROR(__xludf.DUMMYFUNCTION("""COMPUTED_VALUE"""),"Night")</f>
        <v>Night</v>
      </c>
      <c r="S906" s="1"/>
      <c r="T906" s="1"/>
      <c r="U906" s="1" t="str">
        <f ca="1">IFERROR(__xludf.DUMMYFUNCTION("""COMPUTED_VALUE"""),"Man found fatally shot in school parking lot")</f>
        <v>Man found fatally shot in school parking lot</v>
      </c>
      <c r="V906" s="1" t="str">
        <f ca="1">IFERROR(__xludf.DUMMYFUNCTION("""COMPUTED_VALUE"""),"A security guard found the body of a man who had been fatally shot in the parking lot behind the school.")</f>
        <v>A security guard found the body of a man who had been fatally shot in the parking lot behind the school.</v>
      </c>
      <c r="W906" s="1"/>
      <c r="X906" s="1"/>
      <c r="Y906" s="1"/>
      <c r="Z906" s="1"/>
      <c r="AA906" s="1" t="str">
        <f ca="1">IFERROR(__xludf.DUMMYFUNCTION("""COMPUTED_VALUE"""),"No")</f>
        <v>No</v>
      </c>
      <c r="AB906" s="1" t="str">
        <f ca="1">IFERROR(__xludf.DUMMYFUNCTION("""COMPUTED_VALUE"""),"No")</f>
        <v>No</v>
      </c>
      <c r="AC906" s="1" t="str">
        <f ca="1">IFERROR(__xludf.DUMMYFUNCTION("""COMPUTED_VALUE"""),"No")</f>
        <v>No</v>
      </c>
      <c r="AD906" s="1" t="str">
        <f ca="1">IFERROR(__xludf.DUMMYFUNCTION("""COMPUTED_VALUE"""),"No")</f>
        <v>No</v>
      </c>
      <c r="AE906" s="1"/>
      <c r="AF906" s="1"/>
      <c r="AG906" s="1" t="str">
        <f ca="1">IFERROR(__xludf.DUMMYFUNCTION("""COMPUTED_VALUE"""),"No")</f>
        <v>No</v>
      </c>
      <c r="AH906" s="1"/>
    </row>
    <row r="907" spans="1:34" ht="12.5">
      <c r="A907" s="1" t="str">
        <f ca="1">IFERROR(__xludf.DUMMYFUNCTION("""COMPUTED_VALUE"""),"20210806LASTH")</f>
        <v>20210806LASTH</v>
      </c>
      <c r="B907" s="1">
        <f ca="1">IFERROR(__xludf.DUMMYFUNCTION("""COMPUTED_VALUE"""),8)</f>
        <v>8</v>
      </c>
      <c r="C907" s="1">
        <f ca="1">IFERROR(__xludf.DUMMYFUNCTION("""COMPUTED_VALUE"""),6)</f>
        <v>6</v>
      </c>
      <c r="D907" s="1">
        <f ca="1">IFERROR(__xludf.DUMMYFUNCTION("""COMPUTED_VALUE"""),2021)</f>
        <v>2021</v>
      </c>
      <c r="E907" s="4">
        <f ca="1">IFERROR(__xludf.DUMMYFUNCTION("""COMPUTED_VALUE"""),44414)</f>
        <v>44414</v>
      </c>
      <c r="F907" s="1" t="str">
        <f ca="1">IFERROR(__xludf.DUMMYFUNCTION("""COMPUTED_VALUE"""),"St. Francis de Sales school")</f>
        <v>St. Francis de Sales school</v>
      </c>
      <c r="G907" s="1">
        <f ca="1">IFERROR(__xludf.DUMMYFUNCTION("""COMPUTED_VALUE"""),0)</f>
        <v>0</v>
      </c>
      <c r="H907" s="1">
        <f ca="1">IFERROR(__xludf.DUMMYFUNCTION("""COMPUTED_VALUE"""),1)</f>
        <v>1</v>
      </c>
      <c r="I907" s="1">
        <f ca="1">IFERROR(__xludf.DUMMYFUNCTION("""COMPUTED_VALUE"""),1)</f>
        <v>1</v>
      </c>
      <c r="J907" s="1">
        <f ca="1">IFERROR(__xludf.DUMMYFUNCTION("""COMPUTED_VALUE"""),0)</f>
        <v>0</v>
      </c>
      <c r="K907" s="1" t="str">
        <f ca="1">IFERROR(__xludf.DUMMYFUNCTION("""COMPUTED_VALUE"""),"Summer")</f>
        <v>Summer</v>
      </c>
      <c r="L907" s="1" t="str">
        <f ca="1">IFERROR(__xludf.DUMMYFUNCTION("""COMPUTED_VALUE"""),"Houma")</f>
        <v>Houma</v>
      </c>
      <c r="M907" s="1" t="str">
        <f ca="1">IFERROR(__xludf.DUMMYFUNCTION("""COMPUTED_VALUE"""),"LA")</f>
        <v>LA</v>
      </c>
      <c r="N907" s="1" t="str">
        <f ca="1">IFERROR(__xludf.DUMMYFUNCTION("""COMPUTED_VALUE"""),"K-8")</f>
        <v>K-8</v>
      </c>
      <c r="O907" s="1" t="str">
        <f ca="1">IFERROR(__xludf.DUMMYFUNCTION("""COMPUTED_VALUE"""),"Front of School")</f>
        <v>Front of School</v>
      </c>
      <c r="P907" s="1" t="str">
        <f ca="1">IFERROR(__xludf.DUMMYFUNCTION("""COMPUTED_VALUE"""),"Outside on School Property")</f>
        <v>Outside on School Property</v>
      </c>
      <c r="Q907" s="1" t="str">
        <f ca="1">IFERROR(__xludf.DUMMYFUNCTION("""COMPUTED_VALUE"""),"Yes")</f>
        <v>Yes</v>
      </c>
      <c r="R907" s="1" t="str">
        <f ca="1">IFERROR(__xludf.DUMMYFUNCTION("""COMPUTED_VALUE"""),"Dismissal")</f>
        <v>Dismissal</v>
      </c>
      <c r="S907" s="5">
        <f ca="1">IFERROR(__xludf.DUMMYFUNCTION("""COMPUTED_VALUE"""),0.541666666666666)</f>
        <v>0.54166666666666596</v>
      </c>
      <c r="T907" s="1">
        <f ca="1">IFERROR(__xludf.DUMMYFUNCTION("""COMPUTED_VALUE"""),1)</f>
        <v>1</v>
      </c>
      <c r="U907" s="1" t="str">
        <f ca="1">IFERROR(__xludf.DUMMYFUNCTION("""COMPUTED_VALUE"""),"Woman shot inside her car in pick-up line during attempted robbery")</f>
        <v>Woman shot inside her car in pick-up line during attempted robbery</v>
      </c>
      <c r="V907" s="1" t="str">
        <f ca="1">IFERROR(__xludf.DUMMYFUNCTION("""COMPUTED_VALUE"""),"A 60-year-old woman was inside her vehicle in the pick-up line waiting for her grandchildren. A 17-year-old male opened her car door, attempted to steal property, and then shot her once in the abdomen. Shooter fled the scene. No students or staff were inj"&amp;"ured.")</f>
        <v>A 60-year-old woman was inside her vehicle in the pick-up line waiting for her grandchildren. A 17-year-old male opened her car door, attempted to steal property, and then shot her once in the abdomen. Shooter fled the scene. No students or staff were injured.</v>
      </c>
      <c r="W907" s="1" t="str">
        <f ca="1">IFERROR(__xludf.DUMMYFUNCTION("""COMPUTED_VALUE"""),"Illegal Activity")</f>
        <v>Illegal Activity</v>
      </c>
      <c r="X907" s="1" t="str">
        <f ca="1">IFERROR(__xludf.DUMMYFUNCTION("""COMPUTED_VALUE"""),"Random Shooting")</f>
        <v>Random Shooting</v>
      </c>
      <c r="Y907" s="1" t="str">
        <f ca="1">IFERROR(__xludf.DUMMYFUNCTION("""COMPUTED_VALUE"""),"No")</f>
        <v>No</v>
      </c>
      <c r="Z907" s="1"/>
      <c r="AA907" s="1" t="str">
        <f ca="1">IFERROR(__xludf.DUMMYFUNCTION("""COMPUTED_VALUE"""),"No")</f>
        <v>No</v>
      </c>
      <c r="AB907" s="1" t="str">
        <f ca="1">IFERROR(__xludf.DUMMYFUNCTION("""COMPUTED_VALUE"""),"No")</f>
        <v>No</v>
      </c>
      <c r="AC907" s="1" t="str">
        <f ca="1">IFERROR(__xludf.DUMMYFUNCTION("""COMPUTED_VALUE"""),"No")</f>
        <v>No</v>
      </c>
      <c r="AD907" s="1" t="str">
        <f ca="1">IFERROR(__xludf.DUMMYFUNCTION("""COMPUTED_VALUE"""),"No")</f>
        <v>No</v>
      </c>
      <c r="AE907" s="1" t="str">
        <f ca="1">IFERROR(__xludf.DUMMYFUNCTION("""COMPUTED_VALUE"""),"No")</f>
        <v>No</v>
      </c>
      <c r="AF907" s="1" t="str">
        <f ca="1">IFERROR(__xludf.DUMMYFUNCTION("""COMPUTED_VALUE"""),"No")</f>
        <v>No</v>
      </c>
      <c r="AG907" s="1" t="str">
        <f ca="1">IFERROR(__xludf.DUMMYFUNCTION("""COMPUTED_VALUE"""),"No")</f>
        <v>No</v>
      </c>
      <c r="AH907" s="1">
        <f ca="1">IFERROR(__xludf.DUMMYFUNCTION("""COMPUTED_VALUE"""),1)</f>
        <v>1</v>
      </c>
    </row>
    <row r="908" spans="1:34" ht="12.5">
      <c r="A908" s="1" t="str">
        <f ca="1">IFERROR(__xludf.DUMMYFUNCTION("""COMPUTED_VALUE"""),"20210805GACHD")</f>
        <v>20210805GACHD</v>
      </c>
      <c r="B908" s="1">
        <f ca="1">IFERROR(__xludf.DUMMYFUNCTION("""COMPUTED_VALUE"""),8)</f>
        <v>8</v>
      </c>
      <c r="C908" s="1">
        <f ca="1">IFERROR(__xludf.DUMMYFUNCTION("""COMPUTED_VALUE"""),5)</f>
        <v>5</v>
      </c>
      <c r="D908" s="1">
        <f ca="1">IFERROR(__xludf.DUMMYFUNCTION("""COMPUTED_VALUE"""),2021)</f>
        <v>2021</v>
      </c>
      <c r="E908" s="4">
        <f ca="1">IFERROR(__xludf.DUMMYFUNCTION("""COMPUTED_VALUE"""),44413)</f>
        <v>44413</v>
      </c>
      <c r="F908" s="1" t="str">
        <f ca="1">IFERROR(__xludf.DUMMYFUNCTION("""COMPUTED_VALUE"""),"Chapel Hill Middle School")</f>
        <v>Chapel Hill Middle School</v>
      </c>
      <c r="G908" s="1">
        <f ca="1">IFERROR(__xludf.DUMMYFUNCTION("""COMPUTED_VALUE"""),0)</f>
        <v>0</v>
      </c>
      <c r="H908" s="1">
        <f ca="1">IFERROR(__xludf.DUMMYFUNCTION("""COMPUTED_VALUE"""),0)</f>
        <v>0</v>
      </c>
      <c r="I908" s="1">
        <f ca="1">IFERROR(__xludf.DUMMYFUNCTION("""COMPUTED_VALUE"""),0)</f>
        <v>0</v>
      </c>
      <c r="J908" s="1">
        <f ca="1">IFERROR(__xludf.DUMMYFUNCTION("""COMPUTED_VALUE"""),0)</f>
        <v>0</v>
      </c>
      <c r="K908" s="1" t="str">
        <f ca="1">IFERROR(__xludf.DUMMYFUNCTION("""COMPUTED_VALUE"""),"Summer")</f>
        <v>Summer</v>
      </c>
      <c r="L908" s="1" t="str">
        <f ca="1">IFERROR(__xludf.DUMMYFUNCTION("""COMPUTED_VALUE"""),"Douglasville")</f>
        <v>Douglasville</v>
      </c>
      <c r="M908" s="1" t="str">
        <f ca="1">IFERROR(__xludf.DUMMYFUNCTION("""COMPUTED_VALUE"""),"GA")</f>
        <v>GA</v>
      </c>
      <c r="N908" s="1" t="str">
        <f ca="1">IFERROR(__xludf.DUMMYFUNCTION("""COMPUTED_VALUE"""),"Middle")</f>
        <v>Middle</v>
      </c>
      <c r="O908" s="1" t="str">
        <f ca="1">IFERROR(__xludf.DUMMYFUNCTION("""COMPUTED_VALUE"""),"Office")</f>
        <v>Office</v>
      </c>
      <c r="P908" s="1" t="str">
        <f ca="1">IFERROR(__xludf.DUMMYFUNCTION("""COMPUTED_VALUE"""),"Inside School Building")</f>
        <v>Inside School Building</v>
      </c>
      <c r="Q908" s="1" t="str">
        <f ca="1">IFERROR(__xludf.DUMMYFUNCTION("""COMPUTED_VALUE"""),"No")</f>
        <v>No</v>
      </c>
      <c r="R908" s="1" t="str">
        <f ca="1">IFERROR(__xludf.DUMMYFUNCTION("""COMPUTED_VALUE"""),"Night")</f>
        <v>Night</v>
      </c>
      <c r="S908" s="1"/>
      <c r="T908" s="1"/>
      <c r="U908" s="1" t="str">
        <f ca="1">IFERROR(__xludf.DUMMYFUNCTION("""COMPUTED_VALUE"""),"Teacher set fired to school office and fired shots, placed on admin leave day prior")</f>
        <v>Teacher set fired to school office and fired shots, placed on admin leave day prior</v>
      </c>
      <c r="V908" s="1" t="str">
        <f ca="1">IFERROR(__xludf.DUMMYFUNCTION("""COMPUTED_VALUE"""),"A 23-year-old male teacher set a fire in the office of the school building and fired 5 shots. He was arrested charged with first-degree arson, property damage, and gun charges. He was placed on administrative leave the day prior to the shooting.")</f>
        <v>A 23-year-old male teacher set a fire in the office of the school building and fired 5 shots. He was arrested charged with first-degree arson, property damage, and gun charges. He was placed on administrative leave the day prior to the shooting.</v>
      </c>
      <c r="W908" s="1" t="str">
        <f ca="1">IFERROR(__xludf.DUMMYFUNCTION("""COMPUTED_VALUE"""),"Intentional Property Damage")</f>
        <v>Intentional Property Damage</v>
      </c>
      <c r="X908" s="1" t="str">
        <f ca="1">IFERROR(__xludf.DUMMYFUNCTION("""COMPUTED_VALUE"""),"Neither")</f>
        <v>Neither</v>
      </c>
      <c r="Y908" s="1" t="str">
        <f ca="1">IFERROR(__xludf.DUMMYFUNCTION("""COMPUTED_VALUE"""),"No")</f>
        <v>No</v>
      </c>
      <c r="Z908" s="1"/>
      <c r="AA908" s="1" t="str">
        <f ca="1">IFERROR(__xludf.DUMMYFUNCTION("""COMPUTED_VALUE"""),"No")</f>
        <v>No</v>
      </c>
      <c r="AB908" s="1" t="str">
        <f ca="1">IFERROR(__xludf.DUMMYFUNCTION("""COMPUTED_VALUE"""),"No")</f>
        <v>No</v>
      </c>
      <c r="AC908" s="1" t="str">
        <f ca="1">IFERROR(__xludf.DUMMYFUNCTION("""COMPUTED_VALUE"""),"No")</f>
        <v>No</v>
      </c>
      <c r="AD908" s="1" t="str">
        <f ca="1">IFERROR(__xludf.DUMMYFUNCTION("""COMPUTED_VALUE"""),"No")</f>
        <v>No</v>
      </c>
      <c r="AE908" s="1" t="str">
        <f ca="1">IFERROR(__xludf.DUMMYFUNCTION("""COMPUTED_VALUE"""),"No")</f>
        <v>No</v>
      </c>
      <c r="AF908" s="1" t="str">
        <f ca="1">IFERROR(__xludf.DUMMYFUNCTION("""COMPUTED_VALUE"""),"No")</f>
        <v>No</v>
      </c>
      <c r="AG908" s="1" t="str">
        <f ca="1">IFERROR(__xludf.DUMMYFUNCTION("""COMPUTED_VALUE"""),"No")</f>
        <v>No</v>
      </c>
      <c r="AH908" s="1">
        <f ca="1">IFERROR(__xludf.DUMMYFUNCTION("""COMPUTED_VALUE"""),5)</f>
        <v>5</v>
      </c>
    </row>
    <row r="909" spans="1:34" ht="12.5">
      <c r="A909" s="1" t="str">
        <f ca="1">IFERROR(__xludf.DUMMYFUNCTION("""COMPUTED_VALUE"""),"20210804ALBUM")</f>
        <v>20210804ALBUM</v>
      </c>
      <c r="B909" s="1">
        <f ca="1">IFERROR(__xludf.DUMMYFUNCTION("""COMPUTED_VALUE"""),8)</f>
        <v>8</v>
      </c>
      <c r="C909" s="1">
        <f ca="1">IFERROR(__xludf.DUMMYFUNCTION("""COMPUTED_VALUE"""),4)</f>
        <v>4</v>
      </c>
      <c r="D909" s="1">
        <f ca="1">IFERROR(__xludf.DUMMYFUNCTION("""COMPUTED_VALUE"""),2021)</f>
        <v>2021</v>
      </c>
      <c r="E909" s="4">
        <f ca="1">IFERROR(__xludf.DUMMYFUNCTION("""COMPUTED_VALUE"""),44412)</f>
        <v>44412</v>
      </c>
      <c r="F909" s="1" t="str">
        <f ca="1">IFERROR(__xludf.DUMMYFUNCTION("""COMPUTED_VALUE"""),"Burns Middle School")</f>
        <v>Burns Middle School</v>
      </c>
      <c r="G909" s="1">
        <f ca="1">IFERROR(__xludf.DUMMYFUNCTION("""COMPUTED_VALUE"""),0)</f>
        <v>0</v>
      </c>
      <c r="H909" s="1">
        <f ca="1">IFERROR(__xludf.DUMMYFUNCTION("""COMPUTED_VALUE"""),2)</f>
        <v>2</v>
      </c>
      <c r="I909" s="1">
        <f ca="1">IFERROR(__xludf.DUMMYFUNCTION("""COMPUTED_VALUE"""),2)</f>
        <v>2</v>
      </c>
      <c r="J909" s="1">
        <f ca="1">IFERROR(__xludf.DUMMYFUNCTION("""COMPUTED_VALUE"""),0)</f>
        <v>0</v>
      </c>
      <c r="K909" s="1" t="str">
        <f ca="1">IFERROR(__xludf.DUMMYFUNCTION("""COMPUTED_VALUE"""),"Summer")</f>
        <v>Summer</v>
      </c>
      <c r="L909" s="1" t="str">
        <f ca="1">IFERROR(__xludf.DUMMYFUNCTION("""COMPUTED_VALUE"""),"Mobile")</f>
        <v>Mobile</v>
      </c>
      <c r="M909" s="1" t="str">
        <f ca="1">IFERROR(__xludf.DUMMYFUNCTION("""COMPUTED_VALUE"""),"AL")</f>
        <v>AL</v>
      </c>
      <c r="N909" s="1" t="str">
        <f ca="1">IFERROR(__xludf.DUMMYFUNCTION("""COMPUTED_VALUE"""),"Middle")</f>
        <v>Middle</v>
      </c>
      <c r="O909" s="1" t="str">
        <f ca="1">IFERROR(__xludf.DUMMYFUNCTION("""COMPUTED_VALUE"""),"Parking Lot")</f>
        <v>Parking Lot</v>
      </c>
      <c r="P909" s="1" t="str">
        <f ca="1">IFERROR(__xludf.DUMMYFUNCTION("""COMPUTED_VALUE"""),"Outside on School Property")</f>
        <v>Outside on School Property</v>
      </c>
      <c r="Q909" s="1" t="str">
        <f ca="1">IFERROR(__xludf.DUMMYFUNCTION("""COMPUTED_VALUE"""),"No")</f>
        <v>No</v>
      </c>
      <c r="R909" s="1" t="str">
        <f ca="1">IFERROR(__xludf.DUMMYFUNCTION("""COMPUTED_VALUE"""),"Night")</f>
        <v>Night</v>
      </c>
      <c r="S909" s="5">
        <f ca="1">IFERROR(__xludf.DUMMYFUNCTION("""COMPUTED_VALUE"""),0.129166666666666)</f>
        <v>0.12916666666666601</v>
      </c>
      <c r="T909" s="1">
        <f ca="1">IFERROR(__xludf.DUMMYFUNCTION("""COMPUTED_VALUE"""),1)</f>
        <v>1</v>
      </c>
      <c r="U909" s="1" t="str">
        <f ca="1">IFERROR(__xludf.DUMMYFUNCTION("""COMPUTED_VALUE"""),"Two teens shot in school parking lot")</f>
        <v>Two teens shot in school parking lot</v>
      </c>
      <c r="V909" s="1" t="str">
        <f ca="1">IFERROR(__xludf.DUMMYFUNCTION("""COMPUTED_VALUE"""),"Two teens were shot in the parking lot of the school. One victim was found at the scene. The other was dropped off at a local hospital. Shooter fled. School was closed at the time of the shooting.")</f>
        <v>Two teens were shot in the parking lot of the school. One victim was found at the scene. The other was dropped off at a local hospital. Shooter fled. School was closed at the time of the shooting.</v>
      </c>
      <c r="W909" s="1"/>
      <c r="X909" s="1"/>
      <c r="Y909" s="1"/>
      <c r="Z909" s="1"/>
      <c r="AA909" s="1" t="str">
        <f ca="1">IFERROR(__xludf.DUMMYFUNCTION("""COMPUTED_VALUE"""),"No")</f>
        <v>No</v>
      </c>
      <c r="AB909" s="1" t="str">
        <f ca="1">IFERROR(__xludf.DUMMYFUNCTION("""COMPUTED_VALUE"""),"No")</f>
        <v>No</v>
      </c>
      <c r="AC909" s="1" t="str">
        <f ca="1">IFERROR(__xludf.DUMMYFUNCTION("""COMPUTED_VALUE"""),"No")</f>
        <v>No</v>
      </c>
      <c r="AD909" s="1" t="str">
        <f ca="1">IFERROR(__xludf.DUMMYFUNCTION("""COMPUTED_VALUE"""),"No")</f>
        <v>No</v>
      </c>
      <c r="AE909" s="1" t="str">
        <f ca="1">IFERROR(__xludf.DUMMYFUNCTION("""COMPUTED_VALUE"""),"No")</f>
        <v>No</v>
      </c>
      <c r="AF909" s="1"/>
      <c r="AG909" s="1" t="str">
        <f ca="1">IFERROR(__xludf.DUMMYFUNCTION("""COMPUTED_VALUE"""),"No")</f>
        <v>No</v>
      </c>
      <c r="AH909" s="1"/>
    </row>
    <row r="910" spans="1:34" ht="12.5">
      <c r="A910" s="1" t="str">
        <f ca="1">IFERROR(__xludf.DUMMYFUNCTION("""COMPUTED_VALUE"""),"20210727WATYS")</f>
        <v>20210727WATYS</v>
      </c>
      <c r="B910" s="1">
        <f ca="1">IFERROR(__xludf.DUMMYFUNCTION("""COMPUTED_VALUE"""),7)</f>
        <v>7</v>
      </c>
      <c r="C910" s="1">
        <f ca="1">IFERROR(__xludf.DUMMYFUNCTION("""COMPUTED_VALUE"""),27)</f>
        <v>27</v>
      </c>
      <c r="D910" s="1">
        <f ca="1">IFERROR(__xludf.DUMMYFUNCTION("""COMPUTED_VALUE"""),2021)</f>
        <v>2021</v>
      </c>
      <c r="E910" s="4">
        <f ca="1">IFERROR(__xludf.DUMMYFUNCTION("""COMPUTED_VALUE"""),44404)</f>
        <v>44404</v>
      </c>
      <c r="F910" s="1" t="str">
        <f ca="1">IFERROR(__xludf.DUMMYFUNCTION("""COMPUTED_VALUE"""),"Tyee High School")</f>
        <v>Tyee High School</v>
      </c>
      <c r="G910" s="1">
        <f ca="1">IFERROR(__xludf.DUMMYFUNCTION("""COMPUTED_VALUE"""),1)</f>
        <v>1</v>
      </c>
      <c r="H910" s="1">
        <f ca="1">IFERROR(__xludf.DUMMYFUNCTION("""COMPUTED_VALUE"""),0)</f>
        <v>0</v>
      </c>
      <c r="I910" s="1">
        <f ca="1">IFERROR(__xludf.DUMMYFUNCTION("""COMPUTED_VALUE"""),1)</f>
        <v>1</v>
      </c>
      <c r="J910" s="1">
        <f ca="1">IFERROR(__xludf.DUMMYFUNCTION("""COMPUTED_VALUE"""),0)</f>
        <v>0</v>
      </c>
      <c r="K910" s="1" t="str">
        <f ca="1">IFERROR(__xludf.DUMMYFUNCTION("""COMPUTED_VALUE"""),"Summer")</f>
        <v>Summer</v>
      </c>
      <c r="L910" s="1" t="str">
        <f ca="1">IFERROR(__xludf.DUMMYFUNCTION("""COMPUTED_VALUE"""),"SeaTac")</f>
        <v>SeaTac</v>
      </c>
      <c r="M910" s="1" t="str">
        <f ca="1">IFERROR(__xludf.DUMMYFUNCTION("""COMPUTED_VALUE"""),"WA")</f>
        <v>WA</v>
      </c>
      <c r="N910" s="1" t="str">
        <f ca="1">IFERROR(__xludf.DUMMYFUNCTION("""COMPUTED_VALUE"""),"High")</f>
        <v>High</v>
      </c>
      <c r="O910" s="1" t="str">
        <f ca="1">IFERROR(__xludf.DUMMYFUNCTION("""COMPUTED_VALUE"""),"Basketball Court")</f>
        <v>Basketball Court</v>
      </c>
      <c r="P910" s="1" t="str">
        <f ca="1">IFERROR(__xludf.DUMMYFUNCTION("""COMPUTED_VALUE"""),"Outside on School Property")</f>
        <v>Outside on School Property</v>
      </c>
      <c r="Q910" s="1" t="str">
        <f ca="1">IFERROR(__xludf.DUMMYFUNCTION("""COMPUTED_VALUE"""),"No")</f>
        <v>No</v>
      </c>
      <c r="R910" s="1" t="str">
        <f ca="1">IFERROR(__xludf.DUMMYFUNCTION("""COMPUTED_VALUE"""),"Night")</f>
        <v>Night</v>
      </c>
      <c r="S910" s="5">
        <f ca="1">IFERROR(__xludf.DUMMYFUNCTION("""COMPUTED_VALUE"""),0.8875)</f>
        <v>0.88749999999999996</v>
      </c>
      <c r="T910" s="1">
        <f ca="1">IFERROR(__xludf.DUMMYFUNCTION("""COMPUTED_VALUE"""),1)</f>
        <v>1</v>
      </c>
      <c r="U910" s="1" t="str">
        <f ca="1">IFERROR(__xludf.DUMMYFUNCTION("""COMPUTED_VALUE"""),"Adult man fatally shot on school basketball court")</f>
        <v>Adult man fatally shot on school basketball court</v>
      </c>
      <c r="V910" s="1" t="str">
        <f ca="1">IFERROR(__xludf.DUMMYFUNCTION("""COMPUTED_VALUE"""),"An adult male was fatally shot on the school's basketball court. Shooting had multiple witnesses. Shooter fled.")</f>
        <v>An adult male was fatally shot on the school's basketball court. Shooting had multiple witnesses. Shooter fled.</v>
      </c>
      <c r="W910" s="1"/>
      <c r="X910" s="1"/>
      <c r="Y910" s="1" t="str">
        <f ca="1">IFERROR(__xludf.DUMMYFUNCTION("""COMPUTED_VALUE"""),"No")</f>
        <v>No</v>
      </c>
      <c r="Z910" s="1"/>
      <c r="AA910" s="1" t="str">
        <f ca="1">IFERROR(__xludf.DUMMYFUNCTION("""COMPUTED_VALUE"""),"No")</f>
        <v>No</v>
      </c>
      <c r="AB910" s="1" t="str">
        <f ca="1">IFERROR(__xludf.DUMMYFUNCTION("""COMPUTED_VALUE"""),"No")</f>
        <v>No</v>
      </c>
      <c r="AC910" s="1" t="str">
        <f ca="1">IFERROR(__xludf.DUMMYFUNCTION("""COMPUTED_VALUE"""),"No")</f>
        <v>No</v>
      </c>
      <c r="AD910" s="1" t="str">
        <f ca="1">IFERROR(__xludf.DUMMYFUNCTION("""COMPUTED_VALUE"""),"No")</f>
        <v>No</v>
      </c>
      <c r="AE910" s="1" t="str">
        <f ca="1">IFERROR(__xludf.DUMMYFUNCTION("""COMPUTED_VALUE"""),"No")</f>
        <v>No</v>
      </c>
      <c r="AF910" s="1"/>
      <c r="AG910" s="1" t="str">
        <f ca="1">IFERROR(__xludf.DUMMYFUNCTION("""COMPUTED_VALUE"""),"No")</f>
        <v>No</v>
      </c>
      <c r="AH910" s="1"/>
    </row>
    <row r="911" spans="1:34" ht="12.5">
      <c r="A911" s="1" t="str">
        <f ca="1">IFERROR(__xludf.DUMMYFUNCTION("""COMPUTED_VALUE"""),"20210721ILTHC")</f>
        <v>20210721ILTHC</v>
      </c>
      <c r="B911" s="1">
        <f ca="1">IFERROR(__xludf.DUMMYFUNCTION("""COMPUTED_VALUE"""),7)</f>
        <v>7</v>
      </c>
      <c r="C911" s="1">
        <f ca="1">IFERROR(__xludf.DUMMYFUNCTION("""COMPUTED_VALUE"""),21)</f>
        <v>21</v>
      </c>
      <c r="D911" s="1">
        <f ca="1">IFERROR(__xludf.DUMMYFUNCTION("""COMPUTED_VALUE"""),2021)</f>
        <v>2021</v>
      </c>
      <c r="E911" s="4">
        <f ca="1">IFERROR(__xludf.DUMMYFUNCTION("""COMPUTED_VALUE"""),44398)</f>
        <v>44398</v>
      </c>
      <c r="F911" s="1" t="str">
        <f ca="1">IFERROR(__xludf.DUMMYFUNCTION("""COMPUTED_VALUE"""),"Theodore Herzl Elementary School")</f>
        <v>Theodore Herzl Elementary School</v>
      </c>
      <c r="G911" s="1">
        <f ca="1">IFERROR(__xludf.DUMMYFUNCTION("""COMPUTED_VALUE"""),0)</f>
        <v>0</v>
      </c>
      <c r="H911" s="1">
        <f ca="1">IFERROR(__xludf.DUMMYFUNCTION("""COMPUTED_VALUE"""),5)</f>
        <v>5</v>
      </c>
      <c r="I911" s="1">
        <f ca="1">IFERROR(__xludf.DUMMYFUNCTION("""COMPUTED_VALUE"""),5)</f>
        <v>5</v>
      </c>
      <c r="J911" s="1">
        <f ca="1">IFERROR(__xludf.DUMMYFUNCTION("""COMPUTED_VALUE"""),0)</f>
        <v>0</v>
      </c>
      <c r="K911" s="1" t="str">
        <f ca="1">IFERROR(__xludf.DUMMYFUNCTION("""COMPUTED_VALUE"""),"Summer")</f>
        <v>Summer</v>
      </c>
      <c r="L911" s="1" t="str">
        <f ca="1">IFERROR(__xludf.DUMMYFUNCTION("""COMPUTED_VALUE"""),"Chicago")</f>
        <v>Chicago</v>
      </c>
      <c r="M911" s="1" t="str">
        <f ca="1">IFERROR(__xludf.DUMMYFUNCTION("""COMPUTED_VALUE"""),"IL")</f>
        <v>IL</v>
      </c>
      <c r="N911" s="1" t="str">
        <f ca="1">IFERROR(__xludf.DUMMYFUNCTION("""COMPUTED_VALUE"""),"Elementary")</f>
        <v>Elementary</v>
      </c>
      <c r="O911" s="1" t="str">
        <f ca="1">IFERROR(__xludf.DUMMYFUNCTION("""COMPUTED_VALUE"""),"Front of School")</f>
        <v>Front of School</v>
      </c>
      <c r="P911" s="1" t="str">
        <f ca="1">IFERROR(__xludf.DUMMYFUNCTION("""COMPUTED_VALUE"""),"Outside on School Property")</f>
        <v>Outside on School Property</v>
      </c>
      <c r="Q911" s="1" t="str">
        <f ca="1">IFERROR(__xludf.DUMMYFUNCTION("""COMPUTED_VALUE"""),"No")</f>
        <v>No</v>
      </c>
      <c r="R911" s="1" t="str">
        <f ca="1">IFERROR(__xludf.DUMMYFUNCTION("""COMPUTED_VALUE"""),"Evening")</f>
        <v>Evening</v>
      </c>
      <c r="S911" s="5">
        <f ca="1">IFERROR(__xludf.DUMMYFUNCTION("""COMPUTED_VALUE"""),0.753472222222222)</f>
        <v>0.75347222222222199</v>
      </c>
      <c r="T911" s="1">
        <f ca="1">IFERROR(__xludf.DUMMYFUNCTION("""COMPUTED_VALUE"""),1)</f>
        <v>1</v>
      </c>
      <c r="U911" s="1" t="str">
        <f ca="1">IFERROR(__xludf.DUMMYFUNCTION("""COMPUTED_VALUE"""),"5 people shot outside of elementary school")</f>
        <v>5 people shot outside of elementary school</v>
      </c>
      <c r="V911" s="1" t="str">
        <f ca="1">IFERROR(__xludf.DUMMYFUNCTION("""COMPUTED_VALUE"""),"5 people were shot outside of the elementary school. Class was not in session. An 18-year-old male was critically injured. A 15-year-old male, 14-year-old male, 17-year-old male, and 22-year-old male were wounded and transported to the hospital.")</f>
        <v>5 people were shot outside of the elementary school. Class was not in session. An 18-year-old male was critically injured. A 15-year-old male, 14-year-old male, 17-year-old male, and 22-year-old male were wounded and transported to the hospital.</v>
      </c>
      <c r="W911" s="1" t="str">
        <f ca="1">IFERROR(__xludf.DUMMYFUNCTION("""COMPUTED_VALUE"""),"Drive-by Shooting")</f>
        <v>Drive-by Shooting</v>
      </c>
      <c r="X911" s="1"/>
      <c r="Y911" s="1"/>
      <c r="Z911" s="1"/>
      <c r="AA911" s="1" t="str">
        <f ca="1">IFERROR(__xludf.DUMMYFUNCTION("""COMPUTED_VALUE"""),"No")</f>
        <v>No</v>
      </c>
      <c r="AB911" s="1" t="str">
        <f ca="1">IFERROR(__xludf.DUMMYFUNCTION("""COMPUTED_VALUE"""),"No")</f>
        <v>No</v>
      </c>
      <c r="AC911" s="1" t="str">
        <f ca="1">IFERROR(__xludf.DUMMYFUNCTION("""COMPUTED_VALUE"""),"No")</f>
        <v>No</v>
      </c>
      <c r="AD911" s="1" t="str">
        <f ca="1">IFERROR(__xludf.DUMMYFUNCTION("""COMPUTED_VALUE"""),"No")</f>
        <v>No</v>
      </c>
      <c r="AE911" s="1" t="str">
        <f ca="1">IFERROR(__xludf.DUMMYFUNCTION("""COMPUTED_VALUE"""),"No")</f>
        <v>No</v>
      </c>
      <c r="AF911" s="1"/>
      <c r="AG911" s="1" t="str">
        <f ca="1">IFERROR(__xludf.DUMMYFUNCTION("""COMPUTED_VALUE"""),"No")</f>
        <v>No</v>
      </c>
      <c r="AH911" s="1"/>
    </row>
    <row r="912" spans="1:34" ht="12.5">
      <c r="A912" s="1" t="str">
        <f ca="1">IFERROR(__xludf.DUMMYFUNCTION("""COMPUTED_VALUE"""),"20210719TXCAC")</f>
        <v>20210719TXCAC</v>
      </c>
      <c r="B912" s="1">
        <f ca="1">IFERROR(__xludf.DUMMYFUNCTION("""COMPUTED_VALUE"""),7)</f>
        <v>7</v>
      </c>
      <c r="C912" s="1">
        <f ca="1">IFERROR(__xludf.DUMMYFUNCTION("""COMPUTED_VALUE"""),19)</f>
        <v>19</v>
      </c>
      <c r="D912" s="1">
        <f ca="1">IFERROR(__xludf.DUMMYFUNCTION("""COMPUTED_VALUE"""),2021)</f>
        <v>2021</v>
      </c>
      <c r="E912" s="4">
        <f ca="1">IFERROR(__xludf.DUMMYFUNCTION("""COMPUTED_VALUE"""),44396)</f>
        <v>44396</v>
      </c>
      <c r="F912" s="1" t="str">
        <f ca="1">IFERROR(__xludf.DUMMYFUNCTION("""COMPUTED_VALUE"""),"Caldwell High School")</f>
        <v>Caldwell High School</v>
      </c>
      <c r="G912" s="1">
        <f ca="1">IFERROR(__xludf.DUMMYFUNCTION("""COMPUTED_VALUE"""),0)</f>
        <v>0</v>
      </c>
      <c r="H912" s="1">
        <f ca="1">IFERROR(__xludf.DUMMYFUNCTION("""COMPUTED_VALUE"""),0)</f>
        <v>0</v>
      </c>
      <c r="I912" s="1">
        <f ca="1">IFERROR(__xludf.DUMMYFUNCTION("""COMPUTED_VALUE"""),0)</f>
        <v>0</v>
      </c>
      <c r="J912" s="1">
        <f ca="1">IFERROR(__xludf.DUMMYFUNCTION("""COMPUTED_VALUE"""),0)</f>
        <v>0</v>
      </c>
      <c r="K912" s="1" t="str">
        <f ca="1">IFERROR(__xludf.DUMMYFUNCTION("""COMPUTED_VALUE"""),"Summer")</f>
        <v>Summer</v>
      </c>
      <c r="L912" s="1" t="str">
        <f ca="1">IFERROR(__xludf.DUMMYFUNCTION("""COMPUTED_VALUE"""),"Caldwell")</f>
        <v>Caldwell</v>
      </c>
      <c r="M912" s="1" t="str">
        <f ca="1">IFERROR(__xludf.DUMMYFUNCTION("""COMPUTED_VALUE"""),"TX")</f>
        <v>TX</v>
      </c>
      <c r="N912" s="1" t="str">
        <f ca="1">IFERROR(__xludf.DUMMYFUNCTION("""COMPUTED_VALUE"""),"High")</f>
        <v>High</v>
      </c>
      <c r="O912" s="1" t="str">
        <f ca="1">IFERROR(__xludf.DUMMYFUNCTION("""COMPUTED_VALUE"""),"Parking Lot")</f>
        <v>Parking Lot</v>
      </c>
      <c r="P912" s="1" t="str">
        <f ca="1">IFERROR(__xludf.DUMMYFUNCTION("""COMPUTED_VALUE"""),"Outside on School Property")</f>
        <v>Outside on School Property</v>
      </c>
      <c r="Q912" s="1" t="str">
        <f ca="1">IFERROR(__xludf.DUMMYFUNCTION("""COMPUTED_VALUE"""),"Yes")</f>
        <v>Yes</v>
      </c>
      <c r="R912" s="1" t="str">
        <f ca="1">IFERROR(__xludf.DUMMYFUNCTION("""COMPUTED_VALUE"""),"Afternoon Classes")</f>
        <v>Afternoon Classes</v>
      </c>
      <c r="S912" s="5">
        <f ca="1">IFERROR(__xludf.DUMMYFUNCTION("""COMPUTED_VALUE"""),0.542361111111111)</f>
        <v>0.54236111111111096</v>
      </c>
      <c r="T912" s="1">
        <f ca="1">IFERROR(__xludf.DUMMYFUNCTION("""COMPUTED_VALUE"""),1)</f>
        <v>1</v>
      </c>
      <c r="U912" s="1" t="str">
        <f ca="1">IFERROR(__xludf.DUMMYFUNCTION("""COMPUTED_VALUE"""),"Teen in a vehicle fired ""hydroball"" gun at students in the parking lot")</f>
        <v>Teen in a vehicle fired "hydroball" gun at students in the parking lot</v>
      </c>
      <c r="V912" s="1" t="str">
        <f ca="1">IFERROR(__xludf.DUMMYFUNCTION("""COMPUTED_VALUE"""),"Four teens inside a vehicle, 16-year-old male, 16-year-old male, 16-year-old female, and 14-year-old female, fired shots from a ""hydroball"" gun at students in the parking lot. Two students sustained minor injuries. Police stopped the vehicle after it le"&amp;"ft the school. The gun had been painted black to look like a realistic firearm. All four teens were arrested.")</f>
        <v>Four teens inside a vehicle, 16-year-old male, 16-year-old male, 16-year-old female, and 14-year-old female, fired shots from a "hydroball" gun at students in the parking lot. Two students sustained minor injuries. Police stopped the vehicle after it left the school. The gun had been painted black to look like a realistic firearm. All four teens were arrested.</v>
      </c>
      <c r="W912" s="1" t="str">
        <f ca="1">IFERROR(__xludf.DUMMYFUNCTION("""COMPUTED_VALUE"""),"Drive-by Shooting")</f>
        <v>Drive-by Shooting</v>
      </c>
      <c r="X912" s="1" t="str">
        <f ca="1">IFERROR(__xludf.DUMMYFUNCTION("""COMPUTED_VALUE"""),"Random Shooting")</f>
        <v>Random Shooting</v>
      </c>
      <c r="Y912" s="1" t="str">
        <f ca="1">IFERROR(__xludf.DUMMYFUNCTION("""COMPUTED_VALUE"""),"Yes")</f>
        <v>Yes</v>
      </c>
      <c r="Z912" s="1" t="str">
        <f ca="1">IFERROR(__xludf.DUMMYFUNCTION("""COMPUTED_VALUE"""),"4 teens arrested")</f>
        <v>4 teens arrested</v>
      </c>
      <c r="AA912" s="1" t="str">
        <f ca="1">IFERROR(__xludf.DUMMYFUNCTION("""COMPUTED_VALUE"""),"No")</f>
        <v>No</v>
      </c>
      <c r="AB912" s="1" t="str">
        <f ca="1">IFERROR(__xludf.DUMMYFUNCTION("""COMPUTED_VALUE"""),"No")</f>
        <v>No</v>
      </c>
      <c r="AC912" s="1" t="str">
        <f ca="1">IFERROR(__xludf.DUMMYFUNCTION("""COMPUTED_VALUE"""),"No")</f>
        <v>No</v>
      </c>
      <c r="AD912" s="1" t="str">
        <f ca="1">IFERROR(__xludf.DUMMYFUNCTION("""COMPUTED_VALUE"""),"No")</f>
        <v>No</v>
      </c>
      <c r="AE912" s="1" t="str">
        <f ca="1">IFERROR(__xludf.DUMMYFUNCTION("""COMPUTED_VALUE"""),"No")</f>
        <v>No</v>
      </c>
      <c r="AF912" s="1" t="str">
        <f ca="1">IFERROR(__xludf.DUMMYFUNCTION("""COMPUTED_VALUE"""),"No")</f>
        <v>No</v>
      </c>
      <c r="AG912" s="1" t="str">
        <f ca="1">IFERROR(__xludf.DUMMYFUNCTION("""COMPUTED_VALUE"""),"No")</f>
        <v>No</v>
      </c>
      <c r="AH912" s="1"/>
    </row>
    <row r="913" spans="1:34" ht="12.5">
      <c r="A913" s="1" t="str">
        <f ca="1">IFERROR(__xludf.DUMMYFUNCTION("""COMPUTED_VALUE"""),"20210718ARFOL")</f>
        <v>20210718ARFOL</v>
      </c>
      <c r="B913" s="1">
        <f ca="1">IFERROR(__xludf.DUMMYFUNCTION("""COMPUTED_VALUE"""),7)</f>
        <v>7</v>
      </c>
      <c r="C913" s="1">
        <f ca="1">IFERROR(__xludf.DUMMYFUNCTION("""COMPUTED_VALUE"""),18)</f>
        <v>18</v>
      </c>
      <c r="D913" s="1">
        <f ca="1">IFERROR(__xludf.DUMMYFUNCTION("""COMPUTED_VALUE"""),2021)</f>
        <v>2021</v>
      </c>
      <c r="E913" s="4">
        <f ca="1">IFERROR(__xludf.DUMMYFUNCTION("""COMPUTED_VALUE"""),44395)</f>
        <v>44395</v>
      </c>
      <c r="F913" s="1" t="str">
        <f ca="1">IFERROR(__xludf.DUMMYFUNCTION("""COMPUTED_VALUE"""),"Forest Park Elementary")</f>
        <v>Forest Park Elementary</v>
      </c>
      <c r="G913" s="1">
        <f ca="1">IFERROR(__xludf.DUMMYFUNCTION("""COMPUTED_VALUE"""),0)</f>
        <v>0</v>
      </c>
      <c r="H913" s="1">
        <f ca="1">IFERROR(__xludf.DUMMYFUNCTION("""COMPUTED_VALUE"""),0)</f>
        <v>0</v>
      </c>
      <c r="I913" s="1">
        <f ca="1">IFERROR(__xludf.DUMMYFUNCTION("""COMPUTED_VALUE"""),0)</f>
        <v>0</v>
      </c>
      <c r="J913" s="1">
        <f ca="1">IFERROR(__xludf.DUMMYFUNCTION("""COMPUTED_VALUE"""),0)</f>
        <v>0</v>
      </c>
      <c r="K913" s="1" t="str">
        <f ca="1">IFERROR(__xludf.DUMMYFUNCTION("""COMPUTED_VALUE"""),"Summer")</f>
        <v>Summer</v>
      </c>
      <c r="L913" s="1" t="str">
        <f ca="1">IFERROR(__xludf.DUMMYFUNCTION("""COMPUTED_VALUE"""),"Little Rock")</f>
        <v>Little Rock</v>
      </c>
      <c r="M913" s="1" t="str">
        <f ca="1">IFERROR(__xludf.DUMMYFUNCTION("""COMPUTED_VALUE"""),"AR")</f>
        <v>AR</v>
      </c>
      <c r="N913" s="1" t="str">
        <f ca="1">IFERROR(__xludf.DUMMYFUNCTION("""COMPUTED_VALUE"""),"Elementary")</f>
        <v>Elementary</v>
      </c>
      <c r="O913" s="1" t="str">
        <f ca="1">IFERROR(__xludf.DUMMYFUNCTION("""COMPUTED_VALUE"""),"Basketball Court")</f>
        <v>Basketball Court</v>
      </c>
      <c r="P913" s="1" t="str">
        <f ca="1">IFERROR(__xludf.DUMMYFUNCTION("""COMPUTED_VALUE"""),"Outside on School Property")</f>
        <v>Outside on School Property</v>
      </c>
      <c r="Q913" s="1" t="str">
        <f ca="1">IFERROR(__xludf.DUMMYFUNCTION("""COMPUTED_VALUE"""),"No")</f>
        <v>No</v>
      </c>
      <c r="R913" s="1" t="str">
        <f ca="1">IFERROR(__xludf.DUMMYFUNCTION("""COMPUTED_VALUE"""),"Not a School Day")</f>
        <v>Not a School Day</v>
      </c>
      <c r="S913" s="5">
        <f ca="1">IFERROR(__xludf.DUMMYFUNCTION("""COMPUTED_VALUE"""),0.750694444444444)</f>
        <v>0.750694444444444</v>
      </c>
      <c r="T913" s="1">
        <f ca="1">IFERROR(__xludf.DUMMYFUNCTION("""COMPUTED_VALUE"""),1)</f>
        <v>1</v>
      </c>
      <c r="U913" s="1" t="str">
        <f ca="1">IFERROR(__xludf.DUMMYFUNCTION("""COMPUTED_VALUE"""),"Shots fired on school basketball court")</f>
        <v>Shots fired on school basketball court</v>
      </c>
      <c r="V913" s="1" t="str">
        <f ca="1">IFERROR(__xludf.DUMMYFUNCTION("""COMPUTED_VALUE"""),"Shot were fired on the basketball court of the school. Two people were present at the time of the shooting, both fled before police arrived. No injuries reported.")</f>
        <v>Shot were fired on the basketball court of the school. Two people were present at the time of the shooting, both fled before police arrived. No injuries reported.</v>
      </c>
      <c r="W913" s="1"/>
      <c r="X913" s="1"/>
      <c r="Y913" s="1" t="str">
        <f ca="1">IFERROR(__xludf.DUMMYFUNCTION("""COMPUTED_VALUE"""),"No")</f>
        <v>No</v>
      </c>
      <c r="Z913" s="1"/>
      <c r="AA913" s="1" t="str">
        <f ca="1">IFERROR(__xludf.DUMMYFUNCTION("""COMPUTED_VALUE"""),"No")</f>
        <v>No</v>
      </c>
      <c r="AB913" s="1" t="str">
        <f ca="1">IFERROR(__xludf.DUMMYFUNCTION("""COMPUTED_VALUE"""),"No")</f>
        <v>No</v>
      </c>
      <c r="AC913" s="1" t="str">
        <f ca="1">IFERROR(__xludf.DUMMYFUNCTION("""COMPUTED_VALUE"""),"No")</f>
        <v>No</v>
      </c>
      <c r="AD913" s="1" t="str">
        <f ca="1">IFERROR(__xludf.DUMMYFUNCTION("""COMPUTED_VALUE"""),"No")</f>
        <v>No</v>
      </c>
      <c r="AE913" s="1" t="str">
        <f ca="1">IFERROR(__xludf.DUMMYFUNCTION("""COMPUTED_VALUE"""),"No")</f>
        <v>No</v>
      </c>
      <c r="AF913" s="1"/>
      <c r="AG913" s="1" t="str">
        <f ca="1">IFERROR(__xludf.DUMMYFUNCTION("""COMPUTED_VALUE"""),"No")</f>
        <v>No</v>
      </c>
      <c r="AH913" s="1"/>
    </row>
    <row r="914" spans="1:34" ht="12.5">
      <c r="A914" s="1" t="str">
        <f ca="1">IFERROR(__xludf.DUMMYFUNCTION("""COMPUTED_VALUE"""),"20210709KSCAW")</f>
        <v>20210709KSCAW</v>
      </c>
      <c r="B914" s="1">
        <f ca="1">IFERROR(__xludf.DUMMYFUNCTION("""COMPUTED_VALUE"""),7)</f>
        <v>7</v>
      </c>
      <c r="C914" s="1">
        <f ca="1">IFERROR(__xludf.DUMMYFUNCTION("""COMPUTED_VALUE"""),9)</f>
        <v>9</v>
      </c>
      <c r="D914" s="1">
        <f ca="1">IFERROR(__xludf.DUMMYFUNCTION("""COMPUTED_VALUE"""),2021)</f>
        <v>2021</v>
      </c>
      <c r="E914" s="4">
        <f ca="1">IFERROR(__xludf.DUMMYFUNCTION("""COMPUTED_VALUE"""),44386)</f>
        <v>44386</v>
      </c>
      <c r="F914" s="1" t="str">
        <f ca="1">IFERROR(__xludf.DUMMYFUNCTION("""COMPUTED_VALUE"""),"Campus High School")</f>
        <v>Campus High School</v>
      </c>
      <c r="G914" s="1">
        <f ca="1">IFERROR(__xludf.DUMMYFUNCTION("""COMPUTED_VALUE"""),0)</f>
        <v>0</v>
      </c>
      <c r="H914" s="1">
        <f ca="1">IFERROR(__xludf.DUMMYFUNCTION("""COMPUTED_VALUE"""),0)</f>
        <v>0</v>
      </c>
      <c r="I914" s="1">
        <f ca="1">IFERROR(__xludf.DUMMYFUNCTION("""COMPUTED_VALUE"""),0)</f>
        <v>0</v>
      </c>
      <c r="J914" s="1">
        <f ca="1">IFERROR(__xludf.DUMMYFUNCTION("""COMPUTED_VALUE"""),1)</f>
        <v>1</v>
      </c>
      <c r="K914" s="1" t="str">
        <f ca="1">IFERROR(__xludf.DUMMYFUNCTION("""COMPUTED_VALUE"""),"Summer")</f>
        <v>Summer</v>
      </c>
      <c r="L914" s="1" t="str">
        <f ca="1">IFERROR(__xludf.DUMMYFUNCTION("""COMPUTED_VALUE"""),"Wichita")</f>
        <v>Wichita</v>
      </c>
      <c r="M914" s="1" t="str">
        <f ca="1">IFERROR(__xludf.DUMMYFUNCTION("""COMPUTED_VALUE"""),"KS")</f>
        <v>KS</v>
      </c>
      <c r="N914" s="1" t="str">
        <f ca="1">IFERROR(__xludf.DUMMYFUNCTION("""COMPUTED_VALUE"""),"High")</f>
        <v>High</v>
      </c>
      <c r="O914" s="1" t="str">
        <f ca="1">IFERROR(__xludf.DUMMYFUNCTION("""COMPUTED_VALUE"""),"Field (General)")</f>
        <v>Field (General)</v>
      </c>
      <c r="P914" s="1" t="str">
        <f ca="1">IFERROR(__xludf.DUMMYFUNCTION("""COMPUTED_VALUE"""),"Outside on School Property")</f>
        <v>Outside on School Property</v>
      </c>
      <c r="Q914" s="1" t="str">
        <f ca="1">IFERROR(__xludf.DUMMYFUNCTION("""COMPUTED_VALUE"""),"No")</f>
        <v>No</v>
      </c>
      <c r="R914" s="1" t="str">
        <f ca="1">IFERROR(__xludf.DUMMYFUNCTION("""COMPUTED_VALUE"""),"Not a School Day")</f>
        <v>Not a School Day</v>
      </c>
      <c r="S914" s="5">
        <f ca="1">IFERROR(__xludf.DUMMYFUNCTION("""COMPUTED_VALUE"""),0.625)</f>
        <v>0.625</v>
      </c>
      <c r="T914" s="1"/>
      <c r="U914" s="1" t="str">
        <f ca="1">IFERROR(__xludf.DUMMYFUNCTION("""COMPUTED_VALUE"""),"Following police chase, vehicle crashed and caught fire on the field in front of the high school, driver fired shots at officers")</f>
        <v>Following police chase, vehicle crashed and caught fire on the field in front of the high school, driver fired shots at officers</v>
      </c>
      <c r="V914" s="1" t="str">
        <f ca="1">IFERROR(__xludf.DUMMYFUNCTION("""COMPUTED_VALUE"""),"Following a police chase, a man driving a vehicle crashed onto the field in front of the high school. He fired shots from the vehicle at police officers. The vehicle caught fire and he died inside it. His wife said that he was suicidal.")</f>
        <v>Following a police chase, a man driving a vehicle crashed onto the field in front of the high school. He fired shots from the vehicle at police officers. The vehicle caught fire and he died inside it. His wife said that he was suicidal.</v>
      </c>
      <c r="W914" s="1" t="str">
        <f ca="1">IFERROR(__xludf.DUMMYFUNCTION("""COMPUTED_VALUE"""),"Suicide/Attempted")</f>
        <v>Suicide/Attempted</v>
      </c>
      <c r="X914" s="1" t="str">
        <f ca="1">IFERROR(__xludf.DUMMYFUNCTION("""COMPUTED_VALUE"""),"Random Shooting")</f>
        <v>Random Shooting</v>
      </c>
      <c r="Y914" s="1" t="str">
        <f ca="1">IFERROR(__xludf.DUMMYFUNCTION("""COMPUTED_VALUE"""),"No")</f>
        <v>No</v>
      </c>
      <c r="Z914" s="1"/>
      <c r="AA914" s="1" t="str">
        <f ca="1">IFERROR(__xludf.DUMMYFUNCTION("""COMPUTED_VALUE"""),"No")</f>
        <v>No</v>
      </c>
      <c r="AB914" s="1" t="str">
        <f ca="1">IFERROR(__xludf.DUMMYFUNCTION("""COMPUTED_VALUE"""),"No")</f>
        <v>No</v>
      </c>
      <c r="AC914" s="1" t="str">
        <f ca="1">IFERROR(__xludf.DUMMYFUNCTION("""COMPUTED_VALUE"""),"No")</f>
        <v>No</v>
      </c>
      <c r="AD914" s="1" t="str">
        <f ca="1">IFERROR(__xludf.DUMMYFUNCTION("""COMPUTED_VALUE"""),"No")</f>
        <v>No</v>
      </c>
      <c r="AE914" s="1" t="str">
        <f ca="1">IFERROR(__xludf.DUMMYFUNCTION("""COMPUTED_VALUE"""),"No")</f>
        <v>No</v>
      </c>
      <c r="AF914" s="1" t="str">
        <f ca="1">IFERROR(__xludf.DUMMYFUNCTION("""COMPUTED_VALUE"""),"No")</f>
        <v>No</v>
      </c>
      <c r="AG914" s="1" t="str">
        <f ca="1">IFERROR(__xludf.DUMMYFUNCTION("""COMPUTED_VALUE"""),"No")</f>
        <v>No</v>
      </c>
      <c r="AH914" s="1"/>
    </row>
    <row r="915" spans="1:34" ht="12.5">
      <c r="A915" s="1" t="str">
        <f ca="1">IFERROR(__xludf.DUMMYFUNCTION("""COMPUTED_VALUE"""),"20210708ILBEC")</f>
        <v>20210708ILBEC</v>
      </c>
      <c r="B915" s="1">
        <f ca="1">IFERROR(__xludf.DUMMYFUNCTION("""COMPUTED_VALUE"""),7)</f>
        <v>7</v>
      </c>
      <c r="C915" s="1">
        <f ca="1">IFERROR(__xludf.DUMMYFUNCTION("""COMPUTED_VALUE"""),8)</f>
        <v>8</v>
      </c>
      <c r="D915" s="1">
        <f ca="1">IFERROR(__xludf.DUMMYFUNCTION("""COMPUTED_VALUE"""),2021)</f>
        <v>2021</v>
      </c>
      <c r="E915" s="4">
        <f ca="1">IFERROR(__xludf.DUMMYFUNCTION("""COMPUTED_VALUE"""),44385)</f>
        <v>44385</v>
      </c>
      <c r="F915" s="1" t="str">
        <f ca="1">IFERROR(__xludf.DUMMYFUNCTION("""COMPUTED_VALUE"""),"Benito Juarez Community Academy")</f>
        <v>Benito Juarez Community Academy</v>
      </c>
      <c r="G915" s="1">
        <f ca="1">IFERROR(__xludf.DUMMYFUNCTION("""COMPUTED_VALUE"""),0)</f>
        <v>0</v>
      </c>
      <c r="H915" s="1">
        <f ca="1">IFERROR(__xludf.DUMMYFUNCTION("""COMPUTED_VALUE"""),2)</f>
        <v>2</v>
      </c>
      <c r="I915" s="1">
        <f ca="1">IFERROR(__xludf.DUMMYFUNCTION("""COMPUTED_VALUE"""),2)</f>
        <v>2</v>
      </c>
      <c r="J915" s="1">
        <f ca="1">IFERROR(__xludf.DUMMYFUNCTION("""COMPUTED_VALUE"""),0)</f>
        <v>0</v>
      </c>
      <c r="K915" s="1" t="str">
        <f ca="1">IFERROR(__xludf.DUMMYFUNCTION("""COMPUTED_VALUE"""),"Summer")</f>
        <v>Summer</v>
      </c>
      <c r="L915" s="1" t="str">
        <f ca="1">IFERROR(__xludf.DUMMYFUNCTION("""COMPUTED_VALUE"""),"Chicago")</f>
        <v>Chicago</v>
      </c>
      <c r="M915" s="1" t="str">
        <f ca="1">IFERROR(__xludf.DUMMYFUNCTION("""COMPUTED_VALUE"""),"IL")</f>
        <v>IL</v>
      </c>
      <c r="N915" s="1" t="str">
        <f ca="1">IFERROR(__xludf.DUMMYFUNCTION("""COMPUTED_VALUE"""),"High")</f>
        <v>High</v>
      </c>
      <c r="O915" s="1" t="str">
        <f ca="1">IFERROR(__xludf.DUMMYFUNCTION("""COMPUTED_VALUE"""),"Front of School")</f>
        <v>Front of School</v>
      </c>
      <c r="P915" s="1" t="str">
        <f ca="1">IFERROR(__xludf.DUMMYFUNCTION("""COMPUTED_VALUE"""),"Outside on School Property")</f>
        <v>Outside on School Property</v>
      </c>
      <c r="Q915" s="1" t="str">
        <f ca="1">IFERROR(__xludf.DUMMYFUNCTION("""COMPUTED_VALUE"""),"Yes")</f>
        <v>Yes</v>
      </c>
      <c r="R915" s="1" t="str">
        <f ca="1">IFERROR(__xludf.DUMMYFUNCTION("""COMPUTED_VALUE"""),"Afternoon Classes")</f>
        <v>Afternoon Classes</v>
      </c>
      <c r="S915" s="5">
        <f ca="1">IFERROR(__xludf.DUMMYFUNCTION("""COMPUTED_VALUE"""),0.50625)</f>
        <v>0.50624999999999998</v>
      </c>
      <c r="T915" s="1">
        <f ca="1">IFERROR(__xludf.DUMMYFUNCTION("""COMPUTED_VALUE"""),1)</f>
        <v>1</v>
      </c>
      <c r="U915" s="1" t="str">
        <f ca="1">IFERROR(__xludf.DUMMYFUNCTION("""COMPUTED_VALUE"""),"Teen student bystander struck during shooting resulting from fight between 2 adult women")</f>
        <v>Teen student bystander struck during shooting resulting from fight between 2 adult women</v>
      </c>
      <c r="V915" s="1" t="str">
        <f ca="1">IFERROR(__xludf.DUMMYFUNCTION("""COMPUTED_VALUE"""),"Shots were fired during a fight between two adult women in front of the school. A vehicle stopped near them and someone inside started shooting. Students were attending summer programs at the time of the shooting. A 34-year-old female involved in the figh"&amp;"t was shot in the neck. A 16-year-old male student at the school was shot in the leg. School was locked down for one hour and then students were released to their parents.")</f>
        <v>Shots were fired during a fight between two adult women in front of the school. A vehicle stopped near them and someone inside started shooting. Students were attending summer programs at the time of the shooting. A 34-year-old female involved in the fight was shot in the neck. A 16-year-old male student at the school was shot in the leg. School was locked down for one hour and then students were released to their parents.</v>
      </c>
      <c r="W915" s="1" t="str">
        <f ca="1">IFERROR(__xludf.DUMMYFUNCTION("""COMPUTED_VALUE"""),"Drive-by Shooting")</f>
        <v>Drive-by Shooting</v>
      </c>
      <c r="X915" s="1" t="str">
        <f ca="1">IFERROR(__xludf.DUMMYFUNCTION("""COMPUTED_VALUE"""),"Both")</f>
        <v>Both</v>
      </c>
      <c r="Y915" s="1"/>
      <c r="Z915" s="1"/>
      <c r="AA915" s="1" t="str">
        <f ca="1">IFERROR(__xludf.DUMMYFUNCTION("""COMPUTED_VALUE"""),"No")</f>
        <v>No</v>
      </c>
      <c r="AB915" s="1" t="str">
        <f ca="1">IFERROR(__xludf.DUMMYFUNCTION("""COMPUTED_VALUE"""),"No")</f>
        <v>No</v>
      </c>
      <c r="AC915" s="1" t="str">
        <f ca="1">IFERROR(__xludf.DUMMYFUNCTION("""COMPUTED_VALUE"""),"No")</f>
        <v>No</v>
      </c>
      <c r="AD915" s="1" t="str">
        <f ca="1">IFERROR(__xludf.DUMMYFUNCTION("""COMPUTED_VALUE"""),"No")</f>
        <v>No</v>
      </c>
      <c r="AE915" s="1" t="str">
        <f ca="1">IFERROR(__xludf.DUMMYFUNCTION("""COMPUTED_VALUE"""),"No")</f>
        <v>No</v>
      </c>
      <c r="AF915" s="1"/>
      <c r="AG915" s="1" t="str">
        <f ca="1">IFERROR(__xludf.DUMMYFUNCTION("""COMPUTED_VALUE"""),"No")</f>
        <v>No</v>
      </c>
      <c r="AH915" s="1"/>
    </row>
    <row r="916" spans="1:34" ht="12.5">
      <c r="A916" s="1" t="str">
        <f ca="1">IFERROR(__xludf.DUMMYFUNCTION("""COMPUTED_VALUE"""),"20210704NYDRR")</f>
        <v>20210704NYDRR</v>
      </c>
      <c r="B916" s="1">
        <f ca="1">IFERROR(__xludf.DUMMYFUNCTION("""COMPUTED_VALUE"""),7)</f>
        <v>7</v>
      </c>
      <c r="C916" s="1">
        <f ca="1">IFERROR(__xludf.DUMMYFUNCTION("""COMPUTED_VALUE"""),4)</f>
        <v>4</v>
      </c>
      <c r="D916" s="1">
        <f ca="1">IFERROR(__xludf.DUMMYFUNCTION("""COMPUTED_VALUE"""),2021)</f>
        <v>2021</v>
      </c>
      <c r="E916" s="4">
        <f ca="1">IFERROR(__xludf.DUMMYFUNCTION("""COMPUTED_VALUE"""),44381)</f>
        <v>44381</v>
      </c>
      <c r="F916" s="1" t="str">
        <f ca="1">IFERROR(__xludf.DUMMYFUNCTION("""COMPUTED_VALUE"""),"Dr. Louis A. Cerulli School No. 34")</f>
        <v>Dr. Louis A. Cerulli School No. 34</v>
      </c>
      <c r="G916" s="1">
        <f ca="1">IFERROR(__xludf.DUMMYFUNCTION("""COMPUTED_VALUE"""),1)</f>
        <v>1</v>
      </c>
      <c r="H916" s="1">
        <f ca="1">IFERROR(__xludf.DUMMYFUNCTION("""COMPUTED_VALUE"""),0)</f>
        <v>0</v>
      </c>
      <c r="I916" s="1">
        <f ca="1">IFERROR(__xludf.DUMMYFUNCTION("""COMPUTED_VALUE"""),1)</f>
        <v>1</v>
      </c>
      <c r="J916" s="1">
        <f ca="1">IFERROR(__xludf.DUMMYFUNCTION("""COMPUTED_VALUE"""),0)</f>
        <v>0</v>
      </c>
      <c r="K916" s="1" t="str">
        <f ca="1">IFERROR(__xludf.DUMMYFUNCTION("""COMPUTED_VALUE"""),"Summer")</f>
        <v>Summer</v>
      </c>
      <c r="L916" s="1" t="str">
        <f ca="1">IFERROR(__xludf.DUMMYFUNCTION("""COMPUTED_VALUE"""),"Rochester")</f>
        <v>Rochester</v>
      </c>
      <c r="M916" s="1" t="str">
        <f ca="1">IFERROR(__xludf.DUMMYFUNCTION("""COMPUTED_VALUE"""),"NY")</f>
        <v>NY</v>
      </c>
      <c r="N916" s="1" t="str">
        <f ca="1">IFERROR(__xludf.DUMMYFUNCTION("""COMPUTED_VALUE"""),"High")</f>
        <v>High</v>
      </c>
      <c r="O916" s="1" t="str">
        <f ca="1">IFERROR(__xludf.DUMMYFUNCTION("""COMPUTED_VALUE"""),"Parking Lot")</f>
        <v>Parking Lot</v>
      </c>
      <c r="P916" s="1" t="str">
        <f ca="1">IFERROR(__xludf.DUMMYFUNCTION("""COMPUTED_VALUE"""),"Outside on School Property")</f>
        <v>Outside on School Property</v>
      </c>
      <c r="Q916" s="1" t="str">
        <f ca="1">IFERROR(__xludf.DUMMYFUNCTION("""COMPUTED_VALUE"""),"No")</f>
        <v>No</v>
      </c>
      <c r="R916" s="1" t="str">
        <f ca="1">IFERROR(__xludf.DUMMYFUNCTION("""COMPUTED_VALUE"""),"Night")</f>
        <v>Night</v>
      </c>
      <c r="S916" s="5">
        <f ca="1">IFERROR(__xludf.DUMMYFUNCTION("""COMPUTED_VALUE"""),0.0416666666666666)</f>
        <v>4.1666666666666602E-2</v>
      </c>
      <c r="T916" s="1">
        <f ca="1">IFERROR(__xludf.DUMMYFUNCTION("""COMPUTED_VALUE"""),1)</f>
        <v>1</v>
      </c>
      <c r="U916" s="1" t="str">
        <f ca="1">IFERROR(__xludf.DUMMYFUNCTION("""COMPUTED_VALUE"""),"Teen sitting in vehicle shot during drive-by in school parking lot")</f>
        <v>Teen sitting in vehicle shot during drive-by in school parking lot</v>
      </c>
      <c r="V916" s="1" t="str">
        <f ca="1">IFERROR(__xludf.DUMMYFUNCTION("""COMPUTED_VALUE"""),"A 16-year-old male was sitting inside a vehicle in the school parking lot when shots were fired from another vehicle. He was driven 2 miles from the scene before the other occupants called 9-1-1. Shooter fled.")</f>
        <v>A 16-year-old male was sitting inside a vehicle in the school parking lot when shots were fired from another vehicle. He was driven 2 miles from the scene before the other occupants called 9-1-1. Shooter fled.</v>
      </c>
      <c r="W916" s="1" t="str">
        <f ca="1">IFERROR(__xludf.DUMMYFUNCTION("""COMPUTED_VALUE"""),"Drive-by Shooting")</f>
        <v>Drive-by Shooting</v>
      </c>
      <c r="X916" s="1"/>
      <c r="Y916" s="1"/>
      <c r="Z916" s="1"/>
      <c r="AA916" s="1" t="str">
        <f ca="1">IFERROR(__xludf.DUMMYFUNCTION("""COMPUTED_VALUE"""),"No")</f>
        <v>No</v>
      </c>
      <c r="AB916" s="1" t="str">
        <f ca="1">IFERROR(__xludf.DUMMYFUNCTION("""COMPUTED_VALUE"""),"No")</f>
        <v>No</v>
      </c>
      <c r="AC916" s="1" t="str">
        <f ca="1">IFERROR(__xludf.DUMMYFUNCTION("""COMPUTED_VALUE"""),"No")</f>
        <v>No</v>
      </c>
      <c r="AD916" s="1" t="str">
        <f ca="1">IFERROR(__xludf.DUMMYFUNCTION("""COMPUTED_VALUE"""),"No")</f>
        <v>No</v>
      </c>
      <c r="AE916" s="1" t="str">
        <f ca="1">IFERROR(__xludf.DUMMYFUNCTION("""COMPUTED_VALUE"""),"No")</f>
        <v>No</v>
      </c>
      <c r="AF916" s="1"/>
      <c r="AG916" s="1" t="str">
        <f ca="1">IFERROR(__xludf.DUMMYFUNCTION("""COMPUTED_VALUE"""),"No")</f>
        <v>No</v>
      </c>
      <c r="AH916" s="1"/>
    </row>
    <row r="917" spans="1:34" ht="12.5">
      <c r="A917" s="1" t="str">
        <f ca="1">IFERROR(__xludf.DUMMYFUNCTION("""COMPUTED_VALUE"""),"20210628CASLF")</f>
        <v>20210628CASLF</v>
      </c>
      <c r="B917" s="1">
        <f ca="1">IFERROR(__xludf.DUMMYFUNCTION("""COMPUTED_VALUE"""),6)</f>
        <v>6</v>
      </c>
      <c r="C917" s="1">
        <f ca="1">IFERROR(__xludf.DUMMYFUNCTION("""COMPUTED_VALUE"""),28)</f>
        <v>28</v>
      </c>
      <c r="D917" s="1">
        <f ca="1">IFERROR(__xludf.DUMMYFUNCTION("""COMPUTED_VALUE"""),2021)</f>
        <v>2021</v>
      </c>
      <c r="E917" s="4">
        <f ca="1">IFERROR(__xludf.DUMMYFUNCTION("""COMPUTED_VALUE"""),44375)</f>
        <v>44375</v>
      </c>
      <c r="F917" s="1" t="str">
        <f ca="1">IFERROR(__xludf.DUMMYFUNCTION("""COMPUTED_VALUE"""),"Slater Elementary School")</f>
        <v>Slater Elementary School</v>
      </c>
      <c r="G917" s="1">
        <f ca="1">IFERROR(__xludf.DUMMYFUNCTION("""COMPUTED_VALUE"""),0)</f>
        <v>0</v>
      </c>
      <c r="H917" s="1">
        <f ca="1">IFERROR(__xludf.DUMMYFUNCTION("""COMPUTED_VALUE"""),1)</f>
        <v>1</v>
      </c>
      <c r="I917" s="1">
        <f ca="1">IFERROR(__xludf.DUMMYFUNCTION("""COMPUTED_VALUE"""),1)</f>
        <v>1</v>
      </c>
      <c r="J917" s="1">
        <f ca="1">IFERROR(__xludf.DUMMYFUNCTION("""COMPUTED_VALUE"""),0)</f>
        <v>0</v>
      </c>
      <c r="K917" s="1" t="str">
        <f ca="1">IFERROR(__xludf.DUMMYFUNCTION("""COMPUTED_VALUE"""),"Summer")</f>
        <v>Summer</v>
      </c>
      <c r="L917" s="1" t="str">
        <f ca="1">IFERROR(__xludf.DUMMYFUNCTION("""COMPUTED_VALUE"""),"Fresno")</f>
        <v>Fresno</v>
      </c>
      <c r="M917" s="1" t="str">
        <f ca="1">IFERROR(__xludf.DUMMYFUNCTION("""COMPUTED_VALUE"""),"CA")</f>
        <v>CA</v>
      </c>
      <c r="N917" s="1" t="str">
        <f ca="1">IFERROR(__xludf.DUMMYFUNCTION("""COMPUTED_VALUE"""),"Elementary")</f>
        <v>Elementary</v>
      </c>
      <c r="O917" s="1" t="str">
        <f ca="1">IFERROR(__xludf.DUMMYFUNCTION("""COMPUTED_VALUE"""),"Field (General)")</f>
        <v>Field (General)</v>
      </c>
      <c r="P917" s="1" t="str">
        <f ca="1">IFERROR(__xludf.DUMMYFUNCTION("""COMPUTED_VALUE"""),"Outside on School Property")</f>
        <v>Outside on School Property</v>
      </c>
      <c r="Q917" s="1" t="str">
        <f ca="1">IFERROR(__xludf.DUMMYFUNCTION("""COMPUTED_VALUE"""),"No")</f>
        <v>No</v>
      </c>
      <c r="R917" s="1" t="str">
        <f ca="1">IFERROR(__xludf.DUMMYFUNCTION("""COMPUTED_VALUE"""),"Not a School Day")</f>
        <v>Not a School Day</v>
      </c>
      <c r="S917" s="5">
        <f ca="1">IFERROR(__xludf.DUMMYFUNCTION("""COMPUTED_VALUE"""),0.375)</f>
        <v>0.375</v>
      </c>
      <c r="T917" s="1">
        <f ca="1">IFERROR(__xludf.DUMMYFUNCTION("""COMPUTED_VALUE"""),1)</f>
        <v>1</v>
      </c>
      <c r="U917" s="1" t="str">
        <f ca="1">IFERROR(__xludf.DUMMYFUNCTION("""COMPUTED_VALUE"""),"Shot fired at vehicle that crashed through fence onto school property")</f>
        <v>Shot fired at vehicle that crashed through fence onto school property</v>
      </c>
      <c r="V917" s="1" t="str">
        <f ca="1">IFERROR(__xludf.DUMMYFUNCTION("""COMPUTED_VALUE"""),"Shot were fired by the occupants of one vehicle at another vehicle that crashed into the fence and onto school property. Driver of the crashed vehicle was shot and fled across the school grounds. He was picked up and driven to a local hospital. Police rec"&amp;"overed shell casings near the crashed vehicle. No students or staff were injured. School closed for summer break.")</f>
        <v>Shot were fired by the occupants of one vehicle at another vehicle that crashed into the fence and onto school property. Driver of the crashed vehicle was shot and fled across the school grounds. He was picked up and driven to a local hospital. Police recovered shell casings near the crashed vehicle. No students or staff were injured. School closed for summer break.</v>
      </c>
      <c r="W917" s="1" t="str">
        <f ca="1">IFERROR(__xludf.DUMMYFUNCTION("""COMPUTED_VALUE"""),"Drive-by Shooting")</f>
        <v>Drive-by Shooting</v>
      </c>
      <c r="X917" s="1" t="str">
        <f ca="1">IFERROR(__xludf.DUMMYFUNCTION("""COMPUTED_VALUE"""),"Victims Targeted")</f>
        <v>Victims Targeted</v>
      </c>
      <c r="Y917" s="1"/>
      <c r="Z917" s="1"/>
      <c r="AA917" s="1" t="str">
        <f ca="1">IFERROR(__xludf.DUMMYFUNCTION("""COMPUTED_VALUE"""),"No")</f>
        <v>No</v>
      </c>
      <c r="AB917" s="1" t="str">
        <f ca="1">IFERROR(__xludf.DUMMYFUNCTION("""COMPUTED_VALUE"""),"No")</f>
        <v>No</v>
      </c>
      <c r="AC917" s="1" t="str">
        <f ca="1">IFERROR(__xludf.DUMMYFUNCTION("""COMPUTED_VALUE"""),"No")</f>
        <v>No</v>
      </c>
      <c r="AD917" s="1" t="str">
        <f ca="1">IFERROR(__xludf.DUMMYFUNCTION("""COMPUTED_VALUE"""),"No")</f>
        <v>No</v>
      </c>
      <c r="AE917" s="1" t="str">
        <f ca="1">IFERROR(__xludf.DUMMYFUNCTION("""COMPUTED_VALUE"""),"No")</f>
        <v>No</v>
      </c>
      <c r="AF917" s="1"/>
      <c r="AG917" s="1" t="str">
        <f ca="1">IFERROR(__xludf.DUMMYFUNCTION("""COMPUTED_VALUE"""),"No")</f>
        <v>No</v>
      </c>
      <c r="AH917" s="1"/>
    </row>
    <row r="918" spans="1:34" ht="12.5">
      <c r="A918" s="1" t="str">
        <f ca="1">IFERROR(__xludf.DUMMYFUNCTION("""COMPUTED_VALUE"""),"20210624ILABR")</f>
        <v>20210624ILABR</v>
      </c>
      <c r="B918" s="1">
        <f ca="1">IFERROR(__xludf.DUMMYFUNCTION("""COMPUTED_VALUE"""),6)</f>
        <v>6</v>
      </c>
      <c r="C918" s="1">
        <f ca="1">IFERROR(__xludf.DUMMYFUNCTION("""COMPUTED_VALUE"""),24)</f>
        <v>24</v>
      </c>
      <c r="D918" s="1">
        <f ca="1">IFERROR(__xludf.DUMMYFUNCTION("""COMPUTED_VALUE"""),2021)</f>
        <v>2021</v>
      </c>
      <c r="E918" s="4">
        <f ca="1">IFERROR(__xludf.DUMMYFUNCTION("""COMPUTED_VALUE"""),44371)</f>
        <v>44371</v>
      </c>
      <c r="F918" s="1" t="str">
        <f ca="1">IFERROR(__xludf.DUMMYFUNCTION("""COMPUTED_VALUE"""),"Abraham Lincoln Middle School")</f>
        <v>Abraham Lincoln Middle School</v>
      </c>
      <c r="G918" s="1">
        <f ca="1">IFERROR(__xludf.DUMMYFUNCTION("""COMPUTED_VALUE"""),0)</f>
        <v>0</v>
      </c>
      <c r="H918" s="1">
        <f ca="1">IFERROR(__xludf.DUMMYFUNCTION("""COMPUTED_VALUE"""),1)</f>
        <v>1</v>
      </c>
      <c r="I918" s="1">
        <f ca="1">IFERROR(__xludf.DUMMYFUNCTION("""COMPUTED_VALUE"""),1)</f>
        <v>1</v>
      </c>
      <c r="J918" s="1">
        <f ca="1">IFERROR(__xludf.DUMMYFUNCTION("""COMPUTED_VALUE"""),0)</f>
        <v>0</v>
      </c>
      <c r="K918" s="1" t="str">
        <f ca="1">IFERROR(__xludf.DUMMYFUNCTION("""COMPUTED_VALUE"""),"Summer")</f>
        <v>Summer</v>
      </c>
      <c r="L918" s="1" t="str">
        <f ca="1">IFERROR(__xludf.DUMMYFUNCTION("""COMPUTED_VALUE"""),"Rockford")</f>
        <v>Rockford</v>
      </c>
      <c r="M918" s="1" t="str">
        <f ca="1">IFERROR(__xludf.DUMMYFUNCTION("""COMPUTED_VALUE"""),"IL")</f>
        <v>IL</v>
      </c>
      <c r="N918" s="1" t="str">
        <f ca="1">IFERROR(__xludf.DUMMYFUNCTION("""COMPUTED_VALUE"""),"Middle")</f>
        <v>Middle</v>
      </c>
      <c r="O918" s="1" t="str">
        <f ca="1">IFERROR(__xludf.DUMMYFUNCTION("""COMPUTED_VALUE"""),"Front of School")</f>
        <v>Front of School</v>
      </c>
      <c r="P918" s="1" t="str">
        <f ca="1">IFERROR(__xludf.DUMMYFUNCTION("""COMPUTED_VALUE"""),"Outside on School Property")</f>
        <v>Outside on School Property</v>
      </c>
      <c r="Q918" s="1" t="str">
        <f ca="1">IFERROR(__xludf.DUMMYFUNCTION("""COMPUTED_VALUE"""),"No")</f>
        <v>No</v>
      </c>
      <c r="R918" s="1" t="str">
        <f ca="1">IFERROR(__xludf.DUMMYFUNCTION("""COMPUTED_VALUE"""),"Evening")</f>
        <v>Evening</v>
      </c>
      <c r="S918" s="5">
        <f ca="1">IFERROR(__xludf.DUMMYFUNCTION("""COMPUTED_VALUE"""),0.815972222222222)</f>
        <v>0.81597222222222199</v>
      </c>
      <c r="T918" s="1">
        <f ca="1">IFERROR(__xludf.DUMMYFUNCTION("""COMPUTED_VALUE"""),1)</f>
        <v>1</v>
      </c>
      <c r="U918" s="1" t="str">
        <f ca="1">IFERROR(__xludf.DUMMYFUNCTION("""COMPUTED_VALUE"""),"Man shot while driving, crashed his vehicle on the front lawn of the school")</f>
        <v>Man shot while driving, crashed his vehicle on the front lawn of the school</v>
      </c>
      <c r="V918" s="1" t="str">
        <f ca="1">IFERROR(__xludf.DUMMYFUNCTION("""COMPUTED_VALUE"""),"An adult male was shot in the jaw while driving near the school. He lost control of his vehicle and ended up in the middle of the front lawn of the school. The shots were fired from another vehicle that fled the scene. No students or staff were involved.")</f>
        <v>An adult male was shot in the jaw while driving near the school. He lost control of his vehicle and ended up in the middle of the front lawn of the school. The shots were fired from another vehicle that fled the scene. No students or staff were involved.</v>
      </c>
      <c r="W918" s="1" t="str">
        <f ca="1">IFERROR(__xludf.DUMMYFUNCTION("""COMPUTED_VALUE"""),"Drive-by Shooting")</f>
        <v>Drive-by Shooting</v>
      </c>
      <c r="X918" s="1"/>
      <c r="Y918" s="1"/>
      <c r="Z918" s="1"/>
      <c r="AA918" s="1" t="str">
        <f ca="1">IFERROR(__xludf.DUMMYFUNCTION("""COMPUTED_VALUE"""),"No")</f>
        <v>No</v>
      </c>
      <c r="AB918" s="1" t="str">
        <f ca="1">IFERROR(__xludf.DUMMYFUNCTION("""COMPUTED_VALUE"""),"No")</f>
        <v>No</v>
      </c>
      <c r="AC918" s="1" t="str">
        <f ca="1">IFERROR(__xludf.DUMMYFUNCTION("""COMPUTED_VALUE"""),"No")</f>
        <v>No</v>
      </c>
      <c r="AD918" s="1" t="str">
        <f ca="1">IFERROR(__xludf.DUMMYFUNCTION("""COMPUTED_VALUE"""),"No")</f>
        <v>No</v>
      </c>
      <c r="AE918" s="1" t="str">
        <f ca="1">IFERROR(__xludf.DUMMYFUNCTION("""COMPUTED_VALUE"""),"No")</f>
        <v>No</v>
      </c>
      <c r="AF918" s="1"/>
      <c r="AG918" s="1" t="str">
        <f ca="1">IFERROR(__xludf.DUMMYFUNCTION("""COMPUTED_VALUE"""),"No")</f>
        <v>No</v>
      </c>
      <c r="AH918" s="1"/>
    </row>
    <row r="919" spans="1:34" ht="12.5">
      <c r="A919" s="1" t="str">
        <f ca="1">IFERROR(__xludf.DUMMYFUNCTION("""COMPUTED_VALUE"""),"20210620CAGRM")</f>
        <v>20210620CAGRM</v>
      </c>
      <c r="B919" s="1">
        <f ca="1">IFERROR(__xludf.DUMMYFUNCTION("""COMPUTED_VALUE"""),6)</f>
        <v>6</v>
      </c>
      <c r="C919" s="1">
        <f ca="1">IFERROR(__xludf.DUMMYFUNCTION("""COMPUTED_VALUE"""),20)</f>
        <v>20</v>
      </c>
      <c r="D919" s="1">
        <f ca="1">IFERROR(__xludf.DUMMYFUNCTION("""COMPUTED_VALUE"""),2021)</f>
        <v>2021</v>
      </c>
      <c r="E919" s="4">
        <f ca="1">IFERROR(__xludf.DUMMYFUNCTION("""COMPUTED_VALUE"""),44367)</f>
        <v>44367</v>
      </c>
      <c r="F919" s="1" t="str">
        <f ca="1">IFERROR(__xludf.DUMMYFUNCTION("""COMPUTED_VALUE"""),"Modesto Christian School")</f>
        <v>Modesto Christian School</v>
      </c>
      <c r="G919" s="1">
        <f ca="1">IFERROR(__xludf.DUMMYFUNCTION("""COMPUTED_VALUE"""),0)</f>
        <v>0</v>
      </c>
      <c r="H919" s="1">
        <f ca="1">IFERROR(__xludf.DUMMYFUNCTION("""COMPUTED_VALUE"""),1)</f>
        <v>1</v>
      </c>
      <c r="I919" s="1">
        <f ca="1">IFERROR(__xludf.DUMMYFUNCTION("""COMPUTED_VALUE"""),1)</f>
        <v>1</v>
      </c>
      <c r="J919" s="1">
        <f ca="1">IFERROR(__xludf.DUMMYFUNCTION("""COMPUTED_VALUE"""),0)</f>
        <v>0</v>
      </c>
      <c r="K919" s="1" t="str">
        <f ca="1">IFERROR(__xludf.DUMMYFUNCTION("""COMPUTED_VALUE"""),"Summer")</f>
        <v>Summer</v>
      </c>
      <c r="L919" s="1" t="str">
        <f ca="1">IFERROR(__xludf.DUMMYFUNCTION("""COMPUTED_VALUE"""),"Modesto")</f>
        <v>Modesto</v>
      </c>
      <c r="M919" s="1" t="str">
        <f ca="1">IFERROR(__xludf.DUMMYFUNCTION("""COMPUTED_VALUE"""),"CA")</f>
        <v>CA</v>
      </c>
      <c r="N919" s="1" t="str">
        <f ca="1">IFERROR(__xludf.DUMMYFUNCTION("""COMPUTED_VALUE"""),"K-12")</f>
        <v>K-12</v>
      </c>
      <c r="O919" s="1" t="str">
        <f ca="1">IFERROR(__xludf.DUMMYFUNCTION("""COMPUTED_VALUE"""),"Parking Lot")</f>
        <v>Parking Lot</v>
      </c>
      <c r="P919" s="1" t="str">
        <f ca="1">IFERROR(__xludf.DUMMYFUNCTION("""COMPUTED_VALUE"""),"Outside on School Property")</f>
        <v>Outside on School Property</v>
      </c>
      <c r="Q919" s="1" t="str">
        <f ca="1">IFERROR(__xludf.DUMMYFUNCTION("""COMPUTED_VALUE"""),"No")</f>
        <v>No</v>
      </c>
      <c r="R919" s="1" t="str">
        <f ca="1">IFERROR(__xludf.DUMMYFUNCTION("""COMPUTED_VALUE"""),"Not a School Day")</f>
        <v>Not a School Day</v>
      </c>
      <c r="S919" s="5">
        <f ca="1">IFERROR(__xludf.DUMMYFUNCTION("""COMPUTED_VALUE"""),0.270833333333333)</f>
        <v>0.27083333333333298</v>
      </c>
      <c r="T919" s="1">
        <f ca="1">IFERROR(__xludf.DUMMYFUNCTION("""COMPUTED_VALUE"""),1)</f>
        <v>1</v>
      </c>
      <c r="U919" s="1" t="str">
        <f ca="1">IFERROR(__xludf.DUMMYFUNCTION("""COMPUTED_VALUE"""),"Armed security guard fired at man who attempted to run him over with vehicle")</f>
        <v>Armed security guard fired at man who attempted to run him over with vehicle</v>
      </c>
      <c r="V919" s="1" t="str">
        <f ca="1">IFERROR(__xludf.DUMMYFUNCTION("""COMPUTED_VALUE"""),"Two armed security guards approached a man who appeared to be stealing the catalytic converter of a school vehicle parking in the parking lot. The man got in a vehicle and attempted to run over the security officer. The security officer fired at him and t"&amp;"he man was detained. The school was closed at the time of the shooting and no students were present.")</f>
        <v>Two armed security guards approached a man who appeared to be stealing the catalytic converter of a school vehicle parking in the parking lot. The man got in a vehicle and attempted to run over the security officer. The security officer fired at him and the man was detained. The school was closed at the time of the shooting and no students were present.</v>
      </c>
      <c r="W919" s="1" t="str">
        <f ca="1">IFERROR(__xludf.DUMMYFUNCTION("""COMPUTED_VALUE"""),"Illegal Activity")</f>
        <v>Illegal Activity</v>
      </c>
      <c r="X919" s="1" t="str">
        <f ca="1">IFERROR(__xludf.DUMMYFUNCTION("""COMPUTED_VALUE"""),"Neither")</f>
        <v>Neither</v>
      </c>
      <c r="Y919" s="1" t="str">
        <f ca="1">IFERROR(__xludf.DUMMYFUNCTION("""COMPUTED_VALUE"""),"No")</f>
        <v>No</v>
      </c>
      <c r="Z919" s="1"/>
      <c r="AA919" s="1" t="str">
        <f ca="1">IFERROR(__xludf.DUMMYFUNCTION("""COMPUTED_VALUE"""),"No")</f>
        <v>No</v>
      </c>
      <c r="AB919" s="1" t="str">
        <f ca="1">IFERROR(__xludf.DUMMYFUNCTION("""COMPUTED_VALUE"""),"No")</f>
        <v>No</v>
      </c>
      <c r="AC919" s="1" t="str">
        <f ca="1">IFERROR(__xludf.DUMMYFUNCTION("""COMPUTED_VALUE"""),"No")</f>
        <v>No</v>
      </c>
      <c r="AD919" s="1" t="str">
        <f ca="1">IFERROR(__xludf.DUMMYFUNCTION("""COMPUTED_VALUE"""),"No")</f>
        <v>No</v>
      </c>
      <c r="AE919" s="1" t="str">
        <f ca="1">IFERROR(__xludf.DUMMYFUNCTION("""COMPUTED_VALUE"""),"No")</f>
        <v>No</v>
      </c>
      <c r="AF919" s="1" t="str">
        <f ca="1">IFERROR(__xludf.DUMMYFUNCTION("""COMPUTED_VALUE"""),"No")</f>
        <v>No</v>
      </c>
      <c r="AG919" s="1" t="str">
        <f ca="1">IFERROR(__xludf.DUMMYFUNCTION("""COMPUTED_VALUE"""),"No")</f>
        <v>No</v>
      </c>
      <c r="AH919" s="1"/>
    </row>
    <row r="920" spans="1:34" ht="12.5">
      <c r="A920" s="1" t="str">
        <f ca="1">IFERROR(__xludf.DUMMYFUNCTION("""COMPUTED_VALUE"""),"20210614TXEAF")</f>
        <v>20210614TXEAF</v>
      </c>
      <c r="B920" s="1">
        <f ca="1">IFERROR(__xludf.DUMMYFUNCTION("""COMPUTED_VALUE"""),6)</f>
        <v>6</v>
      </c>
      <c r="C920" s="1">
        <f ca="1">IFERROR(__xludf.DUMMYFUNCTION("""COMPUTED_VALUE"""),14)</f>
        <v>14</v>
      </c>
      <c r="D920" s="1">
        <f ca="1">IFERROR(__xludf.DUMMYFUNCTION("""COMPUTED_VALUE"""),2021)</f>
        <v>2021</v>
      </c>
      <c r="E920" s="4">
        <f ca="1">IFERROR(__xludf.DUMMYFUNCTION("""COMPUTED_VALUE"""),44361)</f>
        <v>44361</v>
      </c>
      <c r="F920" s="1" t="str">
        <f ca="1">IFERROR(__xludf.DUMMYFUNCTION("""COMPUTED_VALUE"""),"Eastern Hills High School")</f>
        <v>Eastern Hills High School</v>
      </c>
      <c r="G920" s="1">
        <f ca="1">IFERROR(__xludf.DUMMYFUNCTION("""COMPUTED_VALUE"""),0)</f>
        <v>0</v>
      </c>
      <c r="H920" s="1">
        <f ca="1">IFERROR(__xludf.DUMMYFUNCTION("""COMPUTED_VALUE"""),1)</f>
        <v>1</v>
      </c>
      <c r="I920" s="1">
        <f ca="1">IFERROR(__xludf.DUMMYFUNCTION("""COMPUTED_VALUE"""),1)</f>
        <v>1</v>
      </c>
      <c r="J920" s="1">
        <f ca="1">IFERROR(__xludf.DUMMYFUNCTION("""COMPUTED_VALUE"""),0)</f>
        <v>0</v>
      </c>
      <c r="K920" s="1" t="str">
        <f ca="1">IFERROR(__xludf.DUMMYFUNCTION("""COMPUTED_VALUE"""),"Summer")</f>
        <v>Summer</v>
      </c>
      <c r="L920" s="1" t="str">
        <f ca="1">IFERROR(__xludf.DUMMYFUNCTION("""COMPUTED_VALUE"""),"Fort Worth")</f>
        <v>Fort Worth</v>
      </c>
      <c r="M920" s="1" t="str">
        <f ca="1">IFERROR(__xludf.DUMMYFUNCTION("""COMPUTED_VALUE"""),"TX")</f>
        <v>TX</v>
      </c>
      <c r="N920" s="1" t="str">
        <f ca="1">IFERROR(__xludf.DUMMYFUNCTION("""COMPUTED_VALUE"""),"High")</f>
        <v>High</v>
      </c>
      <c r="O920" s="1" t="str">
        <f ca="1">IFERROR(__xludf.DUMMYFUNCTION("""COMPUTED_VALUE"""),"Parking Lot")</f>
        <v>Parking Lot</v>
      </c>
      <c r="P920" s="1" t="str">
        <f ca="1">IFERROR(__xludf.DUMMYFUNCTION("""COMPUTED_VALUE"""),"Outside on School Property")</f>
        <v>Outside on School Property</v>
      </c>
      <c r="Q920" s="1" t="str">
        <f ca="1">IFERROR(__xludf.DUMMYFUNCTION("""COMPUTED_VALUE"""),"No")</f>
        <v>No</v>
      </c>
      <c r="R920" s="1" t="str">
        <f ca="1">IFERROR(__xludf.DUMMYFUNCTION("""COMPUTED_VALUE"""),"Evening")</f>
        <v>Evening</v>
      </c>
      <c r="S920" s="5">
        <f ca="1">IFERROR(__xludf.DUMMYFUNCTION("""COMPUTED_VALUE"""),0.8125)</f>
        <v>0.8125</v>
      </c>
      <c r="T920" s="1">
        <f ca="1">IFERROR(__xludf.DUMMYFUNCTION("""COMPUTED_VALUE"""),1)</f>
        <v>1</v>
      </c>
      <c r="U920" s="1" t="str">
        <f ca="1">IFERROR(__xludf.DUMMYFUNCTION("""COMPUTED_VALUE"""),"Man shot during robbery in school parking lot")</f>
        <v>Man shot during robbery in school parking lot</v>
      </c>
      <c r="V920" s="1" t="str">
        <f ca="1">IFERROR(__xludf.DUMMYFUNCTION("""COMPUTED_VALUE"""),"A man was shot in the hand during an attempted robbery in the school parking lot. Shooter fled in a vehicle driven by an 18-year-old female who was arrested following a police chase. The shooter fled the vehicle on foot and escaped from police. Youth spor"&amp;"ts events were taking place at the school when the shooting occurred.")</f>
        <v>A man was shot in the hand during an attempted robbery in the school parking lot. Shooter fled in a vehicle driven by an 18-year-old female who was arrested following a police chase. The shooter fled the vehicle on foot and escaped from police. Youth sports events were taking place at the school when the shooting occurred.</v>
      </c>
      <c r="W920" s="1" t="str">
        <f ca="1">IFERROR(__xludf.DUMMYFUNCTION("""COMPUTED_VALUE"""),"Illegal Activity")</f>
        <v>Illegal Activity</v>
      </c>
      <c r="X920" s="1" t="str">
        <f ca="1">IFERROR(__xludf.DUMMYFUNCTION("""COMPUTED_VALUE"""),"Victims Targeted")</f>
        <v>Victims Targeted</v>
      </c>
      <c r="Y920" s="1" t="str">
        <f ca="1">IFERROR(__xludf.DUMMYFUNCTION("""COMPUTED_VALUE"""),"Yes")</f>
        <v>Yes</v>
      </c>
      <c r="Z920" s="1" t="str">
        <f ca="1">IFERROR(__xludf.DUMMYFUNCTION("""COMPUTED_VALUE"""),"18YOF driving the vehicle arrested")</f>
        <v>18YOF driving the vehicle arrested</v>
      </c>
      <c r="AA920" s="1" t="str">
        <f ca="1">IFERROR(__xludf.DUMMYFUNCTION("""COMPUTED_VALUE"""),"No")</f>
        <v>No</v>
      </c>
      <c r="AB920" s="1" t="str">
        <f ca="1">IFERROR(__xludf.DUMMYFUNCTION("""COMPUTED_VALUE"""),"No")</f>
        <v>No</v>
      </c>
      <c r="AC920" s="1" t="str">
        <f ca="1">IFERROR(__xludf.DUMMYFUNCTION("""COMPUTED_VALUE"""),"No")</f>
        <v>No</v>
      </c>
      <c r="AD920" s="1" t="str">
        <f ca="1">IFERROR(__xludf.DUMMYFUNCTION("""COMPUTED_VALUE"""),"No")</f>
        <v>No</v>
      </c>
      <c r="AE920" s="1" t="str">
        <f ca="1">IFERROR(__xludf.DUMMYFUNCTION("""COMPUTED_VALUE"""),"No")</f>
        <v>No</v>
      </c>
      <c r="AF920" s="1" t="str">
        <f ca="1">IFERROR(__xludf.DUMMYFUNCTION("""COMPUTED_VALUE"""),"No")</f>
        <v>No</v>
      </c>
      <c r="AG920" s="1" t="str">
        <f ca="1">IFERROR(__xludf.DUMMYFUNCTION("""COMPUTED_VALUE"""),"No")</f>
        <v>No</v>
      </c>
      <c r="AH920" s="1"/>
    </row>
    <row r="921" spans="1:34" ht="12.5">
      <c r="A921" s="1" t="str">
        <f ca="1">IFERROR(__xludf.DUMMYFUNCTION("""COMPUTED_VALUE"""),"20210614NCROR")</f>
        <v>20210614NCROR</v>
      </c>
      <c r="B921" s="1">
        <f ca="1">IFERROR(__xludf.DUMMYFUNCTION("""COMPUTED_VALUE"""),6)</f>
        <v>6</v>
      </c>
      <c r="C921" s="1">
        <f ca="1">IFERROR(__xludf.DUMMYFUNCTION("""COMPUTED_VALUE"""),14)</f>
        <v>14</v>
      </c>
      <c r="D921" s="1">
        <f ca="1">IFERROR(__xludf.DUMMYFUNCTION("""COMPUTED_VALUE"""),2021)</f>
        <v>2021</v>
      </c>
      <c r="E921" s="4">
        <f ca="1">IFERROR(__xludf.DUMMYFUNCTION("""COMPUTED_VALUE"""),44361)</f>
        <v>44361</v>
      </c>
      <c r="F921" s="1" t="str">
        <f ca="1">IFERROR(__xludf.DUMMYFUNCTION("""COMPUTED_VALUE"""),"Rowland Middle School")</f>
        <v>Rowland Middle School</v>
      </c>
      <c r="G921" s="1">
        <f ca="1">IFERROR(__xludf.DUMMYFUNCTION("""COMPUTED_VALUE"""),0)</f>
        <v>0</v>
      </c>
      <c r="H921" s="1">
        <f ca="1">IFERROR(__xludf.DUMMYFUNCTION("""COMPUTED_VALUE"""),0)</f>
        <v>0</v>
      </c>
      <c r="I921" s="1">
        <f ca="1">IFERROR(__xludf.DUMMYFUNCTION("""COMPUTED_VALUE"""),0)</f>
        <v>0</v>
      </c>
      <c r="J921" s="1">
        <f ca="1">IFERROR(__xludf.DUMMYFUNCTION("""COMPUTED_VALUE"""),0)</f>
        <v>0</v>
      </c>
      <c r="K921" s="1" t="str">
        <f ca="1">IFERROR(__xludf.DUMMYFUNCTION("""COMPUTED_VALUE"""),"Summer")</f>
        <v>Summer</v>
      </c>
      <c r="L921" s="1" t="str">
        <f ca="1">IFERROR(__xludf.DUMMYFUNCTION("""COMPUTED_VALUE"""),"Rowland")</f>
        <v>Rowland</v>
      </c>
      <c r="M921" s="1" t="str">
        <f ca="1">IFERROR(__xludf.DUMMYFUNCTION("""COMPUTED_VALUE"""),"NC")</f>
        <v>NC</v>
      </c>
      <c r="N921" s="1" t="str">
        <f ca="1">IFERROR(__xludf.DUMMYFUNCTION("""COMPUTED_VALUE"""),"Middle")</f>
        <v>Middle</v>
      </c>
      <c r="O921" s="1" t="str">
        <f ca="1">IFERROR(__xludf.DUMMYFUNCTION("""COMPUTED_VALUE"""),"Parking Lot")</f>
        <v>Parking Lot</v>
      </c>
      <c r="P921" s="1" t="str">
        <f ca="1">IFERROR(__xludf.DUMMYFUNCTION("""COMPUTED_VALUE"""),"Outside on School Property")</f>
        <v>Outside on School Property</v>
      </c>
      <c r="Q921" s="1" t="str">
        <f ca="1">IFERROR(__xludf.DUMMYFUNCTION("""COMPUTED_VALUE"""),"No")</f>
        <v>No</v>
      </c>
      <c r="R921" s="1" t="str">
        <f ca="1">IFERROR(__xludf.DUMMYFUNCTION("""COMPUTED_VALUE"""),"Evening")</f>
        <v>Evening</v>
      </c>
      <c r="S921" s="5">
        <f ca="1">IFERROR(__xludf.DUMMYFUNCTION("""COMPUTED_VALUE"""),0.75)</f>
        <v>0.75</v>
      </c>
      <c r="T921" s="1">
        <f ca="1">IFERROR(__xludf.DUMMYFUNCTION("""COMPUTED_VALUE"""),1)</f>
        <v>1</v>
      </c>
      <c r="U921" s="1" t="str">
        <f ca="1">IFERROR(__xludf.DUMMYFUNCTION("""COMPUTED_VALUE"""),"6 vehicles shot in school parking lot, several individuals fired shots")</f>
        <v>6 vehicles shot in school parking lot, several individuals fired shots</v>
      </c>
      <c r="V921" s="1" t="str">
        <f ca="1">IFERROR(__xludf.DUMMYFUNCTION("""COMPUTED_VALUE"""),"Several people fired multiple shots in the school parking lot striking 6 different vehicles. Community members were playing basketball inside the open gym when the shooting occurred. No injures. Shooters fled. Motive unknown.")</f>
        <v>Several people fired multiple shots in the school parking lot striking 6 different vehicles. Community members were playing basketball inside the open gym when the shooting occurred. No injures. Shooters fled. Motive unknown.</v>
      </c>
      <c r="W921" s="1"/>
      <c r="X921" s="1"/>
      <c r="Y921" s="1" t="str">
        <f ca="1">IFERROR(__xludf.DUMMYFUNCTION("""COMPUTED_VALUE"""),"Yes")</f>
        <v>Yes</v>
      </c>
      <c r="Z921" s="1" t="str">
        <f ca="1">IFERROR(__xludf.DUMMYFUNCTION("""COMPUTED_VALUE"""),"Several people fired shots")</f>
        <v>Several people fired shots</v>
      </c>
      <c r="AA921" s="1" t="str">
        <f ca="1">IFERROR(__xludf.DUMMYFUNCTION("""COMPUTED_VALUE"""),"No")</f>
        <v>No</v>
      </c>
      <c r="AB921" s="1" t="str">
        <f ca="1">IFERROR(__xludf.DUMMYFUNCTION("""COMPUTED_VALUE"""),"No")</f>
        <v>No</v>
      </c>
      <c r="AC921" s="1" t="str">
        <f ca="1">IFERROR(__xludf.DUMMYFUNCTION("""COMPUTED_VALUE"""),"No")</f>
        <v>No</v>
      </c>
      <c r="AD921" s="1" t="str">
        <f ca="1">IFERROR(__xludf.DUMMYFUNCTION("""COMPUTED_VALUE"""),"No")</f>
        <v>No</v>
      </c>
      <c r="AE921" s="1" t="str">
        <f ca="1">IFERROR(__xludf.DUMMYFUNCTION("""COMPUTED_VALUE"""),"No")</f>
        <v>No</v>
      </c>
      <c r="AF921" s="1"/>
      <c r="AG921" s="1" t="str">
        <f ca="1">IFERROR(__xludf.DUMMYFUNCTION("""COMPUTED_VALUE"""),"No")</f>
        <v>No</v>
      </c>
      <c r="AH921" s="1"/>
    </row>
    <row r="922" spans="1:34" ht="12.5">
      <c r="A922" s="1" t="str">
        <f ca="1">IFERROR(__xludf.DUMMYFUNCTION("""COMPUTED_VALUE"""),"20210614NCRJW")</f>
        <v>20210614NCRJW</v>
      </c>
      <c r="B922" s="1">
        <f ca="1">IFERROR(__xludf.DUMMYFUNCTION("""COMPUTED_VALUE"""),6)</f>
        <v>6</v>
      </c>
      <c r="C922" s="1">
        <f ca="1">IFERROR(__xludf.DUMMYFUNCTION("""COMPUTED_VALUE"""),14)</f>
        <v>14</v>
      </c>
      <c r="D922" s="1">
        <f ca="1">IFERROR(__xludf.DUMMYFUNCTION("""COMPUTED_VALUE"""),2021)</f>
        <v>2021</v>
      </c>
      <c r="E922" s="4">
        <f ca="1">IFERROR(__xludf.DUMMYFUNCTION("""COMPUTED_VALUE"""),44361)</f>
        <v>44361</v>
      </c>
      <c r="F922" s="1" t="str">
        <f ca="1">IFERROR(__xludf.DUMMYFUNCTION("""COMPUTED_VALUE"""),"R.J. Reynolds High School")</f>
        <v>R.J. Reynolds High School</v>
      </c>
      <c r="G922" s="1">
        <f ca="1">IFERROR(__xludf.DUMMYFUNCTION("""COMPUTED_VALUE"""),0)</f>
        <v>0</v>
      </c>
      <c r="H922" s="1">
        <f ca="1">IFERROR(__xludf.DUMMYFUNCTION("""COMPUTED_VALUE"""),0)</f>
        <v>0</v>
      </c>
      <c r="I922" s="1">
        <f ca="1">IFERROR(__xludf.DUMMYFUNCTION("""COMPUTED_VALUE"""),0)</f>
        <v>0</v>
      </c>
      <c r="J922" s="1">
        <f ca="1">IFERROR(__xludf.DUMMYFUNCTION("""COMPUTED_VALUE"""),1)</f>
        <v>1</v>
      </c>
      <c r="K922" s="1" t="str">
        <f ca="1">IFERROR(__xludf.DUMMYFUNCTION("""COMPUTED_VALUE"""),"Summer")</f>
        <v>Summer</v>
      </c>
      <c r="L922" s="1" t="str">
        <f ca="1">IFERROR(__xludf.DUMMYFUNCTION("""COMPUTED_VALUE"""),"Winston-Salem")</f>
        <v>Winston-Salem</v>
      </c>
      <c r="M922" s="1" t="str">
        <f ca="1">IFERROR(__xludf.DUMMYFUNCTION("""COMPUTED_VALUE"""),"NC")</f>
        <v>NC</v>
      </c>
      <c r="N922" s="1" t="str">
        <f ca="1">IFERROR(__xludf.DUMMYFUNCTION("""COMPUTED_VALUE"""),"High")</f>
        <v>High</v>
      </c>
      <c r="O922" s="1" t="str">
        <f ca="1">IFERROR(__xludf.DUMMYFUNCTION("""COMPUTED_VALUE"""),"Beside Building")</f>
        <v>Beside Building</v>
      </c>
      <c r="P922" s="1" t="str">
        <f ca="1">IFERROR(__xludf.DUMMYFUNCTION("""COMPUTED_VALUE"""),"Outside on School Property")</f>
        <v>Outside on School Property</v>
      </c>
      <c r="Q922" s="1" t="str">
        <f ca="1">IFERROR(__xludf.DUMMYFUNCTION("""COMPUTED_VALUE"""),"No")</f>
        <v>No</v>
      </c>
      <c r="R922" s="1" t="str">
        <f ca="1">IFERROR(__xludf.DUMMYFUNCTION("""COMPUTED_VALUE"""),"Not a School Day")</f>
        <v>Not a School Day</v>
      </c>
      <c r="S922" s="5">
        <f ca="1">IFERROR(__xludf.DUMMYFUNCTION("""COMPUTED_VALUE"""),0.663194444444444)</f>
        <v>0.66319444444444398</v>
      </c>
      <c r="T922" s="1">
        <f ca="1">IFERROR(__xludf.DUMMYFUNCTION("""COMPUTED_VALUE"""),15)</f>
        <v>15</v>
      </c>
      <c r="U922" s="1" t="str">
        <f ca="1">IFERROR(__xludf.DUMMYFUNCTION("""COMPUTED_VALUE"""),"Police chase ended at school, man fired shots at police and fled on foot across campus")</f>
        <v>Police chase ended at school, man fired shots at police and fled on foot across campus</v>
      </c>
      <c r="V922" s="1" t="str">
        <f ca="1">IFERROR(__xludf.DUMMYFUNCTION("""COMPUTED_VALUE"""),"A 26-year-old man killed his mother and grandmother in their home. Fired shots at police during 4-mile chase that concluded when he crashed near the gym at the school. Shooter fired shots from both a semi-automatic rifle and handgun at police officers and"&amp;" then fled across the school campus to a nearby park where he was fatally shot by officers. Shooter had prior felony convictions, history of mental illness, and history of violent behavior. School was closed at the time of the incident.")</f>
        <v>A 26-year-old man killed his mother and grandmother in their home. Fired shots at police during 4-mile chase that concluded when he crashed near the gym at the school. Shooter fired shots from both a semi-automatic rifle and handgun at police officers and then fled across the school campus to a nearby park where he was fatally shot by officers. Shooter had prior felony convictions, history of mental illness, and history of violent behavior. School was closed at the time of the incident.</v>
      </c>
      <c r="W922" s="1" t="str">
        <f ca="1">IFERROR(__xludf.DUMMYFUNCTION("""COMPUTED_VALUE"""),"Domestic w/ Targeted Victim")</f>
        <v>Domestic w/ Targeted Victim</v>
      </c>
      <c r="X922" s="1" t="str">
        <f ca="1">IFERROR(__xludf.DUMMYFUNCTION("""COMPUTED_VALUE"""),"Both")</f>
        <v>Both</v>
      </c>
      <c r="Y922" s="1" t="str">
        <f ca="1">IFERROR(__xludf.DUMMYFUNCTION("""COMPUTED_VALUE"""),"No")</f>
        <v>No</v>
      </c>
      <c r="Z922" s="1"/>
      <c r="AA922" s="1" t="str">
        <f ca="1">IFERROR(__xludf.DUMMYFUNCTION("""COMPUTED_VALUE"""),"No")</f>
        <v>No</v>
      </c>
      <c r="AB922" s="1" t="str">
        <f ca="1">IFERROR(__xludf.DUMMYFUNCTION("""COMPUTED_VALUE"""),"No")</f>
        <v>No</v>
      </c>
      <c r="AC922" s="1" t="str">
        <f ca="1">IFERROR(__xludf.DUMMYFUNCTION("""COMPUTED_VALUE"""),"No")</f>
        <v>No</v>
      </c>
      <c r="AD922" s="1" t="str">
        <f ca="1">IFERROR(__xludf.DUMMYFUNCTION("""COMPUTED_VALUE"""),"No")</f>
        <v>No</v>
      </c>
      <c r="AE922" s="1" t="str">
        <f ca="1">IFERROR(__xludf.DUMMYFUNCTION("""COMPUTED_VALUE"""),"Yes")</f>
        <v>Yes</v>
      </c>
      <c r="AF922" s="1" t="str">
        <f ca="1">IFERROR(__xludf.DUMMYFUNCTION("""COMPUTED_VALUE"""),"No")</f>
        <v>No</v>
      </c>
      <c r="AG922" s="1" t="str">
        <f ca="1">IFERROR(__xludf.DUMMYFUNCTION("""COMPUTED_VALUE"""),"Yes")</f>
        <v>Yes</v>
      </c>
      <c r="AH922" s="1"/>
    </row>
    <row r="923" spans="1:34" ht="12.5">
      <c r="A923" s="1" t="str">
        <f ca="1">IFERROR(__xludf.DUMMYFUNCTION("""COMPUTED_VALUE"""),"20210613PAWIP")</f>
        <v>20210613PAWIP</v>
      </c>
      <c r="B923" s="1">
        <f ca="1">IFERROR(__xludf.DUMMYFUNCTION("""COMPUTED_VALUE"""),6)</f>
        <v>6</v>
      </c>
      <c r="C923" s="1">
        <f ca="1">IFERROR(__xludf.DUMMYFUNCTION("""COMPUTED_VALUE"""),13)</f>
        <v>13</v>
      </c>
      <c r="D923" s="1">
        <f ca="1">IFERROR(__xludf.DUMMYFUNCTION("""COMPUTED_VALUE"""),2021)</f>
        <v>2021</v>
      </c>
      <c r="E923" s="4">
        <f ca="1">IFERROR(__xludf.DUMMYFUNCTION("""COMPUTED_VALUE"""),44360)</f>
        <v>44360</v>
      </c>
      <c r="F923" s="1" t="str">
        <f ca="1">IFERROR(__xludf.DUMMYFUNCTION("""COMPUTED_VALUE"""),"William Dick School")</f>
        <v>William Dick School</v>
      </c>
      <c r="G923" s="1">
        <f ca="1">IFERROR(__xludf.DUMMYFUNCTION("""COMPUTED_VALUE"""),1)</f>
        <v>1</v>
      </c>
      <c r="H923" s="1">
        <f ca="1">IFERROR(__xludf.DUMMYFUNCTION("""COMPUTED_VALUE"""),0)</f>
        <v>0</v>
      </c>
      <c r="I923" s="1">
        <f ca="1">IFERROR(__xludf.DUMMYFUNCTION("""COMPUTED_VALUE"""),1)</f>
        <v>1</v>
      </c>
      <c r="J923" s="1">
        <f ca="1">IFERROR(__xludf.DUMMYFUNCTION("""COMPUTED_VALUE"""),0)</f>
        <v>0</v>
      </c>
      <c r="K923" s="1" t="str">
        <f ca="1">IFERROR(__xludf.DUMMYFUNCTION("""COMPUTED_VALUE"""),"Summer")</f>
        <v>Summer</v>
      </c>
      <c r="L923" s="1" t="str">
        <f ca="1">IFERROR(__xludf.DUMMYFUNCTION("""COMPUTED_VALUE"""),"Philadelphia")</f>
        <v>Philadelphia</v>
      </c>
      <c r="M923" s="1" t="str">
        <f ca="1">IFERROR(__xludf.DUMMYFUNCTION("""COMPUTED_VALUE"""),"PA")</f>
        <v>PA</v>
      </c>
      <c r="N923" s="1" t="str">
        <f ca="1">IFERROR(__xludf.DUMMYFUNCTION("""COMPUTED_VALUE"""),"K-8")</f>
        <v>K-8</v>
      </c>
      <c r="O923" s="1" t="str">
        <f ca="1">IFERROR(__xludf.DUMMYFUNCTION("""COMPUTED_VALUE"""),"Basketball Court")</f>
        <v>Basketball Court</v>
      </c>
      <c r="P923" s="1" t="str">
        <f ca="1">IFERROR(__xludf.DUMMYFUNCTION("""COMPUTED_VALUE"""),"Outside on School Property")</f>
        <v>Outside on School Property</v>
      </c>
      <c r="Q923" s="1" t="str">
        <f ca="1">IFERROR(__xludf.DUMMYFUNCTION("""COMPUTED_VALUE"""),"No")</f>
        <v>No</v>
      </c>
      <c r="R923" s="1" t="str">
        <f ca="1">IFERROR(__xludf.DUMMYFUNCTION("""COMPUTED_VALUE"""),"Night")</f>
        <v>Night</v>
      </c>
      <c r="S923" s="5">
        <f ca="1">IFERROR(__xludf.DUMMYFUNCTION("""COMPUTED_VALUE"""),0.979166666666666)</f>
        <v>0.97916666666666596</v>
      </c>
      <c r="T923" s="1">
        <f ca="1">IFERROR(__xludf.DUMMYFUNCTION("""COMPUTED_VALUE"""),1)</f>
        <v>1</v>
      </c>
      <c r="U923" s="1" t="str">
        <f ca="1">IFERROR(__xludf.DUMMYFUNCTION("""COMPUTED_VALUE"""),"Man shot on the school basketball court")</f>
        <v>Man shot on the school basketball court</v>
      </c>
      <c r="V923" s="1" t="str">
        <f ca="1">IFERROR(__xludf.DUMMYFUNCTION("""COMPUTED_VALUE"""),"An unidentified male (young adult or teen) was fatally shot multiple times on the school basketball court. Shooter fled the scene. CCTV recorded the shooting. School was closed at the time of the shooting.")</f>
        <v>An unidentified male (young adult or teen) was fatally shot multiple times on the school basketball court. Shooter fled the scene. CCTV recorded the shooting. School was closed at the time of the shooting.</v>
      </c>
      <c r="W923" s="1"/>
      <c r="X923" s="1" t="str">
        <f ca="1">IFERROR(__xludf.DUMMYFUNCTION("""COMPUTED_VALUE"""),"Victims Targeted")</f>
        <v>Victims Targeted</v>
      </c>
      <c r="Y923" s="1" t="str">
        <f ca="1">IFERROR(__xludf.DUMMYFUNCTION("""COMPUTED_VALUE"""),"No")</f>
        <v>No</v>
      </c>
      <c r="Z923" s="1"/>
      <c r="AA923" s="1" t="str">
        <f ca="1">IFERROR(__xludf.DUMMYFUNCTION("""COMPUTED_VALUE"""),"No")</f>
        <v>No</v>
      </c>
      <c r="AB923" s="1" t="str">
        <f ca="1">IFERROR(__xludf.DUMMYFUNCTION("""COMPUTED_VALUE"""),"No")</f>
        <v>No</v>
      </c>
      <c r="AC923" s="1" t="str">
        <f ca="1">IFERROR(__xludf.DUMMYFUNCTION("""COMPUTED_VALUE"""),"No")</f>
        <v>No</v>
      </c>
      <c r="AD923" s="1" t="str">
        <f ca="1">IFERROR(__xludf.DUMMYFUNCTION("""COMPUTED_VALUE"""),"No")</f>
        <v>No</v>
      </c>
      <c r="AE923" s="1" t="str">
        <f ca="1">IFERROR(__xludf.DUMMYFUNCTION("""COMPUTED_VALUE"""),"No")</f>
        <v>No</v>
      </c>
      <c r="AF923" s="1"/>
      <c r="AG923" s="1" t="str">
        <f ca="1">IFERROR(__xludf.DUMMYFUNCTION("""COMPUTED_VALUE"""),"No")</f>
        <v>No</v>
      </c>
      <c r="AH923" s="1"/>
    </row>
    <row r="924" spans="1:34" ht="12.5">
      <c r="A924" s="1" t="str">
        <f ca="1">IFERROR(__xludf.DUMMYFUNCTION("""COMPUTED_VALUE"""),"20210613PAPAC")</f>
        <v>20210613PAPAC</v>
      </c>
      <c r="B924" s="1">
        <f ca="1">IFERROR(__xludf.DUMMYFUNCTION("""COMPUTED_VALUE"""),6)</f>
        <v>6</v>
      </c>
      <c r="C924" s="1">
        <f ca="1">IFERROR(__xludf.DUMMYFUNCTION("""COMPUTED_VALUE"""),13)</f>
        <v>13</v>
      </c>
      <c r="D924" s="1">
        <f ca="1">IFERROR(__xludf.DUMMYFUNCTION("""COMPUTED_VALUE"""),2021)</f>
        <v>2021</v>
      </c>
      <c r="E924" s="4">
        <f ca="1">IFERROR(__xludf.DUMMYFUNCTION("""COMPUTED_VALUE"""),44360)</f>
        <v>44360</v>
      </c>
      <c r="F924" s="1" t="str">
        <f ca="1">IFERROR(__xludf.DUMMYFUNCTION("""COMPUTED_VALUE"""),"Park Elementary School")</f>
        <v>Park Elementary School</v>
      </c>
      <c r="G924" s="1">
        <f ca="1">IFERROR(__xludf.DUMMYFUNCTION("""COMPUTED_VALUE"""),0)</f>
        <v>0</v>
      </c>
      <c r="H924" s="1">
        <f ca="1">IFERROR(__xludf.DUMMYFUNCTION("""COMPUTED_VALUE"""),0)</f>
        <v>0</v>
      </c>
      <c r="I924" s="1">
        <f ca="1">IFERROR(__xludf.DUMMYFUNCTION("""COMPUTED_VALUE"""),0)</f>
        <v>0</v>
      </c>
      <c r="J924" s="1">
        <f ca="1">IFERROR(__xludf.DUMMYFUNCTION("""COMPUTED_VALUE"""),0)</f>
        <v>0</v>
      </c>
      <c r="K924" s="1" t="str">
        <f ca="1">IFERROR(__xludf.DUMMYFUNCTION("""COMPUTED_VALUE"""),"Summer")</f>
        <v>Summer</v>
      </c>
      <c r="L924" s="1" t="str">
        <f ca="1">IFERROR(__xludf.DUMMYFUNCTION("""COMPUTED_VALUE"""),"Columbia")</f>
        <v>Columbia</v>
      </c>
      <c r="M924" s="1" t="str">
        <f ca="1">IFERROR(__xludf.DUMMYFUNCTION("""COMPUTED_VALUE"""),"PA")</f>
        <v>PA</v>
      </c>
      <c r="N924" s="1" t="str">
        <f ca="1">IFERROR(__xludf.DUMMYFUNCTION("""COMPUTED_VALUE"""),"Elementary")</f>
        <v>Elementary</v>
      </c>
      <c r="O924" s="1" t="str">
        <f ca="1">IFERROR(__xludf.DUMMYFUNCTION("""COMPUTED_VALUE"""),"Parking Lot")</f>
        <v>Parking Lot</v>
      </c>
      <c r="P924" s="1" t="str">
        <f ca="1">IFERROR(__xludf.DUMMYFUNCTION("""COMPUTED_VALUE"""),"Outside on School Property")</f>
        <v>Outside on School Property</v>
      </c>
      <c r="Q924" s="1" t="str">
        <f ca="1">IFERROR(__xludf.DUMMYFUNCTION("""COMPUTED_VALUE"""),"No")</f>
        <v>No</v>
      </c>
      <c r="R924" s="1" t="str">
        <f ca="1">IFERROR(__xludf.DUMMYFUNCTION("""COMPUTED_VALUE"""),"Not a School Day")</f>
        <v>Not a School Day</v>
      </c>
      <c r="S924" s="5">
        <f ca="1">IFERROR(__xludf.DUMMYFUNCTION("""COMPUTED_VALUE"""),0.333333333333333)</f>
        <v>0.33333333333333298</v>
      </c>
      <c r="T924" s="1">
        <f ca="1">IFERROR(__xludf.DUMMYFUNCTION("""COMPUTED_VALUE"""),1)</f>
        <v>1</v>
      </c>
      <c r="U924" s="1" t="str">
        <f ca="1">IFERROR(__xludf.DUMMYFUNCTION("""COMPUTED_VALUE"""),"Elderly man shot himself in the school parking lot")</f>
        <v>Elderly man shot himself in the school parking lot</v>
      </c>
      <c r="V924" s="1" t="str">
        <f ca="1">IFERROR(__xludf.DUMMYFUNCTION("""COMPUTED_VALUE"""),"A 78-year-old man was found in the school parking lot with a self-inflicted gunshot wound to the chest. He was transported in critical condition. No students or staff were present.")</f>
        <v>A 78-year-old man was found in the school parking lot with a self-inflicted gunshot wound to the chest. He was transported in critical condition. No students or staff were present.</v>
      </c>
      <c r="W924" s="1" t="str">
        <f ca="1">IFERROR(__xludf.DUMMYFUNCTION("""COMPUTED_VALUE"""),"Suicide/Attempted")</f>
        <v>Suicide/Attempted</v>
      </c>
      <c r="X924" s="1" t="str">
        <f ca="1">IFERROR(__xludf.DUMMYFUNCTION("""COMPUTED_VALUE"""),"Victims Targeted")</f>
        <v>Victims Targeted</v>
      </c>
      <c r="Y924" s="1" t="str">
        <f ca="1">IFERROR(__xludf.DUMMYFUNCTION("""COMPUTED_VALUE"""),"No")</f>
        <v>No</v>
      </c>
      <c r="Z924" s="1"/>
      <c r="AA924" s="1" t="str">
        <f ca="1">IFERROR(__xludf.DUMMYFUNCTION("""COMPUTED_VALUE"""),"No")</f>
        <v>No</v>
      </c>
      <c r="AB924" s="1" t="str">
        <f ca="1">IFERROR(__xludf.DUMMYFUNCTION("""COMPUTED_VALUE"""),"No")</f>
        <v>No</v>
      </c>
      <c r="AC924" s="1" t="str">
        <f ca="1">IFERROR(__xludf.DUMMYFUNCTION("""COMPUTED_VALUE"""),"No")</f>
        <v>No</v>
      </c>
      <c r="AD924" s="1" t="str">
        <f ca="1">IFERROR(__xludf.DUMMYFUNCTION("""COMPUTED_VALUE"""),"No")</f>
        <v>No</v>
      </c>
      <c r="AE924" s="1" t="str">
        <f ca="1">IFERROR(__xludf.DUMMYFUNCTION("""COMPUTED_VALUE"""),"No")</f>
        <v>No</v>
      </c>
      <c r="AF924" s="1" t="str">
        <f ca="1">IFERROR(__xludf.DUMMYFUNCTION("""COMPUTED_VALUE"""),"No")</f>
        <v>No</v>
      </c>
      <c r="AG924" s="1"/>
      <c r="AH924" s="1">
        <f ca="1">IFERROR(__xludf.DUMMYFUNCTION("""COMPUTED_VALUE"""),1)</f>
        <v>1</v>
      </c>
    </row>
    <row r="925" spans="1:34" ht="12.5">
      <c r="A925" s="1" t="str">
        <f ca="1">IFERROR(__xludf.DUMMYFUNCTION("""COMPUTED_VALUE"""),"20210612MOMCF")</f>
        <v>20210612MOMCF</v>
      </c>
      <c r="B925" s="1">
        <f ca="1">IFERROR(__xludf.DUMMYFUNCTION("""COMPUTED_VALUE"""),6)</f>
        <v>6</v>
      </c>
      <c r="C925" s="1">
        <f ca="1">IFERROR(__xludf.DUMMYFUNCTION("""COMPUTED_VALUE"""),12)</f>
        <v>12</v>
      </c>
      <c r="D925" s="1">
        <f ca="1">IFERROR(__xludf.DUMMYFUNCTION("""COMPUTED_VALUE"""),2021)</f>
        <v>2021</v>
      </c>
      <c r="E925" s="4">
        <f ca="1">IFERROR(__xludf.DUMMYFUNCTION("""COMPUTED_VALUE"""),44359)</f>
        <v>44359</v>
      </c>
      <c r="F925" s="1" t="str">
        <f ca="1">IFERROR(__xludf.DUMMYFUNCTION("""COMPUTED_VALUE"""),"McCluer North High School")</f>
        <v>McCluer North High School</v>
      </c>
      <c r="G925" s="1">
        <f ca="1">IFERROR(__xludf.DUMMYFUNCTION("""COMPUTED_VALUE"""),1)</f>
        <v>1</v>
      </c>
      <c r="H925" s="1">
        <f ca="1">IFERROR(__xludf.DUMMYFUNCTION("""COMPUTED_VALUE"""),0)</f>
        <v>0</v>
      </c>
      <c r="I925" s="1">
        <f ca="1">IFERROR(__xludf.DUMMYFUNCTION("""COMPUTED_VALUE"""),1)</f>
        <v>1</v>
      </c>
      <c r="J925" s="1">
        <f ca="1">IFERROR(__xludf.DUMMYFUNCTION("""COMPUTED_VALUE"""),0)</f>
        <v>0</v>
      </c>
      <c r="K925" s="1" t="str">
        <f ca="1">IFERROR(__xludf.DUMMYFUNCTION("""COMPUTED_VALUE"""),"Summer")</f>
        <v>Summer</v>
      </c>
      <c r="L925" s="1" t="str">
        <f ca="1">IFERROR(__xludf.DUMMYFUNCTION("""COMPUTED_VALUE"""),"Florissant")</f>
        <v>Florissant</v>
      </c>
      <c r="M925" s="1" t="str">
        <f ca="1">IFERROR(__xludf.DUMMYFUNCTION("""COMPUTED_VALUE"""),"MO")</f>
        <v>MO</v>
      </c>
      <c r="N925" s="1" t="str">
        <f ca="1">IFERROR(__xludf.DUMMYFUNCTION("""COMPUTED_VALUE"""),"High")</f>
        <v>High</v>
      </c>
      <c r="O925" s="1" t="str">
        <f ca="1">IFERROR(__xludf.DUMMYFUNCTION("""COMPUTED_VALUE"""),"Outside on School Property")</f>
        <v>Outside on School Property</v>
      </c>
      <c r="P925" s="1" t="str">
        <f ca="1">IFERROR(__xludf.DUMMYFUNCTION("""COMPUTED_VALUE"""),"Outside on School Property")</f>
        <v>Outside on School Property</v>
      </c>
      <c r="Q925" s="1" t="str">
        <f ca="1">IFERROR(__xludf.DUMMYFUNCTION("""COMPUTED_VALUE"""),"No")</f>
        <v>No</v>
      </c>
      <c r="R925" s="1" t="str">
        <f ca="1">IFERROR(__xludf.DUMMYFUNCTION("""COMPUTED_VALUE"""),"Night")</f>
        <v>Night</v>
      </c>
      <c r="S925" s="5">
        <f ca="1">IFERROR(__xludf.DUMMYFUNCTION("""COMPUTED_VALUE"""),0.0416666666666666)</f>
        <v>4.1666666666666602E-2</v>
      </c>
      <c r="T925" s="1">
        <f ca="1">IFERROR(__xludf.DUMMYFUNCTION("""COMPUTED_VALUE"""),1)</f>
        <v>1</v>
      </c>
      <c r="U925" s="1" t="str">
        <f ca="1">IFERROR(__xludf.DUMMYFUNCTION("""COMPUTED_VALUE"""),"Teen shot and killed by another teen on school campus late at night")</f>
        <v>Teen shot and killed by another teen on school campus late at night</v>
      </c>
      <c r="V925" s="1" t="str">
        <f ca="1">IFERROR(__xludf.DUMMYFUNCTION("""COMPUTED_VALUE"""),"Police responded to shot fired and found an 18-year-old male who was fatally shot. The following day, an 18-year-old male was arrested and charged with first degree murder. The two teens had an on-going feud. No other details available.")</f>
        <v>Police responded to shot fired and found an 18-year-old male who was fatally shot. The following day, an 18-year-old male was arrested and charged with first degree murder. The two teens had an on-going feud. No other details available.</v>
      </c>
      <c r="W925" s="1" t="str">
        <f ca="1">IFERROR(__xludf.DUMMYFUNCTION("""COMPUTED_VALUE"""),"Escalation of Dispute")</f>
        <v>Escalation of Dispute</v>
      </c>
      <c r="X925" s="1" t="str">
        <f ca="1">IFERROR(__xludf.DUMMYFUNCTION("""COMPUTED_VALUE"""),"Victims Targeted")</f>
        <v>Victims Targeted</v>
      </c>
      <c r="Y925" s="1"/>
      <c r="Z925" s="1"/>
      <c r="AA925" s="1" t="str">
        <f ca="1">IFERROR(__xludf.DUMMYFUNCTION("""COMPUTED_VALUE"""),"No")</f>
        <v>No</v>
      </c>
      <c r="AB925" s="1" t="str">
        <f ca="1">IFERROR(__xludf.DUMMYFUNCTION("""COMPUTED_VALUE"""),"No")</f>
        <v>No</v>
      </c>
      <c r="AC925" s="1" t="str">
        <f ca="1">IFERROR(__xludf.DUMMYFUNCTION("""COMPUTED_VALUE"""),"No")</f>
        <v>No</v>
      </c>
      <c r="AD925" s="1"/>
      <c r="AE925" s="1" t="str">
        <f ca="1">IFERROR(__xludf.DUMMYFUNCTION("""COMPUTED_VALUE"""),"No")</f>
        <v>No</v>
      </c>
      <c r="AF925" s="1" t="str">
        <f ca="1">IFERROR(__xludf.DUMMYFUNCTION("""COMPUTED_VALUE"""),"No")</f>
        <v>No</v>
      </c>
      <c r="AG925" s="1" t="str">
        <f ca="1">IFERROR(__xludf.DUMMYFUNCTION("""COMPUTED_VALUE"""),"No")</f>
        <v>No</v>
      </c>
      <c r="AH925" s="1"/>
    </row>
    <row r="926" spans="1:34" ht="12.5">
      <c r="A926" s="1" t="str">
        <f ca="1">IFERROR(__xludf.DUMMYFUNCTION("""COMPUTED_VALUE"""),"20210610CTHOW")</f>
        <v>20210610CTHOW</v>
      </c>
      <c r="B926" s="1">
        <f ca="1">IFERROR(__xludf.DUMMYFUNCTION("""COMPUTED_VALUE"""),6)</f>
        <v>6</v>
      </c>
      <c r="C926" s="1">
        <f ca="1">IFERROR(__xludf.DUMMYFUNCTION("""COMPUTED_VALUE"""),10)</f>
        <v>10</v>
      </c>
      <c r="D926" s="1">
        <f ca="1">IFERROR(__xludf.DUMMYFUNCTION("""COMPUTED_VALUE"""),2021)</f>
        <v>2021</v>
      </c>
      <c r="E926" s="4">
        <f ca="1">IFERROR(__xludf.DUMMYFUNCTION("""COMPUTED_VALUE"""),44357)</f>
        <v>44357</v>
      </c>
      <c r="F926" s="1" t="str">
        <f ca="1">IFERROR(__xludf.DUMMYFUNCTION("""COMPUTED_VALUE"""),"Holy Cross High School")</f>
        <v>Holy Cross High School</v>
      </c>
      <c r="G926" s="1">
        <f ca="1">IFERROR(__xludf.DUMMYFUNCTION("""COMPUTED_VALUE"""),0)</f>
        <v>0</v>
      </c>
      <c r="H926" s="1">
        <f ca="1">IFERROR(__xludf.DUMMYFUNCTION("""COMPUTED_VALUE"""),0)</f>
        <v>0</v>
      </c>
      <c r="I926" s="1">
        <f ca="1">IFERROR(__xludf.DUMMYFUNCTION("""COMPUTED_VALUE"""),0)</f>
        <v>0</v>
      </c>
      <c r="J926" s="1">
        <f ca="1">IFERROR(__xludf.DUMMYFUNCTION("""COMPUTED_VALUE"""),0)</f>
        <v>0</v>
      </c>
      <c r="K926" s="1" t="str">
        <f ca="1">IFERROR(__xludf.DUMMYFUNCTION("""COMPUTED_VALUE"""),"Summer")</f>
        <v>Summer</v>
      </c>
      <c r="L926" s="1" t="str">
        <f ca="1">IFERROR(__xludf.DUMMYFUNCTION("""COMPUTED_VALUE"""),"Waterbury")</f>
        <v>Waterbury</v>
      </c>
      <c r="M926" s="1" t="str">
        <f ca="1">IFERROR(__xludf.DUMMYFUNCTION("""COMPUTED_VALUE"""),"CT")</f>
        <v>CT</v>
      </c>
      <c r="N926" s="1" t="str">
        <f ca="1">IFERROR(__xludf.DUMMYFUNCTION("""COMPUTED_VALUE"""),"High")</f>
        <v>High</v>
      </c>
      <c r="O926" s="1" t="str">
        <f ca="1">IFERROR(__xludf.DUMMYFUNCTION("""COMPUTED_VALUE"""),"Field (General)")</f>
        <v>Field (General)</v>
      </c>
      <c r="P926" s="1" t="str">
        <f ca="1">IFERROR(__xludf.DUMMYFUNCTION("""COMPUTED_VALUE"""),"Outside on School Property")</f>
        <v>Outside on School Property</v>
      </c>
      <c r="Q926" s="1" t="str">
        <f ca="1">IFERROR(__xludf.DUMMYFUNCTION("""COMPUTED_VALUE"""),"No")</f>
        <v>No</v>
      </c>
      <c r="R926" s="1" t="str">
        <f ca="1">IFERROR(__xludf.DUMMYFUNCTION("""COMPUTED_VALUE"""),"Before School")</f>
        <v>Before School</v>
      </c>
      <c r="S926" s="5">
        <f ca="1">IFERROR(__xludf.DUMMYFUNCTION("""COMPUTED_VALUE"""),0.25)</f>
        <v>0.25</v>
      </c>
      <c r="T926" s="1">
        <f ca="1">IFERROR(__xludf.DUMMYFUNCTION("""COMPUTED_VALUE"""),1)</f>
        <v>1</v>
      </c>
      <c r="U926" s="1" t="str">
        <f ca="1">IFERROR(__xludf.DUMMYFUNCTION("""COMPUTED_VALUE"""),"Adult men fired multiple shots on school baseball field during illegal arms sale")</f>
        <v>Adult men fired multiple shots on school baseball field during illegal arms sale</v>
      </c>
      <c r="V926" s="1" t="str">
        <f ca="1">IFERROR(__xludf.DUMMYFUNCTION("""COMPUTED_VALUE"""),"Police responded for shots fired and found two adult men (41 and 45) walking around the baseball field. The men said they were looking for a child's toy. Police found evidence of gunfire and arrested both men. A handgun with an illegal high capacity magaz"&amp;"ine was found in their vehicle. Charged with firing a weapon and illegal sale of a weapon. No students or staff injured. No property damage at the school.")</f>
        <v>Police responded for shots fired and found two adult men (41 and 45) walking around the baseball field. The men said they were looking for a child's toy. Police found evidence of gunfire and arrested both men. A handgun with an illegal high capacity magazine was found in their vehicle. Charged with firing a weapon and illegal sale of a weapon. No students or staff injured. No property damage at the school.</v>
      </c>
      <c r="W926" s="1" t="str">
        <f ca="1">IFERROR(__xludf.DUMMYFUNCTION("""COMPUTED_VALUE"""),"Illegal Activity")</f>
        <v>Illegal Activity</v>
      </c>
      <c r="X926" s="1" t="str">
        <f ca="1">IFERROR(__xludf.DUMMYFUNCTION("""COMPUTED_VALUE"""),"Neither")</f>
        <v>Neither</v>
      </c>
      <c r="Y926" s="1" t="str">
        <f ca="1">IFERROR(__xludf.DUMMYFUNCTION("""COMPUTED_VALUE"""),"Yes")</f>
        <v>Yes</v>
      </c>
      <c r="Z926" s="1" t="str">
        <f ca="1">IFERROR(__xludf.DUMMYFUNCTION("""COMPUTED_VALUE"""),"Two adult men")</f>
        <v>Two adult men</v>
      </c>
      <c r="AA926" s="1" t="str">
        <f ca="1">IFERROR(__xludf.DUMMYFUNCTION("""COMPUTED_VALUE"""),"No")</f>
        <v>No</v>
      </c>
      <c r="AB926" s="1" t="str">
        <f ca="1">IFERROR(__xludf.DUMMYFUNCTION("""COMPUTED_VALUE"""),"No")</f>
        <v>No</v>
      </c>
      <c r="AC926" s="1" t="str">
        <f ca="1">IFERROR(__xludf.DUMMYFUNCTION("""COMPUTED_VALUE"""),"No")</f>
        <v>No</v>
      </c>
      <c r="AD926" s="1" t="str">
        <f ca="1">IFERROR(__xludf.DUMMYFUNCTION("""COMPUTED_VALUE"""),"No")</f>
        <v>No</v>
      </c>
      <c r="AE926" s="1" t="str">
        <f ca="1">IFERROR(__xludf.DUMMYFUNCTION("""COMPUTED_VALUE"""),"No")</f>
        <v>No</v>
      </c>
      <c r="AF926" s="1" t="str">
        <f ca="1">IFERROR(__xludf.DUMMYFUNCTION("""COMPUTED_VALUE"""),"No")</f>
        <v>No</v>
      </c>
      <c r="AG926" s="1" t="str">
        <f ca="1">IFERROR(__xludf.DUMMYFUNCTION("""COMPUTED_VALUE"""),"No")</f>
        <v>No</v>
      </c>
      <c r="AH926" s="1"/>
    </row>
    <row r="927" spans="1:34" ht="12.5">
      <c r="A927" s="1" t="str">
        <f ca="1">IFERROR(__xludf.DUMMYFUNCTION("""COMPUTED_VALUE"""),"20210609VAWIR")</f>
        <v>20210609VAWIR</v>
      </c>
      <c r="B927" s="1">
        <f ca="1">IFERROR(__xludf.DUMMYFUNCTION("""COMPUTED_VALUE"""),6)</f>
        <v>6</v>
      </c>
      <c r="C927" s="1">
        <f ca="1">IFERROR(__xludf.DUMMYFUNCTION("""COMPUTED_VALUE"""),9)</f>
        <v>9</v>
      </c>
      <c r="D927" s="1">
        <f ca="1">IFERROR(__xludf.DUMMYFUNCTION("""COMPUTED_VALUE"""),2021)</f>
        <v>2021</v>
      </c>
      <c r="E927" s="4">
        <f ca="1">IFERROR(__xludf.DUMMYFUNCTION("""COMPUTED_VALUE"""),44356)</f>
        <v>44356</v>
      </c>
      <c r="F927" s="1" t="str">
        <f ca="1">IFERROR(__xludf.DUMMYFUNCTION("""COMPUTED_VALUE"""),"William Fleming High School")</f>
        <v>William Fleming High School</v>
      </c>
      <c r="G927" s="1">
        <f ca="1">IFERROR(__xludf.DUMMYFUNCTION("""COMPUTED_VALUE"""),0)</f>
        <v>0</v>
      </c>
      <c r="H927" s="1">
        <f ca="1">IFERROR(__xludf.DUMMYFUNCTION("""COMPUTED_VALUE"""),1)</f>
        <v>1</v>
      </c>
      <c r="I927" s="1">
        <f ca="1">IFERROR(__xludf.DUMMYFUNCTION("""COMPUTED_VALUE"""),1)</f>
        <v>1</v>
      </c>
      <c r="J927" s="1">
        <f ca="1">IFERROR(__xludf.DUMMYFUNCTION("""COMPUTED_VALUE"""),0)</f>
        <v>0</v>
      </c>
      <c r="K927" s="1"/>
      <c r="L927" s="1" t="str">
        <f ca="1">IFERROR(__xludf.DUMMYFUNCTION("""COMPUTED_VALUE"""),"Roanoke")</f>
        <v>Roanoke</v>
      </c>
      <c r="M927" s="1" t="str">
        <f ca="1">IFERROR(__xludf.DUMMYFUNCTION("""COMPUTED_VALUE"""),"VA")</f>
        <v>VA</v>
      </c>
      <c r="N927" s="1" t="str">
        <f ca="1">IFERROR(__xludf.DUMMYFUNCTION("""COMPUTED_VALUE"""),"High")</f>
        <v>High</v>
      </c>
      <c r="O927" s="1" t="str">
        <f ca="1">IFERROR(__xludf.DUMMYFUNCTION("""COMPUTED_VALUE"""),"Parking Lot")</f>
        <v>Parking Lot</v>
      </c>
      <c r="P927" s="1" t="str">
        <f ca="1">IFERROR(__xludf.DUMMYFUNCTION("""COMPUTED_VALUE"""),"Outside on School Property")</f>
        <v>Outside on School Property</v>
      </c>
      <c r="Q927" s="1" t="str">
        <f ca="1">IFERROR(__xludf.DUMMYFUNCTION("""COMPUTED_VALUE"""),"No")</f>
        <v>No</v>
      </c>
      <c r="R927" s="1" t="str">
        <f ca="1">IFERROR(__xludf.DUMMYFUNCTION("""COMPUTED_VALUE"""),"Sport Event")</f>
        <v>Sport Event</v>
      </c>
      <c r="S927" s="5">
        <f ca="1">IFERROR(__xludf.DUMMYFUNCTION("""COMPUTED_VALUE"""),0.583333333333333)</f>
        <v>0.58333333333333304</v>
      </c>
      <c r="T927" s="1">
        <f ca="1">IFERROR(__xludf.DUMMYFUNCTION("""COMPUTED_VALUE"""),1)</f>
        <v>1</v>
      </c>
      <c r="U927" s="1" t="str">
        <f ca="1">IFERROR(__xludf.DUMMYFUNCTION("""COMPUTED_VALUE"""),"Student shot in parking lot during graduation rehearsal")</f>
        <v>Student shot in parking lot during graduation rehearsal</v>
      </c>
      <c r="V927" s="1" t="str">
        <f ca="1">IFERROR(__xludf.DUMMYFUNCTION("""COMPUTED_VALUE"""),"A student was shot and transported to the hospital following a fight in the parking lot during graduation rehearsal. 300 students were onsite at the time of the shooting. Students sheltered inside the auditorium for 90 minutes while police searched the sc"&amp;"ene. Shooter fled the scene.")</f>
        <v>A student was shot and transported to the hospital following a fight in the parking lot during graduation rehearsal. 300 students were onsite at the time of the shooting. Students sheltered inside the auditorium for 90 minutes while police searched the scene. Shooter fled the scene.</v>
      </c>
      <c r="W927" s="1" t="str">
        <f ca="1">IFERROR(__xludf.DUMMYFUNCTION("""COMPUTED_VALUE"""),"Escalation of Dispute")</f>
        <v>Escalation of Dispute</v>
      </c>
      <c r="X927" s="1"/>
      <c r="Y927" s="1" t="str">
        <f ca="1">IFERROR(__xludf.DUMMYFUNCTION("""COMPUTED_VALUE"""),"No")</f>
        <v>No</v>
      </c>
      <c r="Z927" s="1"/>
      <c r="AA927" s="1" t="str">
        <f ca="1">IFERROR(__xludf.DUMMYFUNCTION("""COMPUTED_VALUE"""),"No")</f>
        <v>No</v>
      </c>
      <c r="AB927" s="1" t="str">
        <f ca="1">IFERROR(__xludf.DUMMYFUNCTION("""COMPUTED_VALUE"""),"No")</f>
        <v>No</v>
      </c>
      <c r="AC927" s="1" t="str">
        <f ca="1">IFERROR(__xludf.DUMMYFUNCTION("""COMPUTED_VALUE"""),"No")</f>
        <v>No</v>
      </c>
      <c r="AD927" s="1" t="str">
        <f ca="1">IFERROR(__xludf.DUMMYFUNCTION("""COMPUTED_VALUE"""),"No")</f>
        <v>No</v>
      </c>
      <c r="AE927" s="1" t="str">
        <f ca="1">IFERROR(__xludf.DUMMYFUNCTION("""COMPUTED_VALUE"""),"No")</f>
        <v>No</v>
      </c>
      <c r="AF927" s="1"/>
      <c r="AG927" s="1" t="str">
        <f ca="1">IFERROR(__xludf.DUMMYFUNCTION("""COMPUTED_VALUE"""),"No")</f>
        <v>No</v>
      </c>
      <c r="AH927" s="1"/>
    </row>
    <row r="928" spans="1:34" ht="12.5">
      <c r="A928" s="1" t="str">
        <f ca="1">IFERROR(__xludf.DUMMYFUNCTION("""COMPUTED_VALUE"""),"20210609TXNOH")</f>
        <v>20210609TXNOH</v>
      </c>
      <c r="B928" s="1">
        <f ca="1">IFERROR(__xludf.DUMMYFUNCTION("""COMPUTED_VALUE"""),6)</f>
        <v>6</v>
      </c>
      <c r="C928" s="1">
        <f ca="1">IFERROR(__xludf.DUMMYFUNCTION("""COMPUTED_VALUE"""),9)</f>
        <v>9</v>
      </c>
      <c r="D928" s="1">
        <f ca="1">IFERROR(__xludf.DUMMYFUNCTION("""COMPUTED_VALUE"""),2021)</f>
        <v>2021</v>
      </c>
      <c r="E928" s="4">
        <f ca="1">IFERROR(__xludf.DUMMYFUNCTION("""COMPUTED_VALUE"""),44356)</f>
        <v>44356</v>
      </c>
      <c r="F928" s="1" t="str">
        <f ca="1">IFERROR(__xludf.DUMMYFUNCTION("""COMPUTED_VALUE"""),"North Forest High School")</f>
        <v>North Forest High School</v>
      </c>
      <c r="G928" s="1">
        <f ca="1">IFERROR(__xludf.DUMMYFUNCTION("""COMPUTED_VALUE"""),0)</f>
        <v>0</v>
      </c>
      <c r="H928" s="1">
        <f ca="1">IFERROR(__xludf.DUMMYFUNCTION("""COMPUTED_VALUE"""),1)</f>
        <v>1</v>
      </c>
      <c r="I928" s="1">
        <f ca="1">IFERROR(__xludf.DUMMYFUNCTION("""COMPUTED_VALUE"""),1)</f>
        <v>1</v>
      </c>
      <c r="J928" s="1">
        <f ca="1">IFERROR(__xludf.DUMMYFUNCTION("""COMPUTED_VALUE"""),0)</f>
        <v>0</v>
      </c>
      <c r="K928" s="1" t="str">
        <f ca="1">IFERROR(__xludf.DUMMYFUNCTION("""COMPUTED_VALUE"""),"Summer")</f>
        <v>Summer</v>
      </c>
      <c r="L928" s="1" t="str">
        <f ca="1">IFERROR(__xludf.DUMMYFUNCTION("""COMPUTED_VALUE"""),"Houston")</f>
        <v>Houston</v>
      </c>
      <c r="M928" s="1" t="str">
        <f ca="1">IFERROR(__xludf.DUMMYFUNCTION("""COMPUTED_VALUE"""),"TX")</f>
        <v>TX</v>
      </c>
      <c r="N928" s="1" t="str">
        <f ca="1">IFERROR(__xludf.DUMMYFUNCTION("""COMPUTED_VALUE"""),"High")</f>
        <v>High</v>
      </c>
      <c r="O928" s="1" t="str">
        <f ca="1">IFERROR(__xludf.DUMMYFUNCTION("""COMPUTED_VALUE"""),"Parking Lot")</f>
        <v>Parking Lot</v>
      </c>
      <c r="P928" s="1" t="str">
        <f ca="1">IFERROR(__xludf.DUMMYFUNCTION("""COMPUTED_VALUE"""),"Outside on School Property")</f>
        <v>Outside on School Property</v>
      </c>
      <c r="Q928" s="1" t="str">
        <f ca="1">IFERROR(__xludf.DUMMYFUNCTION("""COMPUTED_VALUE"""),"Yes")</f>
        <v>Yes</v>
      </c>
      <c r="R928" s="1" t="str">
        <f ca="1">IFERROR(__xludf.DUMMYFUNCTION("""COMPUTED_VALUE"""),"School Event")</f>
        <v>School Event</v>
      </c>
      <c r="S928" s="5">
        <f ca="1">IFERROR(__xludf.DUMMYFUNCTION("""COMPUTED_VALUE"""),0.430555555555555)</f>
        <v>0.43055555555555503</v>
      </c>
      <c r="T928" s="1">
        <f ca="1">IFERROR(__xludf.DUMMYFUNCTION("""COMPUTED_VALUE"""),1)</f>
        <v>1</v>
      </c>
      <c r="U928" s="1" t="str">
        <f ca="1">IFERROR(__xludf.DUMMYFUNCTION("""COMPUTED_VALUE"""),"Student bystander shot during fight following graduation rehearsal")</f>
        <v>Student bystander shot during fight following graduation rehearsal</v>
      </c>
      <c r="V928" s="1" t="str">
        <f ca="1">IFERROR(__xludf.DUMMYFUNCTION("""COMPUTED_VALUE"""),"An 18-year-old male student was sitting inside a vehicle in the school parking lot when he was shot in the hand. The shot was fired during a fight between students, the student struck was no involved. Graduation rehearsal had just finished and students we"&amp;"re leaving the school. An 18-year-old student was arrested and charged. SRO was present at the school and immediately reported that it was not an active shooter situation. School was not locked down.")</f>
        <v>An 18-year-old male student was sitting inside a vehicle in the school parking lot when he was shot in the hand. The shot was fired during a fight between students, the student struck was no involved. Graduation rehearsal had just finished and students were leaving the school. An 18-year-old student was arrested and charged. SRO was present at the school and immediately reported that it was not an active shooter situation. School was not locked down.</v>
      </c>
      <c r="W928" s="1" t="str">
        <f ca="1">IFERROR(__xludf.DUMMYFUNCTION("""COMPUTED_VALUE"""),"Escalation of Dispute")</f>
        <v>Escalation of Dispute</v>
      </c>
      <c r="X928" s="1" t="str">
        <f ca="1">IFERROR(__xludf.DUMMYFUNCTION("""COMPUTED_VALUE"""),"Both")</f>
        <v>Both</v>
      </c>
      <c r="Y928" s="1" t="str">
        <f ca="1">IFERROR(__xludf.DUMMYFUNCTION("""COMPUTED_VALUE"""),"No")</f>
        <v>No</v>
      </c>
      <c r="Z928" s="1"/>
      <c r="AA928" s="1" t="str">
        <f ca="1">IFERROR(__xludf.DUMMYFUNCTION("""COMPUTED_VALUE"""),"No")</f>
        <v>No</v>
      </c>
      <c r="AB928" s="1" t="str">
        <f ca="1">IFERROR(__xludf.DUMMYFUNCTION("""COMPUTED_VALUE"""),"No")</f>
        <v>No</v>
      </c>
      <c r="AC928" s="1" t="str">
        <f ca="1">IFERROR(__xludf.DUMMYFUNCTION("""COMPUTED_VALUE"""),"No")</f>
        <v>No</v>
      </c>
      <c r="AD928" s="1" t="str">
        <f ca="1">IFERROR(__xludf.DUMMYFUNCTION("""COMPUTED_VALUE"""),"No")</f>
        <v>No</v>
      </c>
      <c r="AE928" s="1" t="str">
        <f ca="1">IFERROR(__xludf.DUMMYFUNCTION("""COMPUTED_VALUE"""),"No")</f>
        <v>No</v>
      </c>
      <c r="AF928" s="1" t="str">
        <f ca="1">IFERROR(__xludf.DUMMYFUNCTION("""COMPUTED_VALUE"""),"No")</f>
        <v>No</v>
      </c>
      <c r="AG928" s="1" t="str">
        <f ca="1">IFERROR(__xludf.DUMMYFUNCTION("""COMPUTED_VALUE"""),"No")</f>
        <v>No</v>
      </c>
      <c r="AH928" s="1"/>
    </row>
    <row r="929" spans="1:34" ht="12.5">
      <c r="A929" s="1" t="str">
        <f ca="1">IFERROR(__xludf.DUMMYFUNCTION("""COMPUTED_VALUE"""),"20210608PAMUS")</f>
        <v>20210608PAMUS</v>
      </c>
      <c r="B929" s="1">
        <f ca="1">IFERROR(__xludf.DUMMYFUNCTION("""COMPUTED_VALUE"""),6)</f>
        <v>6</v>
      </c>
      <c r="C929" s="1">
        <f ca="1">IFERROR(__xludf.DUMMYFUNCTION("""COMPUTED_VALUE"""),8)</f>
        <v>8</v>
      </c>
      <c r="D929" s="1">
        <f ca="1">IFERROR(__xludf.DUMMYFUNCTION("""COMPUTED_VALUE"""),2021)</f>
        <v>2021</v>
      </c>
      <c r="E929" s="4">
        <f ca="1">IFERROR(__xludf.DUMMYFUNCTION("""COMPUTED_VALUE"""),44355)</f>
        <v>44355</v>
      </c>
      <c r="F929" s="1" t="str">
        <f ca="1">IFERROR(__xludf.DUMMYFUNCTION("""COMPUTED_VALUE"""),"Musser Elementary School")</f>
        <v>Musser Elementary School</v>
      </c>
      <c r="G929" s="1">
        <f ca="1">IFERROR(__xludf.DUMMYFUNCTION("""COMPUTED_VALUE"""),0)</f>
        <v>0</v>
      </c>
      <c r="H929" s="1">
        <f ca="1">IFERROR(__xludf.DUMMYFUNCTION("""COMPUTED_VALUE"""),0)</f>
        <v>0</v>
      </c>
      <c r="I929" s="1">
        <f ca="1">IFERROR(__xludf.DUMMYFUNCTION("""COMPUTED_VALUE"""),0)</f>
        <v>0</v>
      </c>
      <c r="J929" s="1">
        <f ca="1">IFERROR(__xludf.DUMMYFUNCTION("""COMPUTED_VALUE"""),0)</f>
        <v>0</v>
      </c>
      <c r="K929" s="1" t="str">
        <f ca="1">IFERROR(__xludf.DUMMYFUNCTION("""COMPUTED_VALUE"""),"Summer")</f>
        <v>Summer</v>
      </c>
      <c r="L929" s="1" t="str">
        <f ca="1">IFERROR(__xludf.DUMMYFUNCTION("""COMPUTED_VALUE"""),"Sharon")</f>
        <v>Sharon</v>
      </c>
      <c r="M929" s="1" t="str">
        <f ca="1">IFERROR(__xludf.DUMMYFUNCTION("""COMPUTED_VALUE"""),"PA")</f>
        <v>PA</v>
      </c>
      <c r="N929" s="1" t="str">
        <f ca="1">IFERROR(__xludf.DUMMYFUNCTION("""COMPUTED_VALUE"""),"Elementary")</f>
        <v>Elementary</v>
      </c>
      <c r="O929" s="1" t="str">
        <f ca="1">IFERROR(__xludf.DUMMYFUNCTION("""COMPUTED_VALUE"""),"Parking Lot")</f>
        <v>Parking Lot</v>
      </c>
      <c r="P929" s="1" t="str">
        <f ca="1">IFERROR(__xludf.DUMMYFUNCTION("""COMPUTED_VALUE"""),"Outside on School Property")</f>
        <v>Outside on School Property</v>
      </c>
      <c r="Q929" s="1" t="str">
        <f ca="1">IFERROR(__xludf.DUMMYFUNCTION("""COMPUTED_VALUE"""),"No")</f>
        <v>No</v>
      </c>
      <c r="R929" s="1" t="str">
        <f ca="1">IFERROR(__xludf.DUMMYFUNCTION("""COMPUTED_VALUE"""),"Evening")</f>
        <v>Evening</v>
      </c>
      <c r="S929" s="5">
        <f ca="1">IFERROR(__xludf.DUMMYFUNCTION("""COMPUTED_VALUE"""),0.8625)</f>
        <v>0.86250000000000004</v>
      </c>
      <c r="T929" s="1">
        <f ca="1">IFERROR(__xludf.DUMMYFUNCTION("""COMPUTED_VALUE"""),1)</f>
        <v>1</v>
      </c>
      <c r="U929" s="1" t="str">
        <f ca="1">IFERROR(__xludf.DUMMYFUNCTION("""COMPUTED_VALUE"""),"Teen fired multiple shots during dispute with other teens")</f>
        <v>Teen fired multiple shots during dispute with other teens</v>
      </c>
      <c r="V929" s="1" t="str">
        <f ca="1">IFERROR(__xludf.DUMMYFUNCTION("""COMPUTED_VALUE"""),"A 17-year-old male fired multiple in the parking lot and alley area of the school during a dispute with other teens. Children were on the playground of the school during the shooting. Shooter fled in a vehicle driven by another teen. Vehicle was stopped a"&amp;"nd the shooter was arrested.")</f>
        <v>A 17-year-old male fired multiple in the parking lot and alley area of the school during a dispute with other teens. Children were on the playground of the school during the shooting. Shooter fled in a vehicle driven by another teen. Vehicle was stopped and the shooter was arrested.</v>
      </c>
      <c r="W929" s="1" t="str">
        <f ca="1">IFERROR(__xludf.DUMMYFUNCTION("""COMPUTED_VALUE"""),"Escalation of Dispute")</f>
        <v>Escalation of Dispute</v>
      </c>
      <c r="X929" s="1" t="str">
        <f ca="1">IFERROR(__xludf.DUMMYFUNCTION("""COMPUTED_VALUE"""),"Victims Targeted")</f>
        <v>Victims Targeted</v>
      </c>
      <c r="Y929" s="1" t="str">
        <f ca="1">IFERROR(__xludf.DUMMYFUNCTION("""COMPUTED_VALUE"""),"Yes")</f>
        <v>Yes</v>
      </c>
      <c r="Z929" s="1" t="str">
        <f ca="1">IFERROR(__xludf.DUMMYFUNCTION("""COMPUTED_VALUE"""),"Driver")</f>
        <v>Driver</v>
      </c>
      <c r="AA929" s="1" t="str">
        <f ca="1">IFERROR(__xludf.DUMMYFUNCTION("""COMPUTED_VALUE"""),"No")</f>
        <v>No</v>
      </c>
      <c r="AB929" s="1" t="str">
        <f ca="1">IFERROR(__xludf.DUMMYFUNCTION("""COMPUTED_VALUE"""),"No")</f>
        <v>No</v>
      </c>
      <c r="AC929" s="1" t="str">
        <f ca="1">IFERROR(__xludf.DUMMYFUNCTION("""COMPUTED_VALUE"""),"No")</f>
        <v>No</v>
      </c>
      <c r="AD929" s="1" t="str">
        <f ca="1">IFERROR(__xludf.DUMMYFUNCTION("""COMPUTED_VALUE"""),"No")</f>
        <v>No</v>
      </c>
      <c r="AE929" s="1" t="str">
        <f ca="1">IFERROR(__xludf.DUMMYFUNCTION("""COMPUTED_VALUE"""),"No")</f>
        <v>No</v>
      </c>
      <c r="AF929" s="1"/>
      <c r="AG929" s="1" t="str">
        <f ca="1">IFERROR(__xludf.DUMMYFUNCTION("""COMPUTED_VALUE"""),"No")</f>
        <v>No</v>
      </c>
      <c r="AH929" s="1">
        <f ca="1">IFERROR(__xludf.DUMMYFUNCTION("""COMPUTED_VALUE"""),10)</f>
        <v>10</v>
      </c>
    </row>
    <row r="930" spans="1:34" ht="12.5">
      <c r="A930" s="1" t="str">
        <f ca="1">IFERROR(__xludf.DUMMYFUNCTION("""COMPUTED_VALUE"""),"20210608KSHAK")</f>
        <v>20210608KSHAK</v>
      </c>
      <c r="B930" s="1">
        <f ca="1">IFERROR(__xludf.DUMMYFUNCTION("""COMPUTED_VALUE"""),6)</f>
        <v>6</v>
      </c>
      <c r="C930" s="1">
        <f ca="1">IFERROR(__xludf.DUMMYFUNCTION("""COMPUTED_VALUE"""),8)</f>
        <v>8</v>
      </c>
      <c r="D930" s="1">
        <f ca="1">IFERROR(__xludf.DUMMYFUNCTION("""COMPUTED_VALUE"""),2021)</f>
        <v>2021</v>
      </c>
      <c r="E930" s="4">
        <f ca="1">IFERROR(__xludf.DUMMYFUNCTION("""COMPUTED_VALUE"""),44355)</f>
        <v>44355</v>
      </c>
      <c r="F930" s="1" t="str">
        <f ca="1">IFERROR(__xludf.DUMMYFUNCTION("""COMPUTED_VALUE"""),"Hazel Grove Elementary")</f>
        <v>Hazel Grove Elementary</v>
      </c>
      <c r="G930" s="1">
        <f ca="1">IFERROR(__xludf.DUMMYFUNCTION("""COMPUTED_VALUE"""),1)</f>
        <v>1</v>
      </c>
      <c r="H930" s="1">
        <f ca="1">IFERROR(__xludf.DUMMYFUNCTION("""COMPUTED_VALUE"""),0)</f>
        <v>0</v>
      </c>
      <c r="I930" s="1">
        <f ca="1">IFERROR(__xludf.DUMMYFUNCTION("""COMPUTED_VALUE"""),1)</f>
        <v>1</v>
      </c>
      <c r="J930" s="1">
        <f ca="1">IFERROR(__xludf.DUMMYFUNCTION("""COMPUTED_VALUE"""),0)</f>
        <v>0</v>
      </c>
      <c r="K930" s="1" t="str">
        <f ca="1">IFERROR(__xludf.DUMMYFUNCTION("""COMPUTED_VALUE"""),"Summer")</f>
        <v>Summer</v>
      </c>
      <c r="L930" s="1" t="str">
        <f ca="1">IFERROR(__xludf.DUMMYFUNCTION("""COMPUTED_VALUE"""),"Kansas City")</f>
        <v>Kansas City</v>
      </c>
      <c r="M930" s="1" t="str">
        <f ca="1">IFERROR(__xludf.DUMMYFUNCTION("""COMPUTED_VALUE"""),"KS")</f>
        <v>KS</v>
      </c>
      <c r="N930" s="1" t="str">
        <f ca="1">IFERROR(__xludf.DUMMYFUNCTION("""COMPUTED_VALUE"""),"Elementary")</f>
        <v>Elementary</v>
      </c>
      <c r="O930" s="1" t="str">
        <f ca="1">IFERROR(__xludf.DUMMYFUNCTION("""COMPUTED_VALUE"""),"Front of School")</f>
        <v>Front of School</v>
      </c>
      <c r="P930" s="1" t="str">
        <f ca="1">IFERROR(__xludf.DUMMYFUNCTION("""COMPUTED_VALUE"""),"Outside on School Property")</f>
        <v>Outside on School Property</v>
      </c>
      <c r="Q930" s="1" t="str">
        <f ca="1">IFERROR(__xludf.DUMMYFUNCTION("""COMPUTED_VALUE"""),"Yes")</f>
        <v>Yes</v>
      </c>
      <c r="R930" s="1" t="str">
        <f ca="1">IFERROR(__xludf.DUMMYFUNCTION("""COMPUTED_VALUE"""),"Afternoon Classes")</f>
        <v>Afternoon Classes</v>
      </c>
      <c r="S930" s="5">
        <f ca="1">IFERROR(__xludf.DUMMYFUNCTION("""COMPUTED_VALUE"""),0.5)</f>
        <v>0.5</v>
      </c>
      <c r="T930" s="1">
        <f ca="1">IFERROR(__xludf.DUMMYFUNCTION("""COMPUTED_VALUE"""),1)</f>
        <v>1</v>
      </c>
      <c r="U930" s="1" t="str">
        <f ca="1">IFERROR(__xludf.DUMMYFUNCTION("""COMPUTED_VALUE"""),"Teen walking in front of school fatally shot by drive-by")</f>
        <v>Teen walking in front of school fatally shot by drive-by</v>
      </c>
      <c r="V930" s="1" t="str">
        <f ca="1">IFERROR(__xludf.DUMMYFUNCTION("""COMPUTED_VALUE"""),"A 15-year-old male was walking in front of the school when a vehicle stopped next to him. The shooter called out to the victim and then fatally shot him. Multiple people were in the vehicle. The shooter fled the scene. Students and staff outside of the sc"&amp;"hool witnessed the shooting. School went on lockdown for 30 minutes while police cleared the scene. School was dismissed early.")</f>
        <v>A 15-year-old male was walking in front of the school when a vehicle stopped next to him. The shooter called out to the victim and then fatally shot him. Multiple people were in the vehicle. The shooter fled the scene. Students and staff outside of the school witnessed the shooting. School went on lockdown for 30 minutes while police cleared the scene. School was dismissed early.</v>
      </c>
      <c r="W930" s="1" t="str">
        <f ca="1">IFERROR(__xludf.DUMMYFUNCTION("""COMPUTED_VALUE"""),"Drive-by Shooting")</f>
        <v>Drive-by Shooting</v>
      </c>
      <c r="X930" s="1" t="str">
        <f ca="1">IFERROR(__xludf.DUMMYFUNCTION("""COMPUTED_VALUE"""),"Victims Targeted")</f>
        <v>Victims Targeted</v>
      </c>
      <c r="Y930" s="1" t="str">
        <f ca="1">IFERROR(__xludf.DUMMYFUNCTION("""COMPUTED_VALUE"""),"Yes")</f>
        <v>Yes</v>
      </c>
      <c r="Z930" s="1" t="str">
        <f ca="1">IFERROR(__xludf.DUMMYFUNCTION("""COMPUTED_VALUE"""),"Vehicle driver")</f>
        <v>Vehicle driver</v>
      </c>
      <c r="AA930" s="1" t="str">
        <f ca="1">IFERROR(__xludf.DUMMYFUNCTION("""COMPUTED_VALUE"""),"No")</f>
        <v>No</v>
      </c>
      <c r="AB930" s="1" t="str">
        <f ca="1">IFERROR(__xludf.DUMMYFUNCTION("""COMPUTED_VALUE"""),"No")</f>
        <v>No</v>
      </c>
      <c r="AC930" s="1" t="str">
        <f ca="1">IFERROR(__xludf.DUMMYFUNCTION("""COMPUTED_VALUE"""),"No")</f>
        <v>No</v>
      </c>
      <c r="AD930" s="1" t="str">
        <f ca="1">IFERROR(__xludf.DUMMYFUNCTION("""COMPUTED_VALUE"""),"No")</f>
        <v>No</v>
      </c>
      <c r="AE930" s="1" t="str">
        <f ca="1">IFERROR(__xludf.DUMMYFUNCTION("""COMPUTED_VALUE"""),"No")</f>
        <v>No</v>
      </c>
      <c r="AF930" s="1"/>
      <c r="AG930" s="1" t="str">
        <f ca="1">IFERROR(__xludf.DUMMYFUNCTION("""COMPUTED_VALUE"""),"No")</f>
        <v>No</v>
      </c>
      <c r="AH930" s="1"/>
    </row>
    <row r="931" spans="1:34" ht="12.5">
      <c r="A931" s="1" t="str">
        <f ca="1">IFERROR(__xludf.DUMMYFUNCTION("""COMPUTED_VALUE"""),"20210607TXEAF")</f>
        <v>20210607TXEAF</v>
      </c>
      <c r="B931" s="1">
        <f ca="1">IFERROR(__xludf.DUMMYFUNCTION("""COMPUTED_VALUE"""),6)</f>
        <v>6</v>
      </c>
      <c r="C931" s="1">
        <f ca="1">IFERROR(__xludf.DUMMYFUNCTION("""COMPUTED_VALUE"""),7)</f>
        <v>7</v>
      </c>
      <c r="D931" s="1">
        <f ca="1">IFERROR(__xludf.DUMMYFUNCTION("""COMPUTED_VALUE"""),2021)</f>
        <v>2021</v>
      </c>
      <c r="E931" s="4">
        <f ca="1">IFERROR(__xludf.DUMMYFUNCTION("""COMPUTED_VALUE"""),44354)</f>
        <v>44354</v>
      </c>
      <c r="F931" s="1" t="str">
        <f ca="1">IFERROR(__xludf.DUMMYFUNCTION("""COMPUTED_VALUE"""),"Eastern Hills High School")</f>
        <v>Eastern Hills High School</v>
      </c>
      <c r="G931" s="1">
        <f ca="1">IFERROR(__xludf.DUMMYFUNCTION("""COMPUTED_VALUE"""),1)</f>
        <v>1</v>
      </c>
      <c r="H931" s="1">
        <f ca="1">IFERROR(__xludf.DUMMYFUNCTION("""COMPUTED_VALUE"""),0)</f>
        <v>0</v>
      </c>
      <c r="I931" s="1">
        <f ca="1">IFERROR(__xludf.DUMMYFUNCTION("""COMPUTED_VALUE"""),1)</f>
        <v>1</v>
      </c>
      <c r="J931" s="1">
        <f ca="1">IFERROR(__xludf.DUMMYFUNCTION("""COMPUTED_VALUE"""),0)</f>
        <v>0</v>
      </c>
      <c r="K931" s="1"/>
      <c r="L931" s="1" t="str">
        <f ca="1">IFERROR(__xludf.DUMMYFUNCTION("""COMPUTED_VALUE"""),"Fort Worth")</f>
        <v>Fort Worth</v>
      </c>
      <c r="M931" s="1" t="str">
        <f ca="1">IFERROR(__xludf.DUMMYFUNCTION("""COMPUTED_VALUE"""),"TX")</f>
        <v>TX</v>
      </c>
      <c r="N931" s="1" t="str">
        <f ca="1">IFERROR(__xludf.DUMMYFUNCTION("""COMPUTED_VALUE"""),"High")</f>
        <v>High</v>
      </c>
      <c r="O931" s="1" t="str">
        <f ca="1">IFERROR(__xludf.DUMMYFUNCTION("""COMPUTED_VALUE"""),"Parking Lot")</f>
        <v>Parking Lot</v>
      </c>
      <c r="P931" s="1" t="str">
        <f ca="1">IFERROR(__xludf.DUMMYFUNCTION("""COMPUTED_VALUE"""),"Outside on School Property")</f>
        <v>Outside on School Property</v>
      </c>
      <c r="Q931" s="1" t="str">
        <f ca="1">IFERROR(__xludf.DUMMYFUNCTION("""COMPUTED_VALUE"""),"No")</f>
        <v>No</v>
      </c>
      <c r="R931" s="1" t="str">
        <f ca="1">IFERROR(__xludf.DUMMYFUNCTION("""COMPUTED_VALUE"""),"Sport Event")</f>
        <v>Sport Event</v>
      </c>
      <c r="S931" s="5">
        <f ca="1">IFERROR(__xludf.DUMMYFUNCTION("""COMPUTED_VALUE"""),0.722222222222222)</f>
        <v>0.72222222222222199</v>
      </c>
      <c r="T931" s="1">
        <f ca="1">IFERROR(__xludf.DUMMYFUNCTION("""COMPUTED_VALUE"""),1)</f>
        <v>1</v>
      </c>
      <c r="U931" s="1" t="str">
        <f ca="1">IFERROR(__xludf.DUMMYFUNCTION("""COMPUTED_VALUE"""),"Teen shot in the neck during fight outside school gym during sporting event")</f>
        <v>Teen shot in the neck during fight outside school gym during sporting event</v>
      </c>
      <c r="V931" s="1" t="str">
        <f ca="1">IFERROR(__xludf.DUMMYFUNCTION("""COMPUTED_VALUE"""),"A 17-year-old teen was shot in the neck during a fight in the school parking lot near the gym. A volleyball was about to begin and was cancelled. Shooter fled the scene.")</f>
        <v>A 17-year-old teen was shot in the neck during a fight in the school parking lot near the gym. A volleyball was about to begin and was cancelled. Shooter fled the scene.</v>
      </c>
      <c r="W931" s="1" t="str">
        <f ca="1">IFERROR(__xludf.DUMMYFUNCTION("""COMPUTED_VALUE"""),"Escalation of Dispute")</f>
        <v>Escalation of Dispute</v>
      </c>
      <c r="X931" s="1" t="str">
        <f ca="1">IFERROR(__xludf.DUMMYFUNCTION("""COMPUTED_VALUE"""),"Victims Targeted")</f>
        <v>Victims Targeted</v>
      </c>
      <c r="Y931" s="1" t="str">
        <f ca="1">IFERROR(__xludf.DUMMYFUNCTION("""COMPUTED_VALUE"""),"No")</f>
        <v>No</v>
      </c>
      <c r="Z931" s="1"/>
      <c r="AA931" s="1" t="str">
        <f ca="1">IFERROR(__xludf.DUMMYFUNCTION("""COMPUTED_VALUE"""),"No")</f>
        <v>No</v>
      </c>
      <c r="AB931" s="1" t="str">
        <f ca="1">IFERROR(__xludf.DUMMYFUNCTION("""COMPUTED_VALUE"""),"No")</f>
        <v>No</v>
      </c>
      <c r="AC931" s="1" t="str">
        <f ca="1">IFERROR(__xludf.DUMMYFUNCTION("""COMPUTED_VALUE"""),"No")</f>
        <v>No</v>
      </c>
      <c r="AD931" s="1" t="str">
        <f ca="1">IFERROR(__xludf.DUMMYFUNCTION("""COMPUTED_VALUE"""),"No")</f>
        <v>No</v>
      </c>
      <c r="AE931" s="1" t="str">
        <f ca="1">IFERROR(__xludf.DUMMYFUNCTION("""COMPUTED_VALUE"""),"No")</f>
        <v>No</v>
      </c>
      <c r="AF931" s="1"/>
      <c r="AG931" s="1" t="str">
        <f ca="1">IFERROR(__xludf.DUMMYFUNCTION("""COMPUTED_VALUE"""),"No")</f>
        <v>No</v>
      </c>
      <c r="AH931" s="1"/>
    </row>
    <row r="932" spans="1:34" ht="12.5">
      <c r="A932" s="1" t="str">
        <f ca="1">IFERROR(__xludf.DUMMYFUNCTION("""COMPUTED_VALUE"""),"20210606VADRA")</f>
        <v>20210606VADRA</v>
      </c>
      <c r="B932" s="1">
        <f ca="1">IFERROR(__xludf.DUMMYFUNCTION("""COMPUTED_VALUE"""),6)</f>
        <v>6</v>
      </c>
      <c r="C932" s="1">
        <f ca="1">IFERROR(__xludf.DUMMYFUNCTION("""COMPUTED_VALUE"""),6)</f>
        <v>6</v>
      </c>
      <c r="D932" s="1">
        <f ca="1">IFERROR(__xludf.DUMMYFUNCTION("""COMPUTED_VALUE"""),2021)</f>
        <v>2021</v>
      </c>
      <c r="E932" s="4">
        <f ca="1">IFERROR(__xludf.DUMMYFUNCTION("""COMPUTED_VALUE"""),44353)</f>
        <v>44353</v>
      </c>
      <c r="F932" s="1" t="str">
        <f ca="1">IFERROR(__xludf.DUMMYFUNCTION("""COMPUTED_VALUE"""),"Dr. Charles R. Drew Elementary School")</f>
        <v>Dr. Charles R. Drew Elementary School</v>
      </c>
      <c r="G932" s="1">
        <f ca="1">IFERROR(__xludf.DUMMYFUNCTION("""COMPUTED_VALUE"""),0)</f>
        <v>0</v>
      </c>
      <c r="H932" s="1">
        <f ca="1">IFERROR(__xludf.DUMMYFUNCTION("""COMPUTED_VALUE"""),0)</f>
        <v>0</v>
      </c>
      <c r="I932" s="1">
        <f ca="1">IFERROR(__xludf.DUMMYFUNCTION("""COMPUTED_VALUE"""),0)</f>
        <v>0</v>
      </c>
      <c r="J932" s="1">
        <f ca="1">IFERROR(__xludf.DUMMYFUNCTION("""COMPUTED_VALUE"""),0)</f>
        <v>0</v>
      </c>
      <c r="K932" s="1"/>
      <c r="L932" s="1" t="str">
        <f ca="1">IFERROR(__xludf.DUMMYFUNCTION("""COMPUTED_VALUE"""),"Arlington")</f>
        <v>Arlington</v>
      </c>
      <c r="M932" s="1" t="str">
        <f ca="1">IFERROR(__xludf.DUMMYFUNCTION("""COMPUTED_VALUE"""),"VA")</f>
        <v>VA</v>
      </c>
      <c r="N932" s="1" t="str">
        <f ca="1">IFERROR(__xludf.DUMMYFUNCTION("""COMPUTED_VALUE"""),"Elementary")</f>
        <v>Elementary</v>
      </c>
      <c r="O932" s="1" t="str">
        <f ca="1">IFERROR(__xludf.DUMMYFUNCTION("""COMPUTED_VALUE"""),"Parking Lot")</f>
        <v>Parking Lot</v>
      </c>
      <c r="P932" s="1" t="str">
        <f ca="1">IFERROR(__xludf.DUMMYFUNCTION("""COMPUTED_VALUE"""),"Outside on School Property")</f>
        <v>Outside on School Property</v>
      </c>
      <c r="Q932" s="1" t="str">
        <f ca="1">IFERROR(__xludf.DUMMYFUNCTION("""COMPUTED_VALUE"""),"No")</f>
        <v>No</v>
      </c>
      <c r="R932" s="1" t="str">
        <f ca="1">IFERROR(__xludf.DUMMYFUNCTION("""COMPUTED_VALUE"""),"Night")</f>
        <v>Night</v>
      </c>
      <c r="S932" s="5">
        <f ca="1">IFERROR(__xludf.DUMMYFUNCTION("""COMPUTED_VALUE"""),0.0951388888888888)</f>
        <v>9.5138888888888801E-2</v>
      </c>
      <c r="T932" s="1">
        <f ca="1">IFERROR(__xludf.DUMMYFUNCTION("""COMPUTED_VALUE"""),1)</f>
        <v>1</v>
      </c>
      <c r="U932" s="1" t="str">
        <f ca="1">IFERROR(__xludf.DUMMYFUNCTION("""COMPUTED_VALUE"""),"Shots fired in parking lot during fight involving large crowd")</f>
        <v>Shots fired in parking lot during fight involving large crowd</v>
      </c>
      <c r="V932" s="1" t="str">
        <f ca="1">IFERROR(__xludf.DUMMYFUNCTION("""COMPUTED_VALUE"""),"Shot were fired in the parking lot and field area of the school when a large crowd gathered. Shooter fled the scene. No injuries were reported. Police found shell casings from 2 different weapons.")</f>
        <v>Shot were fired in the parking lot and field area of the school when a large crowd gathered. Shooter fled the scene. No injuries were reported. Police found shell casings from 2 different weapons.</v>
      </c>
      <c r="W932" s="1" t="str">
        <f ca="1">IFERROR(__xludf.DUMMYFUNCTION("""COMPUTED_VALUE"""),"Escalation of Dispute")</f>
        <v>Escalation of Dispute</v>
      </c>
      <c r="X932" s="1" t="str">
        <f ca="1">IFERROR(__xludf.DUMMYFUNCTION("""COMPUTED_VALUE"""),"Random Shooting")</f>
        <v>Random Shooting</v>
      </c>
      <c r="Y932" s="1" t="str">
        <f ca="1">IFERROR(__xludf.DUMMYFUNCTION("""COMPUTED_VALUE"""),"Yes")</f>
        <v>Yes</v>
      </c>
      <c r="Z932" s="1" t="str">
        <f ca="1">IFERROR(__xludf.DUMMYFUNCTION("""COMPUTED_VALUE"""),"Large crowd, 2 shooters")</f>
        <v>Large crowd, 2 shooters</v>
      </c>
      <c r="AA932" s="1" t="str">
        <f ca="1">IFERROR(__xludf.DUMMYFUNCTION("""COMPUTED_VALUE"""),"No")</f>
        <v>No</v>
      </c>
      <c r="AB932" s="1" t="str">
        <f ca="1">IFERROR(__xludf.DUMMYFUNCTION("""COMPUTED_VALUE"""),"No")</f>
        <v>No</v>
      </c>
      <c r="AC932" s="1" t="str">
        <f ca="1">IFERROR(__xludf.DUMMYFUNCTION("""COMPUTED_VALUE"""),"No")</f>
        <v>No</v>
      </c>
      <c r="AD932" s="1" t="str">
        <f ca="1">IFERROR(__xludf.DUMMYFUNCTION("""COMPUTED_VALUE"""),"No")</f>
        <v>No</v>
      </c>
      <c r="AE932" s="1" t="str">
        <f ca="1">IFERROR(__xludf.DUMMYFUNCTION("""COMPUTED_VALUE"""),"No")</f>
        <v>No</v>
      </c>
      <c r="AF932" s="1"/>
      <c r="AG932" s="1" t="str">
        <f ca="1">IFERROR(__xludf.DUMMYFUNCTION("""COMPUTED_VALUE"""),"No")</f>
        <v>No</v>
      </c>
      <c r="AH932" s="1"/>
    </row>
    <row r="933" spans="1:34" ht="12.5">
      <c r="A933" s="1" t="str">
        <f ca="1">IFERROR(__xludf.DUMMYFUNCTION("""COMPUTED_VALUE"""),"20210601ILLIC")</f>
        <v>20210601ILLIC</v>
      </c>
      <c r="B933" s="1">
        <f ca="1">IFERROR(__xludf.DUMMYFUNCTION("""COMPUTED_VALUE"""),6)</f>
        <v>6</v>
      </c>
      <c r="C933" s="1">
        <f ca="1">IFERROR(__xludf.DUMMYFUNCTION("""COMPUTED_VALUE"""),1)</f>
        <v>1</v>
      </c>
      <c r="D933" s="1">
        <f ca="1">IFERROR(__xludf.DUMMYFUNCTION("""COMPUTED_VALUE"""),2021)</f>
        <v>2021</v>
      </c>
      <c r="E933" s="4">
        <f ca="1">IFERROR(__xludf.DUMMYFUNCTION("""COMPUTED_VALUE"""),44348)</f>
        <v>44348</v>
      </c>
      <c r="F933" s="1" t="str">
        <f ca="1">IFERROR(__xludf.DUMMYFUNCTION("""COMPUTED_VALUE"""),"Lincoln Park High School")</f>
        <v>Lincoln Park High School</v>
      </c>
      <c r="G933" s="1">
        <f ca="1">IFERROR(__xludf.DUMMYFUNCTION("""COMPUTED_VALUE"""),0)</f>
        <v>0</v>
      </c>
      <c r="H933" s="1">
        <f ca="1">IFERROR(__xludf.DUMMYFUNCTION("""COMPUTED_VALUE"""),1)</f>
        <v>1</v>
      </c>
      <c r="I933" s="1">
        <f ca="1">IFERROR(__xludf.DUMMYFUNCTION("""COMPUTED_VALUE"""),1)</f>
        <v>1</v>
      </c>
      <c r="J933" s="1">
        <f ca="1">IFERROR(__xludf.DUMMYFUNCTION("""COMPUTED_VALUE"""),0)</f>
        <v>0</v>
      </c>
      <c r="K933" s="1" t="str">
        <f ca="1">IFERROR(__xludf.DUMMYFUNCTION("""COMPUTED_VALUE"""),"Summer")</f>
        <v>Summer</v>
      </c>
      <c r="L933" s="1" t="str">
        <f ca="1">IFERROR(__xludf.DUMMYFUNCTION("""COMPUTED_VALUE"""),"Chicago")</f>
        <v>Chicago</v>
      </c>
      <c r="M933" s="1" t="str">
        <f ca="1">IFERROR(__xludf.DUMMYFUNCTION("""COMPUTED_VALUE"""),"IL")</f>
        <v>IL</v>
      </c>
      <c r="N933" s="1" t="str">
        <f ca="1">IFERROR(__xludf.DUMMYFUNCTION("""COMPUTED_VALUE"""),"High")</f>
        <v>High</v>
      </c>
      <c r="O933" s="1" t="str">
        <f ca="1">IFERROR(__xludf.DUMMYFUNCTION("""COMPUTED_VALUE"""),"Parking Lot")</f>
        <v>Parking Lot</v>
      </c>
      <c r="P933" s="1" t="str">
        <f ca="1">IFERROR(__xludf.DUMMYFUNCTION("""COMPUTED_VALUE"""),"Outside on School Property")</f>
        <v>Outside on School Property</v>
      </c>
      <c r="Q933" s="1" t="str">
        <f ca="1">IFERROR(__xludf.DUMMYFUNCTION("""COMPUTED_VALUE"""),"No")</f>
        <v>No</v>
      </c>
      <c r="R933" s="1" t="str">
        <f ca="1">IFERROR(__xludf.DUMMYFUNCTION("""COMPUTED_VALUE"""),"Evening")</f>
        <v>Evening</v>
      </c>
      <c r="S933" s="5">
        <f ca="1">IFERROR(__xludf.DUMMYFUNCTION("""COMPUTED_VALUE"""),0.8125)</f>
        <v>0.8125</v>
      </c>
      <c r="T933" s="1">
        <f ca="1">IFERROR(__xludf.DUMMYFUNCTION("""COMPUTED_VALUE"""),1)</f>
        <v>1</v>
      </c>
      <c r="U933" s="1" t="str">
        <f ca="1">IFERROR(__xludf.DUMMYFUNCTION("""COMPUTED_VALUE"""),"Teen shot in school parking lot, shooter fled")</f>
        <v>Teen shot in school parking lot, shooter fled</v>
      </c>
      <c r="V933" s="1" t="str">
        <f ca="1">IFERROR(__xludf.DUMMYFUNCTION("""COMPUTED_VALUE"""),"A 17-year-old teen was grazed by a bullet in the school parking lot. Shooter fled. The school was closed at the time of the shooting. Police arrested a 17-year-old male on 6/8/2021 and charged him as a juvenile with illegal weapon possession and aggravate"&amp;"d discharge of a firearm based on CCTV footage.")</f>
        <v>A 17-year-old teen was grazed by a bullet in the school parking lot. Shooter fled. The school was closed at the time of the shooting. Police arrested a 17-year-old male on 6/8/2021 and charged him as a juvenile with illegal weapon possession and aggravated discharge of a firearm based on CCTV footage.</v>
      </c>
      <c r="W933" s="1"/>
      <c r="X933" s="1"/>
      <c r="Y933" s="1" t="str">
        <f ca="1">IFERROR(__xludf.DUMMYFUNCTION("""COMPUTED_VALUE"""),"No")</f>
        <v>No</v>
      </c>
      <c r="Z933" s="1"/>
      <c r="AA933" s="1" t="str">
        <f ca="1">IFERROR(__xludf.DUMMYFUNCTION("""COMPUTED_VALUE"""),"No")</f>
        <v>No</v>
      </c>
      <c r="AB933" s="1" t="str">
        <f ca="1">IFERROR(__xludf.DUMMYFUNCTION("""COMPUTED_VALUE"""),"No")</f>
        <v>No</v>
      </c>
      <c r="AC933" s="1" t="str">
        <f ca="1">IFERROR(__xludf.DUMMYFUNCTION("""COMPUTED_VALUE"""),"No")</f>
        <v>No</v>
      </c>
      <c r="AD933" s="1"/>
      <c r="AE933" s="1" t="str">
        <f ca="1">IFERROR(__xludf.DUMMYFUNCTION("""COMPUTED_VALUE"""),"No")</f>
        <v>No</v>
      </c>
      <c r="AF933" s="1"/>
      <c r="AG933" s="1" t="str">
        <f ca="1">IFERROR(__xludf.DUMMYFUNCTION("""COMPUTED_VALUE"""),"No")</f>
        <v>No</v>
      </c>
      <c r="AH933" s="1"/>
    </row>
    <row r="934" spans="1:34" ht="12.5">
      <c r="A934" s="1" t="str">
        <f ca="1">IFERROR(__xludf.DUMMYFUNCTION("""COMPUTED_VALUE"""),"20210525NJPAP")</f>
        <v>20210525NJPAP</v>
      </c>
      <c r="B934" s="1">
        <f ca="1">IFERROR(__xludf.DUMMYFUNCTION("""COMPUTED_VALUE"""),5)</f>
        <v>5</v>
      </c>
      <c r="C934" s="1">
        <f ca="1">IFERROR(__xludf.DUMMYFUNCTION("""COMPUTED_VALUE"""),25)</f>
        <v>25</v>
      </c>
      <c r="D934" s="1">
        <f ca="1">IFERROR(__xludf.DUMMYFUNCTION("""COMPUTED_VALUE"""),2021)</f>
        <v>2021</v>
      </c>
      <c r="E934" s="4">
        <f ca="1">IFERROR(__xludf.DUMMYFUNCTION("""COMPUTED_VALUE"""),44341)</f>
        <v>44341</v>
      </c>
      <c r="F934" s="1" t="str">
        <f ca="1">IFERROR(__xludf.DUMMYFUNCTION("""COMPUTED_VALUE"""),"Paterson School 6")</f>
        <v>Paterson School 6</v>
      </c>
      <c r="G934" s="1">
        <f ca="1">IFERROR(__xludf.DUMMYFUNCTION("""COMPUTED_VALUE"""),0)</f>
        <v>0</v>
      </c>
      <c r="H934" s="1">
        <f ca="1">IFERROR(__xludf.DUMMYFUNCTION("""COMPUTED_VALUE"""),0)</f>
        <v>0</v>
      </c>
      <c r="I934" s="1">
        <f ca="1">IFERROR(__xludf.DUMMYFUNCTION("""COMPUTED_VALUE"""),0)</f>
        <v>0</v>
      </c>
      <c r="J934" s="1">
        <f ca="1">IFERROR(__xludf.DUMMYFUNCTION("""COMPUTED_VALUE"""),0)</f>
        <v>0</v>
      </c>
      <c r="K934" s="1" t="str">
        <f ca="1">IFERROR(__xludf.DUMMYFUNCTION("""COMPUTED_VALUE"""),"Spring")</f>
        <v>Spring</v>
      </c>
      <c r="L934" s="1" t="str">
        <f ca="1">IFERROR(__xludf.DUMMYFUNCTION("""COMPUTED_VALUE"""),"Paterson")</f>
        <v>Paterson</v>
      </c>
      <c r="M934" s="1" t="str">
        <f ca="1">IFERROR(__xludf.DUMMYFUNCTION("""COMPUTED_VALUE"""),"NJ")</f>
        <v>NJ</v>
      </c>
      <c r="N934" s="1" t="str">
        <f ca="1">IFERROR(__xludf.DUMMYFUNCTION("""COMPUTED_VALUE"""),"Elementary")</f>
        <v>Elementary</v>
      </c>
      <c r="O934" s="1" t="str">
        <f ca="1">IFERROR(__xludf.DUMMYFUNCTION("""COMPUTED_VALUE"""),"Front of School")</f>
        <v>Front of School</v>
      </c>
      <c r="P934" s="1" t="str">
        <f ca="1">IFERROR(__xludf.DUMMYFUNCTION("""COMPUTED_VALUE"""),"Off School Property")</f>
        <v>Off School Property</v>
      </c>
      <c r="Q934" s="1" t="str">
        <f ca="1">IFERROR(__xludf.DUMMYFUNCTION("""COMPUTED_VALUE"""),"Yes")</f>
        <v>Yes</v>
      </c>
      <c r="R934" s="1" t="str">
        <f ca="1">IFERROR(__xludf.DUMMYFUNCTION("""COMPUTED_VALUE"""),"Afternoon Classes")</f>
        <v>Afternoon Classes</v>
      </c>
      <c r="S934" s="1"/>
      <c r="T934" s="1">
        <f ca="1">IFERROR(__xludf.DUMMYFUNCTION("""COMPUTED_VALUE"""),1)</f>
        <v>1</v>
      </c>
      <c r="U934" s="1" t="str">
        <f ca="1">IFERROR(__xludf.DUMMYFUNCTION("""COMPUTED_VALUE"""),"Police responded for shots fired and detained teen with high-powered firearm")</f>
        <v>Police responded for shots fired and detained teen with high-powered firearm</v>
      </c>
      <c r="V934" s="1" t="str">
        <f ca="1">IFERROR(__xludf.DUMMYFUNCTION("""COMPUTED_VALUE"""),"Police working a foot patrol near the elementary school responded for gunshots fired. They detained a 15-year-old male with a high-powered firearm equipped with a pistol grip, scope, and extended magazine. No students or staff were involved or injured.")</f>
        <v>Police working a foot patrol near the elementary school responded for gunshots fired. They detained a 15-year-old male with a high-powered firearm equipped with a pistol grip, scope, and extended magazine. No students or staff were involved or injured.</v>
      </c>
      <c r="W934" s="1"/>
      <c r="X934" s="1" t="str">
        <f ca="1">IFERROR(__xludf.DUMMYFUNCTION("""COMPUTED_VALUE"""),"Random Shooting")</f>
        <v>Random Shooting</v>
      </c>
      <c r="Y934" s="1" t="str">
        <f ca="1">IFERROR(__xludf.DUMMYFUNCTION("""COMPUTED_VALUE"""),"No")</f>
        <v>No</v>
      </c>
      <c r="Z934" s="1"/>
      <c r="AA934" s="1" t="str">
        <f ca="1">IFERROR(__xludf.DUMMYFUNCTION("""COMPUTED_VALUE"""),"No")</f>
        <v>No</v>
      </c>
      <c r="AB934" s="1" t="str">
        <f ca="1">IFERROR(__xludf.DUMMYFUNCTION("""COMPUTED_VALUE"""),"No")</f>
        <v>No</v>
      </c>
      <c r="AC934" s="1" t="str">
        <f ca="1">IFERROR(__xludf.DUMMYFUNCTION("""COMPUTED_VALUE"""),"No")</f>
        <v>No</v>
      </c>
      <c r="AD934" s="1" t="str">
        <f ca="1">IFERROR(__xludf.DUMMYFUNCTION("""COMPUTED_VALUE"""),"No")</f>
        <v>No</v>
      </c>
      <c r="AE934" s="1" t="str">
        <f ca="1">IFERROR(__xludf.DUMMYFUNCTION("""COMPUTED_VALUE"""),"No")</f>
        <v>No</v>
      </c>
      <c r="AF934" s="1"/>
      <c r="AG934" s="1" t="str">
        <f ca="1">IFERROR(__xludf.DUMMYFUNCTION("""COMPUTED_VALUE"""),"No")</f>
        <v>No</v>
      </c>
      <c r="AH934" s="1"/>
    </row>
    <row r="935" spans="1:34" ht="12.5">
      <c r="A935" s="1" t="str">
        <f ca="1">IFERROR(__xludf.DUMMYFUNCTION("""COMPUTED_VALUE"""),"20210517TXBRE")</f>
        <v>20210517TXBRE</v>
      </c>
      <c r="B935" s="1">
        <f ca="1">IFERROR(__xludf.DUMMYFUNCTION("""COMPUTED_VALUE"""),5)</f>
        <v>5</v>
      </c>
      <c r="C935" s="1">
        <f ca="1">IFERROR(__xludf.DUMMYFUNCTION("""COMPUTED_VALUE"""),17)</f>
        <v>17</v>
      </c>
      <c r="D935" s="1">
        <f ca="1">IFERROR(__xludf.DUMMYFUNCTION("""COMPUTED_VALUE"""),2021)</f>
        <v>2021</v>
      </c>
      <c r="E935" s="4">
        <f ca="1">IFERROR(__xludf.DUMMYFUNCTION("""COMPUTED_VALUE"""),44333)</f>
        <v>44333</v>
      </c>
      <c r="F935" s="1" t="str">
        <f ca="1">IFERROR(__xludf.DUMMYFUNCTION("""COMPUTED_VALUE"""),"Brown Middle School")</f>
        <v>Brown Middle School</v>
      </c>
      <c r="G935" s="1">
        <f ca="1">IFERROR(__xludf.DUMMYFUNCTION("""COMPUTED_VALUE"""),0)</f>
        <v>0</v>
      </c>
      <c r="H935" s="1">
        <f ca="1">IFERROR(__xludf.DUMMYFUNCTION("""COMPUTED_VALUE"""),0)</f>
        <v>0</v>
      </c>
      <c r="I935" s="1">
        <f ca="1">IFERROR(__xludf.DUMMYFUNCTION("""COMPUTED_VALUE"""),0)</f>
        <v>0</v>
      </c>
      <c r="J935" s="1">
        <f ca="1">IFERROR(__xludf.DUMMYFUNCTION("""COMPUTED_VALUE"""),0)</f>
        <v>0</v>
      </c>
      <c r="K935" s="1" t="str">
        <f ca="1">IFERROR(__xludf.DUMMYFUNCTION("""COMPUTED_VALUE"""),"Spring")</f>
        <v>Spring</v>
      </c>
      <c r="L935" s="1" t="str">
        <f ca="1">IFERROR(__xludf.DUMMYFUNCTION("""COMPUTED_VALUE"""),"El Paso")</f>
        <v>El Paso</v>
      </c>
      <c r="M935" s="1" t="str">
        <f ca="1">IFERROR(__xludf.DUMMYFUNCTION("""COMPUTED_VALUE"""),"TX")</f>
        <v>TX</v>
      </c>
      <c r="N935" s="1" t="str">
        <f ca="1">IFERROR(__xludf.DUMMYFUNCTION("""COMPUTED_VALUE"""),"Middle")</f>
        <v>Middle</v>
      </c>
      <c r="O935" s="1" t="str">
        <f ca="1">IFERROR(__xludf.DUMMYFUNCTION("""COMPUTED_VALUE"""),"Classroom")</f>
        <v>Classroom</v>
      </c>
      <c r="P935" s="1" t="str">
        <f ca="1">IFERROR(__xludf.DUMMYFUNCTION("""COMPUTED_VALUE"""),"Inside School Building")</f>
        <v>Inside School Building</v>
      </c>
      <c r="Q935" s="1" t="str">
        <f ca="1">IFERROR(__xludf.DUMMYFUNCTION("""COMPUTED_VALUE"""),"Yes")</f>
        <v>Yes</v>
      </c>
      <c r="R935" s="1" t="str">
        <f ca="1">IFERROR(__xludf.DUMMYFUNCTION("""COMPUTED_VALUE"""),"Afternoon Classes")</f>
        <v>Afternoon Classes</v>
      </c>
      <c r="S935" s="1"/>
      <c r="T935" s="1">
        <f ca="1">IFERROR(__xludf.DUMMYFUNCTION("""COMPUTED_VALUE"""),30)</f>
        <v>30</v>
      </c>
      <c r="U935" s="1" t="str">
        <f ca="1">IFERROR(__xludf.DUMMYFUNCTION("""COMPUTED_VALUE"""),"Student pointed BB gun at a female student in the classroom and then fired at students in the hallway")</f>
        <v>Student pointed BB gun at a female student in the classroom and then fired at students in the hallway</v>
      </c>
      <c r="V935" s="1" t="str">
        <f ca="1">IFERROR(__xludf.DUMMYFUNCTION("""COMPUTED_VALUE"""),"A student pointed a black BB gun at a student inside a classroom. The teacher told him to put the gun away. 30 minutes later in the hallway, the shooter fired 7-8 shots at other students injuring 2 students.")</f>
        <v>A student pointed a black BB gun at a student inside a classroom. The teacher told him to put the gun away. 30 minutes later in the hallway, the shooter fired 7-8 shots at other students injuring 2 students.</v>
      </c>
      <c r="W935" s="1" t="str">
        <f ca="1">IFERROR(__xludf.DUMMYFUNCTION("""COMPUTED_VALUE"""),"Indiscriminate Shooting")</f>
        <v>Indiscriminate Shooting</v>
      </c>
      <c r="X935" s="1" t="str">
        <f ca="1">IFERROR(__xludf.DUMMYFUNCTION("""COMPUTED_VALUE"""),"Both")</f>
        <v>Both</v>
      </c>
      <c r="Y935" s="1" t="str">
        <f ca="1">IFERROR(__xludf.DUMMYFUNCTION("""COMPUTED_VALUE"""),"No")</f>
        <v>No</v>
      </c>
      <c r="Z935" s="1"/>
      <c r="AA935" s="1" t="str">
        <f ca="1">IFERROR(__xludf.DUMMYFUNCTION("""COMPUTED_VALUE"""),"No")</f>
        <v>No</v>
      </c>
      <c r="AB935" s="1" t="str">
        <f ca="1">IFERROR(__xludf.DUMMYFUNCTION("""COMPUTED_VALUE"""),"No")</f>
        <v>No</v>
      </c>
      <c r="AC935" s="1" t="str">
        <f ca="1">IFERROR(__xludf.DUMMYFUNCTION("""COMPUTED_VALUE"""),"No")</f>
        <v>No</v>
      </c>
      <c r="AD935" s="1"/>
      <c r="AE935" s="1" t="str">
        <f ca="1">IFERROR(__xludf.DUMMYFUNCTION("""COMPUTED_VALUE"""),"No")</f>
        <v>No</v>
      </c>
      <c r="AF935" s="1" t="str">
        <f ca="1">IFERROR(__xludf.DUMMYFUNCTION("""COMPUTED_VALUE"""),"No")</f>
        <v>No</v>
      </c>
      <c r="AG935" s="1" t="str">
        <f ca="1">IFERROR(__xludf.DUMMYFUNCTION("""COMPUTED_VALUE"""),"No")</f>
        <v>No</v>
      </c>
      <c r="AH935" s="1">
        <f ca="1">IFERROR(__xludf.DUMMYFUNCTION("""COMPUTED_VALUE"""),8)</f>
        <v>8</v>
      </c>
    </row>
    <row r="936" spans="1:34" ht="12.5">
      <c r="A936" s="1" t="str">
        <f ca="1">IFERROR(__xludf.DUMMYFUNCTION("""COMPUTED_VALUE"""),"20210517TNAUM")</f>
        <v>20210517TNAUM</v>
      </c>
      <c r="B936" s="1">
        <f ca="1">IFERROR(__xludf.DUMMYFUNCTION("""COMPUTED_VALUE"""),5)</f>
        <v>5</v>
      </c>
      <c r="C936" s="1">
        <f ca="1">IFERROR(__xludf.DUMMYFUNCTION("""COMPUTED_VALUE"""),17)</f>
        <v>17</v>
      </c>
      <c r="D936" s="1">
        <f ca="1">IFERROR(__xludf.DUMMYFUNCTION("""COMPUTED_VALUE"""),2021)</f>
        <v>2021</v>
      </c>
      <c r="E936" s="4">
        <f ca="1">IFERROR(__xludf.DUMMYFUNCTION("""COMPUTED_VALUE"""),44333)</f>
        <v>44333</v>
      </c>
      <c r="F936" s="1" t="str">
        <f ca="1">IFERROR(__xludf.DUMMYFUNCTION("""COMPUTED_VALUE"""),"Aurora Collegiate Academy")</f>
        <v>Aurora Collegiate Academy</v>
      </c>
      <c r="G936" s="1">
        <f ca="1">IFERROR(__xludf.DUMMYFUNCTION("""COMPUTED_VALUE"""),0)</f>
        <v>0</v>
      </c>
      <c r="H936" s="1">
        <f ca="1">IFERROR(__xludf.DUMMYFUNCTION("""COMPUTED_VALUE"""),1)</f>
        <v>1</v>
      </c>
      <c r="I936" s="1">
        <f ca="1">IFERROR(__xludf.DUMMYFUNCTION("""COMPUTED_VALUE"""),1)</f>
        <v>1</v>
      </c>
      <c r="J936" s="1">
        <f ca="1">IFERROR(__xludf.DUMMYFUNCTION("""COMPUTED_VALUE"""),0)</f>
        <v>0</v>
      </c>
      <c r="K936" s="1" t="str">
        <f ca="1">IFERROR(__xludf.DUMMYFUNCTION("""COMPUTED_VALUE"""),"Spring")</f>
        <v>Spring</v>
      </c>
      <c r="L936" s="1" t="str">
        <f ca="1">IFERROR(__xludf.DUMMYFUNCTION("""COMPUTED_VALUE"""),"Memphis")</f>
        <v>Memphis</v>
      </c>
      <c r="M936" s="1" t="str">
        <f ca="1">IFERROR(__xludf.DUMMYFUNCTION("""COMPUTED_VALUE"""),"TN")</f>
        <v>TN</v>
      </c>
      <c r="N936" s="1" t="str">
        <f ca="1">IFERROR(__xludf.DUMMYFUNCTION("""COMPUTED_VALUE"""),"Elementary")</f>
        <v>Elementary</v>
      </c>
      <c r="O936" s="1" t="str">
        <f ca="1">IFERROR(__xludf.DUMMYFUNCTION("""COMPUTED_VALUE"""),"Front of School")</f>
        <v>Front of School</v>
      </c>
      <c r="P936" s="1" t="str">
        <f ca="1">IFERROR(__xludf.DUMMYFUNCTION("""COMPUTED_VALUE"""),"Off School Property")</f>
        <v>Off School Property</v>
      </c>
      <c r="Q936" s="1" t="str">
        <f ca="1">IFERROR(__xludf.DUMMYFUNCTION("""COMPUTED_VALUE"""),"Yes")</f>
        <v>Yes</v>
      </c>
      <c r="R936" s="1" t="str">
        <f ca="1">IFERROR(__xludf.DUMMYFUNCTION("""COMPUTED_VALUE"""),"Morning Classes")</f>
        <v>Morning Classes</v>
      </c>
      <c r="S936" s="5">
        <f ca="1">IFERROR(__xludf.DUMMYFUNCTION("""COMPUTED_VALUE"""),0.322916666666666)</f>
        <v>0.32291666666666602</v>
      </c>
      <c r="T936" s="1">
        <f ca="1">IFERROR(__xludf.DUMMYFUNCTION("""COMPUTED_VALUE"""),1)</f>
        <v>1</v>
      </c>
      <c r="U936" s="1" t="str">
        <f ca="1">IFERROR(__xludf.DUMMYFUNCTION("""COMPUTED_VALUE"""),"Man in vehicle shot and crashed vehicle into the front of the school")</f>
        <v>Man in vehicle shot and crashed vehicle into the front of the school</v>
      </c>
      <c r="V936" s="1" t="str">
        <f ca="1">IFERROR(__xludf.DUMMYFUNCTION("""COMPUTED_VALUE"""),"A 51-year-old male was eating breakfast at a diner across the street from the school. He saw another man attempting to break into his vehicle. He confronted the man and then fired shots when the victim (attempted thief) fled the scene in a van. The victim"&amp;" was stuck and crashed into the front of the school building near the front door. No students or staff were injured. The school was locked down and dismissed.")</f>
        <v>A 51-year-old male was eating breakfast at a diner across the street from the school. He saw another man attempting to break into his vehicle. He confronted the man and then fired shots when the victim (attempted thief) fled the scene in a van. The victim was stuck and crashed into the front of the school building near the front door. No students or staff were injured. The school was locked down and dismissed.</v>
      </c>
      <c r="W936" s="1" t="str">
        <f ca="1">IFERROR(__xludf.DUMMYFUNCTION("""COMPUTED_VALUE"""),"Illegal Activity")</f>
        <v>Illegal Activity</v>
      </c>
      <c r="X936" s="1" t="str">
        <f ca="1">IFERROR(__xludf.DUMMYFUNCTION("""COMPUTED_VALUE"""),"Victims Targeted")</f>
        <v>Victims Targeted</v>
      </c>
      <c r="Y936" s="1" t="str">
        <f ca="1">IFERROR(__xludf.DUMMYFUNCTION("""COMPUTED_VALUE"""),"No")</f>
        <v>No</v>
      </c>
      <c r="Z936" s="1"/>
      <c r="AA936" s="1" t="str">
        <f ca="1">IFERROR(__xludf.DUMMYFUNCTION("""COMPUTED_VALUE"""),"No")</f>
        <v>No</v>
      </c>
      <c r="AB936" s="1" t="str">
        <f ca="1">IFERROR(__xludf.DUMMYFUNCTION("""COMPUTED_VALUE"""),"No")</f>
        <v>No</v>
      </c>
      <c r="AC936" s="1" t="str">
        <f ca="1">IFERROR(__xludf.DUMMYFUNCTION("""COMPUTED_VALUE"""),"No")</f>
        <v>No</v>
      </c>
      <c r="AD936" s="1" t="str">
        <f ca="1">IFERROR(__xludf.DUMMYFUNCTION("""COMPUTED_VALUE"""),"No")</f>
        <v>No</v>
      </c>
      <c r="AE936" s="1" t="str">
        <f ca="1">IFERROR(__xludf.DUMMYFUNCTION("""COMPUTED_VALUE"""),"No")</f>
        <v>No</v>
      </c>
      <c r="AF936" s="1" t="str">
        <f ca="1">IFERROR(__xludf.DUMMYFUNCTION("""COMPUTED_VALUE"""),"No")</f>
        <v>No</v>
      </c>
      <c r="AG936" s="1" t="str">
        <f ca="1">IFERROR(__xludf.DUMMYFUNCTION("""COMPUTED_VALUE"""),"No")</f>
        <v>No</v>
      </c>
      <c r="AH936" s="1"/>
    </row>
    <row r="937" spans="1:34" ht="12.5">
      <c r="A937" s="1" t="str">
        <f ca="1">IFERROR(__xludf.DUMMYFUNCTION("""COMPUTED_VALUE"""),"20210517MDLOC")</f>
        <v>20210517MDLOC</v>
      </c>
      <c r="B937" s="1">
        <f ca="1">IFERROR(__xludf.DUMMYFUNCTION("""COMPUTED_VALUE"""),5)</f>
        <v>5</v>
      </c>
      <c r="C937" s="1">
        <f ca="1">IFERROR(__xludf.DUMMYFUNCTION("""COMPUTED_VALUE"""),17)</f>
        <v>17</v>
      </c>
      <c r="D937" s="1">
        <f ca="1">IFERROR(__xludf.DUMMYFUNCTION("""COMPUTED_VALUE"""),2021)</f>
        <v>2021</v>
      </c>
      <c r="E937" s="4">
        <f ca="1">IFERROR(__xludf.DUMMYFUNCTION("""COMPUTED_VALUE"""),44333)</f>
        <v>44333</v>
      </c>
      <c r="F937" s="1" t="str">
        <f ca="1">IFERROR(__xludf.DUMMYFUNCTION("""COMPUTED_VALUE"""),"Long Reach High School")</f>
        <v>Long Reach High School</v>
      </c>
      <c r="G937" s="1">
        <f ca="1">IFERROR(__xludf.DUMMYFUNCTION("""COMPUTED_VALUE"""),0)</f>
        <v>0</v>
      </c>
      <c r="H937" s="1">
        <f ca="1">IFERROR(__xludf.DUMMYFUNCTION("""COMPUTED_VALUE"""),0)</f>
        <v>0</v>
      </c>
      <c r="I937" s="1">
        <f ca="1">IFERROR(__xludf.DUMMYFUNCTION("""COMPUTED_VALUE"""),0)</f>
        <v>0</v>
      </c>
      <c r="J937" s="1">
        <f ca="1">IFERROR(__xludf.DUMMYFUNCTION("""COMPUTED_VALUE"""),0)</f>
        <v>0</v>
      </c>
      <c r="K937" s="1" t="str">
        <f ca="1">IFERROR(__xludf.DUMMYFUNCTION("""COMPUTED_VALUE"""),"Spring")</f>
        <v>Spring</v>
      </c>
      <c r="L937" s="1" t="str">
        <f ca="1">IFERROR(__xludf.DUMMYFUNCTION("""COMPUTED_VALUE"""),"Columbia")</f>
        <v>Columbia</v>
      </c>
      <c r="M937" s="1" t="str">
        <f ca="1">IFERROR(__xludf.DUMMYFUNCTION("""COMPUTED_VALUE"""),"MD")</f>
        <v>MD</v>
      </c>
      <c r="N937" s="1" t="str">
        <f ca="1">IFERROR(__xludf.DUMMYFUNCTION("""COMPUTED_VALUE"""),"High")</f>
        <v>High</v>
      </c>
      <c r="O937" s="1" t="str">
        <f ca="1">IFERROR(__xludf.DUMMYFUNCTION("""COMPUTED_VALUE"""),"Parking Lot")</f>
        <v>Parking Lot</v>
      </c>
      <c r="P937" s="1" t="str">
        <f ca="1">IFERROR(__xludf.DUMMYFUNCTION("""COMPUTED_VALUE"""),"Outside on School Property")</f>
        <v>Outside on School Property</v>
      </c>
      <c r="Q937" s="1" t="str">
        <f ca="1">IFERROR(__xludf.DUMMYFUNCTION("""COMPUTED_VALUE"""),"Yes")</f>
        <v>Yes</v>
      </c>
      <c r="R937" s="1" t="str">
        <f ca="1">IFERROR(__xludf.DUMMYFUNCTION("""COMPUTED_VALUE"""),"Morning Classes")</f>
        <v>Morning Classes</v>
      </c>
      <c r="S937" s="5">
        <f ca="1">IFERROR(__xludf.DUMMYFUNCTION("""COMPUTED_VALUE"""),0.392361111111111)</f>
        <v>0.39236111111111099</v>
      </c>
      <c r="T937" s="1">
        <f ca="1">IFERROR(__xludf.DUMMYFUNCTION("""COMPUTED_VALUE"""),1)</f>
        <v>1</v>
      </c>
      <c r="U937" s="1" t="str">
        <f ca="1">IFERROR(__xludf.DUMMYFUNCTION("""COMPUTED_VALUE"""),"Domestic dispute in dropoff lane, both arrested with handguns")</f>
        <v>Domestic dispute in dropoff lane, both arrested with handguns</v>
      </c>
      <c r="V937" s="1" t="str">
        <f ca="1">IFERROR(__xludf.DUMMYFUNCTION("""COMPUTED_VALUE"""),"Police were notified of a domestic dispute with an armed person in the dropoff lane of the school. A police officer already at the school (not a SRO) responded and detained a 18-year-old male and a 20-year-old female. Both of had handguns are were arreste"&amp;"d for possession of guns on school property. One of the suspects was dropping off a student at the time of the incident. No shots were fired and no students or staff were injured. One of the handguns recovered was an unregistered ""ghost gun"".")</f>
        <v>Police were notified of a domestic dispute with an armed person in the dropoff lane of the school. A police officer already at the school (not a SRO) responded and detained a 18-year-old male and a 20-year-old female. Both of had handguns are were arrested for possession of guns on school property. One of the suspects was dropping off a student at the time of the incident. No shots were fired and no students or staff were injured. One of the handguns recovered was an unregistered "ghost gun".</v>
      </c>
      <c r="W937" s="1" t="str">
        <f ca="1">IFERROR(__xludf.DUMMYFUNCTION("""COMPUTED_VALUE"""),"Domestic w/ Targeted Victim")</f>
        <v>Domestic w/ Targeted Victim</v>
      </c>
      <c r="X937" s="1" t="str">
        <f ca="1">IFERROR(__xludf.DUMMYFUNCTION("""COMPUTED_VALUE"""),"Victims Targeted")</f>
        <v>Victims Targeted</v>
      </c>
      <c r="Y937" s="1" t="str">
        <f ca="1">IFERROR(__xludf.DUMMYFUNCTION("""COMPUTED_VALUE"""),"No")</f>
        <v>No</v>
      </c>
      <c r="Z937" s="1"/>
      <c r="AA937" s="1" t="str">
        <f ca="1">IFERROR(__xludf.DUMMYFUNCTION("""COMPUTED_VALUE"""),"No")</f>
        <v>No</v>
      </c>
      <c r="AB937" s="1" t="str">
        <f ca="1">IFERROR(__xludf.DUMMYFUNCTION("""COMPUTED_VALUE"""),"No")</f>
        <v>No</v>
      </c>
      <c r="AC937" s="1" t="str">
        <f ca="1">IFERROR(__xludf.DUMMYFUNCTION("""COMPUTED_VALUE"""),"No")</f>
        <v>No</v>
      </c>
      <c r="AD937" s="1" t="str">
        <f ca="1">IFERROR(__xludf.DUMMYFUNCTION("""COMPUTED_VALUE"""),"No")</f>
        <v>No</v>
      </c>
      <c r="AE937" s="1" t="str">
        <f ca="1">IFERROR(__xludf.DUMMYFUNCTION("""COMPUTED_VALUE"""),"Yes")</f>
        <v>Yes</v>
      </c>
      <c r="AF937" s="1" t="str">
        <f ca="1">IFERROR(__xludf.DUMMYFUNCTION("""COMPUTED_VALUE"""),"No")</f>
        <v>No</v>
      </c>
      <c r="AG937" s="1" t="str">
        <f ca="1">IFERROR(__xludf.DUMMYFUNCTION("""COMPUTED_VALUE"""),"No")</f>
        <v>No</v>
      </c>
      <c r="AH937" s="1">
        <f ca="1">IFERROR(__xludf.DUMMYFUNCTION("""COMPUTED_VALUE"""),0)</f>
        <v>0</v>
      </c>
    </row>
    <row r="938" spans="1:34" ht="12.5">
      <c r="A938" s="1" t="str">
        <f ca="1">IFERROR(__xludf.DUMMYFUNCTION("""COMPUTED_VALUE"""),"20210514CASAS")</f>
        <v>20210514CASAS</v>
      </c>
      <c r="B938" s="1">
        <f ca="1">IFERROR(__xludf.DUMMYFUNCTION("""COMPUTED_VALUE"""),5)</f>
        <v>5</v>
      </c>
      <c r="C938" s="1">
        <f ca="1">IFERROR(__xludf.DUMMYFUNCTION("""COMPUTED_VALUE"""),14)</f>
        <v>14</v>
      </c>
      <c r="D938" s="1">
        <f ca="1">IFERROR(__xludf.DUMMYFUNCTION("""COMPUTED_VALUE"""),2021)</f>
        <v>2021</v>
      </c>
      <c r="E938" s="4">
        <f ca="1">IFERROR(__xludf.DUMMYFUNCTION("""COMPUTED_VALUE"""),44330)</f>
        <v>44330</v>
      </c>
      <c r="F938" s="1" t="str">
        <f ca="1">IFERROR(__xludf.DUMMYFUNCTION("""COMPUTED_VALUE"""),"San Mateo High School")</f>
        <v>San Mateo High School</v>
      </c>
      <c r="G938" s="1">
        <f ca="1">IFERROR(__xludf.DUMMYFUNCTION("""COMPUTED_VALUE"""),1)</f>
        <v>1</v>
      </c>
      <c r="H938" s="1">
        <f ca="1">IFERROR(__xludf.DUMMYFUNCTION("""COMPUTED_VALUE"""),0)</f>
        <v>0</v>
      </c>
      <c r="I938" s="1">
        <f ca="1">IFERROR(__xludf.DUMMYFUNCTION("""COMPUTED_VALUE"""),1)</f>
        <v>1</v>
      </c>
      <c r="J938" s="1">
        <f ca="1">IFERROR(__xludf.DUMMYFUNCTION("""COMPUTED_VALUE"""),0)</f>
        <v>0</v>
      </c>
      <c r="K938" s="1" t="str">
        <f ca="1">IFERROR(__xludf.DUMMYFUNCTION("""COMPUTED_VALUE"""),"Spring")</f>
        <v>Spring</v>
      </c>
      <c r="L938" s="1" t="str">
        <f ca="1">IFERROR(__xludf.DUMMYFUNCTION("""COMPUTED_VALUE"""),"San Mateo")</f>
        <v>San Mateo</v>
      </c>
      <c r="M938" s="1" t="str">
        <f ca="1">IFERROR(__xludf.DUMMYFUNCTION("""COMPUTED_VALUE"""),"CA")</f>
        <v>CA</v>
      </c>
      <c r="N938" s="1" t="str">
        <f ca="1">IFERROR(__xludf.DUMMYFUNCTION("""COMPUTED_VALUE"""),"High")</f>
        <v>High</v>
      </c>
      <c r="O938" s="1" t="str">
        <f ca="1">IFERROR(__xludf.DUMMYFUNCTION("""COMPUTED_VALUE"""),"Parking Lot")</f>
        <v>Parking Lot</v>
      </c>
      <c r="P938" s="1" t="str">
        <f ca="1">IFERROR(__xludf.DUMMYFUNCTION("""COMPUTED_VALUE"""),"Outside on School Property")</f>
        <v>Outside on School Property</v>
      </c>
      <c r="Q938" s="1" t="str">
        <f ca="1">IFERROR(__xludf.DUMMYFUNCTION("""COMPUTED_VALUE"""),"No")</f>
        <v>No</v>
      </c>
      <c r="R938" s="1" t="str">
        <f ca="1">IFERROR(__xludf.DUMMYFUNCTION("""COMPUTED_VALUE"""),"Night")</f>
        <v>Night</v>
      </c>
      <c r="S938" s="5">
        <f ca="1">IFERROR(__xludf.DUMMYFUNCTION("""COMPUTED_VALUE"""),0.875)</f>
        <v>0.875</v>
      </c>
      <c r="T938" s="1">
        <f ca="1">IFERROR(__xludf.DUMMYFUNCTION("""COMPUTED_VALUE"""),1)</f>
        <v>1</v>
      </c>
      <c r="U938" s="1" t="str">
        <f ca="1">IFERROR(__xludf.DUMMYFUNCTION("""COMPUTED_VALUE"""),"Teen fatally shot inside car in the school parking lot during attempted carjacking")</f>
        <v>Teen fatally shot inside car in the school parking lot during attempted carjacking</v>
      </c>
      <c r="V938" s="1" t="str">
        <f ca="1">IFERROR(__xludf.DUMMYFUNCTION("""COMPUTED_VALUE"""),"A 19-year-old male was fatally shot inside a vehicle in the parking lot of the school. 3 suspects attempted carjacking and were seen running from the scene. School was closed at the time of the shooting. Victim's girlfriend was also inside the vehicle at "&amp;"the time of the shooting.")</f>
        <v>A 19-year-old male was fatally shot inside a vehicle in the parking lot of the school. 3 suspects attempted carjacking and were seen running from the scene. School was closed at the time of the shooting. Victim's girlfriend was also inside the vehicle at the time of the shooting.</v>
      </c>
      <c r="W938" s="1" t="str">
        <f ca="1">IFERROR(__xludf.DUMMYFUNCTION("""COMPUTED_VALUE"""),"Illegal Activity")</f>
        <v>Illegal Activity</v>
      </c>
      <c r="X938" s="1" t="str">
        <f ca="1">IFERROR(__xludf.DUMMYFUNCTION("""COMPUTED_VALUE"""),"Victims Targeted")</f>
        <v>Victims Targeted</v>
      </c>
      <c r="Y938" s="1" t="str">
        <f ca="1">IFERROR(__xludf.DUMMYFUNCTION("""COMPUTED_VALUE"""),"Yes")</f>
        <v>Yes</v>
      </c>
      <c r="Z938" s="1" t="str">
        <f ca="1">IFERROR(__xludf.DUMMYFUNCTION("""COMPUTED_VALUE"""),"3 suspects ran from the scene")</f>
        <v>3 suspects ran from the scene</v>
      </c>
      <c r="AA938" s="1" t="str">
        <f ca="1">IFERROR(__xludf.DUMMYFUNCTION("""COMPUTED_VALUE"""),"No")</f>
        <v>No</v>
      </c>
      <c r="AB938" s="1" t="str">
        <f ca="1">IFERROR(__xludf.DUMMYFUNCTION("""COMPUTED_VALUE"""),"No")</f>
        <v>No</v>
      </c>
      <c r="AC938" s="1" t="str">
        <f ca="1">IFERROR(__xludf.DUMMYFUNCTION("""COMPUTED_VALUE"""),"No")</f>
        <v>No</v>
      </c>
      <c r="AD938" s="1" t="str">
        <f ca="1">IFERROR(__xludf.DUMMYFUNCTION("""COMPUTED_VALUE"""),"No")</f>
        <v>No</v>
      </c>
      <c r="AE938" s="1" t="str">
        <f ca="1">IFERROR(__xludf.DUMMYFUNCTION("""COMPUTED_VALUE"""),"No")</f>
        <v>No</v>
      </c>
      <c r="AF938" s="1"/>
      <c r="AG938" s="1" t="str">
        <f ca="1">IFERROR(__xludf.DUMMYFUNCTION("""COMPUTED_VALUE"""),"No")</f>
        <v>No</v>
      </c>
      <c r="AH938" s="1"/>
    </row>
    <row r="939" spans="1:34" ht="12.5">
      <c r="A939" s="1" t="str">
        <f ca="1">IFERROR(__xludf.DUMMYFUNCTION("""COMPUTED_VALUE"""),"20210511NYPSB")</f>
        <v>20210511NYPSB</v>
      </c>
      <c r="B939" s="1">
        <f ca="1">IFERROR(__xludf.DUMMYFUNCTION("""COMPUTED_VALUE"""),5)</f>
        <v>5</v>
      </c>
      <c r="C939" s="1">
        <f ca="1">IFERROR(__xludf.DUMMYFUNCTION("""COMPUTED_VALUE"""),11)</f>
        <v>11</v>
      </c>
      <c r="D939" s="1">
        <f ca="1">IFERROR(__xludf.DUMMYFUNCTION("""COMPUTED_VALUE"""),2021)</f>
        <v>2021</v>
      </c>
      <c r="E939" s="4">
        <f ca="1">IFERROR(__xludf.DUMMYFUNCTION("""COMPUTED_VALUE"""),44327)</f>
        <v>44327</v>
      </c>
      <c r="F939" s="1" t="str">
        <f ca="1">IFERROR(__xludf.DUMMYFUNCTION("""COMPUTED_VALUE"""),"P.S. 178 Saint Clair Mckelway Grade School")</f>
        <v>P.S. 178 Saint Clair Mckelway Grade School</v>
      </c>
      <c r="G939" s="1">
        <f ca="1">IFERROR(__xludf.DUMMYFUNCTION("""COMPUTED_VALUE"""),0)</f>
        <v>0</v>
      </c>
      <c r="H939" s="1">
        <f ca="1">IFERROR(__xludf.DUMMYFUNCTION("""COMPUTED_VALUE"""),1)</f>
        <v>1</v>
      </c>
      <c r="I939" s="1">
        <f ca="1">IFERROR(__xludf.DUMMYFUNCTION("""COMPUTED_VALUE"""),1)</f>
        <v>1</v>
      </c>
      <c r="J939" s="1">
        <f ca="1">IFERROR(__xludf.DUMMYFUNCTION("""COMPUTED_VALUE"""),0)</f>
        <v>0</v>
      </c>
      <c r="K939" s="1" t="str">
        <f ca="1">IFERROR(__xludf.DUMMYFUNCTION("""COMPUTED_VALUE"""),"Spring")</f>
        <v>Spring</v>
      </c>
      <c r="L939" s="1" t="str">
        <f ca="1">IFERROR(__xludf.DUMMYFUNCTION("""COMPUTED_VALUE"""),"Brooklyn")</f>
        <v>Brooklyn</v>
      </c>
      <c r="M939" s="1" t="str">
        <f ca="1">IFERROR(__xludf.DUMMYFUNCTION("""COMPUTED_VALUE"""),"NY")</f>
        <v>NY</v>
      </c>
      <c r="N939" s="1" t="str">
        <f ca="1">IFERROR(__xludf.DUMMYFUNCTION("""COMPUTED_VALUE"""),"K-8")</f>
        <v>K-8</v>
      </c>
      <c r="O939" s="1" t="str">
        <f ca="1">IFERROR(__xludf.DUMMYFUNCTION("""COMPUTED_VALUE"""),"Front of School")</f>
        <v>Front of School</v>
      </c>
      <c r="P939" s="1" t="str">
        <f ca="1">IFERROR(__xludf.DUMMYFUNCTION("""COMPUTED_VALUE"""),"Outside on School Property")</f>
        <v>Outside on School Property</v>
      </c>
      <c r="Q939" s="1" t="str">
        <f ca="1">IFERROR(__xludf.DUMMYFUNCTION("""COMPUTED_VALUE"""),"No")</f>
        <v>No</v>
      </c>
      <c r="R939" s="1" t="str">
        <f ca="1">IFERROR(__xludf.DUMMYFUNCTION("""COMPUTED_VALUE"""),"Evening")</f>
        <v>Evening</v>
      </c>
      <c r="S939" s="5">
        <f ca="1">IFERROR(__xludf.DUMMYFUNCTION("""COMPUTED_VALUE"""),0.709722222222222)</f>
        <v>0.70972222222222203</v>
      </c>
      <c r="T939" s="1">
        <f ca="1">IFERROR(__xludf.DUMMYFUNCTION("""COMPUTED_VALUE"""),1)</f>
        <v>1</v>
      </c>
      <c r="U939" s="1" t="str">
        <f ca="1">IFERROR(__xludf.DUMMYFUNCTION("""COMPUTED_VALUE"""),"Teen shot in front of school during fight that escalated into shooting")</f>
        <v>Teen shot in front of school during fight that escalated into shooting</v>
      </c>
      <c r="V939" s="1" t="str">
        <f ca="1">IFERROR(__xludf.DUMMYFUNCTION("""COMPUTED_VALUE"""),"16 year-old-male was involved in an argument with another teen. The teen pulled out a handgun, shot the victim in the leg, and then fled the scene. CCTV showed a shooter wearing a mask and police have not been able to identify the suspect.")</f>
        <v>16 year-old-male was involved in an argument with another teen. The teen pulled out a handgun, shot the victim in the leg, and then fled the scene. CCTV showed a shooter wearing a mask and police have not been able to identify the suspect.</v>
      </c>
      <c r="W939" s="1" t="str">
        <f ca="1">IFERROR(__xludf.DUMMYFUNCTION("""COMPUTED_VALUE"""),"Escalation of Dispute")</f>
        <v>Escalation of Dispute</v>
      </c>
      <c r="X939" s="1" t="str">
        <f ca="1">IFERROR(__xludf.DUMMYFUNCTION("""COMPUTED_VALUE"""),"Victims Targeted")</f>
        <v>Victims Targeted</v>
      </c>
      <c r="Y939" s="1" t="str">
        <f ca="1">IFERROR(__xludf.DUMMYFUNCTION("""COMPUTED_VALUE"""),"No")</f>
        <v>No</v>
      </c>
      <c r="Z939" s="1"/>
      <c r="AA939" s="1"/>
      <c r="AB939" s="1" t="str">
        <f ca="1">IFERROR(__xludf.DUMMYFUNCTION("""COMPUTED_VALUE"""),"No")</f>
        <v>No</v>
      </c>
      <c r="AC939" s="1" t="str">
        <f ca="1">IFERROR(__xludf.DUMMYFUNCTION("""COMPUTED_VALUE"""),"No")</f>
        <v>No</v>
      </c>
      <c r="AD939" s="1" t="str">
        <f ca="1">IFERROR(__xludf.DUMMYFUNCTION("""COMPUTED_VALUE"""),"No")</f>
        <v>No</v>
      </c>
      <c r="AE939" s="1" t="str">
        <f ca="1">IFERROR(__xludf.DUMMYFUNCTION("""COMPUTED_VALUE"""),"No")</f>
        <v>No</v>
      </c>
      <c r="AF939" s="1"/>
      <c r="AG939" s="1" t="str">
        <f ca="1">IFERROR(__xludf.DUMMYFUNCTION("""COMPUTED_VALUE"""),"No")</f>
        <v>No</v>
      </c>
      <c r="AH939" s="1">
        <f ca="1">IFERROR(__xludf.DUMMYFUNCTION("""COMPUTED_VALUE"""),1)</f>
        <v>1</v>
      </c>
    </row>
    <row r="940" spans="1:34" ht="12.5">
      <c r="A940" s="1" t="str">
        <f ca="1">IFERROR(__xludf.DUMMYFUNCTION("""COMPUTED_VALUE"""),"20210511CAVEL")</f>
        <v>20210511CAVEL</v>
      </c>
      <c r="B940" s="1">
        <f ca="1">IFERROR(__xludf.DUMMYFUNCTION("""COMPUTED_VALUE"""),5)</f>
        <v>5</v>
      </c>
      <c r="C940" s="1">
        <f ca="1">IFERROR(__xludf.DUMMYFUNCTION("""COMPUTED_VALUE"""),11)</f>
        <v>11</v>
      </c>
      <c r="D940" s="1">
        <f ca="1">IFERROR(__xludf.DUMMYFUNCTION("""COMPUTED_VALUE"""),2021)</f>
        <v>2021</v>
      </c>
      <c r="E940" s="4">
        <f ca="1">IFERROR(__xludf.DUMMYFUNCTION("""COMPUTED_VALUE"""),44327)</f>
        <v>44327</v>
      </c>
      <c r="F940" s="1" t="str">
        <f ca="1">IFERROR(__xludf.DUMMYFUNCTION("""COMPUTED_VALUE"""),"Verbum Dei High School")</f>
        <v>Verbum Dei High School</v>
      </c>
      <c r="G940" s="1">
        <f ca="1">IFERROR(__xludf.DUMMYFUNCTION("""COMPUTED_VALUE"""),0)</f>
        <v>0</v>
      </c>
      <c r="H940" s="1">
        <f ca="1">IFERROR(__xludf.DUMMYFUNCTION("""COMPUTED_VALUE"""),0)</f>
        <v>0</v>
      </c>
      <c r="I940" s="1">
        <f ca="1">IFERROR(__xludf.DUMMYFUNCTION("""COMPUTED_VALUE"""),0)</f>
        <v>0</v>
      </c>
      <c r="J940" s="1">
        <f ca="1">IFERROR(__xludf.DUMMYFUNCTION("""COMPUTED_VALUE"""),0)</f>
        <v>0</v>
      </c>
      <c r="K940" s="1" t="str">
        <f ca="1">IFERROR(__xludf.DUMMYFUNCTION("""COMPUTED_VALUE"""),"Spring")</f>
        <v>Spring</v>
      </c>
      <c r="L940" s="1" t="str">
        <f ca="1">IFERROR(__xludf.DUMMYFUNCTION("""COMPUTED_VALUE"""),"Los Angeles")</f>
        <v>Los Angeles</v>
      </c>
      <c r="M940" s="1" t="str">
        <f ca="1">IFERROR(__xludf.DUMMYFUNCTION("""COMPUTED_VALUE"""),"CA")</f>
        <v>CA</v>
      </c>
      <c r="N940" s="1" t="str">
        <f ca="1">IFERROR(__xludf.DUMMYFUNCTION("""COMPUTED_VALUE"""),"High")</f>
        <v>High</v>
      </c>
      <c r="O940" s="1" t="str">
        <f ca="1">IFERROR(__xludf.DUMMYFUNCTION("""COMPUTED_VALUE"""),"School Bus")</f>
        <v>School Bus</v>
      </c>
      <c r="P940" s="1" t="str">
        <f ca="1">IFERROR(__xludf.DUMMYFUNCTION("""COMPUTED_VALUE"""),"School Bus")</f>
        <v>School Bus</v>
      </c>
      <c r="Q940" s="1" t="str">
        <f ca="1">IFERROR(__xludf.DUMMYFUNCTION("""COMPUTED_VALUE"""),"Yes")</f>
        <v>Yes</v>
      </c>
      <c r="R940" s="1" t="str">
        <f ca="1">IFERROR(__xludf.DUMMYFUNCTION("""COMPUTED_VALUE"""),"Afternoon Classes")</f>
        <v>Afternoon Classes</v>
      </c>
      <c r="S940" s="5">
        <f ca="1">IFERROR(__xludf.DUMMYFUNCTION("""COMPUTED_VALUE"""),0.625)</f>
        <v>0.625</v>
      </c>
      <c r="T940" s="1">
        <f ca="1">IFERROR(__xludf.DUMMYFUNCTION("""COMPUTED_VALUE"""),1)</f>
        <v>1</v>
      </c>
      <c r="U940" s="1" t="str">
        <f ca="1">IFERROR(__xludf.DUMMYFUNCTION("""COMPUTED_VALUE"""),"School bus windows shot by pellet gun on freeway")</f>
        <v>School bus windows shot by pellet gun on freeway</v>
      </c>
      <c r="V940" s="1" t="str">
        <f ca="1">IFERROR(__xludf.DUMMYFUNCTION("""COMPUTED_VALUE"""),"A charter bus carrying shot school students was shot by a pellet gun multiple times on the freeway. No injuries. $8,000 in damage to the bus.")</f>
        <v>A charter bus carrying shot school students was shot by a pellet gun multiple times on the freeway. No injuries. $8,000 in damage to the bus.</v>
      </c>
      <c r="W940" s="1" t="str">
        <f ca="1">IFERROR(__xludf.DUMMYFUNCTION("""COMPUTED_VALUE"""),"Intentional Property Damage")</f>
        <v>Intentional Property Damage</v>
      </c>
      <c r="X940" s="1" t="str">
        <f ca="1">IFERROR(__xludf.DUMMYFUNCTION("""COMPUTED_VALUE"""),"Random Shooting")</f>
        <v>Random Shooting</v>
      </c>
      <c r="Y940" s="1" t="str">
        <f ca="1">IFERROR(__xludf.DUMMYFUNCTION("""COMPUTED_VALUE"""),"No")</f>
        <v>No</v>
      </c>
      <c r="Z940" s="1"/>
      <c r="AA940" s="1" t="str">
        <f ca="1">IFERROR(__xludf.DUMMYFUNCTION("""COMPUTED_VALUE"""),"No")</f>
        <v>No</v>
      </c>
      <c r="AB940" s="1" t="str">
        <f ca="1">IFERROR(__xludf.DUMMYFUNCTION("""COMPUTED_VALUE"""),"No")</f>
        <v>No</v>
      </c>
      <c r="AC940" s="1" t="str">
        <f ca="1">IFERROR(__xludf.DUMMYFUNCTION("""COMPUTED_VALUE"""),"No")</f>
        <v>No</v>
      </c>
      <c r="AD940" s="1" t="str">
        <f ca="1">IFERROR(__xludf.DUMMYFUNCTION("""COMPUTED_VALUE"""),"No")</f>
        <v>No</v>
      </c>
      <c r="AE940" s="1" t="str">
        <f ca="1">IFERROR(__xludf.DUMMYFUNCTION("""COMPUTED_VALUE"""),"No")</f>
        <v>No</v>
      </c>
      <c r="AF940" s="1" t="str">
        <f ca="1">IFERROR(__xludf.DUMMYFUNCTION("""COMPUTED_VALUE"""),"No")</f>
        <v>No</v>
      </c>
      <c r="AG940" s="1" t="str">
        <f ca="1">IFERROR(__xludf.DUMMYFUNCTION("""COMPUTED_VALUE"""),"No")</f>
        <v>No</v>
      </c>
      <c r="AH940" s="1"/>
    </row>
    <row r="941" spans="1:34" ht="12.5">
      <c r="A941" s="1" t="str">
        <f ca="1">IFERROR(__xludf.DUMMYFUNCTION("""COMPUTED_VALUE"""),"20210506SCFOC")</f>
        <v>20210506SCFOC</v>
      </c>
      <c r="B941" s="1">
        <f ca="1">IFERROR(__xludf.DUMMYFUNCTION("""COMPUTED_VALUE"""),5)</f>
        <v>5</v>
      </c>
      <c r="C941" s="1">
        <f ca="1">IFERROR(__xludf.DUMMYFUNCTION("""COMPUTED_VALUE"""),6)</f>
        <v>6</v>
      </c>
      <c r="D941" s="1">
        <f ca="1">IFERROR(__xludf.DUMMYFUNCTION("""COMPUTED_VALUE"""),2021)</f>
        <v>2021</v>
      </c>
      <c r="E941" s="4">
        <f ca="1">IFERROR(__xludf.DUMMYFUNCTION("""COMPUTED_VALUE"""),44322)</f>
        <v>44322</v>
      </c>
      <c r="F941" s="1" t="str">
        <f ca="1">IFERROR(__xludf.DUMMYFUNCTION("""COMPUTED_VALUE"""),"Forest Lake Elementary")</f>
        <v>Forest Lake Elementary</v>
      </c>
      <c r="G941" s="1">
        <f ca="1">IFERROR(__xludf.DUMMYFUNCTION("""COMPUTED_VALUE"""),0)</f>
        <v>0</v>
      </c>
      <c r="H941" s="1">
        <f ca="1">IFERROR(__xludf.DUMMYFUNCTION("""COMPUTED_VALUE"""),0)</f>
        <v>0</v>
      </c>
      <c r="I941" s="1">
        <f ca="1">IFERROR(__xludf.DUMMYFUNCTION("""COMPUTED_VALUE"""),0)</f>
        <v>0</v>
      </c>
      <c r="J941" s="1">
        <f ca="1">IFERROR(__xludf.DUMMYFUNCTION("""COMPUTED_VALUE"""),0)</f>
        <v>0</v>
      </c>
      <c r="K941" s="1" t="str">
        <f ca="1">IFERROR(__xludf.DUMMYFUNCTION("""COMPUTED_VALUE"""),"Spring")</f>
        <v>Spring</v>
      </c>
      <c r="L941" s="1" t="str">
        <f ca="1">IFERROR(__xludf.DUMMYFUNCTION("""COMPUTED_VALUE"""),"Columbia")</f>
        <v>Columbia</v>
      </c>
      <c r="M941" s="1" t="str">
        <f ca="1">IFERROR(__xludf.DUMMYFUNCTION("""COMPUTED_VALUE"""),"SC")</f>
        <v>SC</v>
      </c>
      <c r="N941" s="1" t="str">
        <f ca="1">IFERROR(__xludf.DUMMYFUNCTION("""COMPUTED_VALUE"""),"Elementary")</f>
        <v>Elementary</v>
      </c>
      <c r="O941" s="1" t="str">
        <f ca="1">IFERROR(__xludf.DUMMYFUNCTION("""COMPUTED_VALUE"""),"School Bus")</f>
        <v>School Bus</v>
      </c>
      <c r="P941" s="1" t="str">
        <f ca="1">IFERROR(__xludf.DUMMYFUNCTION("""COMPUTED_VALUE"""),"School Bus")</f>
        <v>School Bus</v>
      </c>
      <c r="Q941" s="1" t="str">
        <f ca="1">IFERROR(__xludf.DUMMYFUNCTION("""COMPUTED_VALUE"""),"Yes")</f>
        <v>Yes</v>
      </c>
      <c r="R941" s="1" t="str">
        <f ca="1">IFERROR(__xludf.DUMMYFUNCTION("""COMPUTED_VALUE"""),"Before School")</f>
        <v>Before School</v>
      </c>
      <c r="S941" s="5">
        <f ca="1">IFERROR(__xludf.DUMMYFUNCTION("""COMPUTED_VALUE"""),0.291666666666666)</f>
        <v>0.29166666666666602</v>
      </c>
      <c r="T941" s="1">
        <f ca="1">IFERROR(__xludf.DUMMYFUNCTION("""COMPUTED_VALUE"""),6)</f>
        <v>6</v>
      </c>
      <c r="U941" s="1" t="str">
        <f ca="1">IFERROR(__xludf.DUMMYFUNCTION("""COMPUTED_VALUE"""),"Army trainee jumped the fence of the fort with a rifle then hijacked school bus full of students")</f>
        <v>Army trainee jumped the fence of the fort with a rifle then hijacked school bus full of students</v>
      </c>
      <c r="V941" s="1" t="str">
        <f ca="1">IFERROR(__xludf.DUMMYFUNCTION("""COMPUTED_VALUE"""),"A 23-year-old Army trainee jumped over the fence of Fort Jackson wearing his physical training uniform and armed with a rifle. He stopped a school bus, got on the bus, and ordered the driver to take him to the next town. When the driver refused, the shoot"&amp;"er became frustrated. He forced all 18 students to come to the front of the bus and continued to threaten the driver. He then ordered the students and the driver off of the bus and drove it a short distance before abandoning it. He fled on foot and was ar"&amp;"rested. After the incident, officials determined that the rifle was not loaded. No shots were fired and no students were injured.")</f>
        <v>A 23-year-old Army trainee jumped over the fence of Fort Jackson wearing his physical training uniform and armed with a rifle. He stopped a school bus, got on the bus, and ordered the driver to take him to the next town. When the driver refused, the shooter became frustrated. He forced all 18 students to come to the front of the bus and continued to threaten the driver. He then ordered the students and the driver off of the bus and drove it a short distance before abandoning it. He fled on foot and was arrested. After the incident, officials determined that the rifle was not loaded. No shots were fired and no students were injured.</v>
      </c>
      <c r="W941" s="1" t="str">
        <f ca="1">IFERROR(__xludf.DUMMYFUNCTION("""COMPUTED_VALUE"""),"Hostage/Standoff")</f>
        <v>Hostage/Standoff</v>
      </c>
      <c r="X941" s="1" t="str">
        <f ca="1">IFERROR(__xludf.DUMMYFUNCTION("""COMPUTED_VALUE"""),"Random Shooting")</f>
        <v>Random Shooting</v>
      </c>
      <c r="Y941" s="1" t="str">
        <f ca="1">IFERROR(__xludf.DUMMYFUNCTION("""COMPUTED_VALUE"""),"No")</f>
        <v>No</v>
      </c>
      <c r="Z941" s="1"/>
      <c r="AA941" s="1" t="str">
        <f ca="1">IFERROR(__xludf.DUMMYFUNCTION("""COMPUTED_VALUE"""),"Yes")</f>
        <v>Yes</v>
      </c>
      <c r="AB941" s="1" t="str">
        <f ca="1">IFERROR(__xludf.DUMMYFUNCTION("""COMPUTED_VALUE"""),"No")</f>
        <v>No</v>
      </c>
      <c r="AC941" s="1" t="str">
        <f ca="1">IFERROR(__xludf.DUMMYFUNCTION("""COMPUTED_VALUE"""),"No")</f>
        <v>No</v>
      </c>
      <c r="AD941" s="1" t="str">
        <f ca="1">IFERROR(__xludf.DUMMYFUNCTION("""COMPUTED_VALUE"""),"No")</f>
        <v>No</v>
      </c>
      <c r="AE941" s="1" t="str">
        <f ca="1">IFERROR(__xludf.DUMMYFUNCTION("""COMPUTED_VALUE"""),"No")</f>
        <v>No</v>
      </c>
      <c r="AF941" s="1" t="str">
        <f ca="1">IFERROR(__xludf.DUMMYFUNCTION("""COMPUTED_VALUE"""),"No")</f>
        <v>No</v>
      </c>
      <c r="AG941" s="1" t="str">
        <f ca="1">IFERROR(__xludf.DUMMYFUNCTION("""COMPUTED_VALUE"""),"Yes")</f>
        <v>Yes</v>
      </c>
      <c r="AH941" s="1">
        <f ca="1">IFERROR(__xludf.DUMMYFUNCTION("""COMPUTED_VALUE"""),0)</f>
        <v>0</v>
      </c>
    </row>
    <row r="942" spans="1:34" ht="12.5">
      <c r="A942" s="1" t="str">
        <f ca="1">IFERROR(__xludf.DUMMYFUNCTION("""COMPUTED_VALUE"""),"20210506IDRIR")</f>
        <v>20210506IDRIR</v>
      </c>
      <c r="B942" s="1">
        <f ca="1">IFERROR(__xludf.DUMMYFUNCTION("""COMPUTED_VALUE"""),5)</f>
        <v>5</v>
      </c>
      <c r="C942" s="1">
        <f ca="1">IFERROR(__xludf.DUMMYFUNCTION("""COMPUTED_VALUE"""),6)</f>
        <v>6</v>
      </c>
      <c r="D942" s="1">
        <f ca="1">IFERROR(__xludf.DUMMYFUNCTION("""COMPUTED_VALUE"""),2021)</f>
        <v>2021</v>
      </c>
      <c r="E942" s="4">
        <f ca="1">IFERROR(__xludf.DUMMYFUNCTION("""COMPUTED_VALUE"""),44322)</f>
        <v>44322</v>
      </c>
      <c r="F942" s="1" t="str">
        <f ca="1">IFERROR(__xludf.DUMMYFUNCTION("""COMPUTED_VALUE"""),"Rigby Middle School")</f>
        <v>Rigby Middle School</v>
      </c>
      <c r="G942" s="1">
        <f ca="1">IFERROR(__xludf.DUMMYFUNCTION("""COMPUTED_VALUE"""),0)</f>
        <v>0</v>
      </c>
      <c r="H942" s="1">
        <f ca="1">IFERROR(__xludf.DUMMYFUNCTION("""COMPUTED_VALUE"""),3)</f>
        <v>3</v>
      </c>
      <c r="I942" s="1">
        <f ca="1">IFERROR(__xludf.DUMMYFUNCTION("""COMPUTED_VALUE"""),3)</f>
        <v>3</v>
      </c>
      <c r="J942" s="1">
        <f ca="1">IFERROR(__xludf.DUMMYFUNCTION("""COMPUTED_VALUE"""),0)</f>
        <v>0</v>
      </c>
      <c r="K942" s="1" t="str">
        <f ca="1">IFERROR(__xludf.DUMMYFUNCTION("""COMPUTED_VALUE"""),"Spring")</f>
        <v>Spring</v>
      </c>
      <c r="L942" s="1" t="str">
        <f ca="1">IFERROR(__xludf.DUMMYFUNCTION("""COMPUTED_VALUE"""),"Rigby")</f>
        <v>Rigby</v>
      </c>
      <c r="M942" s="1" t="str">
        <f ca="1">IFERROR(__xludf.DUMMYFUNCTION("""COMPUTED_VALUE"""),"ID")</f>
        <v>ID</v>
      </c>
      <c r="N942" s="1" t="str">
        <f ca="1">IFERROR(__xludf.DUMMYFUNCTION("""COMPUTED_VALUE"""),"Middle")</f>
        <v>Middle</v>
      </c>
      <c r="O942" s="1" t="str">
        <f ca="1">IFERROR(__xludf.DUMMYFUNCTION("""COMPUTED_VALUE"""),"Inside School Building")</f>
        <v>Inside School Building</v>
      </c>
      <c r="P942" s="1" t="str">
        <f ca="1">IFERROR(__xludf.DUMMYFUNCTION("""COMPUTED_VALUE"""),"Both Inside/Outside")</f>
        <v>Both Inside/Outside</v>
      </c>
      <c r="Q942" s="1" t="str">
        <f ca="1">IFERROR(__xludf.DUMMYFUNCTION("""COMPUTED_VALUE"""),"Yes")</f>
        <v>Yes</v>
      </c>
      <c r="R942" s="1" t="str">
        <f ca="1">IFERROR(__xludf.DUMMYFUNCTION("""COMPUTED_VALUE"""),"Morning Classes")</f>
        <v>Morning Classes</v>
      </c>
      <c r="S942" s="5">
        <f ca="1">IFERROR(__xludf.DUMMYFUNCTION("""COMPUTED_VALUE"""),0.385416666666666)</f>
        <v>0.38541666666666602</v>
      </c>
      <c r="T942" s="1">
        <f ca="1">IFERROR(__xludf.DUMMYFUNCTION("""COMPUTED_VALUE"""),1)</f>
        <v>1</v>
      </c>
      <c r="U942" s="1" t="str">
        <f ca="1">IFERROR(__xludf.DUMMYFUNCTION("""COMPUTED_VALUE"""),"Female student pulled handgun from backpack and fired at 1 person inside the school and 2 people outside before being disarmed by a teacher")</f>
        <v>Female student pulled handgun from backpack and fired at 1 person inside the school and 2 people outside before being disarmed by a teacher</v>
      </c>
      <c r="V942" s="1" t="str">
        <f ca="1">IFERROR(__xludf.DUMMYFUNCTION("""COMPUTED_VALUE"""),"A 12-year-old female student pulled a handgun outside of her backpack inside the school and fired at one person. She then walked outside and fired at 2 more people. Students began to run away and she fired shots at them. Based on CCTV footage, she appeare"&amp;"d to target the first victims and then fire randomly at the fleeing students. Two students and the school janitor were injured. The shooter was disarmed by a female teacher who held her down until police arrived. All three victims were transported to the "&amp;"hospital in stable condition. She had a second gun and 2 knives in her backpack. Hitlist was found at her home with statements that she planned to kill 20 people and wound 40-60 others.")</f>
        <v>A 12-year-old female student pulled a handgun outside of her backpack inside the school and fired at one person. She then walked outside and fired at 2 more people. Students began to run away and she fired shots at them. Based on CCTV footage, she appeared to target the first victims and then fire randomly at the fleeing students. Two students and the school janitor were injured. The shooter was disarmed by a female teacher who held her down until police arrived. All three victims were transported to the hospital in stable condition. She had a second gun and 2 knives in her backpack. Hitlist was found at her home with statements that she planned to kill 20 people and wound 40-60 others.</v>
      </c>
      <c r="W942" s="1" t="str">
        <f ca="1">IFERROR(__xludf.DUMMYFUNCTION("""COMPUTED_VALUE"""),"Indiscriminate Shooting")</f>
        <v>Indiscriminate Shooting</v>
      </c>
      <c r="X942" s="1" t="str">
        <f ca="1">IFERROR(__xludf.DUMMYFUNCTION("""COMPUTED_VALUE"""),"Both")</f>
        <v>Both</v>
      </c>
      <c r="Y942" s="1" t="str">
        <f ca="1">IFERROR(__xludf.DUMMYFUNCTION("""COMPUTED_VALUE"""),"No")</f>
        <v>No</v>
      </c>
      <c r="Z942" s="1"/>
      <c r="AA942" s="1" t="str">
        <f ca="1">IFERROR(__xludf.DUMMYFUNCTION("""COMPUTED_VALUE"""),"No")</f>
        <v>No</v>
      </c>
      <c r="AB942" s="1" t="str">
        <f ca="1">IFERROR(__xludf.DUMMYFUNCTION("""COMPUTED_VALUE"""),"No")</f>
        <v>No</v>
      </c>
      <c r="AC942" s="1" t="str">
        <f ca="1">IFERROR(__xludf.DUMMYFUNCTION("""COMPUTED_VALUE"""),"No")</f>
        <v>No</v>
      </c>
      <c r="AD942" s="1"/>
      <c r="AE942" s="1" t="str">
        <f ca="1">IFERROR(__xludf.DUMMYFUNCTION("""COMPUTED_VALUE"""),"No")</f>
        <v>No</v>
      </c>
      <c r="AF942" s="1" t="str">
        <f ca="1">IFERROR(__xludf.DUMMYFUNCTION("""COMPUTED_VALUE"""),"No")</f>
        <v>No</v>
      </c>
      <c r="AG942" s="1" t="str">
        <f ca="1">IFERROR(__xludf.DUMMYFUNCTION("""COMPUTED_VALUE"""),"Yes")</f>
        <v>Yes</v>
      </c>
      <c r="AH942" s="1">
        <f ca="1">IFERROR(__xludf.DUMMYFUNCTION("""COMPUTED_VALUE"""),99)</f>
        <v>99</v>
      </c>
    </row>
    <row r="943" spans="1:34" ht="12.5">
      <c r="A943" s="1" t="str">
        <f ca="1">IFERROR(__xludf.DUMMYFUNCTION("""COMPUTED_VALUE"""),"20210505SCWAW")</f>
        <v>20210505SCWAW</v>
      </c>
      <c r="B943" s="1">
        <f ca="1">IFERROR(__xludf.DUMMYFUNCTION("""COMPUTED_VALUE"""),5)</f>
        <v>5</v>
      </c>
      <c r="C943" s="1">
        <f ca="1">IFERROR(__xludf.DUMMYFUNCTION("""COMPUTED_VALUE"""),5)</f>
        <v>5</v>
      </c>
      <c r="D943" s="1">
        <f ca="1">IFERROR(__xludf.DUMMYFUNCTION("""COMPUTED_VALUE"""),2021)</f>
        <v>2021</v>
      </c>
      <c r="E943" s="4">
        <f ca="1">IFERROR(__xludf.DUMMYFUNCTION("""COMPUTED_VALUE"""),44321)</f>
        <v>44321</v>
      </c>
      <c r="F943" s="1" t="str">
        <f ca="1">IFERROR(__xludf.DUMMYFUNCTION("""COMPUTED_VALUE"""),"Ware Shoals High School")</f>
        <v>Ware Shoals High School</v>
      </c>
      <c r="G943" s="1">
        <f ca="1">IFERROR(__xludf.DUMMYFUNCTION("""COMPUTED_VALUE"""),0)</f>
        <v>0</v>
      </c>
      <c r="H943" s="1">
        <f ca="1">IFERROR(__xludf.DUMMYFUNCTION("""COMPUTED_VALUE"""),0)</f>
        <v>0</v>
      </c>
      <c r="I943" s="1">
        <f ca="1">IFERROR(__xludf.DUMMYFUNCTION("""COMPUTED_VALUE"""),0)</f>
        <v>0</v>
      </c>
      <c r="J943" s="1">
        <f ca="1">IFERROR(__xludf.DUMMYFUNCTION("""COMPUTED_VALUE"""),1)</f>
        <v>1</v>
      </c>
      <c r="K943" s="1" t="str">
        <f ca="1">IFERROR(__xludf.DUMMYFUNCTION("""COMPUTED_VALUE"""),"Spring")</f>
        <v>Spring</v>
      </c>
      <c r="L943" s="1" t="str">
        <f ca="1">IFERROR(__xludf.DUMMYFUNCTION("""COMPUTED_VALUE"""),"Ware Shoals")</f>
        <v>Ware Shoals</v>
      </c>
      <c r="M943" s="1" t="str">
        <f ca="1">IFERROR(__xludf.DUMMYFUNCTION("""COMPUTED_VALUE"""),"SC")</f>
        <v>SC</v>
      </c>
      <c r="N943" s="1" t="str">
        <f ca="1">IFERROR(__xludf.DUMMYFUNCTION("""COMPUTED_VALUE"""),"High")</f>
        <v>High</v>
      </c>
      <c r="O943" s="1" t="str">
        <f ca="1">IFERROR(__xludf.DUMMYFUNCTION("""COMPUTED_VALUE"""),"Parking Lot")</f>
        <v>Parking Lot</v>
      </c>
      <c r="P943" s="1" t="str">
        <f ca="1">IFERROR(__xludf.DUMMYFUNCTION("""COMPUTED_VALUE"""),"Outside on School Property")</f>
        <v>Outside on School Property</v>
      </c>
      <c r="Q943" s="1" t="str">
        <f ca="1">IFERROR(__xludf.DUMMYFUNCTION("""COMPUTED_VALUE"""),"Yes")</f>
        <v>Yes</v>
      </c>
      <c r="R943" s="1" t="str">
        <f ca="1">IFERROR(__xludf.DUMMYFUNCTION("""COMPUTED_VALUE"""),"School Start")</f>
        <v>School Start</v>
      </c>
      <c r="S943" s="5">
        <f ca="1">IFERROR(__xludf.DUMMYFUNCTION("""COMPUTED_VALUE"""),0.336805555555555)</f>
        <v>0.33680555555555503</v>
      </c>
      <c r="T943" s="1">
        <f ca="1">IFERROR(__xludf.DUMMYFUNCTION("""COMPUTED_VALUE"""),1)</f>
        <v>1</v>
      </c>
      <c r="U943" s="1" t="str">
        <f ca="1">IFERROR(__xludf.DUMMYFUNCTION("""COMPUTED_VALUE"""),"Student got out of his car with a handgun and then shot himself in the head")</f>
        <v>Student got out of his car with a handgun and then shot himself in the head</v>
      </c>
      <c r="V943" s="1" t="str">
        <f ca="1">IFERROR(__xludf.DUMMYFUNCTION("""COMPUTED_VALUE"""),"A student and his friend (also a student) were sit inside his car in the school parking lot. The school safety officer noticed them and told them to go inside because class had started. The safety officer noticed a vaping device in the car that he confisc"&amp;"ated. When the student got out of the car, the safety officer noticed a gun in his waistband. The student then ran up a hill and shot himself in the head. The principal and two students witnessed the shooting.")</f>
        <v>A student and his friend (also a student) were sit inside his car in the school parking lot. The school safety officer noticed them and told them to go inside because class had started. The safety officer noticed a vaping device in the car that he confiscated. When the student got out of the car, the safety officer noticed a gun in his waistband. The student then ran up a hill and shot himself in the head. The principal and two students witnessed the shooting.</v>
      </c>
      <c r="W943" s="1" t="str">
        <f ca="1">IFERROR(__xludf.DUMMYFUNCTION("""COMPUTED_VALUE"""),"Suicide/Attempted")</f>
        <v>Suicide/Attempted</v>
      </c>
      <c r="X943" s="1"/>
      <c r="Y943" s="1" t="str">
        <f ca="1">IFERROR(__xludf.DUMMYFUNCTION("""COMPUTED_VALUE"""),"No")</f>
        <v>No</v>
      </c>
      <c r="Z943" s="1"/>
      <c r="AA943" s="1" t="str">
        <f ca="1">IFERROR(__xludf.DUMMYFUNCTION("""COMPUTED_VALUE"""),"No")</f>
        <v>No</v>
      </c>
      <c r="AB943" s="1" t="str">
        <f ca="1">IFERROR(__xludf.DUMMYFUNCTION("""COMPUTED_VALUE"""),"No")</f>
        <v>No</v>
      </c>
      <c r="AC943" s="1" t="str">
        <f ca="1">IFERROR(__xludf.DUMMYFUNCTION("""COMPUTED_VALUE"""),"No")</f>
        <v>No</v>
      </c>
      <c r="AD943" s="1"/>
      <c r="AE943" s="1" t="str">
        <f ca="1">IFERROR(__xludf.DUMMYFUNCTION("""COMPUTED_VALUE"""),"No")</f>
        <v>No</v>
      </c>
      <c r="AF943" s="1" t="str">
        <f ca="1">IFERROR(__xludf.DUMMYFUNCTION("""COMPUTED_VALUE"""),"No")</f>
        <v>No</v>
      </c>
      <c r="AG943" s="1" t="str">
        <f ca="1">IFERROR(__xludf.DUMMYFUNCTION("""COMPUTED_VALUE"""),"No")</f>
        <v>No</v>
      </c>
      <c r="AH943" s="1">
        <f ca="1">IFERROR(__xludf.DUMMYFUNCTION("""COMPUTED_VALUE"""),1)</f>
        <v>1</v>
      </c>
    </row>
    <row r="944" spans="1:34" ht="12.5">
      <c r="A944" s="1" t="str">
        <f ca="1">IFERROR(__xludf.DUMMYFUNCTION("""COMPUTED_VALUE"""),"20210505MICRC")</f>
        <v>20210505MICRC</v>
      </c>
      <c r="B944" s="1">
        <f ca="1">IFERROR(__xludf.DUMMYFUNCTION("""COMPUTED_VALUE"""),5)</f>
        <v>5</v>
      </c>
      <c r="C944" s="1">
        <f ca="1">IFERROR(__xludf.DUMMYFUNCTION("""COMPUTED_VALUE"""),5)</f>
        <v>5</v>
      </c>
      <c r="D944" s="1">
        <f ca="1">IFERROR(__xludf.DUMMYFUNCTION("""COMPUTED_VALUE"""),2021)</f>
        <v>2021</v>
      </c>
      <c r="E944" s="4">
        <f ca="1">IFERROR(__xludf.DUMMYFUNCTION("""COMPUTED_VALUE"""),44321)</f>
        <v>44321</v>
      </c>
      <c r="F944" s="1" t="str">
        <f ca="1">IFERROR(__xludf.DUMMYFUNCTION("""COMPUTED_VALUE"""),"Crossroads Alternative High")</f>
        <v>Crossroads Alternative High</v>
      </c>
      <c r="G944" s="1">
        <f ca="1">IFERROR(__xludf.DUMMYFUNCTION("""COMPUTED_VALUE"""),0)</f>
        <v>0</v>
      </c>
      <c r="H944" s="1">
        <f ca="1">IFERROR(__xludf.DUMMYFUNCTION("""COMPUTED_VALUE"""),1)</f>
        <v>1</v>
      </c>
      <c r="I944" s="1">
        <f ca="1">IFERROR(__xludf.DUMMYFUNCTION("""COMPUTED_VALUE"""),1)</f>
        <v>1</v>
      </c>
      <c r="J944" s="1">
        <f ca="1">IFERROR(__xludf.DUMMYFUNCTION("""COMPUTED_VALUE"""),0)</f>
        <v>0</v>
      </c>
      <c r="K944" s="1" t="str">
        <f ca="1">IFERROR(__xludf.DUMMYFUNCTION("""COMPUTED_VALUE"""),"Spring")</f>
        <v>Spring</v>
      </c>
      <c r="L944" s="1" t="str">
        <f ca="1">IFERROR(__xludf.DUMMYFUNCTION("""COMPUTED_VALUE"""),"Cutlerville")</f>
        <v>Cutlerville</v>
      </c>
      <c r="M944" s="1" t="str">
        <f ca="1">IFERROR(__xludf.DUMMYFUNCTION("""COMPUTED_VALUE"""),"MI")</f>
        <v>MI</v>
      </c>
      <c r="N944" s="1" t="str">
        <f ca="1">IFERROR(__xludf.DUMMYFUNCTION("""COMPUTED_VALUE"""),"High")</f>
        <v>High</v>
      </c>
      <c r="O944" s="1" t="str">
        <f ca="1">IFERROR(__xludf.DUMMYFUNCTION("""COMPUTED_VALUE"""),"Front of School")</f>
        <v>Front of School</v>
      </c>
      <c r="P944" s="1" t="str">
        <f ca="1">IFERROR(__xludf.DUMMYFUNCTION("""COMPUTED_VALUE"""),"Outside on School Property")</f>
        <v>Outside on School Property</v>
      </c>
      <c r="Q944" s="1" t="str">
        <f ca="1">IFERROR(__xludf.DUMMYFUNCTION("""COMPUTED_VALUE"""),"Yes")</f>
        <v>Yes</v>
      </c>
      <c r="R944" s="1" t="str">
        <f ca="1">IFERROR(__xludf.DUMMYFUNCTION("""COMPUTED_VALUE"""),"Afternoon Classes")</f>
        <v>Afternoon Classes</v>
      </c>
      <c r="S944" s="5">
        <f ca="1">IFERROR(__xludf.DUMMYFUNCTION("""COMPUTED_VALUE"""),0.583333333333333)</f>
        <v>0.58333333333333304</v>
      </c>
      <c r="T944" s="1">
        <f ca="1">IFERROR(__xludf.DUMMYFUNCTION("""COMPUTED_VALUE"""),1)</f>
        <v>1</v>
      </c>
      <c r="U944" s="1" t="str">
        <f ca="1">IFERROR(__xludf.DUMMYFUNCTION("""COMPUTED_VALUE"""),"Man on scooter fired at another man on the sidewalk, then accidentally shot himself and collapsed in front of the school")</f>
        <v>Man on scooter fired at another man on the sidewalk, then accidentally shot himself and collapsed in front of the school</v>
      </c>
      <c r="V944" s="1" t="str">
        <f ca="1">IFERROR(__xludf.DUMMYFUNCTION("""COMPUTED_VALUE"""),"An adult male on scooter fired at another man on the sidewalk, then accidentally shot himself and collapsed in front of the school. Both men were transported to the hospital. The school were the shooting occurred and an elementary school next door were bo"&amp;"th in session at the time of the shooting.")</f>
        <v>An adult male on scooter fired at another man on the sidewalk, then accidentally shot himself and collapsed in front of the school. Both men were transported to the hospital. The school were the shooting occurred and an elementary school next door were both in session at the time of the shooting.</v>
      </c>
      <c r="W944" s="1" t="str">
        <f ca="1">IFERROR(__xludf.DUMMYFUNCTION("""COMPUTED_VALUE"""),"Drive-by Shooting")</f>
        <v>Drive-by Shooting</v>
      </c>
      <c r="X944" s="1" t="str">
        <f ca="1">IFERROR(__xludf.DUMMYFUNCTION("""COMPUTED_VALUE"""),"Victims Targeted")</f>
        <v>Victims Targeted</v>
      </c>
      <c r="Y944" s="1" t="str">
        <f ca="1">IFERROR(__xludf.DUMMYFUNCTION("""COMPUTED_VALUE"""),"No")</f>
        <v>No</v>
      </c>
      <c r="Z944" s="1"/>
      <c r="AA944" s="1" t="str">
        <f ca="1">IFERROR(__xludf.DUMMYFUNCTION("""COMPUTED_VALUE"""),"No")</f>
        <v>No</v>
      </c>
      <c r="AB944" s="1" t="str">
        <f ca="1">IFERROR(__xludf.DUMMYFUNCTION("""COMPUTED_VALUE"""),"No")</f>
        <v>No</v>
      </c>
      <c r="AC944" s="1" t="str">
        <f ca="1">IFERROR(__xludf.DUMMYFUNCTION("""COMPUTED_VALUE"""),"No")</f>
        <v>No</v>
      </c>
      <c r="AD944" s="1" t="str">
        <f ca="1">IFERROR(__xludf.DUMMYFUNCTION("""COMPUTED_VALUE"""),"No")</f>
        <v>No</v>
      </c>
      <c r="AE944" s="1" t="str">
        <f ca="1">IFERROR(__xludf.DUMMYFUNCTION("""COMPUTED_VALUE"""),"No")</f>
        <v>No</v>
      </c>
      <c r="AF944" s="1"/>
      <c r="AG944" s="1" t="str">
        <f ca="1">IFERROR(__xludf.DUMMYFUNCTION("""COMPUTED_VALUE"""),"No")</f>
        <v>No</v>
      </c>
      <c r="AH944" s="1"/>
    </row>
    <row r="945" spans="1:34" ht="12.5">
      <c r="A945" s="1" t="str">
        <f ca="1">IFERROR(__xludf.DUMMYFUNCTION("""COMPUTED_VALUE"""),"20210502ILCHC")</f>
        <v>20210502ILCHC</v>
      </c>
      <c r="B945" s="1">
        <f ca="1">IFERROR(__xludf.DUMMYFUNCTION("""COMPUTED_VALUE"""),5)</f>
        <v>5</v>
      </c>
      <c r="C945" s="1">
        <f ca="1">IFERROR(__xludf.DUMMYFUNCTION("""COMPUTED_VALUE"""),2)</f>
        <v>2</v>
      </c>
      <c r="D945" s="1">
        <f ca="1">IFERROR(__xludf.DUMMYFUNCTION("""COMPUTED_VALUE"""),2021)</f>
        <v>2021</v>
      </c>
      <c r="E945" s="4">
        <f ca="1">IFERROR(__xludf.DUMMYFUNCTION("""COMPUTED_VALUE"""),44318)</f>
        <v>44318</v>
      </c>
      <c r="F945" s="1" t="str">
        <f ca="1">IFERROR(__xludf.DUMMYFUNCTION("""COMPUTED_VALUE"""),"Chicago Bulls College Prep High School")</f>
        <v>Chicago Bulls College Prep High School</v>
      </c>
      <c r="G945" s="1">
        <f ca="1">IFERROR(__xludf.DUMMYFUNCTION("""COMPUTED_VALUE"""),0)</f>
        <v>0</v>
      </c>
      <c r="H945" s="1">
        <f ca="1">IFERROR(__xludf.DUMMYFUNCTION("""COMPUTED_VALUE"""),5)</f>
        <v>5</v>
      </c>
      <c r="I945" s="1">
        <f ca="1">IFERROR(__xludf.DUMMYFUNCTION("""COMPUTED_VALUE"""),5)</f>
        <v>5</v>
      </c>
      <c r="J945" s="1">
        <f ca="1">IFERROR(__xludf.DUMMYFUNCTION("""COMPUTED_VALUE"""),0)</f>
        <v>0</v>
      </c>
      <c r="K945" s="1" t="str">
        <f ca="1">IFERROR(__xludf.DUMMYFUNCTION("""COMPUTED_VALUE"""),"Spring")</f>
        <v>Spring</v>
      </c>
      <c r="L945" s="1" t="str">
        <f ca="1">IFERROR(__xludf.DUMMYFUNCTION("""COMPUTED_VALUE"""),"Chicago")</f>
        <v>Chicago</v>
      </c>
      <c r="M945" s="1" t="str">
        <f ca="1">IFERROR(__xludf.DUMMYFUNCTION("""COMPUTED_VALUE"""),"IL")</f>
        <v>IL</v>
      </c>
      <c r="N945" s="1" t="str">
        <f ca="1">IFERROR(__xludf.DUMMYFUNCTION("""COMPUTED_VALUE"""),"High")</f>
        <v>High</v>
      </c>
      <c r="O945" s="1" t="str">
        <f ca="1">IFERROR(__xludf.DUMMYFUNCTION("""COMPUTED_VALUE"""),"Front of School")</f>
        <v>Front of School</v>
      </c>
      <c r="P945" s="1" t="str">
        <f ca="1">IFERROR(__xludf.DUMMYFUNCTION("""COMPUTED_VALUE"""),"Outside on School Property")</f>
        <v>Outside on School Property</v>
      </c>
      <c r="Q945" s="1" t="str">
        <f ca="1">IFERROR(__xludf.DUMMYFUNCTION("""COMPUTED_VALUE"""),"No")</f>
        <v>No</v>
      </c>
      <c r="R945" s="1" t="str">
        <f ca="1">IFERROR(__xludf.DUMMYFUNCTION("""COMPUTED_VALUE"""),"Night")</f>
        <v>Night</v>
      </c>
      <c r="S945" s="5">
        <f ca="1">IFERROR(__xludf.DUMMYFUNCTION("""COMPUTED_VALUE"""),0.965277777777777)</f>
        <v>0.96527777777777701</v>
      </c>
      <c r="T945" s="1">
        <f ca="1">IFERROR(__xludf.DUMMYFUNCTION("""COMPUTED_VALUE"""),1)</f>
        <v>1</v>
      </c>
      <c r="U945" s="1" t="str">
        <f ca="1">IFERROR(__xludf.DUMMYFUNCTION("""COMPUTED_VALUE"""),"5 people shot during drive-by shooting in front of the school")</f>
        <v>5 people shot during drive-by shooting in front of the school</v>
      </c>
      <c r="V945" s="1" t="str">
        <f ca="1">IFERROR(__xludf.DUMMYFUNCTION("""COMPUTED_VALUE"""),"Three people inside an SUV fired shots at a crowd standing in front of the high school. 3 adult women and 2 adult men were shot. The shooters fled the scene. No students or staff were at the school.")</f>
        <v>Three people inside an SUV fired shots at a crowd standing in front of the high school. 3 adult women and 2 adult men were shot. The shooters fled the scene. No students or staff were at the school.</v>
      </c>
      <c r="W945" s="1" t="str">
        <f ca="1">IFERROR(__xludf.DUMMYFUNCTION("""COMPUTED_VALUE"""),"Drive-by Shooting")</f>
        <v>Drive-by Shooting</v>
      </c>
      <c r="X945" s="1" t="str">
        <f ca="1">IFERROR(__xludf.DUMMYFUNCTION("""COMPUTED_VALUE"""),"Both")</f>
        <v>Both</v>
      </c>
      <c r="Y945" s="1" t="str">
        <f ca="1">IFERROR(__xludf.DUMMYFUNCTION("""COMPUTED_VALUE"""),"Yes")</f>
        <v>Yes</v>
      </c>
      <c r="Z945" s="1" t="str">
        <f ca="1">IFERROR(__xludf.DUMMYFUNCTION("""COMPUTED_VALUE"""),"Three shooters in vehicle")</f>
        <v>Three shooters in vehicle</v>
      </c>
      <c r="AA945" s="1"/>
      <c r="AB945" s="1" t="str">
        <f ca="1">IFERROR(__xludf.DUMMYFUNCTION("""COMPUTED_VALUE"""),"No")</f>
        <v>No</v>
      </c>
      <c r="AC945" s="1" t="str">
        <f ca="1">IFERROR(__xludf.DUMMYFUNCTION("""COMPUTED_VALUE"""),"No")</f>
        <v>No</v>
      </c>
      <c r="AD945" s="1" t="str">
        <f ca="1">IFERROR(__xludf.DUMMYFUNCTION("""COMPUTED_VALUE"""),"No")</f>
        <v>No</v>
      </c>
      <c r="AE945" s="1" t="str">
        <f ca="1">IFERROR(__xludf.DUMMYFUNCTION("""COMPUTED_VALUE"""),"No")</f>
        <v>No</v>
      </c>
      <c r="AF945" s="1"/>
      <c r="AG945" s="1" t="str">
        <f ca="1">IFERROR(__xludf.DUMMYFUNCTION("""COMPUTED_VALUE"""),"No")</f>
        <v>No</v>
      </c>
      <c r="AH945" s="1"/>
    </row>
    <row r="946" spans="1:34" ht="12.5">
      <c r="A946" s="1" t="str">
        <f ca="1">IFERROR(__xludf.DUMMYFUNCTION("""COMPUTED_VALUE"""),"20210501MNBES")</f>
        <v>20210501MNBES</v>
      </c>
      <c r="B946" s="1">
        <f ca="1">IFERROR(__xludf.DUMMYFUNCTION("""COMPUTED_VALUE"""),5)</f>
        <v>5</v>
      </c>
      <c r="C946" s="1">
        <f ca="1">IFERROR(__xludf.DUMMYFUNCTION("""COMPUTED_VALUE"""),1)</f>
        <v>1</v>
      </c>
      <c r="D946" s="1">
        <f ca="1">IFERROR(__xludf.DUMMYFUNCTION("""COMPUTED_VALUE"""),2021)</f>
        <v>2021</v>
      </c>
      <c r="E946" s="4">
        <f ca="1">IFERROR(__xludf.DUMMYFUNCTION("""COMPUTED_VALUE"""),44317)</f>
        <v>44317</v>
      </c>
      <c r="F946" s="1" t="str">
        <f ca="1">IFERROR(__xludf.DUMMYFUNCTION("""COMPUTED_VALUE"""),"Benjamin E Mays School")</f>
        <v>Benjamin E Mays School</v>
      </c>
      <c r="G946" s="1">
        <f ca="1">IFERROR(__xludf.DUMMYFUNCTION("""COMPUTED_VALUE"""),0)</f>
        <v>0</v>
      </c>
      <c r="H946" s="1">
        <f ca="1">IFERROR(__xludf.DUMMYFUNCTION("""COMPUTED_VALUE"""),0)</f>
        <v>0</v>
      </c>
      <c r="I946" s="1">
        <f ca="1">IFERROR(__xludf.DUMMYFUNCTION("""COMPUTED_VALUE"""),0)</f>
        <v>0</v>
      </c>
      <c r="J946" s="1">
        <f ca="1">IFERROR(__xludf.DUMMYFUNCTION("""COMPUTED_VALUE"""),0)</f>
        <v>0</v>
      </c>
      <c r="K946" s="1" t="str">
        <f ca="1">IFERROR(__xludf.DUMMYFUNCTION("""COMPUTED_VALUE"""),"Spring")</f>
        <v>Spring</v>
      </c>
      <c r="L946" s="1" t="str">
        <f ca="1">IFERROR(__xludf.DUMMYFUNCTION("""COMPUTED_VALUE"""),"St. Paul")</f>
        <v>St. Paul</v>
      </c>
      <c r="M946" s="1" t="str">
        <f ca="1">IFERROR(__xludf.DUMMYFUNCTION("""COMPUTED_VALUE"""),"MN")</f>
        <v>MN</v>
      </c>
      <c r="N946" s="1" t="str">
        <f ca="1">IFERROR(__xludf.DUMMYFUNCTION("""COMPUTED_VALUE"""),"Elementary")</f>
        <v>Elementary</v>
      </c>
      <c r="O946" s="1" t="str">
        <f ca="1">IFERROR(__xludf.DUMMYFUNCTION("""COMPUTED_VALUE"""),"Front of School")</f>
        <v>Front of School</v>
      </c>
      <c r="P946" s="1" t="str">
        <f ca="1">IFERROR(__xludf.DUMMYFUNCTION("""COMPUTED_VALUE"""),"Outside on School Property")</f>
        <v>Outside on School Property</v>
      </c>
      <c r="Q946" s="1" t="str">
        <f ca="1">IFERROR(__xludf.DUMMYFUNCTION("""COMPUTED_VALUE"""),"No")</f>
        <v>No</v>
      </c>
      <c r="R946" s="1" t="str">
        <f ca="1">IFERROR(__xludf.DUMMYFUNCTION("""COMPUTED_VALUE"""),"Night")</f>
        <v>Night</v>
      </c>
      <c r="S946" s="5">
        <f ca="1">IFERROR(__xludf.DUMMYFUNCTION("""COMPUTED_VALUE"""),0.981944444444444)</f>
        <v>0.98194444444444395</v>
      </c>
      <c r="T946" s="1">
        <f ca="1">IFERROR(__xludf.DUMMYFUNCTION("""COMPUTED_VALUE"""),1)</f>
        <v>1</v>
      </c>
      <c r="U946" s="1" t="str">
        <f ca="1">IFERROR(__xludf.DUMMYFUNCTION("""COMPUTED_VALUE"""),"Shots fired by 5 different armed men involved in a fight struck the school building")</f>
        <v>Shots fired by 5 different armed men involved in a fight struck the school building</v>
      </c>
      <c r="V946" s="1" t="str">
        <f ca="1">IFERROR(__xludf.DUMMYFUNCTION("""COMPUTED_VALUE"""),"Three armed men began firing at two men in a vehicle who were also armed. All five fired shots. Dozens of shots were fired striking 6 different vehicles and the school building. The shooting took place 2 blocks from the school. No students or staff were i"&amp;"nside the building at the time of the shooting.")</f>
        <v>Three armed men began firing at two men in a vehicle who were also armed. All five fired shots. Dozens of shots were fired striking 6 different vehicles and the school building. The shooting took place 2 blocks from the school. No students or staff were inside the building at the time of the shooting.</v>
      </c>
      <c r="W946" s="1"/>
      <c r="X946" s="1" t="str">
        <f ca="1">IFERROR(__xludf.DUMMYFUNCTION("""COMPUTED_VALUE"""),"Victims Targeted")</f>
        <v>Victims Targeted</v>
      </c>
      <c r="Y946" s="1" t="str">
        <f ca="1">IFERROR(__xludf.DUMMYFUNCTION("""COMPUTED_VALUE"""),"Yes")</f>
        <v>Yes</v>
      </c>
      <c r="Z946" s="1" t="str">
        <f ca="1">IFERROR(__xludf.DUMMYFUNCTION("""COMPUTED_VALUE"""),"3 men involved with initial shooting")</f>
        <v>3 men involved with initial shooting</v>
      </c>
      <c r="AA946" s="1" t="str">
        <f ca="1">IFERROR(__xludf.DUMMYFUNCTION("""COMPUTED_VALUE"""),"No")</f>
        <v>No</v>
      </c>
      <c r="AB946" s="1" t="str">
        <f ca="1">IFERROR(__xludf.DUMMYFUNCTION("""COMPUTED_VALUE"""),"No")</f>
        <v>No</v>
      </c>
      <c r="AC946" s="1"/>
      <c r="AD946" s="1" t="str">
        <f ca="1">IFERROR(__xludf.DUMMYFUNCTION("""COMPUTED_VALUE"""),"No")</f>
        <v>No</v>
      </c>
      <c r="AE946" s="1" t="str">
        <f ca="1">IFERROR(__xludf.DUMMYFUNCTION("""COMPUTED_VALUE"""),"No")</f>
        <v>No</v>
      </c>
      <c r="AF946" s="1"/>
      <c r="AG946" s="1" t="str">
        <f ca="1">IFERROR(__xludf.DUMMYFUNCTION("""COMPUTED_VALUE"""),"No")</f>
        <v>No</v>
      </c>
      <c r="AH946" s="1">
        <f ca="1">IFERROR(__xludf.DUMMYFUNCTION("""COMPUTED_VALUE"""),50)</f>
        <v>50</v>
      </c>
    </row>
    <row r="947" spans="1:34" ht="12.5">
      <c r="A947" s="1" t="str">
        <f ca="1">IFERROR(__xludf.DUMMYFUNCTION("""COMPUTED_VALUE"""),"20210430INMAI")</f>
        <v>20210430INMAI</v>
      </c>
      <c r="B947" s="1">
        <f ca="1">IFERROR(__xludf.DUMMYFUNCTION("""COMPUTED_VALUE"""),4)</f>
        <v>4</v>
      </c>
      <c r="C947" s="1">
        <f ca="1">IFERROR(__xludf.DUMMYFUNCTION("""COMPUTED_VALUE"""),30)</f>
        <v>30</v>
      </c>
      <c r="D947" s="1">
        <f ca="1">IFERROR(__xludf.DUMMYFUNCTION("""COMPUTED_VALUE"""),2021)</f>
        <v>2021</v>
      </c>
      <c r="E947" s="4">
        <f ca="1">IFERROR(__xludf.DUMMYFUNCTION("""COMPUTED_VALUE"""),44316)</f>
        <v>44316</v>
      </c>
      <c r="F947" s="1" t="str">
        <f ca="1">IFERROR(__xludf.DUMMYFUNCTION("""COMPUTED_VALUE"""),"Mary Castle Elementary School")</f>
        <v>Mary Castle Elementary School</v>
      </c>
      <c r="G947" s="1">
        <f ca="1">IFERROR(__xludf.DUMMYFUNCTION("""COMPUTED_VALUE"""),0)</f>
        <v>0</v>
      </c>
      <c r="H947" s="1">
        <f ca="1">IFERROR(__xludf.DUMMYFUNCTION("""COMPUTED_VALUE"""),1)</f>
        <v>1</v>
      </c>
      <c r="I947" s="1">
        <f ca="1">IFERROR(__xludf.DUMMYFUNCTION("""COMPUTED_VALUE"""),1)</f>
        <v>1</v>
      </c>
      <c r="J947" s="1">
        <f ca="1">IFERROR(__xludf.DUMMYFUNCTION("""COMPUTED_VALUE"""),0)</f>
        <v>0</v>
      </c>
      <c r="K947" s="1" t="str">
        <f ca="1">IFERROR(__xludf.DUMMYFUNCTION("""COMPUTED_VALUE"""),"Spring")</f>
        <v>Spring</v>
      </c>
      <c r="L947" s="1" t="str">
        <f ca="1">IFERROR(__xludf.DUMMYFUNCTION("""COMPUTED_VALUE"""),"Indianapolis")</f>
        <v>Indianapolis</v>
      </c>
      <c r="M947" s="1" t="str">
        <f ca="1">IFERROR(__xludf.DUMMYFUNCTION("""COMPUTED_VALUE"""),"IN")</f>
        <v>IN</v>
      </c>
      <c r="N947" s="1" t="str">
        <f ca="1">IFERROR(__xludf.DUMMYFUNCTION("""COMPUTED_VALUE"""),"Elementary")</f>
        <v>Elementary</v>
      </c>
      <c r="O947" s="1" t="str">
        <f ca="1">IFERROR(__xludf.DUMMYFUNCTION("""COMPUTED_VALUE"""),"Parking Lot")</f>
        <v>Parking Lot</v>
      </c>
      <c r="P947" s="1" t="str">
        <f ca="1">IFERROR(__xludf.DUMMYFUNCTION("""COMPUTED_VALUE"""),"Off School Property")</f>
        <v>Off School Property</v>
      </c>
      <c r="Q947" s="1" t="str">
        <f ca="1">IFERROR(__xludf.DUMMYFUNCTION("""COMPUTED_VALUE"""),"Yes")</f>
        <v>Yes</v>
      </c>
      <c r="R947" s="1" t="str">
        <f ca="1">IFERROR(__xludf.DUMMYFUNCTION("""COMPUTED_VALUE"""),"Afternoon Classes")</f>
        <v>Afternoon Classes</v>
      </c>
      <c r="S947" s="5">
        <f ca="1">IFERROR(__xludf.DUMMYFUNCTION("""COMPUTED_VALUE"""),0.541666666666666)</f>
        <v>0.54166666666666596</v>
      </c>
      <c r="T947" s="1">
        <f ca="1">IFERROR(__xludf.DUMMYFUNCTION("""COMPUTED_VALUE"""),1)</f>
        <v>1</v>
      </c>
      <c r="U947" s="1" t="str">
        <f ca="1">IFERROR(__xludf.DUMMYFUNCTION("""COMPUTED_VALUE"""),"Parent shot during domestic incident in school parking lot while class was in session")</f>
        <v>Parent shot during domestic incident in school parking lot while class was in session</v>
      </c>
      <c r="V947" s="1" t="str">
        <f ca="1">IFERROR(__xludf.DUMMYFUNCTION("""COMPUTED_VALUE"""),"An adult female parent was shot during a domestic incident in the parking lot of the school. The school campus was locked down and the shooter did not enter the school building. Initial report to police of a student abducted by the shooter, that report wa"&amp;"s determined to be incorrect after students were accounted for. 950 students were on campus at the time of the shooting. Shooter fled the area. Victim was transported in critical condition. After searching the campus, parents were notified to pickup child"&amp;"ren and school was dismissed.")</f>
        <v>An adult female parent was shot during a domestic incident in the parking lot of the school. The school campus was locked down and the shooter did not enter the school building. Initial report to police of a student abducted by the shooter, that report was determined to be incorrect after students were accounted for. 950 students were on campus at the time of the shooting. Shooter fled the area. Victim was transported in critical condition. After searching the campus, parents were notified to pickup children and school was dismissed.</v>
      </c>
      <c r="W947" s="1" t="str">
        <f ca="1">IFERROR(__xludf.DUMMYFUNCTION("""COMPUTED_VALUE"""),"Domestic w/ Targeted Victim")</f>
        <v>Domestic w/ Targeted Victim</v>
      </c>
      <c r="X947" s="1" t="str">
        <f ca="1">IFERROR(__xludf.DUMMYFUNCTION("""COMPUTED_VALUE"""),"Victims Targeted")</f>
        <v>Victims Targeted</v>
      </c>
      <c r="Y947" s="1" t="str">
        <f ca="1">IFERROR(__xludf.DUMMYFUNCTION("""COMPUTED_VALUE"""),"No")</f>
        <v>No</v>
      </c>
      <c r="Z947" s="1"/>
      <c r="AA947" s="1" t="str">
        <f ca="1">IFERROR(__xludf.DUMMYFUNCTION("""COMPUTED_VALUE"""),"No")</f>
        <v>No</v>
      </c>
      <c r="AB947" s="1" t="str">
        <f ca="1">IFERROR(__xludf.DUMMYFUNCTION("""COMPUTED_VALUE"""),"No")</f>
        <v>No</v>
      </c>
      <c r="AC947" s="1" t="str">
        <f ca="1">IFERROR(__xludf.DUMMYFUNCTION("""COMPUTED_VALUE"""),"No")</f>
        <v>No</v>
      </c>
      <c r="AD947" s="1" t="str">
        <f ca="1">IFERROR(__xludf.DUMMYFUNCTION("""COMPUTED_VALUE"""),"No")</f>
        <v>No</v>
      </c>
      <c r="AE947" s="1" t="str">
        <f ca="1">IFERROR(__xludf.DUMMYFUNCTION("""COMPUTED_VALUE"""),"Yes")</f>
        <v>Yes</v>
      </c>
      <c r="AF947" s="1" t="str">
        <f ca="1">IFERROR(__xludf.DUMMYFUNCTION("""COMPUTED_VALUE"""),"No")</f>
        <v>No</v>
      </c>
      <c r="AG947" s="1" t="str">
        <f ca="1">IFERROR(__xludf.DUMMYFUNCTION("""COMPUTED_VALUE"""),"No")</f>
        <v>No</v>
      </c>
      <c r="AH947" s="1"/>
    </row>
    <row r="948" spans="1:34" ht="12.5">
      <c r="A948" s="1" t="str">
        <f ca="1">IFERROR(__xludf.DUMMYFUNCTION("""COMPUTED_VALUE"""),"20210429NYURB")</f>
        <v>20210429NYURB</v>
      </c>
      <c r="B948" s="1">
        <f ca="1">IFERROR(__xludf.DUMMYFUNCTION("""COMPUTED_VALUE"""),4)</f>
        <v>4</v>
      </c>
      <c r="C948" s="1">
        <f ca="1">IFERROR(__xludf.DUMMYFUNCTION("""COMPUTED_VALUE"""),29)</f>
        <v>29</v>
      </c>
      <c r="D948" s="1">
        <f ca="1">IFERROR(__xludf.DUMMYFUNCTION("""COMPUTED_VALUE"""),2021)</f>
        <v>2021</v>
      </c>
      <c r="E948" s="4">
        <f ca="1">IFERROR(__xludf.DUMMYFUNCTION("""COMPUTED_VALUE"""),44315)</f>
        <v>44315</v>
      </c>
      <c r="F948" s="1" t="str">
        <f ca="1">IFERROR(__xludf.DUMMYFUNCTION("""COMPUTED_VALUE"""),"Urban Dove Charter School")</f>
        <v>Urban Dove Charter School</v>
      </c>
      <c r="G948" s="1">
        <f ca="1">IFERROR(__xludf.DUMMYFUNCTION("""COMPUTED_VALUE"""),1)</f>
        <v>1</v>
      </c>
      <c r="H948" s="1">
        <f ca="1">IFERROR(__xludf.DUMMYFUNCTION("""COMPUTED_VALUE"""),0)</f>
        <v>0</v>
      </c>
      <c r="I948" s="1">
        <f ca="1">IFERROR(__xludf.DUMMYFUNCTION("""COMPUTED_VALUE"""),1)</f>
        <v>1</v>
      </c>
      <c r="J948" s="1">
        <f ca="1">IFERROR(__xludf.DUMMYFUNCTION("""COMPUTED_VALUE"""),0)</f>
        <v>0</v>
      </c>
      <c r="K948" s="1" t="str">
        <f ca="1">IFERROR(__xludf.DUMMYFUNCTION("""COMPUTED_VALUE"""),"Spring")</f>
        <v>Spring</v>
      </c>
      <c r="L948" s="1" t="str">
        <f ca="1">IFERROR(__xludf.DUMMYFUNCTION("""COMPUTED_VALUE"""),"Brooklyn")</f>
        <v>Brooklyn</v>
      </c>
      <c r="M948" s="1" t="str">
        <f ca="1">IFERROR(__xludf.DUMMYFUNCTION("""COMPUTED_VALUE"""),"NY")</f>
        <v>NY</v>
      </c>
      <c r="N948" s="1" t="str">
        <f ca="1">IFERROR(__xludf.DUMMYFUNCTION("""COMPUTED_VALUE"""),"High")</f>
        <v>High</v>
      </c>
      <c r="O948" s="1" t="str">
        <f ca="1">IFERROR(__xludf.DUMMYFUNCTION("""COMPUTED_VALUE"""),"Front of School")</f>
        <v>Front of School</v>
      </c>
      <c r="P948" s="1" t="str">
        <f ca="1">IFERROR(__xludf.DUMMYFUNCTION("""COMPUTED_VALUE"""),"Outside on School Property")</f>
        <v>Outside on School Property</v>
      </c>
      <c r="Q948" s="1" t="str">
        <f ca="1">IFERROR(__xludf.DUMMYFUNCTION("""COMPUTED_VALUE"""),"Yes")</f>
        <v>Yes</v>
      </c>
      <c r="R948" s="1" t="str">
        <f ca="1">IFERROR(__xludf.DUMMYFUNCTION("""COMPUTED_VALUE"""),"Dismissal")</f>
        <v>Dismissal</v>
      </c>
      <c r="S948" s="5">
        <f ca="1">IFERROR(__xludf.DUMMYFUNCTION("""COMPUTED_VALUE"""),0.614583333333333)</f>
        <v>0.61458333333333304</v>
      </c>
      <c r="T948" s="1">
        <f ca="1">IFERROR(__xludf.DUMMYFUNCTION("""COMPUTED_VALUE"""),1)</f>
        <v>1</v>
      </c>
      <c r="U948" s="1" t="str">
        <f ca="1">IFERROR(__xludf.DUMMYFUNCTION("""COMPUTED_VALUE"""),"Teen fatally shot on front steps leaving the school building")</f>
        <v>Teen fatally shot on front steps leaving the school building</v>
      </c>
      <c r="V948" s="1" t="str">
        <f ca="1">IFERROR(__xludf.DUMMYFUNCTION("""COMPUTED_VALUE"""),"Teen fatally shot on front steps leaving the school building")</f>
        <v>Teen fatally shot on front steps leaving the school building</v>
      </c>
      <c r="W948" s="1"/>
      <c r="X948" s="1" t="str">
        <f ca="1">IFERROR(__xludf.DUMMYFUNCTION("""COMPUTED_VALUE"""),"Victims Targeted")</f>
        <v>Victims Targeted</v>
      </c>
      <c r="Y948" s="1" t="str">
        <f ca="1">IFERROR(__xludf.DUMMYFUNCTION("""COMPUTED_VALUE"""),"Yes")</f>
        <v>Yes</v>
      </c>
      <c r="Z948" s="1"/>
      <c r="AA948" s="1" t="str">
        <f ca="1">IFERROR(__xludf.DUMMYFUNCTION("""COMPUTED_VALUE"""),"No")</f>
        <v>No</v>
      </c>
      <c r="AB948" s="1" t="str">
        <f ca="1">IFERROR(__xludf.DUMMYFUNCTION("""COMPUTED_VALUE"""),"No")</f>
        <v>No</v>
      </c>
      <c r="AC948" s="1" t="str">
        <f ca="1">IFERROR(__xludf.DUMMYFUNCTION("""COMPUTED_VALUE"""),"No")</f>
        <v>No</v>
      </c>
      <c r="AD948" s="1" t="str">
        <f ca="1">IFERROR(__xludf.DUMMYFUNCTION("""COMPUTED_VALUE"""),"No")</f>
        <v>No</v>
      </c>
      <c r="AE948" s="1" t="str">
        <f ca="1">IFERROR(__xludf.DUMMYFUNCTION("""COMPUTED_VALUE"""),"No")</f>
        <v>No</v>
      </c>
      <c r="AF948" s="1"/>
      <c r="AG948" s="1" t="str">
        <f ca="1">IFERROR(__xludf.DUMMYFUNCTION("""COMPUTED_VALUE"""),"No")</f>
        <v>No</v>
      </c>
      <c r="AH948" s="1">
        <f ca="1">IFERROR(__xludf.DUMMYFUNCTION("""COMPUTED_VALUE"""),10)</f>
        <v>10</v>
      </c>
    </row>
    <row r="949" spans="1:34" ht="12.5">
      <c r="A949" s="1" t="str">
        <f ca="1">IFERROR(__xludf.DUMMYFUNCTION("""COMPUTED_VALUE"""),"20210429CAVIV")</f>
        <v>20210429CAVIV</v>
      </c>
      <c r="B949" s="1">
        <f ca="1">IFERROR(__xludf.DUMMYFUNCTION("""COMPUTED_VALUE"""),4)</f>
        <v>4</v>
      </c>
      <c r="C949" s="1">
        <f ca="1">IFERROR(__xludf.DUMMYFUNCTION("""COMPUTED_VALUE"""),29)</f>
        <v>29</v>
      </c>
      <c r="D949" s="1">
        <f ca="1">IFERROR(__xludf.DUMMYFUNCTION("""COMPUTED_VALUE"""),2021)</f>
        <v>2021</v>
      </c>
      <c r="E949" s="4">
        <f ca="1">IFERROR(__xludf.DUMMYFUNCTION("""COMPUTED_VALUE"""),44315)</f>
        <v>44315</v>
      </c>
      <c r="F949" s="1" t="str">
        <f ca="1">IFERROR(__xludf.DUMMYFUNCTION("""COMPUTED_VALUE"""),"Victor Valley High School")</f>
        <v>Victor Valley High School</v>
      </c>
      <c r="G949" s="1">
        <f ca="1">IFERROR(__xludf.DUMMYFUNCTION("""COMPUTED_VALUE"""),0)</f>
        <v>0</v>
      </c>
      <c r="H949" s="1">
        <f ca="1">IFERROR(__xludf.DUMMYFUNCTION("""COMPUTED_VALUE"""),1)</f>
        <v>1</v>
      </c>
      <c r="I949" s="1">
        <f ca="1">IFERROR(__xludf.DUMMYFUNCTION("""COMPUTED_VALUE"""),1)</f>
        <v>1</v>
      </c>
      <c r="J949" s="1">
        <f ca="1">IFERROR(__xludf.DUMMYFUNCTION("""COMPUTED_VALUE"""),0)</f>
        <v>0</v>
      </c>
      <c r="K949" s="1" t="str">
        <f ca="1">IFERROR(__xludf.DUMMYFUNCTION("""COMPUTED_VALUE"""),"Spring")</f>
        <v>Spring</v>
      </c>
      <c r="L949" s="1" t="str">
        <f ca="1">IFERROR(__xludf.DUMMYFUNCTION("""COMPUTED_VALUE"""),"Victorville")</f>
        <v>Victorville</v>
      </c>
      <c r="M949" s="1" t="str">
        <f ca="1">IFERROR(__xludf.DUMMYFUNCTION("""COMPUTED_VALUE"""),"CA")</f>
        <v>CA</v>
      </c>
      <c r="N949" s="1" t="str">
        <f ca="1">IFERROR(__xludf.DUMMYFUNCTION("""COMPUTED_VALUE"""),"High")</f>
        <v>High</v>
      </c>
      <c r="O949" s="1" t="str">
        <f ca="1">IFERROR(__xludf.DUMMYFUNCTION("""COMPUTED_VALUE"""),"Parking Lot")</f>
        <v>Parking Lot</v>
      </c>
      <c r="P949" s="1" t="str">
        <f ca="1">IFERROR(__xludf.DUMMYFUNCTION("""COMPUTED_VALUE"""),"Outside on School Property")</f>
        <v>Outside on School Property</v>
      </c>
      <c r="Q949" s="1" t="str">
        <f ca="1">IFERROR(__xludf.DUMMYFUNCTION("""COMPUTED_VALUE"""),"Yes")</f>
        <v>Yes</v>
      </c>
      <c r="R949" s="1" t="str">
        <f ca="1">IFERROR(__xludf.DUMMYFUNCTION("""COMPUTED_VALUE"""),"Lunch")</f>
        <v>Lunch</v>
      </c>
      <c r="S949" s="5">
        <f ca="1">IFERROR(__xludf.DUMMYFUNCTION("""COMPUTED_VALUE"""),0.504861111111111)</f>
        <v>0.50486111111111098</v>
      </c>
      <c r="T949" s="1">
        <f ca="1">IFERROR(__xludf.DUMMYFUNCTION("""COMPUTED_VALUE"""),1)</f>
        <v>1</v>
      </c>
      <c r="U949" s="1" t="str">
        <f ca="1">IFERROR(__xludf.DUMMYFUNCTION("""COMPUTED_VALUE"""),"Teen fired into crowd during fight in school parking lot during lunch")</f>
        <v>Teen fired into crowd during fight in school parking lot during lunch</v>
      </c>
      <c r="V949" s="1" t="str">
        <f ca="1">IFERROR(__xludf.DUMMYFUNCTION("""COMPUTED_VALUE"""),"Police were called for shots fired in the school parking lot during a large fight between multiple teens. The fight took place in both the school parking lot and the street in front of the school. A 17-year-old male non-student fired three shots into the "&amp;"crowd during the fight, striking an 18-year-old student in the foot. The shooter fled the scene and was arrested in a nearby residence. The school was locked down.")</f>
        <v>Police were called for shots fired in the school parking lot during a large fight between multiple teens. The fight took place in both the school parking lot and the street in front of the school. A 17-year-old male non-student fired three shots into the crowd during the fight, striking an 18-year-old student in the foot. The shooter fled the scene and was arrested in a nearby residence. The school was locked down.</v>
      </c>
      <c r="W949" s="1" t="str">
        <f ca="1">IFERROR(__xludf.DUMMYFUNCTION("""COMPUTED_VALUE"""),"Escalation of Dispute")</f>
        <v>Escalation of Dispute</v>
      </c>
      <c r="X949" s="1" t="str">
        <f ca="1">IFERROR(__xludf.DUMMYFUNCTION("""COMPUTED_VALUE"""),"Random Shooting")</f>
        <v>Random Shooting</v>
      </c>
      <c r="Y949" s="1" t="str">
        <f ca="1">IFERROR(__xludf.DUMMYFUNCTION("""COMPUTED_VALUE"""),"No")</f>
        <v>No</v>
      </c>
      <c r="Z949" s="1"/>
      <c r="AA949" s="1" t="str">
        <f ca="1">IFERROR(__xludf.DUMMYFUNCTION("""COMPUTED_VALUE"""),"No")</f>
        <v>No</v>
      </c>
      <c r="AB949" s="1" t="str">
        <f ca="1">IFERROR(__xludf.DUMMYFUNCTION("""COMPUTED_VALUE"""),"No")</f>
        <v>No</v>
      </c>
      <c r="AC949" s="1" t="str">
        <f ca="1">IFERROR(__xludf.DUMMYFUNCTION("""COMPUTED_VALUE"""),"No")</f>
        <v>No</v>
      </c>
      <c r="AD949" s="1" t="str">
        <f ca="1">IFERROR(__xludf.DUMMYFUNCTION("""COMPUTED_VALUE"""),"No")</f>
        <v>No</v>
      </c>
      <c r="AE949" s="1" t="str">
        <f ca="1">IFERROR(__xludf.DUMMYFUNCTION("""COMPUTED_VALUE"""),"No")</f>
        <v>No</v>
      </c>
      <c r="AF949" s="1" t="str">
        <f ca="1">IFERROR(__xludf.DUMMYFUNCTION("""COMPUTED_VALUE"""),"No")</f>
        <v>No</v>
      </c>
      <c r="AG949" s="1" t="str">
        <f ca="1">IFERROR(__xludf.DUMMYFUNCTION("""COMPUTED_VALUE"""),"No")</f>
        <v>No</v>
      </c>
      <c r="AH949" s="1">
        <f ca="1">IFERROR(__xludf.DUMMYFUNCTION("""COMPUTED_VALUE"""),3)</f>
        <v>3</v>
      </c>
    </row>
    <row r="950" spans="1:34" ht="12.5">
      <c r="A950" s="1" t="str">
        <f ca="1">IFERROR(__xludf.DUMMYFUNCTION("""COMPUTED_VALUE"""),"20210427TNLAM")</f>
        <v>20210427TNLAM</v>
      </c>
      <c r="B950" s="1">
        <f ca="1">IFERROR(__xludf.DUMMYFUNCTION("""COMPUTED_VALUE"""),4)</f>
        <v>4</v>
      </c>
      <c r="C950" s="1">
        <f ca="1">IFERROR(__xludf.DUMMYFUNCTION("""COMPUTED_VALUE"""),27)</f>
        <v>27</v>
      </c>
      <c r="D950" s="1">
        <f ca="1">IFERROR(__xludf.DUMMYFUNCTION("""COMPUTED_VALUE"""),2021)</f>
        <v>2021</v>
      </c>
      <c r="E950" s="4">
        <f ca="1">IFERROR(__xludf.DUMMYFUNCTION("""COMPUTED_VALUE"""),44313)</f>
        <v>44313</v>
      </c>
      <c r="F950" s="1" t="str">
        <f ca="1">IFERROR(__xludf.DUMMYFUNCTION("""COMPUTED_VALUE"""),"La Petite Academy")</f>
        <v>La Petite Academy</v>
      </c>
      <c r="G950" s="1">
        <f ca="1">IFERROR(__xludf.DUMMYFUNCTION("""COMPUTED_VALUE"""),0)</f>
        <v>0</v>
      </c>
      <c r="H950" s="1">
        <f ca="1">IFERROR(__xludf.DUMMYFUNCTION("""COMPUTED_VALUE"""),0)</f>
        <v>0</v>
      </c>
      <c r="I950" s="1">
        <f ca="1">IFERROR(__xludf.DUMMYFUNCTION("""COMPUTED_VALUE"""),0)</f>
        <v>0</v>
      </c>
      <c r="J950" s="1">
        <f ca="1">IFERROR(__xludf.DUMMYFUNCTION("""COMPUTED_VALUE"""),0)</f>
        <v>0</v>
      </c>
      <c r="K950" s="1" t="str">
        <f ca="1">IFERROR(__xludf.DUMMYFUNCTION("""COMPUTED_VALUE"""),"Spring")</f>
        <v>Spring</v>
      </c>
      <c r="L950" s="1" t="str">
        <f ca="1">IFERROR(__xludf.DUMMYFUNCTION("""COMPUTED_VALUE"""),"Memphis")</f>
        <v>Memphis</v>
      </c>
      <c r="M950" s="1" t="str">
        <f ca="1">IFERROR(__xludf.DUMMYFUNCTION("""COMPUTED_VALUE"""),"TN")</f>
        <v>TN</v>
      </c>
      <c r="N950" s="1" t="str">
        <f ca="1">IFERROR(__xludf.DUMMYFUNCTION("""COMPUTED_VALUE"""),"Other")</f>
        <v>Other</v>
      </c>
      <c r="O950" s="1" t="str">
        <f ca="1">IFERROR(__xludf.DUMMYFUNCTION("""COMPUTED_VALUE"""),"Front of School")</f>
        <v>Front of School</v>
      </c>
      <c r="P950" s="1" t="str">
        <f ca="1">IFERROR(__xludf.DUMMYFUNCTION("""COMPUTED_VALUE"""),"Outside on School Property")</f>
        <v>Outside on School Property</v>
      </c>
      <c r="Q950" s="1" t="str">
        <f ca="1">IFERROR(__xludf.DUMMYFUNCTION("""COMPUTED_VALUE"""),"Yes")</f>
        <v>Yes</v>
      </c>
      <c r="R950" s="1" t="str">
        <f ca="1">IFERROR(__xludf.DUMMYFUNCTION("""COMPUTED_VALUE"""),"Dismissal")</f>
        <v>Dismissal</v>
      </c>
      <c r="S950" s="5">
        <f ca="1">IFERROR(__xludf.DUMMYFUNCTION("""COMPUTED_VALUE"""),0.666666666666666)</f>
        <v>0.66666666666666596</v>
      </c>
      <c r="T950" s="1">
        <f ca="1">IFERROR(__xludf.DUMMYFUNCTION("""COMPUTED_VALUE"""),1)</f>
        <v>1</v>
      </c>
      <c r="U950" s="1" t="str">
        <f ca="1">IFERROR(__xludf.DUMMYFUNCTION("""COMPUTED_VALUE"""),"Following a dispute with staff about attendance, a parent fired a shot at the front door of the school")</f>
        <v>Following a dispute with staff about attendance, a parent fired a shot at the front door of the school</v>
      </c>
      <c r="V950" s="1" t="str">
        <f ca="1">IFERROR(__xludf.DUMMYFUNCTION("""COMPUTED_VALUE"""),"An adult female parent had a dispute with a staff member about the attendance requirements to maintain enrollment at the school (a private pre-K to elementary ""pre-STEM"" program). Following the dispute, the woman exited the building and locked the door."&amp;" The woman walked to her car, got a handgun, tapped on the glass with the barrel of the gun, and then fired a single shot breaking the glass. She then fled the scene and was later arrested.")</f>
        <v>An adult female parent had a dispute with a staff member about the attendance requirements to maintain enrollment at the school (a private pre-K to elementary "pre-STEM" program). Following the dispute, the woman exited the building and locked the door. The woman walked to her car, got a handgun, tapped on the glass with the barrel of the gun, and then fired a single shot breaking the glass. She then fled the scene and was later arrested.</v>
      </c>
      <c r="W950" s="1" t="str">
        <f ca="1">IFERROR(__xludf.DUMMYFUNCTION("""COMPUTED_VALUE"""),"Escalation of Dispute")</f>
        <v>Escalation of Dispute</v>
      </c>
      <c r="X950" s="1" t="str">
        <f ca="1">IFERROR(__xludf.DUMMYFUNCTION("""COMPUTED_VALUE"""),"Random Shooting")</f>
        <v>Random Shooting</v>
      </c>
      <c r="Y950" s="1" t="str">
        <f ca="1">IFERROR(__xludf.DUMMYFUNCTION("""COMPUTED_VALUE"""),"No")</f>
        <v>No</v>
      </c>
      <c r="Z950" s="1"/>
      <c r="AA950" s="1" t="str">
        <f ca="1">IFERROR(__xludf.DUMMYFUNCTION("""COMPUTED_VALUE"""),"No")</f>
        <v>No</v>
      </c>
      <c r="AB950" s="1" t="str">
        <f ca="1">IFERROR(__xludf.DUMMYFUNCTION("""COMPUTED_VALUE"""),"No")</f>
        <v>No</v>
      </c>
      <c r="AC950" s="1" t="str">
        <f ca="1">IFERROR(__xludf.DUMMYFUNCTION("""COMPUTED_VALUE"""),"No")</f>
        <v>No</v>
      </c>
      <c r="AD950" s="1" t="str">
        <f ca="1">IFERROR(__xludf.DUMMYFUNCTION("""COMPUTED_VALUE"""),"No")</f>
        <v>No</v>
      </c>
      <c r="AE950" s="1" t="str">
        <f ca="1">IFERROR(__xludf.DUMMYFUNCTION("""COMPUTED_VALUE"""),"No")</f>
        <v>No</v>
      </c>
      <c r="AF950" s="1" t="str">
        <f ca="1">IFERROR(__xludf.DUMMYFUNCTION("""COMPUTED_VALUE"""),"No")</f>
        <v>No</v>
      </c>
      <c r="AG950" s="1" t="str">
        <f ca="1">IFERROR(__xludf.DUMMYFUNCTION("""COMPUTED_VALUE"""),"No")</f>
        <v>No</v>
      </c>
      <c r="AH950" s="1">
        <f ca="1">IFERROR(__xludf.DUMMYFUNCTION("""COMPUTED_VALUE"""),1)</f>
        <v>1</v>
      </c>
    </row>
    <row r="951" spans="1:34" ht="12.5">
      <c r="A951" s="1" t="str">
        <f ca="1">IFERROR(__xludf.DUMMYFUNCTION("""COMPUTED_VALUE"""),"20210427DESMS")</f>
        <v>20210427DESMS</v>
      </c>
      <c r="B951" s="1">
        <f ca="1">IFERROR(__xludf.DUMMYFUNCTION("""COMPUTED_VALUE"""),4)</f>
        <v>4</v>
      </c>
      <c r="C951" s="1">
        <f ca="1">IFERROR(__xludf.DUMMYFUNCTION("""COMPUTED_VALUE"""),27)</f>
        <v>27</v>
      </c>
      <c r="D951" s="1">
        <f ca="1">IFERROR(__xludf.DUMMYFUNCTION("""COMPUTED_VALUE"""),2021)</f>
        <v>2021</v>
      </c>
      <c r="E951" s="4">
        <f ca="1">IFERROR(__xludf.DUMMYFUNCTION("""COMPUTED_VALUE"""),44313)</f>
        <v>44313</v>
      </c>
      <c r="F951" s="1" t="str">
        <f ca="1">IFERROR(__xludf.DUMMYFUNCTION("""COMPUTED_VALUE"""),"Smyrna Middle School")</f>
        <v>Smyrna Middle School</v>
      </c>
      <c r="G951" s="1">
        <f ca="1">IFERROR(__xludf.DUMMYFUNCTION("""COMPUTED_VALUE"""),1)</f>
        <v>1</v>
      </c>
      <c r="H951" s="1">
        <f ca="1">IFERROR(__xludf.DUMMYFUNCTION("""COMPUTED_VALUE"""),0)</f>
        <v>0</v>
      </c>
      <c r="I951" s="1">
        <f ca="1">IFERROR(__xludf.DUMMYFUNCTION("""COMPUTED_VALUE"""),1)</f>
        <v>1</v>
      </c>
      <c r="J951" s="1">
        <f ca="1">IFERROR(__xludf.DUMMYFUNCTION("""COMPUTED_VALUE"""),1)</f>
        <v>1</v>
      </c>
      <c r="K951" s="1" t="str">
        <f ca="1">IFERROR(__xludf.DUMMYFUNCTION("""COMPUTED_VALUE"""),"Spring")</f>
        <v>Spring</v>
      </c>
      <c r="L951" s="1" t="str">
        <f ca="1">IFERROR(__xludf.DUMMYFUNCTION("""COMPUTED_VALUE"""),"Smyrna")</f>
        <v>Smyrna</v>
      </c>
      <c r="M951" s="1" t="str">
        <f ca="1">IFERROR(__xludf.DUMMYFUNCTION("""COMPUTED_VALUE"""),"DE")</f>
        <v>DE</v>
      </c>
      <c r="N951" s="1" t="str">
        <f ca="1">IFERROR(__xludf.DUMMYFUNCTION("""COMPUTED_VALUE"""),"Middle")</f>
        <v>Middle</v>
      </c>
      <c r="O951" s="1" t="str">
        <f ca="1">IFERROR(__xludf.DUMMYFUNCTION("""COMPUTED_VALUE"""),"Parking Lot")</f>
        <v>Parking Lot</v>
      </c>
      <c r="P951" s="1" t="str">
        <f ca="1">IFERROR(__xludf.DUMMYFUNCTION("""COMPUTED_VALUE"""),"Outside on School Property")</f>
        <v>Outside on School Property</v>
      </c>
      <c r="Q951" s="1" t="str">
        <f ca="1">IFERROR(__xludf.DUMMYFUNCTION("""COMPUTED_VALUE"""),"Yes")</f>
        <v>Yes</v>
      </c>
      <c r="R951" s="1" t="str">
        <f ca="1">IFERROR(__xludf.DUMMYFUNCTION("""COMPUTED_VALUE"""),"Morning Classes")</f>
        <v>Morning Classes</v>
      </c>
      <c r="S951" s="5">
        <f ca="1">IFERROR(__xludf.DUMMYFUNCTION("""COMPUTED_VALUE"""),0.934027777777777)</f>
        <v>0.93402777777777701</v>
      </c>
      <c r="T951" s="1">
        <f ca="1">IFERROR(__xludf.DUMMYFUNCTION("""COMPUTED_VALUE"""),1)</f>
        <v>1</v>
      </c>
      <c r="U951" s="1" t="str">
        <f ca="1">IFERROR(__xludf.DUMMYFUNCTION("""COMPUTED_VALUE"""),"Husband shot wife in school parking lot while she was waiting to pick-up child from medical appointment")</f>
        <v>Husband shot wife in school parking lot while she was waiting to pick-up child from medical appointment</v>
      </c>
      <c r="V951" s="1" t="str">
        <f ca="1">IFERROR(__xludf.DUMMYFUNCTION("""COMPUTED_VALUE"""),"Husband shot wife in school parking lot while she was waiting to pick-up child from medical appointment")</f>
        <v>Husband shot wife in school parking lot while she was waiting to pick-up child from medical appointment</v>
      </c>
      <c r="W951" s="1" t="str">
        <f ca="1">IFERROR(__xludf.DUMMYFUNCTION("""COMPUTED_VALUE"""),"Domestic w/ Targeted Victim")</f>
        <v>Domestic w/ Targeted Victim</v>
      </c>
      <c r="X951" s="1" t="str">
        <f ca="1">IFERROR(__xludf.DUMMYFUNCTION("""COMPUTED_VALUE"""),"Victims Targeted")</f>
        <v>Victims Targeted</v>
      </c>
      <c r="Y951" s="1" t="str">
        <f ca="1">IFERROR(__xludf.DUMMYFUNCTION("""COMPUTED_VALUE"""),"No")</f>
        <v>No</v>
      </c>
      <c r="Z951" s="1"/>
      <c r="AA951" s="1" t="str">
        <f ca="1">IFERROR(__xludf.DUMMYFUNCTION("""COMPUTED_VALUE"""),"No")</f>
        <v>No</v>
      </c>
      <c r="AB951" s="1" t="str">
        <f ca="1">IFERROR(__xludf.DUMMYFUNCTION("""COMPUTED_VALUE"""),"No")</f>
        <v>No</v>
      </c>
      <c r="AC951" s="1" t="str">
        <f ca="1">IFERROR(__xludf.DUMMYFUNCTION("""COMPUTED_VALUE"""),"No")</f>
        <v>No</v>
      </c>
      <c r="AD951" s="1" t="str">
        <f ca="1">IFERROR(__xludf.DUMMYFUNCTION("""COMPUTED_VALUE"""),"No")</f>
        <v>No</v>
      </c>
      <c r="AE951" s="1" t="str">
        <f ca="1">IFERROR(__xludf.DUMMYFUNCTION("""COMPUTED_VALUE"""),"Yes")</f>
        <v>Yes</v>
      </c>
      <c r="AF951" s="1" t="str">
        <f ca="1">IFERROR(__xludf.DUMMYFUNCTION("""COMPUTED_VALUE"""),"No")</f>
        <v>No</v>
      </c>
      <c r="AG951" s="1" t="str">
        <f ca="1">IFERROR(__xludf.DUMMYFUNCTION("""COMPUTED_VALUE"""),"No")</f>
        <v>No</v>
      </c>
      <c r="AH951" s="1"/>
    </row>
    <row r="952" spans="1:34" ht="12.5">
      <c r="A952" s="1" t="str">
        <f ca="1">IFERROR(__xludf.DUMMYFUNCTION("""COMPUTED_VALUE"""),"20210426MNPLP")</f>
        <v>20210426MNPLP</v>
      </c>
      <c r="B952" s="1">
        <f ca="1">IFERROR(__xludf.DUMMYFUNCTION("""COMPUTED_VALUE"""),4)</f>
        <v>4</v>
      </c>
      <c r="C952" s="1">
        <f ca="1">IFERROR(__xludf.DUMMYFUNCTION("""COMPUTED_VALUE"""),26)</f>
        <v>26</v>
      </c>
      <c r="D952" s="1">
        <f ca="1">IFERROR(__xludf.DUMMYFUNCTION("""COMPUTED_VALUE"""),2021)</f>
        <v>2021</v>
      </c>
      <c r="E952" s="4">
        <f ca="1">IFERROR(__xludf.DUMMYFUNCTION("""COMPUTED_VALUE"""),44312)</f>
        <v>44312</v>
      </c>
      <c r="F952" s="1" t="str">
        <f ca="1">IFERROR(__xludf.DUMMYFUNCTION("""COMPUTED_VALUE"""),"Plymouth Middle School")</f>
        <v>Plymouth Middle School</v>
      </c>
      <c r="G952" s="1">
        <f ca="1">IFERROR(__xludf.DUMMYFUNCTION("""COMPUTED_VALUE"""),0)</f>
        <v>0</v>
      </c>
      <c r="H952" s="1">
        <f ca="1">IFERROR(__xludf.DUMMYFUNCTION("""COMPUTED_VALUE"""),0)</f>
        <v>0</v>
      </c>
      <c r="I952" s="1">
        <f ca="1">IFERROR(__xludf.DUMMYFUNCTION("""COMPUTED_VALUE"""),0)</f>
        <v>0</v>
      </c>
      <c r="J952" s="1">
        <f ca="1">IFERROR(__xludf.DUMMYFUNCTION("""COMPUTED_VALUE"""),0)</f>
        <v>0</v>
      </c>
      <c r="K952" s="1" t="str">
        <f ca="1">IFERROR(__xludf.DUMMYFUNCTION("""COMPUTED_VALUE"""),"Spring")</f>
        <v>Spring</v>
      </c>
      <c r="L952" s="1" t="str">
        <f ca="1">IFERROR(__xludf.DUMMYFUNCTION("""COMPUTED_VALUE"""),"Plymouth")</f>
        <v>Plymouth</v>
      </c>
      <c r="M952" s="1" t="str">
        <f ca="1">IFERROR(__xludf.DUMMYFUNCTION("""COMPUTED_VALUE"""),"MN")</f>
        <v>MN</v>
      </c>
      <c r="N952" s="1" t="str">
        <f ca="1">IFERROR(__xludf.DUMMYFUNCTION("""COMPUTED_VALUE"""),"Middle")</f>
        <v>Middle</v>
      </c>
      <c r="O952" s="1" t="str">
        <f ca="1">IFERROR(__xludf.DUMMYFUNCTION("""COMPUTED_VALUE"""),"Hallway")</f>
        <v>Hallway</v>
      </c>
      <c r="P952" s="1" t="str">
        <f ca="1">IFERROR(__xludf.DUMMYFUNCTION("""COMPUTED_VALUE"""),"Inside School Building")</f>
        <v>Inside School Building</v>
      </c>
      <c r="Q952" s="1" t="str">
        <f ca="1">IFERROR(__xludf.DUMMYFUNCTION("""COMPUTED_VALUE"""),"Yes")</f>
        <v>Yes</v>
      </c>
      <c r="R952" s="1" t="str">
        <f ca="1">IFERROR(__xludf.DUMMYFUNCTION("""COMPUTED_VALUE"""),"Morning Classes")</f>
        <v>Morning Classes</v>
      </c>
      <c r="S952" s="5">
        <f ca="1">IFERROR(__xludf.DUMMYFUNCTION("""COMPUTED_VALUE"""),0.363888888888888)</f>
        <v>0.36388888888888798</v>
      </c>
      <c r="T952" s="1">
        <f ca="1">IFERROR(__xludf.DUMMYFUNCTION("""COMPUTED_VALUE"""),1)</f>
        <v>1</v>
      </c>
      <c r="U952" s="1" t="str">
        <f ca="1">IFERROR(__xludf.DUMMYFUNCTION("""COMPUTED_VALUE"""),"Student fired multiple shots in the school hallway attempting suicide by cop")</f>
        <v>Student fired multiple shots in the school hallway attempting suicide by cop</v>
      </c>
      <c r="V952" s="1" t="str">
        <f ca="1">IFERROR(__xludf.DUMMYFUNCTION("""COMPUTED_VALUE"""),"A 12-year-old student fired multiple shots into the ceiling the hallway of the school near a bathroom while morning classes were in session. Other students witnessed the shooting but were not injured. The SRO responded and the student surrendered without "&amp;"force. School was locked down and students were dismissed to parents. The shooter's father said the gun had been taken from his bedroom without permission. Father said that his son was attempting ""suicide by cop"" and this was a cry for help. Father said"&amp;": ""It's the first year of middle school. He didn't keep in contact with friends from elementary school. The COVID. These kids are getting depressed. They have no friends. They don't know what to do. They're sitting on their computers. It's starting to fr"&amp;"y their brains.""")</f>
        <v>A 12-year-old student fired multiple shots into the ceiling the hallway of the school near a bathroom while morning classes were in session. Other students witnessed the shooting but were not injured. The SRO responded and the student surrendered without force. School was locked down and students were dismissed to parents. The shooter's father said the gun had been taken from his bedroom without permission. Father said that his son was attempting "suicide by cop" and this was a cry for help. Father said: "It's the first year of middle school. He didn't keep in contact with friends from elementary school. The COVID. These kids are getting depressed. They have no friends. They don't know what to do. They're sitting on their computers. It's starting to fry their brains."</v>
      </c>
      <c r="W952" s="1" t="str">
        <f ca="1">IFERROR(__xludf.DUMMYFUNCTION("""COMPUTED_VALUE"""),"Suicide/Attempted")</f>
        <v>Suicide/Attempted</v>
      </c>
      <c r="X952" s="1" t="str">
        <f ca="1">IFERROR(__xludf.DUMMYFUNCTION("""COMPUTED_VALUE"""),"Random Shooting")</f>
        <v>Random Shooting</v>
      </c>
      <c r="Y952" s="1" t="str">
        <f ca="1">IFERROR(__xludf.DUMMYFUNCTION("""COMPUTED_VALUE"""),"No")</f>
        <v>No</v>
      </c>
      <c r="Z952" s="1"/>
      <c r="AA952" s="1" t="str">
        <f ca="1">IFERROR(__xludf.DUMMYFUNCTION("""COMPUTED_VALUE"""),"No")</f>
        <v>No</v>
      </c>
      <c r="AB952" s="1" t="str">
        <f ca="1">IFERROR(__xludf.DUMMYFUNCTION("""COMPUTED_VALUE"""),"No")</f>
        <v>No</v>
      </c>
      <c r="AC952" s="1" t="str">
        <f ca="1">IFERROR(__xludf.DUMMYFUNCTION("""COMPUTED_VALUE"""),"No")</f>
        <v>No</v>
      </c>
      <c r="AD952" s="1"/>
      <c r="AE952" s="1" t="str">
        <f ca="1">IFERROR(__xludf.DUMMYFUNCTION("""COMPUTED_VALUE"""),"No")</f>
        <v>No</v>
      </c>
      <c r="AF952" s="1" t="str">
        <f ca="1">IFERROR(__xludf.DUMMYFUNCTION("""COMPUTED_VALUE"""),"No")</f>
        <v>No</v>
      </c>
      <c r="AG952" s="1" t="str">
        <f ca="1">IFERROR(__xludf.DUMMYFUNCTION("""COMPUTED_VALUE"""),"No")</f>
        <v>No</v>
      </c>
      <c r="AH952" s="1"/>
    </row>
    <row r="953" spans="1:34" ht="12.5">
      <c r="A953" s="1" t="str">
        <f ca="1">IFERROR(__xludf.DUMMYFUNCTION("""COMPUTED_VALUE"""),"20210420TXHAH")</f>
        <v>20210420TXHAH</v>
      </c>
      <c r="B953" s="1">
        <f ca="1">IFERROR(__xludf.DUMMYFUNCTION("""COMPUTED_VALUE"""),4)</f>
        <v>4</v>
      </c>
      <c r="C953" s="1">
        <f ca="1">IFERROR(__xludf.DUMMYFUNCTION("""COMPUTED_VALUE"""),20)</f>
        <v>20</v>
      </c>
      <c r="D953" s="1">
        <f ca="1">IFERROR(__xludf.DUMMYFUNCTION("""COMPUTED_VALUE"""),2021)</f>
        <v>2021</v>
      </c>
      <c r="E953" s="4">
        <f ca="1">IFERROR(__xludf.DUMMYFUNCTION("""COMPUTED_VALUE"""),44306)</f>
        <v>44306</v>
      </c>
      <c r="F953" s="1" t="str">
        <f ca="1">IFERROR(__xludf.DUMMYFUNCTION("""COMPUTED_VALUE"""),"Harker Heights High School")</f>
        <v>Harker Heights High School</v>
      </c>
      <c r="G953" s="1">
        <f ca="1">IFERROR(__xludf.DUMMYFUNCTION("""COMPUTED_VALUE"""),1)</f>
        <v>1</v>
      </c>
      <c r="H953" s="1">
        <f ca="1">IFERROR(__xludf.DUMMYFUNCTION("""COMPUTED_VALUE"""),0)</f>
        <v>0</v>
      </c>
      <c r="I953" s="1">
        <f ca="1">IFERROR(__xludf.DUMMYFUNCTION("""COMPUTED_VALUE"""),1)</f>
        <v>1</v>
      </c>
      <c r="J953" s="1">
        <f ca="1">IFERROR(__xludf.DUMMYFUNCTION("""COMPUTED_VALUE"""),0)</f>
        <v>0</v>
      </c>
      <c r="K953" s="1" t="str">
        <f ca="1">IFERROR(__xludf.DUMMYFUNCTION("""COMPUTED_VALUE"""),"Spring")</f>
        <v>Spring</v>
      </c>
      <c r="L953" s="1" t="str">
        <f ca="1">IFERROR(__xludf.DUMMYFUNCTION("""COMPUTED_VALUE"""),"Harker Heights")</f>
        <v>Harker Heights</v>
      </c>
      <c r="M953" s="1" t="str">
        <f ca="1">IFERROR(__xludf.DUMMYFUNCTION("""COMPUTED_VALUE"""),"TX")</f>
        <v>TX</v>
      </c>
      <c r="N953" s="1" t="str">
        <f ca="1">IFERROR(__xludf.DUMMYFUNCTION("""COMPUTED_VALUE"""),"High")</f>
        <v>High</v>
      </c>
      <c r="O953" s="1" t="str">
        <f ca="1">IFERROR(__xludf.DUMMYFUNCTION("""COMPUTED_VALUE"""),"Parking Lot")</f>
        <v>Parking Lot</v>
      </c>
      <c r="P953" s="1" t="str">
        <f ca="1">IFERROR(__xludf.DUMMYFUNCTION("""COMPUTED_VALUE"""),"Outside on School Property")</f>
        <v>Outside on School Property</v>
      </c>
      <c r="Q953" s="1" t="str">
        <f ca="1">IFERROR(__xludf.DUMMYFUNCTION("""COMPUTED_VALUE"""),"No")</f>
        <v>No</v>
      </c>
      <c r="R953" s="1" t="str">
        <f ca="1">IFERROR(__xludf.DUMMYFUNCTION("""COMPUTED_VALUE"""),"Night")</f>
        <v>Night</v>
      </c>
      <c r="S953" s="5">
        <f ca="1">IFERROR(__xludf.DUMMYFUNCTION("""COMPUTED_VALUE"""),0.964583333333333)</f>
        <v>0.96458333333333302</v>
      </c>
      <c r="T953" s="1">
        <f ca="1">IFERROR(__xludf.DUMMYFUNCTION("""COMPUTED_VALUE"""),1)</f>
        <v>1</v>
      </c>
      <c r="U953" s="1" t="str">
        <f ca="1">IFERROR(__xludf.DUMMYFUNCTION("""COMPUTED_VALUE"""),"Teen shot and killed in school parking lot")</f>
        <v>Teen shot and killed in school parking lot</v>
      </c>
      <c r="V953" s="1" t="str">
        <f ca="1">IFERROR(__xludf.DUMMYFUNCTION("""COMPUTED_VALUE"""),"Police received 6 different 9-1-1 calls for shots fired in the school parking lot. Police found a 19YOM victim who had fled to a nearby wooded area. He had been shot multiple times and died at the hospital. Three other teens fled the area and were later a"&amp;"rrested. One was charged with discharging a firearm and the other two with aggravated robbery.")</f>
        <v>Police received 6 different 9-1-1 calls for shots fired in the school parking lot. Police found a 19YOM victim who had fled to a nearby wooded area. He had been shot multiple times and died at the hospital. Three other teens fled the area and were later arrested. One was charged with discharging a firearm and the other two with aggravated robbery.</v>
      </c>
      <c r="W953" s="1" t="str">
        <f ca="1">IFERROR(__xludf.DUMMYFUNCTION("""COMPUTED_VALUE"""),"Illegal Activity")</f>
        <v>Illegal Activity</v>
      </c>
      <c r="X953" s="1" t="str">
        <f ca="1">IFERROR(__xludf.DUMMYFUNCTION("""COMPUTED_VALUE"""),"Victims Targeted")</f>
        <v>Victims Targeted</v>
      </c>
      <c r="Y953" s="1" t="str">
        <f ca="1">IFERROR(__xludf.DUMMYFUNCTION("""COMPUTED_VALUE"""),"Yes")</f>
        <v>Yes</v>
      </c>
      <c r="Z953" s="1" t="str">
        <f ca="1">IFERROR(__xludf.DUMMYFUNCTION("""COMPUTED_VALUE"""),"Three teens charged")</f>
        <v>Three teens charged</v>
      </c>
      <c r="AA953" s="1" t="str">
        <f ca="1">IFERROR(__xludf.DUMMYFUNCTION("""COMPUTED_VALUE"""),"No")</f>
        <v>No</v>
      </c>
      <c r="AB953" s="1" t="str">
        <f ca="1">IFERROR(__xludf.DUMMYFUNCTION("""COMPUTED_VALUE"""),"No")</f>
        <v>No</v>
      </c>
      <c r="AC953" s="1" t="str">
        <f ca="1">IFERROR(__xludf.DUMMYFUNCTION("""COMPUTED_VALUE"""),"No")</f>
        <v>No</v>
      </c>
      <c r="AD953" s="1" t="str">
        <f ca="1">IFERROR(__xludf.DUMMYFUNCTION("""COMPUTED_VALUE"""),"No")</f>
        <v>No</v>
      </c>
      <c r="AE953" s="1" t="str">
        <f ca="1">IFERROR(__xludf.DUMMYFUNCTION("""COMPUTED_VALUE"""),"No")</f>
        <v>No</v>
      </c>
      <c r="AF953" s="1" t="str">
        <f ca="1">IFERROR(__xludf.DUMMYFUNCTION("""COMPUTED_VALUE"""),"No")</f>
        <v>No</v>
      </c>
      <c r="AG953" s="1" t="str">
        <f ca="1">IFERROR(__xludf.DUMMYFUNCTION("""COMPUTED_VALUE"""),"No")</f>
        <v>No</v>
      </c>
      <c r="AH953" s="1"/>
    </row>
    <row r="954" spans="1:34" ht="12.5">
      <c r="A954" s="1" t="str">
        <f ca="1">IFERROR(__xludf.DUMMYFUNCTION("""COMPUTED_VALUE"""),"20210418OHWED")</f>
        <v>20210418OHWED</v>
      </c>
      <c r="B954" s="1">
        <f ca="1">IFERROR(__xludf.DUMMYFUNCTION("""COMPUTED_VALUE"""),4)</f>
        <v>4</v>
      </c>
      <c r="C954" s="1">
        <f ca="1">IFERROR(__xludf.DUMMYFUNCTION("""COMPUTED_VALUE"""),18)</f>
        <v>18</v>
      </c>
      <c r="D954" s="1">
        <f ca="1">IFERROR(__xludf.DUMMYFUNCTION("""COMPUTED_VALUE"""),2021)</f>
        <v>2021</v>
      </c>
      <c r="E954" s="4">
        <f ca="1">IFERROR(__xludf.DUMMYFUNCTION("""COMPUTED_VALUE"""),44304)</f>
        <v>44304</v>
      </c>
      <c r="F954" s="1" t="str">
        <f ca="1">IFERROR(__xludf.DUMMYFUNCTION("""COMPUTED_VALUE"""),"Westwood Elementary School")</f>
        <v>Westwood Elementary School</v>
      </c>
      <c r="G954" s="1">
        <f ca="1">IFERROR(__xludf.DUMMYFUNCTION("""COMPUTED_VALUE"""),1)</f>
        <v>1</v>
      </c>
      <c r="H954" s="1">
        <f ca="1">IFERROR(__xludf.DUMMYFUNCTION("""COMPUTED_VALUE"""),1)</f>
        <v>1</v>
      </c>
      <c r="I954" s="1">
        <f ca="1">IFERROR(__xludf.DUMMYFUNCTION("""COMPUTED_VALUE"""),2)</f>
        <v>2</v>
      </c>
      <c r="J954" s="1">
        <f ca="1">IFERROR(__xludf.DUMMYFUNCTION("""COMPUTED_VALUE"""),0)</f>
        <v>0</v>
      </c>
      <c r="K954" s="1" t="str">
        <f ca="1">IFERROR(__xludf.DUMMYFUNCTION("""COMPUTED_VALUE"""),"Spring")</f>
        <v>Spring</v>
      </c>
      <c r="L954" s="1" t="str">
        <f ca="1">IFERROR(__xludf.DUMMYFUNCTION("""COMPUTED_VALUE"""),"Dayton")</f>
        <v>Dayton</v>
      </c>
      <c r="M954" s="1" t="str">
        <f ca="1">IFERROR(__xludf.DUMMYFUNCTION("""COMPUTED_VALUE"""),"OH")</f>
        <v>OH</v>
      </c>
      <c r="N954" s="1" t="str">
        <f ca="1">IFERROR(__xludf.DUMMYFUNCTION("""COMPUTED_VALUE"""),"Elementary")</f>
        <v>Elementary</v>
      </c>
      <c r="O954" s="1" t="str">
        <f ca="1">IFERROR(__xludf.DUMMYFUNCTION("""COMPUTED_VALUE"""),"Playground")</f>
        <v>Playground</v>
      </c>
      <c r="P954" s="1" t="str">
        <f ca="1">IFERROR(__xludf.DUMMYFUNCTION("""COMPUTED_VALUE"""),"Outside on School Property")</f>
        <v>Outside on School Property</v>
      </c>
      <c r="Q954" s="1" t="str">
        <f ca="1">IFERROR(__xludf.DUMMYFUNCTION("""COMPUTED_VALUE"""),"No")</f>
        <v>No</v>
      </c>
      <c r="R954" s="1" t="str">
        <f ca="1">IFERROR(__xludf.DUMMYFUNCTION("""COMPUTED_VALUE"""),"Not a School Day")</f>
        <v>Not a School Day</v>
      </c>
      <c r="S954" s="5">
        <f ca="1">IFERROR(__xludf.DUMMYFUNCTION("""COMPUTED_VALUE"""),0.677083333333333)</f>
        <v>0.67708333333333304</v>
      </c>
      <c r="T954" s="1">
        <f ca="1">IFERROR(__xludf.DUMMYFUNCTION("""COMPUTED_VALUE"""),1)</f>
        <v>1</v>
      </c>
      <c r="U954" s="1" t="str">
        <f ca="1">IFERROR(__xludf.DUMMYFUNCTION("""COMPUTED_VALUE"""),"Two teens found shot inside a vehicle near the school playground")</f>
        <v>Two teens found shot inside a vehicle near the school playground</v>
      </c>
      <c r="V954" s="1" t="str">
        <f ca="1">IFERROR(__xludf.DUMMYFUNCTION("""COMPUTED_VALUE"""),"Two teens were found shot inside a vehicle near the school playground. One teen died at the hospital. Police found shell casings behind the elementary school and near the playground. Shooter fled the scene. No students or staff involved.")</f>
        <v>Two teens were found shot inside a vehicle near the school playground. One teen died at the hospital. Police found shell casings behind the elementary school and near the playground. Shooter fled the scene. No students or staff involved.</v>
      </c>
      <c r="W954" s="1"/>
      <c r="X954" s="1" t="str">
        <f ca="1">IFERROR(__xludf.DUMMYFUNCTION("""COMPUTED_VALUE"""),"Victims Targeted")</f>
        <v>Victims Targeted</v>
      </c>
      <c r="Y954" s="1"/>
      <c r="Z954" s="1"/>
      <c r="AA954" s="1" t="str">
        <f ca="1">IFERROR(__xludf.DUMMYFUNCTION("""COMPUTED_VALUE"""),"No")</f>
        <v>No</v>
      </c>
      <c r="AB954" s="1" t="str">
        <f ca="1">IFERROR(__xludf.DUMMYFUNCTION("""COMPUTED_VALUE"""),"No")</f>
        <v>No</v>
      </c>
      <c r="AC954" s="1" t="str">
        <f ca="1">IFERROR(__xludf.DUMMYFUNCTION("""COMPUTED_VALUE"""),"No")</f>
        <v>No</v>
      </c>
      <c r="AD954" s="1" t="str">
        <f ca="1">IFERROR(__xludf.DUMMYFUNCTION("""COMPUTED_VALUE"""),"No")</f>
        <v>No</v>
      </c>
      <c r="AE954" s="1" t="str">
        <f ca="1">IFERROR(__xludf.DUMMYFUNCTION("""COMPUTED_VALUE"""),"No")</f>
        <v>No</v>
      </c>
      <c r="AF954" s="1"/>
      <c r="AG954" s="1" t="str">
        <f ca="1">IFERROR(__xludf.DUMMYFUNCTION("""COMPUTED_VALUE"""),"No")</f>
        <v>No</v>
      </c>
      <c r="AH954" s="1"/>
    </row>
    <row r="955" spans="1:34" ht="12.5">
      <c r="A955" s="1" t="str">
        <f ca="1">IFERROR(__xludf.DUMMYFUNCTION("""COMPUTED_VALUE"""),"20210413TNMAC")</f>
        <v>20210413TNMAC</v>
      </c>
      <c r="B955" s="1">
        <f ca="1">IFERROR(__xludf.DUMMYFUNCTION("""COMPUTED_VALUE"""),4)</f>
        <v>4</v>
      </c>
      <c r="C955" s="1">
        <f ca="1">IFERROR(__xludf.DUMMYFUNCTION("""COMPUTED_VALUE"""),13)</f>
        <v>13</v>
      </c>
      <c r="D955" s="1">
        <f ca="1">IFERROR(__xludf.DUMMYFUNCTION("""COMPUTED_VALUE"""),2021)</f>
        <v>2021</v>
      </c>
      <c r="E955" s="4">
        <f ca="1">IFERROR(__xludf.DUMMYFUNCTION("""COMPUTED_VALUE"""),44299)</f>
        <v>44299</v>
      </c>
      <c r="F955" s="1" t="str">
        <f ca="1">IFERROR(__xludf.DUMMYFUNCTION("""COMPUTED_VALUE"""),"Maury County Public Schools Bus No. 50")</f>
        <v>Maury County Public Schools Bus No. 50</v>
      </c>
      <c r="G955" s="1">
        <f ca="1">IFERROR(__xludf.DUMMYFUNCTION("""COMPUTED_VALUE"""),0)</f>
        <v>0</v>
      </c>
      <c r="H955" s="1">
        <f ca="1">IFERROR(__xludf.DUMMYFUNCTION("""COMPUTED_VALUE"""),0)</f>
        <v>0</v>
      </c>
      <c r="I955" s="1">
        <f ca="1">IFERROR(__xludf.DUMMYFUNCTION("""COMPUTED_VALUE"""),0)</f>
        <v>0</v>
      </c>
      <c r="J955" s="1">
        <f ca="1">IFERROR(__xludf.DUMMYFUNCTION("""COMPUTED_VALUE"""),0)</f>
        <v>0</v>
      </c>
      <c r="K955" s="1" t="str">
        <f ca="1">IFERROR(__xludf.DUMMYFUNCTION("""COMPUTED_VALUE"""),"Spring")</f>
        <v>Spring</v>
      </c>
      <c r="L955" s="1" t="str">
        <f ca="1">IFERROR(__xludf.DUMMYFUNCTION("""COMPUTED_VALUE"""),"Columbia")</f>
        <v>Columbia</v>
      </c>
      <c r="M955" s="1" t="str">
        <f ca="1">IFERROR(__xludf.DUMMYFUNCTION("""COMPUTED_VALUE"""),"TN")</f>
        <v>TN</v>
      </c>
      <c r="N955" s="1"/>
      <c r="O955" s="1" t="str">
        <f ca="1">IFERROR(__xludf.DUMMYFUNCTION("""COMPUTED_VALUE"""),"School Bus")</f>
        <v>School Bus</v>
      </c>
      <c r="P955" s="1" t="str">
        <f ca="1">IFERROR(__xludf.DUMMYFUNCTION("""COMPUTED_VALUE"""),"School Bus")</f>
        <v>School Bus</v>
      </c>
      <c r="Q955" s="1" t="str">
        <f ca="1">IFERROR(__xludf.DUMMYFUNCTION("""COMPUTED_VALUE"""),"Yes")</f>
        <v>Yes</v>
      </c>
      <c r="R955" s="1" t="str">
        <f ca="1">IFERROR(__xludf.DUMMYFUNCTION("""COMPUTED_VALUE"""),"Dismissal")</f>
        <v>Dismissal</v>
      </c>
      <c r="S955" s="5">
        <f ca="1">IFERROR(__xludf.DUMMYFUNCTION("""COMPUTED_VALUE"""),0.666666666666666)</f>
        <v>0.66666666666666596</v>
      </c>
      <c r="T955" s="1">
        <f ca="1">IFERROR(__xludf.DUMMYFUNCTION("""COMPUTED_VALUE"""),1)</f>
        <v>1</v>
      </c>
      <c r="U955" s="1" t="str">
        <f ca="1">IFERROR(__xludf.DUMMYFUNCTION("""COMPUTED_VALUE"""),"Woman was upset school bus was late and pulled gun during argument with bus driver")</f>
        <v>Woman was upset school bus was late and pulled gun during argument with bus driver</v>
      </c>
      <c r="V955" s="1" t="str">
        <f ca="1">IFERROR(__xludf.DUMMYFUNCTION("""COMPUTED_VALUE"""),"9 students and 2 staff members (bus driver and driver trainee) were on a school bus when a 32-year-old woman got onto the bus. She was upset about the bus being late and pulled a semi-automatic handgun. She did not fire the weapon and left the scene. Scho"&amp;"ol bus driver notified police to report the incident. No students or staff were injured. Woman was arrested.")</f>
        <v>9 students and 2 staff members (bus driver and driver trainee) were on a school bus when a 32-year-old woman got onto the bus. She was upset about the bus being late and pulled a semi-automatic handgun. She did not fire the weapon and left the scene. School bus driver notified police to report the incident. No students or staff were injured. Woman was arrested.</v>
      </c>
      <c r="W955" s="1" t="str">
        <f ca="1">IFERROR(__xludf.DUMMYFUNCTION("""COMPUTED_VALUE"""),"Escalation of Dispute")</f>
        <v>Escalation of Dispute</v>
      </c>
      <c r="X955" s="1" t="str">
        <f ca="1">IFERROR(__xludf.DUMMYFUNCTION("""COMPUTED_VALUE"""),"Victims Targeted")</f>
        <v>Victims Targeted</v>
      </c>
      <c r="Y955" s="1" t="str">
        <f ca="1">IFERROR(__xludf.DUMMYFUNCTION("""COMPUTED_VALUE"""),"No")</f>
        <v>No</v>
      </c>
      <c r="Z955" s="1"/>
      <c r="AA955" s="1" t="str">
        <f ca="1">IFERROR(__xludf.DUMMYFUNCTION("""COMPUTED_VALUE"""),"No")</f>
        <v>No</v>
      </c>
      <c r="AB955" s="1" t="str">
        <f ca="1">IFERROR(__xludf.DUMMYFUNCTION("""COMPUTED_VALUE"""),"No")</f>
        <v>No</v>
      </c>
      <c r="AC955" s="1" t="str">
        <f ca="1">IFERROR(__xludf.DUMMYFUNCTION("""COMPUTED_VALUE"""),"No")</f>
        <v>No</v>
      </c>
      <c r="AD955" s="1" t="str">
        <f ca="1">IFERROR(__xludf.DUMMYFUNCTION("""COMPUTED_VALUE"""),"No")</f>
        <v>No</v>
      </c>
      <c r="AE955" s="1" t="str">
        <f ca="1">IFERROR(__xludf.DUMMYFUNCTION("""COMPUTED_VALUE"""),"No")</f>
        <v>No</v>
      </c>
      <c r="AF955" s="1" t="str">
        <f ca="1">IFERROR(__xludf.DUMMYFUNCTION("""COMPUTED_VALUE"""),"No")</f>
        <v>No</v>
      </c>
      <c r="AG955" s="1" t="str">
        <f ca="1">IFERROR(__xludf.DUMMYFUNCTION("""COMPUTED_VALUE"""),"No")</f>
        <v>No</v>
      </c>
      <c r="AH955" s="1">
        <f ca="1">IFERROR(__xludf.DUMMYFUNCTION("""COMPUTED_VALUE"""),0)</f>
        <v>0</v>
      </c>
    </row>
    <row r="956" spans="1:34" ht="12.5">
      <c r="A956" s="1" t="str">
        <f ca="1">IFERROR(__xludf.DUMMYFUNCTION("""COMPUTED_VALUE"""),"20210412TNAUK")</f>
        <v>20210412TNAUK</v>
      </c>
      <c r="B956" s="1">
        <f ca="1">IFERROR(__xludf.DUMMYFUNCTION("""COMPUTED_VALUE"""),4)</f>
        <v>4</v>
      </c>
      <c r="C956" s="1">
        <f ca="1">IFERROR(__xludf.DUMMYFUNCTION("""COMPUTED_VALUE"""),12)</f>
        <v>12</v>
      </c>
      <c r="D956" s="1">
        <f ca="1">IFERROR(__xludf.DUMMYFUNCTION("""COMPUTED_VALUE"""),2021)</f>
        <v>2021</v>
      </c>
      <c r="E956" s="4">
        <f ca="1">IFERROR(__xludf.DUMMYFUNCTION("""COMPUTED_VALUE"""),44298)</f>
        <v>44298</v>
      </c>
      <c r="F956" s="1" t="str">
        <f ca="1">IFERROR(__xludf.DUMMYFUNCTION("""COMPUTED_VALUE"""),"Austin-East Magnet High School")</f>
        <v>Austin-East Magnet High School</v>
      </c>
      <c r="G956" s="1">
        <f ca="1">IFERROR(__xludf.DUMMYFUNCTION("""COMPUTED_VALUE"""),0)</f>
        <v>0</v>
      </c>
      <c r="H956" s="1">
        <f ca="1">IFERROR(__xludf.DUMMYFUNCTION("""COMPUTED_VALUE"""),1)</f>
        <v>1</v>
      </c>
      <c r="I956" s="1">
        <f ca="1">IFERROR(__xludf.DUMMYFUNCTION("""COMPUTED_VALUE"""),1)</f>
        <v>1</v>
      </c>
      <c r="J956" s="1">
        <f ca="1">IFERROR(__xludf.DUMMYFUNCTION("""COMPUTED_VALUE"""),1)</f>
        <v>1</v>
      </c>
      <c r="K956" s="1" t="str">
        <f ca="1">IFERROR(__xludf.DUMMYFUNCTION("""COMPUTED_VALUE"""),"Spring")</f>
        <v>Spring</v>
      </c>
      <c r="L956" s="1" t="str">
        <f ca="1">IFERROR(__xludf.DUMMYFUNCTION("""COMPUTED_VALUE"""),"Knoxville")</f>
        <v>Knoxville</v>
      </c>
      <c r="M956" s="1" t="str">
        <f ca="1">IFERROR(__xludf.DUMMYFUNCTION("""COMPUTED_VALUE"""),"TN")</f>
        <v>TN</v>
      </c>
      <c r="N956" s="1" t="str">
        <f ca="1">IFERROR(__xludf.DUMMYFUNCTION("""COMPUTED_VALUE"""),"High")</f>
        <v>High</v>
      </c>
      <c r="O956" s="1" t="str">
        <f ca="1">IFERROR(__xludf.DUMMYFUNCTION("""COMPUTED_VALUE"""),"Bathroom")</f>
        <v>Bathroom</v>
      </c>
      <c r="P956" s="1" t="str">
        <f ca="1">IFERROR(__xludf.DUMMYFUNCTION("""COMPUTED_VALUE"""),"Inside School Building")</f>
        <v>Inside School Building</v>
      </c>
      <c r="Q956" s="1" t="str">
        <f ca="1">IFERROR(__xludf.DUMMYFUNCTION("""COMPUTED_VALUE"""),"Yes")</f>
        <v>Yes</v>
      </c>
      <c r="R956" s="1" t="str">
        <f ca="1">IFERROR(__xludf.DUMMYFUNCTION("""COMPUTED_VALUE"""),"Afternoon Classes")</f>
        <v>Afternoon Classes</v>
      </c>
      <c r="S956" s="5">
        <f ca="1">IFERROR(__xludf.DUMMYFUNCTION("""COMPUTED_VALUE"""),0.635416666666666)</f>
        <v>0.63541666666666596</v>
      </c>
      <c r="T956" s="1">
        <f ca="1">IFERROR(__xludf.DUMMYFUNCTION("""COMPUTED_VALUE"""),1)</f>
        <v>1</v>
      </c>
      <c r="U956" s="1" t="str">
        <f ca="1">IFERROR(__xludf.DUMMYFUNCTION("""COMPUTED_VALUE"""),"Shots fired during struggle with police in school bathroom by armed student")</f>
        <v>Shots fired during struggle with police in school bathroom by armed student</v>
      </c>
      <c r="V956" s="1" t="str">
        <f ca="1">IFERROR(__xludf.DUMMYFUNCTION("""COMPUTED_VALUE"""),"Shots fired during struggle with police in school bathroom by armed student. During the struggle, a handgun in the sweatshirt pocket of the student discharged and the bullet struck a trashcan. Officer reacted to the shot, pulled his weapon and fatally sho"&amp;"t the student. Investigation found that officers acted correctly and were not charged. Police responded to the school after the shooter's girlfriend's mother called police to report domestic violence.")</f>
        <v>Shots fired during struggle with police in school bathroom by armed student. During the struggle, a handgun in the sweatshirt pocket of the student discharged and the bullet struck a trashcan. Officer reacted to the shot, pulled his weapon and fatally shot the student. Investigation found that officers acted correctly and were not charged. Police responded to the school after the shooter's girlfriend's mother called police to report domestic violence.</v>
      </c>
      <c r="W956" s="1"/>
      <c r="X956" s="1" t="str">
        <f ca="1">IFERROR(__xludf.DUMMYFUNCTION("""COMPUTED_VALUE"""),"Victims Targeted")</f>
        <v>Victims Targeted</v>
      </c>
      <c r="Y956" s="1" t="str">
        <f ca="1">IFERROR(__xludf.DUMMYFUNCTION("""COMPUTED_VALUE"""),"No")</f>
        <v>No</v>
      </c>
      <c r="Z956" s="1"/>
      <c r="AA956" s="1" t="str">
        <f ca="1">IFERROR(__xludf.DUMMYFUNCTION("""COMPUTED_VALUE"""),"No")</f>
        <v>No</v>
      </c>
      <c r="AB956" s="1" t="str">
        <f ca="1">IFERROR(__xludf.DUMMYFUNCTION("""COMPUTED_VALUE"""),"Yes")</f>
        <v>Yes</v>
      </c>
      <c r="AC956" s="1" t="str">
        <f ca="1">IFERROR(__xludf.DUMMYFUNCTION("""COMPUTED_VALUE"""),"No")</f>
        <v>No</v>
      </c>
      <c r="AD956" s="1" t="str">
        <f ca="1">IFERROR(__xludf.DUMMYFUNCTION("""COMPUTED_VALUE"""),"No")</f>
        <v>No</v>
      </c>
      <c r="AE956" s="1" t="str">
        <f ca="1">IFERROR(__xludf.DUMMYFUNCTION("""COMPUTED_VALUE"""),"Yes")</f>
        <v>Yes</v>
      </c>
      <c r="AF956" s="1" t="str">
        <f ca="1">IFERROR(__xludf.DUMMYFUNCTION("""COMPUTED_VALUE"""),"No")</f>
        <v>No</v>
      </c>
      <c r="AG956" s="1" t="str">
        <f ca="1">IFERROR(__xludf.DUMMYFUNCTION("""COMPUTED_VALUE"""),"No")</f>
        <v>No</v>
      </c>
      <c r="AH956" s="1">
        <f ca="1">IFERROR(__xludf.DUMMYFUNCTION("""COMPUTED_VALUE"""),1)</f>
        <v>1</v>
      </c>
    </row>
    <row r="957" spans="1:34" ht="12.5">
      <c r="A957" s="1" t="str">
        <f ca="1">IFERROR(__xludf.DUMMYFUNCTION("""COMPUTED_VALUE"""),"20210412CASAS")</f>
        <v>20210412CASAS</v>
      </c>
      <c r="B957" s="1">
        <f ca="1">IFERROR(__xludf.DUMMYFUNCTION("""COMPUTED_VALUE"""),4)</f>
        <v>4</v>
      </c>
      <c r="C957" s="1">
        <f ca="1">IFERROR(__xludf.DUMMYFUNCTION("""COMPUTED_VALUE"""),12)</f>
        <v>12</v>
      </c>
      <c r="D957" s="1">
        <f ca="1">IFERROR(__xludf.DUMMYFUNCTION("""COMPUTED_VALUE"""),2021)</f>
        <v>2021</v>
      </c>
      <c r="E957" s="4">
        <f ca="1">IFERROR(__xludf.DUMMYFUNCTION("""COMPUTED_VALUE"""),44298)</f>
        <v>44298</v>
      </c>
      <c r="F957" s="1" t="str">
        <f ca="1">IFERROR(__xludf.DUMMYFUNCTION("""COMPUTED_VALUE"""),"San Diego High School")</f>
        <v>San Diego High School</v>
      </c>
      <c r="G957" s="1">
        <f ca="1">IFERROR(__xludf.DUMMYFUNCTION("""COMPUTED_VALUE"""),0)</f>
        <v>0</v>
      </c>
      <c r="H957" s="1">
        <f ca="1">IFERROR(__xludf.DUMMYFUNCTION("""COMPUTED_VALUE"""),0)</f>
        <v>0</v>
      </c>
      <c r="I957" s="1">
        <f ca="1">IFERROR(__xludf.DUMMYFUNCTION("""COMPUTED_VALUE"""),0)</f>
        <v>0</v>
      </c>
      <c r="J957" s="1">
        <f ca="1">IFERROR(__xludf.DUMMYFUNCTION("""COMPUTED_VALUE"""),1)</f>
        <v>1</v>
      </c>
      <c r="K957" s="1" t="str">
        <f ca="1">IFERROR(__xludf.DUMMYFUNCTION("""COMPUTED_VALUE"""),"Spring")</f>
        <v>Spring</v>
      </c>
      <c r="L957" s="1" t="str">
        <f ca="1">IFERROR(__xludf.DUMMYFUNCTION("""COMPUTED_VALUE"""),"San Diego")</f>
        <v>San Diego</v>
      </c>
      <c r="M957" s="1" t="str">
        <f ca="1">IFERROR(__xludf.DUMMYFUNCTION("""COMPUTED_VALUE"""),"CA")</f>
        <v>CA</v>
      </c>
      <c r="N957" s="1" t="str">
        <f ca="1">IFERROR(__xludf.DUMMYFUNCTION("""COMPUTED_VALUE"""),"High")</f>
        <v>High</v>
      </c>
      <c r="O957" s="1" t="str">
        <f ca="1">IFERROR(__xludf.DUMMYFUNCTION("""COMPUTED_VALUE"""),"Football Field/Track")</f>
        <v>Football Field/Track</v>
      </c>
      <c r="P957" s="1" t="str">
        <f ca="1">IFERROR(__xludf.DUMMYFUNCTION("""COMPUTED_VALUE"""),"Outside on School Property")</f>
        <v>Outside on School Property</v>
      </c>
      <c r="Q957" s="1" t="str">
        <f ca="1">IFERROR(__xludf.DUMMYFUNCTION("""COMPUTED_VALUE"""),"No")</f>
        <v>No</v>
      </c>
      <c r="R957" s="1" t="str">
        <f ca="1">IFERROR(__xludf.DUMMYFUNCTION("""COMPUTED_VALUE"""),"Evening")</f>
        <v>Evening</v>
      </c>
      <c r="S957" s="5">
        <f ca="1">IFERROR(__xludf.DUMMYFUNCTION("""COMPUTED_VALUE"""),0.864583333333333)</f>
        <v>0.86458333333333304</v>
      </c>
      <c r="T957" s="1">
        <f ca="1">IFERROR(__xludf.DUMMYFUNCTION("""COMPUTED_VALUE"""),660)</f>
        <v>660</v>
      </c>
      <c r="U957" s="1" t="str">
        <f ca="1">IFERROR(__xludf.DUMMYFUNCTION("""COMPUTED_VALUE"""),"Hostage standoff inside dumpster near the football field")</f>
        <v>Hostage standoff inside dumpster near the football field</v>
      </c>
      <c r="V957" s="1" t="str">
        <f ca="1">IFERROR(__xludf.DUMMYFUNCTION("""COMPUTED_VALUE"""),"A 36-year-old male was wanted by police for 3 different shootings in the prior month involving officers and a private bail bondsman. Police attempted a traffic stop and the suspect fled. During the pursuit, the suspect fired shots at officers. At the end "&amp;"of the pursuit, the suspect drove through a gate onto the football field of San Diego High School and fled on foot with a 32-year-old female (his girlfriend) into a large garbage dumpster on the campus. There was an 11-hour standoff and negotiation with p"&amp;"olice. During the standoff, the woman tried to get out of the dumpster and the man pulled her back inside. When the suspect made a verbal threat and pushed the female who police believed was a hostage, SWAT officers fired and killed him. After the inciden"&amp;"t, police charged the 33-year-old woman (Janeth Iriarte) with vehicle theft and accessory to a crime after the fact. Three school campuses including San Diego High School, East Village Middle College High School, and Garfield High School were all switched"&amp;" to remote learning due to the incident.")</f>
        <v>A 36-year-old male was wanted by police for 3 different shootings in the prior month involving officers and a private bail bondsman. Police attempted a traffic stop and the suspect fled. During the pursuit, the suspect fired shots at officers. At the end of the pursuit, the suspect drove through a gate onto the football field of San Diego High School and fled on foot with a 32-year-old female (his girlfriend) into a large garbage dumpster on the campus. There was an 11-hour standoff and negotiation with police. During the standoff, the woman tried to get out of the dumpster and the man pulled her back inside. When the suspect made a verbal threat and pushed the female who police believed was a hostage, SWAT officers fired and killed him. After the incident, police charged the 33-year-old woman (Janeth Iriarte) with vehicle theft and accessory to a crime after the fact. Three school campuses including San Diego High School, East Village Middle College High School, and Garfield High School were all switched to remote learning due to the incident.</v>
      </c>
      <c r="W957" s="1" t="str">
        <f ca="1">IFERROR(__xludf.DUMMYFUNCTION("""COMPUTED_VALUE"""),"Hostage/Standoff")</f>
        <v>Hostage/Standoff</v>
      </c>
      <c r="X957" s="1" t="str">
        <f ca="1">IFERROR(__xludf.DUMMYFUNCTION("""COMPUTED_VALUE"""),"Random Shooting")</f>
        <v>Random Shooting</v>
      </c>
      <c r="Y957" s="1" t="str">
        <f ca="1">IFERROR(__xludf.DUMMYFUNCTION("""COMPUTED_VALUE"""),"Yes")</f>
        <v>Yes</v>
      </c>
      <c r="Z957" s="1" t="str">
        <f ca="1">IFERROR(__xludf.DUMMYFUNCTION("""COMPUTED_VALUE"""),"Adult female who became a hostage")</f>
        <v>Adult female who became a hostage</v>
      </c>
      <c r="AA957" s="1" t="str">
        <f ca="1">IFERROR(__xludf.DUMMYFUNCTION("""COMPUTED_VALUE"""),"Yes")</f>
        <v>Yes</v>
      </c>
      <c r="AB957" s="1" t="str">
        <f ca="1">IFERROR(__xludf.DUMMYFUNCTION("""COMPUTED_VALUE"""),"Yes")</f>
        <v>Yes</v>
      </c>
      <c r="AC957" s="1" t="str">
        <f ca="1">IFERROR(__xludf.DUMMYFUNCTION("""COMPUTED_VALUE"""),"No")</f>
        <v>No</v>
      </c>
      <c r="AD957" s="1" t="str">
        <f ca="1">IFERROR(__xludf.DUMMYFUNCTION("""COMPUTED_VALUE"""),"No")</f>
        <v>No</v>
      </c>
      <c r="AE957" s="1" t="str">
        <f ca="1">IFERROR(__xludf.DUMMYFUNCTION("""COMPUTED_VALUE"""),"No")</f>
        <v>No</v>
      </c>
      <c r="AF957" s="1" t="str">
        <f ca="1">IFERROR(__xludf.DUMMYFUNCTION("""COMPUTED_VALUE"""),"No")</f>
        <v>No</v>
      </c>
      <c r="AG957" s="1" t="str">
        <f ca="1">IFERROR(__xludf.DUMMYFUNCTION("""COMPUTED_VALUE"""),"Yes")</f>
        <v>Yes</v>
      </c>
      <c r="AH957" s="1"/>
    </row>
    <row r="958" spans="1:34" ht="12.5">
      <c r="A958" s="1" t="str">
        <f ca="1">IFERROR(__xludf.DUMMYFUNCTION("""COMPUTED_VALUE"""),"20210411INBIH")</f>
        <v>20210411INBIH</v>
      </c>
      <c r="B958" s="1">
        <f ca="1">IFERROR(__xludf.DUMMYFUNCTION("""COMPUTED_VALUE"""),4)</f>
        <v>4</v>
      </c>
      <c r="C958" s="1">
        <f ca="1">IFERROR(__xludf.DUMMYFUNCTION("""COMPUTED_VALUE"""),11)</f>
        <v>11</v>
      </c>
      <c r="D958" s="1">
        <f ca="1">IFERROR(__xludf.DUMMYFUNCTION("""COMPUTED_VALUE"""),2021)</f>
        <v>2021</v>
      </c>
      <c r="E958" s="4">
        <f ca="1">IFERROR(__xludf.DUMMYFUNCTION("""COMPUTED_VALUE"""),44297)</f>
        <v>44297</v>
      </c>
      <c r="F958" s="1" t="str">
        <f ca="1">IFERROR(__xludf.DUMMYFUNCTION("""COMPUTED_VALUE"""),"Bishop Noll Institute")</f>
        <v>Bishop Noll Institute</v>
      </c>
      <c r="G958" s="1">
        <f ca="1">IFERROR(__xludf.DUMMYFUNCTION("""COMPUTED_VALUE"""),1)</f>
        <v>1</v>
      </c>
      <c r="H958" s="1">
        <f ca="1">IFERROR(__xludf.DUMMYFUNCTION("""COMPUTED_VALUE"""),0)</f>
        <v>0</v>
      </c>
      <c r="I958" s="1">
        <f ca="1">IFERROR(__xludf.DUMMYFUNCTION("""COMPUTED_VALUE"""),1)</f>
        <v>1</v>
      </c>
      <c r="J958" s="1">
        <f ca="1">IFERROR(__xludf.DUMMYFUNCTION("""COMPUTED_VALUE"""),0)</f>
        <v>0</v>
      </c>
      <c r="K958" s="1" t="str">
        <f ca="1">IFERROR(__xludf.DUMMYFUNCTION("""COMPUTED_VALUE"""),"Spring")</f>
        <v>Spring</v>
      </c>
      <c r="L958" s="1" t="str">
        <f ca="1">IFERROR(__xludf.DUMMYFUNCTION("""COMPUTED_VALUE"""),"Hammond")</f>
        <v>Hammond</v>
      </c>
      <c r="M958" s="1" t="str">
        <f ca="1">IFERROR(__xludf.DUMMYFUNCTION("""COMPUTED_VALUE"""),"IN")</f>
        <v>IN</v>
      </c>
      <c r="N958" s="1" t="str">
        <f ca="1">IFERROR(__xludf.DUMMYFUNCTION("""COMPUTED_VALUE"""),"High")</f>
        <v>High</v>
      </c>
      <c r="O958" s="1" t="str">
        <f ca="1">IFERROR(__xludf.DUMMYFUNCTION("""COMPUTED_VALUE"""),"Parking Lot")</f>
        <v>Parking Lot</v>
      </c>
      <c r="P958" s="1" t="str">
        <f ca="1">IFERROR(__xludf.DUMMYFUNCTION("""COMPUTED_VALUE"""),"Outside on School Property")</f>
        <v>Outside on School Property</v>
      </c>
      <c r="Q958" s="1" t="str">
        <f ca="1">IFERROR(__xludf.DUMMYFUNCTION("""COMPUTED_VALUE"""),"No")</f>
        <v>No</v>
      </c>
      <c r="R958" s="1" t="str">
        <f ca="1">IFERROR(__xludf.DUMMYFUNCTION("""COMPUTED_VALUE"""),"Night")</f>
        <v>Night</v>
      </c>
      <c r="S958" s="5">
        <f ca="1">IFERROR(__xludf.DUMMYFUNCTION("""COMPUTED_VALUE"""),0.888888888888888)</f>
        <v>0.88888888888888795</v>
      </c>
      <c r="T958" s="1">
        <f ca="1">IFERROR(__xludf.DUMMYFUNCTION("""COMPUTED_VALUE"""),1)</f>
        <v>1</v>
      </c>
      <c r="U958" s="1" t="str">
        <f ca="1">IFERROR(__xludf.DUMMYFUNCTION("""COMPUTED_VALUE"""),"Adult male shot adult female in the school parking lot")</f>
        <v>Adult male shot adult female in the school parking lot</v>
      </c>
      <c r="V958" s="1" t="str">
        <f ca="1">IFERROR(__xludf.DUMMYFUNCTION("""COMPUTED_VALUE"""),"Police responded to the school parking lot for a reported shooting and found a 43-year-old female fatally shot inside a vehicle. The 38-year-old male shooter fled to a nearby apartment complex where he was arrested 2 days later. A 9mm handgun was found at"&amp;" the property. The shooter had sent threatening text messages to the victim prior to the shooting. Shooter had prior felony convictions for drug dealing and was not permitted to own a handgun. No students or school staff were involved and the school was c"&amp;"losed at the time of the shooting.")</f>
        <v>Police responded to the school parking lot for a reported shooting and found a 43-year-old female fatally shot inside a vehicle. The 38-year-old male shooter fled to a nearby apartment complex where he was arrested 2 days later. A 9mm handgun was found at the property. The shooter had sent threatening text messages to the victim prior to the shooting. Shooter had prior felony convictions for drug dealing and was not permitted to own a handgun. No students or school staff were involved and the school was closed at the time of the shooting.</v>
      </c>
      <c r="W958" s="1" t="str">
        <f ca="1">IFERROR(__xludf.DUMMYFUNCTION("""COMPUTED_VALUE"""),"Domestic w/ Targeted Victim")</f>
        <v>Domestic w/ Targeted Victim</v>
      </c>
      <c r="X958" s="1" t="str">
        <f ca="1">IFERROR(__xludf.DUMMYFUNCTION("""COMPUTED_VALUE"""),"Victims Targeted")</f>
        <v>Victims Targeted</v>
      </c>
      <c r="Y958" s="1" t="str">
        <f ca="1">IFERROR(__xludf.DUMMYFUNCTION("""COMPUTED_VALUE"""),"No")</f>
        <v>No</v>
      </c>
      <c r="Z958" s="1"/>
      <c r="AA958" s="1" t="str">
        <f ca="1">IFERROR(__xludf.DUMMYFUNCTION("""COMPUTED_VALUE"""),"No")</f>
        <v>No</v>
      </c>
      <c r="AB958" s="1" t="str">
        <f ca="1">IFERROR(__xludf.DUMMYFUNCTION("""COMPUTED_VALUE"""),"No")</f>
        <v>No</v>
      </c>
      <c r="AC958" s="1" t="str">
        <f ca="1">IFERROR(__xludf.DUMMYFUNCTION("""COMPUTED_VALUE"""),"No")</f>
        <v>No</v>
      </c>
      <c r="AD958" s="1" t="str">
        <f ca="1">IFERROR(__xludf.DUMMYFUNCTION("""COMPUTED_VALUE"""),"No")</f>
        <v>No</v>
      </c>
      <c r="AE958" s="1" t="str">
        <f ca="1">IFERROR(__xludf.DUMMYFUNCTION("""COMPUTED_VALUE"""),"Yes")</f>
        <v>Yes</v>
      </c>
      <c r="AF958" s="1" t="str">
        <f ca="1">IFERROR(__xludf.DUMMYFUNCTION("""COMPUTED_VALUE"""),"No")</f>
        <v>No</v>
      </c>
      <c r="AG958" s="1" t="str">
        <f ca="1">IFERROR(__xludf.DUMMYFUNCTION("""COMPUTED_VALUE"""),"No")</f>
        <v>No</v>
      </c>
      <c r="AH958" s="1">
        <f ca="1">IFERROR(__xludf.DUMMYFUNCTION("""COMPUTED_VALUE"""),1)</f>
        <v>1</v>
      </c>
    </row>
    <row r="959" spans="1:34" ht="12.5">
      <c r="A959" s="1" t="str">
        <f ca="1">IFERROR(__xludf.DUMMYFUNCTION("""COMPUTED_VALUE"""),"20210407ILPEP")</f>
        <v>20210407ILPEP</v>
      </c>
      <c r="B959" s="1">
        <f ca="1">IFERROR(__xludf.DUMMYFUNCTION("""COMPUTED_VALUE"""),4)</f>
        <v>4</v>
      </c>
      <c r="C959" s="1">
        <f ca="1">IFERROR(__xludf.DUMMYFUNCTION("""COMPUTED_VALUE"""),7)</f>
        <v>7</v>
      </c>
      <c r="D959" s="1">
        <f ca="1">IFERROR(__xludf.DUMMYFUNCTION("""COMPUTED_VALUE"""),2021)</f>
        <v>2021</v>
      </c>
      <c r="E959" s="4">
        <f ca="1">IFERROR(__xludf.DUMMYFUNCTION("""COMPUTED_VALUE"""),44293)</f>
        <v>44293</v>
      </c>
      <c r="F959" s="1" t="str">
        <f ca="1">IFERROR(__xludf.DUMMYFUNCTION("""COMPUTED_VALUE"""),"Peoria High School")</f>
        <v>Peoria High School</v>
      </c>
      <c r="G959" s="1">
        <f ca="1">IFERROR(__xludf.DUMMYFUNCTION("""COMPUTED_VALUE"""),0)</f>
        <v>0</v>
      </c>
      <c r="H959" s="1">
        <f ca="1">IFERROR(__xludf.DUMMYFUNCTION("""COMPUTED_VALUE"""),0)</f>
        <v>0</v>
      </c>
      <c r="I959" s="1">
        <f ca="1">IFERROR(__xludf.DUMMYFUNCTION("""COMPUTED_VALUE"""),0)</f>
        <v>0</v>
      </c>
      <c r="J959" s="1">
        <f ca="1">IFERROR(__xludf.DUMMYFUNCTION("""COMPUTED_VALUE"""),0)</f>
        <v>0</v>
      </c>
      <c r="K959" s="1" t="str">
        <f ca="1">IFERROR(__xludf.DUMMYFUNCTION("""COMPUTED_VALUE"""),"Spring")</f>
        <v>Spring</v>
      </c>
      <c r="L959" s="1" t="str">
        <f ca="1">IFERROR(__xludf.DUMMYFUNCTION("""COMPUTED_VALUE"""),"Peoria")</f>
        <v>Peoria</v>
      </c>
      <c r="M959" s="1" t="str">
        <f ca="1">IFERROR(__xludf.DUMMYFUNCTION("""COMPUTED_VALUE"""),"IL")</f>
        <v>IL</v>
      </c>
      <c r="N959" s="1" t="str">
        <f ca="1">IFERROR(__xludf.DUMMYFUNCTION("""COMPUTED_VALUE"""),"High")</f>
        <v>High</v>
      </c>
      <c r="O959" s="1" t="str">
        <f ca="1">IFERROR(__xludf.DUMMYFUNCTION("""COMPUTED_VALUE"""),"Inside School Building")</f>
        <v>Inside School Building</v>
      </c>
      <c r="P959" s="1" t="str">
        <f ca="1">IFERROR(__xludf.DUMMYFUNCTION("""COMPUTED_VALUE"""),"Inside School Building")</f>
        <v>Inside School Building</v>
      </c>
      <c r="Q959" s="1" t="str">
        <f ca="1">IFERROR(__xludf.DUMMYFUNCTION("""COMPUTED_VALUE"""),"Yes")</f>
        <v>Yes</v>
      </c>
      <c r="R959" s="1" t="str">
        <f ca="1">IFERROR(__xludf.DUMMYFUNCTION("""COMPUTED_VALUE"""),"Morning Classes")</f>
        <v>Morning Classes</v>
      </c>
      <c r="S959" s="5">
        <f ca="1">IFERROR(__xludf.DUMMYFUNCTION("""COMPUTED_VALUE"""),0.416666666666666)</f>
        <v>0.41666666666666602</v>
      </c>
      <c r="T959" s="1">
        <f ca="1">IFERROR(__xludf.DUMMYFUNCTION("""COMPUTED_VALUE"""),1)</f>
        <v>1</v>
      </c>
      <c r="U959" s="1" t="str">
        <f ca="1">IFERROR(__xludf.DUMMYFUNCTION("""COMPUTED_VALUE"""),"Student pointed a gun at another student during a fight inside the school")</f>
        <v>Student pointed a gun at another student during a fight inside the school</v>
      </c>
      <c r="V959" s="1" t="str">
        <f ca="1">IFERROR(__xludf.DUMMYFUNCTION("""COMPUTED_VALUE"""),"A 14-year-old student pulled a handgun and pointed it at a 16-year-old student during a fight inside the school. The gun was wrestled away from the shooter and a 3rd uninvolved student grabbed the gun then gave it to a teacher. The shooter was subdued and"&amp;" arrested by police. Police determined the gun was stolen and it was not loaded at the time of the incident. The school was locked down for 2 hours.")</f>
        <v>A 14-year-old student pulled a handgun and pointed it at a 16-year-old student during a fight inside the school. The gun was wrestled away from the shooter and a 3rd uninvolved student grabbed the gun then gave it to a teacher. The shooter was subdued and arrested by police. Police determined the gun was stolen and it was not loaded at the time of the incident. The school was locked down for 2 hours.</v>
      </c>
      <c r="W959" s="1" t="str">
        <f ca="1">IFERROR(__xludf.DUMMYFUNCTION("""COMPUTED_VALUE"""),"Escalation of Dispute")</f>
        <v>Escalation of Dispute</v>
      </c>
      <c r="X959" s="1" t="str">
        <f ca="1">IFERROR(__xludf.DUMMYFUNCTION("""COMPUTED_VALUE"""),"Victims Targeted")</f>
        <v>Victims Targeted</v>
      </c>
      <c r="Y959" s="1" t="str">
        <f ca="1">IFERROR(__xludf.DUMMYFUNCTION("""COMPUTED_VALUE"""),"No")</f>
        <v>No</v>
      </c>
      <c r="Z959" s="1"/>
      <c r="AA959" s="1" t="str">
        <f ca="1">IFERROR(__xludf.DUMMYFUNCTION("""COMPUTED_VALUE"""),"No")</f>
        <v>No</v>
      </c>
      <c r="AB959" s="1" t="str">
        <f ca="1">IFERROR(__xludf.DUMMYFUNCTION("""COMPUTED_VALUE"""),"No")</f>
        <v>No</v>
      </c>
      <c r="AC959" s="1" t="str">
        <f ca="1">IFERROR(__xludf.DUMMYFUNCTION("""COMPUTED_VALUE"""),"No")</f>
        <v>No</v>
      </c>
      <c r="AD959" s="1"/>
      <c r="AE959" s="1" t="str">
        <f ca="1">IFERROR(__xludf.DUMMYFUNCTION("""COMPUTED_VALUE"""),"No")</f>
        <v>No</v>
      </c>
      <c r="AF959" s="1"/>
      <c r="AG959" s="1" t="str">
        <f ca="1">IFERROR(__xludf.DUMMYFUNCTION("""COMPUTED_VALUE"""),"No")</f>
        <v>No</v>
      </c>
      <c r="AH959" s="1">
        <f ca="1">IFERROR(__xludf.DUMMYFUNCTION("""COMPUTED_VALUE"""),0)</f>
        <v>0</v>
      </c>
    </row>
    <row r="960" spans="1:34" ht="12.5">
      <c r="A960" s="1" t="str">
        <f ca="1">IFERROR(__xludf.DUMMYFUNCTION("""COMPUTED_VALUE"""),"20210406ILBAC")</f>
        <v>20210406ILBAC</v>
      </c>
      <c r="B960" s="1">
        <f ca="1">IFERROR(__xludf.DUMMYFUNCTION("""COMPUTED_VALUE"""),4)</f>
        <v>4</v>
      </c>
      <c r="C960" s="1">
        <f ca="1">IFERROR(__xludf.DUMMYFUNCTION("""COMPUTED_VALUE"""),6)</f>
        <v>6</v>
      </c>
      <c r="D960" s="1">
        <f ca="1">IFERROR(__xludf.DUMMYFUNCTION("""COMPUTED_VALUE"""),2021)</f>
        <v>2021</v>
      </c>
      <c r="E960" s="4">
        <f ca="1">IFERROR(__xludf.DUMMYFUNCTION("""COMPUTED_VALUE"""),44292)</f>
        <v>44292</v>
      </c>
      <c r="F960" s="1" t="str">
        <f ca="1">IFERROR(__xludf.DUMMYFUNCTION("""COMPUTED_VALUE"""),"Back of the Yards College Prep High School")</f>
        <v>Back of the Yards College Prep High School</v>
      </c>
      <c r="G960" s="1">
        <f ca="1">IFERROR(__xludf.DUMMYFUNCTION("""COMPUTED_VALUE"""),0)</f>
        <v>0</v>
      </c>
      <c r="H960" s="1">
        <f ca="1">IFERROR(__xludf.DUMMYFUNCTION("""COMPUTED_VALUE"""),0)</f>
        <v>0</v>
      </c>
      <c r="I960" s="1">
        <f ca="1">IFERROR(__xludf.DUMMYFUNCTION("""COMPUTED_VALUE"""),0)</f>
        <v>0</v>
      </c>
      <c r="J960" s="1">
        <f ca="1">IFERROR(__xludf.DUMMYFUNCTION("""COMPUTED_VALUE"""),0)</f>
        <v>0</v>
      </c>
      <c r="K960" s="1" t="str">
        <f ca="1">IFERROR(__xludf.DUMMYFUNCTION("""COMPUTED_VALUE"""),"Spring")</f>
        <v>Spring</v>
      </c>
      <c r="L960" s="1" t="str">
        <f ca="1">IFERROR(__xludf.DUMMYFUNCTION("""COMPUTED_VALUE"""),"Chicago")</f>
        <v>Chicago</v>
      </c>
      <c r="M960" s="1" t="str">
        <f ca="1">IFERROR(__xludf.DUMMYFUNCTION("""COMPUTED_VALUE"""),"IL")</f>
        <v>IL</v>
      </c>
      <c r="N960" s="1" t="str">
        <f ca="1">IFERROR(__xludf.DUMMYFUNCTION("""COMPUTED_VALUE"""),"High")</f>
        <v>High</v>
      </c>
      <c r="O960" s="1" t="str">
        <f ca="1">IFERROR(__xludf.DUMMYFUNCTION("""COMPUTED_VALUE"""),"Beside Building")</f>
        <v>Beside Building</v>
      </c>
      <c r="P960" s="1" t="str">
        <f ca="1">IFERROR(__xludf.DUMMYFUNCTION("""COMPUTED_VALUE"""),"Outside on School Property")</f>
        <v>Outside on School Property</v>
      </c>
      <c r="Q960" s="1" t="str">
        <f ca="1">IFERROR(__xludf.DUMMYFUNCTION("""COMPUTED_VALUE"""),"Yes")</f>
        <v>Yes</v>
      </c>
      <c r="R960" s="1" t="str">
        <f ca="1">IFERROR(__xludf.DUMMYFUNCTION("""COMPUTED_VALUE"""),"Afternoon Classes")</f>
        <v>Afternoon Classes</v>
      </c>
      <c r="S960" s="5">
        <f ca="1">IFERROR(__xludf.DUMMYFUNCTION("""COMPUTED_VALUE"""),0.583333333333333)</f>
        <v>0.58333333333333304</v>
      </c>
      <c r="T960" s="1">
        <f ca="1">IFERROR(__xludf.DUMMYFUNCTION("""COMPUTED_VALUE"""),1)</f>
        <v>1</v>
      </c>
      <c r="U960" s="1" t="str">
        <f ca="1">IFERROR(__xludf.DUMMYFUNCTION("""COMPUTED_VALUE"""),"Window of the school shot by BB during classes")</f>
        <v>Window of the school shot by BB during classes</v>
      </c>
      <c r="V960" s="1" t="str">
        <f ca="1">IFERROR(__xludf.DUMMYFUNCTION("""COMPUTED_VALUE"""),"Police were notified of an active shooter outside the school. A large window on the back of the school building was shattered by a BB. Staff were near the window and avoided injury from shattered glass. A 19-year-old male was arrested nearby with a BB gun"&amp;" that was designed to look like a semi-automatic ""assault style"" rifle. Police had received multiple reports the prior days of someone shooting BBs at the school. Damage estimated at $50,000.")</f>
        <v>Police were notified of an active shooter outside the school. A large window on the back of the school building was shattered by a BB. Staff were near the window and avoided injury from shattered glass. A 19-year-old male was arrested nearby with a BB gun that was designed to look like a semi-automatic "assault style" rifle. Police had received multiple reports the prior days of someone shooting BBs at the school. Damage estimated at $50,000.</v>
      </c>
      <c r="W960" s="1" t="str">
        <f ca="1">IFERROR(__xludf.DUMMYFUNCTION("""COMPUTED_VALUE"""),"Intentional Property Damage")</f>
        <v>Intentional Property Damage</v>
      </c>
      <c r="X960" s="1" t="str">
        <f ca="1">IFERROR(__xludf.DUMMYFUNCTION("""COMPUTED_VALUE"""),"Neither")</f>
        <v>Neither</v>
      </c>
      <c r="Y960" s="1" t="str">
        <f ca="1">IFERROR(__xludf.DUMMYFUNCTION("""COMPUTED_VALUE"""),"No")</f>
        <v>No</v>
      </c>
      <c r="Z960" s="1"/>
      <c r="AA960" s="1" t="str">
        <f ca="1">IFERROR(__xludf.DUMMYFUNCTION("""COMPUTED_VALUE"""),"No")</f>
        <v>No</v>
      </c>
      <c r="AB960" s="1" t="str">
        <f ca="1">IFERROR(__xludf.DUMMYFUNCTION("""COMPUTED_VALUE"""),"No")</f>
        <v>No</v>
      </c>
      <c r="AC960" s="1" t="str">
        <f ca="1">IFERROR(__xludf.DUMMYFUNCTION("""COMPUTED_VALUE"""),"No")</f>
        <v>No</v>
      </c>
      <c r="AD960" s="1" t="str">
        <f ca="1">IFERROR(__xludf.DUMMYFUNCTION("""COMPUTED_VALUE"""),"No")</f>
        <v>No</v>
      </c>
      <c r="AE960" s="1" t="str">
        <f ca="1">IFERROR(__xludf.DUMMYFUNCTION("""COMPUTED_VALUE"""),"No")</f>
        <v>No</v>
      </c>
      <c r="AF960" s="1" t="str">
        <f ca="1">IFERROR(__xludf.DUMMYFUNCTION("""COMPUTED_VALUE"""),"No")</f>
        <v>No</v>
      </c>
      <c r="AG960" s="1" t="str">
        <f ca="1">IFERROR(__xludf.DUMMYFUNCTION("""COMPUTED_VALUE"""),"No")</f>
        <v>No</v>
      </c>
      <c r="AH960" s="1"/>
    </row>
    <row r="961" spans="1:34" ht="12.5">
      <c r="A961" s="1" t="str">
        <f ca="1">IFERROR(__xludf.DUMMYFUNCTION("""COMPUTED_VALUE"""),"20210401OKCLC")</f>
        <v>20210401OKCLC</v>
      </c>
      <c r="B961" s="1">
        <f ca="1">IFERROR(__xludf.DUMMYFUNCTION("""COMPUTED_VALUE"""),4)</f>
        <v>4</v>
      </c>
      <c r="C961" s="1">
        <f ca="1">IFERROR(__xludf.DUMMYFUNCTION("""COMPUTED_VALUE"""),1)</f>
        <v>1</v>
      </c>
      <c r="D961" s="1">
        <f ca="1">IFERROR(__xludf.DUMMYFUNCTION("""COMPUTED_VALUE"""),2021)</f>
        <v>2021</v>
      </c>
      <c r="E961" s="4">
        <f ca="1">IFERROR(__xludf.DUMMYFUNCTION("""COMPUTED_VALUE"""),44287)</f>
        <v>44287</v>
      </c>
      <c r="F961" s="1" t="str">
        <f ca="1">IFERROR(__xludf.DUMMYFUNCTION("""COMPUTED_VALUE"""),"Cleveland High School")</f>
        <v>Cleveland High School</v>
      </c>
      <c r="G961" s="1">
        <f ca="1">IFERROR(__xludf.DUMMYFUNCTION("""COMPUTED_VALUE"""),0)</f>
        <v>0</v>
      </c>
      <c r="H961" s="1">
        <f ca="1">IFERROR(__xludf.DUMMYFUNCTION("""COMPUTED_VALUE"""),0)</f>
        <v>0</v>
      </c>
      <c r="I961" s="1">
        <f ca="1">IFERROR(__xludf.DUMMYFUNCTION("""COMPUTED_VALUE"""),0)</f>
        <v>0</v>
      </c>
      <c r="J961" s="1">
        <f ca="1">IFERROR(__xludf.DUMMYFUNCTION("""COMPUTED_VALUE"""),0)</f>
        <v>0</v>
      </c>
      <c r="K961" s="1" t="str">
        <f ca="1">IFERROR(__xludf.DUMMYFUNCTION("""COMPUTED_VALUE"""),"Spring")</f>
        <v>Spring</v>
      </c>
      <c r="L961" s="1" t="str">
        <f ca="1">IFERROR(__xludf.DUMMYFUNCTION("""COMPUTED_VALUE"""),"Oklahoma City")</f>
        <v>Oklahoma City</v>
      </c>
      <c r="M961" s="1" t="str">
        <f ca="1">IFERROR(__xludf.DUMMYFUNCTION("""COMPUTED_VALUE"""),"OK")</f>
        <v>OK</v>
      </c>
      <c r="N961" s="1" t="str">
        <f ca="1">IFERROR(__xludf.DUMMYFUNCTION("""COMPUTED_VALUE"""),"High")</f>
        <v>High</v>
      </c>
      <c r="O961" s="1" t="str">
        <f ca="1">IFERROR(__xludf.DUMMYFUNCTION("""COMPUTED_VALUE"""),"School Bus")</f>
        <v>School Bus</v>
      </c>
      <c r="P961" s="1" t="str">
        <f ca="1">IFERROR(__xludf.DUMMYFUNCTION("""COMPUTED_VALUE"""),"School Bus")</f>
        <v>School Bus</v>
      </c>
      <c r="Q961" s="1" t="str">
        <f ca="1">IFERROR(__xludf.DUMMYFUNCTION("""COMPUTED_VALUE"""),"Yes")</f>
        <v>Yes</v>
      </c>
      <c r="R961" s="1" t="str">
        <f ca="1">IFERROR(__xludf.DUMMYFUNCTION("""COMPUTED_VALUE"""),"Evening")</f>
        <v>Evening</v>
      </c>
      <c r="S961" s="1"/>
      <c r="T961" s="1">
        <f ca="1">IFERROR(__xludf.DUMMYFUNCTION("""COMPUTED_VALUE"""),1)</f>
        <v>1</v>
      </c>
      <c r="U961" s="1" t="str">
        <f ca="1">IFERROR(__xludf.DUMMYFUNCTION("""COMPUTED_VALUE"""),"5 windows shot and broken on moving school bus with students returning from field trip")</f>
        <v>5 windows shot and broken on moving school bus with students returning from field trip</v>
      </c>
      <c r="V961" s="1" t="str">
        <f ca="1">IFERROR(__xludf.DUMMYFUNCTION("""COMPUTED_VALUE"""),"A school bus with 11 students and 2 adults was driving on I-35 returning from a school field trip. A vehicle pulled up next to the school bus and fired multiple shots breaking 5 windows. No students were injured. The driver pulled over and contacted polic"&amp;"e. Police believe a BB or pellet gun was used because damage was not found inside the bus.")</f>
        <v>A school bus with 11 students and 2 adults was driving on I-35 returning from a school field trip. A vehicle pulled up next to the school bus and fired multiple shots breaking 5 windows. No students were injured. The driver pulled over and contacted police. Police believe a BB or pellet gun was used because damage was not found inside the bus.</v>
      </c>
      <c r="W961" s="1" t="str">
        <f ca="1">IFERROR(__xludf.DUMMYFUNCTION("""COMPUTED_VALUE"""),"Drive-by Shooting")</f>
        <v>Drive-by Shooting</v>
      </c>
      <c r="X961" s="1" t="str">
        <f ca="1">IFERROR(__xludf.DUMMYFUNCTION("""COMPUTED_VALUE"""),"Neither")</f>
        <v>Neither</v>
      </c>
      <c r="Y961" s="1"/>
      <c r="Z961" s="1"/>
      <c r="AA961" s="1" t="str">
        <f ca="1">IFERROR(__xludf.DUMMYFUNCTION("""COMPUTED_VALUE"""),"No")</f>
        <v>No</v>
      </c>
      <c r="AB961" s="1" t="str">
        <f ca="1">IFERROR(__xludf.DUMMYFUNCTION("""COMPUTED_VALUE"""),"No")</f>
        <v>No</v>
      </c>
      <c r="AC961" s="1" t="str">
        <f ca="1">IFERROR(__xludf.DUMMYFUNCTION("""COMPUTED_VALUE"""),"No")</f>
        <v>No</v>
      </c>
      <c r="AD961" s="1" t="str">
        <f ca="1">IFERROR(__xludf.DUMMYFUNCTION("""COMPUTED_VALUE"""),"No")</f>
        <v>No</v>
      </c>
      <c r="AE961" s="1" t="str">
        <f ca="1">IFERROR(__xludf.DUMMYFUNCTION("""COMPUTED_VALUE"""),"No")</f>
        <v>No</v>
      </c>
      <c r="AF961" s="1" t="str">
        <f ca="1">IFERROR(__xludf.DUMMYFUNCTION("""COMPUTED_VALUE"""),"No")</f>
        <v>No</v>
      </c>
      <c r="AG961" s="1" t="str">
        <f ca="1">IFERROR(__xludf.DUMMYFUNCTION("""COMPUTED_VALUE"""),"No")</f>
        <v>No</v>
      </c>
      <c r="AH961" s="1"/>
    </row>
    <row r="962" spans="1:34" ht="12.5">
      <c r="A962" s="1" t="str">
        <f ca="1">IFERROR(__xludf.DUMMYFUNCTION("""COMPUTED_VALUE"""),"20210401ALSES")</f>
        <v>20210401ALSES</v>
      </c>
      <c r="B962" s="1">
        <f ca="1">IFERROR(__xludf.DUMMYFUNCTION("""COMPUTED_VALUE"""),4)</f>
        <v>4</v>
      </c>
      <c r="C962" s="1">
        <f ca="1">IFERROR(__xludf.DUMMYFUNCTION("""COMPUTED_VALUE"""),1)</f>
        <v>1</v>
      </c>
      <c r="D962" s="1">
        <f ca="1">IFERROR(__xludf.DUMMYFUNCTION("""COMPUTED_VALUE"""),2021)</f>
        <v>2021</v>
      </c>
      <c r="E962" s="4">
        <f ca="1">IFERROR(__xludf.DUMMYFUNCTION("""COMPUTED_VALUE"""),44287)</f>
        <v>44287</v>
      </c>
      <c r="F962" s="1" t="str">
        <f ca="1">IFERROR(__xludf.DUMMYFUNCTION("""COMPUTED_VALUE"""),"Selma High School")</f>
        <v>Selma High School</v>
      </c>
      <c r="G962" s="1">
        <f ca="1">IFERROR(__xludf.DUMMYFUNCTION("""COMPUTED_VALUE"""),0)</f>
        <v>0</v>
      </c>
      <c r="H962" s="1">
        <f ca="1">IFERROR(__xludf.DUMMYFUNCTION("""COMPUTED_VALUE"""),0)</f>
        <v>0</v>
      </c>
      <c r="I962" s="1">
        <f ca="1">IFERROR(__xludf.DUMMYFUNCTION("""COMPUTED_VALUE"""),0)</f>
        <v>0</v>
      </c>
      <c r="J962" s="1">
        <f ca="1">IFERROR(__xludf.DUMMYFUNCTION("""COMPUTED_VALUE"""),0)</f>
        <v>0</v>
      </c>
      <c r="K962" s="1" t="str">
        <f ca="1">IFERROR(__xludf.DUMMYFUNCTION("""COMPUTED_VALUE"""),"Spring")</f>
        <v>Spring</v>
      </c>
      <c r="L962" s="1" t="str">
        <f ca="1">IFERROR(__xludf.DUMMYFUNCTION("""COMPUTED_VALUE"""),"Selma")</f>
        <v>Selma</v>
      </c>
      <c r="M962" s="1" t="str">
        <f ca="1">IFERROR(__xludf.DUMMYFUNCTION("""COMPUTED_VALUE"""),"AL")</f>
        <v>AL</v>
      </c>
      <c r="N962" s="1" t="str">
        <f ca="1">IFERROR(__xludf.DUMMYFUNCTION("""COMPUTED_VALUE"""),"High")</f>
        <v>High</v>
      </c>
      <c r="O962" s="1" t="str">
        <f ca="1">IFERROR(__xludf.DUMMYFUNCTION("""COMPUTED_VALUE"""),"Cafeteria")</f>
        <v>Cafeteria</v>
      </c>
      <c r="P962" s="1" t="str">
        <f ca="1">IFERROR(__xludf.DUMMYFUNCTION("""COMPUTED_VALUE"""),"Inside School Building")</f>
        <v>Inside School Building</v>
      </c>
      <c r="Q962" s="1" t="str">
        <f ca="1">IFERROR(__xludf.DUMMYFUNCTION("""COMPUTED_VALUE"""),"Yes")</f>
        <v>Yes</v>
      </c>
      <c r="R962" s="1" t="str">
        <f ca="1">IFERROR(__xludf.DUMMYFUNCTION("""COMPUTED_VALUE"""),"Lunch")</f>
        <v>Lunch</v>
      </c>
      <c r="S962" s="5">
        <f ca="1">IFERROR(__xludf.DUMMYFUNCTION("""COMPUTED_VALUE"""),0.541666666666666)</f>
        <v>0.54166666666666596</v>
      </c>
      <c r="T962" s="1">
        <f ca="1">IFERROR(__xludf.DUMMYFUNCTION("""COMPUTED_VALUE"""),1)</f>
        <v>1</v>
      </c>
      <c r="U962" s="1" t="str">
        <f ca="1">IFERROR(__xludf.DUMMYFUNCTION("""COMPUTED_VALUE"""),"Student fired one shot at another student during a fight in the cafeteria")</f>
        <v>Student fired one shot at another student during a fight in the cafeteria</v>
      </c>
      <c r="V962" s="1" t="str">
        <f ca="1">IFERROR(__xludf.DUMMYFUNCTION("""COMPUTED_VALUE"""),"During a fight in the school cafeteria, a 15-year-old student pulled a handgun and fired one shot. The shot missed and no students were injured. A 17-year-old student was also charged with possession of the weapon. The shooter fled the school and was arre"&amp;"sted at a nearby apartment complex. School was locked down and searched by police. The school has metal detectors and armed SRO. School switched back to virtual learning to reassess security.")</f>
        <v>During a fight in the school cafeteria, a 15-year-old student pulled a handgun and fired one shot. The shot missed and no students were injured. A 17-year-old student was also charged with possession of the weapon. The shooter fled the school and was arrested at a nearby apartment complex. School was locked down and searched by police. The school has metal detectors and armed SRO. School switched back to virtual learning to reassess security.</v>
      </c>
      <c r="W962" s="1" t="str">
        <f ca="1">IFERROR(__xludf.DUMMYFUNCTION("""COMPUTED_VALUE"""),"Escalation of Dispute")</f>
        <v>Escalation of Dispute</v>
      </c>
      <c r="X962" s="1" t="str">
        <f ca="1">IFERROR(__xludf.DUMMYFUNCTION("""COMPUTED_VALUE"""),"Victims Targeted")</f>
        <v>Victims Targeted</v>
      </c>
      <c r="Y962" s="1" t="str">
        <f ca="1">IFERROR(__xludf.DUMMYFUNCTION("""COMPUTED_VALUE"""),"Yes")</f>
        <v>Yes</v>
      </c>
      <c r="Z962" s="1" t="str">
        <f ca="1">IFERROR(__xludf.DUMMYFUNCTION("""COMPUTED_VALUE"""),"Two students charged")</f>
        <v>Two students charged</v>
      </c>
      <c r="AA962" s="1" t="str">
        <f ca="1">IFERROR(__xludf.DUMMYFUNCTION("""COMPUTED_VALUE"""),"No")</f>
        <v>No</v>
      </c>
      <c r="AB962" s="1" t="str">
        <f ca="1">IFERROR(__xludf.DUMMYFUNCTION("""COMPUTED_VALUE"""),"No")</f>
        <v>No</v>
      </c>
      <c r="AC962" s="1" t="str">
        <f ca="1">IFERROR(__xludf.DUMMYFUNCTION("""COMPUTED_VALUE"""),"No")</f>
        <v>No</v>
      </c>
      <c r="AD962" s="1"/>
      <c r="AE962" s="1" t="str">
        <f ca="1">IFERROR(__xludf.DUMMYFUNCTION("""COMPUTED_VALUE"""),"No")</f>
        <v>No</v>
      </c>
      <c r="AF962" s="1"/>
      <c r="AG962" s="1" t="str">
        <f ca="1">IFERROR(__xludf.DUMMYFUNCTION("""COMPUTED_VALUE"""),"No")</f>
        <v>No</v>
      </c>
      <c r="AH962" s="1">
        <f ca="1">IFERROR(__xludf.DUMMYFUNCTION("""COMPUTED_VALUE"""),1)</f>
        <v>1</v>
      </c>
    </row>
    <row r="963" spans="1:34" ht="12.5">
      <c r="A963" s="1" t="str">
        <f ca="1">IFERROR(__xludf.DUMMYFUNCTION("""COMPUTED_VALUE"""),"20210327MAPEC")</f>
        <v>20210327MAPEC</v>
      </c>
      <c r="B963" s="1">
        <f ca="1">IFERROR(__xludf.DUMMYFUNCTION("""COMPUTED_VALUE"""),3)</f>
        <v>3</v>
      </c>
      <c r="C963" s="1">
        <f ca="1">IFERROR(__xludf.DUMMYFUNCTION("""COMPUTED_VALUE"""),27)</f>
        <v>27</v>
      </c>
      <c r="D963" s="1">
        <f ca="1">IFERROR(__xludf.DUMMYFUNCTION("""COMPUTED_VALUE"""),2021)</f>
        <v>2021</v>
      </c>
      <c r="E963" s="4">
        <f ca="1">IFERROR(__xludf.DUMMYFUNCTION("""COMPUTED_VALUE"""),44282)</f>
        <v>44282</v>
      </c>
      <c r="F963" s="1" t="str">
        <f ca="1">IFERROR(__xludf.DUMMYFUNCTION("""COMPUTED_VALUE"""),"Peabody Elementary School")</f>
        <v>Peabody Elementary School</v>
      </c>
      <c r="G963" s="1">
        <f ca="1">IFERROR(__xludf.DUMMYFUNCTION("""COMPUTED_VALUE"""),1)</f>
        <v>1</v>
      </c>
      <c r="H963" s="1">
        <f ca="1">IFERROR(__xludf.DUMMYFUNCTION("""COMPUTED_VALUE"""),0)</f>
        <v>0</v>
      </c>
      <c r="I963" s="1">
        <f ca="1">IFERROR(__xludf.DUMMYFUNCTION("""COMPUTED_VALUE"""),1)</f>
        <v>1</v>
      </c>
      <c r="J963" s="1">
        <f ca="1">IFERROR(__xludf.DUMMYFUNCTION("""COMPUTED_VALUE"""),0)</f>
        <v>0</v>
      </c>
      <c r="K963" s="1" t="str">
        <f ca="1">IFERROR(__xludf.DUMMYFUNCTION("""COMPUTED_VALUE"""),"Spring")</f>
        <v>Spring</v>
      </c>
      <c r="L963" s="1" t="str">
        <f ca="1">IFERROR(__xludf.DUMMYFUNCTION("""COMPUTED_VALUE"""),"Cambridge")</f>
        <v>Cambridge</v>
      </c>
      <c r="M963" s="1" t="str">
        <f ca="1">IFERROR(__xludf.DUMMYFUNCTION("""COMPUTED_VALUE"""),"MA")</f>
        <v>MA</v>
      </c>
      <c r="N963" s="1" t="str">
        <f ca="1">IFERROR(__xludf.DUMMYFUNCTION("""COMPUTED_VALUE"""),"Elementary")</f>
        <v>Elementary</v>
      </c>
      <c r="O963" s="1" t="str">
        <f ca="1">IFERROR(__xludf.DUMMYFUNCTION("""COMPUTED_VALUE"""),"Basketball Court")</f>
        <v>Basketball Court</v>
      </c>
      <c r="P963" s="1" t="str">
        <f ca="1">IFERROR(__xludf.DUMMYFUNCTION("""COMPUTED_VALUE"""),"Outside on School Property")</f>
        <v>Outside on School Property</v>
      </c>
      <c r="Q963" s="1" t="str">
        <f ca="1">IFERROR(__xludf.DUMMYFUNCTION("""COMPUTED_VALUE"""),"No")</f>
        <v>No</v>
      </c>
      <c r="R963" s="1" t="str">
        <f ca="1">IFERROR(__xludf.DUMMYFUNCTION("""COMPUTED_VALUE"""),"Night")</f>
        <v>Night</v>
      </c>
      <c r="S963" s="5">
        <f ca="1">IFERROR(__xludf.DUMMYFUNCTION("""COMPUTED_VALUE"""),0.0277777777777777)</f>
        <v>2.77777777777777E-2</v>
      </c>
      <c r="T963" s="1">
        <f ca="1">IFERROR(__xludf.DUMMYFUNCTION("""COMPUTED_VALUE"""),1)</f>
        <v>1</v>
      </c>
      <c r="U963" s="1" t="str">
        <f ca="1">IFERROR(__xludf.DUMMYFUNCTION("""COMPUTED_VALUE"""),"Man found fatally shot next to basketball court")</f>
        <v>Man found fatally shot next to basketball court</v>
      </c>
      <c r="V963" s="1" t="str">
        <f ca="1">IFERROR(__xludf.DUMMYFUNCTION("""COMPUTED_VALUE"""),"A 19-year-old man's body was found next to the basketball court. Shooter fled the scene. Motive unknown.")</f>
        <v>A 19-year-old man's body was found next to the basketball court. Shooter fled the scene. Motive unknown.</v>
      </c>
      <c r="W963" s="1"/>
      <c r="X963" s="1" t="str">
        <f ca="1">IFERROR(__xludf.DUMMYFUNCTION("""COMPUTED_VALUE"""),"Victims Targeted")</f>
        <v>Victims Targeted</v>
      </c>
      <c r="Y963" s="1"/>
      <c r="Z963" s="1"/>
      <c r="AA963" s="1" t="str">
        <f ca="1">IFERROR(__xludf.DUMMYFUNCTION("""COMPUTED_VALUE"""),"No")</f>
        <v>No</v>
      </c>
      <c r="AB963" s="1" t="str">
        <f ca="1">IFERROR(__xludf.DUMMYFUNCTION("""COMPUTED_VALUE"""),"No")</f>
        <v>No</v>
      </c>
      <c r="AC963" s="1" t="str">
        <f ca="1">IFERROR(__xludf.DUMMYFUNCTION("""COMPUTED_VALUE"""),"No")</f>
        <v>No</v>
      </c>
      <c r="AD963" s="1" t="str">
        <f ca="1">IFERROR(__xludf.DUMMYFUNCTION("""COMPUTED_VALUE"""),"No")</f>
        <v>No</v>
      </c>
      <c r="AE963" s="1"/>
      <c r="AF963" s="1"/>
      <c r="AG963" s="1" t="str">
        <f ca="1">IFERROR(__xludf.DUMMYFUNCTION("""COMPUTED_VALUE"""),"No")</f>
        <v>No</v>
      </c>
      <c r="AH963" s="1"/>
    </row>
    <row r="964" spans="1:34" ht="12.5">
      <c r="A964" s="1" t="str">
        <f ca="1">IFERROR(__xludf.DUMMYFUNCTION("""COMPUTED_VALUE"""),"20210326MOCAS")</f>
        <v>20210326MOCAS</v>
      </c>
      <c r="B964" s="1">
        <f ca="1">IFERROR(__xludf.DUMMYFUNCTION("""COMPUTED_VALUE"""),3)</f>
        <v>3</v>
      </c>
      <c r="C964" s="1">
        <f ca="1">IFERROR(__xludf.DUMMYFUNCTION("""COMPUTED_VALUE"""),26)</f>
        <v>26</v>
      </c>
      <c r="D964" s="1">
        <f ca="1">IFERROR(__xludf.DUMMYFUNCTION("""COMPUTED_VALUE"""),2021)</f>
        <v>2021</v>
      </c>
      <c r="E964" s="4">
        <f ca="1">IFERROR(__xludf.DUMMYFUNCTION("""COMPUTED_VALUE"""),44281)</f>
        <v>44281</v>
      </c>
      <c r="F964" s="1" t="str">
        <f ca="1">IFERROR(__xludf.DUMMYFUNCTION("""COMPUTED_VALUE"""),"Castlio Elementary School")</f>
        <v>Castlio Elementary School</v>
      </c>
      <c r="G964" s="1">
        <f ca="1">IFERROR(__xludf.DUMMYFUNCTION("""COMPUTED_VALUE"""),0)</f>
        <v>0</v>
      </c>
      <c r="H964" s="1">
        <f ca="1">IFERROR(__xludf.DUMMYFUNCTION("""COMPUTED_VALUE"""),0)</f>
        <v>0</v>
      </c>
      <c r="I964" s="1">
        <f ca="1">IFERROR(__xludf.DUMMYFUNCTION("""COMPUTED_VALUE"""),0)</f>
        <v>0</v>
      </c>
      <c r="J964" s="1">
        <f ca="1">IFERROR(__xludf.DUMMYFUNCTION("""COMPUTED_VALUE"""),1)</f>
        <v>1</v>
      </c>
      <c r="K964" s="1" t="str">
        <f ca="1">IFERROR(__xludf.DUMMYFUNCTION("""COMPUTED_VALUE"""),"Spring")</f>
        <v>Spring</v>
      </c>
      <c r="L964" s="1" t="str">
        <f ca="1">IFERROR(__xludf.DUMMYFUNCTION("""COMPUTED_VALUE"""),"St Charles")</f>
        <v>St Charles</v>
      </c>
      <c r="M964" s="1" t="str">
        <f ca="1">IFERROR(__xludf.DUMMYFUNCTION("""COMPUTED_VALUE"""),"MO")</f>
        <v>MO</v>
      </c>
      <c r="N964" s="1" t="str">
        <f ca="1">IFERROR(__xludf.DUMMYFUNCTION("""COMPUTED_VALUE"""),"Elementary")</f>
        <v>Elementary</v>
      </c>
      <c r="O964" s="1" t="str">
        <f ca="1">IFERROR(__xludf.DUMMYFUNCTION("""COMPUTED_VALUE"""),"Parking Lot")</f>
        <v>Parking Lot</v>
      </c>
      <c r="P964" s="1" t="str">
        <f ca="1">IFERROR(__xludf.DUMMYFUNCTION("""COMPUTED_VALUE"""),"Outside on School Property")</f>
        <v>Outside on School Property</v>
      </c>
      <c r="Q964" s="1" t="str">
        <f ca="1">IFERROR(__xludf.DUMMYFUNCTION("""COMPUTED_VALUE"""),"No")</f>
        <v>No</v>
      </c>
      <c r="R964" s="1" t="str">
        <f ca="1">IFERROR(__xludf.DUMMYFUNCTION("""COMPUTED_VALUE"""),"Night")</f>
        <v>Night</v>
      </c>
      <c r="S964" s="5">
        <f ca="1">IFERROR(__xludf.DUMMYFUNCTION("""COMPUTED_VALUE"""),0.0833333333333333)</f>
        <v>8.3333333333333301E-2</v>
      </c>
      <c r="T964" s="1">
        <f ca="1">IFERROR(__xludf.DUMMYFUNCTION("""COMPUTED_VALUE"""),1)</f>
        <v>1</v>
      </c>
      <c r="U964" s="1" t="str">
        <f ca="1">IFERROR(__xludf.DUMMYFUNCTION("""COMPUTED_VALUE"""),"Suicidal man pointed gun at officer who then shot him")</f>
        <v>Suicidal man pointed gun at officer who then shot him</v>
      </c>
      <c r="V964" s="1" t="str">
        <f ca="1">IFERROR(__xludf.DUMMYFUNCTION("""COMPUTED_VALUE"""),"A 33-year-old man called 911 to say he was suicidal. When the first police officer arrived, the man pointed a gun at the officer in the school parking lot. The officer shot and killed him.")</f>
        <v>A 33-year-old man called 911 to say he was suicidal. When the first police officer arrived, the man pointed a gun at the officer in the school parking lot. The officer shot and killed him.</v>
      </c>
      <c r="W964" s="1" t="str">
        <f ca="1">IFERROR(__xludf.DUMMYFUNCTION("""COMPUTED_VALUE"""),"Suicide/Attempted")</f>
        <v>Suicide/Attempted</v>
      </c>
      <c r="X964" s="1" t="str">
        <f ca="1">IFERROR(__xludf.DUMMYFUNCTION("""COMPUTED_VALUE"""),"Victims Targeted")</f>
        <v>Victims Targeted</v>
      </c>
      <c r="Y964" s="1" t="str">
        <f ca="1">IFERROR(__xludf.DUMMYFUNCTION("""COMPUTED_VALUE"""),"No")</f>
        <v>No</v>
      </c>
      <c r="Z964" s="1"/>
      <c r="AA964" s="1" t="str">
        <f ca="1">IFERROR(__xludf.DUMMYFUNCTION("""COMPUTED_VALUE"""),"No")</f>
        <v>No</v>
      </c>
      <c r="AB964" s="1" t="str">
        <f ca="1">IFERROR(__xludf.DUMMYFUNCTION("""COMPUTED_VALUE"""),"No")</f>
        <v>No</v>
      </c>
      <c r="AC964" s="1" t="str">
        <f ca="1">IFERROR(__xludf.DUMMYFUNCTION("""COMPUTED_VALUE"""),"Yes")</f>
        <v>Yes</v>
      </c>
      <c r="AD964" s="1" t="str">
        <f ca="1">IFERROR(__xludf.DUMMYFUNCTION("""COMPUTED_VALUE"""),"No")</f>
        <v>No</v>
      </c>
      <c r="AE964" s="1" t="str">
        <f ca="1">IFERROR(__xludf.DUMMYFUNCTION("""COMPUTED_VALUE"""),"No")</f>
        <v>No</v>
      </c>
      <c r="AF964" s="1" t="str">
        <f ca="1">IFERROR(__xludf.DUMMYFUNCTION("""COMPUTED_VALUE"""),"No")</f>
        <v>No</v>
      </c>
      <c r="AG964" s="1" t="str">
        <f ca="1">IFERROR(__xludf.DUMMYFUNCTION("""COMPUTED_VALUE"""),"No")</f>
        <v>No</v>
      </c>
      <c r="AH964" s="1"/>
    </row>
    <row r="965" spans="1:34" ht="12.5">
      <c r="A965" s="1" t="str">
        <f ca="1">IFERROR(__xludf.DUMMYFUNCTION("""COMPUTED_VALUE"""),"20210324ORFOS")</f>
        <v>20210324ORFOS</v>
      </c>
      <c r="B965" s="1">
        <f ca="1">IFERROR(__xludf.DUMMYFUNCTION("""COMPUTED_VALUE"""),3)</f>
        <v>3</v>
      </c>
      <c r="C965" s="1">
        <f ca="1">IFERROR(__xludf.DUMMYFUNCTION("""COMPUTED_VALUE"""),24)</f>
        <v>24</v>
      </c>
      <c r="D965" s="1">
        <f ca="1">IFERROR(__xludf.DUMMYFUNCTION("""COMPUTED_VALUE"""),2021)</f>
        <v>2021</v>
      </c>
      <c r="E965" s="4">
        <f ca="1">IFERROR(__xludf.DUMMYFUNCTION("""COMPUTED_VALUE"""),44279)</f>
        <v>44279</v>
      </c>
      <c r="F965" s="1" t="str">
        <f ca="1">IFERROR(__xludf.DUMMYFUNCTION("""COMPUTED_VALUE"""),"Four Corners Elementary School")</f>
        <v>Four Corners Elementary School</v>
      </c>
      <c r="G965" s="1">
        <f ca="1">IFERROR(__xludf.DUMMYFUNCTION("""COMPUTED_VALUE"""),1)</f>
        <v>1</v>
      </c>
      <c r="H965" s="1">
        <f ca="1">IFERROR(__xludf.DUMMYFUNCTION("""COMPUTED_VALUE"""),1)</f>
        <v>1</v>
      </c>
      <c r="I965" s="1">
        <f ca="1">IFERROR(__xludf.DUMMYFUNCTION("""COMPUTED_VALUE"""),2)</f>
        <v>2</v>
      </c>
      <c r="J965" s="1">
        <f ca="1">IFERROR(__xludf.DUMMYFUNCTION("""COMPUTED_VALUE"""),0)</f>
        <v>0</v>
      </c>
      <c r="K965" s="1" t="str">
        <f ca="1">IFERROR(__xludf.DUMMYFUNCTION("""COMPUTED_VALUE"""),"Spring")</f>
        <v>Spring</v>
      </c>
      <c r="L965" s="1" t="str">
        <f ca="1">IFERROR(__xludf.DUMMYFUNCTION("""COMPUTED_VALUE"""),"Salem")</f>
        <v>Salem</v>
      </c>
      <c r="M965" s="1" t="str">
        <f ca="1">IFERROR(__xludf.DUMMYFUNCTION("""COMPUTED_VALUE"""),"OR")</f>
        <v>OR</v>
      </c>
      <c r="N965" s="1" t="str">
        <f ca="1">IFERROR(__xludf.DUMMYFUNCTION("""COMPUTED_VALUE"""),"Elementary")</f>
        <v>Elementary</v>
      </c>
      <c r="O965" s="1" t="str">
        <f ca="1">IFERROR(__xludf.DUMMYFUNCTION("""COMPUTED_VALUE"""),"Parking Lot")</f>
        <v>Parking Lot</v>
      </c>
      <c r="P965" s="1" t="str">
        <f ca="1">IFERROR(__xludf.DUMMYFUNCTION("""COMPUTED_VALUE"""),"Outside on School Property")</f>
        <v>Outside on School Property</v>
      </c>
      <c r="Q965" s="1" t="str">
        <f ca="1">IFERROR(__xludf.DUMMYFUNCTION("""COMPUTED_VALUE"""),"No")</f>
        <v>No</v>
      </c>
      <c r="R965" s="1" t="str">
        <f ca="1">IFERROR(__xludf.DUMMYFUNCTION("""COMPUTED_VALUE"""),"Evening")</f>
        <v>Evening</v>
      </c>
      <c r="S965" s="5">
        <f ca="1">IFERROR(__xludf.DUMMYFUNCTION("""COMPUTED_VALUE"""),0.680555555555555)</f>
        <v>0.68055555555555503</v>
      </c>
      <c r="T965" s="1">
        <f ca="1">IFERROR(__xludf.DUMMYFUNCTION("""COMPUTED_VALUE"""),1)</f>
        <v>1</v>
      </c>
      <c r="U965" s="1" t="str">
        <f ca="1">IFERROR(__xludf.DUMMYFUNCTION("""COMPUTED_VALUE"""),"Two teens shot during drug deal in school parking lot")</f>
        <v>Two teens shot during drug deal in school parking lot</v>
      </c>
      <c r="V965" s="1" t="str">
        <f ca="1">IFERROR(__xludf.DUMMYFUNCTION("""COMPUTED_VALUE"""),"Two 17-year-old teens were shot during a drug deal in the parking lot behind the school. One of the victims was critically injured and died the following day at the hospital. Two teens were arrested and a gun was recovered.")</f>
        <v>Two 17-year-old teens were shot during a drug deal in the parking lot behind the school. One of the victims was critically injured and died the following day at the hospital. Two teens were arrested and a gun was recovered.</v>
      </c>
      <c r="W965" s="1" t="str">
        <f ca="1">IFERROR(__xludf.DUMMYFUNCTION("""COMPUTED_VALUE"""),"Illegal Activity")</f>
        <v>Illegal Activity</v>
      </c>
      <c r="X965" s="1" t="str">
        <f ca="1">IFERROR(__xludf.DUMMYFUNCTION("""COMPUTED_VALUE"""),"Victims Targeted")</f>
        <v>Victims Targeted</v>
      </c>
      <c r="Y965" s="1" t="str">
        <f ca="1">IFERROR(__xludf.DUMMYFUNCTION("""COMPUTED_VALUE"""),"Yes")</f>
        <v>Yes</v>
      </c>
      <c r="Z965" s="1" t="str">
        <f ca="1">IFERROR(__xludf.DUMMYFUNCTION("""COMPUTED_VALUE"""),"Two teens arrested")</f>
        <v>Two teens arrested</v>
      </c>
      <c r="AA965" s="1" t="str">
        <f ca="1">IFERROR(__xludf.DUMMYFUNCTION("""COMPUTED_VALUE"""),"No")</f>
        <v>No</v>
      </c>
      <c r="AB965" s="1" t="str">
        <f ca="1">IFERROR(__xludf.DUMMYFUNCTION("""COMPUTED_VALUE"""),"No")</f>
        <v>No</v>
      </c>
      <c r="AC965" s="1" t="str">
        <f ca="1">IFERROR(__xludf.DUMMYFUNCTION("""COMPUTED_VALUE"""),"No")</f>
        <v>No</v>
      </c>
      <c r="AD965" s="1" t="str">
        <f ca="1">IFERROR(__xludf.DUMMYFUNCTION("""COMPUTED_VALUE"""),"No")</f>
        <v>No</v>
      </c>
      <c r="AE965" s="1" t="str">
        <f ca="1">IFERROR(__xludf.DUMMYFUNCTION("""COMPUTED_VALUE"""),"No")</f>
        <v>No</v>
      </c>
      <c r="AF965" s="1" t="str">
        <f ca="1">IFERROR(__xludf.DUMMYFUNCTION("""COMPUTED_VALUE"""),"No")</f>
        <v>No</v>
      </c>
      <c r="AG965" s="1" t="str">
        <f ca="1">IFERROR(__xludf.DUMMYFUNCTION("""COMPUTED_VALUE"""),"No")</f>
        <v>No</v>
      </c>
      <c r="AH965" s="1"/>
    </row>
    <row r="966" spans="1:34" ht="12.5">
      <c r="A966" s="1" t="str">
        <f ca="1">IFERROR(__xludf.DUMMYFUNCTION("""COMPUTED_VALUE"""),"20210319WVSPM")</f>
        <v>20210319WVSPM</v>
      </c>
      <c r="B966" s="1">
        <f ca="1">IFERROR(__xludf.DUMMYFUNCTION("""COMPUTED_VALUE"""),3)</f>
        <v>3</v>
      </c>
      <c r="C966" s="1">
        <f ca="1">IFERROR(__xludf.DUMMYFUNCTION("""COMPUTED_VALUE"""),19)</f>
        <v>19</v>
      </c>
      <c r="D966" s="1">
        <f ca="1">IFERROR(__xludf.DUMMYFUNCTION("""COMPUTED_VALUE"""),2021)</f>
        <v>2021</v>
      </c>
      <c r="E966" s="4">
        <f ca="1">IFERROR(__xludf.DUMMYFUNCTION("""COMPUTED_VALUE"""),44274)</f>
        <v>44274</v>
      </c>
      <c r="F966" s="1" t="str">
        <f ca="1">IFERROR(__xludf.DUMMYFUNCTION("""COMPUTED_VALUE"""),"Spring Mills Middle School")</f>
        <v>Spring Mills Middle School</v>
      </c>
      <c r="G966" s="1">
        <f ca="1">IFERROR(__xludf.DUMMYFUNCTION("""COMPUTED_VALUE"""),0)</f>
        <v>0</v>
      </c>
      <c r="H966" s="1">
        <f ca="1">IFERROR(__xludf.DUMMYFUNCTION("""COMPUTED_VALUE"""),0)</f>
        <v>0</v>
      </c>
      <c r="I966" s="1">
        <f ca="1">IFERROR(__xludf.DUMMYFUNCTION("""COMPUTED_VALUE"""),0)</f>
        <v>0</v>
      </c>
      <c r="J966" s="1">
        <f ca="1">IFERROR(__xludf.DUMMYFUNCTION("""COMPUTED_VALUE"""),0)</f>
        <v>0</v>
      </c>
      <c r="K966" s="1" t="str">
        <f ca="1">IFERROR(__xludf.DUMMYFUNCTION("""COMPUTED_VALUE"""),"Spring")</f>
        <v>Spring</v>
      </c>
      <c r="L966" s="1" t="str">
        <f ca="1">IFERROR(__xludf.DUMMYFUNCTION("""COMPUTED_VALUE"""),"Martinsburg")</f>
        <v>Martinsburg</v>
      </c>
      <c r="M966" s="1" t="str">
        <f ca="1">IFERROR(__xludf.DUMMYFUNCTION("""COMPUTED_VALUE"""),"WV")</f>
        <v>WV</v>
      </c>
      <c r="N966" s="1" t="str">
        <f ca="1">IFERROR(__xludf.DUMMYFUNCTION("""COMPUTED_VALUE"""),"Middle")</f>
        <v>Middle</v>
      </c>
      <c r="O966" s="1" t="str">
        <f ca="1">IFERROR(__xludf.DUMMYFUNCTION("""COMPUTED_VALUE"""),"School Bus")</f>
        <v>School Bus</v>
      </c>
      <c r="P966" s="1" t="str">
        <f ca="1">IFERROR(__xludf.DUMMYFUNCTION("""COMPUTED_VALUE"""),"School Bus")</f>
        <v>School Bus</v>
      </c>
      <c r="Q966" s="1" t="str">
        <f ca="1">IFERROR(__xludf.DUMMYFUNCTION("""COMPUTED_VALUE"""),"Yes")</f>
        <v>Yes</v>
      </c>
      <c r="R966" s="1" t="str">
        <f ca="1">IFERROR(__xludf.DUMMYFUNCTION("""COMPUTED_VALUE"""),"Dismissal")</f>
        <v>Dismissal</v>
      </c>
      <c r="S966" s="5">
        <f ca="1">IFERROR(__xludf.DUMMYFUNCTION("""COMPUTED_VALUE"""),0.625)</f>
        <v>0.625</v>
      </c>
      <c r="T966" s="1">
        <f ca="1">IFERROR(__xludf.DUMMYFUNCTION("""COMPUTED_VALUE"""),2)</f>
        <v>2</v>
      </c>
      <c r="U966" s="1" t="str">
        <f ca="1">IFERROR(__xludf.DUMMYFUNCTION("""COMPUTED_VALUE"""),"Two teens fired BB guns at two school buses full of students leaving the school")</f>
        <v>Two teens fired BB guns at two school buses full of students leaving the school</v>
      </c>
      <c r="V966" s="1" t="str">
        <f ca="1">IFERROR(__xludf.DUMMYFUNCTION("""COMPUTED_VALUE"""),"At dismissal, two teenage shooters fired BB guns at two school buses occupied by students. A window was broken on one bus and the other was undamaged. No students were injured. The two shooters fled the scene. Video from the bus was used to identify the t"&amp;"eens who were questioned to police and referred for prosecution.")</f>
        <v>At dismissal, two teenage shooters fired BB guns at two school buses occupied by students. A window was broken on one bus and the other was undamaged. No students were injured. The two shooters fled the scene. Video from the bus was used to identify the teens who were questioned to police and referred for prosecution.</v>
      </c>
      <c r="W966" s="1" t="str">
        <f ca="1">IFERROR(__xludf.DUMMYFUNCTION("""COMPUTED_VALUE"""),"Intentional Property Damage")</f>
        <v>Intentional Property Damage</v>
      </c>
      <c r="X966" s="1" t="str">
        <f ca="1">IFERROR(__xludf.DUMMYFUNCTION("""COMPUTED_VALUE"""),"Random Shooting")</f>
        <v>Random Shooting</v>
      </c>
      <c r="Y966" s="1" t="str">
        <f ca="1">IFERROR(__xludf.DUMMYFUNCTION("""COMPUTED_VALUE"""),"Yes")</f>
        <v>Yes</v>
      </c>
      <c r="Z966" s="1" t="str">
        <f ca="1">IFERROR(__xludf.DUMMYFUNCTION("""COMPUTED_VALUE"""),"Two teens fired shots")</f>
        <v>Two teens fired shots</v>
      </c>
      <c r="AA966" s="1" t="str">
        <f ca="1">IFERROR(__xludf.DUMMYFUNCTION("""COMPUTED_VALUE"""),"No")</f>
        <v>No</v>
      </c>
      <c r="AB966" s="1" t="str">
        <f ca="1">IFERROR(__xludf.DUMMYFUNCTION("""COMPUTED_VALUE"""),"No")</f>
        <v>No</v>
      </c>
      <c r="AC966" s="1" t="str">
        <f ca="1">IFERROR(__xludf.DUMMYFUNCTION("""COMPUTED_VALUE"""),"No")</f>
        <v>No</v>
      </c>
      <c r="AD966" s="1"/>
      <c r="AE966" s="1" t="str">
        <f ca="1">IFERROR(__xludf.DUMMYFUNCTION("""COMPUTED_VALUE"""),"No")</f>
        <v>No</v>
      </c>
      <c r="AF966" s="1" t="str">
        <f ca="1">IFERROR(__xludf.DUMMYFUNCTION("""COMPUTED_VALUE"""),"No")</f>
        <v>No</v>
      </c>
      <c r="AG966" s="1" t="str">
        <f ca="1">IFERROR(__xludf.DUMMYFUNCTION("""COMPUTED_VALUE"""),"No")</f>
        <v>No</v>
      </c>
      <c r="AH966" s="1"/>
    </row>
    <row r="967" spans="1:34" ht="12.5">
      <c r="A967" s="1" t="str">
        <f ca="1">IFERROR(__xludf.DUMMYFUNCTION("""COMPUTED_VALUE"""),"20210318KYGRL")</f>
        <v>20210318KYGRL</v>
      </c>
      <c r="B967" s="1">
        <f ca="1">IFERROR(__xludf.DUMMYFUNCTION("""COMPUTED_VALUE"""),3)</f>
        <v>3</v>
      </c>
      <c r="C967" s="1">
        <f ca="1">IFERROR(__xludf.DUMMYFUNCTION("""COMPUTED_VALUE"""),18)</f>
        <v>18</v>
      </c>
      <c r="D967" s="1">
        <f ca="1">IFERROR(__xludf.DUMMYFUNCTION("""COMPUTED_VALUE"""),2021)</f>
        <v>2021</v>
      </c>
      <c r="E967" s="4">
        <f ca="1">IFERROR(__xludf.DUMMYFUNCTION("""COMPUTED_VALUE"""),44273)</f>
        <v>44273</v>
      </c>
      <c r="F967" s="1" t="str">
        <f ca="1">IFERROR(__xludf.DUMMYFUNCTION("""COMPUTED_VALUE"""),"Greenwood Elementary School")</f>
        <v>Greenwood Elementary School</v>
      </c>
      <c r="G967" s="1">
        <f ca="1">IFERROR(__xludf.DUMMYFUNCTION("""COMPUTED_VALUE"""),0)</f>
        <v>0</v>
      </c>
      <c r="H967" s="1">
        <f ca="1">IFERROR(__xludf.DUMMYFUNCTION("""COMPUTED_VALUE"""),0)</f>
        <v>0</v>
      </c>
      <c r="I967" s="1">
        <f ca="1">IFERROR(__xludf.DUMMYFUNCTION("""COMPUTED_VALUE"""),0)</f>
        <v>0</v>
      </c>
      <c r="J967" s="1">
        <f ca="1">IFERROR(__xludf.DUMMYFUNCTION("""COMPUTED_VALUE"""),0)</f>
        <v>0</v>
      </c>
      <c r="K967" s="1" t="str">
        <f ca="1">IFERROR(__xludf.DUMMYFUNCTION("""COMPUTED_VALUE"""),"Spring")</f>
        <v>Spring</v>
      </c>
      <c r="L967" s="1" t="str">
        <f ca="1">IFERROR(__xludf.DUMMYFUNCTION("""COMPUTED_VALUE"""),"Louisville")</f>
        <v>Louisville</v>
      </c>
      <c r="M967" s="1" t="str">
        <f ca="1">IFERROR(__xludf.DUMMYFUNCTION("""COMPUTED_VALUE"""),"KY")</f>
        <v>KY</v>
      </c>
      <c r="N967" s="1" t="str">
        <f ca="1">IFERROR(__xludf.DUMMYFUNCTION("""COMPUTED_VALUE"""),"Elementary")</f>
        <v>Elementary</v>
      </c>
      <c r="O967" s="1" t="str">
        <f ca="1">IFERROR(__xludf.DUMMYFUNCTION("""COMPUTED_VALUE"""),"Cafeteria")</f>
        <v>Cafeteria</v>
      </c>
      <c r="P967" s="1" t="str">
        <f ca="1">IFERROR(__xludf.DUMMYFUNCTION("""COMPUTED_VALUE"""),"Outside on School Property")</f>
        <v>Outside on School Property</v>
      </c>
      <c r="Q967" s="1" t="str">
        <f ca="1">IFERROR(__xludf.DUMMYFUNCTION("""COMPUTED_VALUE"""),"Yes")</f>
        <v>Yes</v>
      </c>
      <c r="R967" s="1" t="str">
        <f ca="1">IFERROR(__xludf.DUMMYFUNCTION("""COMPUTED_VALUE"""),"Lunch")</f>
        <v>Lunch</v>
      </c>
      <c r="S967" s="5">
        <f ca="1">IFERROR(__xludf.DUMMYFUNCTION("""COMPUTED_VALUE"""),0.530555555555555)</f>
        <v>0.530555555555555</v>
      </c>
      <c r="T967" s="1">
        <f ca="1">IFERROR(__xludf.DUMMYFUNCTION("""COMPUTED_VALUE"""),10)</f>
        <v>10</v>
      </c>
      <c r="U967" s="1" t="str">
        <f ca="1">IFERROR(__xludf.DUMMYFUNCTION("""COMPUTED_VALUE"""),"Adult male pointed gun and threatened school staff who did not allow him to enter")</f>
        <v>Adult male pointed gun and threatened school staff who did not allow him to enter</v>
      </c>
      <c r="V967" s="1" t="str">
        <f ca="1">IFERROR(__xludf.DUMMYFUNCTION("""COMPUTED_VALUE"""),"A 36-year-old male attempted to enter the school cafeteria during lunch. He was not authorized to be in the building and school staff did not allow him to enter. He pointed a gun at school staff and said they had 10 minutes to give him his child. The scho"&amp;"ol was locked down and students were sheltered. The man attempted to break into the school multiple times before being arrested by police.")</f>
        <v>A 36-year-old male attempted to enter the school cafeteria during lunch. He was not authorized to be in the building and school staff did not allow him to enter. He pointed a gun at school staff and said they had 10 minutes to give him his child. The school was locked down and students were sheltered. The man attempted to break into the school multiple times before being arrested by police.</v>
      </c>
      <c r="W967" s="1" t="str">
        <f ca="1">IFERROR(__xludf.DUMMYFUNCTION("""COMPUTED_VALUE"""),"Domestic w/ Targeted Victim")</f>
        <v>Domestic w/ Targeted Victim</v>
      </c>
      <c r="X967" s="1" t="str">
        <f ca="1">IFERROR(__xludf.DUMMYFUNCTION("""COMPUTED_VALUE"""),"Neither")</f>
        <v>Neither</v>
      </c>
      <c r="Y967" s="1" t="str">
        <f ca="1">IFERROR(__xludf.DUMMYFUNCTION("""COMPUTED_VALUE"""),"No")</f>
        <v>No</v>
      </c>
      <c r="Z967" s="1"/>
      <c r="AA967" s="1" t="str">
        <f ca="1">IFERROR(__xludf.DUMMYFUNCTION("""COMPUTED_VALUE"""),"No")</f>
        <v>No</v>
      </c>
      <c r="AB967" s="1" t="str">
        <f ca="1">IFERROR(__xludf.DUMMYFUNCTION("""COMPUTED_VALUE"""),"No")</f>
        <v>No</v>
      </c>
      <c r="AC967" s="1" t="str">
        <f ca="1">IFERROR(__xludf.DUMMYFUNCTION("""COMPUTED_VALUE"""),"No")</f>
        <v>No</v>
      </c>
      <c r="AD967" s="1" t="str">
        <f ca="1">IFERROR(__xludf.DUMMYFUNCTION("""COMPUTED_VALUE"""),"No")</f>
        <v>No</v>
      </c>
      <c r="AE967" s="1" t="str">
        <f ca="1">IFERROR(__xludf.DUMMYFUNCTION("""COMPUTED_VALUE"""),"Yes")</f>
        <v>Yes</v>
      </c>
      <c r="AF967" s="1" t="str">
        <f ca="1">IFERROR(__xludf.DUMMYFUNCTION("""COMPUTED_VALUE"""),"No")</f>
        <v>No</v>
      </c>
      <c r="AG967" s="1" t="str">
        <f ca="1">IFERROR(__xludf.DUMMYFUNCTION("""COMPUTED_VALUE"""),"No")</f>
        <v>No</v>
      </c>
      <c r="AH967" s="1">
        <f ca="1">IFERROR(__xludf.DUMMYFUNCTION("""COMPUTED_VALUE"""),0)</f>
        <v>0</v>
      </c>
    </row>
    <row r="968" spans="1:34" ht="12.5">
      <c r="A968" s="1" t="str">
        <f ca="1">IFERROR(__xludf.DUMMYFUNCTION("""COMPUTED_VALUE"""),"20210315INMEM")</f>
        <v>20210315INMEM</v>
      </c>
      <c r="B968" s="1">
        <f ca="1">IFERROR(__xludf.DUMMYFUNCTION("""COMPUTED_VALUE"""),3)</f>
        <v>3</v>
      </c>
      <c r="C968" s="1">
        <f ca="1">IFERROR(__xludf.DUMMYFUNCTION("""COMPUTED_VALUE"""),15)</f>
        <v>15</v>
      </c>
      <c r="D968" s="1">
        <f ca="1">IFERROR(__xludf.DUMMYFUNCTION("""COMPUTED_VALUE"""),2021)</f>
        <v>2021</v>
      </c>
      <c r="E968" s="4">
        <f ca="1">IFERROR(__xludf.DUMMYFUNCTION("""COMPUTED_VALUE"""),44270)</f>
        <v>44270</v>
      </c>
      <c r="F968" s="1" t="str">
        <f ca="1">IFERROR(__xludf.DUMMYFUNCTION("""COMPUTED_VALUE"""),"Merrillville High School")</f>
        <v>Merrillville High School</v>
      </c>
      <c r="G968" s="1">
        <f ca="1">IFERROR(__xludf.DUMMYFUNCTION("""COMPUTED_VALUE"""),1)</f>
        <v>1</v>
      </c>
      <c r="H968" s="1">
        <f ca="1">IFERROR(__xludf.DUMMYFUNCTION("""COMPUTED_VALUE"""),1)</f>
        <v>1</v>
      </c>
      <c r="I968" s="1">
        <f ca="1">IFERROR(__xludf.DUMMYFUNCTION("""COMPUTED_VALUE"""),2)</f>
        <v>2</v>
      </c>
      <c r="J968" s="1">
        <f ca="1">IFERROR(__xludf.DUMMYFUNCTION("""COMPUTED_VALUE"""),0)</f>
        <v>0</v>
      </c>
      <c r="K968" s="1" t="str">
        <f ca="1">IFERROR(__xludf.DUMMYFUNCTION("""COMPUTED_VALUE"""),"Spring")</f>
        <v>Spring</v>
      </c>
      <c r="L968" s="1" t="str">
        <f ca="1">IFERROR(__xludf.DUMMYFUNCTION("""COMPUTED_VALUE"""),"Merrillville")</f>
        <v>Merrillville</v>
      </c>
      <c r="M968" s="1" t="str">
        <f ca="1">IFERROR(__xludf.DUMMYFUNCTION("""COMPUTED_VALUE"""),"IN")</f>
        <v>IN</v>
      </c>
      <c r="N968" s="1" t="str">
        <f ca="1">IFERROR(__xludf.DUMMYFUNCTION("""COMPUTED_VALUE"""),"High")</f>
        <v>High</v>
      </c>
      <c r="O968" s="1" t="str">
        <f ca="1">IFERROR(__xludf.DUMMYFUNCTION("""COMPUTED_VALUE"""),"Parking Lot")</f>
        <v>Parking Lot</v>
      </c>
      <c r="P968" s="1" t="str">
        <f ca="1">IFERROR(__xludf.DUMMYFUNCTION("""COMPUTED_VALUE"""),"Outside on School Property")</f>
        <v>Outside on School Property</v>
      </c>
      <c r="Q968" s="1" t="str">
        <f ca="1">IFERROR(__xludf.DUMMYFUNCTION("""COMPUTED_VALUE"""),"No")</f>
        <v>No</v>
      </c>
      <c r="R968" s="1" t="str">
        <f ca="1">IFERROR(__xludf.DUMMYFUNCTION("""COMPUTED_VALUE"""),"Night")</f>
        <v>Night</v>
      </c>
      <c r="S968" s="5">
        <f ca="1">IFERROR(__xludf.DUMMYFUNCTION("""COMPUTED_VALUE"""),0.0104166666666666)</f>
        <v>1.04166666666666E-2</v>
      </c>
      <c r="T968" s="1">
        <f ca="1">IFERROR(__xludf.DUMMYFUNCTION("""COMPUTED_VALUE"""),1)</f>
        <v>1</v>
      </c>
      <c r="U968" s="1" t="str">
        <f ca="1">IFERROR(__xludf.DUMMYFUNCTION("""COMPUTED_VALUE"""),"Two men shot during planned fight in the school parking lot")</f>
        <v>Two men shot during planned fight in the school parking lot</v>
      </c>
      <c r="V968" s="1" t="str">
        <f ca="1">IFERROR(__xludf.DUMMYFUNCTION("""COMPUTED_VALUE"""),"Two groups met for a planned fight between two men in the parking lot of the school. After 3-5 minutes of fighting, two men got back in their car and then were shot at by two men as they drove away. An 18-year-old man in the vehicle was fatally shot and a"&amp;"nother was grazed. All involved parties fled the scene before police arrived. Police found multiple shell casings in the school parking lot.")</f>
        <v>Two groups met for a planned fight between two men in the parking lot of the school. After 3-5 minutes of fighting, two men got back in their car and then were shot at by two men as they drove away. An 18-year-old man in the vehicle was fatally shot and another was grazed. All involved parties fled the scene before police arrived. Police found multiple shell casings in the school parking lot.</v>
      </c>
      <c r="W968" s="1" t="str">
        <f ca="1">IFERROR(__xludf.DUMMYFUNCTION("""COMPUTED_VALUE"""),"Escalation of Dispute")</f>
        <v>Escalation of Dispute</v>
      </c>
      <c r="X968" s="1" t="str">
        <f ca="1">IFERROR(__xludf.DUMMYFUNCTION("""COMPUTED_VALUE"""),"Victims Targeted")</f>
        <v>Victims Targeted</v>
      </c>
      <c r="Y968" s="1" t="str">
        <f ca="1">IFERROR(__xludf.DUMMYFUNCTION("""COMPUTED_VALUE"""),"Yes")</f>
        <v>Yes</v>
      </c>
      <c r="Z968" s="1" t="str">
        <f ca="1">IFERROR(__xludf.DUMMYFUNCTION("""COMPUTED_VALUE"""),"Two men fired shots")</f>
        <v>Two men fired shots</v>
      </c>
      <c r="AA968" s="1" t="str">
        <f ca="1">IFERROR(__xludf.DUMMYFUNCTION("""COMPUTED_VALUE"""),"No")</f>
        <v>No</v>
      </c>
      <c r="AB968" s="1" t="str">
        <f ca="1">IFERROR(__xludf.DUMMYFUNCTION("""COMPUTED_VALUE"""),"No")</f>
        <v>No</v>
      </c>
      <c r="AC968" s="1" t="str">
        <f ca="1">IFERROR(__xludf.DUMMYFUNCTION("""COMPUTED_VALUE"""),"No")</f>
        <v>No</v>
      </c>
      <c r="AD968" s="1" t="str">
        <f ca="1">IFERROR(__xludf.DUMMYFUNCTION("""COMPUTED_VALUE"""),"No")</f>
        <v>No</v>
      </c>
      <c r="AE968" s="1" t="str">
        <f ca="1">IFERROR(__xludf.DUMMYFUNCTION("""COMPUTED_VALUE"""),"No")</f>
        <v>No</v>
      </c>
      <c r="AF968" s="1" t="str">
        <f ca="1">IFERROR(__xludf.DUMMYFUNCTION("""COMPUTED_VALUE"""),"No")</f>
        <v>No</v>
      </c>
      <c r="AG968" s="1" t="str">
        <f ca="1">IFERROR(__xludf.DUMMYFUNCTION("""COMPUTED_VALUE"""),"No")</f>
        <v>No</v>
      </c>
      <c r="AH968" s="1">
        <f ca="1">IFERROR(__xludf.DUMMYFUNCTION("""COMPUTED_VALUE"""),10)</f>
        <v>10</v>
      </c>
    </row>
    <row r="969" spans="1:34" ht="12.5">
      <c r="A969" s="1" t="str">
        <f ca="1">IFERROR(__xludf.DUMMYFUNCTION("""COMPUTED_VALUE"""),"20210313TXLEA")</f>
        <v>20210313TXLEA</v>
      </c>
      <c r="B969" s="1">
        <f ca="1">IFERROR(__xludf.DUMMYFUNCTION("""COMPUTED_VALUE"""),3)</f>
        <v>3</v>
      </c>
      <c r="C969" s="1">
        <f ca="1">IFERROR(__xludf.DUMMYFUNCTION("""COMPUTED_VALUE"""),13)</f>
        <v>13</v>
      </c>
      <c r="D969" s="1">
        <f ca="1">IFERROR(__xludf.DUMMYFUNCTION("""COMPUTED_VALUE"""),2021)</f>
        <v>2021</v>
      </c>
      <c r="E969" s="4">
        <f ca="1">IFERROR(__xludf.DUMMYFUNCTION("""COMPUTED_VALUE"""),44268)</f>
        <v>44268</v>
      </c>
      <c r="F969" s="1" t="str">
        <f ca="1">IFERROR(__xludf.DUMMYFUNCTION("""COMPUTED_VALUE"""),"Lee Elementary School")</f>
        <v>Lee Elementary School</v>
      </c>
      <c r="G969" s="1">
        <f ca="1">IFERROR(__xludf.DUMMYFUNCTION("""COMPUTED_VALUE"""),0)</f>
        <v>0</v>
      </c>
      <c r="H969" s="1">
        <f ca="1">IFERROR(__xludf.DUMMYFUNCTION("""COMPUTED_VALUE"""),1)</f>
        <v>1</v>
      </c>
      <c r="I969" s="1">
        <f ca="1">IFERROR(__xludf.DUMMYFUNCTION("""COMPUTED_VALUE"""),1)</f>
        <v>1</v>
      </c>
      <c r="J969" s="1">
        <f ca="1">IFERROR(__xludf.DUMMYFUNCTION("""COMPUTED_VALUE"""),0)</f>
        <v>0</v>
      </c>
      <c r="K969" s="1" t="str">
        <f ca="1">IFERROR(__xludf.DUMMYFUNCTION("""COMPUTED_VALUE"""),"Spring")</f>
        <v>Spring</v>
      </c>
      <c r="L969" s="1" t="str">
        <f ca="1">IFERROR(__xludf.DUMMYFUNCTION("""COMPUTED_VALUE"""),"Abilene")</f>
        <v>Abilene</v>
      </c>
      <c r="M969" s="1" t="str">
        <f ca="1">IFERROR(__xludf.DUMMYFUNCTION("""COMPUTED_VALUE"""),"TX")</f>
        <v>TX</v>
      </c>
      <c r="N969" s="1" t="str">
        <f ca="1">IFERROR(__xludf.DUMMYFUNCTION("""COMPUTED_VALUE"""),"Elementary")</f>
        <v>Elementary</v>
      </c>
      <c r="O969" s="1" t="str">
        <f ca="1">IFERROR(__xludf.DUMMYFUNCTION("""COMPUTED_VALUE"""),"Football Field/Track")</f>
        <v>Football Field/Track</v>
      </c>
      <c r="P969" s="1" t="str">
        <f ca="1">IFERROR(__xludf.DUMMYFUNCTION("""COMPUTED_VALUE"""),"Outside on School Property")</f>
        <v>Outside on School Property</v>
      </c>
      <c r="Q969" s="1" t="str">
        <f ca="1">IFERROR(__xludf.DUMMYFUNCTION("""COMPUTED_VALUE"""),"No")</f>
        <v>No</v>
      </c>
      <c r="R969" s="1" t="str">
        <f ca="1">IFERROR(__xludf.DUMMYFUNCTION("""COMPUTED_VALUE"""),"Night")</f>
        <v>Night</v>
      </c>
      <c r="S969" s="5">
        <f ca="1">IFERROR(__xludf.DUMMYFUNCTION("""COMPUTED_VALUE"""),0.875)</f>
        <v>0.875</v>
      </c>
      <c r="T969" s="1">
        <f ca="1">IFERROR(__xludf.DUMMYFUNCTION("""COMPUTED_VALUE"""),1)</f>
        <v>1</v>
      </c>
      <c r="U969" s="1" t="str">
        <f ca="1">IFERROR(__xludf.DUMMYFUNCTION("""COMPUTED_VALUE"""),"Semi-pro football player shot by fan during game held at elementary school field")</f>
        <v>Semi-pro football player shot by fan during game held at elementary school field</v>
      </c>
      <c r="V969" s="1" t="str">
        <f ca="1">IFERROR(__xludf.DUMMYFUNCTION("""COMPUTED_VALUE"""),"A semi-pro football player was shot multiple times by a fan who walked on the field at the end of the game. The game was held at the sports complex on the school campus. The shooter fled the scene and was arrested the following day. The school was closed "&amp;"at the time of the shooting.")</f>
        <v>A semi-pro football player was shot multiple times by a fan who walked on the field at the end of the game. The game was held at the sports complex on the school campus. The shooter fled the scene and was arrested the following day. The school was closed at the time of the shooting.</v>
      </c>
      <c r="W969" s="1"/>
      <c r="X969" s="1" t="str">
        <f ca="1">IFERROR(__xludf.DUMMYFUNCTION("""COMPUTED_VALUE"""),"Victims Targeted")</f>
        <v>Victims Targeted</v>
      </c>
      <c r="Y969" s="1" t="str">
        <f ca="1">IFERROR(__xludf.DUMMYFUNCTION("""COMPUTED_VALUE"""),"No")</f>
        <v>No</v>
      </c>
      <c r="Z969" s="1"/>
      <c r="AA969" s="1" t="str">
        <f ca="1">IFERROR(__xludf.DUMMYFUNCTION("""COMPUTED_VALUE"""),"No")</f>
        <v>No</v>
      </c>
      <c r="AB969" s="1" t="str">
        <f ca="1">IFERROR(__xludf.DUMMYFUNCTION("""COMPUTED_VALUE"""),"No")</f>
        <v>No</v>
      </c>
      <c r="AC969" s="1" t="str">
        <f ca="1">IFERROR(__xludf.DUMMYFUNCTION("""COMPUTED_VALUE"""),"No")</f>
        <v>No</v>
      </c>
      <c r="AD969" s="1" t="str">
        <f ca="1">IFERROR(__xludf.DUMMYFUNCTION("""COMPUTED_VALUE"""),"No")</f>
        <v>No</v>
      </c>
      <c r="AE969" s="1"/>
      <c r="AF969" s="1"/>
      <c r="AG969" s="1" t="str">
        <f ca="1">IFERROR(__xludf.DUMMYFUNCTION("""COMPUTED_VALUE"""),"No")</f>
        <v>No</v>
      </c>
      <c r="AH969" s="1"/>
    </row>
    <row r="970" spans="1:34" ht="12.5">
      <c r="A970" s="1" t="str">
        <f ca="1">IFERROR(__xludf.DUMMYFUNCTION("""COMPUTED_VALUE"""),"20210311OHCIC")</f>
        <v>20210311OHCIC</v>
      </c>
      <c r="B970" s="1">
        <f ca="1">IFERROR(__xludf.DUMMYFUNCTION("""COMPUTED_VALUE"""),3)</f>
        <v>3</v>
      </c>
      <c r="C970" s="1">
        <f ca="1">IFERROR(__xludf.DUMMYFUNCTION("""COMPUTED_VALUE"""),11)</f>
        <v>11</v>
      </c>
      <c r="D970" s="1">
        <f ca="1">IFERROR(__xludf.DUMMYFUNCTION("""COMPUTED_VALUE"""),2021)</f>
        <v>2021</v>
      </c>
      <c r="E970" s="4">
        <f ca="1">IFERROR(__xludf.DUMMYFUNCTION("""COMPUTED_VALUE"""),44266)</f>
        <v>44266</v>
      </c>
      <c r="F970" s="1" t="str">
        <f ca="1">IFERROR(__xludf.DUMMYFUNCTION("""COMPUTED_VALUE"""),"Cincinnati College Preparatory Academy")</f>
        <v>Cincinnati College Preparatory Academy</v>
      </c>
      <c r="G970" s="1">
        <f ca="1">IFERROR(__xludf.DUMMYFUNCTION("""COMPUTED_VALUE"""),0)</f>
        <v>0</v>
      </c>
      <c r="H970" s="1">
        <f ca="1">IFERROR(__xludf.DUMMYFUNCTION("""COMPUTED_VALUE"""),1)</f>
        <v>1</v>
      </c>
      <c r="I970" s="1">
        <f ca="1">IFERROR(__xludf.DUMMYFUNCTION("""COMPUTED_VALUE"""),1)</f>
        <v>1</v>
      </c>
      <c r="J970" s="1">
        <f ca="1">IFERROR(__xludf.DUMMYFUNCTION("""COMPUTED_VALUE"""),0)</f>
        <v>0</v>
      </c>
      <c r="K970" s="1" t="str">
        <f ca="1">IFERROR(__xludf.DUMMYFUNCTION("""COMPUTED_VALUE"""),"Spring")</f>
        <v>Spring</v>
      </c>
      <c r="L970" s="1" t="str">
        <f ca="1">IFERROR(__xludf.DUMMYFUNCTION("""COMPUTED_VALUE"""),"Cincinnati")</f>
        <v>Cincinnati</v>
      </c>
      <c r="M970" s="1" t="str">
        <f ca="1">IFERROR(__xludf.DUMMYFUNCTION("""COMPUTED_VALUE"""),"OH")</f>
        <v>OH</v>
      </c>
      <c r="N970" s="1" t="str">
        <f ca="1">IFERROR(__xludf.DUMMYFUNCTION("""COMPUTED_VALUE"""),"K-12")</f>
        <v>K-12</v>
      </c>
      <c r="O970" s="1" t="str">
        <f ca="1">IFERROR(__xludf.DUMMYFUNCTION("""COMPUTED_VALUE"""),"Front of School")</f>
        <v>Front of School</v>
      </c>
      <c r="P970" s="1" t="str">
        <f ca="1">IFERROR(__xludf.DUMMYFUNCTION("""COMPUTED_VALUE"""),"Outside on School Property")</f>
        <v>Outside on School Property</v>
      </c>
      <c r="Q970" s="1" t="str">
        <f ca="1">IFERROR(__xludf.DUMMYFUNCTION("""COMPUTED_VALUE"""),"Yes")</f>
        <v>Yes</v>
      </c>
      <c r="R970" s="1" t="str">
        <f ca="1">IFERROR(__xludf.DUMMYFUNCTION("""COMPUTED_VALUE"""),"School Start")</f>
        <v>School Start</v>
      </c>
      <c r="S970" s="5">
        <f ca="1">IFERROR(__xludf.DUMMYFUNCTION("""COMPUTED_VALUE"""),0.333333333333333)</f>
        <v>0.33333333333333298</v>
      </c>
      <c r="T970" s="1">
        <f ca="1">IFERROR(__xludf.DUMMYFUNCTION("""COMPUTED_VALUE"""),1)</f>
        <v>1</v>
      </c>
      <c r="U970" s="1" t="str">
        <f ca="1">IFERROR(__xludf.DUMMYFUNCTION("""COMPUTED_VALUE"""),"Person in vehicle shot and crashed in front of school")</f>
        <v>Person in vehicle shot and crashed in front of school</v>
      </c>
      <c r="V970" s="1" t="str">
        <f ca="1">IFERROR(__xludf.DUMMYFUNCTION("""COMPUTED_VALUE"""),"An adult male in a vehicle was shot and the vehicle crashed into the sidewalk and sign in front of the school. No information on the motive. Shooter fled. No students or staff involved or injured.")</f>
        <v>An adult male in a vehicle was shot and the vehicle crashed into the sidewalk and sign in front of the school. No information on the motive. Shooter fled. No students or staff involved or injured.</v>
      </c>
      <c r="W970" s="1"/>
      <c r="X970" s="1" t="str">
        <f ca="1">IFERROR(__xludf.DUMMYFUNCTION("""COMPUTED_VALUE"""),"Victims Targeted")</f>
        <v>Victims Targeted</v>
      </c>
      <c r="Y970" s="1"/>
      <c r="Z970" s="1"/>
      <c r="AA970" s="1" t="str">
        <f ca="1">IFERROR(__xludf.DUMMYFUNCTION("""COMPUTED_VALUE"""),"No")</f>
        <v>No</v>
      </c>
      <c r="AB970" s="1" t="str">
        <f ca="1">IFERROR(__xludf.DUMMYFUNCTION("""COMPUTED_VALUE"""),"No")</f>
        <v>No</v>
      </c>
      <c r="AC970" s="1" t="str">
        <f ca="1">IFERROR(__xludf.DUMMYFUNCTION("""COMPUTED_VALUE"""),"No")</f>
        <v>No</v>
      </c>
      <c r="AD970" s="1" t="str">
        <f ca="1">IFERROR(__xludf.DUMMYFUNCTION("""COMPUTED_VALUE"""),"No")</f>
        <v>No</v>
      </c>
      <c r="AE970" s="1" t="str">
        <f ca="1">IFERROR(__xludf.DUMMYFUNCTION("""COMPUTED_VALUE"""),"No")</f>
        <v>No</v>
      </c>
      <c r="AF970" s="1"/>
      <c r="AG970" s="1" t="str">
        <f ca="1">IFERROR(__xludf.DUMMYFUNCTION("""COMPUTED_VALUE"""),"No")</f>
        <v>No</v>
      </c>
      <c r="AH970" s="1"/>
    </row>
    <row r="971" spans="1:34" ht="12.5">
      <c r="A971" s="1" t="str">
        <f ca="1">IFERROR(__xludf.DUMMYFUNCTION("""COMPUTED_VALUE"""),"20210309TNSAK")</f>
        <v>20210309TNSAK</v>
      </c>
      <c r="B971" s="1">
        <f ca="1">IFERROR(__xludf.DUMMYFUNCTION("""COMPUTED_VALUE"""),3)</f>
        <v>3</v>
      </c>
      <c r="C971" s="1">
        <f ca="1">IFERROR(__xludf.DUMMYFUNCTION("""COMPUTED_VALUE"""),9)</f>
        <v>9</v>
      </c>
      <c r="D971" s="1">
        <f ca="1">IFERROR(__xludf.DUMMYFUNCTION("""COMPUTED_VALUE"""),2021)</f>
        <v>2021</v>
      </c>
      <c r="E971" s="4">
        <f ca="1">IFERROR(__xludf.DUMMYFUNCTION("""COMPUTED_VALUE"""),44264)</f>
        <v>44264</v>
      </c>
      <c r="F971" s="1" t="str">
        <f ca="1">IFERROR(__xludf.DUMMYFUNCTION("""COMPUTED_VALUE"""),"Sarah Moore Greene Elementary")</f>
        <v>Sarah Moore Greene Elementary</v>
      </c>
      <c r="G971" s="1">
        <f ca="1">IFERROR(__xludf.DUMMYFUNCTION("""COMPUTED_VALUE"""),0)</f>
        <v>0</v>
      </c>
      <c r="H971" s="1">
        <f ca="1">IFERROR(__xludf.DUMMYFUNCTION("""COMPUTED_VALUE"""),0)</f>
        <v>0</v>
      </c>
      <c r="I971" s="1">
        <f ca="1">IFERROR(__xludf.DUMMYFUNCTION("""COMPUTED_VALUE"""),0)</f>
        <v>0</v>
      </c>
      <c r="J971" s="1">
        <f ca="1">IFERROR(__xludf.DUMMYFUNCTION("""COMPUTED_VALUE"""),0)</f>
        <v>0</v>
      </c>
      <c r="K971" s="1" t="str">
        <f ca="1">IFERROR(__xludf.DUMMYFUNCTION("""COMPUTED_VALUE"""),"Spring")</f>
        <v>Spring</v>
      </c>
      <c r="L971" s="1" t="str">
        <f ca="1">IFERROR(__xludf.DUMMYFUNCTION("""COMPUTED_VALUE"""),"Knoxville")</f>
        <v>Knoxville</v>
      </c>
      <c r="M971" s="1" t="str">
        <f ca="1">IFERROR(__xludf.DUMMYFUNCTION("""COMPUTED_VALUE"""),"TN")</f>
        <v>TN</v>
      </c>
      <c r="N971" s="1" t="str">
        <f ca="1">IFERROR(__xludf.DUMMYFUNCTION("""COMPUTED_VALUE"""),"Elementary")</f>
        <v>Elementary</v>
      </c>
      <c r="O971" s="1" t="str">
        <f ca="1">IFERROR(__xludf.DUMMYFUNCTION("""COMPUTED_VALUE"""),"Parking Lot")</f>
        <v>Parking Lot</v>
      </c>
      <c r="P971" s="1" t="str">
        <f ca="1">IFERROR(__xludf.DUMMYFUNCTION("""COMPUTED_VALUE"""),"Outside on School Property")</f>
        <v>Outside on School Property</v>
      </c>
      <c r="Q971" s="1" t="str">
        <f ca="1">IFERROR(__xludf.DUMMYFUNCTION("""COMPUTED_VALUE"""),"Yes")</f>
        <v>Yes</v>
      </c>
      <c r="R971" s="1" t="str">
        <f ca="1">IFERROR(__xludf.DUMMYFUNCTION("""COMPUTED_VALUE"""),"Afternoon Classes")</f>
        <v>Afternoon Classes</v>
      </c>
      <c r="S971" s="5">
        <f ca="1">IFERROR(__xludf.DUMMYFUNCTION("""COMPUTED_VALUE"""),0.5625)</f>
        <v>0.5625</v>
      </c>
      <c r="T971" s="1">
        <f ca="1">IFERROR(__xludf.DUMMYFUNCTION("""COMPUTED_VALUE"""),1)</f>
        <v>1</v>
      </c>
      <c r="U971" s="1" t="str">
        <f ca="1">IFERROR(__xludf.DUMMYFUNCTION("""COMPUTED_VALUE"""),"Shots fired from a vehicle in the school parking lot")</f>
        <v>Shots fired from a vehicle in the school parking lot</v>
      </c>
      <c r="V971" s="1" t="str">
        <f ca="1">IFERROR(__xludf.DUMMYFUNCTION("""COMPUTED_VALUE"""),"An adult female picked up her son from the nearby high school and noticed a car following them. She pulled into the elementary school parking lot and the vehicle followed her into the parking lot. School staff witnessed the drive open the door and fire th"&amp;"ree shots that missed her vehicle. Shots were fired in the direction of the school playground where students were outside. The woman then drove directly to the police station. The vehicle with the shooter fled the area. Police did not respond to the schoo"&amp;"l immediately due to confusion about the location of the shooting. School went on lockdown for 2 hours.")</f>
        <v>An adult female picked up her son from the nearby high school and noticed a car following them. She pulled into the elementary school parking lot and the vehicle followed her into the parking lot. School staff witnessed the drive open the door and fire three shots that missed her vehicle. Shots were fired in the direction of the school playground where students were outside. The woman then drove directly to the police station. The vehicle with the shooter fled the area. Police did not respond to the school immediately due to confusion about the location of the shooting. School went on lockdown for 2 hours.</v>
      </c>
      <c r="W971" s="1" t="str">
        <f ca="1">IFERROR(__xludf.DUMMYFUNCTION("""COMPUTED_VALUE"""),"Drive-by Shooting")</f>
        <v>Drive-by Shooting</v>
      </c>
      <c r="X971" s="1" t="str">
        <f ca="1">IFERROR(__xludf.DUMMYFUNCTION("""COMPUTED_VALUE"""),"Victims Targeted")</f>
        <v>Victims Targeted</v>
      </c>
      <c r="Y971" s="1"/>
      <c r="Z971" s="1"/>
      <c r="AA971" s="1" t="str">
        <f ca="1">IFERROR(__xludf.DUMMYFUNCTION("""COMPUTED_VALUE"""),"No")</f>
        <v>No</v>
      </c>
      <c r="AB971" s="1" t="str">
        <f ca="1">IFERROR(__xludf.DUMMYFUNCTION("""COMPUTED_VALUE"""),"No")</f>
        <v>No</v>
      </c>
      <c r="AC971" s="1" t="str">
        <f ca="1">IFERROR(__xludf.DUMMYFUNCTION("""COMPUTED_VALUE"""),"No")</f>
        <v>No</v>
      </c>
      <c r="AD971" s="1" t="str">
        <f ca="1">IFERROR(__xludf.DUMMYFUNCTION("""COMPUTED_VALUE"""),"No")</f>
        <v>No</v>
      </c>
      <c r="AE971" s="1"/>
      <c r="AF971" s="1"/>
      <c r="AG971" s="1" t="str">
        <f ca="1">IFERROR(__xludf.DUMMYFUNCTION("""COMPUTED_VALUE"""),"No")</f>
        <v>No</v>
      </c>
      <c r="AH971" s="1">
        <f ca="1">IFERROR(__xludf.DUMMYFUNCTION("""COMPUTED_VALUE"""),3)</f>
        <v>3</v>
      </c>
    </row>
    <row r="972" spans="1:34" ht="12.5">
      <c r="A972" s="1" t="str">
        <f ca="1">IFERROR(__xludf.DUMMYFUNCTION("""COMPUTED_VALUE"""),"20210309OHBIC")</f>
        <v>20210309OHBIC</v>
      </c>
      <c r="B972" s="1">
        <f ca="1">IFERROR(__xludf.DUMMYFUNCTION("""COMPUTED_VALUE"""),3)</f>
        <v>3</v>
      </c>
      <c r="C972" s="1">
        <f ca="1">IFERROR(__xludf.DUMMYFUNCTION("""COMPUTED_VALUE"""),9)</f>
        <v>9</v>
      </c>
      <c r="D972" s="1">
        <f ca="1">IFERROR(__xludf.DUMMYFUNCTION("""COMPUTED_VALUE"""),2021)</f>
        <v>2021</v>
      </c>
      <c r="E972" s="4">
        <f ca="1">IFERROR(__xludf.DUMMYFUNCTION("""COMPUTED_VALUE"""),44264)</f>
        <v>44264</v>
      </c>
      <c r="F972" s="1" t="str">
        <f ca="1">IFERROR(__xludf.DUMMYFUNCTION("""COMPUTED_VALUE"""),"Bishop Hartley High School")</f>
        <v>Bishop Hartley High School</v>
      </c>
      <c r="G972" s="1">
        <f ca="1">IFERROR(__xludf.DUMMYFUNCTION("""COMPUTED_VALUE"""),0)</f>
        <v>0</v>
      </c>
      <c r="H972" s="1">
        <f ca="1">IFERROR(__xludf.DUMMYFUNCTION("""COMPUTED_VALUE"""),0)</f>
        <v>0</v>
      </c>
      <c r="I972" s="1">
        <f ca="1">IFERROR(__xludf.DUMMYFUNCTION("""COMPUTED_VALUE"""),0)</f>
        <v>0</v>
      </c>
      <c r="J972" s="1">
        <f ca="1">IFERROR(__xludf.DUMMYFUNCTION("""COMPUTED_VALUE"""),0)</f>
        <v>0</v>
      </c>
      <c r="K972" s="1" t="str">
        <f ca="1">IFERROR(__xludf.DUMMYFUNCTION("""COMPUTED_VALUE"""),"Spring")</f>
        <v>Spring</v>
      </c>
      <c r="L972" s="1" t="str">
        <f ca="1">IFERROR(__xludf.DUMMYFUNCTION("""COMPUTED_VALUE"""),"Columbus")</f>
        <v>Columbus</v>
      </c>
      <c r="M972" s="1" t="str">
        <f ca="1">IFERROR(__xludf.DUMMYFUNCTION("""COMPUTED_VALUE"""),"OH")</f>
        <v>OH</v>
      </c>
      <c r="N972" s="1" t="str">
        <f ca="1">IFERROR(__xludf.DUMMYFUNCTION("""COMPUTED_VALUE"""),"High")</f>
        <v>High</v>
      </c>
      <c r="O972" s="1" t="str">
        <f ca="1">IFERROR(__xludf.DUMMYFUNCTION("""COMPUTED_VALUE"""),"Gym")</f>
        <v>Gym</v>
      </c>
      <c r="P972" s="1" t="str">
        <f ca="1">IFERROR(__xludf.DUMMYFUNCTION("""COMPUTED_VALUE"""),"Both Inside/Outside")</f>
        <v>Both Inside/Outside</v>
      </c>
      <c r="Q972" s="1" t="str">
        <f ca="1">IFERROR(__xludf.DUMMYFUNCTION("""COMPUTED_VALUE"""),"Yes")</f>
        <v>Yes</v>
      </c>
      <c r="R972" s="1" t="str">
        <f ca="1">IFERROR(__xludf.DUMMYFUNCTION("""COMPUTED_VALUE"""),"Morning Classes")</f>
        <v>Morning Classes</v>
      </c>
      <c r="S972" s="5">
        <f ca="1">IFERROR(__xludf.DUMMYFUNCTION("""COMPUTED_VALUE"""),0.368055555555555)</f>
        <v>0.36805555555555503</v>
      </c>
      <c r="T972" s="1">
        <f ca="1">IFERROR(__xludf.DUMMYFUNCTION("""COMPUTED_VALUE"""),1)</f>
        <v>1</v>
      </c>
      <c r="U972" s="1" t="str">
        <f ca="1">IFERROR(__xludf.DUMMYFUNCTION("""COMPUTED_VALUE"""),"Bullet fired from outside the school went through the gym wall with 59 students inside")</f>
        <v>Bullet fired from outside the school went through the gym wall with 59 students inside</v>
      </c>
      <c r="V972" s="1" t="str">
        <f ca="1">IFERROR(__xludf.DUMMYFUNCTION("""COMPUTED_VALUE"""),"A bullet fired from across the street went through the gym wall and struck a metal beam. 59 students were inside the gym taking an exam when the shooting occurred. No students or staff were injured. No suspect or motive identified.")</f>
        <v>A bullet fired from across the street went through the gym wall and struck a metal beam. 59 students were inside the gym taking an exam when the shooting occurred. No students or staff were injured. No suspect or motive identified.</v>
      </c>
      <c r="W972" s="1"/>
      <c r="X972" s="1"/>
      <c r="Y972" s="1" t="str">
        <f ca="1">IFERROR(__xludf.DUMMYFUNCTION("""COMPUTED_VALUE"""),"No")</f>
        <v>No</v>
      </c>
      <c r="Z972" s="1"/>
      <c r="AA972" s="1" t="str">
        <f ca="1">IFERROR(__xludf.DUMMYFUNCTION("""COMPUTED_VALUE"""),"No")</f>
        <v>No</v>
      </c>
      <c r="AB972" s="1" t="str">
        <f ca="1">IFERROR(__xludf.DUMMYFUNCTION("""COMPUTED_VALUE"""),"No")</f>
        <v>No</v>
      </c>
      <c r="AC972" s="1" t="str">
        <f ca="1">IFERROR(__xludf.DUMMYFUNCTION("""COMPUTED_VALUE"""),"No")</f>
        <v>No</v>
      </c>
      <c r="AD972" s="1" t="str">
        <f ca="1">IFERROR(__xludf.DUMMYFUNCTION("""COMPUTED_VALUE"""),"No")</f>
        <v>No</v>
      </c>
      <c r="AE972" s="1"/>
      <c r="AF972" s="1"/>
      <c r="AG972" s="1" t="str">
        <f ca="1">IFERROR(__xludf.DUMMYFUNCTION("""COMPUTED_VALUE"""),"No")</f>
        <v>No</v>
      </c>
      <c r="AH972" s="1">
        <f ca="1">IFERROR(__xludf.DUMMYFUNCTION("""COMPUTED_VALUE"""),1)</f>
        <v>1</v>
      </c>
    </row>
    <row r="973" spans="1:34" ht="12.5">
      <c r="A973" s="1" t="str">
        <f ca="1">IFERROR(__xludf.DUMMYFUNCTION("""COMPUTED_VALUE"""),"20210308SCEDC")</f>
        <v>20210308SCEDC</v>
      </c>
      <c r="B973" s="1">
        <f ca="1">IFERROR(__xludf.DUMMYFUNCTION("""COMPUTED_VALUE"""),3)</f>
        <v>3</v>
      </c>
      <c r="C973" s="1">
        <f ca="1">IFERROR(__xludf.DUMMYFUNCTION("""COMPUTED_VALUE"""),8)</f>
        <v>8</v>
      </c>
      <c r="D973" s="1">
        <f ca="1">IFERROR(__xludf.DUMMYFUNCTION("""COMPUTED_VALUE"""),2021)</f>
        <v>2021</v>
      </c>
      <c r="E973" s="4">
        <f ca="1">IFERROR(__xludf.DUMMYFUNCTION("""COMPUTED_VALUE"""),44263)</f>
        <v>44263</v>
      </c>
      <c r="F973" s="1" t="str">
        <f ca="1">IFERROR(__xludf.DUMMYFUNCTION("""COMPUTED_VALUE"""),"Edwards Elementary School")</f>
        <v>Edwards Elementary School</v>
      </c>
      <c r="G973" s="1">
        <f ca="1">IFERROR(__xludf.DUMMYFUNCTION("""COMPUTED_VALUE"""),0)</f>
        <v>0</v>
      </c>
      <c r="H973" s="1">
        <f ca="1">IFERROR(__xludf.DUMMYFUNCTION("""COMPUTED_VALUE"""),1)</f>
        <v>1</v>
      </c>
      <c r="I973" s="1">
        <f ca="1">IFERROR(__xludf.DUMMYFUNCTION("""COMPUTED_VALUE"""),1)</f>
        <v>1</v>
      </c>
      <c r="J973" s="1">
        <f ca="1">IFERROR(__xludf.DUMMYFUNCTION("""COMPUTED_VALUE"""),0)</f>
        <v>0</v>
      </c>
      <c r="K973" s="1" t="str">
        <f ca="1">IFERROR(__xludf.DUMMYFUNCTION("""COMPUTED_VALUE"""),"Spring")</f>
        <v>Spring</v>
      </c>
      <c r="L973" s="1" t="str">
        <f ca="1">IFERROR(__xludf.DUMMYFUNCTION("""COMPUTED_VALUE"""),"Chesterfield")</f>
        <v>Chesterfield</v>
      </c>
      <c r="M973" s="1" t="str">
        <f ca="1">IFERROR(__xludf.DUMMYFUNCTION("""COMPUTED_VALUE"""),"SC")</f>
        <v>SC</v>
      </c>
      <c r="N973" s="1" t="str">
        <f ca="1">IFERROR(__xludf.DUMMYFUNCTION("""COMPUTED_VALUE"""),"Elementary")</f>
        <v>Elementary</v>
      </c>
      <c r="O973" s="1" t="str">
        <f ca="1">IFERROR(__xludf.DUMMYFUNCTION("""COMPUTED_VALUE"""),"Parking Lot")</f>
        <v>Parking Lot</v>
      </c>
      <c r="P973" s="1" t="str">
        <f ca="1">IFERROR(__xludf.DUMMYFUNCTION("""COMPUTED_VALUE"""),"Outside on School Property")</f>
        <v>Outside on School Property</v>
      </c>
      <c r="Q973" s="1" t="str">
        <f ca="1">IFERROR(__xludf.DUMMYFUNCTION("""COMPUTED_VALUE"""),"Yes")</f>
        <v>Yes</v>
      </c>
      <c r="R973" s="1" t="str">
        <f ca="1">IFERROR(__xludf.DUMMYFUNCTION("""COMPUTED_VALUE"""),"Afternoon Classes")</f>
        <v>Afternoon Classes</v>
      </c>
      <c r="S973" s="5">
        <f ca="1">IFERROR(__xludf.DUMMYFUNCTION("""COMPUTED_VALUE"""),0.5625)</f>
        <v>0.5625</v>
      </c>
      <c r="T973" s="1">
        <f ca="1">IFERROR(__xludf.DUMMYFUNCTION("""COMPUTED_VALUE"""),1)</f>
        <v>1</v>
      </c>
      <c r="U973" s="1" t="str">
        <f ca="1">IFERROR(__xludf.DUMMYFUNCTION("""COMPUTED_VALUE"""),"Woman shot her son-in-law in the parking lot during a dispute")</f>
        <v>Woman shot her son-in-law in the parking lot during a dispute</v>
      </c>
      <c r="V973" s="1" t="str">
        <f ca="1">IFERROR(__xludf.DUMMYFUNCTION("""COMPUTED_VALUE"""),"District leaders say a dispute between two family members lead to a shooting outside of a school. According to Chesterfield County Schools, it happened in front of Edwards Elementary School. The district says one parent shot the other, but neither were in"&amp;"side the school at any time. The campus went onto immediate lockdown and police were present. All students and staff were safe.")</f>
        <v>District leaders say a dispute between two family members lead to a shooting outside of a school. According to Chesterfield County Schools, it happened in front of Edwards Elementary School. The district says one parent shot the other, but neither were inside the school at any time. The campus went onto immediate lockdown and police were present. All students and staff were safe.</v>
      </c>
      <c r="W973" s="1" t="str">
        <f ca="1">IFERROR(__xludf.DUMMYFUNCTION("""COMPUTED_VALUE"""),"Domestic w/ Targeted Victim")</f>
        <v>Domestic w/ Targeted Victim</v>
      </c>
      <c r="X973" s="1" t="str">
        <f ca="1">IFERROR(__xludf.DUMMYFUNCTION("""COMPUTED_VALUE"""),"Victims Targeted")</f>
        <v>Victims Targeted</v>
      </c>
      <c r="Y973" s="1" t="str">
        <f ca="1">IFERROR(__xludf.DUMMYFUNCTION("""COMPUTED_VALUE"""),"No")</f>
        <v>No</v>
      </c>
      <c r="Z973" s="1"/>
      <c r="AA973" s="1" t="str">
        <f ca="1">IFERROR(__xludf.DUMMYFUNCTION("""COMPUTED_VALUE"""),"No")</f>
        <v>No</v>
      </c>
      <c r="AB973" s="1" t="str">
        <f ca="1">IFERROR(__xludf.DUMMYFUNCTION("""COMPUTED_VALUE"""),"No")</f>
        <v>No</v>
      </c>
      <c r="AC973" s="1" t="str">
        <f ca="1">IFERROR(__xludf.DUMMYFUNCTION("""COMPUTED_VALUE"""),"No")</f>
        <v>No</v>
      </c>
      <c r="AD973" s="1" t="str">
        <f ca="1">IFERROR(__xludf.DUMMYFUNCTION("""COMPUTED_VALUE"""),"No")</f>
        <v>No</v>
      </c>
      <c r="AE973" s="1" t="str">
        <f ca="1">IFERROR(__xludf.DUMMYFUNCTION("""COMPUTED_VALUE"""),"Yes")</f>
        <v>Yes</v>
      </c>
      <c r="AF973" s="1" t="str">
        <f ca="1">IFERROR(__xludf.DUMMYFUNCTION("""COMPUTED_VALUE"""),"No")</f>
        <v>No</v>
      </c>
      <c r="AG973" s="1" t="str">
        <f ca="1">IFERROR(__xludf.DUMMYFUNCTION("""COMPUTED_VALUE"""),"No")</f>
        <v>No</v>
      </c>
      <c r="AH973" s="1">
        <f ca="1">IFERROR(__xludf.DUMMYFUNCTION("""COMPUTED_VALUE"""),1)</f>
        <v>1</v>
      </c>
    </row>
    <row r="974" spans="1:34" ht="12.5">
      <c r="A974" s="1" t="str">
        <f ca="1">IFERROR(__xludf.DUMMYFUNCTION("""COMPUTED_VALUE"""),"20210304CTACN")</f>
        <v>20210304CTACN</v>
      </c>
      <c r="B974" s="1">
        <f ca="1">IFERROR(__xludf.DUMMYFUNCTION("""COMPUTED_VALUE"""),3)</f>
        <v>3</v>
      </c>
      <c r="C974" s="1">
        <f ca="1">IFERROR(__xludf.DUMMYFUNCTION("""COMPUTED_VALUE"""),4)</f>
        <v>4</v>
      </c>
      <c r="D974" s="1">
        <f ca="1">IFERROR(__xludf.DUMMYFUNCTION("""COMPUTED_VALUE"""),2021)</f>
        <v>2021</v>
      </c>
      <c r="E974" s="4">
        <f ca="1">IFERROR(__xludf.DUMMYFUNCTION("""COMPUTED_VALUE"""),44259)</f>
        <v>44259</v>
      </c>
      <c r="F974" s="1" t="str">
        <f ca="1">IFERROR(__xludf.DUMMYFUNCTION("""COMPUTED_VALUE"""),"Achievement First Amistad High School")</f>
        <v>Achievement First Amistad High School</v>
      </c>
      <c r="G974" s="1">
        <f ca="1">IFERROR(__xludf.DUMMYFUNCTION("""COMPUTED_VALUE"""),0)</f>
        <v>0</v>
      </c>
      <c r="H974" s="1">
        <f ca="1">IFERROR(__xludf.DUMMYFUNCTION("""COMPUTED_VALUE"""),0)</f>
        <v>0</v>
      </c>
      <c r="I974" s="1">
        <f ca="1">IFERROR(__xludf.DUMMYFUNCTION("""COMPUTED_VALUE"""),0)</f>
        <v>0</v>
      </c>
      <c r="J974" s="1">
        <f ca="1">IFERROR(__xludf.DUMMYFUNCTION("""COMPUTED_VALUE"""),0)</f>
        <v>0</v>
      </c>
      <c r="K974" s="1" t="str">
        <f ca="1">IFERROR(__xludf.DUMMYFUNCTION("""COMPUTED_VALUE"""),"Spring")</f>
        <v>Spring</v>
      </c>
      <c r="L974" s="1" t="str">
        <f ca="1">IFERROR(__xludf.DUMMYFUNCTION("""COMPUTED_VALUE"""),"New Haven")</f>
        <v>New Haven</v>
      </c>
      <c r="M974" s="1" t="str">
        <f ca="1">IFERROR(__xludf.DUMMYFUNCTION("""COMPUTED_VALUE"""),"CT")</f>
        <v>CT</v>
      </c>
      <c r="N974" s="1" t="str">
        <f ca="1">IFERROR(__xludf.DUMMYFUNCTION("""COMPUTED_VALUE"""),"High")</f>
        <v>High</v>
      </c>
      <c r="O974" s="1" t="str">
        <f ca="1">IFERROR(__xludf.DUMMYFUNCTION("""COMPUTED_VALUE"""),"Classroom")</f>
        <v>Classroom</v>
      </c>
      <c r="P974" s="1" t="str">
        <f ca="1">IFERROR(__xludf.DUMMYFUNCTION("""COMPUTED_VALUE"""),"Both Inside/Outside")</f>
        <v>Both Inside/Outside</v>
      </c>
      <c r="Q974" s="1" t="str">
        <f ca="1">IFERROR(__xludf.DUMMYFUNCTION("""COMPUTED_VALUE"""),"Yes")</f>
        <v>Yes</v>
      </c>
      <c r="R974" s="1" t="str">
        <f ca="1">IFERROR(__xludf.DUMMYFUNCTION("""COMPUTED_VALUE"""),"Morning Classes")</f>
        <v>Morning Classes</v>
      </c>
      <c r="S974" s="5">
        <f ca="1">IFERROR(__xludf.DUMMYFUNCTION("""COMPUTED_VALUE"""),0.340277777777777)</f>
        <v>0.34027777777777701</v>
      </c>
      <c r="T974" s="1">
        <f ca="1">IFERROR(__xludf.DUMMYFUNCTION("""COMPUTED_VALUE"""),1)</f>
        <v>1</v>
      </c>
      <c r="U974" s="1" t="str">
        <f ca="1">IFERROR(__xludf.DUMMYFUNCTION("""COMPUTED_VALUE"""),"Shot fired from outside broke classroom window")</f>
        <v>Shot fired from outside broke classroom window</v>
      </c>
      <c r="V974" s="1" t="str">
        <f ca="1">IFERROR(__xludf.DUMMYFUNCTION("""COMPUTED_VALUE"""),"Gunfire hit a window at Achievement First Amistad High School in New Haven on Thursday morning. Police said a round hit a rear window of Achievement First Amistad High School at 580 Dixwell Ave. at 8:10 a.m. Students were inside at the time of the shootin"&amp;"g. No injuries.")</f>
        <v>Gunfire hit a window at Achievement First Amistad High School in New Haven on Thursday morning. Police said a round hit a rear window of Achievement First Amistad High School at 580 Dixwell Ave. at 8:10 a.m. Students were inside at the time of the shooting. No injuries.</v>
      </c>
      <c r="W974" s="1" t="str">
        <f ca="1">IFERROR(__xludf.DUMMYFUNCTION("""COMPUTED_VALUE"""),"Drive-by Shooting")</f>
        <v>Drive-by Shooting</v>
      </c>
      <c r="X974" s="1"/>
      <c r="Y974" s="1" t="str">
        <f ca="1">IFERROR(__xludf.DUMMYFUNCTION("""COMPUTED_VALUE"""),"No")</f>
        <v>No</v>
      </c>
      <c r="Z974" s="1"/>
      <c r="AA974" s="1" t="str">
        <f ca="1">IFERROR(__xludf.DUMMYFUNCTION("""COMPUTED_VALUE"""),"No")</f>
        <v>No</v>
      </c>
      <c r="AB974" s="1" t="str">
        <f ca="1">IFERROR(__xludf.DUMMYFUNCTION("""COMPUTED_VALUE"""),"No")</f>
        <v>No</v>
      </c>
      <c r="AC974" s="1" t="str">
        <f ca="1">IFERROR(__xludf.DUMMYFUNCTION("""COMPUTED_VALUE"""),"No")</f>
        <v>No</v>
      </c>
      <c r="AD974" s="1" t="str">
        <f ca="1">IFERROR(__xludf.DUMMYFUNCTION("""COMPUTED_VALUE"""),"No")</f>
        <v>No</v>
      </c>
      <c r="AE974" s="1" t="str">
        <f ca="1">IFERROR(__xludf.DUMMYFUNCTION("""COMPUTED_VALUE"""),"No")</f>
        <v>No</v>
      </c>
      <c r="AF974" s="1"/>
      <c r="AG974" s="1" t="str">
        <f ca="1">IFERROR(__xludf.DUMMYFUNCTION("""COMPUTED_VALUE"""),"No")</f>
        <v>No</v>
      </c>
      <c r="AH974" s="1">
        <f ca="1">IFERROR(__xludf.DUMMYFUNCTION("""COMPUTED_VALUE"""),99)</f>
        <v>99</v>
      </c>
    </row>
    <row r="975" spans="1:34" ht="12.5">
      <c r="A975" s="1" t="str">
        <f ca="1">IFERROR(__xludf.DUMMYFUNCTION("""COMPUTED_VALUE"""),"20210301NYWAO")</f>
        <v>20210301NYWAO</v>
      </c>
      <c r="B975" s="1">
        <f ca="1">IFERROR(__xludf.DUMMYFUNCTION("""COMPUTED_VALUE"""),3)</f>
        <v>3</v>
      </c>
      <c r="C975" s="1">
        <f ca="1">IFERROR(__xludf.DUMMYFUNCTION("""COMPUTED_VALUE"""),1)</f>
        <v>1</v>
      </c>
      <c r="D975" s="1">
        <f ca="1">IFERROR(__xludf.DUMMYFUNCTION("""COMPUTED_VALUE"""),2021)</f>
        <v>2021</v>
      </c>
      <c r="E975" s="4">
        <f ca="1">IFERROR(__xludf.DUMMYFUNCTION("""COMPUTED_VALUE"""),44256)</f>
        <v>44256</v>
      </c>
      <c r="F975" s="1" t="str">
        <f ca="1">IFERROR(__xludf.DUMMYFUNCTION("""COMPUTED_VALUE"""),"Wayne Central Middle School")</f>
        <v>Wayne Central Middle School</v>
      </c>
      <c r="G975" s="1">
        <f ca="1">IFERROR(__xludf.DUMMYFUNCTION("""COMPUTED_VALUE"""),0)</f>
        <v>0</v>
      </c>
      <c r="H975" s="1">
        <f ca="1">IFERROR(__xludf.DUMMYFUNCTION("""COMPUTED_VALUE"""),1)</f>
        <v>1</v>
      </c>
      <c r="I975" s="1">
        <f ca="1">IFERROR(__xludf.DUMMYFUNCTION("""COMPUTED_VALUE"""),1)</f>
        <v>1</v>
      </c>
      <c r="J975" s="1">
        <f ca="1">IFERROR(__xludf.DUMMYFUNCTION("""COMPUTED_VALUE"""),0)</f>
        <v>0</v>
      </c>
      <c r="K975" s="1" t="str">
        <f ca="1">IFERROR(__xludf.DUMMYFUNCTION("""COMPUTED_VALUE"""),"Spring")</f>
        <v>Spring</v>
      </c>
      <c r="L975" s="1" t="str">
        <f ca="1">IFERROR(__xludf.DUMMYFUNCTION("""COMPUTED_VALUE"""),"Ontario")</f>
        <v>Ontario</v>
      </c>
      <c r="M975" s="1" t="str">
        <f ca="1">IFERROR(__xludf.DUMMYFUNCTION("""COMPUTED_VALUE"""),"NY")</f>
        <v>NY</v>
      </c>
      <c r="N975" s="1" t="str">
        <f ca="1">IFERROR(__xludf.DUMMYFUNCTION("""COMPUTED_VALUE"""),"Middle")</f>
        <v>Middle</v>
      </c>
      <c r="O975" s="1" t="str">
        <f ca="1">IFERROR(__xludf.DUMMYFUNCTION("""COMPUTED_VALUE"""),"Inside School Building")</f>
        <v>Inside School Building</v>
      </c>
      <c r="P975" s="1" t="str">
        <f ca="1">IFERROR(__xludf.DUMMYFUNCTION("""COMPUTED_VALUE"""),"Inside School Building")</f>
        <v>Inside School Building</v>
      </c>
      <c r="Q975" s="1" t="str">
        <f ca="1">IFERROR(__xludf.DUMMYFUNCTION("""COMPUTED_VALUE"""),"No")</f>
        <v>No</v>
      </c>
      <c r="R975" s="1" t="str">
        <f ca="1">IFERROR(__xludf.DUMMYFUNCTION("""COMPUTED_VALUE"""),"Morning Classes")</f>
        <v>Morning Classes</v>
      </c>
      <c r="S975" s="5">
        <f ca="1">IFERROR(__xludf.DUMMYFUNCTION("""COMPUTED_VALUE"""),0.402777777777777)</f>
        <v>0.40277777777777701</v>
      </c>
      <c r="T975" s="1">
        <f ca="1">IFERROR(__xludf.DUMMYFUNCTION("""COMPUTED_VALUE"""),1)</f>
        <v>1</v>
      </c>
      <c r="U975" s="1" t="str">
        <f ca="1">IFERROR(__xludf.DUMMYFUNCTION("""COMPUTED_VALUE"""),"SRO shot in foot while trying to detain school janitor who was brandishing knife")</f>
        <v>SRO shot in foot while trying to detain school janitor who was brandishing knife</v>
      </c>
      <c r="V975" s="1" t="str">
        <f ca="1">IFERROR(__xludf.DUMMYFUNCTION("""COMPUTED_VALUE"""),"The Wayne County Sheriff’s Office says a deputy serving as a school resource officer responded to a fight between Franco, an employee of the school, and another staff member Monday, during which Franco had a knife. Investigators did not specify what kind "&amp;"of knife he had. Investigators said Monday both Franco and the deputy suffered non-life-threatening injuries in the incident. Court papers allege that Franco used a Smith and Wesson M&amp;P .45 caliber handgun to shoot Deputy Robert Mansell in the foot. It is"&amp;" not clear if the weapon allegedly used belonged to Franco or the deputy.")</f>
        <v>The Wayne County Sheriff’s Office says a deputy serving as a school resource officer responded to a fight between Franco, an employee of the school, and another staff member Monday, during which Franco had a knife. Investigators did not specify what kind of knife he had. Investigators said Monday both Franco and the deputy suffered non-life-threatening injuries in the incident. Court papers allege that Franco used a Smith and Wesson M&amp;P .45 caliber handgun to shoot Deputy Robert Mansell in the foot. It is not clear if the weapon allegedly used belonged to Franco or the deputy.</v>
      </c>
      <c r="W975" s="1"/>
      <c r="X975" s="1" t="str">
        <f ca="1">IFERROR(__xludf.DUMMYFUNCTION("""COMPUTED_VALUE"""),"Victims Targeted")</f>
        <v>Victims Targeted</v>
      </c>
      <c r="Y975" s="1" t="str">
        <f ca="1">IFERROR(__xludf.DUMMYFUNCTION("""COMPUTED_VALUE"""),"No")</f>
        <v>No</v>
      </c>
      <c r="Z975" s="1"/>
      <c r="AA975" s="1" t="str">
        <f ca="1">IFERROR(__xludf.DUMMYFUNCTION("""COMPUTED_VALUE"""),"No")</f>
        <v>No</v>
      </c>
      <c r="AB975" s="1" t="str">
        <f ca="1">IFERROR(__xludf.DUMMYFUNCTION("""COMPUTED_VALUE"""),"No")</f>
        <v>No</v>
      </c>
      <c r="AC975" s="1" t="str">
        <f ca="1">IFERROR(__xludf.DUMMYFUNCTION("""COMPUTED_VALUE"""),"No")</f>
        <v>No</v>
      </c>
      <c r="AD975" s="1" t="str">
        <f ca="1">IFERROR(__xludf.DUMMYFUNCTION("""COMPUTED_VALUE"""),"No")</f>
        <v>No</v>
      </c>
      <c r="AE975" s="1" t="str">
        <f ca="1">IFERROR(__xludf.DUMMYFUNCTION("""COMPUTED_VALUE"""),"No")</f>
        <v>No</v>
      </c>
      <c r="AF975" s="1" t="str">
        <f ca="1">IFERROR(__xludf.DUMMYFUNCTION("""COMPUTED_VALUE"""),"No")</f>
        <v>No</v>
      </c>
      <c r="AG975" s="1" t="str">
        <f ca="1">IFERROR(__xludf.DUMMYFUNCTION("""COMPUTED_VALUE"""),"No")</f>
        <v>No</v>
      </c>
      <c r="AH975" s="1">
        <f ca="1">IFERROR(__xludf.DUMMYFUNCTION("""COMPUTED_VALUE"""),1)</f>
        <v>1</v>
      </c>
    </row>
    <row r="976" spans="1:34" ht="12.5">
      <c r="A976" s="1" t="str">
        <f ca="1">IFERROR(__xludf.DUMMYFUNCTION("""COMPUTED_VALUE"""),"20210301ARWAP")</f>
        <v>20210301ARWAP</v>
      </c>
      <c r="B976" s="1">
        <f ca="1">IFERROR(__xludf.DUMMYFUNCTION("""COMPUTED_VALUE"""),3)</f>
        <v>3</v>
      </c>
      <c r="C976" s="1">
        <f ca="1">IFERROR(__xludf.DUMMYFUNCTION("""COMPUTED_VALUE"""),1)</f>
        <v>1</v>
      </c>
      <c r="D976" s="1">
        <f ca="1">IFERROR(__xludf.DUMMYFUNCTION("""COMPUTED_VALUE"""),2021)</f>
        <v>2021</v>
      </c>
      <c r="E976" s="4">
        <f ca="1">IFERROR(__xludf.DUMMYFUNCTION("""COMPUTED_VALUE"""),44256)</f>
        <v>44256</v>
      </c>
      <c r="F976" s="1" t="str">
        <f ca="1">IFERROR(__xludf.DUMMYFUNCTION("""COMPUTED_VALUE"""),"Watson Chapel Junior High")</f>
        <v>Watson Chapel Junior High</v>
      </c>
      <c r="G976" s="1">
        <f ca="1">IFERROR(__xludf.DUMMYFUNCTION("""COMPUTED_VALUE"""),1)</f>
        <v>1</v>
      </c>
      <c r="H976" s="1">
        <f ca="1">IFERROR(__xludf.DUMMYFUNCTION("""COMPUTED_VALUE"""),0)</f>
        <v>0</v>
      </c>
      <c r="I976" s="1">
        <f ca="1">IFERROR(__xludf.DUMMYFUNCTION("""COMPUTED_VALUE"""),1)</f>
        <v>1</v>
      </c>
      <c r="J976" s="1">
        <f ca="1">IFERROR(__xludf.DUMMYFUNCTION("""COMPUTED_VALUE"""),0)</f>
        <v>0</v>
      </c>
      <c r="K976" s="1" t="str">
        <f ca="1">IFERROR(__xludf.DUMMYFUNCTION("""COMPUTED_VALUE"""),"Spring")</f>
        <v>Spring</v>
      </c>
      <c r="L976" s="1" t="str">
        <f ca="1">IFERROR(__xludf.DUMMYFUNCTION("""COMPUTED_VALUE"""),"Pine Bluff")</f>
        <v>Pine Bluff</v>
      </c>
      <c r="M976" s="1" t="str">
        <f ca="1">IFERROR(__xludf.DUMMYFUNCTION("""COMPUTED_VALUE"""),"AR")</f>
        <v>AR</v>
      </c>
      <c r="N976" s="1" t="str">
        <f ca="1">IFERROR(__xludf.DUMMYFUNCTION("""COMPUTED_VALUE"""),"Junior High")</f>
        <v>Junior High</v>
      </c>
      <c r="O976" s="1" t="str">
        <f ca="1">IFERROR(__xludf.DUMMYFUNCTION("""COMPUTED_VALUE"""),"Hallway")</f>
        <v>Hallway</v>
      </c>
      <c r="P976" s="1" t="str">
        <f ca="1">IFERROR(__xludf.DUMMYFUNCTION("""COMPUTED_VALUE"""),"Inside School Building")</f>
        <v>Inside School Building</v>
      </c>
      <c r="Q976" s="1" t="str">
        <f ca="1">IFERROR(__xludf.DUMMYFUNCTION("""COMPUTED_VALUE"""),"Yes")</f>
        <v>Yes</v>
      </c>
      <c r="R976" s="1" t="str">
        <f ca="1">IFERROR(__xludf.DUMMYFUNCTION("""COMPUTED_VALUE"""),"Morning Classes")</f>
        <v>Morning Classes</v>
      </c>
      <c r="S976" s="5">
        <f ca="1">IFERROR(__xludf.DUMMYFUNCTION("""COMPUTED_VALUE"""),0.415972222222222)</f>
        <v>0.41597222222222202</v>
      </c>
      <c r="T976" s="1">
        <f ca="1">IFERROR(__xludf.DUMMYFUNCTION("""COMPUTED_VALUE"""),1)</f>
        <v>1</v>
      </c>
      <c r="U976" s="1" t="str">
        <f ca="1">IFERROR(__xludf.DUMMYFUNCTION("""COMPUTED_VALUE"""),"Student shot by another student in the hallway between classes")</f>
        <v>Student shot by another student in the hallway between classes</v>
      </c>
      <c r="V976" s="1" t="str">
        <f ca="1">IFERROR(__xludf.DUMMYFUNCTION("""COMPUTED_VALUE"""),"A 15-year-old student shot another 15-year-old student 3 times in the hallway as students changed classes. Many students were in the hallway at the time of the shooting and witnessed it. Injured student was flown to hospital in critical condition and died"&amp;" 2 days later (3/3/2021). Shooter fled the scene and was tracked by a police K-9 to the backyard of a house near the school where he was arrested. School was placed on lockdown for 1 hour and then dismissed. Police said the shooting was targeted and there"&amp;" was a dispute between the shooter and victim. The shooting occurred on the first day the school had resumed in-person learning following COVID-19 related closures and virtual learning.")</f>
        <v>A 15-year-old student shot another 15-year-old student 3 times in the hallway as students changed classes. Many students were in the hallway at the time of the shooting and witnessed it. Injured student was flown to hospital in critical condition and died 2 days later (3/3/2021). Shooter fled the scene and was tracked by a police K-9 to the backyard of a house near the school where he was arrested. School was placed on lockdown for 1 hour and then dismissed. Police said the shooting was targeted and there was a dispute between the shooter and victim. The shooting occurred on the first day the school had resumed in-person learning following COVID-19 related closures and virtual learning.</v>
      </c>
      <c r="W976" s="1" t="str">
        <f ca="1">IFERROR(__xludf.DUMMYFUNCTION("""COMPUTED_VALUE"""),"Escalation of Dispute")</f>
        <v>Escalation of Dispute</v>
      </c>
      <c r="X976" s="1" t="str">
        <f ca="1">IFERROR(__xludf.DUMMYFUNCTION("""COMPUTED_VALUE"""),"Victims Targeted")</f>
        <v>Victims Targeted</v>
      </c>
      <c r="Y976" s="1" t="str">
        <f ca="1">IFERROR(__xludf.DUMMYFUNCTION("""COMPUTED_VALUE"""),"No")</f>
        <v>No</v>
      </c>
      <c r="Z976" s="1"/>
      <c r="AA976" s="1" t="str">
        <f ca="1">IFERROR(__xludf.DUMMYFUNCTION("""COMPUTED_VALUE"""),"No")</f>
        <v>No</v>
      </c>
      <c r="AB976" s="1" t="str">
        <f ca="1">IFERROR(__xludf.DUMMYFUNCTION("""COMPUTED_VALUE"""),"No")</f>
        <v>No</v>
      </c>
      <c r="AC976" s="1" t="str">
        <f ca="1">IFERROR(__xludf.DUMMYFUNCTION("""COMPUTED_VALUE"""),"No")</f>
        <v>No</v>
      </c>
      <c r="AD976" s="1" t="str">
        <f ca="1">IFERROR(__xludf.DUMMYFUNCTION("""COMPUTED_VALUE"""),"No")</f>
        <v>No</v>
      </c>
      <c r="AE976" s="1" t="str">
        <f ca="1">IFERROR(__xludf.DUMMYFUNCTION("""COMPUTED_VALUE"""),"No")</f>
        <v>No</v>
      </c>
      <c r="AF976" s="1" t="str">
        <f ca="1">IFERROR(__xludf.DUMMYFUNCTION("""COMPUTED_VALUE"""),"No")</f>
        <v>No</v>
      </c>
      <c r="AG976" s="1" t="str">
        <f ca="1">IFERROR(__xludf.DUMMYFUNCTION("""COMPUTED_VALUE"""),"No")</f>
        <v>No</v>
      </c>
      <c r="AH976" s="1">
        <f ca="1">IFERROR(__xludf.DUMMYFUNCTION("""COMPUTED_VALUE"""),3)</f>
        <v>3</v>
      </c>
    </row>
    <row r="977" spans="1:34" ht="12.5">
      <c r="A977" s="1" t="str">
        <f ca="1">IFERROR(__xludf.DUMMYFUNCTION("""COMPUTED_VALUE"""),"20210226LAGEN")</f>
        <v>20210226LAGEN</v>
      </c>
      <c r="B977" s="1">
        <f ca="1">IFERROR(__xludf.DUMMYFUNCTION("""COMPUTED_VALUE"""),2)</f>
        <v>2</v>
      </c>
      <c r="C977" s="1">
        <f ca="1">IFERROR(__xludf.DUMMYFUNCTION("""COMPUTED_VALUE"""),26)</f>
        <v>26</v>
      </c>
      <c r="D977" s="1">
        <f ca="1">IFERROR(__xludf.DUMMYFUNCTION("""COMPUTED_VALUE"""),2021)</f>
        <v>2021</v>
      </c>
      <c r="E977" s="4">
        <f ca="1">IFERROR(__xludf.DUMMYFUNCTION("""COMPUTED_VALUE"""),44253)</f>
        <v>44253</v>
      </c>
      <c r="F977" s="1" t="str">
        <f ca="1">IFERROR(__xludf.DUMMYFUNCTION("""COMPUTED_VALUE"""),"George Washington Carver High School")</f>
        <v>George Washington Carver High School</v>
      </c>
      <c r="G977" s="1">
        <f ca="1">IFERROR(__xludf.DUMMYFUNCTION("""COMPUTED_VALUE"""),1)</f>
        <v>1</v>
      </c>
      <c r="H977" s="1">
        <f ca="1">IFERROR(__xludf.DUMMYFUNCTION("""COMPUTED_VALUE"""),0)</f>
        <v>0</v>
      </c>
      <c r="I977" s="1">
        <f ca="1">IFERROR(__xludf.DUMMYFUNCTION("""COMPUTED_VALUE"""),1)</f>
        <v>1</v>
      </c>
      <c r="J977" s="1">
        <f ca="1">IFERROR(__xludf.DUMMYFUNCTION("""COMPUTED_VALUE"""),0)</f>
        <v>0</v>
      </c>
      <c r="K977" s="1"/>
      <c r="L977" s="1" t="str">
        <f ca="1">IFERROR(__xludf.DUMMYFUNCTION("""COMPUTED_VALUE"""),"New Orleans")</f>
        <v>New Orleans</v>
      </c>
      <c r="M977" s="1" t="str">
        <f ca="1">IFERROR(__xludf.DUMMYFUNCTION("""COMPUTED_VALUE"""),"LA")</f>
        <v>LA</v>
      </c>
      <c r="N977" s="1" t="str">
        <f ca="1">IFERROR(__xludf.DUMMYFUNCTION("""COMPUTED_VALUE"""),"High")</f>
        <v>High</v>
      </c>
      <c r="O977" s="1" t="str">
        <f ca="1">IFERROR(__xludf.DUMMYFUNCTION("""COMPUTED_VALUE"""),"Hallway")</f>
        <v>Hallway</v>
      </c>
      <c r="P977" s="1" t="str">
        <f ca="1">IFERROR(__xludf.DUMMYFUNCTION("""COMPUTED_VALUE"""),"Inside School Building")</f>
        <v>Inside School Building</v>
      </c>
      <c r="Q977" s="1" t="str">
        <f ca="1">IFERROR(__xludf.DUMMYFUNCTION("""COMPUTED_VALUE"""),"No")</f>
        <v>No</v>
      </c>
      <c r="R977" s="1" t="str">
        <f ca="1">IFERROR(__xludf.DUMMYFUNCTION("""COMPUTED_VALUE"""),"Sport Event")</f>
        <v>Sport Event</v>
      </c>
      <c r="S977" s="5">
        <f ca="1">IFERROR(__xludf.DUMMYFUNCTION("""COMPUTED_VALUE"""),0.760416666666666)</f>
        <v>0.76041666666666596</v>
      </c>
      <c r="T977" s="1">
        <f ca="1">IFERROR(__xludf.DUMMYFUNCTION("""COMPUTED_VALUE"""),1)</f>
        <v>1</v>
      </c>
      <c r="U977" s="1" t="str">
        <f ca="1">IFERROR(__xludf.DUMMYFUNCTION("""COMPUTED_VALUE"""),"Police officer shot while escorting person out of high school basketball game")</f>
        <v>Police officer shot while escorting person out of high school basketball game</v>
      </c>
      <c r="V977" s="1" t="str">
        <f ca="1">IFERROR(__xludf.DUMMYFUNCTION("""COMPUTED_VALUE"""),"A Tulane University police officer was working security at the high school during a playoff basketball game. A 35-year-old male (shooter) had a confrontation with a school employee who denied him entry to the game for not wearing a mask. Police officer in"&amp;"tervened in the confrontation and escorted the shooter out of the building. Near the door, the shooter pulled a gun and fatally shot the officer twice in the chest. Shooter then put the gun on the ground and surrendered. Prior to the shooting, the shooter"&amp;" approached a man inside a vehicle in the school parking lot, showed a gun, and demanded his gold chain.")</f>
        <v>A Tulane University police officer was working security at the high school during a playoff basketball game. A 35-year-old male (shooter) had a confrontation with a school employee who denied him entry to the game for not wearing a mask. Police officer intervened in the confrontation and escorted the shooter out of the building. Near the door, the shooter pulled a gun and fatally shot the officer twice in the chest. Shooter then put the gun on the ground and surrendered. Prior to the shooting, the shooter approached a man inside a vehicle in the school parking lot, showed a gun, and demanded his gold chain.</v>
      </c>
      <c r="W977" s="1" t="str">
        <f ca="1">IFERROR(__xludf.DUMMYFUNCTION("""COMPUTED_VALUE"""),"Illegal Activity")</f>
        <v>Illegal Activity</v>
      </c>
      <c r="X977" s="1" t="str">
        <f ca="1">IFERROR(__xludf.DUMMYFUNCTION("""COMPUTED_VALUE"""),"Random Shooting")</f>
        <v>Random Shooting</v>
      </c>
      <c r="Y977" s="1" t="str">
        <f ca="1">IFERROR(__xludf.DUMMYFUNCTION("""COMPUTED_VALUE"""),"No")</f>
        <v>No</v>
      </c>
      <c r="Z977" s="1"/>
      <c r="AA977" s="1" t="str">
        <f ca="1">IFERROR(__xludf.DUMMYFUNCTION("""COMPUTED_VALUE"""),"No")</f>
        <v>No</v>
      </c>
      <c r="AB977" s="1" t="str">
        <f ca="1">IFERROR(__xludf.DUMMYFUNCTION("""COMPUTED_VALUE"""),"No")</f>
        <v>No</v>
      </c>
      <c r="AC977" s="1" t="str">
        <f ca="1">IFERROR(__xludf.DUMMYFUNCTION("""COMPUTED_VALUE"""),"No")</f>
        <v>No</v>
      </c>
      <c r="AD977" s="1" t="str">
        <f ca="1">IFERROR(__xludf.DUMMYFUNCTION("""COMPUTED_VALUE"""),"No")</f>
        <v>No</v>
      </c>
      <c r="AE977" s="1" t="str">
        <f ca="1">IFERROR(__xludf.DUMMYFUNCTION("""COMPUTED_VALUE"""),"No")</f>
        <v>No</v>
      </c>
      <c r="AF977" s="1" t="str">
        <f ca="1">IFERROR(__xludf.DUMMYFUNCTION("""COMPUTED_VALUE"""),"No")</f>
        <v>No</v>
      </c>
      <c r="AG977" s="1" t="str">
        <f ca="1">IFERROR(__xludf.DUMMYFUNCTION("""COMPUTED_VALUE"""),"No")</f>
        <v>No</v>
      </c>
      <c r="AH977" s="1">
        <f ca="1">IFERROR(__xludf.DUMMYFUNCTION("""COMPUTED_VALUE"""),2)</f>
        <v>2</v>
      </c>
    </row>
    <row r="978" spans="1:34" ht="12.5">
      <c r="A978" s="1" t="str">
        <f ca="1">IFERROR(__xludf.DUMMYFUNCTION("""COMPUTED_VALUE"""),"20210224WAGAY")</f>
        <v>20210224WAGAY</v>
      </c>
      <c r="B978" s="1">
        <f ca="1">IFERROR(__xludf.DUMMYFUNCTION("""COMPUTED_VALUE"""),2)</f>
        <v>2</v>
      </c>
      <c r="C978" s="1">
        <f ca="1">IFERROR(__xludf.DUMMYFUNCTION("""COMPUTED_VALUE"""),24)</f>
        <v>24</v>
      </c>
      <c r="D978" s="1">
        <f ca="1">IFERROR(__xludf.DUMMYFUNCTION("""COMPUTED_VALUE"""),2021)</f>
        <v>2021</v>
      </c>
      <c r="E978" s="4">
        <f ca="1">IFERROR(__xludf.DUMMYFUNCTION("""COMPUTED_VALUE"""),44251)</f>
        <v>44251</v>
      </c>
      <c r="F978" s="1" t="str">
        <f ca="1">IFERROR(__xludf.DUMMYFUNCTION("""COMPUTED_VALUE"""),"Garfield Elementary School")</f>
        <v>Garfield Elementary School</v>
      </c>
      <c r="G978" s="1">
        <f ca="1">IFERROR(__xludf.DUMMYFUNCTION("""COMPUTED_VALUE"""),0)</f>
        <v>0</v>
      </c>
      <c r="H978" s="1">
        <f ca="1">IFERROR(__xludf.DUMMYFUNCTION("""COMPUTED_VALUE"""),1)</f>
        <v>1</v>
      </c>
      <c r="I978" s="1">
        <f ca="1">IFERROR(__xludf.DUMMYFUNCTION("""COMPUTED_VALUE"""),1)</f>
        <v>1</v>
      </c>
      <c r="J978" s="1">
        <f ca="1">IFERROR(__xludf.DUMMYFUNCTION("""COMPUTED_VALUE"""),0)</f>
        <v>0</v>
      </c>
      <c r="K978" s="1" t="str">
        <f ca="1">IFERROR(__xludf.DUMMYFUNCTION("""COMPUTED_VALUE"""),"Winter")</f>
        <v>Winter</v>
      </c>
      <c r="L978" s="1" t="str">
        <f ca="1">IFERROR(__xludf.DUMMYFUNCTION("""COMPUTED_VALUE"""),"Yakima")</f>
        <v>Yakima</v>
      </c>
      <c r="M978" s="1" t="str">
        <f ca="1">IFERROR(__xludf.DUMMYFUNCTION("""COMPUTED_VALUE"""),"WA")</f>
        <v>WA</v>
      </c>
      <c r="N978" s="1" t="str">
        <f ca="1">IFERROR(__xludf.DUMMYFUNCTION("""COMPUTED_VALUE"""),"Elementary")</f>
        <v>Elementary</v>
      </c>
      <c r="O978" s="1" t="str">
        <f ca="1">IFERROR(__xludf.DUMMYFUNCTION("""COMPUTED_VALUE"""),"Parking Lot")</f>
        <v>Parking Lot</v>
      </c>
      <c r="P978" s="1" t="str">
        <f ca="1">IFERROR(__xludf.DUMMYFUNCTION("""COMPUTED_VALUE"""),"Outside on School Property")</f>
        <v>Outside on School Property</v>
      </c>
      <c r="Q978" s="1" t="str">
        <f ca="1">IFERROR(__xludf.DUMMYFUNCTION("""COMPUTED_VALUE"""),"Yes")</f>
        <v>Yes</v>
      </c>
      <c r="R978" s="1" t="str">
        <f ca="1">IFERROR(__xludf.DUMMYFUNCTION("""COMPUTED_VALUE"""),"Afternoon Classes")</f>
        <v>Afternoon Classes</v>
      </c>
      <c r="S978" s="5">
        <f ca="1">IFERROR(__xludf.DUMMYFUNCTION("""COMPUTED_VALUE"""),0.506944444444444)</f>
        <v>0.50694444444444398</v>
      </c>
      <c r="T978" s="1">
        <f ca="1">IFERROR(__xludf.DUMMYFUNCTION("""COMPUTED_VALUE"""),1)</f>
        <v>1</v>
      </c>
      <c r="U978" s="1" t="str">
        <f ca="1">IFERROR(__xludf.DUMMYFUNCTION("""COMPUTED_VALUE"""),"Teen shot in the parking lot of the school, shooter fled and crashed vehicle into school bus")</f>
        <v>Teen shot in the parking lot of the school, shooter fled and crashed vehicle into school bus</v>
      </c>
      <c r="V978" s="1" t="str">
        <f ca="1">IFERROR(__xludf.DUMMYFUNCTION("""COMPUTED_VALUE"""),"A 16-year-old male was shot twice during a fight with other teens in the school parking lot. Four teens who were involved, including the shooter, fled the area in a stolen vehicle. 2 hours later, police attempted to stop the stolen vehicle with the four t"&amp;"eens and during a pursuit, the vehicle crashed into a school bus. Teachers and staff were at the school at the time of the shooting while student were in remote learning.")</f>
        <v>A 16-year-old male was shot twice during a fight with other teens in the school parking lot. Four teens who were involved, including the shooter, fled the area in a stolen vehicle. 2 hours later, police attempted to stop the stolen vehicle with the four teens and during a pursuit, the vehicle crashed into a school bus. Teachers and staff were at the school at the time of the shooting while student were in remote learning.</v>
      </c>
      <c r="W978" s="1" t="str">
        <f ca="1">IFERROR(__xludf.DUMMYFUNCTION("""COMPUTED_VALUE"""),"Drive-by Shooting")</f>
        <v>Drive-by Shooting</v>
      </c>
      <c r="X978" s="1" t="str">
        <f ca="1">IFERROR(__xludf.DUMMYFUNCTION("""COMPUTED_VALUE"""),"Victims Targeted")</f>
        <v>Victims Targeted</v>
      </c>
      <c r="Y978" s="1" t="str">
        <f ca="1">IFERROR(__xludf.DUMMYFUNCTION("""COMPUTED_VALUE"""),"Yes")</f>
        <v>Yes</v>
      </c>
      <c r="Z978" s="1" t="str">
        <f ca="1">IFERROR(__xludf.DUMMYFUNCTION("""COMPUTED_VALUE"""),"Four teens fled in vehicle")</f>
        <v>Four teens fled in vehicle</v>
      </c>
      <c r="AA978" s="1" t="str">
        <f ca="1">IFERROR(__xludf.DUMMYFUNCTION("""COMPUTED_VALUE"""),"No")</f>
        <v>No</v>
      </c>
      <c r="AB978" s="1" t="str">
        <f ca="1">IFERROR(__xludf.DUMMYFUNCTION("""COMPUTED_VALUE"""),"No")</f>
        <v>No</v>
      </c>
      <c r="AC978" s="1" t="str">
        <f ca="1">IFERROR(__xludf.DUMMYFUNCTION("""COMPUTED_VALUE"""),"No")</f>
        <v>No</v>
      </c>
      <c r="AD978" s="1" t="str">
        <f ca="1">IFERROR(__xludf.DUMMYFUNCTION("""COMPUTED_VALUE"""),"No")</f>
        <v>No</v>
      </c>
      <c r="AE978" s="1" t="str">
        <f ca="1">IFERROR(__xludf.DUMMYFUNCTION("""COMPUTED_VALUE"""),"No")</f>
        <v>No</v>
      </c>
      <c r="AF978" s="1" t="str">
        <f ca="1">IFERROR(__xludf.DUMMYFUNCTION("""COMPUTED_VALUE"""),"Yes")</f>
        <v>Yes</v>
      </c>
      <c r="AG978" s="1" t="str">
        <f ca="1">IFERROR(__xludf.DUMMYFUNCTION("""COMPUTED_VALUE"""),"No")</f>
        <v>No</v>
      </c>
      <c r="AH978" s="1">
        <f ca="1">IFERROR(__xludf.DUMMYFUNCTION("""COMPUTED_VALUE"""),2)</f>
        <v>2</v>
      </c>
    </row>
    <row r="979" spans="1:34" ht="12.5">
      <c r="A979" s="1" t="str">
        <f ca="1">IFERROR(__xludf.DUMMYFUNCTION("""COMPUTED_VALUE"""),"20210222CAHOV")</f>
        <v>20210222CAHOV</v>
      </c>
      <c r="B979" s="1">
        <f ca="1">IFERROR(__xludf.DUMMYFUNCTION("""COMPUTED_VALUE"""),2)</f>
        <v>2</v>
      </c>
      <c r="C979" s="1">
        <f ca="1">IFERROR(__xludf.DUMMYFUNCTION("""COMPUTED_VALUE"""),22)</f>
        <v>22</v>
      </c>
      <c r="D979" s="1">
        <f ca="1">IFERROR(__xludf.DUMMYFUNCTION("""COMPUTED_VALUE"""),2021)</f>
        <v>2021</v>
      </c>
      <c r="E979" s="4">
        <f ca="1">IFERROR(__xludf.DUMMYFUNCTION("""COMPUTED_VALUE"""),44249)</f>
        <v>44249</v>
      </c>
      <c r="F979" s="1" t="str">
        <f ca="1">IFERROR(__xludf.DUMMYFUNCTION("""COMPUTED_VALUE"""),"Houston Elementary School")</f>
        <v>Houston Elementary School</v>
      </c>
      <c r="G979" s="1">
        <f ca="1">IFERROR(__xludf.DUMMYFUNCTION("""COMPUTED_VALUE"""),0)</f>
        <v>0</v>
      </c>
      <c r="H979" s="1">
        <f ca="1">IFERROR(__xludf.DUMMYFUNCTION("""COMPUTED_VALUE"""),1)</f>
        <v>1</v>
      </c>
      <c r="I979" s="1">
        <f ca="1">IFERROR(__xludf.DUMMYFUNCTION("""COMPUTED_VALUE"""),1)</f>
        <v>1</v>
      </c>
      <c r="J979" s="1">
        <f ca="1">IFERROR(__xludf.DUMMYFUNCTION("""COMPUTED_VALUE"""),0)</f>
        <v>0</v>
      </c>
      <c r="K979" s="1" t="str">
        <f ca="1">IFERROR(__xludf.DUMMYFUNCTION("""COMPUTED_VALUE"""),"Winter")</f>
        <v>Winter</v>
      </c>
      <c r="L979" s="1" t="str">
        <f ca="1">IFERROR(__xludf.DUMMYFUNCTION("""COMPUTED_VALUE"""),"Visalia")</f>
        <v>Visalia</v>
      </c>
      <c r="M979" s="1" t="str">
        <f ca="1">IFERROR(__xludf.DUMMYFUNCTION("""COMPUTED_VALUE"""),"CA")</f>
        <v>CA</v>
      </c>
      <c r="N979" s="1" t="str">
        <f ca="1">IFERROR(__xludf.DUMMYFUNCTION("""COMPUTED_VALUE"""),"Elementary")</f>
        <v>Elementary</v>
      </c>
      <c r="O979" s="1" t="str">
        <f ca="1">IFERROR(__xludf.DUMMYFUNCTION("""COMPUTED_VALUE"""),"Front of School")</f>
        <v>Front of School</v>
      </c>
      <c r="P979" s="1" t="str">
        <f ca="1">IFERROR(__xludf.DUMMYFUNCTION("""COMPUTED_VALUE"""),"Outside on School Property")</f>
        <v>Outside on School Property</v>
      </c>
      <c r="Q979" s="1" t="str">
        <f ca="1">IFERROR(__xludf.DUMMYFUNCTION("""COMPUTED_VALUE"""),"No")</f>
        <v>No</v>
      </c>
      <c r="R979" s="1" t="str">
        <f ca="1">IFERROR(__xludf.DUMMYFUNCTION("""COMPUTED_VALUE"""),"Night")</f>
        <v>Night</v>
      </c>
      <c r="S979" s="5">
        <f ca="1">IFERROR(__xludf.DUMMYFUNCTION("""COMPUTED_VALUE"""),0.166666666666666)</f>
        <v>0.16666666666666599</v>
      </c>
      <c r="T979" s="1">
        <f ca="1">IFERROR(__xludf.DUMMYFUNCTION("""COMPUTED_VALUE"""),1)</f>
        <v>1</v>
      </c>
      <c r="U979" s="1" t="str">
        <f ca="1">IFERROR(__xludf.DUMMYFUNCTION("""COMPUTED_VALUE"""),"Man shot in front of the school")</f>
        <v>Man shot in front of the school</v>
      </c>
      <c r="V979" s="1" t="str">
        <f ca="1">IFERROR(__xludf.DUMMYFUNCTION("""COMPUTED_VALUE"""),"An adult male was shot in the stomach while standing in front of the school. Shooter fled the scene. School was closed at the time of the shooting. The motive and identity of the shooter are unknown.")</f>
        <v>An adult male was shot in the stomach while standing in front of the school. Shooter fled the scene. School was closed at the time of the shooting. The motive and identity of the shooter are unknown.</v>
      </c>
      <c r="W979" s="1"/>
      <c r="X979" s="1"/>
      <c r="Y979" s="1"/>
      <c r="Z979" s="1"/>
      <c r="AA979" s="1" t="str">
        <f ca="1">IFERROR(__xludf.DUMMYFUNCTION("""COMPUTED_VALUE"""),"No")</f>
        <v>No</v>
      </c>
      <c r="AB979" s="1" t="str">
        <f ca="1">IFERROR(__xludf.DUMMYFUNCTION("""COMPUTED_VALUE"""),"No")</f>
        <v>No</v>
      </c>
      <c r="AC979" s="1" t="str">
        <f ca="1">IFERROR(__xludf.DUMMYFUNCTION("""COMPUTED_VALUE"""),"No")</f>
        <v>No</v>
      </c>
      <c r="AD979" s="1" t="str">
        <f ca="1">IFERROR(__xludf.DUMMYFUNCTION("""COMPUTED_VALUE"""),"No")</f>
        <v>No</v>
      </c>
      <c r="AE979" s="1"/>
      <c r="AF979" s="1"/>
      <c r="AG979" s="1" t="str">
        <f ca="1">IFERROR(__xludf.DUMMYFUNCTION("""COMPUTED_VALUE"""),"No")</f>
        <v>No</v>
      </c>
      <c r="AH979" s="1"/>
    </row>
    <row r="980" spans="1:34" ht="12.5">
      <c r="A980" s="1" t="str">
        <f ca="1">IFERROR(__xludf.DUMMYFUNCTION("""COMPUTED_VALUE"""),"20210219ILLIR")</f>
        <v>20210219ILLIR</v>
      </c>
      <c r="B980" s="1">
        <f ca="1">IFERROR(__xludf.DUMMYFUNCTION("""COMPUTED_VALUE"""),2)</f>
        <v>2</v>
      </c>
      <c r="C980" s="1">
        <f ca="1">IFERROR(__xludf.DUMMYFUNCTION("""COMPUTED_VALUE"""),19)</f>
        <v>19</v>
      </c>
      <c r="D980" s="1">
        <f ca="1">IFERROR(__xludf.DUMMYFUNCTION("""COMPUTED_VALUE"""),2021)</f>
        <v>2021</v>
      </c>
      <c r="E980" s="4">
        <f ca="1">IFERROR(__xludf.DUMMYFUNCTION("""COMPUTED_VALUE"""),44246)</f>
        <v>44246</v>
      </c>
      <c r="F980" s="1" t="str">
        <f ca="1">IFERROR(__xludf.DUMMYFUNCTION("""COMPUTED_VALUE"""),"Lincoln Middle School")</f>
        <v>Lincoln Middle School</v>
      </c>
      <c r="G980" s="1">
        <f ca="1">IFERROR(__xludf.DUMMYFUNCTION("""COMPUTED_VALUE"""),1)</f>
        <v>1</v>
      </c>
      <c r="H980" s="1">
        <f ca="1">IFERROR(__xludf.DUMMYFUNCTION("""COMPUTED_VALUE"""),0)</f>
        <v>0</v>
      </c>
      <c r="I980" s="1">
        <f ca="1">IFERROR(__xludf.DUMMYFUNCTION("""COMPUTED_VALUE"""),1)</f>
        <v>1</v>
      </c>
      <c r="J980" s="1">
        <f ca="1">IFERROR(__xludf.DUMMYFUNCTION("""COMPUTED_VALUE"""),0)</f>
        <v>0</v>
      </c>
      <c r="K980" s="1" t="str">
        <f ca="1">IFERROR(__xludf.DUMMYFUNCTION("""COMPUTED_VALUE"""),"Winter")</f>
        <v>Winter</v>
      </c>
      <c r="L980" s="1" t="str">
        <f ca="1">IFERROR(__xludf.DUMMYFUNCTION("""COMPUTED_VALUE"""),"Rockford")</f>
        <v>Rockford</v>
      </c>
      <c r="M980" s="1" t="str">
        <f ca="1">IFERROR(__xludf.DUMMYFUNCTION("""COMPUTED_VALUE"""),"IL")</f>
        <v>IL</v>
      </c>
      <c r="N980" s="1" t="str">
        <f ca="1">IFERROR(__xludf.DUMMYFUNCTION("""COMPUTED_VALUE"""),"Middle")</f>
        <v>Middle</v>
      </c>
      <c r="O980" s="1" t="str">
        <f ca="1">IFERROR(__xludf.DUMMYFUNCTION("""COMPUTED_VALUE"""),"Front of School")</f>
        <v>Front of School</v>
      </c>
      <c r="P980" s="1" t="str">
        <f ca="1">IFERROR(__xludf.DUMMYFUNCTION("""COMPUTED_VALUE"""),"Outside on School Property")</f>
        <v>Outside on School Property</v>
      </c>
      <c r="Q980" s="1" t="str">
        <f ca="1">IFERROR(__xludf.DUMMYFUNCTION("""COMPUTED_VALUE"""),"Yes")</f>
        <v>Yes</v>
      </c>
      <c r="R980" s="1" t="str">
        <f ca="1">IFERROR(__xludf.DUMMYFUNCTION("""COMPUTED_VALUE"""),"Afternoon Classes")</f>
        <v>Afternoon Classes</v>
      </c>
      <c r="S980" s="5">
        <f ca="1">IFERROR(__xludf.DUMMYFUNCTION("""COMPUTED_VALUE"""),0.534722222222222)</f>
        <v>0.53472222222222199</v>
      </c>
      <c r="T980" s="1">
        <f ca="1">IFERROR(__xludf.DUMMYFUNCTION("""COMPUTED_VALUE"""),1)</f>
        <v>1</v>
      </c>
      <c r="U980" s="1" t="str">
        <f ca="1">IFERROR(__xludf.DUMMYFUNCTION("""COMPUTED_VALUE"""),"Man who was fatally shot found inside vehicle on the front yard of the school")</f>
        <v>Man who was fatally shot found inside vehicle on the front yard of the school</v>
      </c>
      <c r="V980" s="1" t="str">
        <f ca="1">IFERROR(__xludf.DUMMYFUNCTION("""COMPUTED_VALUE"""),"While class was in session, a vehicle drove onto the front yard of the school and stopped in front of the building. The adult male driver had been shot multiple times and died at the hospital (next door to the school). School was locked down. No motive or"&amp;" shooter identified.")</f>
        <v>While class was in session, a vehicle drove onto the front yard of the school and stopped in front of the building. The adult male driver had been shot multiple times and died at the hospital (next door to the school). School was locked down. No motive or shooter identified.</v>
      </c>
      <c r="W980" s="1"/>
      <c r="X980" s="1" t="str">
        <f ca="1">IFERROR(__xludf.DUMMYFUNCTION("""COMPUTED_VALUE"""),"Victims Targeted")</f>
        <v>Victims Targeted</v>
      </c>
      <c r="Y980" s="1"/>
      <c r="Z980" s="1"/>
      <c r="AA980" s="1" t="str">
        <f ca="1">IFERROR(__xludf.DUMMYFUNCTION("""COMPUTED_VALUE"""),"No")</f>
        <v>No</v>
      </c>
      <c r="AB980" s="1" t="str">
        <f ca="1">IFERROR(__xludf.DUMMYFUNCTION("""COMPUTED_VALUE"""),"No")</f>
        <v>No</v>
      </c>
      <c r="AC980" s="1"/>
      <c r="AD980" s="1" t="str">
        <f ca="1">IFERROR(__xludf.DUMMYFUNCTION("""COMPUTED_VALUE"""),"No")</f>
        <v>No</v>
      </c>
      <c r="AE980" s="1"/>
      <c r="AF980" s="1"/>
      <c r="AG980" s="1" t="str">
        <f ca="1">IFERROR(__xludf.DUMMYFUNCTION("""COMPUTED_VALUE"""),"No")</f>
        <v>No</v>
      </c>
      <c r="AH980" s="1"/>
    </row>
    <row r="981" spans="1:34" ht="12.5">
      <c r="A981" s="1" t="str">
        <f ca="1">IFERROR(__xludf.DUMMYFUNCTION("""COMPUTED_VALUE"""),"20210217TNKNK")</f>
        <v>20210217TNKNK</v>
      </c>
      <c r="B981" s="1">
        <f ca="1">IFERROR(__xludf.DUMMYFUNCTION("""COMPUTED_VALUE"""),2)</f>
        <v>2</v>
      </c>
      <c r="C981" s="1">
        <f ca="1">IFERROR(__xludf.DUMMYFUNCTION("""COMPUTED_VALUE"""),17)</f>
        <v>17</v>
      </c>
      <c r="D981" s="1">
        <f ca="1">IFERROR(__xludf.DUMMYFUNCTION("""COMPUTED_VALUE"""),2021)</f>
        <v>2021</v>
      </c>
      <c r="E981" s="4">
        <f ca="1">IFERROR(__xludf.DUMMYFUNCTION("""COMPUTED_VALUE"""),44244)</f>
        <v>44244</v>
      </c>
      <c r="F981" s="1" t="str">
        <f ca="1">IFERROR(__xludf.DUMMYFUNCTION("""COMPUTED_VALUE"""),"Christenberry Elementary School")</f>
        <v>Christenberry Elementary School</v>
      </c>
      <c r="G981" s="1">
        <f ca="1">IFERROR(__xludf.DUMMYFUNCTION("""COMPUTED_VALUE"""),0)</f>
        <v>0</v>
      </c>
      <c r="H981" s="1">
        <f ca="1">IFERROR(__xludf.DUMMYFUNCTION("""COMPUTED_VALUE"""),0)</f>
        <v>0</v>
      </c>
      <c r="I981" s="1">
        <f ca="1">IFERROR(__xludf.DUMMYFUNCTION("""COMPUTED_VALUE"""),0)</f>
        <v>0</v>
      </c>
      <c r="J981" s="1">
        <f ca="1">IFERROR(__xludf.DUMMYFUNCTION("""COMPUTED_VALUE"""),0)</f>
        <v>0</v>
      </c>
      <c r="K981" s="1" t="str">
        <f ca="1">IFERROR(__xludf.DUMMYFUNCTION("""COMPUTED_VALUE"""),"Winter")</f>
        <v>Winter</v>
      </c>
      <c r="L981" s="1" t="str">
        <f ca="1">IFERROR(__xludf.DUMMYFUNCTION("""COMPUTED_VALUE"""),"Knoxville")</f>
        <v>Knoxville</v>
      </c>
      <c r="M981" s="1" t="str">
        <f ca="1">IFERROR(__xludf.DUMMYFUNCTION("""COMPUTED_VALUE"""),"TN")</f>
        <v>TN</v>
      </c>
      <c r="N981" s="1" t="str">
        <f ca="1">IFERROR(__xludf.DUMMYFUNCTION("""COMPUTED_VALUE"""),"Elementary")</f>
        <v>Elementary</v>
      </c>
      <c r="O981" s="1" t="str">
        <f ca="1">IFERROR(__xludf.DUMMYFUNCTION("""COMPUTED_VALUE"""),"School Bus")</f>
        <v>School Bus</v>
      </c>
      <c r="P981" s="1" t="str">
        <f ca="1">IFERROR(__xludf.DUMMYFUNCTION("""COMPUTED_VALUE"""),"School Bus")</f>
        <v>School Bus</v>
      </c>
      <c r="Q981" s="1" t="str">
        <f ca="1">IFERROR(__xludf.DUMMYFUNCTION("""COMPUTED_VALUE"""),"Yes")</f>
        <v>Yes</v>
      </c>
      <c r="R981" s="1" t="str">
        <f ca="1">IFERROR(__xludf.DUMMYFUNCTION("""COMPUTED_VALUE"""),"Dismissal")</f>
        <v>Dismissal</v>
      </c>
      <c r="S981" s="5">
        <f ca="1">IFERROR(__xludf.DUMMYFUNCTION("""COMPUTED_VALUE"""),0.614583333333333)</f>
        <v>0.61458333333333304</v>
      </c>
      <c r="T981" s="1">
        <f ca="1">IFERROR(__xludf.DUMMYFUNCTION("""COMPUTED_VALUE"""),1)</f>
        <v>1</v>
      </c>
      <c r="U981" s="1" t="str">
        <f ca="1">IFERROR(__xludf.DUMMYFUNCTION("""COMPUTED_VALUE"""),"School bus struck by bullet")</f>
        <v>School bus struck by bullet</v>
      </c>
      <c r="V981" s="1" t="str">
        <f ca="1">IFERROR(__xludf.DUMMYFUNCTION("""COMPUTED_VALUE"""),"A 30-year-old male fired multiple shot at a woman in a vehicle. She was critically injured and the vehicle crashed into a building. One of the shots struck a school bus with two staff members and one student on board.")</f>
        <v>A 30-year-old male fired multiple shot at a woman in a vehicle. She was critically injured and the vehicle crashed into a building. One of the shots struck a school bus with two staff members and one student on board.</v>
      </c>
      <c r="W981" s="1"/>
      <c r="X981" s="1"/>
      <c r="Y981" s="1" t="str">
        <f ca="1">IFERROR(__xludf.DUMMYFUNCTION("""COMPUTED_VALUE"""),"No")</f>
        <v>No</v>
      </c>
      <c r="Z981" s="1"/>
      <c r="AA981" s="1" t="str">
        <f ca="1">IFERROR(__xludf.DUMMYFUNCTION("""COMPUTED_VALUE"""),"No")</f>
        <v>No</v>
      </c>
      <c r="AB981" s="1" t="str">
        <f ca="1">IFERROR(__xludf.DUMMYFUNCTION("""COMPUTED_VALUE"""),"No")</f>
        <v>No</v>
      </c>
      <c r="AC981" s="1" t="str">
        <f ca="1">IFERROR(__xludf.DUMMYFUNCTION("""COMPUTED_VALUE"""),"No")</f>
        <v>No</v>
      </c>
      <c r="AD981" s="1" t="str">
        <f ca="1">IFERROR(__xludf.DUMMYFUNCTION("""COMPUTED_VALUE"""),"No")</f>
        <v>No</v>
      </c>
      <c r="AE981" s="1"/>
      <c r="AF981" s="1"/>
      <c r="AG981" s="1" t="str">
        <f ca="1">IFERROR(__xludf.DUMMYFUNCTION("""COMPUTED_VALUE"""),"No")</f>
        <v>No</v>
      </c>
      <c r="AH981" s="1"/>
    </row>
    <row r="982" spans="1:34" ht="12.5">
      <c r="A982" s="1" t="str">
        <f ca="1">IFERROR(__xludf.DUMMYFUNCTION("""COMPUTED_VALUE"""),"20210216NCTHS")</f>
        <v>20210216NCTHS</v>
      </c>
      <c r="B982" s="1">
        <f ca="1">IFERROR(__xludf.DUMMYFUNCTION("""COMPUTED_VALUE"""),2)</f>
        <v>2</v>
      </c>
      <c r="C982" s="1">
        <f ca="1">IFERROR(__xludf.DUMMYFUNCTION("""COMPUTED_VALUE"""),16)</f>
        <v>16</v>
      </c>
      <c r="D982" s="1">
        <f ca="1">IFERROR(__xludf.DUMMYFUNCTION("""COMPUTED_VALUE"""),2021)</f>
        <v>2021</v>
      </c>
      <c r="E982" s="4">
        <f ca="1">IFERROR(__xludf.DUMMYFUNCTION("""COMPUTED_VALUE"""),44243)</f>
        <v>44243</v>
      </c>
      <c r="F982" s="1" t="str">
        <f ca="1">IFERROR(__xludf.DUMMYFUNCTION("""COMPUTED_VALUE"""),"Third Creek Elementary School")</f>
        <v>Third Creek Elementary School</v>
      </c>
      <c r="G982" s="1">
        <f ca="1">IFERROR(__xludf.DUMMYFUNCTION("""COMPUTED_VALUE"""),0)</f>
        <v>0</v>
      </c>
      <c r="H982" s="1">
        <f ca="1">IFERROR(__xludf.DUMMYFUNCTION("""COMPUTED_VALUE"""),0)</f>
        <v>0</v>
      </c>
      <c r="I982" s="1">
        <f ca="1">IFERROR(__xludf.DUMMYFUNCTION("""COMPUTED_VALUE"""),0)</f>
        <v>0</v>
      </c>
      <c r="J982" s="1">
        <f ca="1">IFERROR(__xludf.DUMMYFUNCTION("""COMPUTED_VALUE"""),0)</f>
        <v>0</v>
      </c>
      <c r="K982" s="1" t="str">
        <f ca="1">IFERROR(__xludf.DUMMYFUNCTION("""COMPUTED_VALUE"""),"Winter")</f>
        <v>Winter</v>
      </c>
      <c r="L982" s="1" t="str">
        <f ca="1">IFERROR(__xludf.DUMMYFUNCTION("""COMPUTED_VALUE"""),"Statesville")</f>
        <v>Statesville</v>
      </c>
      <c r="M982" s="1" t="str">
        <f ca="1">IFERROR(__xludf.DUMMYFUNCTION("""COMPUTED_VALUE"""),"NC")</f>
        <v>NC</v>
      </c>
      <c r="N982" s="1" t="str">
        <f ca="1">IFERROR(__xludf.DUMMYFUNCTION("""COMPUTED_VALUE"""),"Elementary")</f>
        <v>Elementary</v>
      </c>
      <c r="O982" s="1" t="str">
        <f ca="1">IFERROR(__xludf.DUMMYFUNCTION("""COMPUTED_VALUE"""),"School Bus")</f>
        <v>School Bus</v>
      </c>
      <c r="P982" s="1" t="str">
        <f ca="1">IFERROR(__xludf.DUMMYFUNCTION("""COMPUTED_VALUE"""),"School Bus")</f>
        <v>School Bus</v>
      </c>
      <c r="Q982" s="1" t="str">
        <f ca="1">IFERROR(__xludf.DUMMYFUNCTION("""COMPUTED_VALUE"""),"Yes")</f>
        <v>Yes</v>
      </c>
      <c r="R982" s="1" t="str">
        <f ca="1">IFERROR(__xludf.DUMMYFUNCTION("""COMPUTED_VALUE"""),"School Start")</f>
        <v>School Start</v>
      </c>
      <c r="S982" s="5">
        <f ca="1">IFERROR(__xludf.DUMMYFUNCTION("""COMPUTED_VALUE"""),0.333333333333333)</f>
        <v>0.33333333333333298</v>
      </c>
      <c r="T982" s="1">
        <f ca="1">IFERROR(__xludf.DUMMYFUNCTION("""COMPUTED_VALUE"""),1)</f>
        <v>1</v>
      </c>
      <c r="U982" s="1" t="str">
        <f ca="1">IFERROR(__xludf.DUMMYFUNCTION("""COMPUTED_VALUE"""),"Student shot another student with a pellet gun on the school bus")</f>
        <v>Student shot another student with a pellet gun on the school bus</v>
      </c>
      <c r="V982" s="1" t="str">
        <f ca="1">IFERROR(__xludf.DUMMYFUNCTION("""COMPUTED_VALUE"""),"Two male students had a pellet gun on the school bus. One of the students fired the pellet gun at a female student. She notified the school bus driver who then notified the school. The SRO detained the students when they arrived and found the weapon. Both"&amp;" male students were charged and referred to juvenile court.")</f>
        <v>Two male students had a pellet gun on the school bus. One of the students fired the pellet gun at a female student. She notified the school bus driver who then notified the school. The SRO detained the students when they arrived and found the weapon. Both male students were charged and referred to juvenile court.</v>
      </c>
      <c r="W982" s="1"/>
      <c r="X982" s="1"/>
      <c r="Y982" s="1" t="str">
        <f ca="1">IFERROR(__xludf.DUMMYFUNCTION("""COMPUTED_VALUE"""),"Yes")</f>
        <v>Yes</v>
      </c>
      <c r="Z982" s="1" t="str">
        <f ca="1">IFERROR(__xludf.DUMMYFUNCTION("""COMPUTED_VALUE"""),"Two students charged")</f>
        <v>Two students charged</v>
      </c>
      <c r="AA982" s="1" t="str">
        <f ca="1">IFERROR(__xludf.DUMMYFUNCTION("""COMPUTED_VALUE"""),"No")</f>
        <v>No</v>
      </c>
      <c r="AB982" s="1" t="str">
        <f ca="1">IFERROR(__xludf.DUMMYFUNCTION("""COMPUTED_VALUE"""),"No")</f>
        <v>No</v>
      </c>
      <c r="AC982" s="1" t="str">
        <f ca="1">IFERROR(__xludf.DUMMYFUNCTION("""COMPUTED_VALUE"""),"No")</f>
        <v>No</v>
      </c>
      <c r="AD982" s="1" t="str">
        <f ca="1">IFERROR(__xludf.DUMMYFUNCTION("""COMPUTED_VALUE"""),"No")</f>
        <v>No</v>
      </c>
      <c r="AE982" s="1" t="str">
        <f ca="1">IFERROR(__xludf.DUMMYFUNCTION("""COMPUTED_VALUE"""),"No")</f>
        <v>No</v>
      </c>
      <c r="AF982" s="1" t="str">
        <f ca="1">IFERROR(__xludf.DUMMYFUNCTION("""COMPUTED_VALUE"""),"No")</f>
        <v>No</v>
      </c>
      <c r="AG982" s="1" t="str">
        <f ca="1">IFERROR(__xludf.DUMMYFUNCTION("""COMPUTED_VALUE"""),"No")</f>
        <v>No</v>
      </c>
      <c r="AH982" s="1">
        <f ca="1">IFERROR(__xludf.DUMMYFUNCTION("""COMPUTED_VALUE"""),1)</f>
        <v>1</v>
      </c>
    </row>
    <row r="983" spans="1:34" ht="12.5">
      <c r="A983" s="1" t="str">
        <f ca="1">IFERROR(__xludf.DUMMYFUNCTION("""COMPUTED_VALUE"""),"20210214MNROM")</f>
        <v>20210214MNROM</v>
      </c>
      <c r="B983" s="1">
        <f ca="1">IFERROR(__xludf.DUMMYFUNCTION("""COMPUTED_VALUE"""),2)</f>
        <v>2</v>
      </c>
      <c r="C983" s="1">
        <f ca="1">IFERROR(__xludf.DUMMYFUNCTION("""COMPUTED_VALUE"""),14)</f>
        <v>14</v>
      </c>
      <c r="D983" s="1">
        <f ca="1">IFERROR(__xludf.DUMMYFUNCTION("""COMPUTED_VALUE"""),2021)</f>
        <v>2021</v>
      </c>
      <c r="E983" s="4">
        <f ca="1">IFERROR(__xludf.DUMMYFUNCTION("""COMPUTED_VALUE"""),44241)</f>
        <v>44241</v>
      </c>
      <c r="F983" s="1" t="str">
        <f ca="1">IFERROR(__xludf.DUMMYFUNCTION("""COMPUTED_VALUE"""),"Roosevelt High School")</f>
        <v>Roosevelt High School</v>
      </c>
      <c r="G983" s="1">
        <f ca="1">IFERROR(__xludf.DUMMYFUNCTION("""COMPUTED_VALUE"""),2)</f>
        <v>2</v>
      </c>
      <c r="H983" s="1">
        <f ca="1">IFERROR(__xludf.DUMMYFUNCTION("""COMPUTED_VALUE"""),1)</f>
        <v>1</v>
      </c>
      <c r="I983" s="1">
        <f ca="1">IFERROR(__xludf.DUMMYFUNCTION("""COMPUTED_VALUE"""),3)</f>
        <v>3</v>
      </c>
      <c r="J983" s="1">
        <f ca="1">IFERROR(__xludf.DUMMYFUNCTION("""COMPUTED_VALUE"""),0)</f>
        <v>0</v>
      </c>
      <c r="K983" s="1" t="str">
        <f ca="1">IFERROR(__xludf.DUMMYFUNCTION("""COMPUTED_VALUE"""),"Winter")</f>
        <v>Winter</v>
      </c>
      <c r="L983" s="1" t="str">
        <f ca="1">IFERROR(__xludf.DUMMYFUNCTION("""COMPUTED_VALUE"""),"Minneapolis")</f>
        <v>Minneapolis</v>
      </c>
      <c r="M983" s="1" t="str">
        <f ca="1">IFERROR(__xludf.DUMMYFUNCTION("""COMPUTED_VALUE"""),"MN")</f>
        <v>MN</v>
      </c>
      <c r="N983" s="1" t="str">
        <f ca="1">IFERROR(__xludf.DUMMYFUNCTION("""COMPUTED_VALUE"""),"High")</f>
        <v>High</v>
      </c>
      <c r="O983" s="1" t="str">
        <f ca="1">IFERROR(__xludf.DUMMYFUNCTION("""COMPUTED_VALUE"""),"Front of School")</f>
        <v>Front of School</v>
      </c>
      <c r="P983" s="1" t="str">
        <f ca="1">IFERROR(__xludf.DUMMYFUNCTION("""COMPUTED_VALUE"""),"Outside on School Property")</f>
        <v>Outside on School Property</v>
      </c>
      <c r="Q983" s="1" t="str">
        <f ca="1">IFERROR(__xludf.DUMMYFUNCTION("""COMPUTED_VALUE"""),"No")</f>
        <v>No</v>
      </c>
      <c r="R983" s="1" t="str">
        <f ca="1">IFERROR(__xludf.DUMMYFUNCTION("""COMPUTED_VALUE"""),"Night")</f>
        <v>Night</v>
      </c>
      <c r="S983" s="5">
        <f ca="1">IFERROR(__xludf.DUMMYFUNCTION("""COMPUTED_VALUE"""),0.9375)</f>
        <v>0.9375</v>
      </c>
      <c r="T983" s="1">
        <f ca="1">IFERROR(__xludf.DUMMYFUNCTION("""COMPUTED_VALUE"""),1)</f>
        <v>1</v>
      </c>
      <c r="U983" s="1" t="str">
        <f ca="1">IFERROR(__xludf.DUMMYFUNCTION("""COMPUTED_VALUE"""),"Two adults found fatally shot inside car in front of the school")</f>
        <v>Two adults found fatally shot inside car in front of the school</v>
      </c>
      <c r="V983" s="1" t="str">
        <f ca="1">IFERROR(__xludf.DUMMYFUNCTION("""COMPUTED_VALUE"""),"Two adults were found fatally shot inside a car that was stopped on top of the curb in front of the school building. A third person in the car was not shot and suffered minor injuries. Shooter fled. Motive unknown.")</f>
        <v>Two adults were found fatally shot inside a car that was stopped on top of the curb in front of the school building. A third person in the car was not shot and suffered minor injuries. Shooter fled. Motive unknown.</v>
      </c>
      <c r="W983" s="1"/>
      <c r="X983" s="1" t="str">
        <f ca="1">IFERROR(__xludf.DUMMYFUNCTION("""COMPUTED_VALUE"""),"Victims Targeted")</f>
        <v>Victims Targeted</v>
      </c>
      <c r="Y983" s="1"/>
      <c r="Z983" s="1"/>
      <c r="AA983" s="1" t="str">
        <f ca="1">IFERROR(__xludf.DUMMYFUNCTION("""COMPUTED_VALUE"""),"No")</f>
        <v>No</v>
      </c>
      <c r="AB983" s="1" t="str">
        <f ca="1">IFERROR(__xludf.DUMMYFUNCTION("""COMPUTED_VALUE"""),"No")</f>
        <v>No</v>
      </c>
      <c r="AC983" s="1" t="str">
        <f ca="1">IFERROR(__xludf.DUMMYFUNCTION("""COMPUTED_VALUE"""),"No")</f>
        <v>No</v>
      </c>
      <c r="AD983" s="1" t="str">
        <f ca="1">IFERROR(__xludf.DUMMYFUNCTION("""COMPUTED_VALUE"""),"No")</f>
        <v>No</v>
      </c>
      <c r="AE983" s="1"/>
      <c r="AF983" s="1"/>
      <c r="AG983" s="1" t="str">
        <f ca="1">IFERROR(__xludf.DUMMYFUNCTION("""COMPUTED_VALUE"""),"No")</f>
        <v>No</v>
      </c>
      <c r="AH983" s="1"/>
    </row>
    <row r="984" spans="1:34" ht="12.5">
      <c r="A984" s="1" t="str">
        <f ca="1">IFERROR(__xludf.DUMMYFUNCTION("""COMPUTED_VALUE"""),"20210210TXFOF")</f>
        <v>20210210TXFOF</v>
      </c>
      <c r="B984" s="1">
        <f ca="1">IFERROR(__xludf.DUMMYFUNCTION("""COMPUTED_VALUE"""),2)</f>
        <v>2</v>
      </c>
      <c r="C984" s="1">
        <f ca="1">IFERROR(__xludf.DUMMYFUNCTION("""COMPUTED_VALUE"""),10)</f>
        <v>10</v>
      </c>
      <c r="D984" s="1">
        <f ca="1">IFERROR(__xludf.DUMMYFUNCTION("""COMPUTED_VALUE"""),2021)</f>
        <v>2021</v>
      </c>
      <c r="E984" s="4">
        <f ca="1">IFERROR(__xludf.DUMMYFUNCTION("""COMPUTED_VALUE"""),44237)</f>
        <v>44237</v>
      </c>
      <c r="F984" s="1" t="str">
        <f ca="1">IFERROR(__xludf.DUMMYFUNCTION("""COMPUTED_VALUE"""),"Forest Oak Middle School")</f>
        <v>Forest Oak Middle School</v>
      </c>
      <c r="G984" s="1">
        <f ca="1">IFERROR(__xludf.DUMMYFUNCTION("""COMPUTED_VALUE"""),1)</f>
        <v>1</v>
      </c>
      <c r="H984" s="1">
        <f ca="1">IFERROR(__xludf.DUMMYFUNCTION("""COMPUTED_VALUE"""),0)</f>
        <v>0</v>
      </c>
      <c r="I984" s="1">
        <f ca="1">IFERROR(__xludf.DUMMYFUNCTION("""COMPUTED_VALUE"""),1)</f>
        <v>1</v>
      </c>
      <c r="J984" s="1">
        <f ca="1">IFERROR(__xludf.DUMMYFUNCTION("""COMPUTED_VALUE"""),0)</f>
        <v>0</v>
      </c>
      <c r="K984" s="1" t="str">
        <f ca="1">IFERROR(__xludf.DUMMYFUNCTION("""COMPUTED_VALUE"""),"Winter")</f>
        <v>Winter</v>
      </c>
      <c r="L984" s="1" t="str">
        <f ca="1">IFERROR(__xludf.DUMMYFUNCTION("""COMPUTED_VALUE"""),"Fort Worth")</f>
        <v>Fort Worth</v>
      </c>
      <c r="M984" s="1" t="str">
        <f ca="1">IFERROR(__xludf.DUMMYFUNCTION("""COMPUTED_VALUE"""),"TX")</f>
        <v>TX</v>
      </c>
      <c r="N984" s="1" t="str">
        <f ca="1">IFERROR(__xludf.DUMMYFUNCTION("""COMPUTED_VALUE"""),"Middle")</f>
        <v>Middle</v>
      </c>
      <c r="O984" s="1" t="str">
        <f ca="1">IFERROR(__xludf.DUMMYFUNCTION("""COMPUTED_VALUE"""),"Front of School")</f>
        <v>Front of School</v>
      </c>
      <c r="P984" s="1" t="str">
        <f ca="1">IFERROR(__xludf.DUMMYFUNCTION("""COMPUTED_VALUE"""),"Outside on School Property")</f>
        <v>Outside on School Property</v>
      </c>
      <c r="Q984" s="1" t="str">
        <f ca="1">IFERROR(__xludf.DUMMYFUNCTION("""COMPUTED_VALUE"""),"No")</f>
        <v>No</v>
      </c>
      <c r="R984" s="1" t="str">
        <f ca="1">IFERROR(__xludf.DUMMYFUNCTION("""COMPUTED_VALUE"""),"Night")</f>
        <v>Night</v>
      </c>
      <c r="S984" s="5">
        <f ca="1">IFERROR(__xludf.DUMMYFUNCTION("""COMPUTED_VALUE"""),0.0208333333333333)</f>
        <v>2.0833333333333301E-2</v>
      </c>
      <c r="T984" s="1">
        <f ca="1">IFERROR(__xludf.DUMMYFUNCTION("""COMPUTED_VALUE"""),1)</f>
        <v>1</v>
      </c>
      <c r="U984" s="1" t="str">
        <f ca="1">IFERROR(__xludf.DUMMYFUNCTION("""COMPUTED_VALUE"""),"Adult male shot to death in vehicle in front of school")</f>
        <v>Adult male shot to death in vehicle in front of school</v>
      </c>
      <c r="V984" s="1" t="str">
        <f ca="1">IFERROR(__xludf.DUMMYFUNCTION("""COMPUTED_VALUE"""),"Police were called for a gun shot victim in front of the school. Officers found an adult male in a vehicle fatally shot multiple times. The vehicle had gone off the road and stopped in front of the school. Shell casings were found along the street next to"&amp;" the school. Suspect fled the scene.")</f>
        <v>Police were called for a gun shot victim in front of the school. Officers found an adult male in a vehicle fatally shot multiple times. The vehicle had gone off the road and stopped in front of the school. Shell casings were found along the street next to the school. Suspect fled the scene.</v>
      </c>
      <c r="W984" s="1"/>
      <c r="X984" s="1" t="str">
        <f ca="1">IFERROR(__xludf.DUMMYFUNCTION("""COMPUTED_VALUE"""),"Victims Targeted")</f>
        <v>Victims Targeted</v>
      </c>
      <c r="Y984" s="1"/>
      <c r="Z984" s="1"/>
      <c r="AA984" s="1" t="str">
        <f ca="1">IFERROR(__xludf.DUMMYFUNCTION("""COMPUTED_VALUE"""),"No")</f>
        <v>No</v>
      </c>
      <c r="AB984" s="1" t="str">
        <f ca="1">IFERROR(__xludf.DUMMYFUNCTION("""COMPUTED_VALUE"""),"No")</f>
        <v>No</v>
      </c>
      <c r="AC984" s="1" t="str">
        <f ca="1">IFERROR(__xludf.DUMMYFUNCTION("""COMPUTED_VALUE"""),"No")</f>
        <v>No</v>
      </c>
      <c r="AD984" s="1" t="str">
        <f ca="1">IFERROR(__xludf.DUMMYFUNCTION("""COMPUTED_VALUE"""),"No")</f>
        <v>No</v>
      </c>
      <c r="AE984" s="1" t="str">
        <f ca="1">IFERROR(__xludf.DUMMYFUNCTION("""COMPUTED_VALUE"""),"No")</f>
        <v>No</v>
      </c>
      <c r="AF984" s="1"/>
      <c r="AG984" s="1" t="str">
        <f ca="1">IFERROR(__xludf.DUMMYFUNCTION("""COMPUTED_VALUE"""),"No")</f>
        <v>No</v>
      </c>
      <c r="AH984" s="1"/>
    </row>
    <row r="985" spans="1:34" ht="12.5">
      <c r="A985" s="1" t="str">
        <f ca="1">IFERROR(__xludf.DUMMYFUNCTION("""COMPUTED_VALUE"""),"20210210NJSCP")</f>
        <v>20210210NJSCP</v>
      </c>
      <c r="B985" s="1">
        <f ca="1">IFERROR(__xludf.DUMMYFUNCTION("""COMPUTED_VALUE"""),2)</f>
        <v>2</v>
      </c>
      <c r="C985" s="1">
        <f ca="1">IFERROR(__xludf.DUMMYFUNCTION("""COMPUTED_VALUE"""),10)</f>
        <v>10</v>
      </c>
      <c r="D985" s="1">
        <f ca="1">IFERROR(__xludf.DUMMYFUNCTION("""COMPUTED_VALUE"""),2021)</f>
        <v>2021</v>
      </c>
      <c r="E985" s="4">
        <f ca="1">IFERROR(__xludf.DUMMYFUNCTION("""COMPUTED_VALUE"""),44237)</f>
        <v>44237</v>
      </c>
      <c r="F985" s="1" t="str">
        <f ca="1">IFERROR(__xludf.DUMMYFUNCTION("""COMPUTED_VALUE"""),"School Number 15")</f>
        <v>School Number 15</v>
      </c>
      <c r="G985" s="1">
        <f ca="1">IFERROR(__xludf.DUMMYFUNCTION("""COMPUTED_VALUE"""),1)</f>
        <v>1</v>
      </c>
      <c r="H985" s="1">
        <f ca="1">IFERROR(__xludf.DUMMYFUNCTION("""COMPUTED_VALUE"""),0)</f>
        <v>0</v>
      </c>
      <c r="I985" s="1">
        <f ca="1">IFERROR(__xludf.DUMMYFUNCTION("""COMPUTED_VALUE"""),1)</f>
        <v>1</v>
      </c>
      <c r="J985" s="1">
        <f ca="1">IFERROR(__xludf.DUMMYFUNCTION("""COMPUTED_VALUE"""),0)</f>
        <v>0</v>
      </c>
      <c r="K985" s="1" t="str">
        <f ca="1">IFERROR(__xludf.DUMMYFUNCTION("""COMPUTED_VALUE"""),"Winter")</f>
        <v>Winter</v>
      </c>
      <c r="L985" s="1" t="str">
        <f ca="1">IFERROR(__xludf.DUMMYFUNCTION("""COMPUTED_VALUE"""),"Paterson")</f>
        <v>Paterson</v>
      </c>
      <c r="M985" s="1" t="str">
        <f ca="1">IFERROR(__xludf.DUMMYFUNCTION("""COMPUTED_VALUE"""),"NJ")</f>
        <v>NJ</v>
      </c>
      <c r="N985" s="1" t="str">
        <f ca="1">IFERROR(__xludf.DUMMYFUNCTION("""COMPUTED_VALUE"""),"Elementary")</f>
        <v>Elementary</v>
      </c>
      <c r="O985" s="1" t="str">
        <f ca="1">IFERROR(__xludf.DUMMYFUNCTION("""COMPUTED_VALUE"""),"Beside Building")</f>
        <v>Beside Building</v>
      </c>
      <c r="P985" s="1" t="str">
        <f ca="1">IFERROR(__xludf.DUMMYFUNCTION("""COMPUTED_VALUE"""),"Outside on School Property")</f>
        <v>Outside on School Property</v>
      </c>
      <c r="Q985" s="1" t="str">
        <f ca="1">IFERROR(__xludf.DUMMYFUNCTION("""COMPUTED_VALUE"""),"No")</f>
        <v>No</v>
      </c>
      <c r="R985" s="1" t="str">
        <f ca="1">IFERROR(__xludf.DUMMYFUNCTION("""COMPUTED_VALUE"""),"Night")</f>
        <v>Night</v>
      </c>
      <c r="S985" s="5">
        <f ca="1">IFERROR(__xludf.DUMMYFUNCTION("""COMPUTED_VALUE"""),0.0770833333333333)</f>
        <v>7.7083333333333295E-2</v>
      </c>
      <c r="T985" s="1">
        <f ca="1">IFERROR(__xludf.DUMMYFUNCTION("""COMPUTED_VALUE"""),1)</f>
        <v>1</v>
      </c>
      <c r="U985" s="1" t="str">
        <f ca="1">IFERROR(__xludf.DUMMYFUNCTION("""COMPUTED_VALUE"""),"Woman shot multiple times next to school")</f>
        <v>Woman shot multiple times next to school</v>
      </c>
      <c r="V985" s="1" t="str">
        <f ca="1">IFERROR(__xludf.DUMMYFUNCTION("""COMPUTED_VALUE"""),"A 41-year-old woman was shot multiple times next to the school. Shooter fled the scene. Motive unknown. Victim transported to the hospital in critical condition.")</f>
        <v>A 41-year-old woman was shot multiple times next to the school. Shooter fled the scene. Motive unknown. Victim transported to the hospital in critical condition.</v>
      </c>
      <c r="W985" s="1"/>
      <c r="X985" s="1" t="str">
        <f ca="1">IFERROR(__xludf.DUMMYFUNCTION("""COMPUTED_VALUE"""),"Victims Targeted")</f>
        <v>Victims Targeted</v>
      </c>
      <c r="Y985" s="1"/>
      <c r="Z985" s="1"/>
      <c r="AA985" s="1" t="str">
        <f ca="1">IFERROR(__xludf.DUMMYFUNCTION("""COMPUTED_VALUE"""),"No")</f>
        <v>No</v>
      </c>
      <c r="AB985" s="1" t="str">
        <f ca="1">IFERROR(__xludf.DUMMYFUNCTION("""COMPUTED_VALUE"""),"No")</f>
        <v>No</v>
      </c>
      <c r="AC985" s="1" t="str">
        <f ca="1">IFERROR(__xludf.DUMMYFUNCTION("""COMPUTED_VALUE"""),"No")</f>
        <v>No</v>
      </c>
      <c r="AD985" s="1" t="str">
        <f ca="1">IFERROR(__xludf.DUMMYFUNCTION("""COMPUTED_VALUE"""),"No")</f>
        <v>No</v>
      </c>
      <c r="AE985" s="1"/>
      <c r="AF985" s="1"/>
      <c r="AG985" s="1" t="str">
        <f ca="1">IFERROR(__xludf.DUMMYFUNCTION("""COMPUTED_VALUE"""),"No")</f>
        <v>No</v>
      </c>
      <c r="AH985" s="1"/>
    </row>
    <row r="986" spans="1:34" ht="12.5">
      <c r="A986" s="1" t="str">
        <f ca="1">IFERROR(__xludf.DUMMYFUNCTION("""COMPUTED_VALUE"""),"20210210LASTS")</f>
        <v>20210210LASTS</v>
      </c>
      <c r="B986" s="1">
        <f ca="1">IFERROR(__xludf.DUMMYFUNCTION("""COMPUTED_VALUE"""),2)</f>
        <v>2</v>
      </c>
      <c r="C986" s="1">
        <f ca="1">IFERROR(__xludf.DUMMYFUNCTION("""COMPUTED_VALUE"""),10)</f>
        <v>10</v>
      </c>
      <c r="D986" s="1">
        <f ca="1">IFERROR(__xludf.DUMMYFUNCTION("""COMPUTED_VALUE"""),2021)</f>
        <v>2021</v>
      </c>
      <c r="E986" s="4">
        <f ca="1">IFERROR(__xludf.DUMMYFUNCTION("""COMPUTED_VALUE"""),44237)</f>
        <v>44237</v>
      </c>
      <c r="F986" s="1" t="str">
        <f ca="1">IFERROR(__xludf.DUMMYFUNCTION("""COMPUTED_VALUE"""),"St. Martinville Head Start Center")</f>
        <v>St. Martinville Head Start Center</v>
      </c>
      <c r="G986" s="1">
        <f ca="1">IFERROR(__xludf.DUMMYFUNCTION("""COMPUTED_VALUE"""),0)</f>
        <v>0</v>
      </c>
      <c r="H986" s="1">
        <f ca="1">IFERROR(__xludf.DUMMYFUNCTION("""COMPUTED_VALUE"""),0)</f>
        <v>0</v>
      </c>
      <c r="I986" s="1">
        <f ca="1">IFERROR(__xludf.DUMMYFUNCTION("""COMPUTED_VALUE"""),0)</f>
        <v>0</v>
      </c>
      <c r="J986" s="1">
        <f ca="1">IFERROR(__xludf.DUMMYFUNCTION("""COMPUTED_VALUE"""),0)</f>
        <v>0</v>
      </c>
      <c r="K986" s="1" t="str">
        <f ca="1">IFERROR(__xludf.DUMMYFUNCTION("""COMPUTED_VALUE"""),"Winter")</f>
        <v>Winter</v>
      </c>
      <c r="L986" s="1" t="str">
        <f ca="1">IFERROR(__xludf.DUMMYFUNCTION("""COMPUTED_VALUE"""),"St. Martinville")</f>
        <v>St. Martinville</v>
      </c>
      <c r="M986" s="1" t="str">
        <f ca="1">IFERROR(__xludf.DUMMYFUNCTION("""COMPUTED_VALUE"""),"LA")</f>
        <v>LA</v>
      </c>
      <c r="N986" s="1" t="str">
        <f ca="1">IFERROR(__xludf.DUMMYFUNCTION("""COMPUTED_VALUE"""),"Other")</f>
        <v>Other</v>
      </c>
      <c r="O986" s="1" t="str">
        <f ca="1">IFERROR(__xludf.DUMMYFUNCTION("""COMPUTED_VALUE"""),"Cafeteria")</f>
        <v>Cafeteria</v>
      </c>
      <c r="P986" s="1" t="str">
        <f ca="1">IFERROR(__xludf.DUMMYFUNCTION("""COMPUTED_VALUE"""),"Inside School Building")</f>
        <v>Inside School Building</v>
      </c>
      <c r="Q986" s="1" t="str">
        <f ca="1">IFERROR(__xludf.DUMMYFUNCTION("""COMPUTED_VALUE"""),"Yes")</f>
        <v>Yes</v>
      </c>
      <c r="R986" s="1" t="str">
        <f ca="1">IFERROR(__xludf.DUMMYFUNCTION("""COMPUTED_VALUE"""),"Lunch")</f>
        <v>Lunch</v>
      </c>
      <c r="S986" s="5">
        <f ca="1">IFERROR(__xludf.DUMMYFUNCTION("""COMPUTED_VALUE"""),0.502777777777777)</f>
        <v>0.50277777777777699</v>
      </c>
      <c r="T986" s="1">
        <f ca="1">IFERROR(__xludf.DUMMYFUNCTION("""COMPUTED_VALUE"""),1)</f>
        <v>1</v>
      </c>
      <c r="U986" s="1" t="str">
        <f ca="1">IFERROR(__xludf.DUMMYFUNCTION("""COMPUTED_VALUE"""),"Bullet from drive-by struck plate child was holding in cafeteria")</f>
        <v>Bullet from drive-by struck plate child was holding in cafeteria</v>
      </c>
      <c r="V986" s="1" t="str">
        <f ca="1">IFERROR(__xludf.DUMMYFUNCTION("""COMPUTED_VALUE"""),"A bullet fired during a drive-by shooting went through the wall of the school and struck a plate that a 4-year-old student was holding in the cafeteria. The victim had cuts from the broken plate but was not struck by the bullet. Shooter fled the area.")</f>
        <v>A bullet fired during a drive-by shooting went through the wall of the school and struck a plate that a 4-year-old student was holding in the cafeteria. The victim had cuts from the broken plate but was not struck by the bullet. Shooter fled the area.</v>
      </c>
      <c r="W986" s="1" t="str">
        <f ca="1">IFERROR(__xludf.DUMMYFUNCTION("""COMPUTED_VALUE"""),"Drive-by Shooting")</f>
        <v>Drive-by Shooting</v>
      </c>
      <c r="X986" s="1" t="str">
        <f ca="1">IFERROR(__xludf.DUMMYFUNCTION("""COMPUTED_VALUE"""),"Both")</f>
        <v>Both</v>
      </c>
      <c r="Y986" s="1" t="str">
        <f ca="1">IFERROR(__xludf.DUMMYFUNCTION("""COMPUTED_VALUE"""),"Yes")</f>
        <v>Yes</v>
      </c>
      <c r="Z986" s="1" t="str">
        <f ca="1">IFERROR(__xludf.DUMMYFUNCTION("""COMPUTED_VALUE"""),"Two suspects in vehicle")</f>
        <v>Two suspects in vehicle</v>
      </c>
      <c r="AA986" s="1" t="str">
        <f ca="1">IFERROR(__xludf.DUMMYFUNCTION("""COMPUTED_VALUE"""),"No")</f>
        <v>No</v>
      </c>
      <c r="AB986" s="1" t="str">
        <f ca="1">IFERROR(__xludf.DUMMYFUNCTION("""COMPUTED_VALUE"""),"No")</f>
        <v>No</v>
      </c>
      <c r="AC986" s="1" t="str">
        <f ca="1">IFERROR(__xludf.DUMMYFUNCTION("""COMPUTED_VALUE"""),"No")</f>
        <v>No</v>
      </c>
      <c r="AD986" s="1" t="str">
        <f ca="1">IFERROR(__xludf.DUMMYFUNCTION("""COMPUTED_VALUE"""),"No")</f>
        <v>No</v>
      </c>
      <c r="AE986" s="1" t="str">
        <f ca="1">IFERROR(__xludf.DUMMYFUNCTION("""COMPUTED_VALUE"""),"No")</f>
        <v>No</v>
      </c>
      <c r="AF986" s="1" t="str">
        <f ca="1">IFERROR(__xludf.DUMMYFUNCTION("""COMPUTED_VALUE"""),"Yes")</f>
        <v>Yes</v>
      </c>
      <c r="AG986" s="1" t="str">
        <f ca="1">IFERROR(__xludf.DUMMYFUNCTION("""COMPUTED_VALUE"""),"No")</f>
        <v>No</v>
      </c>
      <c r="AH986" s="1"/>
    </row>
    <row r="987" spans="1:34" ht="12.5">
      <c r="A987" s="1" t="str">
        <f ca="1">IFERROR(__xludf.DUMMYFUNCTION("""COMPUTED_VALUE"""),"20210208MISCG")</f>
        <v>20210208MISCG</v>
      </c>
      <c r="B987" s="1">
        <f ca="1">IFERROR(__xludf.DUMMYFUNCTION("""COMPUTED_VALUE"""),2)</f>
        <v>2</v>
      </c>
      <c r="C987" s="1">
        <f ca="1">IFERROR(__xludf.DUMMYFUNCTION("""COMPUTED_VALUE"""),8)</f>
        <v>8</v>
      </c>
      <c r="D987" s="1">
        <f ca="1">IFERROR(__xludf.DUMMYFUNCTION("""COMPUTED_VALUE"""),2021)</f>
        <v>2021</v>
      </c>
      <c r="E987" s="4">
        <f ca="1">IFERROR(__xludf.DUMMYFUNCTION("""COMPUTED_VALUE"""),44235)</f>
        <v>44235</v>
      </c>
      <c r="F987" s="1" t="str">
        <f ca="1">IFERROR(__xludf.DUMMYFUNCTION("""COMPUTED_VALUE"""),"School Bus")</f>
        <v>School Bus</v>
      </c>
      <c r="G987" s="1">
        <f ca="1">IFERROR(__xludf.DUMMYFUNCTION("""COMPUTED_VALUE"""),0)</f>
        <v>0</v>
      </c>
      <c r="H987" s="1">
        <f ca="1">IFERROR(__xludf.DUMMYFUNCTION("""COMPUTED_VALUE"""),0)</f>
        <v>0</v>
      </c>
      <c r="I987" s="1">
        <f ca="1">IFERROR(__xludf.DUMMYFUNCTION("""COMPUTED_VALUE"""),0)</f>
        <v>0</v>
      </c>
      <c r="J987" s="1">
        <f ca="1">IFERROR(__xludf.DUMMYFUNCTION("""COMPUTED_VALUE"""),0)</f>
        <v>0</v>
      </c>
      <c r="K987" s="1" t="str">
        <f ca="1">IFERROR(__xludf.DUMMYFUNCTION("""COMPUTED_VALUE"""),"Winter")</f>
        <v>Winter</v>
      </c>
      <c r="L987" s="1" t="str">
        <f ca="1">IFERROR(__xludf.DUMMYFUNCTION("""COMPUTED_VALUE"""),"Grand Rapids")</f>
        <v>Grand Rapids</v>
      </c>
      <c r="M987" s="1" t="str">
        <f ca="1">IFERROR(__xludf.DUMMYFUNCTION("""COMPUTED_VALUE"""),"MI")</f>
        <v>MI</v>
      </c>
      <c r="N987" s="1"/>
      <c r="O987" s="1" t="str">
        <f ca="1">IFERROR(__xludf.DUMMYFUNCTION("""COMPUTED_VALUE"""),"School Bus")</f>
        <v>School Bus</v>
      </c>
      <c r="P987" s="1" t="str">
        <f ca="1">IFERROR(__xludf.DUMMYFUNCTION("""COMPUTED_VALUE"""),"School Bus")</f>
        <v>School Bus</v>
      </c>
      <c r="Q987" s="1" t="str">
        <f ca="1">IFERROR(__xludf.DUMMYFUNCTION("""COMPUTED_VALUE"""),"Yes")</f>
        <v>Yes</v>
      </c>
      <c r="R987" s="1" t="str">
        <f ca="1">IFERROR(__xludf.DUMMYFUNCTION("""COMPUTED_VALUE"""),"Dismissal")</f>
        <v>Dismissal</v>
      </c>
      <c r="S987" s="5">
        <f ca="1">IFERROR(__xludf.DUMMYFUNCTION("""COMPUTED_VALUE"""),0.664583333333333)</f>
        <v>0.66458333333333297</v>
      </c>
      <c r="T987" s="1">
        <f ca="1">IFERROR(__xludf.DUMMYFUNCTION("""COMPUTED_VALUE"""),1)</f>
        <v>1</v>
      </c>
      <c r="U987" s="1" t="str">
        <f ca="1">IFERROR(__xludf.DUMMYFUNCTION("""COMPUTED_VALUE"""),"School bus struck by bullet fired from another vehicle")</f>
        <v>School bus struck by bullet fired from another vehicle</v>
      </c>
      <c r="V987" s="1" t="str">
        <f ca="1">IFERROR(__xludf.DUMMYFUNCTION("""COMPUTED_VALUE"""),"A school bus was caught in the cross fire of a person firing from a moving vehicle at another vehicle. One student was on the bus and was not injured. A police officer in his personal vehicle witnessed the shooting but was not able to stop the suspect who"&amp;" fled the scene.")</f>
        <v>A school bus was caught in the cross fire of a person firing from a moving vehicle at another vehicle. One student was on the bus and was not injured. A police officer in his personal vehicle witnessed the shooting but was not able to stop the suspect who fled the scene.</v>
      </c>
      <c r="W987" s="1" t="str">
        <f ca="1">IFERROR(__xludf.DUMMYFUNCTION("""COMPUTED_VALUE"""),"Drive-by Shooting")</f>
        <v>Drive-by Shooting</v>
      </c>
      <c r="X987" s="1" t="str">
        <f ca="1">IFERROR(__xludf.DUMMYFUNCTION("""COMPUTED_VALUE"""),"Victims Targeted")</f>
        <v>Victims Targeted</v>
      </c>
      <c r="Y987" s="1"/>
      <c r="Z987" s="1"/>
      <c r="AA987" s="1" t="str">
        <f ca="1">IFERROR(__xludf.DUMMYFUNCTION("""COMPUTED_VALUE"""),"No")</f>
        <v>No</v>
      </c>
      <c r="AB987" s="1" t="str">
        <f ca="1">IFERROR(__xludf.DUMMYFUNCTION("""COMPUTED_VALUE"""),"No")</f>
        <v>No</v>
      </c>
      <c r="AC987" s="1" t="str">
        <f ca="1">IFERROR(__xludf.DUMMYFUNCTION("""COMPUTED_VALUE"""),"No")</f>
        <v>No</v>
      </c>
      <c r="AD987" s="1" t="str">
        <f ca="1">IFERROR(__xludf.DUMMYFUNCTION("""COMPUTED_VALUE"""),"No")</f>
        <v>No</v>
      </c>
      <c r="AE987" s="1" t="str">
        <f ca="1">IFERROR(__xludf.DUMMYFUNCTION("""COMPUTED_VALUE"""),"No")</f>
        <v>No</v>
      </c>
      <c r="AF987" s="1"/>
      <c r="AG987" s="1" t="str">
        <f ca="1">IFERROR(__xludf.DUMMYFUNCTION("""COMPUTED_VALUE"""),"No")</f>
        <v>No</v>
      </c>
      <c r="AH987" s="1"/>
    </row>
    <row r="988" spans="1:34" ht="12.5">
      <c r="A988" s="1" t="str">
        <f ca="1">IFERROR(__xludf.DUMMYFUNCTION("""COMPUTED_VALUE"""),"20210205MDBEM")</f>
        <v>20210205MDBEM</v>
      </c>
      <c r="B988" s="1">
        <f ca="1">IFERROR(__xludf.DUMMYFUNCTION("""COMPUTED_VALUE"""),2)</f>
        <v>2</v>
      </c>
      <c r="C988" s="1">
        <f ca="1">IFERROR(__xludf.DUMMYFUNCTION("""COMPUTED_VALUE"""),5)</f>
        <v>5</v>
      </c>
      <c r="D988" s="1">
        <f ca="1">IFERROR(__xludf.DUMMYFUNCTION("""COMPUTED_VALUE"""),2021)</f>
        <v>2021</v>
      </c>
      <c r="E988" s="4">
        <f ca="1">IFERROR(__xludf.DUMMYFUNCTION("""COMPUTED_VALUE"""),44232)</f>
        <v>44232</v>
      </c>
      <c r="F988" s="1" t="str">
        <f ca="1">IFERROR(__xludf.DUMMYFUNCTION("""COMPUTED_VALUE"""),"Benjamin Stoddert Middle School")</f>
        <v>Benjamin Stoddert Middle School</v>
      </c>
      <c r="G988" s="1">
        <f ca="1">IFERROR(__xludf.DUMMYFUNCTION("""COMPUTED_VALUE"""),0)</f>
        <v>0</v>
      </c>
      <c r="H988" s="1">
        <f ca="1">IFERROR(__xludf.DUMMYFUNCTION("""COMPUTED_VALUE"""),1)</f>
        <v>1</v>
      </c>
      <c r="I988" s="1">
        <f ca="1">IFERROR(__xludf.DUMMYFUNCTION("""COMPUTED_VALUE"""),1)</f>
        <v>1</v>
      </c>
      <c r="J988" s="1">
        <f ca="1">IFERROR(__xludf.DUMMYFUNCTION("""COMPUTED_VALUE"""),0)</f>
        <v>0</v>
      </c>
      <c r="K988" s="1" t="str">
        <f ca="1">IFERROR(__xludf.DUMMYFUNCTION("""COMPUTED_VALUE"""),"Winter")</f>
        <v>Winter</v>
      </c>
      <c r="L988" s="1" t="str">
        <f ca="1">IFERROR(__xludf.DUMMYFUNCTION("""COMPUTED_VALUE"""),"Marlow Heights")</f>
        <v>Marlow Heights</v>
      </c>
      <c r="M988" s="1" t="str">
        <f ca="1">IFERROR(__xludf.DUMMYFUNCTION("""COMPUTED_VALUE"""),"MD")</f>
        <v>MD</v>
      </c>
      <c r="N988" s="1" t="str">
        <f ca="1">IFERROR(__xludf.DUMMYFUNCTION("""COMPUTED_VALUE"""),"Middle")</f>
        <v>Middle</v>
      </c>
      <c r="O988" s="1" t="str">
        <f ca="1">IFERROR(__xludf.DUMMYFUNCTION("""COMPUTED_VALUE"""),"Football Field/Track")</f>
        <v>Football Field/Track</v>
      </c>
      <c r="P988" s="1" t="str">
        <f ca="1">IFERROR(__xludf.DUMMYFUNCTION("""COMPUTED_VALUE"""),"Outside on School Property")</f>
        <v>Outside on School Property</v>
      </c>
      <c r="Q988" s="1" t="str">
        <f ca="1">IFERROR(__xludf.DUMMYFUNCTION("""COMPUTED_VALUE"""),"No")</f>
        <v>No</v>
      </c>
      <c r="R988" s="1" t="str">
        <f ca="1">IFERROR(__xludf.DUMMYFUNCTION("""COMPUTED_VALUE"""),"Evening")</f>
        <v>Evening</v>
      </c>
      <c r="S988" s="5">
        <f ca="1">IFERROR(__xludf.DUMMYFUNCTION("""COMPUTED_VALUE"""),0.708333333333333)</f>
        <v>0.70833333333333304</v>
      </c>
      <c r="T988" s="1"/>
      <c r="U988" s="1" t="str">
        <f ca="1">IFERROR(__xludf.DUMMYFUNCTION("""COMPUTED_VALUE"""),"Man shot near football field behind the school")</f>
        <v>Man shot near football field behind the school</v>
      </c>
      <c r="V988" s="1" t="str">
        <f ca="1">IFERROR(__xludf.DUMMYFUNCTION("""COMPUTED_VALUE"""),"A police officer making a traffic stop heard gun shots fired behind the school. Police located an adult victim with multiple gunshot wounds at a gas station 1/4 mile from the school. Victim he was shot behind the school. Victim did not provide any other i"&amp;"nformation. Shooter fled the area.")</f>
        <v>A police officer making a traffic stop heard gun shots fired behind the school. Police located an adult victim with multiple gunshot wounds at a gas station 1/4 mile from the school. Victim he was shot behind the school. Victim did not provide any other information. Shooter fled the area.</v>
      </c>
      <c r="W988" s="1"/>
      <c r="X988" s="1" t="str">
        <f ca="1">IFERROR(__xludf.DUMMYFUNCTION("""COMPUTED_VALUE"""),"Victims Targeted")</f>
        <v>Victims Targeted</v>
      </c>
      <c r="Y988" s="1"/>
      <c r="Z988" s="1"/>
      <c r="AA988" s="1" t="str">
        <f ca="1">IFERROR(__xludf.DUMMYFUNCTION("""COMPUTED_VALUE"""),"No")</f>
        <v>No</v>
      </c>
      <c r="AB988" s="1" t="str">
        <f ca="1">IFERROR(__xludf.DUMMYFUNCTION("""COMPUTED_VALUE"""),"No")</f>
        <v>No</v>
      </c>
      <c r="AC988" s="1" t="str">
        <f ca="1">IFERROR(__xludf.DUMMYFUNCTION("""COMPUTED_VALUE"""),"No")</f>
        <v>No</v>
      </c>
      <c r="AD988" s="1" t="str">
        <f ca="1">IFERROR(__xludf.DUMMYFUNCTION("""COMPUTED_VALUE"""),"No")</f>
        <v>No</v>
      </c>
      <c r="AE988" s="1" t="str">
        <f ca="1">IFERROR(__xludf.DUMMYFUNCTION("""COMPUTED_VALUE"""),"No")</f>
        <v>No</v>
      </c>
      <c r="AF988" s="1"/>
      <c r="AG988" s="1" t="str">
        <f ca="1">IFERROR(__xludf.DUMMYFUNCTION("""COMPUTED_VALUE"""),"No")</f>
        <v>No</v>
      </c>
      <c r="AH988" s="1"/>
    </row>
    <row r="989" spans="1:34" ht="12.5">
      <c r="A989" s="1" t="str">
        <f ca="1">IFERROR(__xludf.DUMMYFUNCTION("""COMPUTED_VALUE"""),"20210201MIMUD")</f>
        <v>20210201MIMUD</v>
      </c>
      <c r="B989" s="1">
        <f ca="1">IFERROR(__xludf.DUMMYFUNCTION("""COMPUTED_VALUE"""),2)</f>
        <v>2</v>
      </c>
      <c r="C989" s="1">
        <f ca="1">IFERROR(__xludf.DUMMYFUNCTION("""COMPUTED_VALUE"""),1)</f>
        <v>1</v>
      </c>
      <c r="D989" s="1">
        <f ca="1">IFERROR(__xludf.DUMMYFUNCTION("""COMPUTED_VALUE"""),2021)</f>
        <v>2021</v>
      </c>
      <c r="E989" s="4">
        <f ca="1">IFERROR(__xludf.DUMMYFUNCTION("""COMPUTED_VALUE"""),44228)</f>
        <v>44228</v>
      </c>
      <c r="F989" s="1" t="str">
        <f ca="1">IFERROR(__xludf.DUMMYFUNCTION("""COMPUTED_VALUE"""),"Muslim American Youth Academy")</f>
        <v>Muslim American Youth Academy</v>
      </c>
      <c r="G989" s="1">
        <f ca="1">IFERROR(__xludf.DUMMYFUNCTION("""COMPUTED_VALUE"""),0)</f>
        <v>0</v>
      </c>
      <c r="H989" s="1">
        <f ca="1">IFERROR(__xludf.DUMMYFUNCTION("""COMPUTED_VALUE"""),1)</f>
        <v>1</v>
      </c>
      <c r="I989" s="1">
        <f ca="1">IFERROR(__xludf.DUMMYFUNCTION("""COMPUTED_VALUE"""),1)</f>
        <v>1</v>
      </c>
      <c r="J989" s="1">
        <f ca="1">IFERROR(__xludf.DUMMYFUNCTION("""COMPUTED_VALUE"""),0)</f>
        <v>0</v>
      </c>
      <c r="K989" s="1" t="str">
        <f ca="1">IFERROR(__xludf.DUMMYFUNCTION("""COMPUTED_VALUE"""),"Winter")</f>
        <v>Winter</v>
      </c>
      <c r="L989" s="1" t="str">
        <f ca="1">IFERROR(__xludf.DUMMYFUNCTION("""COMPUTED_VALUE"""),"Dearborn")</f>
        <v>Dearborn</v>
      </c>
      <c r="M989" s="1" t="str">
        <f ca="1">IFERROR(__xludf.DUMMYFUNCTION("""COMPUTED_VALUE"""),"MI")</f>
        <v>MI</v>
      </c>
      <c r="N989" s="1" t="str">
        <f ca="1">IFERROR(__xludf.DUMMYFUNCTION("""COMPUTED_VALUE"""),"K-8")</f>
        <v>K-8</v>
      </c>
      <c r="O989" s="1" t="str">
        <f ca="1">IFERROR(__xludf.DUMMYFUNCTION("""COMPUTED_VALUE"""),"Gym")</f>
        <v>Gym</v>
      </c>
      <c r="P989" s="1" t="str">
        <f ca="1">IFERROR(__xludf.DUMMYFUNCTION("""COMPUTED_VALUE"""),"Inside School Building")</f>
        <v>Inside School Building</v>
      </c>
      <c r="Q989" s="1" t="str">
        <f ca="1">IFERROR(__xludf.DUMMYFUNCTION("""COMPUTED_VALUE"""),"No")</f>
        <v>No</v>
      </c>
      <c r="R989" s="1" t="str">
        <f ca="1">IFERROR(__xludf.DUMMYFUNCTION("""COMPUTED_VALUE"""),"Night")</f>
        <v>Night</v>
      </c>
      <c r="S989" s="5">
        <f ca="1">IFERROR(__xludf.DUMMYFUNCTION("""COMPUTED_VALUE"""),0.958333333333333)</f>
        <v>0.95833333333333304</v>
      </c>
      <c r="T989" s="1">
        <f ca="1">IFERROR(__xludf.DUMMYFUNCTION("""COMPUTED_VALUE"""),1)</f>
        <v>1</v>
      </c>
      <c r="U989" s="1" t="str">
        <f ca="1">IFERROR(__xludf.DUMMYFUNCTION("""COMPUTED_VALUE"""),"Shooting inside school gym during dispute between two groups")</f>
        <v>Shooting inside school gym during dispute between two groups</v>
      </c>
      <c r="V989" s="1" t="str">
        <f ca="1">IFERROR(__xludf.DUMMYFUNCTION("""COMPUTED_VALUE"""),"Multiple people were involved in a dispute between two groups that resulted in a shooting in the school gym. One person was shot in the leg. Shooter fled the scene. School classes were not in session at the time of the shooting and the shooter and victim "&amp;"were not students at the school.")</f>
        <v>Multiple people were involved in a dispute between two groups that resulted in a shooting in the school gym. One person was shot in the leg. Shooter fled the scene. School classes were not in session at the time of the shooting and the shooter and victim were not students at the school.</v>
      </c>
      <c r="W989" s="1" t="str">
        <f ca="1">IFERROR(__xludf.DUMMYFUNCTION("""COMPUTED_VALUE"""),"Escalation of Dispute")</f>
        <v>Escalation of Dispute</v>
      </c>
      <c r="X989" s="1" t="str">
        <f ca="1">IFERROR(__xludf.DUMMYFUNCTION("""COMPUTED_VALUE"""),"Victims Targeted")</f>
        <v>Victims Targeted</v>
      </c>
      <c r="Y989" s="1" t="str">
        <f ca="1">IFERROR(__xludf.DUMMYFUNCTION("""COMPUTED_VALUE"""),"No")</f>
        <v>No</v>
      </c>
      <c r="Z989" s="1"/>
      <c r="AA989" s="1" t="str">
        <f ca="1">IFERROR(__xludf.DUMMYFUNCTION("""COMPUTED_VALUE"""),"No")</f>
        <v>No</v>
      </c>
      <c r="AB989" s="1" t="str">
        <f ca="1">IFERROR(__xludf.DUMMYFUNCTION("""COMPUTED_VALUE"""),"No")</f>
        <v>No</v>
      </c>
      <c r="AC989" s="1" t="str">
        <f ca="1">IFERROR(__xludf.DUMMYFUNCTION("""COMPUTED_VALUE"""),"No")</f>
        <v>No</v>
      </c>
      <c r="AD989" s="1" t="str">
        <f ca="1">IFERROR(__xludf.DUMMYFUNCTION("""COMPUTED_VALUE"""),"No")</f>
        <v>No</v>
      </c>
      <c r="AE989" s="1" t="str">
        <f ca="1">IFERROR(__xludf.DUMMYFUNCTION("""COMPUTED_VALUE"""),"No")</f>
        <v>No</v>
      </c>
      <c r="AF989" s="1"/>
      <c r="AG989" s="1" t="str">
        <f ca="1">IFERROR(__xludf.DUMMYFUNCTION("""COMPUTED_VALUE"""),"No")</f>
        <v>No</v>
      </c>
      <c r="AH989" s="1"/>
    </row>
    <row r="990" spans="1:34" ht="12.5">
      <c r="A990" s="1" t="str">
        <f ca="1">IFERROR(__xludf.DUMMYFUNCTION("""COMPUTED_VALUE"""),"20210127MSHAH")</f>
        <v>20210127MSHAH</v>
      </c>
      <c r="B990" s="1">
        <f ca="1">IFERROR(__xludf.DUMMYFUNCTION("""COMPUTED_VALUE"""),1)</f>
        <v>1</v>
      </c>
      <c r="C990" s="1">
        <f ca="1">IFERROR(__xludf.DUMMYFUNCTION("""COMPUTED_VALUE"""),27)</f>
        <v>27</v>
      </c>
      <c r="D990" s="1">
        <f ca="1">IFERROR(__xludf.DUMMYFUNCTION("""COMPUTED_VALUE"""),2021)</f>
        <v>2021</v>
      </c>
      <c r="E990" s="4">
        <f ca="1">IFERROR(__xludf.DUMMYFUNCTION("""COMPUTED_VALUE"""),44223)</f>
        <v>44223</v>
      </c>
      <c r="F990" s="1" t="str">
        <f ca="1">IFERROR(__xludf.DUMMYFUNCTION("""COMPUTED_VALUE"""),"Hattiesburg High School")</f>
        <v>Hattiesburg High School</v>
      </c>
      <c r="G990" s="1">
        <f ca="1">IFERROR(__xludf.DUMMYFUNCTION("""COMPUTED_VALUE"""),0)</f>
        <v>0</v>
      </c>
      <c r="H990" s="1">
        <f ca="1">IFERROR(__xludf.DUMMYFUNCTION("""COMPUTED_VALUE"""),0)</f>
        <v>0</v>
      </c>
      <c r="I990" s="1">
        <f ca="1">IFERROR(__xludf.DUMMYFUNCTION("""COMPUTED_VALUE"""),0)</f>
        <v>0</v>
      </c>
      <c r="J990" s="1">
        <f ca="1">IFERROR(__xludf.DUMMYFUNCTION("""COMPUTED_VALUE"""),0)</f>
        <v>0</v>
      </c>
      <c r="K990" s="1" t="str">
        <f ca="1">IFERROR(__xludf.DUMMYFUNCTION("""COMPUTED_VALUE"""),"Winter")</f>
        <v>Winter</v>
      </c>
      <c r="L990" s="1" t="str">
        <f ca="1">IFERROR(__xludf.DUMMYFUNCTION("""COMPUTED_VALUE"""),"Hattiesburg")</f>
        <v>Hattiesburg</v>
      </c>
      <c r="M990" s="1" t="str">
        <f ca="1">IFERROR(__xludf.DUMMYFUNCTION("""COMPUTED_VALUE"""),"MS")</f>
        <v>MS</v>
      </c>
      <c r="N990" s="1" t="str">
        <f ca="1">IFERROR(__xludf.DUMMYFUNCTION("""COMPUTED_VALUE"""),"High")</f>
        <v>High</v>
      </c>
      <c r="O990" s="1" t="str">
        <f ca="1">IFERROR(__xludf.DUMMYFUNCTION("""COMPUTED_VALUE"""),"Off School Property")</f>
        <v>Off School Property</v>
      </c>
      <c r="P990" s="1" t="str">
        <f ca="1">IFERROR(__xludf.DUMMYFUNCTION("""COMPUTED_VALUE"""),"School Bus")</f>
        <v>School Bus</v>
      </c>
      <c r="Q990" s="1" t="str">
        <f ca="1">IFERROR(__xludf.DUMMYFUNCTION("""COMPUTED_VALUE"""),"Yes")</f>
        <v>Yes</v>
      </c>
      <c r="R990" s="1" t="str">
        <f ca="1">IFERROR(__xludf.DUMMYFUNCTION("""COMPUTED_VALUE"""),"School Start")</f>
        <v>School Start</v>
      </c>
      <c r="S990" s="5">
        <f ca="1">IFERROR(__xludf.DUMMYFUNCTION("""COMPUTED_VALUE"""),0.333333333333333)</f>
        <v>0.33333333333333298</v>
      </c>
      <c r="T990" s="1">
        <f ca="1">IFERROR(__xludf.DUMMYFUNCTION("""COMPUTED_VALUE"""),21)</f>
        <v>21</v>
      </c>
      <c r="U990" s="1" t="str">
        <f ca="1">IFERROR(__xludf.DUMMYFUNCTION("""COMPUTED_VALUE"""),"Teen pointed gun at school bus and then fired shots into the air near the school")</f>
        <v>Teen pointed gun at school bus and then fired shots into the air near the school</v>
      </c>
      <c r="V990" s="1" t="str">
        <f ca="1">IFERROR(__xludf.DUMMYFUNCTION("""COMPUTED_VALUE"""),"During a 21 minute time period, multiple people called 911 to report a teen with a gun near the school. At 7:43 AM, the 14-year-old male pointed the gun at a school bus and then fired shots into the air near the school. When police officers arrived at 7:5"&amp;"0 AM, the teen pointed the weapon at officers and said he was going to shoot them. At 7:51 AM, the officers fired multiple shots and wounded the shooter. He was taken to the hospital, treated, and recovered from injuries. The shooting was recorded on body"&amp;" cameras worn by the officers. Motive unknown.")</f>
        <v>During a 21 minute time period, multiple people called 911 to report a teen with a gun near the school. At 7:43 AM, the 14-year-old male pointed the gun at a school bus and then fired shots into the air near the school. When police officers arrived at 7:50 AM, the teen pointed the weapon at officers and said he was going to shoot them. At 7:51 AM, the officers fired multiple shots and wounded the shooter. He was taken to the hospital, treated, and recovered from injuries. The shooting was recorded on body cameras worn by the officers. Motive unknown.</v>
      </c>
      <c r="W990" s="1"/>
      <c r="X990" s="1" t="str">
        <f ca="1">IFERROR(__xludf.DUMMYFUNCTION("""COMPUTED_VALUE"""),"Random Shooting")</f>
        <v>Random Shooting</v>
      </c>
      <c r="Y990" s="1" t="str">
        <f ca="1">IFERROR(__xludf.DUMMYFUNCTION("""COMPUTED_VALUE"""),"No")</f>
        <v>No</v>
      </c>
      <c r="Z990" s="1"/>
      <c r="AA990" s="1" t="str">
        <f ca="1">IFERROR(__xludf.DUMMYFUNCTION("""COMPUTED_VALUE"""),"No")</f>
        <v>No</v>
      </c>
      <c r="AB990" s="1" t="str">
        <f ca="1">IFERROR(__xludf.DUMMYFUNCTION("""COMPUTED_VALUE"""),"No")</f>
        <v>No</v>
      </c>
      <c r="AC990" s="1" t="str">
        <f ca="1">IFERROR(__xludf.DUMMYFUNCTION("""COMPUTED_VALUE"""),"Yes")</f>
        <v>Yes</v>
      </c>
      <c r="AD990" s="1" t="str">
        <f ca="1">IFERROR(__xludf.DUMMYFUNCTION("""COMPUTED_VALUE"""),"No")</f>
        <v>No</v>
      </c>
      <c r="AE990" s="1" t="str">
        <f ca="1">IFERROR(__xludf.DUMMYFUNCTION("""COMPUTED_VALUE"""),"No")</f>
        <v>No</v>
      </c>
      <c r="AF990" s="1" t="str">
        <f ca="1">IFERROR(__xludf.DUMMYFUNCTION("""COMPUTED_VALUE"""),"No")</f>
        <v>No</v>
      </c>
      <c r="AG990" s="1" t="str">
        <f ca="1">IFERROR(__xludf.DUMMYFUNCTION("""COMPUTED_VALUE"""),"No")</f>
        <v>No</v>
      </c>
      <c r="AH990" s="1"/>
    </row>
    <row r="991" spans="1:34" ht="12.5">
      <c r="A991" s="1" t="str">
        <f ca="1">IFERROR(__xludf.DUMMYFUNCTION("""COMPUTED_VALUE"""),"20210127FLHOH")</f>
        <v>20210127FLHOH</v>
      </c>
      <c r="B991" s="1">
        <f ca="1">IFERROR(__xludf.DUMMYFUNCTION("""COMPUTED_VALUE"""),1)</f>
        <v>1</v>
      </c>
      <c r="C991" s="1">
        <f ca="1">IFERROR(__xludf.DUMMYFUNCTION("""COMPUTED_VALUE"""),27)</f>
        <v>27</v>
      </c>
      <c r="D991" s="1">
        <f ca="1">IFERROR(__xludf.DUMMYFUNCTION("""COMPUTED_VALUE"""),2021)</f>
        <v>2021</v>
      </c>
      <c r="E991" s="4">
        <f ca="1">IFERROR(__xludf.DUMMYFUNCTION("""COMPUTED_VALUE"""),44223)</f>
        <v>44223</v>
      </c>
      <c r="F991" s="1" t="str">
        <f ca="1">IFERROR(__xludf.DUMMYFUNCTION("""COMPUTED_VALUE"""),"Holly Hill School")</f>
        <v>Holly Hill School</v>
      </c>
      <c r="G991" s="1">
        <f ca="1">IFERROR(__xludf.DUMMYFUNCTION("""COMPUTED_VALUE"""),0)</f>
        <v>0</v>
      </c>
      <c r="H991" s="1">
        <f ca="1">IFERROR(__xludf.DUMMYFUNCTION("""COMPUTED_VALUE"""),0)</f>
        <v>0</v>
      </c>
      <c r="I991" s="1">
        <f ca="1">IFERROR(__xludf.DUMMYFUNCTION("""COMPUTED_VALUE"""),0)</f>
        <v>0</v>
      </c>
      <c r="J991" s="1">
        <f ca="1">IFERROR(__xludf.DUMMYFUNCTION("""COMPUTED_VALUE"""),0)</f>
        <v>0</v>
      </c>
      <c r="K991" s="1" t="str">
        <f ca="1">IFERROR(__xludf.DUMMYFUNCTION("""COMPUTED_VALUE"""),"Winter")</f>
        <v>Winter</v>
      </c>
      <c r="L991" s="1" t="str">
        <f ca="1">IFERROR(__xludf.DUMMYFUNCTION("""COMPUTED_VALUE"""),"Holly Hill")</f>
        <v>Holly Hill</v>
      </c>
      <c r="M991" s="1" t="str">
        <f ca="1">IFERROR(__xludf.DUMMYFUNCTION("""COMPUTED_VALUE"""),"FL")</f>
        <v>FL</v>
      </c>
      <c r="N991" s="1" t="str">
        <f ca="1">IFERROR(__xludf.DUMMYFUNCTION("""COMPUTED_VALUE"""),"K-8")</f>
        <v>K-8</v>
      </c>
      <c r="O991" s="1" t="str">
        <f ca="1">IFERROR(__xludf.DUMMYFUNCTION("""COMPUTED_VALUE"""),"Gym")</f>
        <v>Gym</v>
      </c>
      <c r="P991" s="1" t="str">
        <f ca="1">IFERROR(__xludf.DUMMYFUNCTION("""COMPUTED_VALUE"""),"Inside School Building")</f>
        <v>Inside School Building</v>
      </c>
      <c r="Q991" s="1" t="str">
        <f ca="1">IFERROR(__xludf.DUMMYFUNCTION("""COMPUTED_VALUE"""),"Yes")</f>
        <v>Yes</v>
      </c>
      <c r="R991" s="1" t="str">
        <f ca="1">IFERROR(__xludf.DUMMYFUNCTION("""COMPUTED_VALUE"""),"Afternoon Classes")</f>
        <v>Afternoon Classes</v>
      </c>
      <c r="S991" s="1"/>
      <c r="T991" s="1">
        <f ca="1">IFERROR(__xludf.DUMMYFUNCTION("""COMPUTED_VALUE"""),1)</f>
        <v>1</v>
      </c>
      <c r="U991" s="1" t="str">
        <f ca="1">IFERROR(__xludf.DUMMYFUNCTION("""COMPUTED_VALUE"""),"Student shot with airsoft gun in locker room")</f>
        <v>Student shot with airsoft gun in locker room</v>
      </c>
      <c r="V991" s="1" t="str">
        <f ca="1">IFERROR(__xludf.DUMMYFUNCTION("""COMPUTED_VALUE"""),"Student (shooter 1) brought 2 airsoft replica pistols to school. In the gym locker room, another student (shooter 2) fired the airsoft gun at another student (victim 1). Shooter 1 also attempted to shoot victim 1 but the weapon failed to fire. The followi"&amp;"ng day, school officials were notified about the shooting and detailed the student who had both weapons. Shooter 1 and Shooter 2 admitted to the shooting. Both face weapons charges and shooter 2 faces aggravated battery. School was not locked down or awar"&amp;"e of the incident the day the shooting took place.")</f>
        <v>Student (shooter 1) brought 2 airsoft replica pistols to school. In the gym locker room, another student (shooter 2) fired the airsoft gun at another student (victim 1). Shooter 1 also attempted to shoot victim 1 but the weapon failed to fire. The following day, school officials were notified about the shooting and detailed the student who had both weapons. Shooter 1 and Shooter 2 admitted to the shooting. Both face weapons charges and shooter 2 faces aggravated battery. School was not locked down or aware of the incident the day the shooting took place.</v>
      </c>
      <c r="W991" s="1"/>
      <c r="X991" s="1" t="str">
        <f ca="1">IFERROR(__xludf.DUMMYFUNCTION("""COMPUTED_VALUE"""),"Victims Targeted")</f>
        <v>Victims Targeted</v>
      </c>
      <c r="Y991" s="1" t="str">
        <f ca="1">IFERROR(__xludf.DUMMYFUNCTION("""COMPUTED_VALUE"""),"Yes")</f>
        <v>Yes</v>
      </c>
      <c r="Z991" s="1"/>
      <c r="AA991" s="1" t="str">
        <f ca="1">IFERROR(__xludf.DUMMYFUNCTION("""COMPUTED_VALUE"""),"No")</f>
        <v>No</v>
      </c>
      <c r="AB991" s="1" t="str">
        <f ca="1">IFERROR(__xludf.DUMMYFUNCTION("""COMPUTED_VALUE"""),"No")</f>
        <v>No</v>
      </c>
      <c r="AC991" s="1" t="str">
        <f ca="1">IFERROR(__xludf.DUMMYFUNCTION("""COMPUTED_VALUE"""),"No")</f>
        <v>No</v>
      </c>
      <c r="AD991" s="1"/>
      <c r="AE991" s="1" t="str">
        <f ca="1">IFERROR(__xludf.DUMMYFUNCTION("""COMPUTED_VALUE"""),"No")</f>
        <v>No</v>
      </c>
      <c r="AF991" s="1"/>
      <c r="AG991" s="1" t="str">
        <f ca="1">IFERROR(__xludf.DUMMYFUNCTION("""COMPUTED_VALUE"""),"No")</f>
        <v>No</v>
      </c>
      <c r="AH991" s="1"/>
    </row>
    <row r="992" spans="1:34" ht="12.5">
      <c r="A992" s="1" t="str">
        <f ca="1">IFERROR(__xludf.DUMMYFUNCTION("""COMPUTED_VALUE"""),"20210121OKLOG")</f>
        <v>20210121OKLOG</v>
      </c>
      <c r="B992" s="1">
        <f ca="1">IFERROR(__xludf.DUMMYFUNCTION("""COMPUTED_VALUE"""),1)</f>
        <v>1</v>
      </c>
      <c r="C992" s="1">
        <f ca="1">IFERROR(__xludf.DUMMYFUNCTION("""COMPUTED_VALUE"""),21)</f>
        <v>21</v>
      </c>
      <c r="D992" s="1">
        <f ca="1">IFERROR(__xludf.DUMMYFUNCTION("""COMPUTED_VALUE"""),2021)</f>
        <v>2021</v>
      </c>
      <c r="E992" s="4">
        <f ca="1">IFERROR(__xludf.DUMMYFUNCTION("""COMPUTED_VALUE"""),44217)</f>
        <v>44217</v>
      </c>
      <c r="F992" s="1" t="str">
        <f ca="1">IFERROR(__xludf.DUMMYFUNCTION("""COMPUTED_VALUE"""),"Lower Elementary School")</f>
        <v>Lower Elementary School</v>
      </c>
      <c r="G992" s="1">
        <f ca="1">IFERROR(__xludf.DUMMYFUNCTION("""COMPUTED_VALUE"""),0)</f>
        <v>0</v>
      </c>
      <c r="H992" s="1">
        <f ca="1">IFERROR(__xludf.DUMMYFUNCTION("""COMPUTED_VALUE"""),0)</f>
        <v>0</v>
      </c>
      <c r="I992" s="1">
        <f ca="1">IFERROR(__xludf.DUMMYFUNCTION("""COMPUTED_VALUE"""),0)</f>
        <v>0</v>
      </c>
      <c r="J992" s="1">
        <f ca="1">IFERROR(__xludf.DUMMYFUNCTION("""COMPUTED_VALUE"""),0)</f>
        <v>0</v>
      </c>
      <c r="K992" s="1" t="str">
        <f ca="1">IFERROR(__xludf.DUMMYFUNCTION("""COMPUTED_VALUE"""),"Winter")</f>
        <v>Winter</v>
      </c>
      <c r="L992" s="1" t="str">
        <f ca="1">IFERROR(__xludf.DUMMYFUNCTION("""COMPUTED_VALUE"""),"Grove")</f>
        <v>Grove</v>
      </c>
      <c r="M992" s="1" t="str">
        <f ca="1">IFERROR(__xludf.DUMMYFUNCTION("""COMPUTED_VALUE"""),"OK")</f>
        <v>OK</v>
      </c>
      <c r="N992" s="1" t="str">
        <f ca="1">IFERROR(__xludf.DUMMYFUNCTION("""COMPUTED_VALUE"""),"Elementary")</f>
        <v>Elementary</v>
      </c>
      <c r="O992" s="1" t="str">
        <f ca="1">IFERROR(__xludf.DUMMYFUNCTION("""COMPUTED_VALUE"""),"Parking Lot")</f>
        <v>Parking Lot</v>
      </c>
      <c r="P992" s="1" t="str">
        <f ca="1">IFERROR(__xludf.DUMMYFUNCTION("""COMPUTED_VALUE"""),"Outside on School Property")</f>
        <v>Outside on School Property</v>
      </c>
      <c r="Q992" s="1" t="str">
        <f ca="1">IFERROR(__xludf.DUMMYFUNCTION("""COMPUTED_VALUE"""),"Yes")</f>
        <v>Yes</v>
      </c>
      <c r="R992" s="1" t="str">
        <f ca="1">IFERROR(__xludf.DUMMYFUNCTION("""COMPUTED_VALUE"""),"Dismissal")</f>
        <v>Dismissal</v>
      </c>
      <c r="S992" s="5">
        <f ca="1">IFERROR(__xludf.DUMMYFUNCTION("""COMPUTED_VALUE"""),0.625)</f>
        <v>0.625</v>
      </c>
      <c r="T992" s="1">
        <f ca="1">IFERROR(__xludf.DUMMYFUNCTION("""COMPUTED_VALUE"""),1)</f>
        <v>1</v>
      </c>
      <c r="U992" s="1" t="str">
        <f ca="1">IFERROR(__xludf.DUMMYFUNCTION("""COMPUTED_VALUE"""),"Parent shot self inside car while in pickup line at school")</f>
        <v>Parent shot self inside car while in pickup line at school</v>
      </c>
      <c r="V992" s="1" t="str">
        <f ca="1">IFERROR(__xludf.DUMMYFUNCTION("""COMPUTED_VALUE"""),"A parent waiting in the pickup line, accidentally shot himself inside his vehicle. He exited the pickup line and drove to the hospital. No students were involved or injured. Firearms are prohibited on the campus.")</f>
        <v>A parent waiting in the pickup line, accidentally shot himself inside his vehicle. He exited the pickup line and drove to the hospital. No students were involved or injured. Firearms are prohibited on the campus.</v>
      </c>
      <c r="W992" s="1" t="str">
        <f ca="1">IFERROR(__xludf.DUMMYFUNCTION("""COMPUTED_VALUE"""),"Accidental")</f>
        <v>Accidental</v>
      </c>
      <c r="X992" s="1" t="str">
        <f ca="1">IFERROR(__xludf.DUMMYFUNCTION("""COMPUTED_VALUE"""),"Random Shooting")</f>
        <v>Random Shooting</v>
      </c>
      <c r="Y992" s="1" t="str">
        <f ca="1">IFERROR(__xludf.DUMMYFUNCTION("""COMPUTED_VALUE"""),"No")</f>
        <v>No</v>
      </c>
      <c r="Z992" s="1"/>
      <c r="AA992" s="1" t="str">
        <f ca="1">IFERROR(__xludf.DUMMYFUNCTION("""COMPUTED_VALUE"""),"No")</f>
        <v>No</v>
      </c>
      <c r="AB992" s="1" t="str">
        <f ca="1">IFERROR(__xludf.DUMMYFUNCTION("""COMPUTED_VALUE"""),"No")</f>
        <v>No</v>
      </c>
      <c r="AC992" s="1" t="str">
        <f ca="1">IFERROR(__xludf.DUMMYFUNCTION("""COMPUTED_VALUE"""),"No")</f>
        <v>No</v>
      </c>
      <c r="AD992" s="1" t="str">
        <f ca="1">IFERROR(__xludf.DUMMYFUNCTION("""COMPUTED_VALUE"""),"No")</f>
        <v>No</v>
      </c>
      <c r="AE992" s="1" t="str">
        <f ca="1">IFERROR(__xludf.DUMMYFUNCTION("""COMPUTED_VALUE"""),"No")</f>
        <v>No</v>
      </c>
      <c r="AF992" s="1" t="str">
        <f ca="1">IFERROR(__xludf.DUMMYFUNCTION("""COMPUTED_VALUE"""),"No")</f>
        <v>No</v>
      </c>
      <c r="AG992" s="1" t="str">
        <f ca="1">IFERROR(__xludf.DUMMYFUNCTION("""COMPUTED_VALUE"""),"No")</f>
        <v>No</v>
      </c>
      <c r="AH992" s="1">
        <f ca="1">IFERROR(__xludf.DUMMYFUNCTION("""COMPUTED_VALUE"""),1)</f>
        <v>1</v>
      </c>
    </row>
    <row r="993" spans="1:34" ht="12.5">
      <c r="A993" s="1" t="str">
        <f ca="1">IFERROR(__xludf.DUMMYFUNCTION("""COMPUTED_VALUE"""),"20210121OHEAC")</f>
        <v>20210121OHEAC</v>
      </c>
      <c r="B993" s="1">
        <f ca="1">IFERROR(__xludf.DUMMYFUNCTION("""COMPUTED_VALUE"""),1)</f>
        <v>1</v>
      </c>
      <c r="C993" s="1">
        <f ca="1">IFERROR(__xludf.DUMMYFUNCTION("""COMPUTED_VALUE"""),21)</f>
        <v>21</v>
      </c>
      <c r="D993" s="1">
        <f ca="1">IFERROR(__xludf.DUMMYFUNCTION("""COMPUTED_VALUE"""),2021)</f>
        <v>2021</v>
      </c>
      <c r="E993" s="4">
        <f ca="1">IFERROR(__xludf.DUMMYFUNCTION("""COMPUTED_VALUE"""),44217)</f>
        <v>44217</v>
      </c>
      <c r="F993" s="1" t="str">
        <f ca="1">IFERROR(__xludf.DUMMYFUNCTION("""COMPUTED_VALUE"""),"Eastmoor Academy")</f>
        <v>Eastmoor Academy</v>
      </c>
      <c r="G993" s="1">
        <f ca="1">IFERROR(__xludf.DUMMYFUNCTION("""COMPUTED_VALUE"""),0)</f>
        <v>0</v>
      </c>
      <c r="H993" s="1">
        <f ca="1">IFERROR(__xludf.DUMMYFUNCTION("""COMPUTED_VALUE"""),1)</f>
        <v>1</v>
      </c>
      <c r="I993" s="1">
        <f ca="1">IFERROR(__xludf.DUMMYFUNCTION("""COMPUTED_VALUE"""),1)</f>
        <v>1</v>
      </c>
      <c r="J993" s="1">
        <f ca="1">IFERROR(__xludf.DUMMYFUNCTION("""COMPUTED_VALUE"""),0)</f>
        <v>0</v>
      </c>
      <c r="K993" s="1" t="str">
        <f ca="1">IFERROR(__xludf.DUMMYFUNCTION("""COMPUTED_VALUE"""),"Winter")</f>
        <v>Winter</v>
      </c>
      <c r="L993" s="1" t="str">
        <f ca="1">IFERROR(__xludf.DUMMYFUNCTION("""COMPUTED_VALUE"""),"Columbus")</f>
        <v>Columbus</v>
      </c>
      <c r="M993" s="1" t="str">
        <f ca="1">IFERROR(__xludf.DUMMYFUNCTION("""COMPUTED_VALUE"""),"OH")</f>
        <v>OH</v>
      </c>
      <c r="N993" s="1" t="str">
        <f ca="1">IFERROR(__xludf.DUMMYFUNCTION("""COMPUTED_VALUE"""),"High")</f>
        <v>High</v>
      </c>
      <c r="O993" s="1" t="str">
        <f ca="1">IFERROR(__xludf.DUMMYFUNCTION("""COMPUTED_VALUE"""),"Parking Lot")</f>
        <v>Parking Lot</v>
      </c>
      <c r="P993" s="1" t="str">
        <f ca="1">IFERROR(__xludf.DUMMYFUNCTION("""COMPUTED_VALUE"""),"Outside on School Property")</f>
        <v>Outside on School Property</v>
      </c>
      <c r="Q993" s="1" t="str">
        <f ca="1">IFERROR(__xludf.DUMMYFUNCTION("""COMPUTED_VALUE"""),"No")</f>
        <v>No</v>
      </c>
      <c r="R993" s="1" t="str">
        <f ca="1">IFERROR(__xludf.DUMMYFUNCTION("""COMPUTED_VALUE"""),"Evening")</f>
        <v>Evening</v>
      </c>
      <c r="S993" s="5">
        <f ca="1">IFERROR(__xludf.DUMMYFUNCTION("""COMPUTED_VALUE"""),0.8125)</f>
        <v>0.8125</v>
      </c>
      <c r="T993" s="1">
        <f ca="1">IFERROR(__xludf.DUMMYFUNCTION("""COMPUTED_VALUE"""),1)</f>
        <v>1</v>
      </c>
      <c r="U993" s="1" t="str">
        <f ca="1">IFERROR(__xludf.DUMMYFUNCTION("""COMPUTED_VALUE"""),"Man shot while watching fight in school parking lot")</f>
        <v>Man shot while watching fight in school parking lot</v>
      </c>
      <c r="V993" s="1" t="str">
        <f ca="1">IFERROR(__xludf.DUMMYFUNCTION("""COMPUTED_VALUE"""),"A crowd was watching a fight in the school parking lot. A man fired a shot at another man in a vehicle. The shot missed and struck a 19 year old male victim in the crowd. Shooter fled the scene.")</f>
        <v>A crowd was watching a fight in the school parking lot. A man fired a shot at another man in a vehicle. The shot missed and struck a 19 year old male victim in the crowd. Shooter fled the scene.</v>
      </c>
      <c r="W993" s="1" t="str">
        <f ca="1">IFERROR(__xludf.DUMMYFUNCTION("""COMPUTED_VALUE"""),"Escalation of Dispute")</f>
        <v>Escalation of Dispute</v>
      </c>
      <c r="X993" s="1" t="str">
        <f ca="1">IFERROR(__xludf.DUMMYFUNCTION("""COMPUTED_VALUE"""),"Both")</f>
        <v>Both</v>
      </c>
      <c r="Y993" s="1" t="str">
        <f ca="1">IFERROR(__xludf.DUMMYFUNCTION("""COMPUTED_VALUE"""),"No")</f>
        <v>No</v>
      </c>
      <c r="Z993" s="1"/>
      <c r="AA993" s="1" t="str">
        <f ca="1">IFERROR(__xludf.DUMMYFUNCTION("""COMPUTED_VALUE"""),"No")</f>
        <v>No</v>
      </c>
      <c r="AB993" s="1" t="str">
        <f ca="1">IFERROR(__xludf.DUMMYFUNCTION("""COMPUTED_VALUE"""),"No")</f>
        <v>No</v>
      </c>
      <c r="AC993" s="1" t="str">
        <f ca="1">IFERROR(__xludf.DUMMYFUNCTION("""COMPUTED_VALUE"""),"No")</f>
        <v>No</v>
      </c>
      <c r="AD993" s="1" t="str">
        <f ca="1">IFERROR(__xludf.DUMMYFUNCTION("""COMPUTED_VALUE"""),"No")</f>
        <v>No</v>
      </c>
      <c r="AE993" s="1" t="str">
        <f ca="1">IFERROR(__xludf.DUMMYFUNCTION("""COMPUTED_VALUE"""),"No")</f>
        <v>No</v>
      </c>
      <c r="AF993" s="1"/>
      <c r="AG993" s="1" t="str">
        <f ca="1">IFERROR(__xludf.DUMMYFUNCTION("""COMPUTED_VALUE"""),"No")</f>
        <v>No</v>
      </c>
      <c r="AH993" s="1">
        <f ca="1">IFERROR(__xludf.DUMMYFUNCTION("""COMPUTED_VALUE"""),1)</f>
        <v>1</v>
      </c>
    </row>
    <row r="994" spans="1:34" ht="12.5">
      <c r="A994" s="1" t="str">
        <f ca="1">IFERROR(__xludf.DUMMYFUNCTION("""COMPUTED_VALUE"""),"20210114MDHIW")</f>
        <v>20210114MDHIW</v>
      </c>
      <c r="B994" s="1">
        <f ca="1">IFERROR(__xludf.DUMMYFUNCTION("""COMPUTED_VALUE"""),1)</f>
        <v>1</v>
      </c>
      <c r="C994" s="1">
        <f ca="1">IFERROR(__xludf.DUMMYFUNCTION("""COMPUTED_VALUE"""),14)</f>
        <v>14</v>
      </c>
      <c r="D994" s="1">
        <f ca="1">IFERROR(__xludf.DUMMYFUNCTION("""COMPUTED_VALUE"""),2021)</f>
        <v>2021</v>
      </c>
      <c r="E994" s="4">
        <f ca="1">IFERROR(__xludf.DUMMYFUNCTION("""COMPUTED_VALUE"""),44210)</f>
        <v>44210</v>
      </c>
      <c r="F994" s="1" t="str">
        <f ca="1">IFERROR(__xludf.DUMMYFUNCTION("""COMPUTED_VALUE"""),"Highland Elementary School")</f>
        <v>Highland Elementary School</v>
      </c>
      <c r="G994" s="1">
        <f ca="1">IFERROR(__xludf.DUMMYFUNCTION("""COMPUTED_VALUE"""),1)</f>
        <v>1</v>
      </c>
      <c r="H994" s="1">
        <f ca="1">IFERROR(__xludf.DUMMYFUNCTION("""COMPUTED_VALUE"""),0)</f>
        <v>0</v>
      </c>
      <c r="I994" s="1">
        <f ca="1">IFERROR(__xludf.DUMMYFUNCTION("""COMPUTED_VALUE"""),1)</f>
        <v>1</v>
      </c>
      <c r="J994" s="1">
        <f ca="1">IFERROR(__xludf.DUMMYFUNCTION("""COMPUTED_VALUE"""),0)</f>
        <v>0</v>
      </c>
      <c r="K994" s="1" t="str">
        <f ca="1">IFERROR(__xludf.DUMMYFUNCTION("""COMPUTED_VALUE"""),"Winter")</f>
        <v>Winter</v>
      </c>
      <c r="L994" s="1" t="str">
        <f ca="1">IFERROR(__xludf.DUMMYFUNCTION("""COMPUTED_VALUE"""),"Wheaton")</f>
        <v>Wheaton</v>
      </c>
      <c r="M994" s="1" t="str">
        <f ca="1">IFERROR(__xludf.DUMMYFUNCTION("""COMPUTED_VALUE"""),"MD")</f>
        <v>MD</v>
      </c>
      <c r="N994" s="1" t="str">
        <f ca="1">IFERROR(__xludf.DUMMYFUNCTION("""COMPUTED_VALUE"""),"Elementary")</f>
        <v>Elementary</v>
      </c>
      <c r="O994" s="1" t="str">
        <f ca="1">IFERROR(__xludf.DUMMYFUNCTION("""COMPUTED_VALUE"""),"Parking Lot")</f>
        <v>Parking Lot</v>
      </c>
      <c r="P994" s="1" t="str">
        <f ca="1">IFERROR(__xludf.DUMMYFUNCTION("""COMPUTED_VALUE"""),"Outside on School Property")</f>
        <v>Outside on School Property</v>
      </c>
      <c r="Q994" s="1" t="str">
        <f ca="1">IFERROR(__xludf.DUMMYFUNCTION("""COMPUTED_VALUE"""),"No")</f>
        <v>No</v>
      </c>
      <c r="R994" s="1" t="str">
        <f ca="1">IFERROR(__xludf.DUMMYFUNCTION("""COMPUTED_VALUE"""),"Before School")</f>
        <v>Before School</v>
      </c>
      <c r="S994" s="5">
        <f ca="1">IFERROR(__xludf.DUMMYFUNCTION("""COMPUTED_VALUE"""),0.236111111111111)</f>
        <v>0.23611111111111099</v>
      </c>
      <c r="T994" s="1">
        <f ca="1">IFERROR(__xludf.DUMMYFUNCTION("""COMPUTED_VALUE"""),1)</f>
        <v>1</v>
      </c>
      <c r="U994" s="1" t="str">
        <f ca="1">IFERROR(__xludf.DUMMYFUNCTION("""COMPUTED_VALUE"""),"Man found shot and killed inside vehicle in school parking lot")</f>
        <v>Man found shot and killed inside vehicle in school parking lot</v>
      </c>
      <c r="V994" s="1" t="str">
        <f ca="1">IFERROR(__xludf.DUMMYFUNCTION("""COMPUTED_VALUE"""),"Police were called for shots fired near the elementary school. Police found a man fatally shot inside a vehicle and he was declared dead at the scene. No motive or suspect identified. Investigated as homicide.")</f>
        <v>Police were called for shots fired near the elementary school. Police found a man fatally shot inside a vehicle and he was declared dead at the scene. No motive or suspect identified. Investigated as homicide.</v>
      </c>
      <c r="W994" s="1"/>
      <c r="X994" s="1" t="str">
        <f ca="1">IFERROR(__xludf.DUMMYFUNCTION("""COMPUTED_VALUE"""),"Victims Targeted")</f>
        <v>Victims Targeted</v>
      </c>
      <c r="Y994" s="1"/>
      <c r="Z994" s="1"/>
      <c r="AA994" s="1" t="str">
        <f ca="1">IFERROR(__xludf.DUMMYFUNCTION("""COMPUTED_VALUE"""),"No")</f>
        <v>No</v>
      </c>
      <c r="AB994" s="1" t="str">
        <f ca="1">IFERROR(__xludf.DUMMYFUNCTION("""COMPUTED_VALUE"""),"No")</f>
        <v>No</v>
      </c>
      <c r="AC994" s="1" t="str">
        <f ca="1">IFERROR(__xludf.DUMMYFUNCTION("""COMPUTED_VALUE"""),"No")</f>
        <v>No</v>
      </c>
      <c r="AD994" s="1" t="str">
        <f ca="1">IFERROR(__xludf.DUMMYFUNCTION("""COMPUTED_VALUE"""),"No")</f>
        <v>No</v>
      </c>
      <c r="AE994" s="1" t="str">
        <f ca="1">IFERROR(__xludf.DUMMYFUNCTION("""COMPUTED_VALUE"""),"No")</f>
        <v>No</v>
      </c>
      <c r="AF994" s="1"/>
      <c r="AG994" s="1" t="str">
        <f ca="1">IFERROR(__xludf.DUMMYFUNCTION("""COMPUTED_VALUE"""),"No")</f>
        <v>No</v>
      </c>
      <c r="AH994" s="1"/>
    </row>
    <row r="995" spans="1:34" ht="12.5">
      <c r="A995" s="1" t="str">
        <f ca="1">IFERROR(__xludf.DUMMYFUNCTION("""COMPUTED_VALUE"""),"20210110ILSOS")</f>
        <v>20210110ILSOS</v>
      </c>
      <c r="B995" s="1">
        <f ca="1">IFERROR(__xludf.DUMMYFUNCTION("""COMPUTED_VALUE"""),1)</f>
        <v>1</v>
      </c>
      <c r="C995" s="1">
        <f ca="1">IFERROR(__xludf.DUMMYFUNCTION("""COMPUTED_VALUE"""),10)</f>
        <v>10</v>
      </c>
      <c r="D995" s="1">
        <f ca="1">IFERROR(__xludf.DUMMYFUNCTION("""COMPUTED_VALUE"""),2021)</f>
        <v>2021</v>
      </c>
      <c r="E995" s="4">
        <f ca="1">IFERROR(__xludf.DUMMYFUNCTION("""COMPUTED_VALUE"""),44206)</f>
        <v>44206</v>
      </c>
      <c r="F995" s="1" t="str">
        <f ca="1">IFERROR(__xludf.DUMMYFUNCTION("""COMPUTED_VALUE"""),"Southeast High School")</f>
        <v>Southeast High School</v>
      </c>
      <c r="G995" s="1">
        <f ca="1">IFERROR(__xludf.DUMMYFUNCTION("""COMPUTED_VALUE"""),0)</f>
        <v>0</v>
      </c>
      <c r="H995" s="1">
        <f ca="1">IFERROR(__xludf.DUMMYFUNCTION("""COMPUTED_VALUE"""),2)</f>
        <v>2</v>
      </c>
      <c r="I995" s="1">
        <f ca="1">IFERROR(__xludf.DUMMYFUNCTION("""COMPUTED_VALUE"""),2)</f>
        <v>2</v>
      </c>
      <c r="J995" s="1">
        <f ca="1">IFERROR(__xludf.DUMMYFUNCTION("""COMPUTED_VALUE"""),0)</f>
        <v>0</v>
      </c>
      <c r="K995" s="1" t="str">
        <f ca="1">IFERROR(__xludf.DUMMYFUNCTION("""COMPUTED_VALUE"""),"Winter")</f>
        <v>Winter</v>
      </c>
      <c r="L995" s="1" t="str">
        <f ca="1">IFERROR(__xludf.DUMMYFUNCTION("""COMPUTED_VALUE"""),"Springfield")</f>
        <v>Springfield</v>
      </c>
      <c r="M995" s="1" t="str">
        <f ca="1">IFERROR(__xludf.DUMMYFUNCTION("""COMPUTED_VALUE"""),"IL")</f>
        <v>IL</v>
      </c>
      <c r="N995" s="1" t="str">
        <f ca="1">IFERROR(__xludf.DUMMYFUNCTION("""COMPUTED_VALUE"""),"High")</f>
        <v>High</v>
      </c>
      <c r="O995" s="1" t="str">
        <f ca="1">IFERROR(__xludf.DUMMYFUNCTION("""COMPUTED_VALUE"""),"Parking Lot")</f>
        <v>Parking Lot</v>
      </c>
      <c r="P995" s="1" t="str">
        <f ca="1">IFERROR(__xludf.DUMMYFUNCTION("""COMPUTED_VALUE"""),"Outside on School Property")</f>
        <v>Outside on School Property</v>
      </c>
      <c r="Q995" s="1" t="str">
        <f ca="1">IFERROR(__xludf.DUMMYFUNCTION("""COMPUTED_VALUE"""),"No")</f>
        <v>No</v>
      </c>
      <c r="R995" s="1" t="str">
        <f ca="1">IFERROR(__xludf.DUMMYFUNCTION("""COMPUTED_VALUE"""),"Not a School Day")</f>
        <v>Not a School Day</v>
      </c>
      <c r="S995" s="5">
        <f ca="1">IFERROR(__xludf.DUMMYFUNCTION("""COMPUTED_VALUE"""),0.636805555555555)</f>
        <v>0.63680555555555496</v>
      </c>
      <c r="T995" s="1">
        <f ca="1">IFERROR(__xludf.DUMMYFUNCTION("""COMPUTED_VALUE"""),1)</f>
        <v>1</v>
      </c>
      <c r="U995" s="1" t="str">
        <f ca="1">IFERROR(__xludf.DUMMYFUNCTION("""COMPUTED_VALUE"""),"Two women in vehicle shot in school parking lot")</f>
        <v>Two women in vehicle shot in school parking lot</v>
      </c>
      <c r="V995" s="1" t="str">
        <f ca="1">IFERROR(__xludf.DUMMYFUNCTION("""COMPUTED_VALUE"""),"Three people were inside a vehicle in the school parking lot. The 16 year old female driver was practicing driving. A male shooter fired 22 shots from the bushes nearby. 5 struck the vehicle hitting the 16 year old female and a 20 year old female. An 18 y"&amp;"ear old male in the back seat was not injured. Bullets struck signs in the parking lot and the school building. Shooter fled the scene. Police said the shooting was targeted.")</f>
        <v>Three people were inside a vehicle in the school parking lot. The 16 year old female driver was practicing driving. A male shooter fired 22 shots from the bushes nearby. 5 struck the vehicle hitting the 16 year old female and a 20 year old female. An 18 year old male in the back seat was not injured. Bullets struck signs in the parking lot and the school building. Shooter fled the scene. Police said the shooting was targeted.</v>
      </c>
      <c r="W995" s="1"/>
      <c r="X995" s="1" t="str">
        <f ca="1">IFERROR(__xludf.DUMMYFUNCTION("""COMPUTED_VALUE"""),"Victims Targeted")</f>
        <v>Victims Targeted</v>
      </c>
      <c r="Y995" s="1" t="str">
        <f ca="1">IFERROR(__xludf.DUMMYFUNCTION("""COMPUTED_VALUE"""),"No")</f>
        <v>No</v>
      </c>
      <c r="Z995" s="1"/>
      <c r="AA995" s="1" t="str">
        <f ca="1">IFERROR(__xludf.DUMMYFUNCTION("""COMPUTED_VALUE"""),"No")</f>
        <v>No</v>
      </c>
      <c r="AB995" s="1" t="str">
        <f ca="1">IFERROR(__xludf.DUMMYFUNCTION("""COMPUTED_VALUE"""),"No")</f>
        <v>No</v>
      </c>
      <c r="AC995" s="1"/>
      <c r="AD995" s="1" t="str">
        <f ca="1">IFERROR(__xludf.DUMMYFUNCTION("""COMPUTED_VALUE"""),"No")</f>
        <v>No</v>
      </c>
      <c r="AE995" s="1"/>
      <c r="AF995" s="1"/>
      <c r="AG995" s="1" t="str">
        <f ca="1">IFERROR(__xludf.DUMMYFUNCTION("""COMPUTED_VALUE"""),"No")</f>
        <v>No</v>
      </c>
      <c r="AH995" s="1">
        <f ca="1">IFERROR(__xludf.DUMMYFUNCTION("""COMPUTED_VALUE"""),22)</f>
        <v>22</v>
      </c>
    </row>
    <row r="996" spans="1:34" ht="12.5">
      <c r="A996" s="1" t="str">
        <f ca="1">IFERROR(__xludf.DUMMYFUNCTION("""COMPUTED_VALUE"""),"20210104NYPEJ")</f>
        <v>20210104NYPEJ</v>
      </c>
      <c r="B996" s="1">
        <f ca="1">IFERROR(__xludf.DUMMYFUNCTION("""COMPUTED_VALUE"""),1)</f>
        <v>1</v>
      </c>
      <c r="C996" s="1">
        <f ca="1">IFERROR(__xludf.DUMMYFUNCTION("""COMPUTED_VALUE"""),4)</f>
        <v>4</v>
      </c>
      <c r="D996" s="1">
        <f ca="1">IFERROR(__xludf.DUMMYFUNCTION("""COMPUTED_VALUE"""),2021)</f>
        <v>2021</v>
      </c>
      <c r="E996" s="4">
        <f ca="1">IFERROR(__xludf.DUMMYFUNCTION("""COMPUTED_VALUE"""),44200)</f>
        <v>44200</v>
      </c>
      <c r="F996" s="1" t="str">
        <f ca="1">IFERROR(__xludf.DUMMYFUNCTION("""COMPUTED_VALUE"""),"Perth Bible Church and Christian Academy")</f>
        <v>Perth Bible Church and Christian Academy</v>
      </c>
      <c r="G996" s="1">
        <f ca="1">IFERROR(__xludf.DUMMYFUNCTION("""COMPUTED_VALUE"""),0)</f>
        <v>0</v>
      </c>
      <c r="H996" s="1">
        <f ca="1">IFERROR(__xludf.DUMMYFUNCTION("""COMPUTED_VALUE"""),0)</f>
        <v>0</v>
      </c>
      <c r="I996" s="1">
        <f ca="1">IFERROR(__xludf.DUMMYFUNCTION("""COMPUTED_VALUE"""),0)</f>
        <v>0</v>
      </c>
      <c r="J996" s="1">
        <f ca="1">IFERROR(__xludf.DUMMYFUNCTION("""COMPUTED_VALUE"""),0)</f>
        <v>0</v>
      </c>
      <c r="K996" s="1" t="str">
        <f ca="1">IFERROR(__xludf.DUMMYFUNCTION("""COMPUTED_VALUE"""),"Winter")</f>
        <v>Winter</v>
      </c>
      <c r="L996" s="1" t="str">
        <f ca="1">IFERROR(__xludf.DUMMYFUNCTION("""COMPUTED_VALUE"""),"Johnstown")</f>
        <v>Johnstown</v>
      </c>
      <c r="M996" s="1" t="str">
        <f ca="1">IFERROR(__xludf.DUMMYFUNCTION("""COMPUTED_VALUE"""),"NY")</f>
        <v>NY</v>
      </c>
      <c r="N996" s="6">
        <f ca="1">IFERROR(__xludf.DUMMYFUNCTION("""COMPUTED_VALUE"""),44724)</f>
        <v>44724</v>
      </c>
      <c r="O996" s="1" t="str">
        <f ca="1">IFERROR(__xludf.DUMMYFUNCTION("""COMPUTED_VALUE"""),"Field (General)")</f>
        <v>Field (General)</v>
      </c>
      <c r="P996" s="1" t="str">
        <f ca="1">IFERROR(__xludf.DUMMYFUNCTION("""COMPUTED_VALUE"""),"Outside on School Property")</f>
        <v>Outside on School Property</v>
      </c>
      <c r="Q996" s="1" t="str">
        <f ca="1">IFERROR(__xludf.DUMMYFUNCTION("""COMPUTED_VALUE"""),"Yes")</f>
        <v>Yes</v>
      </c>
      <c r="R996" s="1" t="str">
        <f ca="1">IFERROR(__xludf.DUMMYFUNCTION("""COMPUTED_VALUE"""),"Morning Classes")</f>
        <v>Morning Classes</v>
      </c>
      <c r="S996" s="1"/>
      <c r="T996" s="1">
        <f ca="1">IFERROR(__xludf.DUMMYFUNCTION("""COMPUTED_VALUE"""),1)</f>
        <v>1</v>
      </c>
      <c r="U996" s="1" t="str">
        <f ca="1">IFERROR(__xludf.DUMMYFUNCTION("""COMPUTED_VALUE"""),"Animal control officer fired personal handgun at animal on school property while school was in session")</f>
        <v>Animal control officer fired personal handgun at animal on school property while school was in session</v>
      </c>
      <c r="V996" s="1" t="str">
        <f ca="1">IFERROR(__xludf.DUMMYFUNCTION("""COMPUTED_VALUE"""),"An animal control officer was attempting to capture a dog on the property of the school. When he said the dog became aggressive, he fired his personal handgun at the animal which fled the area after being shot in the mouth. The animal control officer did "&amp;"not report the shooting. Based on social media reports, the animal control officer was investigated and charged 3 months after the incident.")</f>
        <v>An animal control officer was attempting to capture a dog on the property of the school. When he said the dog became aggressive, he fired his personal handgun at the animal which fled the area after being shot in the mouth. The animal control officer did not report the shooting. Based on social media reports, the animal control officer was investigated and charged 3 months after the incident.</v>
      </c>
      <c r="W996" s="1" t="str">
        <f ca="1">IFERROR(__xludf.DUMMYFUNCTION("""COMPUTED_VALUE"""),"Illegal Activity")</f>
        <v>Illegal Activity</v>
      </c>
      <c r="X996" s="1" t="str">
        <f ca="1">IFERROR(__xludf.DUMMYFUNCTION("""COMPUTED_VALUE"""),"Neither")</f>
        <v>Neither</v>
      </c>
      <c r="Y996" s="1" t="str">
        <f ca="1">IFERROR(__xludf.DUMMYFUNCTION("""COMPUTED_VALUE"""),"No")</f>
        <v>No</v>
      </c>
      <c r="Z996" s="1"/>
      <c r="AA996" s="1" t="str">
        <f ca="1">IFERROR(__xludf.DUMMYFUNCTION("""COMPUTED_VALUE"""),"No")</f>
        <v>No</v>
      </c>
      <c r="AB996" s="1" t="str">
        <f ca="1">IFERROR(__xludf.DUMMYFUNCTION("""COMPUTED_VALUE"""),"No")</f>
        <v>No</v>
      </c>
      <c r="AC996" s="1" t="str">
        <f ca="1">IFERROR(__xludf.DUMMYFUNCTION("""COMPUTED_VALUE"""),"No")</f>
        <v>No</v>
      </c>
      <c r="AD996" s="1" t="str">
        <f ca="1">IFERROR(__xludf.DUMMYFUNCTION("""COMPUTED_VALUE"""),"No")</f>
        <v>No</v>
      </c>
      <c r="AE996" s="1" t="str">
        <f ca="1">IFERROR(__xludf.DUMMYFUNCTION("""COMPUTED_VALUE"""),"No")</f>
        <v>No</v>
      </c>
      <c r="AF996" s="1" t="str">
        <f ca="1">IFERROR(__xludf.DUMMYFUNCTION("""COMPUTED_VALUE"""),"No")</f>
        <v>No</v>
      </c>
      <c r="AG996" s="1" t="str">
        <f ca="1">IFERROR(__xludf.DUMMYFUNCTION("""COMPUTED_VALUE"""),"No")</f>
        <v>No</v>
      </c>
      <c r="AH996" s="1"/>
    </row>
    <row r="997" spans="1:34" ht="12.5">
      <c r="A997" s="1" t="str">
        <f ca="1">IFERROR(__xludf.DUMMYFUNCTION("""COMPUTED_VALUE"""),"20201229WAROS")</f>
        <v>20201229WAROS</v>
      </c>
      <c r="B997" s="1">
        <f ca="1">IFERROR(__xludf.DUMMYFUNCTION("""COMPUTED_VALUE"""),12)</f>
        <v>12</v>
      </c>
      <c r="C997" s="1">
        <f ca="1">IFERROR(__xludf.DUMMYFUNCTION("""COMPUTED_VALUE"""),29)</f>
        <v>29</v>
      </c>
      <c r="D997" s="1">
        <f ca="1">IFERROR(__xludf.DUMMYFUNCTION("""COMPUTED_VALUE"""),2020)</f>
        <v>2020</v>
      </c>
      <c r="E997" s="4">
        <f ca="1">IFERROR(__xludf.DUMMYFUNCTION("""COMPUTED_VALUE"""),44194)</f>
        <v>44194</v>
      </c>
      <c r="F997" s="1" t="str">
        <f ca="1">IFERROR(__xludf.DUMMYFUNCTION("""COMPUTED_VALUE"""),"Rogers High School")</f>
        <v>Rogers High School</v>
      </c>
      <c r="G997" s="1">
        <f ca="1">IFERROR(__xludf.DUMMYFUNCTION("""COMPUTED_VALUE"""),0)</f>
        <v>0</v>
      </c>
      <c r="H997" s="1">
        <f ca="1">IFERROR(__xludf.DUMMYFUNCTION("""COMPUTED_VALUE"""),2)</f>
        <v>2</v>
      </c>
      <c r="I997" s="1">
        <f ca="1">IFERROR(__xludf.DUMMYFUNCTION("""COMPUTED_VALUE"""),2)</f>
        <v>2</v>
      </c>
      <c r="J997" s="1">
        <f ca="1">IFERROR(__xludf.DUMMYFUNCTION("""COMPUTED_VALUE"""),0)</f>
        <v>0</v>
      </c>
      <c r="K997" s="1" t="str">
        <f ca="1">IFERROR(__xludf.DUMMYFUNCTION("""COMPUTED_VALUE"""),"Winter")</f>
        <v>Winter</v>
      </c>
      <c r="L997" s="1" t="str">
        <f ca="1">IFERROR(__xludf.DUMMYFUNCTION("""COMPUTED_VALUE"""),"Spokane")</f>
        <v>Spokane</v>
      </c>
      <c r="M997" s="1" t="str">
        <f ca="1">IFERROR(__xludf.DUMMYFUNCTION("""COMPUTED_VALUE"""),"WA")</f>
        <v>WA</v>
      </c>
      <c r="N997" s="1" t="str">
        <f ca="1">IFERROR(__xludf.DUMMYFUNCTION("""COMPUTED_VALUE"""),"High")</f>
        <v>High</v>
      </c>
      <c r="O997" s="1" t="str">
        <f ca="1">IFERROR(__xludf.DUMMYFUNCTION("""COMPUTED_VALUE"""),"Parking Lot")</f>
        <v>Parking Lot</v>
      </c>
      <c r="P997" s="1" t="str">
        <f ca="1">IFERROR(__xludf.DUMMYFUNCTION("""COMPUTED_VALUE"""),"Outside on School Property")</f>
        <v>Outside on School Property</v>
      </c>
      <c r="Q997" s="1" t="str">
        <f ca="1">IFERROR(__xludf.DUMMYFUNCTION("""COMPUTED_VALUE"""),"No")</f>
        <v>No</v>
      </c>
      <c r="R997" s="1" t="str">
        <f ca="1">IFERROR(__xludf.DUMMYFUNCTION("""COMPUTED_VALUE"""),"Evening")</f>
        <v>Evening</v>
      </c>
      <c r="S997" s="5">
        <f ca="1">IFERROR(__xludf.DUMMYFUNCTION("""COMPUTED_VALUE"""),0.729166666666666)</f>
        <v>0.72916666666666596</v>
      </c>
      <c r="T997" s="1">
        <f ca="1">IFERROR(__xludf.DUMMYFUNCTION("""COMPUTED_VALUE"""),1)</f>
        <v>1</v>
      </c>
      <c r="U997" s="1" t="str">
        <f ca="1">IFERROR(__xludf.DUMMYFUNCTION("""COMPUTED_VALUE"""),"Two teens shot in school parking lot")</f>
        <v>Two teens shot in school parking lot</v>
      </c>
      <c r="V997" s="1" t="str">
        <f ca="1">IFERROR(__xludf.DUMMYFUNCTION("""COMPUTED_VALUE"""),"Two teen shot during fight in the school parking lot. Shooter and victims fled the scene before police arrived. Police found shell casings, a knife, and brass knuckles in the school parking lot. Two teens arrived at a hospital an hour later with gunshot w"&amp;"ound injuries to their legs.")</f>
        <v>Two teen shot during fight in the school parking lot. Shooter and victims fled the scene before police arrived. Police found shell casings, a knife, and brass knuckles in the school parking lot. Two teens arrived at a hospital an hour later with gunshot wound injuries to their legs.</v>
      </c>
      <c r="W997" s="1" t="str">
        <f ca="1">IFERROR(__xludf.DUMMYFUNCTION("""COMPUTED_VALUE"""),"Escalation of Dispute")</f>
        <v>Escalation of Dispute</v>
      </c>
      <c r="X997" s="1" t="str">
        <f ca="1">IFERROR(__xludf.DUMMYFUNCTION("""COMPUTED_VALUE"""),"Victims Targeted")</f>
        <v>Victims Targeted</v>
      </c>
      <c r="Y997" s="1"/>
      <c r="Z997" s="1"/>
      <c r="AA997" s="1" t="str">
        <f ca="1">IFERROR(__xludf.DUMMYFUNCTION("""COMPUTED_VALUE"""),"No")</f>
        <v>No</v>
      </c>
      <c r="AB997" s="1" t="str">
        <f ca="1">IFERROR(__xludf.DUMMYFUNCTION("""COMPUTED_VALUE"""),"No")</f>
        <v>No</v>
      </c>
      <c r="AC997" s="1" t="str">
        <f ca="1">IFERROR(__xludf.DUMMYFUNCTION("""COMPUTED_VALUE"""),"No")</f>
        <v>No</v>
      </c>
      <c r="AD997" s="1" t="str">
        <f ca="1">IFERROR(__xludf.DUMMYFUNCTION("""COMPUTED_VALUE"""),"No")</f>
        <v>No</v>
      </c>
      <c r="AE997" s="1" t="str">
        <f ca="1">IFERROR(__xludf.DUMMYFUNCTION("""COMPUTED_VALUE"""),"No")</f>
        <v>No</v>
      </c>
      <c r="AF997" s="1"/>
      <c r="AG997" s="1" t="str">
        <f ca="1">IFERROR(__xludf.DUMMYFUNCTION("""COMPUTED_VALUE"""),"No")</f>
        <v>No</v>
      </c>
      <c r="AH997" s="1">
        <f ca="1">IFERROR(__xludf.DUMMYFUNCTION("""COMPUTED_VALUE"""),16)</f>
        <v>16</v>
      </c>
    </row>
    <row r="998" spans="1:34" ht="12.5">
      <c r="A998" s="1" t="str">
        <f ca="1">IFERROR(__xludf.DUMMYFUNCTION("""COMPUTED_VALUE"""),"20201225FLYOP")</f>
        <v>20201225FLYOP</v>
      </c>
      <c r="B998" s="1">
        <f ca="1">IFERROR(__xludf.DUMMYFUNCTION("""COMPUTED_VALUE"""),12)</f>
        <v>12</v>
      </c>
      <c r="C998" s="1">
        <f ca="1">IFERROR(__xludf.DUMMYFUNCTION("""COMPUTED_VALUE"""),25)</f>
        <v>25</v>
      </c>
      <c r="D998" s="1">
        <f ca="1">IFERROR(__xludf.DUMMYFUNCTION("""COMPUTED_VALUE"""),2020)</f>
        <v>2020</v>
      </c>
      <c r="E998" s="4">
        <f ca="1">IFERROR(__xludf.DUMMYFUNCTION("""COMPUTED_VALUE"""),44190)</f>
        <v>44190</v>
      </c>
      <c r="F998" s="1" t="str">
        <f ca="1">IFERROR(__xludf.DUMMYFUNCTION("""COMPUTED_VALUE"""),"Youth Under Construction Youth Center")</f>
        <v>Youth Under Construction Youth Center</v>
      </c>
      <c r="G998" s="1">
        <f ca="1">IFERROR(__xludf.DUMMYFUNCTION("""COMPUTED_VALUE"""),0)</f>
        <v>0</v>
      </c>
      <c r="H998" s="1">
        <f ca="1">IFERROR(__xludf.DUMMYFUNCTION("""COMPUTED_VALUE"""),0)</f>
        <v>0</v>
      </c>
      <c r="I998" s="1">
        <f ca="1">IFERROR(__xludf.DUMMYFUNCTION("""COMPUTED_VALUE"""),0)</f>
        <v>0</v>
      </c>
      <c r="J998" s="1">
        <f ca="1">IFERROR(__xludf.DUMMYFUNCTION("""COMPUTED_VALUE"""),0)</f>
        <v>0</v>
      </c>
      <c r="K998" s="1" t="str">
        <f ca="1">IFERROR(__xludf.DUMMYFUNCTION("""COMPUTED_VALUE"""),"Winter")</f>
        <v>Winter</v>
      </c>
      <c r="L998" s="1" t="str">
        <f ca="1">IFERROR(__xludf.DUMMYFUNCTION("""COMPUTED_VALUE"""),"Pompano Beach")</f>
        <v>Pompano Beach</v>
      </c>
      <c r="M998" s="1" t="str">
        <f ca="1">IFERROR(__xludf.DUMMYFUNCTION("""COMPUTED_VALUE"""),"FL")</f>
        <v>FL</v>
      </c>
      <c r="N998" s="1" t="str">
        <f ca="1">IFERROR(__xludf.DUMMYFUNCTION("""COMPUTED_VALUE"""),"High")</f>
        <v>High</v>
      </c>
      <c r="O998" s="1" t="str">
        <f ca="1">IFERROR(__xludf.DUMMYFUNCTION("""COMPUTED_VALUE"""),"Parking Lot")</f>
        <v>Parking Lot</v>
      </c>
      <c r="P998" s="1" t="str">
        <f ca="1">IFERROR(__xludf.DUMMYFUNCTION("""COMPUTED_VALUE"""),"Outside on School Property")</f>
        <v>Outside on School Property</v>
      </c>
      <c r="Q998" s="1" t="str">
        <f ca="1">IFERROR(__xludf.DUMMYFUNCTION("""COMPUTED_VALUE"""),"No")</f>
        <v>No</v>
      </c>
      <c r="R998" s="1" t="str">
        <f ca="1">IFERROR(__xludf.DUMMYFUNCTION("""COMPUTED_VALUE"""),"School Event")</f>
        <v>School Event</v>
      </c>
      <c r="S998" s="5">
        <f ca="1">IFERROR(__xludf.DUMMYFUNCTION("""COMPUTED_VALUE"""),0.958333333333333)</f>
        <v>0.95833333333333304</v>
      </c>
      <c r="T998" s="1">
        <f ca="1">IFERROR(__xludf.DUMMYFUNCTION("""COMPUTED_VALUE"""),1)</f>
        <v>1</v>
      </c>
      <c r="U998" s="1" t="str">
        <f ca="1">IFERROR(__xludf.DUMMYFUNCTION("""COMPUTED_VALUE"""),"Shots fired in the parking lot during school holiday party")</f>
        <v>Shots fired in the parking lot during school holiday party</v>
      </c>
      <c r="V998" s="1" t="str">
        <f ca="1">IFERROR(__xludf.DUMMYFUNCTION("""COMPUTED_VALUE"""),"15 shots were fired in the parking lot of the school during an evening holiday party attended by students of the school. Students inside the school called 911 and reported an active shooter. Police responded and searched the building. Shooter fled the sce"&amp;"ne. No injuries.")</f>
        <v>15 shots were fired in the parking lot of the school during an evening holiday party attended by students of the school. Students inside the school called 911 and reported an active shooter. Police responded and searched the building. Shooter fled the scene. No injuries.</v>
      </c>
      <c r="W998" s="1"/>
      <c r="X998" s="1"/>
      <c r="Y998" s="1" t="str">
        <f ca="1">IFERROR(__xludf.DUMMYFUNCTION("""COMPUTED_VALUE"""),"No")</f>
        <v>No</v>
      </c>
      <c r="Z998" s="1"/>
      <c r="AA998" s="1" t="str">
        <f ca="1">IFERROR(__xludf.DUMMYFUNCTION("""COMPUTED_VALUE"""),"No")</f>
        <v>No</v>
      </c>
      <c r="AB998" s="1" t="str">
        <f ca="1">IFERROR(__xludf.DUMMYFUNCTION("""COMPUTED_VALUE"""),"No")</f>
        <v>No</v>
      </c>
      <c r="AC998" s="1" t="str">
        <f ca="1">IFERROR(__xludf.DUMMYFUNCTION("""COMPUTED_VALUE"""),"No")</f>
        <v>No</v>
      </c>
      <c r="AD998" s="1"/>
      <c r="AE998" s="1" t="str">
        <f ca="1">IFERROR(__xludf.DUMMYFUNCTION("""COMPUTED_VALUE"""),"No")</f>
        <v>No</v>
      </c>
      <c r="AF998" s="1"/>
      <c r="AG998" s="1" t="str">
        <f ca="1">IFERROR(__xludf.DUMMYFUNCTION("""COMPUTED_VALUE"""),"No")</f>
        <v>No</v>
      </c>
      <c r="AH998" s="1">
        <f ca="1">IFERROR(__xludf.DUMMYFUNCTION("""COMPUTED_VALUE"""),15)</f>
        <v>15</v>
      </c>
    </row>
    <row r="999" spans="1:34" ht="12.5">
      <c r="A999" s="1" t="str">
        <f ca="1">IFERROR(__xludf.DUMMYFUNCTION("""COMPUTED_VALUE"""),"20201216ILDUC")</f>
        <v>20201216ILDUC</v>
      </c>
      <c r="B999" s="1">
        <f ca="1">IFERROR(__xludf.DUMMYFUNCTION("""COMPUTED_VALUE"""),12)</f>
        <v>12</v>
      </c>
      <c r="C999" s="1">
        <f ca="1">IFERROR(__xludf.DUMMYFUNCTION("""COMPUTED_VALUE"""),16)</f>
        <v>16</v>
      </c>
      <c r="D999" s="1">
        <f ca="1">IFERROR(__xludf.DUMMYFUNCTION("""COMPUTED_VALUE"""),2020)</f>
        <v>2020</v>
      </c>
      <c r="E999" s="4">
        <f ca="1">IFERROR(__xludf.DUMMYFUNCTION("""COMPUTED_VALUE"""),44181)</f>
        <v>44181</v>
      </c>
      <c r="F999" s="1" t="str">
        <f ca="1">IFERROR(__xludf.DUMMYFUNCTION("""COMPUTED_VALUE"""),"Dubois Elementary School")</f>
        <v>Dubois Elementary School</v>
      </c>
      <c r="G999" s="1">
        <f ca="1">IFERROR(__xludf.DUMMYFUNCTION("""COMPUTED_VALUE"""),1)</f>
        <v>1</v>
      </c>
      <c r="H999" s="1">
        <f ca="1">IFERROR(__xludf.DUMMYFUNCTION("""COMPUTED_VALUE"""),0)</f>
        <v>0</v>
      </c>
      <c r="I999" s="1">
        <f ca="1">IFERROR(__xludf.DUMMYFUNCTION("""COMPUTED_VALUE"""),1)</f>
        <v>1</v>
      </c>
      <c r="J999" s="1">
        <f ca="1">IFERROR(__xludf.DUMMYFUNCTION("""COMPUTED_VALUE"""),0)</f>
        <v>0</v>
      </c>
      <c r="K999" s="1" t="str">
        <f ca="1">IFERROR(__xludf.DUMMYFUNCTION("""COMPUTED_VALUE"""),"Winter")</f>
        <v>Winter</v>
      </c>
      <c r="L999" s="1" t="str">
        <f ca="1">IFERROR(__xludf.DUMMYFUNCTION("""COMPUTED_VALUE"""),"Chicago")</f>
        <v>Chicago</v>
      </c>
      <c r="M999" s="1" t="str">
        <f ca="1">IFERROR(__xludf.DUMMYFUNCTION("""COMPUTED_VALUE"""),"IL")</f>
        <v>IL</v>
      </c>
      <c r="N999" s="1" t="str">
        <f ca="1">IFERROR(__xludf.DUMMYFUNCTION("""COMPUTED_VALUE"""),"Elementary")</f>
        <v>Elementary</v>
      </c>
      <c r="O999" s="1" t="str">
        <f ca="1">IFERROR(__xludf.DUMMYFUNCTION("""COMPUTED_VALUE"""),"Parking Lot")</f>
        <v>Parking Lot</v>
      </c>
      <c r="P999" s="1" t="str">
        <f ca="1">IFERROR(__xludf.DUMMYFUNCTION("""COMPUTED_VALUE"""),"Outside on School Property")</f>
        <v>Outside on School Property</v>
      </c>
      <c r="Q999" s="1" t="str">
        <f ca="1">IFERROR(__xludf.DUMMYFUNCTION("""COMPUTED_VALUE"""),"No")</f>
        <v>No</v>
      </c>
      <c r="R999" s="1" t="str">
        <f ca="1">IFERROR(__xludf.DUMMYFUNCTION("""COMPUTED_VALUE"""),"Night")</f>
        <v>Night</v>
      </c>
      <c r="S999" s="5">
        <f ca="1">IFERROR(__xludf.DUMMYFUNCTION("""COMPUTED_VALUE"""),0.979166666666666)</f>
        <v>0.97916666666666596</v>
      </c>
      <c r="T999" s="1">
        <f ca="1">IFERROR(__xludf.DUMMYFUNCTION("""COMPUTED_VALUE"""),1)</f>
        <v>1</v>
      </c>
      <c r="U999" s="1" t="str">
        <f ca="1">IFERROR(__xludf.DUMMYFUNCTION("""COMPUTED_VALUE"""),"Man fatally shot in parking lot of school")</f>
        <v>Man fatally shot in parking lot of school</v>
      </c>
      <c r="V999" s="1" t="str">
        <f ca="1">IFERROR(__xludf.DUMMYFUNCTION("""COMPUTED_VALUE"""),"Shot detection technology alerted police for a shooting at the school. Police found a man who had been fatally shot multiple times in the head, back, and leg. He was pronounced dead at the scene. Shooter fled the area before police arrived.")</f>
        <v>Shot detection technology alerted police for a shooting at the school. Police found a man who had been fatally shot multiple times in the head, back, and leg. He was pronounced dead at the scene. Shooter fled the area before police arrived.</v>
      </c>
      <c r="W999" s="1"/>
      <c r="X999" s="1" t="str">
        <f ca="1">IFERROR(__xludf.DUMMYFUNCTION("""COMPUTED_VALUE"""),"Victims Targeted")</f>
        <v>Victims Targeted</v>
      </c>
      <c r="Y999" s="1"/>
      <c r="Z999" s="1"/>
      <c r="AA999" s="1" t="str">
        <f ca="1">IFERROR(__xludf.DUMMYFUNCTION("""COMPUTED_VALUE"""),"No")</f>
        <v>No</v>
      </c>
      <c r="AB999" s="1" t="str">
        <f ca="1">IFERROR(__xludf.DUMMYFUNCTION("""COMPUTED_VALUE"""),"No")</f>
        <v>No</v>
      </c>
      <c r="AC999" s="1" t="str">
        <f ca="1">IFERROR(__xludf.DUMMYFUNCTION("""COMPUTED_VALUE"""),"No")</f>
        <v>No</v>
      </c>
      <c r="AD999" s="1" t="str">
        <f ca="1">IFERROR(__xludf.DUMMYFUNCTION("""COMPUTED_VALUE"""),"No")</f>
        <v>No</v>
      </c>
      <c r="AE999" s="1" t="str">
        <f ca="1">IFERROR(__xludf.DUMMYFUNCTION("""COMPUTED_VALUE"""),"No")</f>
        <v>No</v>
      </c>
      <c r="AF999" s="1"/>
      <c r="AG999" s="1" t="str">
        <f ca="1">IFERROR(__xludf.DUMMYFUNCTION("""COMPUTED_VALUE"""),"No")</f>
        <v>No</v>
      </c>
      <c r="AH999" s="1"/>
    </row>
    <row r="1000" spans="1:34" ht="12.5">
      <c r="A1000" s="1" t="str">
        <f ca="1">IFERROR(__xludf.DUMMYFUNCTION("""COMPUTED_VALUE"""),"20201211VATAY")</f>
        <v>20201211VATAY</v>
      </c>
      <c r="B1000" s="1">
        <f ca="1">IFERROR(__xludf.DUMMYFUNCTION("""COMPUTED_VALUE"""),12)</f>
        <v>12</v>
      </c>
      <c r="C1000" s="1">
        <f ca="1">IFERROR(__xludf.DUMMYFUNCTION("""COMPUTED_VALUE"""),11)</f>
        <v>11</v>
      </c>
      <c r="D1000" s="1">
        <f ca="1">IFERROR(__xludf.DUMMYFUNCTION("""COMPUTED_VALUE"""),2020)</f>
        <v>2020</v>
      </c>
      <c r="E1000" s="4">
        <f ca="1">IFERROR(__xludf.DUMMYFUNCTION("""COMPUTED_VALUE"""),44176)</f>
        <v>44176</v>
      </c>
      <c r="F1000" s="1" t="str">
        <f ca="1">IFERROR(__xludf.DUMMYFUNCTION("""COMPUTED_VALUE"""),"Tabb Middle School")</f>
        <v>Tabb Middle School</v>
      </c>
      <c r="G1000" s="1">
        <f ca="1">IFERROR(__xludf.DUMMYFUNCTION("""COMPUTED_VALUE"""),0)</f>
        <v>0</v>
      </c>
      <c r="H1000" s="1">
        <f ca="1">IFERROR(__xludf.DUMMYFUNCTION("""COMPUTED_VALUE"""),0)</f>
        <v>0</v>
      </c>
      <c r="I1000" s="1">
        <f ca="1">IFERROR(__xludf.DUMMYFUNCTION("""COMPUTED_VALUE"""),0)</f>
        <v>0</v>
      </c>
      <c r="J1000" s="1">
        <f ca="1">IFERROR(__xludf.DUMMYFUNCTION("""COMPUTED_VALUE"""),0)</f>
        <v>0</v>
      </c>
      <c r="K1000" s="1" t="str">
        <f ca="1">IFERROR(__xludf.DUMMYFUNCTION("""COMPUTED_VALUE"""),"Winter")</f>
        <v>Winter</v>
      </c>
      <c r="L1000" s="1" t="str">
        <f ca="1">IFERROR(__xludf.DUMMYFUNCTION("""COMPUTED_VALUE"""),"Yorktown")</f>
        <v>Yorktown</v>
      </c>
      <c r="M1000" s="1" t="str">
        <f ca="1">IFERROR(__xludf.DUMMYFUNCTION("""COMPUTED_VALUE"""),"VA")</f>
        <v>VA</v>
      </c>
      <c r="N1000" s="1" t="str">
        <f ca="1">IFERROR(__xludf.DUMMYFUNCTION("""COMPUTED_VALUE"""),"Middle")</f>
        <v>Middle</v>
      </c>
      <c r="O1000" s="1" t="str">
        <f ca="1">IFERROR(__xludf.DUMMYFUNCTION("""COMPUTED_VALUE"""),"Basketball Court")</f>
        <v>Basketball Court</v>
      </c>
      <c r="P1000" s="1" t="str">
        <f ca="1">IFERROR(__xludf.DUMMYFUNCTION("""COMPUTED_VALUE"""),"Outside on School Property")</f>
        <v>Outside on School Property</v>
      </c>
      <c r="Q1000" s="1" t="str">
        <f ca="1">IFERROR(__xludf.DUMMYFUNCTION("""COMPUTED_VALUE"""),"No")</f>
        <v>No</v>
      </c>
      <c r="R1000" s="1" t="str">
        <f ca="1">IFERROR(__xludf.DUMMYFUNCTION("""COMPUTED_VALUE"""),"Evening")</f>
        <v>Evening</v>
      </c>
      <c r="S1000" s="5">
        <f ca="1">IFERROR(__xludf.DUMMYFUNCTION("""COMPUTED_VALUE"""),0.693055555555555)</f>
        <v>0.69305555555555498</v>
      </c>
      <c r="T1000" s="1">
        <f ca="1">IFERROR(__xludf.DUMMYFUNCTION("""COMPUTED_VALUE"""),1)</f>
        <v>1</v>
      </c>
      <c r="U1000" s="1" t="str">
        <f ca="1">IFERROR(__xludf.DUMMYFUNCTION("""COMPUTED_VALUE"""),"Shooting on school basketball court")</f>
        <v>Shooting on school basketball court</v>
      </c>
      <c r="V1000" s="1" t="str">
        <f ca="1">IFERROR(__xludf.DUMMYFUNCTION("""COMPUTED_VALUE"""),"Police were notified by school employees of a shooting that occurred on the basketball court of the school. Shooter fled the scene. No injuries reported. Students were not in class at the time of the shooting.")</f>
        <v>Police were notified by school employees of a shooting that occurred on the basketball court of the school. Shooter fled the scene. No injuries reported. Students were not in class at the time of the shooting.</v>
      </c>
      <c r="W1000" s="1"/>
      <c r="X1000" s="1"/>
      <c r="Y1000" s="1"/>
      <c r="Z1000" s="1"/>
      <c r="AA1000" s="1" t="str">
        <f ca="1">IFERROR(__xludf.DUMMYFUNCTION("""COMPUTED_VALUE"""),"No")</f>
        <v>No</v>
      </c>
      <c r="AB1000" s="1" t="str">
        <f ca="1">IFERROR(__xludf.DUMMYFUNCTION("""COMPUTED_VALUE"""),"No")</f>
        <v>No</v>
      </c>
      <c r="AC1000" s="1" t="str">
        <f ca="1">IFERROR(__xludf.DUMMYFUNCTION("""COMPUTED_VALUE"""),"No")</f>
        <v>No</v>
      </c>
      <c r="AD1000" s="1" t="str">
        <f ca="1">IFERROR(__xludf.DUMMYFUNCTION("""COMPUTED_VALUE"""),"No")</f>
        <v>No</v>
      </c>
      <c r="AE1000" s="1" t="str">
        <f ca="1">IFERROR(__xludf.DUMMYFUNCTION("""COMPUTED_VALUE"""),"No")</f>
        <v>No</v>
      </c>
      <c r="AF1000" s="1"/>
      <c r="AG1000" s="1" t="str">
        <f ca="1">IFERROR(__xludf.DUMMYFUNCTION("""COMPUTED_VALUE"""),"No")</f>
        <v>No</v>
      </c>
      <c r="AH1000" s="1"/>
    </row>
    <row r="1001" spans="1:34" ht="12.5">
      <c r="A1001" s="1" t="str">
        <f ca="1">IFERROR(__xludf.DUMMYFUNCTION("""COMPUTED_VALUE"""),"20201207ILEAC")</f>
        <v>20201207ILEAC</v>
      </c>
      <c r="B1001" s="1">
        <f ca="1">IFERROR(__xludf.DUMMYFUNCTION("""COMPUTED_VALUE"""),12)</f>
        <v>12</v>
      </c>
      <c r="C1001" s="1">
        <f ca="1">IFERROR(__xludf.DUMMYFUNCTION("""COMPUTED_VALUE"""),6)</f>
        <v>6</v>
      </c>
      <c r="D1001" s="1">
        <f ca="1">IFERROR(__xludf.DUMMYFUNCTION("""COMPUTED_VALUE"""),2020)</f>
        <v>2020</v>
      </c>
      <c r="E1001" s="4">
        <f ca="1">IFERROR(__xludf.DUMMYFUNCTION("""COMPUTED_VALUE"""),44171)</f>
        <v>44171</v>
      </c>
      <c r="F1001" s="1" t="str">
        <f ca="1">IFERROR(__xludf.DUMMYFUNCTION("""COMPUTED_VALUE"""),"East Chicago Academy of Visual and Performing Arts")</f>
        <v>East Chicago Academy of Visual and Performing Arts</v>
      </c>
      <c r="G1001" s="1">
        <f ca="1">IFERROR(__xludf.DUMMYFUNCTION("""COMPUTED_VALUE"""),1)</f>
        <v>1</v>
      </c>
      <c r="H1001" s="1">
        <f ca="1">IFERROR(__xludf.DUMMYFUNCTION("""COMPUTED_VALUE"""),0)</f>
        <v>0</v>
      </c>
      <c r="I1001" s="1">
        <f ca="1">IFERROR(__xludf.DUMMYFUNCTION("""COMPUTED_VALUE"""),1)</f>
        <v>1</v>
      </c>
      <c r="J1001" s="1">
        <f ca="1">IFERROR(__xludf.DUMMYFUNCTION("""COMPUTED_VALUE"""),0)</f>
        <v>0</v>
      </c>
      <c r="K1001" s="1" t="str">
        <f ca="1">IFERROR(__xludf.DUMMYFUNCTION("""COMPUTED_VALUE"""),"Winter")</f>
        <v>Winter</v>
      </c>
      <c r="L1001" s="1" t="str">
        <f ca="1">IFERROR(__xludf.DUMMYFUNCTION("""COMPUTED_VALUE"""),"East Chicago")</f>
        <v>East Chicago</v>
      </c>
      <c r="M1001" s="1" t="str">
        <f ca="1">IFERROR(__xludf.DUMMYFUNCTION("""COMPUTED_VALUE"""),"IN")</f>
        <v>IN</v>
      </c>
      <c r="N1001" s="1" t="str">
        <f ca="1">IFERROR(__xludf.DUMMYFUNCTION("""COMPUTED_VALUE"""),"High")</f>
        <v>High</v>
      </c>
      <c r="O1001" s="1" t="str">
        <f ca="1">IFERROR(__xludf.DUMMYFUNCTION("""COMPUTED_VALUE"""),"Front of School")</f>
        <v>Front of School</v>
      </c>
      <c r="P1001" s="1" t="str">
        <f ca="1">IFERROR(__xludf.DUMMYFUNCTION("""COMPUTED_VALUE"""),"Outside on School Property")</f>
        <v>Outside on School Property</v>
      </c>
      <c r="Q1001" s="1" t="str">
        <f ca="1">IFERROR(__xludf.DUMMYFUNCTION("""COMPUTED_VALUE"""),"No")</f>
        <v>No</v>
      </c>
      <c r="R1001" s="1" t="str">
        <f ca="1">IFERROR(__xludf.DUMMYFUNCTION("""COMPUTED_VALUE"""),"Night")</f>
        <v>Night</v>
      </c>
      <c r="S1001" s="1"/>
      <c r="T1001" s="1">
        <f ca="1">IFERROR(__xludf.DUMMYFUNCTION("""COMPUTED_VALUE"""),1)</f>
        <v>1</v>
      </c>
      <c r="U1001" s="1" t="str">
        <f ca="1">IFERROR(__xludf.DUMMYFUNCTION("""COMPUTED_VALUE"""),"Man found dead in front of school from gunshot wound")</f>
        <v>Man found dead in front of school from gunshot wound</v>
      </c>
      <c r="V1001" s="1" t="str">
        <f ca="1">IFERROR(__xludf.DUMMYFUNCTION("""COMPUTED_VALUE"""),"Police were notified at 8 AM in the morning for a man who was found with a gunshot wound to the head in the grass in front of the school. The shooting occurred overnight. Multiple 911 calls for different shots fired incidents in the nearby area had taken "&amp;"place recently. No suspect or motive identified by police.")</f>
        <v>Police were notified at 8 AM in the morning for a man who was found with a gunshot wound to the head in the grass in front of the school. The shooting occurred overnight. Multiple 911 calls for different shots fired incidents in the nearby area had taken place recently. No suspect or motive identified by police.</v>
      </c>
      <c r="W1001" s="1"/>
      <c r="X1001" s="1"/>
      <c r="Y1001" s="1"/>
      <c r="Z1001" s="1"/>
      <c r="AA1001" s="1" t="str">
        <f ca="1">IFERROR(__xludf.DUMMYFUNCTION("""COMPUTED_VALUE"""),"No")</f>
        <v>No</v>
      </c>
      <c r="AB1001" s="1" t="str">
        <f ca="1">IFERROR(__xludf.DUMMYFUNCTION("""COMPUTED_VALUE"""),"No")</f>
        <v>No</v>
      </c>
      <c r="AC1001" s="1"/>
      <c r="AD1001" s="1" t="str">
        <f ca="1">IFERROR(__xludf.DUMMYFUNCTION("""COMPUTED_VALUE"""),"No")</f>
        <v>No</v>
      </c>
      <c r="AE1001" s="1" t="str">
        <f ca="1">IFERROR(__xludf.DUMMYFUNCTION("""COMPUTED_VALUE"""),"No")</f>
        <v>No</v>
      </c>
      <c r="AF1001" s="1"/>
      <c r="AG1001" s="1" t="str">
        <f ca="1">IFERROR(__xludf.DUMMYFUNCTION("""COMPUTED_VALUE"""),"No")</f>
        <v>No</v>
      </c>
      <c r="AH1001" s="1"/>
    </row>
    <row r="1002" spans="1:34" ht="12.5">
      <c r="A1002" s="1" t="str">
        <f ca="1">IFERROR(__xludf.DUMMYFUNCTION("""COMPUTED_VALUE"""),"20201125KSABG")</f>
        <v>20201125KSABG</v>
      </c>
      <c r="B1002" s="1">
        <f ca="1">IFERROR(__xludf.DUMMYFUNCTION("""COMPUTED_VALUE"""),11)</f>
        <v>11</v>
      </c>
      <c r="C1002" s="1">
        <f ca="1">IFERROR(__xludf.DUMMYFUNCTION("""COMPUTED_VALUE"""),25)</f>
        <v>25</v>
      </c>
      <c r="D1002" s="1">
        <f ca="1">IFERROR(__xludf.DUMMYFUNCTION("""COMPUTED_VALUE"""),2020)</f>
        <v>2020</v>
      </c>
      <c r="E1002" s="4">
        <f ca="1">IFERROR(__xludf.DUMMYFUNCTION("""COMPUTED_VALUE"""),44160)</f>
        <v>44160</v>
      </c>
      <c r="F1002" s="1" t="str">
        <f ca="1">IFERROR(__xludf.DUMMYFUNCTION("""COMPUTED_VALUE"""),"Abe Hubert Elementary School")</f>
        <v>Abe Hubert Elementary School</v>
      </c>
      <c r="G1002" s="1">
        <f ca="1">IFERROR(__xludf.DUMMYFUNCTION("""COMPUTED_VALUE"""),0)</f>
        <v>0</v>
      </c>
      <c r="H1002" s="1">
        <f ca="1">IFERROR(__xludf.DUMMYFUNCTION("""COMPUTED_VALUE"""),1)</f>
        <v>1</v>
      </c>
      <c r="I1002" s="1">
        <f ca="1">IFERROR(__xludf.DUMMYFUNCTION("""COMPUTED_VALUE"""),1)</f>
        <v>1</v>
      </c>
      <c r="J1002" s="1">
        <f ca="1">IFERROR(__xludf.DUMMYFUNCTION("""COMPUTED_VALUE"""),0)</f>
        <v>0</v>
      </c>
      <c r="K1002" s="1" t="str">
        <f ca="1">IFERROR(__xludf.DUMMYFUNCTION("""COMPUTED_VALUE"""),"Fall")</f>
        <v>Fall</v>
      </c>
      <c r="L1002" s="1" t="str">
        <f ca="1">IFERROR(__xludf.DUMMYFUNCTION("""COMPUTED_VALUE"""),"Garden City")</f>
        <v>Garden City</v>
      </c>
      <c r="M1002" s="1" t="str">
        <f ca="1">IFERROR(__xludf.DUMMYFUNCTION("""COMPUTED_VALUE"""),"KS")</f>
        <v>KS</v>
      </c>
      <c r="N1002" s="1" t="str">
        <f ca="1">IFERROR(__xludf.DUMMYFUNCTION("""COMPUTED_VALUE"""),"Elementary")</f>
        <v>Elementary</v>
      </c>
      <c r="O1002" s="1" t="str">
        <f ca="1">IFERROR(__xludf.DUMMYFUNCTION("""COMPUTED_VALUE"""),"Parking Lot")</f>
        <v>Parking Lot</v>
      </c>
      <c r="P1002" s="1" t="str">
        <f ca="1">IFERROR(__xludf.DUMMYFUNCTION("""COMPUTED_VALUE"""),"Outside on School Property")</f>
        <v>Outside on School Property</v>
      </c>
      <c r="Q1002" s="1" t="str">
        <f ca="1">IFERROR(__xludf.DUMMYFUNCTION("""COMPUTED_VALUE"""),"No")</f>
        <v>No</v>
      </c>
      <c r="R1002" s="1" t="str">
        <f ca="1">IFERROR(__xludf.DUMMYFUNCTION("""COMPUTED_VALUE"""),"Not a School Day")</f>
        <v>Not a School Day</v>
      </c>
      <c r="S1002" s="5">
        <f ca="1">IFERROR(__xludf.DUMMYFUNCTION("""COMPUTED_VALUE"""),0.53125)</f>
        <v>0.53125</v>
      </c>
      <c r="T1002" s="1">
        <f ca="1">IFERROR(__xludf.DUMMYFUNCTION("""COMPUTED_VALUE"""),1)</f>
        <v>1</v>
      </c>
      <c r="U1002" s="1" t="str">
        <f ca="1">IFERROR(__xludf.DUMMYFUNCTION("""COMPUTED_VALUE"""),"Teen shot in parking lot of school")</f>
        <v>Teen shot in parking lot of school</v>
      </c>
      <c r="V1002" s="1" t="str">
        <f ca="1">IFERROR(__xludf.DUMMYFUNCTION("""COMPUTED_VALUE"""),"Police were called for shots fired near the elementary school. Police found a 16 year-old male shot in the school parking lot. While investigating the shooting, police were called for a second shooting at a residence nearby. A 4 year-old female was fatall"&amp;"y shot and a 31 year-old male was arrested. Police said the shooting was not related to activities at the school and was domestic in nature.")</f>
        <v>Police were called for shots fired near the elementary school. Police found a 16 year-old male shot in the school parking lot. While investigating the shooting, police were called for a second shooting at a residence nearby. A 4 year-old female was fatally shot and a 31 year-old male was arrested. Police said the shooting was not related to activities at the school and was domestic in nature.</v>
      </c>
      <c r="W1002" s="1" t="str">
        <f ca="1">IFERROR(__xludf.DUMMYFUNCTION("""COMPUTED_VALUE"""),"Domestic w/ Targeted Victim")</f>
        <v>Domestic w/ Targeted Victim</v>
      </c>
      <c r="X1002" s="1" t="str">
        <f ca="1">IFERROR(__xludf.DUMMYFUNCTION("""COMPUTED_VALUE"""),"Victims Targeted")</f>
        <v>Victims Targeted</v>
      </c>
      <c r="Y1002" s="1" t="str">
        <f ca="1">IFERROR(__xludf.DUMMYFUNCTION("""COMPUTED_VALUE"""),"No")</f>
        <v>No</v>
      </c>
      <c r="Z1002" s="1"/>
      <c r="AA1002" s="1" t="str">
        <f ca="1">IFERROR(__xludf.DUMMYFUNCTION("""COMPUTED_VALUE"""),"No")</f>
        <v>No</v>
      </c>
      <c r="AB1002" s="1" t="str">
        <f ca="1">IFERROR(__xludf.DUMMYFUNCTION("""COMPUTED_VALUE"""),"No")</f>
        <v>No</v>
      </c>
      <c r="AC1002" s="1" t="str">
        <f ca="1">IFERROR(__xludf.DUMMYFUNCTION("""COMPUTED_VALUE"""),"No")</f>
        <v>No</v>
      </c>
      <c r="AD1002" s="1" t="str">
        <f ca="1">IFERROR(__xludf.DUMMYFUNCTION("""COMPUTED_VALUE"""),"No")</f>
        <v>No</v>
      </c>
      <c r="AE1002" s="1" t="str">
        <f ca="1">IFERROR(__xludf.DUMMYFUNCTION("""COMPUTED_VALUE"""),"Yes")</f>
        <v>Yes</v>
      </c>
      <c r="AF1002" s="1" t="str">
        <f ca="1">IFERROR(__xludf.DUMMYFUNCTION("""COMPUTED_VALUE"""),"No")</f>
        <v>No</v>
      </c>
      <c r="AG1002" s="1" t="str">
        <f ca="1">IFERROR(__xludf.DUMMYFUNCTION("""COMPUTED_VALUE"""),"No")</f>
        <v>No</v>
      </c>
      <c r="AH1002" s="1"/>
    </row>
    <row r="1003" spans="1:34" ht="12.5">
      <c r="A1003" s="1" t="str">
        <f ca="1">IFERROR(__xludf.DUMMYFUNCTION("""COMPUTED_VALUE"""),"20201124NCHEH")</f>
        <v>20201124NCHEH</v>
      </c>
      <c r="B1003" s="1">
        <f ca="1">IFERROR(__xludf.DUMMYFUNCTION("""COMPUTED_VALUE"""),11)</f>
        <v>11</v>
      </c>
      <c r="C1003" s="1">
        <f ca="1">IFERROR(__xludf.DUMMYFUNCTION("""COMPUTED_VALUE"""),25)</f>
        <v>25</v>
      </c>
      <c r="D1003" s="1">
        <f ca="1">IFERROR(__xludf.DUMMYFUNCTION("""COMPUTED_VALUE"""),2020)</f>
        <v>2020</v>
      </c>
      <c r="E1003" s="4">
        <f ca="1">IFERROR(__xludf.DUMMYFUNCTION("""COMPUTED_VALUE"""),44160)</f>
        <v>44160</v>
      </c>
      <c r="F1003" s="1" t="str">
        <f ca="1">IFERROR(__xludf.DUMMYFUNCTION("""COMPUTED_VALUE"""),"Hendersonville Middle School")</f>
        <v>Hendersonville Middle School</v>
      </c>
      <c r="G1003" s="1">
        <f ca="1">IFERROR(__xludf.DUMMYFUNCTION("""COMPUTED_VALUE"""),0)</f>
        <v>0</v>
      </c>
      <c r="H1003" s="1">
        <f ca="1">IFERROR(__xludf.DUMMYFUNCTION("""COMPUTED_VALUE"""),1)</f>
        <v>1</v>
      </c>
      <c r="I1003" s="1">
        <f ca="1">IFERROR(__xludf.DUMMYFUNCTION("""COMPUTED_VALUE"""),1)</f>
        <v>1</v>
      </c>
      <c r="J1003" s="1">
        <f ca="1">IFERROR(__xludf.DUMMYFUNCTION("""COMPUTED_VALUE"""),0)</f>
        <v>0</v>
      </c>
      <c r="K1003" s="1" t="str">
        <f ca="1">IFERROR(__xludf.DUMMYFUNCTION("""COMPUTED_VALUE"""),"Fall")</f>
        <v>Fall</v>
      </c>
      <c r="L1003" s="1" t="str">
        <f ca="1">IFERROR(__xludf.DUMMYFUNCTION("""COMPUTED_VALUE"""),"Hendersonville")</f>
        <v>Hendersonville</v>
      </c>
      <c r="M1003" s="1" t="str">
        <f ca="1">IFERROR(__xludf.DUMMYFUNCTION("""COMPUTED_VALUE"""),"NC")</f>
        <v>NC</v>
      </c>
      <c r="N1003" s="1" t="str">
        <f ca="1">IFERROR(__xludf.DUMMYFUNCTION("""COMPUTED_VALUE"""),"Middle")</f>
        <v>Middle</v>
      </c>
      <c r="O1003" s="1" t="str">
        <f ca="1">IFERROR(__xludf.DUMMYFUNCTION("""COMPUTED_VALUE"""),"Gym")</f>
        <v>Gym</v>
      </c>
      <c r="P1003" s="1" t="str">
        <f ca="1">IFERROR(__xludf.DUMMYFUNCTION("""COMPUTED_VALUE"""),"Inside School Building")</f>
        <v>Inside School Building</v>
      </c>
      <c r="Q1003" s="1" t="str">
        <f ca="1">IFERROR(__xludf.DUMMYFUNCTION("""COMPUTED_VALUE"""),"Yes")</f>
        <v>Yes</v>
      </c>
      <c r="R1003" s="1" t="str">
        <f ca="1">IFERROR(__xludf.DUMMYFUNCTION("""COMPUTED_VALUE"""),"Morning Classes")</f>
        <v>Morning Classes</v>
      </c>
      <c r="S1003" s="5">
        <f ca="1">IFERROR(__xludf.DUMMYFUNCTION("""COMPUTED_VALUE"""),0.322916666666666)</f>
        <v>0.32291666666666602</v>
      </c>
      <c r="T1003" s="1">
        <f ca="1">IFERROR(__xludf.DUMMYFUNCTION("""COMPUTED_VALUE"""),1)</f>
        <v>1</v>
      </c>
      <c r="U1003" s="1" t="str">
        <f ca="1">IFERROR(__xludf.DUMMYFUNCTION("""COMPUTED_VALUE"""),"Student fired single shot at another student in the school gym")</f>
        <v>Student fired single shot at another student in the school gym</v>
      </c>
      <c r="V1003" s="1" t="str">
        <f ca="1">IFERROR(__xludf.DUMMYFUNCTION("""COMPUTED_VALUE"""),"A 13 year-old male student pulled a gun out of his backpack and fired a single shot at a female student in the school gym. 35 other students witnessed the shooting. Victim was struck in the leg. After firing a single shot, the shooter put his hands on his"&amp;" head and surrendered to school staff. A SRO assigned to the school responded within 60 seconds and secured the handgun used. Victim was transported to a hospital. School was locked down and then dismissed early. Motive unknown.")</f>
        <v>A 13 year-old male student pulled a gun out of his backpack and fired a single shot at a female student in the school gym. 35 other students witnessed the shooting. Victim was struck in the leg. After firing a single shot, the shooter put his hands on his head and surrendered to school staff. A SRO assigned to the school responded within 60 seconds and secured the handgun used. Victim was transported to a hospital. School was locked down and then dismissed early. Motive unknown.</v>
      </c>
      <c r="W1003" s="1"/>
      <c r="X1003" s="1" t="str">
        <f ca="1">IFERROR(__xludf.DUMMYFUNCTION("""COMPUTED_VALUE"""),"Victims Targeted")</f>
        <v>Victims Targeted</v>
      </c>
      <c r="Y1003" s="1" t="str">
        <f ca="1">IFERROR(__xludf.DUMMYFUNCTION("""COMPUTED_VALUE"""),"No")</f>
        <v>No</v>
      </c>
      <c r="Z1003" s="1"/>
      <c r="AA1003" s="1" t="str">
        <f ca="1">IFERROR(__xludf.DUMMYFUNCTION("""COMPUTED_VALUE"""),"No")</f>
        <v>No</v>
      </c>
      <c r="AB1003" s="1" t="str">
        <f ca="1">IFERROR(__xludf.DUMMYFUNCTION("""COMPUTED_VALUE"""),"No")</f>
        <v>No</v>
      </c>
      <c r="AC1003" s="1" t="str">
        <f ca="1">IFERROR(__xludf.DUMMYFUNCTION("""COMPUTED_VALUE"""),"No")</f>
        <v>No</v>
      </c>
      <c r="AD1003" s="1"/>
      <c r="AE1003" s="1"/>
      <c r="AF1003" s="1" t="str">
        <f ca="1">IFERROR(__xludf.DUMMYFUNCTION("""COMPUTED_VALUE"""),"No")</f>
        <v>No</v>
      </c>
      <c r="AG1003" s="1" t="str">
        <f ca="1">IFERROR(__xludf.DUMMYFUNCTION("""COMPUTED_VALUE"""),"No")</f>
        <v>No</v>
      </c>
      <c r="AH1003" s="1">
        <f ca="1">IFERROR(__xludf.DUMMYFUNCTION("""COMPUTED_VALUE"""),1)</f>
        <v>1</v>
      </c>
    </row>
    <row r="1004" spans="1:34" ht="12.5">
      <c r="A1004" s="1" t="str">
        <f ca="1">IFERROR(__xludf.DUMMYFUNCTION("""COMPUTED_VALUE"""),"20201117TXWEW")</f>
        <v>20201117TXWEW</v>
      </c>
      <c r="B1004" s="1">
        <f ca="1">IFERROR(__xludf.DUMMYFUNCTION("""COMPUTED_VALUE"""),11)</f>
        <v>11</v>
      </c>
      <c r="C1004" s="1">
        <f ca="1">IFERROR(__xludf.DUMMYFUNCTION("""COMPUTED_VALUE"""),17)</f>
        <v>17</v>
      </c>
      <c r="D1004" s="1">
        <f ca="1">IFERROR(__xludf.DUMMYFUNCTION("""COMPUTED_VALUE"""),2020)</f>
        <v>2020</v>
      </c>
      <c r="E1004" s="4">
        <f ca="1">IFERROR(__xludf.DUMMYFUNCTION("""COMPUTED_VALUE"""),44152)</f>
        <v>44152</v>
      </c>
      <c r="F1004" s="1" t="str">
        <f ca="1">IFERROR(__xludf.DUMMYFUNCTION("""COMPUTED_VALUE"""),"Weatherford High School")</f>
        <v>Weatherford High School</v>
      </c>
      <c r="G1004" s="1">
        <f ca="1">IFERROR(__xludf.DUMMYFUNCTION("""COMPUTED_VALUE"""),0)</f>
        <v>0</v>
      </c>
      <c r="H1004" s="1">
        <f ca="1">IFERROR(__xludf.DUMMYFUNCTION("""COMPUTED_VALUE"""),0)</f>
        <v>0</v>
      </c>
      <c r="I1004" s="1">
        <f ca="1">IFERROR(__xludf.DUMMYFUNCTION("""COMPUTED_VALUE"""),0)</f>
        <v>0</v>
      </c>
      <c r="J1004" s="1">
        <f ca="1">IFERROR(__xludf.DUMMYFUNCTION("""COMPUTED_VALUE"""),0)</f>
        <v>0</v>
      </c>
      <c r="K1004" s="1" t="str">
        <f ca="1">IFERROR(__xludf.DUMMYFUNCTION("""COMPUTED_VALUE"""),"Fall")</f>
        <v>Fall</v>
      </c>
      <c r="L1004" s="1" t="str">
        <f ca="1">IFERROR(__xludf.DUMMYFUNCTION("""COMPUTED_VALUE"""),"Weatherford")</f>
        <v>Weatherford</v>
      </c>
      <c r="M1004" s="1" t="str">
        <f ca="1">IFERROR(__xludf.DUMMYFUNCTION("""COMPUTED_VALUE"""),"TX")</f>
        <v>TX</v>
      </c>
      <c r="N1004" s="1" t="str">
        <f ca="1">IFERROR(__xludf.DUMMYFUNCTION("""COMPUTED_VALUE"""),"High")</f>
        <v>High</v>
      </c>
      <c r="O1004" s="1" t="str">
        <f ca="1">IFERROR(__xludf.DUMMYFUNCTION("""COMPUTED_VALUE"""),"Beside Building")</f>
        <v>Beside Building</v>
      </c>
      <c r="P1004" s="1" t="str">
        <f ca="1">IFERROR(__xludf.DUMMYFUNCTION("""COMPUTED_VALUE"""),"Outside on School Property")</f>
        <v>Outside on School Property</v>
      </c>
      <c r="Q1004" s="1" t="str">
        <f ca="1">IFERROR(__xludf.DUMMYFUNCTION("""COMPUTED_VALUE"""),"Yes")</f>
        <v>Yes</v>
      </c>
      <c r="R1004" s="1" t="str">
        <f ca="1">IFERROR(__xludf.DUMMYFUNCTION("""COMPUTED_VALUE"""),"Afternoon Classes")</f>
        <v>Afternoon Classes</v>
      </c>
      <c r="S1004" s="5">
        <f ca="1">IFERROR(__xludf.DUMMYFUNCTION("""COMPUTED_VALUE"""),0.583333333333333)</f>
        <v>0.58333333333333304</v>
      </c>
      <c r="T1004" s="1"/>
      <c r="U1004" s="1" t="str">
        <f ca="1">IFERROR(__xludf.DUMMYFUNCTION("""COMPUTED_VALUE"""),"Teen with handgun shot himself when confronted by police")</f>
        <v>Teen with handgun shot himself when confronted by police</v>
      </c>
      <c r="V1004" s="1" t="str">
        <f ca="1">IFERROR(__xludf.DUMMYFUNCTION("""COMPUTED_VALUE"""),"The school SRO and police were notified by a teen, believed to be a runaway, was scene on the campus. When police approached the teen near a school building, he pulled a handgun and he ran across the campus to the tree line at the edge of the school's pro"&amp;"perty. An active shooter situation was declared and the campus was locked down. The teen made statements about self harm and then shot himself in the abdomen. He was transported to a hospital. No students or staff were involved or injured.")</f>
        <v>The school SRO and police were notified by a teen, believed to be a runaway, was scene on the campus. When police approached the teen near a school building, he pulled a handgun and he ran across the campus to the tree line at the edge of the school's property. An active shooter situation was declared and the campus was locked down. The teen made statements about self harm and then shot himself in the abdomen. He was transported to a hospital. No students or staff were involved or injured.</v>
      </c>
      <c r="W1004" s="1" t="str">
        <f ca="1">IFERROR(__xludf.DUMMYFUNCTION("""COMPUTED_VALUE"""),"Suicide/Attempted")</f>
        <v>Suicide/Attempted</v>
      </c>
      <c r="X1004" s="1" t="str">
        <f ca="1">IFERROR(__xludf.DUMMYFUNCTION("""COMPUTED_VALUE"""),"Victims Targeted")</f>
        <v>Victims Targeted</v>
      </c>
      <c r="Y1004" s="1" t="str">
        <f ca="1">IFERROR(__xludf.DUMMYFUNCTION("""COMPUTED_VALUE"""),"No")</f>
        <v>No</v>
      </c>
      <c r="Z1004" s="1"/>
      <c r="AA1004" s="1" t="str">
        <f ca="1">IFERROR(__xludf.DUMMYFUNCTION("""COMPUTED_VALUE"""),"No")</f>
        <v>No</v>
      </c>
      <c r="AB1004" s="1" t="str">
        <f ca="1">IFERROR(__xludf.DUMMYFUNCTION("""COMPUTED_VALUE"""),"No")</f>
        <v>No</v>
      </c>
      <c r="AC1004" s="1" t="str">
        <f ca="1">IFERROR(__xludf.DUMMYFUNCTION("""COMPUTED_VALUE"""),"No")</f>
        <v>No</v>
      </c>
      <c r="AD1004" s="1"/>
      <c r="AE1004" s="1" t="str">
        <f ca="1">IFERROR(__xludf.DUMMYFUNCTION("""COMPUTED_VALUE"""),"No")</f>
        <v>No</v>
      </c>
      <c r="AF1004" s="1" t="str">
        <f ca="1">IFERROR(__xludf.DUMMYFUNCTION("""COMPUTED_VALUE"""),"No")</f>
        <v>No</v>
      </c>
      <c r="AG1004" s="1" t="str">
        <f ca="1">IFERROR(__xludf.DUMMYFUNCTION("""COMPUTED_VALUE"""),"No")</f>
        <v>No</v>
      </c>
      <c r="AH1004" s="1">
        <f ca="1">IFERROR(__xludf.DUMMYFUNCTION("""COMPUTED_VALUE"""),1)</f>
        <v>1</v>
      </c>
    </row>
    <row r="1005" spans="1:34" ht="12.5">
      <c r="A1005" s="1" t="str">
        <f ca="1">IFERROR(__xludf.DUMMYFUNCTION("""COMPUTED_VALUE"""),"20201117MTGRG")</f>
        <v>20201117MTGRG</v>
      </c>
      <c r="B1005" s="1">
        <f ca="1">IFERROR(__xludf.DUMMYFUNCTION("""COMPUTED_VALUE"""),11)</f>
        <v>11</v>
      </c>
      <c r="C1005" s="1">
        <f ca="1">IFERROR(__xludf.DUMMYFUNCTION("""COMPUTED_VALUE"""),17)</f>
        <v>17</v>
      </c>
      <c r="D1005" s="1">
        <f ca="1">IFERROR(__xludf.DUMMYFUNCTION("""COMPUTED_VALUE"""),2020)</f>
        <v>2020</v>
      </c>
      <c r="E1005" s="4">
        <f ca="1">IFERROR(__xludf.DUMMYFUNCTION("""COMPUTED_VALUE"""),44152)</f>
        <v>44152</v>
      </c>
      <c r="F1005" s="1" t="str">
        <f ca="1">IFERROR(__xludf.DUMMYFUNCTION("""COMPUTED_VALUE"""),"Great Falls High School")</f>
        <v>Great Falls High School</v>
      </c>
      <c r="G1005" s="1">
        <f ca="1">IFERROR(__xludf.DUMMYFUNCTION("""COMPUTED_VALUE"""),0)</f>
        <v>0</v>
      </c>
      <c r="H1005" s="1">
        <f ca="1">IFERROR(__xludf.DUMMYFUNCTION("""COMPUTED_VALUE"""),0)</f>
        <v>0</v>
      </c>
      <c r="I1005" s="1">
        <f ca="1">IFERROR(__xludf.DUMMYFUNCTION("""COMPUTED_VALUE"""),0)</f>
        <v>0</v>
      </c>
      <c r="J1005" s="1">
        <f ca="1">IFERROR(__xludf.DUMMYFUNCTION("""COMPUTED_VALUE"""),0)</f>
        <v>0</v>
      </c>
      <c r="K1005" s="1"/>
      <c r="L1005" s="1" t="str">
        <f ca="1">IFERROR(__xludf.DUMMYFUNCTION("""COMPUTED_VALUE"""),"Great Falls")</f>
        <v>Great Falls</v>
      </c>
      <c r="M1005" s="1" t="str">
        <f ca="1">IFERROR(__xludf.DUMMYFUNCTION("""COMPUTED_VALUE"""),"MT")</f>
        <v>MT</v>
      </c>
      <c r="N1005" s="1" t="str">
        <f ca="1">IFERROR(__xludf.DUMMYFUNCTION("""COMPUTED_VALUE"""),"High")</f>
        <v>High</v>
      </c>
      <c r="O1005" s="1" t="str">
        <f ca="1">IFERROR(__xludf.DUMMYFUNCTION("""COMPUTED_VALUE"""),"Front of School")</f>
        <v>Front of School</v>
      </c>
      <c r="P1005" s="1" t="str">
        <f ca="1">IFERROR(__xludf.DUMMYFUNCTION("""COMPUTED_VALUE"""),"Outside on School Property")</f>
        <v>Outside on School Property</v>
      </c>
      <c r="Q1005" s="1" t="str">
        <f ca="1">IFERROR(__xludf.DUMMYFUNCTION("""COMPUTED_VALUE"""),"No")</f>
        <v>No</v>
      </c>
      <c r="R1005" s="1" t="str">
        <f ca="1">IFERROR(__xludf.DUMMYFUNCTION("""COMPUTED_VALUE"""),"Evening")</f>
        <v>Evening</v>
      </c>
      <c r="S1005" s="5">
        <f ca="1">IFERROR(__xludf.DUMMYFUNCTION("""COMPUTED_VALUE"""),0.788194444444444)</f>
        <v>0.78819444444444398</v>
      </c>
      <c r="T1005" s="1">
        <f ca="1">IFERROR(__xludf.DUMMYFUNCTION("""COMPUTED_VALUE"""),1)</f>
        <v>1</v>
      </c>
      <c r="U1005" s="1" t="str">
        <f ca="1">IFERROR(__xludf.DUMMYFUNCTION("""COMPUTED_VALUE"""),"Teen fired BB gun from vehicle breaking multiple windows")</f>
        <v>Teen fired BB gun from vehicle breaking multiple windows</v>
      </c>
      <c r="V1005" s="1" t="str">
        <f ca="1">IFERROR(__xludf.DUMMYFUNCTION("""COMPUTED_VALUE"""),"Police responded to reports of a person with a gun firing from a vehicle at the school. A 19 year-old male was arrested for firing BB's from his vehicle and breaking multiple windows at the school. Shooter was detained and admitted to shootings. Said it "&amp;"""looked cool"" to see how the windows broke. Charged with felony.")</f>
        <v>Police responded to reports of a person with a gun firing from a vehicle at the school. A 19 year-old male was arrested for firing BB's from his vehicle and breaking multiple windows at the school. Shooter was detained and admitted to shootings. Said it "looked cool" to see how the windows broke. Charged with felony.</v>
      </c>
      <c r="W1005" s="1" t="str">
        <f ca="1">IFERROR(__xludf.DUMMYFUNCTION("""COMPUTED_VALUE"""),"Intentional Property Damage")</f>
        <v>Intentional Property Damage</v>
      </c>
      <c r="X1005" s="1" t="str">
        <f ca="1">IFERROR(__xludf.DUMMYFUNCTION("""COMPUTED_VALUE"""),"Neither")</f>
        <v>Neither</v>
      </c>
      <c r="Y1005" s="1" t="str">
        <f ca="1">IFERROR(__xludf.DUMMYFUNCTION("""COMPUTED_VALUE"""),"No")</f>
        <v>No</v>
      </c>
      <c r="Z1005" s="1"/>
      <c r="AA1005" s="1" t="str">
        <f ca="1">IFERROR(__xludf.DUMMYFUNCTION("""COMPUTED_VALUE"""),"No")</f>
        <v>No</v>
      </c>
      <c r="AB1005" s="1" t="str">
        <f ca="1">IFERROR(__xludf.DUMMYFUNCTION("""COMPUTED_VALUE"""),"No")</f>
        <v>No</v>
      </c>
      <c r="AC1005" s="1" t="str">
        <f ca="1">IFERROR(__xludf.DUMMYFUNCTION("""COMPUTED_VALUE"""),"No")</f>
        <v>No</v>
      </c>
      <c r="AD1005" s="1" t="str">
        <f ca="1">IFERROR(__xludf.DUMMYFUNCTION("""COMPUTED_VALUE"""),"No")</f>
        <v>No</v>
      </c>
      <c r="AE1005" s="1" t="str">
        <f ca="1">IFERROR(__xludf.DUMMYFUNCTION("""COMPUTED_VALUE"""),"No")</f>
        <v>No</v>
      </c>
      <c r="AF1005" s="1" t="str">
        <f ca="1">IFERROR(__xludf.DUMMYFUNCTION("""COMPUTED_VALUE"""),"No")</f>
        <v>No</v>
      </c>
      <c r="AG1005" s="1" t="str">
        <f ca="1">IFERROR(__xludf.DUMMYFUNCTION("""COMPUTED_VALUE"""),"No")</f>
        <v>No</v>
      </c>
      <c r="AH1005" s="1">
        <f ca="1">IFERROR(__xludf.DUMMYFUNCTION("""COMPUTED_VALUE"""),4)</f>
        <v>4</v>
      </c>
    </row>
    <row r="1006" spans="1:34" ht="12.5">
      <c r="A1006" s="1" t="str">
        <f ca="1">IFERROR(__xludf.DUMMYFUNCTION("""COMPUTED_VALUE"""),"20201116TNWIM")</f>
        <v>20201116TNWIM</v>
      </c>
      <c r="B1006" s="1">
        <f ca="1">IFERROR(__xludf.DUMMYFUNCTION("""COMPUTED_VALUE"""),11)</f>
        <v>11</v>
      </c>
      <c r="C1006" s="1">
        <f ca="1">IFERROR(__xludf.DUMMYFUNCTION("""COMPUTED_VALUE"""),16)</f>
        <v>16</v>
      </c>
      <c r="D1006" s="1">
        <f ca="1">IFERROR(__xludf.DUMMYFUNCTION("""COMPUTED_VALUE"""),2020)</f>
        <v>2020</v>
      </c>
      <c r="E1006" s="4">
        <f ca="1">IFERROR(__xludf.DUMMYFUNCTION("""COMPUTED_VALUE"""),44151)</f>
        <v>44151</v>
      </c>
      <c r="F1006" s="1" t="str">
        <f ca="1">IFERROR(__xludf.DUMMYFUNCTION("""COMPUTED_VALUE"""),"Winridge Elementary School")</f>
        <v>Winridge Elementary School</v>
      </c>
      <c r="G1006" s="1">
        <f ca="1">IFERROR(__xludf.DUMMYFUNCTION("""COMPUTED_VALUE"""),0)</f>
        <v>0</v>
      </c>
      <c r="H1006" s="1">
        <f ca="1">IFERROR(__xludf.DUMMYFUNCTION("""COMPUTED_VALUE"""),0)</f>
        <v>0</v>
      </c>
      <c r="I1006" s="1">
        <f ca="1">IFERROR(__xludf.DUMMYFUNCTION("""COMPUTED_VALUE"""),0)</f>
        <v>0</v>
      </c>
      <c r="J1006" s="1">
        <f ca="1">IFERROR(__xludf.DUMMYFUNCTION("""COMPUTED_VALUE"""),0)</f>
        <v>0</v>
      </c>
      <c r="K1006" s="1" t="str">
        <f ca="1">IFERROR(__xludf.DUMMYFUNCTION("""COMPUTED_VALUE"""),"Fall")</f>
        <v>Fall</v>
      </c>
      <c r="L1006" s="1" t="str">
        <f ca="1">IFERROR(__xludf.DUMMYFUNCTION("""COMPUTED_VALUE"""),"Memphis")</f>
        <v>Memphis</v>
      </c>
      <c r="M1006" s="1" t="str">
        <f ca="1">IFERROR(__xludf.DUMMYFUNCTION("""COMPUTED_VALUE"""),"TN")</f>
        <v>TN</v>
      </c>
      <c r="N1006" s="1" t="str">
        <f ca="1">IFERROR(__xludf.DUMMYFUNCTION("""COMPUTED_VALUE"""),"Elementary")</f>
        <v>Elementary</v>
      </c>
      <c r="O1006" s="1" t="str">
        <f ca="1">IFERROR(__xludf.DUMMYFUNCTION("""COMPUTED_VALUE"""),"Beside Building")</f>
        <v>Beside Building</v>
      </c>
      <c r="P1006" s="1" t="str">
        <f ca="1">IFERROR(__xludf.DUMMYFUNCTION("""COMPUTED_VALUE"""),"Outside on School Property")</f>
        <v>Outside on School Property</v>
      </c>
      <c r="Q1006" s="1" t="str">
        <f ca="1">IFERROR(__xludf.DUMMYFUNCTION("""COMPUTED_VALUE"""),"No")</f>
        <v>No</v>
      </c>
      <c r="R1006" s="1"/>
      <c r="S1006" s="1"/>
      <c r="T1006" s="1">
        <f ca="1">IFERROR(__xludf.DUMMYFUNCTION("""COMPUTED_VALUE"""),1)</f>
        <v>1</v>
      </c>
      <c r="U1006" s="1" t="str">
        <f ca="1">IFERROR(__xludf.DUMMYFUNCTION("""COMPUTED_VALUE"""),"Man shot at woman with two children following robbery")</f>
        <v>Man shot at woman with two children following robbery</v>
      </c>
      <c r="V1006" s="1" t="str">
        <f ca="1">IFERROR(__xludf.DUMMYFUNCTION("""COMPUTED_VALUE"""),"A dispute occurred inside a home when a 25 year-old male (boyfriend of the victim) grabbed $120 from the purse of the female victim. He left the house and she followed him in a vehicle, with 2 children inside, to a nearby elementary school. Behind the sch"&amp;"ool, the man pulled a handgun, threatened the women, fired a shot in the direction of her and the children, and then ran from the scene. Shooter was later arrested and charged with multiple felonies.")</f>
        <v>A dispute occurred inside a home when a 25 year-old male (boyfriend of the victim) grabbed $120 from the purse of the female victim. He left the house and she followed him in a vehicle, with 2 children inside, to a nearby elementary school. Behind the school, the man pulled a handgun, threatened the women, fired a shot in the direction of her and the children, and then ran from the scene. Shooter was later arrested and charged with multiple felonies.</v>
      </c>
      <c r="W1006" s="1" t="str">
        <f ca="1">IFERROR(__xludf.DUMMYFUNCTION("""COMPUTED_VALUE"""),"Domestic w/ Targeted Victim")</f>
        <v>Domestic w/ Targeted Victim</v>
      </c>
      <c r="X1006" s="1" t="str">
        <f ca="1">IFERROR(__xludf.DUMMYFUNCTION("""COMPUTED_VALUE"""),"Victims Targeted")</f>
        <v>Victims Targeted</v>
      </c>
      <c r="Y1006" s="1" t="str">
        <f ca="1">IFERROR(__xludf.DUMMYFUNCTION("""COMPUTED_VALUE"""),"No")</f>
        <v>No</v>
      </c>
      <c r="Z1006" s="1"/>
      <c r="AA1006" s="1" t="str">
        <f ca="1">IFERROR(__xludf.DUMMYFUNCTION("""COMPUTED_VALUE"""),"No")</f>
        <v>No</v>
      </c>
      <c r="AB1006" s="1" t="str">
        <f ca="1">IFERROR(__xludf.DUMMYFUNCTION("""COMPUTED_VALUE"""),"No")</f>
        <v>No</v>
      </c>
      <c r="AC1006" s="1" t="str">
        <f ca="1">IFERROR(__xludf.DUMMYFUNCTION("""COMPUTED_VALUE"""),"No")</f>
        <v>No</v>
      </c>
      <c r="AD1006" s="1" t="str">
        <f ca="1">IFERROR(__xludf.DUMMYFUNCTION("""COMPUTED_VALUE"""),"No")</f>
        <v>No</v>
      </c>
      <c r="AE1006" s="1" t="str">
        <f ca="1">IFERROR(__xludf.DUMMYFUNCTION("""COMPUTED_VALUE"""),"Yes")</f>
        <v>Yes</v>
      </c>
      <c r="AF1006" s="1" t="str">
        <f ca="1">IFERROR(__xludf.DUMMYFUNCTION("""COMPUTED_VALUE"""),"No")</f>
        <v>No</v>
      </c>
      <c r="AG1006" s="1" t="str">
        <f ca="1">IFERROR(__xludf.DUMMYFUNCTION("""COMPUTED_VALUE"""),"No")</f>
        <v>No</v>
      </c>
      <c r="AH1006" s="1">
        <f ca="1">IFERROR(__xludf.DUMMYFUNCTION("""COMPUTED_VALUE"""),1)</f>
        <v>1</v>
      </c>
    </row>
    <row r="1007" spans="1:34" ht="12.5">
      <c r="A1007" s="1" t="str">
        <f ca="1">IFERROR(__xludf.DUMMYFUNCTION("""COMPUTED_VALUE"""),"20201113NCLIL")</f>
        <v>20201113NCLIL</v>
      </c>
      <c r="B1007" s="1">
        <f ca="1">IFERROR(__xludf.DUMMYFUNCTION("""COMPUTED_VALUE"""),11)</f>
        <v>11</v>
      </c>
      <c r="C1007" s="1">
        <f ca="1">IFERROR(__xludf.DUMMYFUNCTION("""COMPUTED_VALUE"""),13)</f>
        <v>13</v>
      </c>
      <c r="D1007" s="1">
        <f ca="1">IFERROR(__xludf.DUMMYFUNCTION("""COMPUTED_VALUE"""),2020)</f>
        <v>2020</v>
      </c>
      <c r="E1007" s="4">
        <f ca="1">IFERROR(__xludf.DUMMYFUNCTION("""COMPUTED_VALUE"""),44148)</f>
        <v>44148</v>
      </c>
      <c r="F1007" s="1" t="str">
        <f ca="1">IFERROR(__xludf.DUMMYFUNCTION("""COMPUTED_VALUE"""),"Lincoln Elementary School")</f>
        <v>Lincoln Elementary School</v>
      </c>
      <c r="G1007" s="1">
        <f ca="1">IFERROR(__xludf.DUMMYFUNCTION("""COMPUTED_VALUE"""),0)</f>
        <v>0</v>
      </c>
      <c r="H1007" s="1">
        <f ca="1">IFERROR(__xludf.DUMMYFUNCTION("""COMPUTED_VALUE"""),1)</f>
        <v>1</v>
      </c>
      <c r="I1007" s="1">
        <f ca="1">IFERROR(__xludf.DUMMYFUNCTION("""COMPUTED_VALUE"""),1)</f>
        <v>1</v>
      </c>
      <c r="J1007" s="1">
        <f ca="1">IFERROR(__xludf.DUMMYFUNCTION("""COMPUTED_VALUE"""),0)</f>
        <v>0</v>
      </c>
      <c r="K1007" s="1" t="str">
        <f ca="1">IFERROR(__xludf.DUMMYFUNCTION("""COMPUTED_VALUE"""),"Fall")</f>
        <v>Fall</v>
      </c>
      <c r="L1007" s="1" t="str">
        <f ca="1">IFERROR(__xludf.DUMMYFUNCTION("""COMPUTED_VALUE"""),"Leland")</f>
        <v>Leland</v>
      </c>
      <c r="M1007" s="1" t="str">
        <f ca="1">IFERROR(__xludf.DUMMYFUNCTION("""COMPUTED_VALUE"""),"NC")</f>
        <v>NC</v>
      </c>
      <c r="N1007" s="1" t="str">
        <f ca="1">IFERROR(__xludf.DUMMYFUNCTION("""COMPUTED_VALUE"""),"Elementary")</f>
        <v>Elementary</v>
      </c>
      <c r="O1007" s="1" t="str">
        <f ca="1">IFERROR(__xludf.DUMMYFUNCTION("""COMPUTED_VALUE"""),"Playground")</f>
        <v>Playground</v>
      </c>
      <c r="P1007" s="1" t="str">
        <f ca="1">IFERROR(__xludf.DUMMYFUNCTION("""COMPUTED_VALUE"""),"Outside on School Property")</f>
        <v>Outside on School Property</v>
      </c>
      <c r="Q1007" s="1" t="str">
        <f ca="1">IFERROR(__xludf.DUMMYFUNCTION("""COMPUTED_VALUE"""),"Yes")</f>
        <v>Yes</v>
      </c>
      <c r="R1007" s="1" t="str">
        <f ca="1">IFERROR(__xludf.DUMMYFUNCTION("""COMPUTED_VALUE"""),"Afternoon Classes")</f>
        <v>Afternoon Classes</v>
      </c>
      <c r="S1007" s="5">
        <f ca="1">IFERROR(__xludf.DUMMYFUNCTION("""COMPUTED_VALUE"""),0.59375)</f>
        <v>0.59375</v>
      </c>
      <c r="T1007" s="1">
        <f ca="1">IFERROR(__xludf.DUMMYFUNCTION("""COMPUTED_VALUE"""),1)</f>
        <v>1</v>
      </c>
      <c r="U1007" s="1" t="str">
        <f ca="1">IFERROR(__xludf.DUMMYFUNCTION("""COMPUTED_VALUE"""),"Student struck by shot fired from long distance")</f>
        <v>Student struck by shot fired from long distance</v>
      </c>
      <c r="V1007" s="1" t="str">
        <f ca="1">IFERROR(__xludf.DUMMYFUNCTION("""COMPUTED_VALUE"""),"A 6 year-old student was shot in the jaw by a bullet fired from a long distance. Police believe the shooting was an accident. The round was fired from private property and the shooter did not intend to shoot at the school.")</f>
        <v>A 6 year-old student was shot in the jaw by a bullet fired from a long distance. Police believe the shooting was an accident. The round was fired from private property and the shooter did not intend to shoot at the school.</v>
      </c>
      <c r="W1007" s="1" t="str">
        <f ca="1">IFERROR(__xludf.DUMMYFUNCTION("""COMPUTED_VALUE"""),"Accidental")</f>
        <v>Accidental</v>
      </c>
      <c r="X1007" s="1" t="str">
        <f ca="1">IFERROR(__xludf.DUMMYFUNCTION("""COMPUTED_VALUE"""),"Random Shooting")</f>
        <v>Random Shooting</v>
      </c>
      <c r="Y1007" s="1" t="str">
        <f ca="1">IFERROR(__xludf.DUMMYFUNCTION("""COMPUTED_VALUE"""),"No")</f>
        <v>No</v>
      </c>
      <c r="Z1007" s="1"/>
      <c r="AA1007" s="1" t="str">
        <f ca="1">IFERROR(__xludf.DUMMYFUNCTION("""COMPUTED_VALUE"""),"No")</f>
        <v>No</v>
      </c>
      <c r="AB1007" s="1" t="str">
        <f ca="1">IFERROR(__xludf.DUMMYFUNCTION("""COMPUTED_VALUE"""),"No")</f>
        <v>No</v>
      </c>
      <c r="AC1007" s="1" t="str">
        <f ca="1">IFERROR(__xludf.DUMMYFUNCTION("""COMPUTED_VALUE"""),"No")</f>
        <v>No</v>
      </c>
      <c r="AD1007" s="1" t="str">
        <f ca="1">IFERROR(__xludf.DUMMYFUNCTION("""COMPUTED_VALUE"""),"No")</f>
        <v>No</v>
      </c>
      <c r="AE1007" s="1" t="str">
        <f ca="1">IFERROR(__xludf.DUMMYFUNCTION("""COMPUTED_VALUE"""),"No")</f>
        <v>No</v>
      </c>
      <c r="AF1007" s="1" t="str">
        <f ca="1">IFERROR(__xludf.DUMMYFUNCTION("""COMPUTED_VALUE"""),"No")</f>
        <v>No</v>
      </c>
      <c r="AG1007" s="1" t="str">
        <f ca="1">IFERROR(__xludf.DUMMYFUNCTION("""COMPUTED_VALUE"""),"No")</f>
        <v>No</v>
      </c>
      <c r="AH1007" s="1"/>
    </row>
    <row r="1008" spans="1:34" ht="12.5">
      <c r="A1008" s="1" t="str">
        <f ca="1">IFERROR(__xludf.DUMMYFUNCTION("""COMPUTED_VALUE"""),"20201112PANAH")</f>
        <v>20201112PANAH</v>
      </c>
      <c r="B1008" s="1">
        <f ca="1">IFERROR(__xludf.DUMMYFUNCTION("""COMPUTED_VALUE"""),11)</f>
        <v>11</v>
      </c>
      <c r="C1008" s="1">
        <f ca="1">IFERROR(__xludf.DUMMYFUNCTION("""COMPUTED_VALUE"""),12)</f>
        <v>12</v>
      </c>
      <c r="D1008" s="1">
        <f ca="1">IFERROR(__xludf.DUMMYFUNCTION("""COMPUTED_VALUE"""),2020)</f>
        <v>2020</v>
      </c>
      <c r="E1008" s="4">
        <f ca="1">IFERROR(__xludf.DUMMYFUNCTION("""COMPUTED_VALUE"""),44147)</f>
        <v>44147</v>
      </c>
      <c r="F1008" s="1" t="str">
        <f ca="1">IFERROR(__xludf.DUMMYFUNCTION("""COMPUTED_VALUE"""),"Nativity School of Harrisburg")</f>
        <v>Nativity School of Harrisburg</v>
      </c>
      <c r="G1008" s="1">
        <f ca="1">IFERROR(__xludf.DUMMYFUNCTION("""COMPUTED_VALUE"""),1)</f>
        <v>1</v>
      </c>
      <c r="H1008" s="1">
        <f ca="1">IFERROR(__xludf.DUMMYFUNCTION("""COMPUTED_VALUE"""),0)</f>
        <v>0</v>
      </c>
      <c r="I1008" s="1">
        <f ca="1">IFERROR(__xludf.DUMMYFUNCTION("""COMPUTED_VALUE"""),1)</f>
        <v>1</v>
      </c>
      <c r="J1008" s="1">
        <f ca="1">IFERROR(__xludf.DUMMYFUNCTION("""COMPUTED_VALUE"""),0)</f>
        <v>0</v>
      </c>
      <c r="K1008" s="1" t="str">
        <f ca="1">IFERROR(__xludf.DUMMYFUNCTION("""COMPUTED_VALUE"""),"Fall")</f>
        <v>Fall</v>
      </c>
      <c r="L1008" s="1" t="str">
        <f ca="1">IFERROR(__xludf.DUMMYFUNCTION("""COMPUTED_VALUE"""),"Harrisburg")</f>
        <v>Harrisburg</v>
      </c>
      <c r="M1008" s="1" t="str">
        <f ca="1">IFERROR(__xludf.DUMMYFUNCTION("""COMPUTED_VALUE"""),"PA")</f>
        <v>PA</v>
      </c>
      <c r="N1008" s="1" t="str">
        <f ca="1">IFERROR(__xludf.DUMMYFUNCTION("""COMPUTED_VALUE"""),"Middle")</f>
        <v>Middle</v>
      </c>
      <c r="O1008" s="1" t="str">
        <f ca="1">IFERROR(__xludf.DUMMYFUNCTION("""COMPUTED_VALUE"""),"Parking Lot")</f>
        <v>Parking Lot</v>
      </c>
      <c r="P1008" s="1" t="str">
        <f ca="1">IFERROR(__xludf.DUMMYFUNCTION("""COMPUTED_VALUE"""),"Outside on School Property")</f>
        <v>Outside on School Property</v>
      </c>
      <c r="Q1008" s="1" t="str">
        <f ca="1">IFERROR(__xludf.DUMMYFUNCTION("""COMPUTED_VALUE"""),"No")</f>
        <v>No</v>
      </c>
      <c r="R1008" s="1" t="str">
        <f ca="1">IFERROR(__xludf.DUMMYFUNCTION("""COMPUTED_VALUE"""),"Evening")</f>
        <v>Evening</v>
      </c>
      <c r="S1008" s="5">
        <f ca="1">IFERROR(__xludf.DUMMYFUNCTION("""COMPUTED_VALUE"""),0.729166666666666)</f>
        <v>0.72916666666666596</v>
      </c>
      <c r="T1008" s="1">
        <f ca="1">IFERROR(__xludf.DUMMYFUNCTION("""COMPUTED_VALUE"""),1)</f>
        <v>1</v>
      </c>
      <c r="U1008" s="1" t="str">
        <f ca="1">IFERROR(__xludf.DUMMYFUNCTION("""COMPUTED_VALUE"""),"Teen shot and killed in school parking lot")</f>
        <v>Teen shot and killed in school parking lot</v>
      </c>
      <c r="V1008" s="1" t="str">
        <f ca="1">IFERROR(__xludf.DUMMYFUNCTION("""COMPUTED_VALUE"""),"A 17 year-old teen was shot and killed in the school parking lot. Shooter fled the scene. No information on the motive.")</f>
        <v>A 17 year-old teen was shot and killed in the school parking lot. Shooter fled the scene. No information on the motive.</v>
      </c>
      <c r="W1008" s="1"/>
      <c r="X1008" s="1"/>
      <c r="Y1008" s="1"/>
      <c r="Z1008" s="1"/>
      <c r="AA1008" s="1" t="str">
        <f ca="1">IFERROR(__xludf.DUMMYFUNCTION("""COMPUTED_VALUE"""),"No")</f>
        <v>No</v>
      </c>
      <c r="AB1008" s="1" t="str">
        <f ca="1">IFERROR(__xludf.DUMMYFUNCTION("""COMPUTED_VALUE"""),"No")</f>
        <v>No</v>
      </c>
      <c r="AC1008" s="1" t="str">
        <f ca="1">IFERROR(__xludf.DUMMYFUNCTION("""COMPUTED_VALUE"""),"No")</f>
        <v>No</v>
      </c>
      <c r="AD1008" s="1" t="str">
        <f ca="1">IFERROR(__xludf.DUMMYFUNCTION("""COMPUTED_VALUE"""),"No")</f>
        <v>No</v>
      </c>
      <c r="AE1008" s="1" t="str">
        <f ca="1">IFERROR(__xludf.DUMMYFUNCTION("""COMPUTED_VALUE"""),"No")</f>
        <v>No</v>
      </c>
      <c r="AF1008" s="1"/>
      <c r="AG1008" s="1" t="str">
        <f ca="1">IFERROR(__xludf.DUMMYFUNCTION("""COMPUTED_VALUE"""),"No")</f>
        <v>No</v>
      </c>
      <c r="AH1008" s="1"/>
    </row>
    <row r="1009" spans="1:34" ht="12.5">
      <c r="A1009" s="1" t="str">
        <f ca="1">IFERROR(__xludf.DUMMYFUNCTION("""COMPUTED_VALUE"""),"20201112CACEU")</f>
        <v>20201112CACEU</v>
      </c>
      <c r="B1009" s="1">
        <f ca="1">IFERROR(__xludf.DUMMYFUNCTION("""COMPUTED_VALUE"""),11)</f>
        <v>11</v>
      </c>
      <c r="C1009" s="1">
        <f ca="1">IFERROR(__xludf.DUMMYFUNCTION("""COMPUTED_VALUE"""),12)</f>
        <v>12</v>
      </c>
      <c r="D1009" s="1">
        <f ca="1">IFERROR(__xludf.DUMMYFUNCTION("""COMPUTED_VALUE"""),2020)</f>
        <v>2020</v>
      </c>
      <c r="E1009" s="4">
        <f ca="1">IFERROR(__xludf.DUMMYFUNCTION("""COMPUTED_VALUE"""),44147)</f>
        <v>44147</v>
      </c>
      <c r="F1009" s="1" t="str">
        <f ca="1">IFERROR(__xludf.DUMMYFUNCTION("""COMPUTED_VALUE"""),"Cesar Chavez Middle School")</f>
        <v>Cesar Chavez Middle School</v>
      </c>
      <c r="G1009" s="1">
        <f ca="1">IFERROR(__xludf.DUMMYFUNCTION("""COMPUTED_VALUE"""),0)</f>
        <v>0</v>
      </c>
      <c r="H1009" s="1">
        <f ca="1">IFERROR(__xludf.DUMMYFUNCTION("""COMPUTED_VALUE"""),1)</f>
        <v>1</v>
      </c>
      <c r="I1009" s="1">
        <f ca="1">IFERROR(__xludf.DUMMYFUNCTION("""COMPUTED_VALUE"""),1)</f>
        <v>1</v>
      </c>
      <c r="J1009" s="1">
        <f ca="1">IFERROR(__xludf.DUMMYFUNCTION("""COMPUTED_VALUE"""),0)</f>
        <v>0</v>
      </c>
      <c r="K1009" s="1" t="str">
        <f ca="1">IFERROR(__xludf.DUMMYFUNCTION("""COMPUTED_VALUE"""),"Fall")</f>
        <v>Fall</v>
      </c>
      <c r="L1009" s="1" t="str">
        <f ca="1">IFERROR(__xludf.DUMMYFUNCTION("""COMPUTED_VALUE"""),"Union City")</f>
        <v>Union City</v>
      </c>
      <c r="M1009" s="1" t="str">
        <f ca="1">IFERROR(__xludf.DUMMYFUNCTION("""COMPUTED_VALUE"""),"CA")</f>
        <v>CA</v>
      </c>
      <c r="N1009" s="1" t="str">
        <f ca="1">IFERROR(__xludf.DUMMYFUNCTION("""COMPUTED_VALUE"""),"Middle")</f>
        <v>Middle</v>
      </c>
      <c r="O1009" s="1" t="str">
        <f ca="1">IFERROR(__xludf.DUMMYFUNCTION("""COMPUTED_VALUE"""),"Parking Lot")</f>
        <v>Parking Lot</v>
      </c>
      <c r="P1009" s="1" t="str">
        <f ca="1">IFERROR(__xludf.DUMMYFUNCTION("""COMPUTED_VALUE"""),"Outside on School Property")</f>
        <v>Outside on School Property</v>
      </c>
      <c r="Q1009" s="1" t="str">
        <f ca="1">IFERROR(__xludf.DUMMYFUNCTION("""COMPUTED_VALUE"""),"No")</f>
        <v>No</v>
      </c>
      <c r="R1009" s="1" t="str">
        <f ca="1">IFERROR(__xludf.DUMMYFUNCTION("""COMPUTED_VALUE"""),"Evening")</f>
        <v>Evening</v>
      </c>
      <c r="S1009" s="5">
        <f ca="1">IFERROR(__xludf.DUMMYFUNCTION("""COMPUTED_VALUE"""),0.732638888888888)</f>
        <v>0.73263888888888795</v>
      </c>
      <c r="T1009" s="1">
        <f ca="1">IFERROR(__xludf.DUMMYFUNCTION("""COMPUTED_VALUE"""),1)</f>
        <v>1</v>
      </c>
      <c r="U1009" s="1" t="str">
        <f ca="1">IFERROR(__xludf.DUMMYFUNCTION("""COMPUTED_VALUE"""),"Man in vehicle shot in school parking lot, fled and crashed nearby")</f>
        <v>Man in vehicle shot in school parking lot, fled and crashed nearby</v>
      </c>
      <c r="V1009" s="1" t="str">
        <f ca="1">IFERROR(__xludf.DUMMYFUNCTION("""COMPUTED_VALUE"""),"A man driving a vehicle was shot in the school parking lot, fled after being shot, and crashed into trees nearby. He was transported to the hospital. Shooter fled. Motive unknown.")</f>
        <v>A man driving a vehicle was shot in the school parking lot, fled after being shot, and crashed into trees nearby. He was transported to the hospital. Shooter fled. Motive unknown.</v>
      </c>
      <c r="W1009" s="1"/>
      <c r="X1009" s="1" t="str">
        <f ca="1">IFERROR(__xludf.DUMMYFUNCTION("""COMPUTED_VALUE"""),"Victims Targeted")</f>
        <v>Victims Targeted</v>
      </c>
      <c r="Y1009" s="1"/>
      <c r="Z1009" s="1"/>
      <c r="AA1009" s="1" t="str">
        <f ca="1">IFERROR(__xludf.DUMMYFUNCTION("""COMPUTED_VALUE"""),"No")</f>
        <v>No</v>
      </c>
      <c r="AB1009" s="1" t="str">
        <f ca="1">IFERROR(__xludf.DUMMYFUNCTION("""COMPUTED_VALUE"""),"No")</f>
        <v>No</v>
      </c>
      <c r="AC1009" s="1" t="str">
        <f ca="1">IFERROR(__xludf.DUMMYFUNCTION("""COMPUTED_VALUE"""),"No")</f>
        <v>No</v>
      </c>
      <c r="AD1009" s="1" t="str">
        <f ca="1">IFERROR(__xludf.DUMMYFUNCTION("""COMPUTED_VALUE"""),"No")</f>
        <v>No</v>
      </c>
      <c r="AE1009" s="1" t="str">
        <f ca="1">IFERROR(__xludf.DUMMYFUNCTION("""COMPUTED_VALUE"""),"No")</f>
        <v>No</v>
      </c>
      <c r="AF1009" s="1"/>
      <c r="AG1009" s="1" t="str">
        <f ca="1">IFERROR(__xludf.DUMMYFUNCTION("""COMPUTED_VALUE"""),"No")</f>
        <v>No</v>
      </c>
      <c r="AH1009" s="1"/>
    </row>
    <row r="1010" spans="1:34" ht="12.5">
      <c r="A1010" s="1" t="str">
        <f ca="1">IFERROR(__xludf.DUMMYFUNCTION("""COMPUTED_VALUE"""),"20201109TXCOH")</f>
        <v>20201109TXCOH</v>
      </c>
      <c r="B1010" s="1">
        <f ca="1">IFERROR(__xludf.DUMMYFUNCTION("""COMPUTED_VALUE"""),11)</f>
        <v>11</v>
      </c>
      <c r="C1010" s="1">
        <f ca="1">IFERROR(__xludf.DUMMYFUNCTION("""COMPUTED_VALUE"""),9)</f>
        <v>9</v>
      </c>
      <c r="D1010" s="1">
        <f ca="1">IFERROR(__xludf.DUMMYFUNCTION("""COMPUTED_VALUE"""),2020)</f>
        <v>2020</v>
      </c>
      <c r="E1010" s="4">
        <f ca="1">IFERROR(__xludf.DUMMYFUNCTION("""COMPUTED_VALUE"""),44144)</f>
        <v>44144</v>
      </c>
      <c r="F1010" s="1" t="str">
        <f ca="1">IFERROR(__xludf.DUMMYFUNCTION("""COMPUTED_VALUE"""),"Collins Elementary School")</f>
        <v>Collins Elementary School</v>
      </c>
      <c r="G1010" s="1">
        <f ca="1">IFERROR(__xludf.DUMMYFUNCTION("""COMPUTED_VALUE"""),1)</f>
        <v>1</v>
      </c>
      <c r="H1010" s="1">
        <f ca="1">IFERROR(__xludf.DUMMYFUNCTION("""COMPUTED_VALUE"""),0)</f>
        <v>0</v>
      </c>
      <c r="I1010" s="1">
        <f ca="1">IFERROR(__xludf.DUMMYFUNCTION("""COMPUTED_VALUE"""),1)</f>
        <v>1</v>
      </c>
      <c r="J1010" s="1">
        <f ca="1">IFERROR(__xludf.DUMMYFUNCTION("""COMPUTED_VALUE"""),0)</f>
        <v>0</v>
      </c>
      <c r="K1010" s="1" t="str">
        <f ca="1">IFERROR(__xludf.DUMMYFUNCTION("""COMPUTED_VALUE"""),"Fall")</f>
        <v>Fall</v>
      </c>
      <c r="L1010" s="1" t="str">
        <f ca="1">IFERROR(__xludf.DUMMYFUNCTION("""COMPUTED_VALUE"""),"Houston")</f>
        <v>Houston</v>
      </c>
      <c r="M1010" s="1" t="str">
        <f ca="1">IFERROR(__xludf.DUMMYFUNCTION("""COMPUTED_VALUE"""),"TX")</f>
        <v>TX</v>
      </c>
      <c r="N1010" s="1" t="str">
        <f ca="1">IFERROR(__xludf.DUMMYFUNCTION("""COMPUTED_VALUE"""),"Elementary")</f>
        <v>Elementary</v>
      </c>
      <c r="O1010" s="1" t="str">
        <f ca="1">IFERROR(__xludf.DUMMYFUNCTION("""COMPUTED_VALUE"""),"Parking Lot")</f>
        <v>Parking Lot</v>
      </c>
      <c r="P1010" s="1" t="str">
        <f ca="1">IFERROR(__xludf.DUMMYFUNCTION("""COMPUTED_VALUE"""),"Outside on School Property")</f>
        <v>Outside on School Property</v>
      </c>
      <c r="Q1010" s="1" t="str">
        <f ca="1">IFERROR(__xludf.DUMMYFUNCTION("""COMPUTED_VALUE"""),"No")</f>
        <v>No</v>
      </c>
      <c r="R1010" s="1" t="str">
        <f ca="1">IFERROR(__xludf.DUMMYFUNCTION("""COMPUTED_VALUE"""),"Night")</f>
        <v>Night</v>
      </c>
      <c r="S1010" s="1"/>
      <c r="T1010" s="1">
        <f ca="1">IFERROR(__xludf.DUMMYFUNCTION("""COMPUTED_VALUE"""),1)</f>
        <v>1</v>
      </c>
      <c r="U1010" s="1" t="str">
        <f ca="1">IFERROR(__xludf.DUMMYFUNCTION("""COMPUTED_VALUE"""),"Man found fatally shot in school parking lot")</f>
        <v>Man found fatally shot in school parking lot</v>
      </c>
      <c r="V1010" s="1" t="str">
        <f ca="1">IFERROR(__xludf.DUMMYFUNCTION("""COMPUTED_VALUE"""),"An adult male was found by school employees fatally shot in the parking lot of the school. School opened for classes and students were not allowed outside during lunch or recess while police investigated. Police said the shooting occurred overnight. Motiv"&amp;"e unknown.")</f>
        <v>An adult male was found by school employees fatally shot in the parking lot of the school. School opened for classes and students were not allowed outside during lunch or recess while police investigated. Police said the shooting occurred overnight. Motive unknown.</v>
      </c>
      <c r="W1010" s="1"/>
      <c r="X1010" s="1" t="str">
        <f ca="1">IFERROR(__xludf.DUMMYFUNCTION("""COMPUTED_VALUE"""),"Victims Targeted")</f>
        <v>Victims Targeted</v>
      </c>
      <c r="Y1010" s="1"/>
      <c r="Z1010" s="1"/>
      <c r="AA1010" s="1" t="str">
        <f ca="1">IFERROR(__xludf.DUMMYFUNCTION("""COMPUTED_VALUE"""),"No")</f>
        <v>No</v>
      </c>
      <c r="AB1010" s="1" t="str">
        <f ca="1">IFERROR(__xludf.DUMMYFUNCTION("""COMPUTED_VALUE"""),"No")</f>
        <v>No</v>
      </c>
      <c r="AC1010" s="1" t="str">
        <f ca="1">IFERROR(__xludf.DUMMYFUNCTION("""COMPUTED_VALUE"""),"No")</f>
        <v>No</v>
      </c>
      <c r="AD1010" s="1" t="str">
        <f ca="1">IFERROR(__xludf.DUMMYFUNCTION("""COMPUTED_VALUE"""),"No")</f>
        <v>No</v>
      </c>
      <c r="AE1010" s="1" t="str">
        <f ca="1">IFERROR(__xludf.DUMMYFUNCTION("""COMPUTED_VALUE"""),"No")</f>
        <v>No</v>
      </c>
      <c r="AF1010" s="1"/>
      <c r="AG1010" s="1" t="str">
        <f ca="1">IFERROR(__xludf.DUMMYFUNCTION("""COMPUTED_VALUE"""),"No")</f>
        <v>No</v>
      </c>
      <c r="AH1010" s="1"/>
    </row>
    <row r="1011" spans="1:34" ht="12.5">
      <c r="A1011" s="1" t="str">
        <f ca="1">IFERROR(__xludf.DUMMYFUNCTION("""COMPUTED_VALUE"""),"20201109CABAL")</f>
        <v>20201109CABAL</v>
      </c>
      <c r="B1011" s="1">
        <f ca="1">IFERROR(__xludf.DUMMYFUNCTION("""COMPUTED_VALUE"""),11)</f>
        <v>11</v>
      </c>
      <c r="C1011" s="1">
        <f ca="1">IFERROR(__xludf.DUMMYFUNCTION("""COMPUTED_VALUE"""),9)</f>
        <v>9</v>
      </c>
      <c r="D1011" s="1">
        <f ca="1">IFERROR(__xludf.DUMMYFUNCTION("""COMPUTED_VALUE"""),2020)</f>
        <v>2020</v>
      </c>
      <c r="E1011" s="4">
        <f ca="1">IFERROR(__xludf.DUMMYFUNCTION("""COMPUTED_VALUE"""),44144)</f>
        <v>44144</v>
      </c>
      <c r="F1011" s="1" t="str">
        <f ca="1">IFERROR(__xludf.DUMMYFUNCTION("""COMPUTED_VALUE"""),"Baldwin Elementary School")</f>
        <v>Baldwin Elementary School</v>
      </c>
      <c r="G1011" s="1">
        <f ca="1">IFERROR(__xludf.DUMMYFUNCTION("""COMPUTED_VALUE"""),0)</f>
        <v>0</v>
      </c>
      <c r="H1011" s="1">
        <f ca="1">IFERROR(__xludf.DUMMYFUNCTION("""COMPUTED_VALUE"""),0)</f>
        <v>0</v>
      </c>
      <c r="I1011" s="1">
        <f ca="1">IFERROR(__xludf.DUMMYFUNCTION("""COMPUTED_VALUE"""),0)</f>
        <v>0</v>
      </c>
      <c r="J1011" s="1">
        <f ca="1">IFERROR(__xludf.DUMMYFUNCTION("""COMPUTED_VALUE"""),1)</f>
        <v>1</v>
      </c>
      <c r="K1011" s="1" t="str">
        <f ca="1">IFERROR(__xludf.DUMMYFUNCTION("""COMPUTED_VALUE"""),"Fall")</f>
        <v>Fall</v>
      </c>
      <c r="L1011" s="1" t="str">
        <f ca="1">IFERROR(__xludf.DUMMYFUNCTION("""COMPUTED_VALUE"""),"La Puente")</f>
        <v>La Puente</v>
      </c>
      <c r="M1011" s="1" t="str">
        <f ca="1">IFERROR(__xludf.DUMMYFUNCTION("""COMPUTED_VALUE"""),"CA")</f>
        <v>CA</v>
      </c>
      <c r="N1011" s="1" t="str">
        <f ca="1">IFERROR(__xludf.DUMMYFUNCTION("""COMPUTED_VALUE"""),"Elementary")</f>
        <v>Elementary</v>
      </c>
      <c r="O1011" s="1" t="str">
        <f ca="1">IFERROR(__xludf.DUMMYFUNCTION("""COMPUTED_VALUE"""),"Beside Building")</f>
        <v>Beside Building</v>
      </c>
      <c r="P1011" s="1" t="str">
        <f ca="1">IFERROR(__xludf.DUMMYFUNCTION("""COMPUTED_VALUE"""),"Outside on School Property")</f>
        <v>Outside on School Property</v>
      </c>
      <c r="Q1011" s="1" t="str">
        <f ca="1">IFERROR(__xludf.DUMMYFUNCTION("""COMPUTED_VALUE"""),"No")</f>
        <v>No</v>
      </c>
      <c r="R1011" s="1" t="str">
        <f ca="1">IFERROR(__xludf.DUMMYFUNCTION("""COMPUTED_VALUE"""),"Night")</f>
        <v>Night</v>
      </c>
      <c r="S1011" s="1"/>
      <c r="T1011" s="1">
        <f ca="1">IFERROR(__xludf.DUMMYFUNCTION("""COMPUTED_VALUE"""),1)</f>
        <v>1</v>
      </c>
      <c r="U1011" s="1" t="str">
        <f ca="1">IFERROR(__xludf.DUMMYFUNCTION("""COMPUTED_VALUE"""),"Janitor found man dead from gunshot wound next to the school")</f>
        <v>Janitor found man dead from gunshot wound next to the school</v>
      </c>
      <c r="V1011" s="1" t="str">
        <f ca="1">IFERROR(__xludf.DUMMYFUNCTION("""COMPUTED_VALUE"""),"A janitor found a man with a gun shot wound to the head fatally shot next to the school just before the school opened. 5 children were at the school when the body was discovered. The victim had a single gun shot wound and the gun used was found next to th"&amp;"e victim. Victim was pronounced dead at the scene. Police said the same man was shooting into the air the night prior but fled before police arrived at the scene.")</f>
        <v>A janitor found a man with a gun shot wound to the head fatally shot next to the school just before the school opened. 5 children were at the school when the body was discovered. The victim had a single gun shot wound and the gun used was found next to the victim. Victim was pronounced dead at the scene. Police said the same man was shooting into the air the night prior but fled before police arrived at the scene.</v>
      </c>
      <c r="W1011" s="1" t="str">
        <f ca="1">IFERROR(__xludf.DUMMYFUNCTION("""COMPUTED_VALUE"""),"Suicide/Attempted")</f>
        <v>Suicide/Attempted</v>
      </c>
      <c r="X1011" s="1" t="str">
        <f ca="1">IFERROR(__xludf.DUMMYFUNCTION("""COMPUTED_VALUE"""),"Victims Targeted")</f>
        <v>Victims Targeted</v>
      </c>
      <c r="Y1011" s="1" t="str">
        <f ca="1">IFERROR(__xludf.DUMMYFUNCTION("""COMPUTED_VALUE"""),"No")</f>
        <v>No</v>
      </c>
      <c r="Z1011" s="1"/>
      <c r="AA1011" s="1" t="str">
        <f ca="1">IFERROR(__xludf.DUMMYFUNCTION("""COMPUTED_VALUE"""),"No")</f>
        <v>No</v>
      </c>
      <c r="AB1011" s="1" t="str">
        <f ca="1">IFERROR(__xludf.DUMMYFUNCTION("""COMPUTED_VALUE"""),"No")</f>
        <v>No</v>
      </c>
      <c r="AC1011" s="1" t="str">
        <f ca="1">IFERROR(__xludf.DUMMYFUNCTION("""COMPUTED_VALUE"""),"No")</f>
        <v>No</v>
      </c>
      <c r="AD1011" s="1" t="str">
        <f ca="1">IFERROR(__xludf.DUMMYFUNCTION("""COMPUTED_VALUE"""),"No")</f>
        <v>No</v>
      </c>
      <c r="AE1011" s="1" t="str">
        <f ca="1">IFERROR(__xludf.DUMMYFUNCTION("""COMPUTED_VALUE"""),"No")</f>
        <v>No</v>
      </c>
      <c r="AF1011" s="1" t="str">
        <f ca="1">IFERROR(__xludf.DUMMYFUNCTION("""COMPUTED_VALUE"""),"No")</f>
        <v>No</v>
      </c>
      <c r="AG1011" s="1" t="str">
        <f ca="1">IFERROR(__xludf.DUMMYFUNCTION("""COMPUTED_VALUE"""),"No")</f>
        <v>No</v>
      </c>
      <c r="AH1011" s="1">
        <f ca="1">IFERROR(__xludf.DUMMYFUNCTION("""COMPUTED_VALUE"""),1)</f>
        <v>1</v>
      </c>
    </row>
    <row r="1012" spans="1:34" ht="12.5">
      <c r="A1012" s="1" t="str">
        <f ca="1">IFERROR(__xludf.DUMMYFUNCTION("""COMPUTED_VALUE"""),"20201108INTET")</f>
        <v>20201108INTET</v>
      </c>
      <c r="B1012" s="1">
        <f ca="1">IFERROR(__xludf.DUMMYFUNCTION("""COMPUTED_VALUE"""),11)</f>
        <v>11</v>
      </c>
      <c r="C1012" s="1">
        <f ca="1">IFERROR(__xludf.DUMMYFUNCTION("""COMPUTED_VALUE"""),8)</f>
        <v>8</v>
      </c>
      <c r="D1012" s="1">
        <f ca="1">IFERROR(__xludf.DUMMYFUNCTION("""COMPUTED_VALUE"""),2020)</f>
        <v>2020</v>
      </c>
      <c r="E1012" s="4">
        <f ca="1">IFERROR(__xludf.DUMMYFUNCTION("""COMPUTED_VALUE"""),44143)</f>
        <v>44143</v>
      </c>
      <c r="F1012" s="1" t="str">
        <f ca="1">IFERROR(__xludf.DUMMYFUNCTION("""COMPUTED_VALUE"""),"Terre Haute South Vigo High School")</f>
        <v>Terre Haute South Vigo High School</v>
      </c>
      <c r="G1012" s="1">
        <f ca="1">IFERROR(__xludf.DUMMYFUNCTION("""COMPUTED_VALUE"""),0)</f>
        <v>0</v>
      </c>
      <c r="H1012" s="1">
        <f ca="1">IFERROR(__xludf.DUMMYFUNCTION("""COMPUTED_VALUE"""),0)</f>
        <v>0</v>
      </c>
      <c r="I1012" s="1">
        <f ca="1">IFERROR(__xludf.DUMMYFUNCTION("""COMPUTED_VALUE"""),0)</f>
        <v>0</v>
      </c>
      <c r="J1012" s="1">
        <f ca="1">IFERROR(__xludf.DUMMYFUNCTION("""COMPUTED_VALUE"""),0)</f>
        <v>0</v>
      </c>
      <c r="K1012" s="1" t="str">
        <f ca="1">IFERROR(__xludf.DUMMYFUNCTION("""COMPUTED_VALUE"""),"Fall")</f>
        <v>Fall</v>
      </c>
      <c r="L1012" s="1" t="str">
        <f ca="1">IFERROR(__xludf.DUMMYFUNCTION("""COMPUTED_VALUE"""),"Terre Haute")</f>
        <v>Terre Haute</v>
      </c>
      <c r="M1012" s="1" t="str">
        <f ca="1">IFERROR(__xludf.DUMMYFUNCTION("""COMPUTED_VALUE"""),"IN")</f>
        <v>IN</v>
      </c>
      <c r="N1012" s="1" t="str">
        <f ca="1">IFERROR(__xludf.DUMMYFUNCTION("""COMPUTED_VALUE"""),"High")</f>
        <v>High</v>
      </c>
      <c r="O1012" s="1" t="str">
        <f ca="1">IFERROR(__xludf.DUMMYFUNCTION("""COMPUTED_VALUE"""),"Parking Lot")</f>
        <v>Parking Lot</v>
      </c>
      <c r="P1012" s="1" t="str">
        <f ca="1">IFERROR(__xludf.DUMMYFUNCTION("""COMPUTED_VALUE"""),"Outside on School Property")</f>
        <v>Outside on School Property</v>
      </c>
      <c r="Q1012" s="1" t="str">
        <f ca="1">IFERROR(__xludf.DUMMYFUNCTION("""COMPUTED_VALUE"""),"No")</f>
        <v>No</v>
      </c>
      <c r="R1012" s="1" t="str">
        <f ca="1">IFERROR(__xludf.DUMMYFUNCTION("""COMPUTED_VALUE"""),"Not a School Day")</f>
        <v>Not a School Day</v>
      </c>
      <c r="S1012" s="5">
        <f ca="1">IFERROR(__xludf.DUMMYFUNCTION("""COMPUTED_VALUE"""),0.69375)</f>
        <v>0.69374999999999998</v>
      </c>
      <c r="T1012" s="1">
        <f ca="1">IFERROR(__xludf.DUMMYFUNCTION("""COMPUTED_VALUE"""),1)</f>
        <v>1</v>
      </c>
      <c r="U1012" s="1" t="str">
        <f ca="1">IFERROR(__xludf.DUMMYFUNCTION("""COMPUTED_VALUE"""),"Shots fired in the school parking lot")</f>
        <v>Shots fired in the school parking lot</v>
      </c>
      <c r="V1012" s="1" t="str">
        <f ca="1">IFERROR(__xludf.DUMMYFUNCTION("""COMPUTED_VALUE"""),"23 year-old man fired shot in the school parking lot. No injuries. Shooter fled the scene and was arrested later that night. Motive unknown. School was closed at the time of the shooting.")</f>
        <v>23 year-old man fired shot in the school parking lot. No injuries. Shooter fled the scene and was arrested later that night. Motive unknown. School was closed at the time of the shooting.</v>
      </c>
      <c r="W1012" s="1"/>
      <c r="X1012" s="1" t="str">
        <f ca="1">IFERROR(__xludf.DUMMYFUNCTION("""COMPUTED_VALUE"""),"Victims Targeted")</f>
        <v>Victims Targeted</v>
      </c>
      <c r="Y1012" s="1"/>
      <c r="Z1012" s="1"/>
      <c r="AA1012" s="1" t="str">
        <f ca="1">IFERROR(__xludf.DUMMYFUNCTION("""COMPUTED_VALUE"""),"No")</f>
        <v>No</v>
      </c>
      <c r="AB1012" s="1" t="str">
        <f ca="1">IFERROR(__xludf.DUMMYFUNCTION("""COMPUTED_VALUE"""),"No")</f>
        <v>No</v>
      </c>
      <c r="AC1012" s="1" t="str">
        <f ca="1">IFERROR(__xludf.DUMMYFUNCTION("""COMPUTED_VALUE"""),"No")</f>
        <v>No</v>
      </c>
      <c r="AD1012" s="1" t="str">
        <f ca="1">IFERROR(__xludf.DUMMYFUNCTION("""COMPUTED_VALUE"""),"No")</f>
        <v>No</v>
      </c>
      <c r="AE1012" s="1" t="str">
        <f ca="1">IFERROR(__xludf.DUMMYFUNCTION("""COMPUTED_VALUE"""),"No")</f>
        <v>No</v>
      </c>
      <c r="AF1012" s="1"/>
      <c r="AG1012" s="1" t="str">
        <f ca="1">IFERROR(__xludf.DUMMYFUNCTION("""COMPUTED_VALUE"""),"No")</f>
        <v>No</v>
      </c>
      <c r="AH1012" s="1"/>
    </row>
    <row r="1013" spans="1:34" ht="12.5">
      <c r="A1013" s="1" t="str">
        <f ca="1">IFERROR(__xludf.DUMMYFUNCTION("""COMPUTED_VALUE"""),"20201106AZKHT")</f>
        <v>20201106AZKHT</v>
      </c>
      <c r="B1013" s="1">
        <f ca="1">IFERROR(__xludf.DUMMYFUNCTION("""COMPUTED_VALUE"""),11)</f>
        <v>11</v>
      </c>
      <c r="C1013" s="1">
        <f ca="1">IFERROR(__xludf.DUMMYFUNCTION("""COMPUTED_VALUE"""),6)</f>
        <v>6</v>
      </c>
      <c r="D1013" s="1">
        <f ca="1">IFERROR(__xludf.DUMMYFUNCTION("""COMPUTED_VALUE"""),2020)</f>
        <v>2020</v>
      </c>
      <c r="E1013" s="4">
        <f ca="1">IFERROR(__xludf.DUMMYFUNCTION("""COMPUTED_VALUE"""),44141)</f>
        <v>44141</v>
      </c>
      <c r="F1013" s="1" t="str">
        <f ca="1">IFERROR(__xludf.DUMMYFUNCTION("""COMPUTED_VALUE"""),"Khalsa Montessori Charter")</f>
        <v>Khalsa Montessori Charter</v>
      </c>
      <c r="G1013" s="1">
        <f ca="1">IFERROR(__xludf.DUMMYFUNCTION("""COMPUTED_VALUE"""),0)</f>
        <v>0</v>
      </c>
      <c r="H1013" s="1">
        <f ca="1">IFERROR(__xludf.DUMMYFUNCTION("""COMPUTED_VALUE"""),0)</f>
        <v>0</v>
      </c>
      <c r="I1013" s="1">
        <f ca="1">IFERROR(__xludf.DUMMYFUNCTION("""COMPUTED_VALUE"""),0)</f>
        <v>0</v>
      </c>
      <c r="J1013" s="1">
        <f ca="1">IFERROR(__xludf.DUMMYFUNCTION("""COMPUTED_VALUE"""),0)</f>
        <v>0</v>
      </c>
      <c r="K1013" s="1" t="str">
        <f ca="1">IFERROR(__xludf.DUMMYFUNCTION("""COMPUTED_VALUE"""),"Fall")</f>
        <v>Fall</v>
      </c>
      <c r="L1013" s="1" t="str">
        <f ca="1">IFERROR(__xludf.DUMMYFUNCTION("""COMPUTED_VALUE"""),"Tuscon")</f>
        <v>Tuscon</v>
      </c>
      <c r="M1013" s="1" t="str">
        <f ca="1">IFERROR(__xludf.DUMMYFUNCTION("""COMPUTED_VALUE"""),"AZ")</f>
        <v>AZ</v>
      </c>
      <c r="N1013" s="1" t="str">
        <f ca="1">IFERROR(__xludf.DUMMYFUNCTION("""COMPUTED_VALUE"""),"Elementary")</f>
        <v>Elementary</v>
      </c>
      <c r="O1013" s="1" t="str">
        <f ca="1">IFERROR(__xludf.DUMMYFUNCTION("""COMPUTED_VALUE"""),"Parking Lot")</f>
        <v>Parking Lot</v>
      </c>
      <c r="P1013" s="1" t="str">
        <f ca="1">IFERROR(__xludf.DUMMYFUNCTION("""COMPUTED_VALUE"""),"Outside on School Property")</f>
        <v>Outside on School Property</v>
      </c>
      <c r="Q1013" s="1" t="str">
        <f ca="1">IFERROR(__xludf.DUMMYFUNCTION("""COMPUTED_VALUE"""),"Yes")</f>
        <v>Yes</v>
      </c>
      <c r="R1013" s="1" t="str">
        <f ca="1">IFERROR(__xludf.DUMMYFUNCTION("""COMPUTED_VALUE"""),"Morning Classes")</f>
        <v>Morning Classes</v>
      </c>
      <c r="S1013" s="5">
        <f ca="1">IFERROR(__xludf.DUMMYFUNCTION("""COMPUTED_VALUE"""),0.416666666666666)</f>
        <v>0.41666666666666602</v>
      </c>
      <c r="T1013" s="1"/>
      <c r="U1013" s="1" t="str">
        <f ca="1">IFERROR(__xludf.DUMMYFUNCTION("""COMPUTED_VALUE"""),"Man fired shots at multiple vehicles in the school parking lot during standoff with police")</f>
        <v>Man fired shots at multiple vehicles in the school parking lot during standoff with police</v>
      </c>
      <c r="V1013" s="1" t="str">
        <f ca="1">IFERROR(__xludf.DUMMYFUNCTION("""COMPUTED_VALUE"""),"A 73 year-old man fired multiple shot at vehicles parked in the school parking lot during a standoff with police. Teachers inside the school were locked down and residents in the neighborhood were evacuated. Teachers were leading virtual classes at the ti"&amp;"me of the incident. Man was arrested and charged with 14 felonies. Motive unknown. The shooter's home was searched by police and deemed unlivable by inspectors.")</f>
        <v>A 73 year-old man fired multiple shot at vehicles parked in the school parking lot during a standoff with police. Teachers inside the school were locked down and residents in the neighborhood were evacuated. Teachers were leading virtual classes at the time of the incident. Man was arrested and charged with 14 felonies. Motive unknown. The shooter's home was searched by police and deemed unlivable by inspectors.</v>
      </c>
      <c r="W1013" s="1" t="str">
        <f ca="1">IFERROR(__xludf.DUMMYFUNCTION("""COMPUTED_VALUE"""),"Hostage/Standoff")</f>
        <v>Hostage/Standoff</v>
      </c>
      <c r="X1013" s="1" t="str">
        <f ca="1">IFERROR(__xludf.DUMMYFUNCTION("""COMPUTED_VALUE"""),"Neither")</f>
        <v>Neither</v>
      </c>
      <c r="Y1013" s="1" t="str">
        <f ca="1">IFERROR(__xludf.DUMMYFUNCTION("""COMPUTED_VALUE"""),"No")</f>
        <v>No</v>
      </c>
      <c r="Z1013" s="1"/>
      <c r="AA1013" s="1" t="str">
        <f ca="1">IFERROR(__xludf.DUMMYFUNCTION("""COMPUTED_VALUE"""),"No")</f>
        <v>No</v>
      </c>
      <c r="AB1013" s="1" t="str">
        <f ca="1">IFERROR(__xludf.DUMMYFUNCTION("""COMPUTED_VALUE"""),"No")</f>
        <v>No</v>
      </c>
      <c r="AC1013" s="1" t="str">
        <f ca="1">IFERROR(__xludf.DUMMYFUNCTION("""COMPUTED_VALUE"""),"No")</f>
        <v>No</v>
      </c>
      <c r="AD1013" s="1" t="str">
        <f ca="1">IFERROR(__xludf.DUMMYFUNCTION("""COMPUTED_VALUE"""),"No")</f>
        <v>No</v>
      </c>
      <c r="AE1013" s="1" t="str">
        <f ca="1">IFERROR(__xludf.DUMMYFUNCTION("""COMPUTED_VALUE"""),"No")</f>
        <v>No</v>
      </c>
      <c r="AF1013" s="1" t="str">
        <f ca="1">IFERROR(__xludf.DUMMYFUNCTION("""COMPUTED_VALUE"""),"No")</f>
        <v>No</v>
      </c>
      <c r="AG1013" s="1" t="str">
        <f ca="1">IFERROR(__xludf.DUMMYFUNCTION("""COMPUTED_VALUE"""),"Yes")</f>
        <v>Yes</v>
      </c>
      <c r="AH1013" s="1"/>
    </row>
    <row r="1014" spans="1:34" ht="12.5">
      <c r="A1014" s="1" t="str">
        <f ca="1">IFERROR(__xludf.DUMMYFUNCTION("""COMPUTED_VALUE"""),"20201102COERE")</f>
        <v>20201102COERE</v>
      </c>
      <c r="B1014" s="1">
        <f ca="1">IFERROR(__xludf.DUMMYFUNCTION("""COMPUTED_VALUE"""),11)</f>
        <v>11</v>
      </c>
      <c r="C1014" s="1">
        <f ca="1">IFERROR(__xludf.DUMMYFUNCTION("""COMPUTED_VALUE"""),2)</f>
        <v>2</v>
      </c>
      <c r="D1014" s="1">
        <f ca="1">IFERROR(__xludf.DUMMYFUNCTION("""COMPUTED_VALUE"""),2020)</f>
        <v>2020</v>
      </c>
      <c r="E1014" s="4">
        <f ca="1">IFERROR(__xludf.DUMMYFUNCTION("""COMPUTED_VALUE"""),44137)</f>
        <v>44137</v>
      </c>
      <c r="F1014" s="1" t="str">
        <f ca="1">IFERROR(__xludf.DUMMYFUNCTION("""COMPUTED_VALUE"""),"Erie High School")</f>
        <v>Erie High School</v>
      </c>
      <c r="G1014" s="1">
        <f ca="1">IFERROR(__xludf.DUMMYFUNCTION("""COMPUTED_VALUE"""),0)</f>
        <v>0</v>
      </c>
      <c r="H1014" s="1">
        <f ca="1">IFERROR(__xludf.DUMMYFUNCTION("""COMPUTED_VALUE"""),0)</f>
        <v>0</v>
      </c>
      <c r="I1014" s="1">
        <f ca="1">IFERROR(__xludf.DUMMYFUNCTION("""COMPUTED_VALUE"""),0)</f>
        <v>0</v>
      </c>
      <c r="J1014" s="1">
        <f ca="1">IFERROR(__xludf.DUMMYFUNCTION("""COMPUTED_VALUE"""),0)</f>
        <v>0</v>
      </c>
      <c r="K1014" s="1" t="str">
        <f ca="1">IFERROR(__xludf.DUMMYFUNCTION("""COMPUTED_VALUE"""),"Fall")</f>
        <v>Fall</v>
      </c>
      <c r="L1014" s="1" t="str">
        <f ca="1">IFERROR(__xludf.DUMMYFUNCTION("""COMPUTED_VALUE"""),"Erie")</f>
        <v>Erie</v>
      </c>
      <c r="M1014" s="1" t="str">
        <f ca="1">IFERROR(__xludf.DUMMYFUNCTION("""COMPUTED_VALUE"""),"CO")</f>
        <v>CO</v>
      </c>
      <c r="N1014" s="1" t="str">
        <f ca="1">IFERROR(__xludf.DUMMYFUNCTION("""COMPUTED_VALUE"""),"High")</f>
        <v>High</v>
      </c>
      <c r="O1014" s="1" t="str">
        <f ca="1">IFERROR(__xludf.DUMMYFUNCTION("""COMPUTED_VALUE"""),"Cafeteria")</f>
        <v>Cafeteria</v>
      </c>
      <c r="P1014" s="1" t="str">
        <f ca="1">IFERROR(__xludf.DUMMYFUNCTION("""COMPUTED_VALUE"""),"Outside on School Property")</f>
        <v>Outside on School Property</v>
      </c>
      <c r="Q1014" s="1" t="str">
        <f ca="1">IFERROR(__xludf.DUMMYFUNCTION("""COMPUTED_VALUE"""),"No")</f>
        <v>No</v>
      </c>
      <c r="R1014" s="1" t="str">
        <f ca="1">IFERROR(__xludf.DUMMYFUNCTION("""COMPUTED_VALUE"""),"Night")</f>
        <v>Night</v>
      </c>
      <c r="S1014" s="5">
        <f ca="1">IFERROR(__xludf.DUMMYFUNCTION("""COMPUTED_VALUE"""),0.00347222222222222)</f>
        <v>3.4722222222222199E-3</v>
      </c>
      <c r="T1014" s="1">
        <f ca="1">IFERROR(__xludf.DUMMYFUNCTION("""COMPUTED_VALUE"""),1)</f>
        <v>1</v>
      </c>
      <c r="U1014" s="1" t="str">
        <f ca="1">IFERROR(__xludf.DUMMYFUNCTION("""COMPUTED_VALUE"""),"Bullet shot at cafeteria window")</f>
        <v>Bullet shot at cafeteria window</v>
      </c>
      <c r="V1014" s="1" t="str">
        <f ca="1">IFERROR(__xludf.DUMMYFUNCTION("""COMPUTED_VALUE"""),"School officials notified police when they found a projectile hole in a window in the school cafeteria at 7:30 AM. Police believe the shot was fired just after midnight. No suspect.")</f>
        <v>School officials notified police when they found a projectile hole in a window in the school cafeteria at 7:30 AM. Police believe the shot was fired just after midnight. No suspect.</v>
      </c>
      <c r="W1014" s="1" t="str">
        <f ca="1">IFERROR(__xludf.DUMMYFUNCTION("""COMPUTED_VALUE"""),"Intentional Property Damage")</f>
        <v>Intentional Property Damage</v>
      </c>
      <c r="X1014" s="1" t="str">
        <f ca="1">IFERROR(__xludf.DUMMYFUNCTION("""COMPUTED_VALUE"""),"Neither")</f>
        <v>Neither</v>
      </c>
      <c r="Y1014" s="1"/>
      <c r="Z1014" s="1"/>
      <c r="AA1014" s="1" t="str">
        <f ca="1">IFERROR(__xludf.DUMMYFUNCTION("""COMPUTED_VALUE"""),"No")</f>
        <v>No</v>
      </c>
      <c r="AB1014" s="1" t="str">
        <f ca="1">IFERROR(__xludf.DUMMYFUNCTION("""COMPUTED_VALUE"""),"No")</f>
        <v>No</v>
      </c>
      <c r="AC1014" s="1" t="str">
        <f ca="1">IFERROR(__xludf.DUMMYFUNCTION("""COMPUTED_VALUE"""),"No")</f>
        <v>No</v>
      </c>
      <c r="AD1014" s="1"/>
      <c r="AE1014" s="1" t="str">
        <f ca="1">IFERROR(__xludf.DUMMYFUNCTION("""COMPUTED_VALUE"""),"No")</f>
        <v>No</v>
      </c>
      <c r="AF1014" s="1" t="str">
        <f ca="1">IFERROR(__xludf.DUMMYFUNCTION("""COMPUTED_VALUE"""),"No")</f>
        <v>No</v>
      </c>
      <c r="AG1014" s="1" t="str">
        <f ca="1">IFERROR(__xludf.DUMMYFUNCTION("""COMPUTED_VALUE"""),"No")</f>
        <v>No</v>
      </c>
      <c r="AH1014" s="1">
        <f ca="1">IFERROR(__xludf.DUMMYFUNCTION("""COMPUTED_VALUE"""),1)</f>
        <v>1</v>
      </c>
    </row>
    <row r="1015" spans="1:34" ht="12.5">
      <c r="A1015" s="1" t="str">
        <f ca="1">IFERROR(__xludf.DUMMYFUNCTION("""COMPUTED_VALUE"""),"20201029FLLAM")</f>
        <v>20201029FLLAM</v>
      </c>
      <c r="B1015" s="1">
        <f ca="1">IFERROR(__xludf.DUMMYFUNCTION("""COMPUTED_VALUE"""),10)</f>
        <v>10</v>
      </c>
      <c r="C1015" s="1">
        <f ca="1">IFERROR(__xludf.DUMMYFUNCTION("""COMPUTED_VALUE"""),29)</f>
        <v>29</v>
      </c>
      <c r="D1015" s="1">
        <f ca="1">IFERROR(__xludf.DUMMYFUNCTION("""COMPUTED_VALUE"""),2020)</f>
        <v>2020</v>
      </c>
      <c r="E1015" s="4">
        <f ca="1">IFERROR(__xludf.DUMMYFUNCTION("""COMPUTED_VALUE"""),44133)</f>
        <v>44133</v>
      </c>
      <c r="F1015" s="1" t="str">
        <f ca="1">IFERROR(__xludf.DUMMYFUNCTION("""COMPUTED_VALUE"""),"Lawton Chiles Middle School")</f>
        <v>Lawton Chiles Middle School</v>
      </c>
      <c r="G1015" s="1">
        <f ca="1">IFERROR(__xludf.DUMMYFUNCTION("""COMPUTED_VALUE"""),2)</f>
        <v>2</v>
      </c>
      <c r="H1015" s="1">
        <f ca="1">IFERROR(__xludf.DUMMYFUNCTION("""COMPUTED_VALUE"""),0)</f>
        <v>0</v>
      </c>
      <c r="I1015" s="1">
        <f ca="1">IFERROR(__xludf.DUMMYFUNCTION("""COMPUTED_VALUE"""),2)</f>
        <v>2</v>
      </c>
      <c r="J1015" s="1">
        <f ca="1">IFERROR(__xludf.DUMMYFUNCTION("""COMPUTED_VALUE"""),0)</f>
        <v>0</v>
      </c>
      <c r="K1015" s="1" t="str">
        <f ca="1">IFERROR(__xludf.DUMMYFUNCTION("""COMPUTED_VALUE"""),"Fall")</f>
        <v>Fall</v>
      </c>
      <c r="L1015" s="1" t="str">
        <f ca="1">IFERROR(__xludf.DUMMYFUNCTION("""COMPUTED_VALUE"""),"Miramar")</f>
        <v>Miramar</v>
      </c>
      <c r="M1015" s="1" t="str">
        <f ca="1">IFERROR(__xludf.DUMMYFUNCTION("""COMPUTED_VALUE"""),"FL")</f>
        <v>FL</v>
      </c>
      <c r="N1015" s="1" t="str">
        <f ca="1">IFERROR(__xludf.DUMMYFUNCTION("""COMPUTED_VALUE"""),"Middle")</f>
        <v>Middle</v>
      </c>
      <c r="O1015" s="1" t="str">
        <f ca="1">IFERROR(__xludf.DUMMYFUNCTION("""COMPUTED_VALUE"""),"Parking Lot")</f>
        <v>Parking Lot</v>
      </c>
      <c r="P1015" s="1" t="str">
        <f ca="1">IFERROR(__xludf.DUMMYFUNCTION("""COMPUTED_VALUE"""),"Outside on School Property")</f>
        <v>Outside on School Property</v>
      </c>
      <c r="Q1015" s="1" t="str">
        <f ca="1">IFERROR(__xludf.DUMMYFUNCTION("""COMPUTED_VALUE"""),"No")</f>
        <v>No</v>
      </c>
      <c r="R1015" s="1" t="str">
        <f ca="1">IFERROR(__xludf.DUMMYFUNCTION("""COMPUTED_VALUE"""),"Night")</f>
        <v>Night</v>
      </c>
      <c r="S1015" s="5">
        <f ca="1">IFERROR(__xludf.DUMMYFUNCTION("""COMPUTED_VALUE"""),0.96875)</f>
        <v>0.96875</v>
      </c>
      <c r="T1015" s="1">
        <f ca="1">IFERROR(__xludf.DUMMYFUNCTION("""COMPUTED_VALUE"""),1)</f>
        <v>1</v>
      </c>
      <c r="U1015" s="1" t="str">
        <f ca="1">IFERROR(__xludf.DUMMYFUNCTION("""COMPUTED_VALUE"""),"Two men fatally shot in school parking lot")</f>
        <v>Two men fatally shot in school parking lot</v>
      </c>
      <c r="V1015" s="1" t="str">
        <f ca="1">IFERROR(__xludf.DUMMYFUNCTION("""COMPUTED_VALUE"""),"Two men were fatally shot in the school parking lot. One man was found by police in the parking lot and flown to the hospital where he died. The second man was found fatally shot in a vehicle that crashed nearby. Unclear if the men shot at each other or i"&amp;"f there was another person involved.")</f>
        <v>Two men were fatally shot in the school parking lot. One man was found by police in the parking lot and flown to the hospital where he died. The second man was found fatally shot in a vehicle that crashed nearby. Unclear if the men shot at each other or if there was another person involved.</v>
      </c>
      <c r="W1015" s="1"/>
      <c r="X1015" s="1" t="str">
        <f ca="1">IFERROR(__xludf.DUMMYFUNCTION("""COMPUTED_VALUE"""),"Victims Targeted")</f>
        <v>Victims Targeted</v>
      </c>
      <c r="Y1015" s="1"/>
      <c r="Z1015" s="1"/>
      <c r="AA1015" s="1" t="str">
        <f ca="1">IFERROR(__xludf.DUMMYFUNCTION("""COMPUTED_VALUE"""),"No")</f>
        <v>No</v>
      </c>
      <c r="AB1015" s="1" t="str">
        <f ca="1">IFERROR(__xludf.DUMMYFUNCTION("""COMPUTED_VALUE"""),"No")</f>
        <v>No</v>
      </c>
      <c r="AC1015" s="1" t="str">
        <f ca="1">IFERROR(__xludf.DUMMYFUNCTION("""COMPUTED_VALUE"""),"No")</f>
        <v>No</v>
      </c>
      <c r="AD1015" s="1" t="str">
        <f ca="1">IFERROR(__xludf.DUMMYFUNCTION("""COMPUTED_VALUE"""),"No")</f>
        <v>No</v>
      </c>
      <c r="AE1015" s="1" t="str">
        <f ca="1">IFERROR(__xludf.DUMMYFUNCTION("""COMPUTED_VALUE"""),"No")</f>
        <v>No</v>
      </c>
      <c r="AF1015" s="1"/>
      <c r="AG1015" s="1" t="str">
        <f ca="1">IFERROR(__xludf.DUMMYFUNCTION("""COMPUTED_VALUE"""),"No")</f>
        <v>No</v>
      </c>
      <c r="AH1015" s="1"/>
    </row>
    <row r="1016" spans="1:34" ht="12.5">
      <c r="A1016" s="1" t="str">
        <f ca="1">IFERROR(__xludf.DUMMYFUNCTION("""COMPUTED_VALUE"""),"20201028NYROR")</f>
        <v>20201028NYROR</v>
      </c>
      <c r="B1016" s="1">
        <f ca="1">IFERROR(__xludf.DUMMYFUNCTION("""COMPUTED_VALUE"""),10)</f>
        <v>10</v>
      </c>
      <c r="C1016" s="1">
        <f ca="1">IFERROR(__xludf.DUMMYFUNCTION("""COMPUTED_VALUE"""),28)</f>
        <v>28</v>
      </c>
      <c r="D1016" s="1">
        <f ca="1">IFERROR(__xludf.DUMMYFUNCTION("""COMPUTED_VALUE"""),2020)</f>
        <v>2020</v>
      </c>
      <c r="E1016" s="4">
        <f ca="1">IFERROR(__xludf.DUMMYFUNCTION("""COMPUTED_VALUE"""),44132)</f>
        <v>44132</v>
      </c>
      <c r="F1016" s="1" t="str">
        <f ca="1">IFERROR(__xludf.DUMMYFUNCTION("""COMPUTED_VALUE"""),"Rochester Prep Charter School")</f>
        <v>Rochester Prep Charter School</v>
      </c>
      <c r="G1016" s="1">
        <f ca="1">IFERROR(__xludf.DUMMYFUNCTION("""COMPUTED_VALUE"""),0)</f>
        <v>0</v>
      </c>
      <c r="H1016" s="1">
        <f ca="1">IFERROR(__xludf.DUMMYFUNCTION("""COMPUTED_VALUE"""),0)</f>
        <v>0</v>
      </c>
      <c r="I1016" s="1">
        <f ca="1">IFERROR(__xludf.DUMMYFUNCTION("""COMPUTED_VALUE"""),0)</f>
        <v>0</v>
      </c>
      <c r="J1016" s="1">
        <f ca="1">IFERROR(__xludf.DUMMYFUNCTION("""COMPUTED_VALUE"""),0)</f>
        <v>0</v>
      </c>
      <c r="K1016" s="1" t="str">
        <f ca="1">IFERROR(__xludf.DUMMYFUNCTION("""COMPUTED_VALUE"""),"Fall")</f>
        <v>Fall</v>
      </c>
      <c r="L1016" s="1" t="str">
        <f ca="1">IFERROR(__xludf.DUMMYFUNCTION("""COMPUTED_VALUE"""),"Rochester")</f>
        <v>Rochester</v>
      </c>
      <c r="M1016" s="1" t="str">
        <f ca="1">IFERROR(__xludf.DUMMYFUNCTION("""COMPUTED_VALUE"""),"NY")</f>
        <v>NY</v>
      </c>
      <c r="N1016" s="1" t="str">
        <f ca="1">IFERROR(__xludf.DUMMYFUNCTION("""COMPUTED_VALUE"""),"K-12")</f>
        <v>K-12</v>
      </c>
      <c r="O1016" s="1" t="str">
        <f ca="1">IFERROR(__xludf.DUMMYFUNCTION("""COMPUTED_VALUE"""),"Front of School")</f>
        <v>Front of School</v>
      </c>
      <c r="P1016" s="1" t="str">
        <f ca="1">IFERROR(__xludf.DUMMYFUNCTION("""COMPUTED_VALUE"""),"Off School Property")</f>
        <v>Off School Property</v>
      </c>
      <c r="Q1016" s="1" t="str">
        <f ca="1">IFERROR(__xludf.DUMMYFUNCTION("""COMPUTED_VALUE"""),"No")</f>
        <v>No</v>
      </c>
      <c r="R1016" s="1" t="str">
        <f ca="1">IFERROR(__xludf.DUMMYFUNCTION("""COMPUTED_VALUE"""),"Evening")</f>
        <v>Evening</v>
      </c>
      <c r="S1016" s="5">
        <f ca="1">IFERROR(__xludf.DUMMYFUNCTION("""COMPUTED_VALUE"""),0.708333333333333)</f>
        <v>0.70833333333333304</v>
      </c>
      <c r="T1016" s="1">
        <f ca="1">IFERROR(__xludf.DUMMYFUNCTION("""COMPUTED_VALUE"""),1)</f>
        <v>1</v>
      </c>
      <c r="U1016" s="1" t="str">
        <f ca="1">IFERROR(__xludf.DUMMYFUNCTION("""COMPUTED_VALUE"""),"School building struck by shot fired during drive-by")</f>
        <v>School building struck by shot fired during drive-by</v>
      </c>
      <c r="V1016" s="1" t="str">
        <f ca="1">IFERROR(__xludf.DUMMYFUNCTION("""COMPUTED_VALUE"""),"Shots fired during a drive-by shooting struck the school building. No staff or students were inside the building at the time of the shooting.")</f>
        <v>Shots fired during a drive-by shooting struck the school building. No staff or students were inside the building at the time of the shooting.</v>
      </c>
      <c r="W1016" s="1" t="str">
        <f ca="1">IFERROR(__xludf.DUMMYFUNCTION("""COMPUTED_VALUE"""),"Drive-by Shooting")</f>
        <v>Drive-by Shooting</v>
      </c>
      <c r="X1016" s="1" t="str">
        <f ca="1">IFERROR(__xludf.DUMMYFUNCTION("""COMPUTED_VALUE"""),"Victims Targeted")</f>
        <v>Victims Targeted</v>
      </c>
      <c r="Y1016" s="1"/>
      <c r="Z1016" s="1"/>
      <c r="AA1016" s="1" t="str">
        <f ca="1">IFERROR(__xludf.DUMMYFUNCTION("""COMPUTED_VALUE"""),"No")</f>
        <v>No</v>
      </c>
      <c r="AB1016" s="1" t="str">
        <f ca="1">IFERROR(__xludf.DUMMYFUNCTION("""COMPUTED_VALUE"""),"No")</f>
        <v>No</v>
      </c>
      <c r="AC1016" s="1" t="str">
        <f ca="1">IFERROR(__xludf.DUMMYFUNCTION("""COMPUTED_VALUE"""),"No")</f>
        <v>No</v>
      </c>
      <c r="AD1016" s="1" t="str">
        <f ca="1">IFERROR(__xludf.DUMMYFUNCTION("""COMPUTED_VALUE"""),"No")</f>
        <v>No</v>
      </c>
      <c r="AE1016" s="1" t="str">
        <f ca="1">IFERROR(__xludf.DUMMYFUNCTION("""COMPUTED_VALUE"""),"No")</f>
        <v>No</v>
      </c>
      <c r="AF1016" s="1"/>
      <c r="AG1016" s="1" t="str">
        <f ca="1">IFERROR(__xludf.DUMMYFUNCTION("""COMPUTED_VALUE"""),"No")</f>
        <v>No</v>
      </c>
      <c r="AH1016" s="1"/>
    </row>
    <row r="1017" spans="1:34" ht="12.5">
      <c r="A1017" s="1" t="str">
        <f ca="1">IFERROR(__xludf.DUMMYFUNCTION("""COMPUTED_VALUE"""),"20201026GARIR")</f>
        <v>20201026GARIR</v>
      </c>
      <c r="B1017" s="1">
        <f ca="1">IFERROR(__xludf.DUMMYFUNCTION("""COMPUTED_VALUE"""),10)</f>
        <v>10</v>
      </c>
      <c r="C1017" s="1">
        <f ca="1">IFERROR(__xludf.DUMMYFUNCTION("""COMPUTED_VALUE"""),26)</f>
        <v>26</v>
      </c>
      <c r="D1017" s="1">
        <f ca="1">IFERROR(__xludf.DUMMYFUNCTION("""COMPUTED_VALUE"""),2020)</f>
        <v>2020</v>
      </c>
      <c r="E1017" s="4">
        <f ca="1">IFERROR(__xludf.DUMMYFUNCTION("""COMPUTED_VALUE"""),44130)</f>
        <v>44130</v>
      </c>
      <c r="F1017" s="1" t="str">
        <f ca="1">IFERROR(__xludf.DUMMYFUNCTION("""COMPUTED_VALUE"""),"Riverdale High School")</f>
        <v>Riverdale High School</v>
      </c>
      <c r="G1017" s="1">
        <f ca="1">IFERROR(__xludf.DUMMYFUNCTION("""COMPUTED_VALUE"""),1)</f>
        <v>1</v>
      </c>
      <c r="H1017" s="1">
        <f ca="1">IFERROR(__xludf.DUMMYFUNCTION("""COMPUTED_VALUE"""),0)</f>
        <v>0</v>
      </c>
      <c r="I1017" s="1">
        <f ca="1">IFERROR(__xludf.DUMMYFUNCTION("""COMPUTED_VALUE"""),1)</f>
        <v>1</v>
      </c>
      <c r="J1017" s="1">
        <f ca="1">IFERROR(__xludf.DUMMYFUNCTION("""COMPUTED_VALUE"""),0)</f>
        <v>0</v>
      </c>
      <c r="K1017" s="1" t="str">
        <f ca="1">IFERROR(__xludf.DUMMYFUNCTION("""COMPUTED_VALUE"""),"Fall")</f>
        <v>Fall</v>
      </c>
      <c r="L1017" s="1" t="str">
        <f ca="1">IFERROR(__xludf.DUMMYFUNCTION("""COMPUTED_VALUE"""),"Riverdale")</f>
        <v>Riverdale</v>
      </c>
      <c r="M1017" s="1" t="str">
        <f ca="1">IFERROR(__xludf.DUMMYFUNCTION("""COMPUTED_VALUE"""),"GA")</f>
        <v>GA</v>
      </c>
      <c r="N1017" s="1" t="str">
        <f ca="1">IFERROR(__xludf.DUMMYFUNCTION("""COMPUTED_VALUE"""),"High")</f>
        <v>High</v>
      </c>
      <c r="O1017" s="1" t="str">
        <f ca="1">IFERROR(__xludf.DUMMYFUNCTION("""COMPUTED_VALUE"""),"Parking Lot")</f>
        <v>Parking Lot</v>
      </c>
      <c r="P1017" s="1" t="str">
        <f ca="1">IFERROR(__xludf.DUMMYFUNCTION("""COMPUTED_VALUE"""),"Outside on School Property")</f>
        <v>Outside on School Property</v>
      </c>
      <c r="Q1017" s="1" t="str">
        <f ca="1">IFERROR(__xludf.DUMMYFUNCTION("""COMPUTED_VALUE"""),"No")</f>
        <v>No</v>
      </c>
      <c r="R1017" s="1" t="str">
        <f ca="1">IFERROR(__xludf.DUMMYFUNCTION("""COMPUTED_VALUE"""),"Evening")</f>
        <v>Evening</v>
      </c>
      <c r="S1017" s="5">
        <f ca="1">IFERROR(__xludf.DUMMYFUNCTION("""COMPUTED_VALUE"""),0.723611111111111)</f>
        <v>0.72361111111111098</v>
      </c>
      <c r="T1017" s="1">
        <f ca="1">IFERROR(__xludf.DUMMYFUNCTION("""COMPUTED_VALUE"""),1)</f>
        <v>1</v>
      </c>
      <c r="U1017" s="1" t="str">
        <f ca="1">IFERROR(__xludf.DUMMYFUNCTION("""COMPUTED_VALUE"""),"Man shot and killed in school parking lot")</f>
        <v>Man shot and killed in school parking lot</v>
      </c>
      <c r="V1017" s="1" t="str">
        <f ca="1">IFERROR(__xludf.DUMMYFUNCTION("""COMPUTED_VALUE"""),"A 28 year-old man was shot and killed in the high school parking lot. The school is currently closed for COVID and no students or staff were involved. The shooter fled the scene. Police said the shooter and victims were not affiliated with the school.")</f>
        <v>A 28 year-old man was shot and killed in the high school parking lot. The school is currently closed for COVID and no students or staff were involved. The shooter fled the scene. Police said the shooter and victims were not affiliated with the school.</v>
      </c>
      <c r="W1017" s="1" t="str">
        <f ca="1">IFERROR(__xludf.DUMMYFUNCTION("""COMPUTED_VALUE"""),"Illegal Activity")</f>
        <v>Illegal Activity</v>
      </c>
      <c r="X1017" s="1" t="str">
        <f ca="1">IFERROR(__xludf.DUMMYFUNCTION("""COMPUTED_VALUE"""),"Victims Targeted")</f>
        <v>Victims Targeted</v>
      </c>
      <c r="Y1017" s="1" t="str">
        <f ca="1">IFERROR(__xludf.DUMMYFUNCTION("""COMPUTED_VALUE"""),"Yes")</f>
        <v>Yes</v>
      </c>
      <c r="Z1017" s="1" t="str">
        <f ca="1">IFERROR(__xludf.DUMMYFUNCTION("""COMPUTED_VALUE"""),"Drive of vehicle, passenger was the shooter")</f>
        <v>Drive of vehicle, passenger was the shooter</v>
      </c>
      <c r="AA1017" s="1" t="str">
        <f ca="1">IFERROR(__xludf.DUMMYFUNCTION("""COMPUTED_VALUE"""),"No")</f>
        <v>No</v>
      </c>
      <c r="AB1017" s="1" t="str">
        <f ca="1">IFERROR(__xludf.DUMMYFUNCTION("""COMPUTED_VALUE"""),"No")</f>
        <v>No</v>
      </c>
      <c r="AC1017" s="1" t="str">
        <f ca="1">IFERROR(__xludf.DUMMYFUNCTION("""COMPUTED_VALUE"""),"No")</f>
        <v>No</v>
      </c>
      <c r="AD1017" s="1" t="str">
        <f ca="1">IFERROR(__xludf.DUMMYFUNCTION("""COMPUTED_VALUE"""),"No")</f>
        <v>No</v>
      </c>
      <c r="AE1017" s="1" t="str">
        <f ca="1">IFERROR(__xludf.DUMMYFUNCTION("""COMPUTED_VALUE"""),"No")</f>
        <v>No</v>
      </c>
      <c r="AF1017" s="1" t="str">
        <f ca="1">IFERROR(__xludf.DUMMYFUNCTION("""COMPUTED_VALUE"""),"No")</f>
        <v>No</v>
      </c>
      <c r="AG1017" s="1" t="str">
        <f ca="1">IFERROR(__xludf.DUMMYFUNCTION("""COMPUTED_VALUE"""),"No")</f>
        <v>No</v>
      </c>
      <c r="AH1017" s="1"/>
    </row>
    <row r="1018" spans="1:34" ht="12.5">
      <c r="A1018" s="1" t="str">
        <f ca="1">IFERROR(__xludf.DUMMYFUNCTION("""COMPUTED_VALUE"""),"20201024CTSTS")</f>
        <v>20201024CTSTS</v>
      </c>
      <c r="B1018" s="1">
        <f ca="1">IFERROR(__xludf.DUMMYFUNCTION("""COMPUTED_VALUE"""),10)</f>
        <v>10</v>
      </c>
      <c r="C1018" s="1">
        <f ca="1">IFERROR(__xludf.DUMMYFUNCTION("""COMPUTED_VALUE"""),24)</f>
        <v>24</v>
      </c>
      <c r="D1018" s="1">
        <f ca="1">IFERROR(__xludf.DUMMYFUNCTION("""COMPUTED_VALUE"""),2020)</f>
        <v>2020</v>
      </c>
      <c r="E1018" s="4">
        <f ca="1">IFERROR(__xludf.DUMMYFUNCTION("""COMPUTED_VALUE"""),44128)</f>
        <v>44128</v>
      </c>
      <c r="F1018" s="1" t="str">
        <f ca="1">IFERROR(__xludf.DUMMYFUNCTION("""COMPUTED_VALUE"""),"Stillwater Elementary School")</f>
        <v>Stillwater Elementary School</v>
      </c>
      <c r="G1018" s="1">
        <f ca="1">IFERROR(__xludf.DUMMYFUNCTION("""COMPUTED_VALUE"""),0)</f>
        <v>0</v>
      </c>
      <c r="H1018" s="1">
        <f ca="1">IFERROR(__xludf.DUMMYFUNCTION("""COMPUTED_VALUE"""),0)</f>
        <v>0</v>
      </c>
      <c r="I1018" s="1">
        <f ca="1">IFERROR(__xludf.DUMMYFUNCTION("""COMPUTED_VALUE"""),0)</f>
        <v>0</v>
      </c>
      <c r="J1018" s="1">
        <f ca="1">IFERROR(__xludf.DUMMYFUNCTION("""COMPUTED_VALUE"""),0)</f>
        <v>0</v>
      </c>
      <c r="K1018" s="1" t="str">
        <f ca="1">IFERROR(__xludf.DUMMYFUNCTION("""COMPUTED_VALUE"""),"Fall")</f>
        <v>Fall</v>
      </c>
      <c r="L1018" s="1" t="str">
        <f ca="1">IFERROR(__xludf.DUMMYFUNCTION("""COMPUTED_VALUE"""),"Stamford")</f>
        <v>Stamford</v>
      </c>
      <c r="M1018" s="1" t="str">
        <f ca="1">IFERROR(__xludf.DUMMYFUNCTION("""COMPUTED_VALUE"""),"CT")</f>
        <v>CT</v>
      </c>
      <c r="N1018" s="1" t="str">
        <f ca="1">IFERROR(__xludf.DUMMYFUNCTION("""COMPUTED_VALUE"""),"Elementary")</f>
        <v>Elementary</v>
      </c>
      <c r="O1018" s="1" t="str">
        <f ca="1">IFERROR(__xludf.DUMMYFUNCTION("""COMPUTED_VALUE"""),"Beside Building")</f>
        <v>Beside Building</v>
      </c>
      <c r="P1018" s="1" t="str">
        <f ca="1">IFERROR(__xludf.DUMMYFUNCTION("""COMPUTED_VALUE"""),"Outside on School Property")</f>
        <v>Outside on School Property</v>
      </c>
      <c r="Q1018" s="1" t="str">
        <f ca="1">IFERROR(__xludf.DUMMYFUNCTION("""COMPUTED_VALUE"""),"No")</f>
        <v>No</v>
      </c>
      <c r="R1018" s="1" t="str">
        <f ca="1">IFERROR(__xludf.DUMMYFUNCTION("""COMPUTED_VALUE"""),"Night")</f>
        <v>Night</v>
      </c>
      <c r="S1018" s="5">
        <f ca="1">IFERROR(__xludf.DUMMYFUNCTION("""COMPUTED_VALUE"""),0.983333333333333)</f>
        <v>0.98333333333333295</v>
      </c>
      <c r="T1018" s="1">
        <f ca="1">IFERROR(__xludf.DUMMYFUNCTION("""COMPUTED_VALUE"""),1)</f>
        <v>1</v>
      </c>
      <c r="U1018" s="1" t="str">
        <f ca="1">IFERROR(__xludf.DUMMYFUNCTION("""COMPUTED_VALUE"""),"Shots fired next to school building")</f>
        <v>Shots fired next to school building</v>
      </c>
      <c r="V1018" s="1" t="str">
        <f ca="1">IFERROR(__xludf.DUMMYFUNCTION("""COMPUTED_VALUE"""),"Police were called for a report of gun shots fired near the school. Police searched the area and found 4 shell casings next to the building. No injuries or damage. No shooter or motive identified. School was closed at the time of the shooting.")</f>
        <v>Police were called for a report of gun shots fired near the school. Police searched the area and found 4 shell casings next to the building. No injuries or damage. No shooter or motive identified. School was closed at the time of the shooting.</v>
      </c>
      <c r="W1018" s="1"/>
      <c r="X1018" s="1"/>
      <c r="Y1018" s="1"/>
      <c r="Z1018" s="1"/>
      <c r="AA1018" s="1" t="str">
        <f ca="1">IFERROR(__xludf.DUMMYFUNCTION("""COMPUTED_VALUE"""),"No")</f>
        <v>No</v>
      </c>
      <c r="AB1018" s="1" t="str">
        <f ca="1">IFERROR(__xludf.DUMMYFUNCTION("""COMPUTED_VALUE"""),"No")</f>
        <v>No</v>
      </c>
      <c r="AC1018" s="1" t="str">
        <f ca="1">IFERROR(__xludf.DUMMYFUNCTION("""COMPUTED_VALUE"""),"No")</f>
        <v>No</v>
      </c>
      <c r="AD1018" s="1" t="str">
        <f ca="1">IFERROR(__xludf.DUMMYFUNCTION("""COMPUTED_VALUE"""),"No")</f>
        <v>No</v>
      </c>
      <c r="AE1018" s="1"/>
      <c r="AF1018" s="1"/>
      <c r="AG1018" s="1" t="str">
        <f ca="1">IFERROR(__xludf.DUMMYFUNCTION("""COMPUTED_VALUE"""),"No")</f>
        <v>No</v>
      </c>
      <c r="AH1018" s="1">
        <f ca="1">IFERROR(__xludf.DUMMYFUNCTION("""COMPUTED_VALUE"""),4)</f>
        <v>4</v>
      </c>
    </row>
    <row r="1019" spans="1:34" ht="12.5">
      <c r="A1019" s="1" t="str">
        <f ca="1">IFERROR(__xludf.DUMMYFUNCTION("""COMPUTED_VALUE"""),"20201020ARJAP")</f>
        <v>20201020ARJAP</v>
      </c>
      <c r="B1019" s="1">
        <f ca="1">IFERROR(__xludf.DUMMYFUNCTION("""COMPUTED_VALUE"""),10)</f>
        <v>10</v>
      </c>
      <c r="C1019" s="1">
        <f ca="1">IFERROR(__xludf.DUMMYFUNCTION("""COMPUTED_VALUE"""),20)</f>
        <v>20</v>
      </c>
      <c r="D1019" s="1">
        <f ca="1">IFERROR(__xludf.DUMMYFUNCTION("""COMPUTED_VALUE"""),2020)</f>
        <v>2020</v>
      </c>
      <c r="E1019" s="4">
        <f ca="1">IFERROR(__xludf.DUMMYFUNCTION("""COMPUTED_VALUE"""),44124)</f>
        <v>44124</v>
      </c>
      <c r="F1019" s="1" t="str">
        <f ca="1">IFERROR(__xludf.DUMMYFUNCTION("""COMPUTED_VALUE"""),"Jack Robey Junior High School")</f>
        <v>Jack Robey Junior High School</v>
      </c>
      <c r="G1019" s="1">
        <f ca="1">IFERROR(__xludf.DUMMYFUNCTION("""COMPUTED_VALUE"""),1)</f>
        <v>1</v>
      </c>
      <c r="H1019" s="1">
        <f ca="1">IFERROR(__xludf.DUMMYFUNCTION("""COMPUTED_VALUE"""),0)</f>
        <v>0</v>
      </c>
      <c r="I1019" s="1">
        <f ca="1">IFERROR(__xludf.DUMMYFUNCTION("""COMPUTED_VALUE"""),1)</f>
        <v>1</v>
      </c>
      <c r="J1019" s="1">
        <f ca="1">IFERROR(__xludf.DUMMYFUNCTION("""COMPUTED_VALUE"""),0)</f>
        <v>0</v>
      </c>
      <c r="K1019" s="1" t="str">
        <f ca="1">IFERROR(__xludf.DUMMYFUNCTION("""COMPUTED_VALUE"""),"Fall")</f>
        <v>Fall</v>
      </c>
      <c r="L1019" s="1" t="str">
        <f ca="1">IFERROR(__xludf.DUMMYFUNCTION("""COMPUTED_VALUE"""),"Pine Bluff")</f>
        <v>Pine Bluff</v>
      </c>
      <c r="M1019" s="1" t="str">
        <f ca="1">IFERROR(__xludf.DUMMYFUNCTION("""COMPUTED_VALUE"""),"AR")</f>
        <v>AR</v>
      </c>
      <c r="N1019" s="1" t="str">
        <f ca="1">IFERROR(__xludf.DUMMYFUNCTION("""COMPUTED_VALUE"""),"Junior High")</f>
        <v>Junior High</v>
      </c>
      <c r="O1019" s="1" t="str">
        <f ca="1">IFERROR(__xludf.DUMMYFUNCTION("""COMPUTED_VALUE"""),"Parking Lot")</f>
        <v>Parking Lot</v>
      </c>
      <c r="P1019" s="1" t="str">
        <f ca="1">IFERROR(__xludf.DUMMYFUNCTION("""COMPUTED_VALUE"""),"Outside on School Property")</f>
        <v>Outside on School Property</v>
      </c>
      <c r="Q1019" s="1" t="str">
        <f ca="1">IFERROR(__xludf.DUMMYFUNCTION("""COMPUTED_VALUE"""),"No")</f>
        <v>No</v>
      </c>
      <c r="R1019" s="1" t="str">
        <f ca="1">IFERROR(__xludf.DUMMYFUNCTION("""COMPUTED_VALUE"""),"Night")</f>
        <v>Night</v>
      </c>
      <c r="S1019" s="5">
        <f ca="1">IFERROR(__xludf.DUMMYFUNCTION("""COMPUTED_VALUE"""),0.885416666666666)</f>
        <v>0.88541666666666596</v>
      </c>
      <c r="T1019" s="1">
        <f ca="1">IFERROR(__xludf.DUMMYFUNCTION("""COMPUTED_VALUE"""),1)</f>
        <v>1</v>
      </c>
      <c r="U1019" s="1" t="str">
        <f ca="1">IFERROR(__xludf.DUMMYFUNCTION("""COMPUTED_VALUE"""),"Teen found shot and killed in vehicle in the school parking lot")</f>
        <v>Teen found shot and killed in vehicle in the school parking lot</v>
      </c>
      <c r="V1019" s="1" t="str">
        <f ca="1">IFERROR(__xludf.DUMMYFUNCTION("""COMPUTED_VALUE"""),"A 16 year-old male was found fatally shot in the school parking lot. A 17 year-old male was arrested and charged with murder. No other details released by police. Police believe the shooting was retaliation for a fight earlier in the day at a nearby apart"&amp;"ment complex.")</f>
        <v>A 16 year-old male was found fatally shot in the school parking lot. A 17 year-old male was arrested and charged with murder. No other details released by police. Police believe the shooting was retaliation for a fight earlier in the day at a nearby apartment complex.</v>
      </c>
      <c r="W1019" s="1" t="str">
        <f ca="1">IFERROR(__xludf.DUMMYFUNCTION("""COMPUTED_VALUE"""),"Escalation of Dispute")</f>
        <v>Escalation of Dispute</v>
      </c>
      <c r="X1019" s="1" t="str">
        <f ca="1">IFERROR(__xludf.DUMMYFUNCTION("""COMPUTED_VALUE"""),"Victims Targeted")</f>
        <v>Victims Targeted</v>
      </c>
      <c r="Y1019" s="1"/>
      <c r="Z1019" s="1"/>
      <c r="AA1019" s="1" t="str">
        <f ca="1">IFERROR(__xludf.DUMMYFUNCTION("""COMPUTED_VALUE"""),"No")</f>
        <v>No</v>
      </c>
      <c r="AB1019" s="1" t="str">
        <f ca="1">IFERROR(__xludf.DUMMYFUNCTION("""COMPUTED_VALUE"""),"No")</f>
        <v>No</v>
      </c>
      <c r="AC1019" s="1" t="str">
        <f ca="1">IFERROR(__xludf.DUMMYFUNCTION("""COMPUTED_VALUE"""),"No")</f>
        <v>No</v>
      </c>
      <c r="AD1019" s="1" t="str">
        <f ca="1">IFERROR(__xludf.DUMMYFUNCTION("""COMPUTED_VALUE"""),"No")</f>
        <v>No</v>
      </c>
      <c r="AE1019" s="1" t="str">
        <f ca="1">IFERROR(__xludf.DUMMYFUNCTION("""COMPUTED_VALUE"""),"No")</f>
        <v>No</v>
      </c>
      <c r="AF1019" s="1" t="str">
        <f ca="1">IFERROR(__xludf.DUMMYFUNCTION("""COMPUTED_VALUE"""),"Yes")</f>
        <v>Yes</v>
      </c>
      <c r="AG1019" s="1" t="str">
        <f ca="1">IFERROR(__xludf.DUMMYFUNCTION("""COMPUTED_VALUE"""),"No")</f>
        <v>No</v>
      </c>
      <c r="AH1019" s="1"/>
    </row>
    <row r="1020" spans="1:34" ht="12.5">
      <c r="A1020" s="1" t="str">
        <f ca="1">IFERROR(__xludf.DUMMYFUNCTION("""COMPUTED_VALUE"""),"20201018KYSEL")</f>
        <v>20201018KYSEL</v>
      </c>
      <c r="B1020" s="1">
        <f ca="1">IFERROR(__xludf.DUMMYFUNCTION("""COMPUTED_VALUE"""),10)</f>
        <v>10</v>
      </c>
      <c r="C1020" s="1">
        <f ca="1">IFERROR(__xludf.DUMMYFUNCTION("""COMPUTED_VALUE"""),18)</f>
        <v>18</v>
      </c>
      <c r="D1020" s="1">
        <f ca="1">IFERROR(__xludf.DUMMYFUNCTION("""COMPUTED_VALUE"""),2020)</f>
        <v>2020</v>
      </c>
      <c r="E1020" s="4">
        <f ca="1">IFERROR(__xludf.DUMMYFUNCTION("""COMPUTED_VALUE"""),44122)</f>
        <v>44122</v>
      </c>
      <c r="F1020" s="1" t="str">
        <f ca="1">IFERROR(__xludf.DUMMYFUNCTION("""COMPUTED_VALUE"""),"Seneca High School")</f>
        <v>Seneca High School</v>
      </c>
      <c r="G1020" s="1">
        <f ca="1">IFERROR(__xludf.DUMMYFUNCTION("""COMPUTED_VALUE"""),0)</f>
        <v>0</v>
      </c>
      <c r="H1020" s="1">
        <f ca="1">IFERROR(__xludf.DUMMYFUNCTION("""COMPUTED_VALUE"""),3)</f>
        <v>3</v>
      </c>
      <c r="I1020" s="1">
        <f ca="1">IFERROR(__xludf.DUMMYFUNCTION("""COMPUTED_VALUE"""),3)</f>
        <v>3</v>
      </c>
      <c r="J1020" s="1">
        <f ca="1">IFERROR(__xludf.DUMMYFUNCTION("""COMPUTED_VALUE"""),0)</f>
        <v>0</v>
      </c>
      <c r="K1020" s="1" t="str">
        <f ca="1">IFERROR(__xludf.DUMMYFUNCTION("""COMPUTED_VALUE"""),"Fall")</f>
        <v>Fall</v>
      </c>
      <c r="L1020" s="1" t="str">
        <f ca="1">IFERROR(__xludf.DUMMYFUNCTION("""COMPUTED_VALUE"""),"Louisville")</f>
        <v>Louisville</v>
      </c>
      <c r="M1020" s="1" t="str">
        <f ca="1">IFERROR(__xludf.DUMMYFUNCTION("""COMPUTED_VALUE"""),"KY")</f>
        <v>KY</v>
      </c>
      <c r="N1020" s="1" t="str">
        <f ca="1">IFERROR(__xludf.DUMMYFUNCTION("""COMPUTED_VALUE"""),"High")</f>
        <v>High</v>
      </c>
      <c r="O1020" s="1" t="str">
        <f ca="1">IFERROR(__xludf.DUMMYFUNCTION("""COMPUTED_VALUE"""),"Parking Lot (Bus)")</f>
        <v>Parking Lot (Bus)</v>
      </c>
      <c r="P1020" s="1" t="str">
        <f ca="1">IFERROR(__xludf.DUMMYFUNCTION("""COMPUTED_VALUE"""),"Outside on School Property")</f>
        <v>Outside on School Property</v>
      </c>
      <c r="Q1020" s="1" t="str">
        <f ca="1">IFERROR(__xludf.DUMMYFUNCTION("""COMPUTED_VALUE"""),"No")</f>
        <v>No</v>
      </c>
      <c r="R1020" s="1" t="str">
        <f ca="1">IFERROR(__xludf.DUMMYFUNCTION("""COMPUTED_VALUE"""),"Not a School Day")</f>
        <v>Not a School Day</v>
      </c>
      <c r="S1020" s="5">
        <f ca="1">IFERROR(__xludf.DUMMYFUNCTION("""COMPUTED_VALUE"""),0.559722222222222)</f>
        <v>0.55972222222222201</v>
      </c>
      <c r="T1020" s="1">
        <f ca="1">IFERROR(__xludf.DUMMYFUNCTION("""COMPUTED_VALUE"""),1)</f>
        <v>1</v>
      </c>
      <c r="U1020" s="1" t="str">
        <f ca="1">IFERROR(__xludf.DUMMYFUNCTION("""COMPUTED_VALUE"""),"Three teens shot in school parking lot")</f>
        <v>Three teens shot in school parking lot</v>
      </c>
      <c r="V1020" s="1" t="str">
        <f ca="1">IFERROR(__xludf.DUMMYFUNCTION("""COMPUTED_VALUE"""),"Three teens were shot and wounded in the parking lot of the school. The school is closed due to COVID and the shooting was not related to any school activities. Shooter fled the scene. Victims were transported to the hospital.")</f>
        <v>Three teens were shot and wounded in the parking lot of the school. The school is closed due to COVID and the shooting was not related to any school activities. Shooter fled the scene. Victims were transported to the hospital.</v>
      </c>
      <c r="W1020" s="1"/>
      <c r="X1020" s="1"/>
      <c r="Y1020" s="1"/>
      <c r="Z1020" s="1"/>
      <c r="AA1020" s="1" t="str">
        <f ca="1">IFERROR(__xludf.DUMMYFUNCTION("""COMPUTED_VALUE"""),"No")</f>
        <v>No</v>
      </c>
      <c r="AB1020" s="1" t="str">
        <f ca="1">IFERROR(__xludf.DUMMYFUNCTION("""COMPUTED_VALUE"""),"No")</f>
        <v>No</v>
      </c>
      <c r="AC1020" s="1" t="str">
        <f ca="1">IFERROR(__xludf.DUMMYFUNCTION("""COMPUTED_VALUE"""),"No")</f>
        <v>No</v>
      </c>
      <c r="AD1020" s="1" t="str">
        <f ca="1">IFERROR(__xludf.DUMMYFUNCTION("""COMPUTED_VALUE"""),"No")</f>
        <v>No</v>
      </c>
      <c r="AE1020" s="1" t="str">
        <f ca="1">IFERROR(__xludf.DUMMYFUNCTION("""COMPUTED_VALUE"""),"No")</f>
        <v>No</v>
      </c>
      <c r="AF1020" s="1"/>
      <c r="AG1020" s="1" t="str">
        <f ca="1">IFERROR(__xludf.DUMMYFUNCTION("""COMPUTED_VALUE"""),"No")</f>
        <v>No</v>
      </c>
      <c r="AH1020" s="1"/>
    </row>
    <row r="1021" spans="1:34" ht="12.5">
      <c r="A1021" s="1" t="str">
        <f ca="1">IFERROR(__xludf.DUMMYFUNCTION("""COMPUTED_VALUE"""),"20201014WAWAS")</f>
        <v>20201014WAWAS</v>
      </c>
      <c r="B1021" s="1">
        <f ca="1">IFERROR(__xludf.DUMMYFUNCTION("""COMPUTED_VALUE"""),10)</f>
        <v>10</v>
      </c>
      <c r="C1021" s="1">
        <f ca="1">IFERROR(__xludf.DUMMYFUNCTION("""COMPUTED_VALUE"""),14)</f>
        <v>14</v>
      </c>
      <c r="D1021" s="1">
        <f ca="1">IFERROR(__xludf.DUMMYFUNCTION("""COMPUTED_VALUE"""),2020)</f>
        <v>2020</v>
      </c>
      <c r="E1021" s="4">
        <f ca="1">IFERROR(__xludf.DUMMYFUNCTION("""COMPUTED_VALUE"""),44118)</f>
        <v>44118</v>
      </c>
      <c r="F1021" s="1" t="str">
        <f ca="1">IFERROR(__xludf.DUMMYFUNCTION("""COMPUTED_VALUE"""),"Washington Elementary School")</f>
        <v>Washington Elementary School</v>
      </c>
      <c r="G1021" s="1">
        <f ca="1">IFERROR(__xludf.DUMMYFUNCTION("""COMPUTED_VALUE"""),0)</f>
        <v>0</v>
      </c>
      <c r="H1021" s="1">
        <f ca="1">IFERROR(__xludf.DUMMYFUNCTION("""COMPUTED_VALUE"""),0)</f>
        <v>0</v>
      </c>
      <c r="I1021" s="1">
        <f ca="1">IFERROR(__xludf.DUMMYFUNCTION("""COMPUTED_VALUE"""),0)</f>
        <v>0</v>
      </c>
      <c r="J1021" s="1">
        <f ca="1">IFERROR(__xludf.DUMMYFUNCTION("""COMPUTED_VALUE"""),0)</f>
        <v>0</v>
      </c>
      <c r="K1021" s="1" t="str">
        <f ca="1">IFERROR(__xludf.DUMMYFUNCTION("""COMPUTED_VALUE"""),"Fall")</f>
        <v>Fall</v>
      </c>
      <c r="L1021" s="1" t="str">
        <f ca="1">IFERROR(__xludf.DUMMYFUNCTION("""COMPUTED_VALUE"""),"Sunnyside")</f>
        <v>Sunnyside</v>
      </c>
      <c r="M1021" s="1" t="str">
        <f ca="1">IFERROR(__xludf.DUMMYFUNCTION("""COMPUTED_VALUE"""),"WA")</f>
        <v>WA</v>
      </c>
      <c r="N1021" s="1" t="str">
        <f ca="1">IFERROR(__xludf.DUMMYFUNCTION("""COMPUTED_VALUE"""),"Elementary")</f>
        <v>Elementary</v>
      </c>
      <c r="O1021" s="1" t="str">
        <f ca="1">IFERROR(__xludf.DUMMYFUNCTION("""COMPUTED_VALUE"""),"Front of School")</f>
        <v>Front of School</v>
      </c>
      <c r="P1021" s="1" t="str">
        <f ca="1">IFERROR(__xludf.DUMMYFUNCTION("""COMPUTED_VALUE"""),"Off School Property")</f>
        <v>Off School Property</v>
      </c>
      <c r="Q1021" s="1" t="str">
        <f ca="1">IFERROR(__xludf.DUMMYFUNCTION("""COMPUTED_VALUE"""),"Yes")</f>
        <v>Yes</v>
      </c>
      <c r="R1021" s="1" t="str">
        <f ca="1">IFERROR(__xludf.DUMMYFUNCTION("""COMPUTED_VALUE"""),"Morning Classes")</f>
        <v>Morning Classes</v>
      </c>
      <c r="S1021" s="5">
        <f ca="1">IFERROR(__xludf.DUMMYFUNCTION("""COMPUTED_VALUE"""),0.444444444444444)</f>
        <v>0.44444444444444398</v>
      </c>
      <c r="T1021" s="1">
        <f ca="1">IFERROR(__xludf.DUMMYFUNCTION("""COMPUTED_VALUE"""),1)</f>
        <v>1</v>
      </c>
      <c r="U1021" s="1" t="str">
        <f ca="1">IFERROR(__xludf.DUMMYFUNCTION("""COMPUTED_VALUE"""),"Shots from drive-by shooting struck occupied school building")</f>
        <v>Shots from drive-by shooting struck occupied school building</v>
      </c>
      <c r="V1021" s="1" t="str">
        <f ca="1">IFERROR(__xludf.DUMMYFUNCTION("""COMPUTED_VALUE"""),"Two men in an SUV fired shots at a third man in a different vehicle following a traffic dispute. Shots struck the school building and broke a window of a classroom with a school employee inside near the window. 60 employees were inside the school at the t"&amp;"ime of the shooting. Shots fired also struck two different residences with students inside attending virtual classes. One bullet missed a child by inches. No students were inside the school and no school staff were injured.")</f>
        <v>Two men in an SUV fired shots at a third man in a different vehicle following a traffic dispute. Shots struck the school building and broke a window of a classroom with a school employee inside near the window. 60 employees were inside the school at the time of the shooting. Shots fired also struck two different residences with students inside attending virtual classes. One bullet missed a child by inches. No students were inside the school and no school staff were injured.</v>
      </c>
      <c r="W1021" s="1" t="str">
        <f ca="1">IFERROR(__xludf.DUMMYFUNCTION("""COMPUTED_VALUE"""),"Drive-by Shooting")</f>
        <v>Drive-by Shooting</v>
      </c>
      <c r="X1021" s="1" t="str">
        <f ca="1">IFERROR(__xludf.DUMMYFUNCTION("""COMPUTED_VALUE"""),"Victims Targeted")</f>
        <v>Victims Targeted</v>
      </c>
      <c r="Y1021" s="1" t="str">
        <f ca="1">IFERROR(__xludf.DUMMYFUNCTION("""COMPUTED_VALUE"""),"Yes")</f>
        <v>Yes</v>
      </c>
      <c r="Z1021" s="1" t="str">
        <f ca="1">IFERROR(__xludf.DUMMYFUNCTION("""COMPUTED_VALUE"""),"Two men fired shots at a third man")</f>
        <v>Two men fired shots at a third man</v>
      </c>
      <c r="AA1021" s="1" t="str">
        <f ca="1">IFERROR(__xludf.DUMMYFUNCTION("""COMPUTED_VALUE"""),"No")</f>
        <v>No</v>
      </c>
      <c r="AB1021" s="1" t="str">
        <f ca="1">IFERROR(__xludf.DUMMYFUNCTION("""COMPUTED_VALUE"""),"No")</f>
        <v>No</v>
      </c>
      <c r="AC1021" s="1" t="str">
        <f ca="1">IFERROR(__xludf.DUMMYFUNCTION("""COMPUTED_VALUE"""),"No")</f>
        <v>No</v>
      </c>
      <c r="AD1021" s="1" t="str">
        <f ca="1">IFERROR(__xludf.DUMMYFUNCTION("""COMPUTED_VALUE"""),"No")</f>
        <v>No</v>
      </c>
      <c r="AE1021" s="1" t="str">
        <f ca="1">IFERROR(__xludf.DUMMYFUNCTION("""COMPUTED_VALUE"""),"No")</f>
        <v>No</v>
      </c>
      <c r="AF1021" s="1" t="str">
        <f ca="1">IFERROR(__xludf.DUMMYFUNCTION("""COMPUTED_VALUE"""),"No")</f>
        <v>No</v>
      </c>
      <c r="AG1021" s="1" t="str">
        <f ca="1">IFERROR(__xludf.DUMMYFUNCTION("""COMPUTED_VALUE"""),"No")</f>
        <v>No</v>
      </c>
      <c r="AH1021" s="1">
        <f ca="1">IFERROR(__xludf.DUMMYFUNCTION("""COMPUTED_VALUE"""),40)</f>
        <v>40</v>
      </c>
    </row>
    <row r="1022" spans="1:34" ht="12.5">
      <c r="A1022" s="1" t="str">
        <f ca="1">IFERROR(__xludf.DUMMYFUNCTION("""COMPUTED_VALUE"""),"20201014PABRB")</f>
        <v>20201014PABRB</v>
      </c>
      <c r="B1022" s="1">
        <f ca="1">IFERROR(__xludf.DUMMYFUNCTION("""COMPUTED_VALUE"""),10)</f>
        <v>10</v>
      </c>
      <c r="C1022" s="1">
        <f ca="1">IFERROR(__xludf.DUMMYFUNCTION("""COMPUTED_VALUE"""),14)</f>
        <v>14</v>
      </c>
      <c r="D1022" s="1">
        <f ca="1">IFERROR(__xludf.DUMMYFUNCTION("""COMPUTED_VALUE"""),2020)</f>
        <v>2020</v>
      </c>
      <c r="E1022" s="4">
        <f ca="1">IFERROR(__xludf.DUMMYFUNCTION("""COMPUTED_VALUE"""),44118)</f>
        <v>44118</v>
      </c>
      <c r="F1022" s="1" t="str">
        <f ca="1">IFERROR(__xludf.DUMMYFUNCTION("""COMPUTED_VALUE"""),"Bradford Area School District")</f>
        <v>Bradford Area School District</v>
      </c>
      <c r="G1022" s="1">
        <f ca="1">IFERROR(__xludf.DUMMYFUNCTION("""COMPUTED_VALUE"""),0)</f>
        <v>0</v>
      </c>
      <c r="H1022" s="1">
        <f ca="1">IFERROR(__xludf.DUMMYFUNCTION("""COMPUTED_VALUE"""),0)</f>
        <v>0</v>
      </c>
      <c r="I1022" s="1">
        <f ca="1">IFERROR(__xludf.DUMMYFUNCTION("""COMPUTED_VALUE"""),0)</f>
        <v>0</v>
      </c>
      <c r="J1022" s="1">
        <f ca="1">IFERROR(__xludf.DUMMYFUNCTION("""COMPUTED_VALUE"""),0)</f>
        <v>0</v>
      </c>
      <c r="K1022" s="1" t="str">
        <f ca="1">IFERROR(__xludf.DUMMYFUNCTION("""COMPUTED_VALUE"""),"Fall")</f>
        <v>Fall</v>
      </c>
      <c r="L1022" s="1" t="str">
        <f ca="1">IFERROR(__xludf.DUMMYFUNCTION("""COMPUTED_VALUE"""),"Bradford")</f>
        <v>Bradford</v>
      </c>
      <c r="M1022" s="1" t="str">
        <f ca="1">IFERROR(__xludf.DUMMYFUNCTION("""COMPUTED_VALUE"""),"PA")</f>
        <v>PA</v>
      </c>
      <c r="N1022" s="1"/>
      <c r="O1022" s="1" t="str">
        <f ca="1">IFERROR(__xludf.DUMMYFUNCTION("""COMPUTED_VALUE"""),"School Bus")</f>
        <v>School Bus</v>
      </c>
      <c r="P1022" s="1" t="str">
        <f ca="1">IFERROR(__xludf.DUMMYFUNCTION("""COMPUTED_VALUE"""),"School Bus")</f>
        <v>School Bus</v>
      </c>
      <c r="Q1022" s="1" t="str">
        <f ca="1">IFERROR(__xludf.DUMMYFUNCTION("""COMPUTED_VALUE"""),"Yes")</f>
        <v>Yes</v>
      </c>
      <c r="R1022" s="1" t="str">
        <f ca="1">IFERROR(__xludf.DUMMYFUNCTION("""COMPUTED_VALUE"""),"After School")</f>
        <v>After School</v>
      </c>
      <c r="S1022" s="1"/>
      <c r="T1022" s="1">
        <f ca="1">IFERROR(__xludf.DUMMYFUNCTION("""COMPUTED_VALUE"""),1)</f>
        <v>1</v>
      </c>
      <c r="U1022" s="1" t="str">
        <f ca="1">IFERROR(__xludf.DUMMYFUNCTION("""COMPUTED_VALUE"""),"School bus window behind driver's head struck by BB")</f>
        <v>School bus window behind driver's head struck by BB</v>
      </c>
      <c r="V1022" s="1" t="str">
        <f ca="1">IFERROR(__xludf.DUMMYFUNCTION("""COMPUTED_VALUE"""),"A school bus driver heard a crack and stopped the school bus. The driver found a bullet hole in the window behind the driver's seat. Police were notified and identified a 11 year-old boy with a BB gun nearby. No students were on the bus at the time of the"&amp;" shooting.")</f>
        <v>A school bus driver heard a crack and stopped the school bus. The driver found a bullet hole in the window behind the driver's seat. Police were notified and identified a 11 year-old boy with a BB gun nearby. No students were on the bus at the time of the shooting.</v>
      </c>
      <c r="W1022" s="1" t="str">
        <f ca="1">IFERROR(__xludf.DUMMYFUNCTION("""COMPUTED_VALUE"""),"Intentional Property Damage")</f>
        <v>Intentional Property Damage</v>
      </c>
      <c r="X1022" s="1" t="str">
        <f ca="1">IFERROR(__xludf.DUMMYFUNCTION("""COMPUTED_VALUE"""),"Neither")</f>
        <v>Neither</v>
      </c>
      <c r="Y1022" s="1" t="str">
        <f ca="1">IFERROR(__xludf.DUMMYFUNCTION("""COMPUTED_VALUE"""),"No")</f>
        <v>No</v>
      </c>
      <c r="Z1022" s="1"/>
      <c r="AA1022" s="1" t="str">
        <f ca="1">IFERROR(__xludf.DUMMYFUNCTION("""COMPUTED_VALUE"""),"No")</f>
        <v>No</v>
      </c>
      <c r="AB1022" s="1" t="str">
        <f ca="1">IFERROR(__xludf.DUMMYFUNCTION("""COMPUTED_VALUE"""),"No")</f>
        <v>No</v>
      </c>
      <c r="AC1022" s="1" t="str">
        <f ca="1">IFERROR(__xludf.DUMMYFUNCTION("""COMPUTED_VALUE"""),"No")</f>
        <v>No</v>
      </c>
      <c r="AD1022" s="1" t="str">
        <f ca="1">IFERROR(__xludf.DUMMYFUNCTION("""COMPUTED_VALUE"""),"No")</f>
        <v>No</v>
      </c>
      <c r="AE1022" s="1" t="str">
        <f ca="1">IFERROR(__xludf.DUMMYFUNCTION("""COMPUTED_VALUE"""),"No")</f>
        <v>No</v>
      </c>
      <c r="AF1022" s="1" t="str">
        <f ca="1">IFERROR(__xludf.DUMMYFUNCTION("""COMPUTED_VALUE"""),"No")</f>
        <v>No</v>
      </c>
      <c r="AG1022" s="1" t="str">
        <f ca="1">IFERROR(__xludf.DUMMYFUNCTION("""COMPUTED_VALUE"""),"No")</f>
        <v>No</v>
      </c>
      <c r="AH1022" s="1"/>
    </row>
    <row r="1023" spans="1:34" ht="12.5">
      <c r="A1023" s="1" t="str">
        <f ca="1">IFERROR(__xludf.DUMMYFUNCTION("""COMPUTED_VALUE"""),"20201013RIRHP")</f>
        <v>20201013RIRHP</v>
      </c>
      <c r="B1023" s="1">
        <f ca="1">IFERROR(__xludf.DUMMYFUNCTION("""COMPUTED_VALUE"""),10)</f>
        <v>10</v>
      </c>
      <c r="C1023" s="1">
        <f ca="1">IFERROR(__xludf.DUMMYFUNCTION("""COMPUTED_VALUE"""),13)</f>
        <v>13</v>
      </c>
      <c r="D1023" s="1">
        <f ca="1">IFERROR(__xludf.DUMMYFUNCTION("""COMPUTED_VALUE"""),2020)</f>
        <v>2020</v>
      </c>
      <c r="E1023" s="4">
        <f ca="1">IFERROR(__xludf.DUMMYFUNCTION("""COMPUTED_VALUE"""),44117)</f>
        <v>44117</v>
      </c>
      <c r="F1023" s="1" t="str">
        <f ca="1">IFERROR(__xludf.DUMMYFUNCTION("""COMPUTED_VALUE"""),"Rhode Island School for the Deaf")</f>
        <v>Rhode Island School for the Deaf</v>
      </c>
      <c r="G1023" s="1">
        <f ca="1">IFERROR(__xludf.DUMMYFUNCTION("""COMPUTED_VALUE"""),1)</f>
        <v>1</v>
      </c>
      <c r="H1023" s="1">
        <f ca="1">IFERROR(__xludf.DUMMYFUNCTION("""COMPUTED_VALUE"""),2)</f>
        <v>2</v>
      </c>
      <c r="I1023" s="1">
        <f ca="1">IFERROR(__xludf.DUMMYFUNCTION("""COMPUTED_VALUE"""),3)</f>
        <v>3</v>
      </c>
      <c r="J1023" s="1">
        <f ca="1">IFERROR(__xludf.DUMMYFUNCTION("""COMPUTED_VALUE"""),0)</f>
        <v>0</v>
      </c>
      <c r="K1023" s="1" t="str">
        <f ca="1">IFERROR(__xludf.DUMMYFUNCTION("""COMPUTED_VALUE"""),"Fall")</f>
        <v>Fall</v>
      </c>
      <c r="L1023" s="1" t="str">
        <f ca="1">IFERROR(__xludf.DUMMYFUNCTION("""COMPUTED_VALUE"""),"Providence")</f>
        <v>Providence</v>
      </c>
      <c r="M1023" s="1" t="str">
        <f ca="1">IFERROR(__xludf.DUMMYFUNCTION("""COMPUTED_VALUE"""),"RI")</f>
        <v>RI</v>
      </c>
      <c r="N1023" s="1" t="str">
        <f ca="1">IFERROR(__xludf.DUMMYFUNCTION("""COMPUTED_VALUE"""),"K-12")</f>
        <v>K-12</v>
      </c>
      <c r="O1023" s="1" t="str">
        <f ca="1">IFERROR(__xludf.DUMMYFUNCTION("""COMPUTED_VALUE"""),"Parking Lot")</f>
        <v>Parking Lot</v>
      </c>
      <c r="P1023" s="1" t="str">
        <f ca="1">IFERROR(__xludf.DUMMYFUNCTION("""COMPUTED_VALUE"""),"Outside on School Property")</f>
        <v>Outside on School Property</v>
      </c>
      <c r="Q1023" s="1" t="str">
        <f ca="1">IFERROR(__xludf.DUMMYFUNCTION("""COMPUTED_VALUE"""),"No")</f>
        <v>No</v>
      </c>
      <c r="R1023" s="1" t="str">
        <f ca="1">IFERROR(__xludf.DUMMYFUNCTION("""COMPUTED_VALUE"""),"After School")</f>
        <v>After School</v>
      </c>
      <c r="S1023" s="5">
        <f ca="1">IFERROR(__xludf.DUMMYFUNCTION("""COMPUTED_VALUE"""),0.6875)</f>
        <v>0.6875</v>
      </c>
      <c r="T1023" s="1">
        <f ca="1">IFERROR(__xludf.DUMMYFUNCTION("""COMPUTED_VALUE"""),1)</f>
        <v>1</v>
      </c>
      <c r="U1023" s="1" t="str">
        <f ca="1">IFERROR(__xludf.DUMMYFUNCTION("""COMPUTED_VALUE"""),"3 adult men shot in the school parking lot")</f>
        <v>3 adult men shot in the school parking lot</v>
      </c>
      <c r="V1023" s="1" t="str">
        <f ca="1">IFERROR(__xludf.DUMMYFUNCTION("""COMPUTED_VALUE"""),"5 men inside a vehicle in the school parking lot were targeted in a shooting. One man was killed and two were wounded, an uninjured man drove the vehicle to the hospital. 20 shots were fired in the school parking lot in the direction of the school buildin"&amp;"g.")</f>
        <v>5 men inside a vehicle in the school parking lot were targeted in a shooting. One man was killed and two were wounded, an uninjured man drove the vehicle to the hospital. 20 shots were fired in the school parking lot in the direction of the school building.</v>
      </c>
      <c r="W1023" s="1"/>
      <c r="X1023" s="1" t="str">
        <f ca="1">IFERROR(__xludf.DUMMYFUNCTION("""COMPUTED_VALUE"""),"Victims Targeted")</f>
        <v>Victims Targeted</v>
      </c>
      <c r="Y1023" s="1"/>
      <c r="Z1023" s="1"/>
      <c r="AA1023" s="1" t="str">
        <f ca="1">IFERROR(__xludf.DUMMYFUNCTION("""COMPUTED_VALUE"""),"No")</f>
        <v>No</v>
      </c>
      <c r="AB1023" s="1" t="str">
        <f ca="1">IFERROR(__xludf.DUMMYFUNCTION("""COMPUTED_VALUE"""),"No")</f>
        <v>No</v>
      </c>
      <c r="AC1023" s="1" t="str">
        <f ca="1">IFERROR(__xludf.DUMMYFUNCTION("""COMPUTED_VALUE"""),"No")</f>
        <v>No</v>
      </c>
      <c r="AD1023" s="1" t="str">
        <f ca="1">IFERROR(__xludf.DUMMYFUNCTION("""COMPUTED_VALUE"""),"No")</f>
        <v>No</v>
      </c>
      <c r="AE1023" s="1" t="str">
        <f ca="1">IFERROR(__xludf.DUMMYFUNCTION("""COMPUTED_VALUE"""),"No")</f>
        <v>No</v>
      </c>
      <c r="AF1023" s="1"/>
      <c r="AG1023" s="1" t="str">
        <f ca="1">IFERROR(__xludf.DUMMYFUNCTION("""COMPUTED_VALUE"""),"No")</f>
        <v>No</v>
      </c>
      <c r="AH1023" s="1">
        <f ca="1">IFERROR(__xludf.DUMMYFUNCTION("""COMPUTED_VALUE"""),20)</f>
        <v>20</v>
      </c>
    </row>
    <row r="1024" spans="1:34" ht="12.5">
      <c r="A1024" s="1" t="str">
        <f ca="1">IFERROR(__xludf.DUMMYFUNCTION("""COMPUTED_VALUE"""),"20201012TXNOD")</f>
        <v>20201012TXNOD</v>
      </c>
      <c r="B1024" s="1">
        <f ca="1">IFERROR(__xludf.DUMMYFUNCTION("""COMPUTED_VALUE"""),10)</f>
        <v>10</v>
      </c>
      <c r="C1024" s="1">
        <f ca="1">IFERROR(__xludf.DUMMYFUNCTION("""COMPUTED_VALUE"""),12)</f>
        <v>12</v>
      </c>
      <c r="D1024" s="1">
        <f ca="1">IFERROR(__xludf.DUMMYFUNCTION("""COMPUTED_VALUE"""),2020)</f>
        <v>2020</v>
      </c>
      <c r="E1024" s="4">
        <f ca="1">IFERROR(__xludf.DUMMYFUNCTION("""COMPUTED_VALUE"""),44116)</f>
        <v>44116</v>
      </c>
      <c r="F1024" s="1" t="str">
        <f ca="1">IFERROR(__xludf.DUMMYFUNCTION("""COMPUTED_VALUE"""),"North Dallas High School")</f>
        <v>North Dallas High School</v>
      </c>
      <c r="G1024" s="1">
        <f ca="1">IFERROR(__xludf.DUMMYFUNCTION("""COMPUTED_VALUE"""),0)</f>
        <v>0</v>
      </c>
      <c r="H1024" s="1">
        <f ca="1">IFERROR(__xludf.DUMMYFUNCTION("""COMPUTED_VALUE"""),0)</f>
        <v>0</v>
      </c>
      <c r="I1024" s="1">
        <f ca="1">IFERROR(__xludf.DUMMYFUNCTION("""COMPUTED_VALUE"""),0)</f>
        <v>0</v>
      </c>
      <c r="J1024" s="1">
        <f ca="1">IFERROR(__xludf.DUMMYFUNCTION("""COMPUTED_VALUE"""),0)</f>
        <v>0</v>
      </c>
      <c r="K1024" s="1" t="str">
        <f ca="1">IFERROR(__xludf.DUMMYFUNCTION("""COMPUTED_VALUE"""),"Fall")</f>
        <v>Fall</v>
      </c>
      <c r="L1024" s="1" t="str">
        <f ca="1">IFERROR(__xludf.DUMMYFUNCTION("""COMPUTED_VALUE"""),"Dallas")</f>
        <v>Dallas</v>
      </c>
      <c r="M1024" s="1" t="str">
        <f ca="1">IFERROR(__xludf.DUMMYFUNCTION("""COMPUTED_VALUE"""),"TX")</f>
        <v>TX</v>
      </c>
      <c r="N1024" s="1" t="str">
        <f ca="1">IFERROR(__xludf.DUMMYFUNCTION("""COMPUTED_VALUE"""),"High")</f>
        <v>High</v>
      </c>
      <c r="O1024" s="1" t="str">
        <f ca="1">IFERROR(__xludf.DUMMYFUNCTION("""COMPUTED_VALUE"""),"Parking Lot")</f>
        <v>Parking Lot</v>
      </c>
      <c r="P1024" s="1" t="str">
        <f ca="1">IFERROR(__xludf.DUMMYFUNCTION("""COMPUTED_VALUE"""),"Outside on School Property")</f>
        <v>Outside on School Property</v>
      </c>
      <c r="Q1024" s="1" t="str">
        <f ca="1">IFERROR(__xludf.DUMMYFUNCTION("""COMPUTED_VALUE"""),"Yes")</f>
        <v>Yes</v>
      </c>
      <c r="R1024" s="1" t="str">
        <f ca="1">IFERROR(__xludf.DUMMYFUNCTION("""COMPUTED_VALUE"""),"Afternoon Classes")</f>
        <v>Afternoon Classes</v>
      </c>
      <c r="S1024" s="1"/>
      <c r="T1024" s="1">
        <f ca="1">IFERROR(__xludf.DUMMYFUNCTION("""COMPUTED_VALUE"""),1)</f>
        <v>1</v>
      </c>
      <c r="U1024" s="1" t="str">
        <f ca="1">IFERROR(__xludf.DUMMYFUNCTION("""COMPUTED_VALUE"""),"Shots fired during dispute in school parking lot")</f>
        <v>Shots fired during dispute in school parking lot</v>
      </c>
      <c r="V1024" s="1" t="str">
        <f ca="1">IFERROR(__xludf.DUMMYFUNCTION("""COMPUTED_VALUE"""),"Shots were fired during a dispute between two adult men in the school parking lot. Shots missed and neither man was injured. No students were involved or injured. Both men were detained by Dallas school police and Dallas Police Department officers.")</f>
        <v>Shots were fired during a dispute between two adult men in the school parking lot. Shots missed and neither man was injured. No students were involved or injured. Both men were detained by Dallas school police and Dallas Police Department officers.</v>
      </c>
      <c r="W1024" s="1" t="str">
        <f ca="1">IFERROR(__xludf.DUMMYFUNCTION("""COMPUTED_VALUE"""),"Escalation of Dispute")</f>
        <v>Escalation of Dispute</v>
      </c>
      <c r="X1024" s="1" t="str">
        <f ca="1">IFERROR(__xludf.DUMMYFUNCTION("""COMPUTED_VALUE"""),"Victims Targeted")</f>
        <v>Victims Targeted</v>
      </c>
      <c r="Y1024" s="1" t="str">
        <f ca="1">IFERROR(__xludf.DUMMYFUNCTION("""COMPUTED_VALUE"""),"No")</f>
        <v>No</v>
      </c>
      <c r="Z1024" s="1"/>
      <c r="AA1024" s="1" t="str">
        <f ca="1">IFERROR(__xludf.DUMMYFUNCTION("""COMPUTED_VALUE"""),"No")</f>
        <v>No</v>
      </c>
      <c r="AB1024" s="1" t="str">
        <f ca="1">IFERROR(__xludf.DUMMYFUNCTION("""COMPUTED_VALUE"""),"No")</f>
        <v>No</v>
      </c>
      <c r="AC1024" s="1" t="str">
        <f ca="1">IFERROR(__xludf.DUMMYFUNCTION("""COMPUTED_VALUE"""),"No")</f>
        <v>No</v>
      </c>
      <c r="AD1024" s="1" t="str">
        <f ca="1">IFERROR(__xludf.DUMMYFUNCTION("""COMPUTED_VALUE"""),"No")</f>
        <v>No</v>
      </c>
      <c r="AE1024" s="1" t="str">
        <f ca="1">IFERROR(__xludf.DUMMYFUNCTION("""COMPUTED_VALUE"""),"No")</f>
        <v>No</v>
      </c>
      <c r="AF1024" s="1" t="str">
        <f ca="1">IFERROR(__xludf.DUMMYFUNCTION("""COMPUTED_VALUE"""),"No")</f>
        <v>No</v>
      </c>
      <c r="AG1024" s="1" t="str">
        <f ca="1">IFERROR(__xludf.DUMMYFUNCTION("""COMPUTED_VALUE"""),"No")</f>
        <v>No</v>
      </c>
      <c r="AH1024" s="1"/>
    </row>
    <row r="1025" spans="1:34" ht="12.5">
      <c r="A1025" s="1" t="str">
        <f ca="1">IFERROR(__xludf.DUMMYFUNCTION("""COMPUTED_VALUE"""),"20201012MNSHS")</f>
        <v>20201012MNSHS</v>
      </c>
      <c r="B1025" s="1">
        <f ca="1">IFERROR(__xludf.DUMMYFUNCTION("""COMPUTED_VALUE"""),10)</f>
        <v>10</v>
      </c>
      <c r="C1025" s="1">
        <f ca="1">IFERROR(__xludf.DUMMYFUNCTION("""COMPUTED_VALUE"""),12)</f>
        <v>12</v>
      </c>
      <c r="D1025" s="1">
        <f ca="1">IFERROR(__xludf.DUMMYFUNCTION("""COMPUTED_VALUE"""),2020)</f>
        <v>2020</v>
      </c>
      <c r="E1025" s="4">
        <f ca="1">IFERROR(__xludf.DUMMYFUNCTION("""COMPUTED_VALUE"""),44116)</f>
        <v>44116</v>
      </c>
      <c r="F1025" s="1" t="str">
        <f ca="1">IFERROR(__xludf.DUMMYFUNCTION("""COMPUTED_VALUE"""),"Shakopee High School")</f>
        <v>Shakopee High School</v>
      </c>
      <c r="G1025" s="1">
        <f ca="1">IFERROR(__xludf.DUMMYFUNCTION("""COMPUTED_VALUE"""),0)</f>
        <v>0</v>
      </c>
      <c r="H1025" s="1">
        <f ca="1">IFERROR(__xludf.DUMMYFUNCTION("""COMPUTED_VALUE"""),0)</f>
        <v>0</v>
      </c>
      <c r="I1025" s="1">
        <f ca="1">IFERROR(__xludf.DUMMYFUNCTION("""COMPUTED_VALUE"""),0)</f>
        <v>0</v>
      </c>
      <c r="J1025" s="1">
        <f ca="1">IFERROR(__xludf.DUMMYFUNCTION("""COMPUTED_VALUE"""),0)</f>
        <v>0</v>
      </c>
      <c r="K1025" s="1" t="str">
        <f ca="1">IFERROR(__xludf.DUMMYFUNCTION("""COMPUTED_VALUE"""),"Fall")</f>
        <v>Fall</v>
      </c>
      <c r="L1025" s="1" t="str">
        <f ca="1">IFERROR(__xludf.DUMMYFUNCTION("""COMPUTED_VALUE"""),"Shakopee")</f>
        <v>Shakopee</v>
      </c>
      <c r="M1025" s="1" t="str">
        <f ca="1">IFERROR(__xludf.DUMMYFUNCTION("""COMPUTED_VALUE"""),"MN")</f>
        <v>MN</v>
      </c>
      <c r="N1025" s="1" t="str">
        <f ca="1">IFERROR(__xludf.DUMMYFUNCTION("""COMPUTED_VALUE"""),"High")</f>
        <v>High</v>
      </c>
      <c r="O1025" s="1" t="str">
        <f ca="1">IFERROR(__xludf.DUMMYFUNCTION("""COMPUTED_VALUE"""),"Field (General)")</f>
        <v>Field (General)</v>
      </c>
      <c r="P1025" s="1" t="str">
        <f ca="1">IFERROR(__xludf.DUMMYFUNCTION("""COMPUTED_VALUE"""),"Off School Property")</f>
        <v>Off School Property</v>
      </c>
      <c r="Q1025" s="1" t="str">
        <f ca="1">IFERROR(__xludf.DUMMYFUNCTION("""COMPUTED_VALUE"""),"No")</f>
        <v>No</v>
      </c>
      <c r="R1025" s="1" t="str">
        <f ca="1">IFERROR(__xludf.DUMMYFUNCTION("""COMPUTED_VALUE"""),"Sport Event")</f>
        <v>Sport Event</v>
      </c>
      <c r="S1025" s="5">
        <f ca="1">IFERROR(__xludf.DUMMYFUNCTION("""COMPUTED_VALUE"""),0.729166666666666)</f>
        <v>0.72916666666666596</v>
      </c>
      <c r="T1025" s="1"/>
      <c r="U1025" s="1" t="str">
        <f ca="1">IFERROR(__xludf.DUMMYFUNCTION("""COMPUTED_VALUE"""),"Shots fired at field during high school baseball practice")</f>
        <v>Shots fired at field during high school baseball practice</v>
      </c>
      <c r="V1025" s="1" t="str">
        <f ca="1">IFERROR(__xludf.DUMMYFUNCTION("""COMPUTED_VALUE"""),"Police were called for shots fired at a public park and baseball complex. High school baseball practice was taking place when the shooting occurred. Police determined that someone was target/trap shooting nearby without proper safety precautions and pelle"&amp;"ts were striking the athletic field.")</f>
        <v>Police were called for shots fired at a public park and baseball complex. High school baseball practice was taking place when the shooting occurred. Police determined that someone was target/trap shooting nearby without proper safety precautions and pellets were striking the athletic field.</v>
      </c>
      <c r="W1025" s="1" t="str">
        <f ca="1">IFERROR(__xludf.DUMMYFUNCTION("""COMPUTED_VALUE"""),"Accidental")</f>
        <v>Accidental</v>
      </c>
      <c r="X1025" s="1" t="str">
        <f ca="1">IFERROR(__xludf.DUMMYFUNCTION("""COMPUTED_VALUE"""),"Neither")</f>
        <v>Neither</v>
      </c>
      <c r="Y1025" s="1" t="str">
        <f ca="1">IFERROR(__xludf.DUMMYFUNCTION("""COMPUTED_VALUE"""),"No")</f>
        <v>No</v>
      </c>
      <c r="Z1025" s="1"/>
      <c r="AA1025" s="1" t="str">
        <f ca="1">IFERROR(__xludf.DUMMYFUNCTION("""COMPUTED_VALUE"""),"No")</f>
        <v>No</v>
      </c>
      <c r="AB1025" s="1" t="str">
        <f ca="1">IFERROR(__xludf.DUMMYFUNCTION("""COMPUTED_VALUE"""),"No")</f>
        <v>No</v>
      </c>
      <c r="AC1025" s="1"/>
      <c r="AD1025" s="1" t="str">
        <f ca="1">IFERROR(__xludf.DUMMYFUNCTION("""COMPUTED_VALUE"""),"No")</f>
        <v>No</v>
      </c>
      <c r="AE1025" s="1" t="str">
        <f ca="1">IFERROR(__xludf.DUMMYFUNCTION("""COMPUTED_VALUE"""),"No")</f>
        <v>No</v>
      </c>
      <c r="AF1025" s="1" t="str">
        <f ca="1">IFERROR(__xludf.DUMMYFUNCTION("""COMPUTED_VALUE"""),"No")</f>
        <v>No</v>
      </c>
      <c r="AG1025" s="1" t="str">
        <f ca="1">IFERROR(__xludf.DUMMYFUNCTION("""COMPUTED_VALUE"""),"No")</f>
        <v>No</v>
      </c>
      <c r="AH1025" s="1"/>
    </row>
    <row r="1026" spans="1:34" ht="12.5">
      <c r="A1026" s="1" t="str">
        <f ca="1">IFERROR(__xludf.DUMMYFUNCTION("""COMPUTED_VALUE"""),"20201009FLJEJ")</f>
        <v>20201009FLJEJ</v>
      </c>
      <c r="B1026" s="1">
        <f ca="1">IFERROR(__xludf.DUMMYFUNCTION("""COMPUTED_VALUE"""),10)</f>
        <v>10</v>
      </c>
      <c r="C1026" s="1">
        <f ca="1">IFERROR(__xludf.DUMMYFUNCTION("""COMPUTED_VALUE"""),9)</f>
        <v>9</v>
      </c>
      <c r="D1026" s="1">
        <f ca="1">IFERROR(__xludf.DUMMYFUNCTION("""COMPUTED_VALUE"""),2020)</f>
        <v>2020</v>
      </c>
      <c r="E1026" s="4">
        <f ca="1">IFERROR(__xludf.DUMMYFUNCTION("""COMPUTED_VALUE"""),44113)</f>
        <v>44113</v>
      </c>
      <c r="F1026" s="1" t="str">
        <f ca="1">IFERROR(__xludf.DUMMYFUNCTION("""COMPUTED_VALUE"""),"Jean Ribault High School")</f>
        <v>Jean Ribault High School</v>
      </c>
      <c r="G1026" s="1">
        <f ca="1">IFERROR(__xludf.DUMMYFUNCTION("""COMPUTED_VALUE"""),0)</f>
        <v>0</v>
      </c>
      <c r="H1026" s="1">
        <f ca="1">IFERROR(__xludf.DUMMYFUNCTION("""COMPUTED_VALUE"""),1)</f>
        <v>1</v>
      </c>
      <c r="I1026" s="1">
        <f ca="1">IFERROR(__xludf.DUMMYFUNCTION("""COMPUTED_VALUE"""),1)</f>
        <v>1</v>
      </c>
      <c r="J1026" s="1">
        <f ca="1">IFERROR(__xludf.DUMMYFUNCTION("""COMPUTED_VALUE"""),0)</f>
        <v>0</v>
      </c>
      <c r="K1026" s="1" t="str">
        <f ca="1">IFERROR(__xludf.DUMMYFUNCTION("""COMPUTED_VALUE"""),"Fall")</f>
        <v>Fall</v>
      </c>
      <c r="L1026" s="1" t="str">
        <f ca="1">IFERROR(__xludf.DUMMYFUNCTION("""COMPUTED_VALUE"""),"Jacksonville")</f>
        <v>Jacksonville</v>
      </c>
      <c r="M1026" s="1" t="str">
        <f ca="1">IFERROR(__xludf.DUMMYFUNCTION("""COMPUTED_VALUE"""),"FL")</f>
        <v>FL</v>
      </c>
      <c r="N1026" s="1" t="str">
        <f ca="1">IFERROR(__xludf.DUMMYFUNCTION("""COMPUTED_VALUE"""),"High")</f>
        <v>High</v>
      </c>
      <c r="O1026" s="1"/>
      <c r="P1026" s="1"/>
      <c r="Q1026" s="1"/>
      <c r="R1026" s="1"/>
      <c r="S1026" s="5">
        <f ca="1">IFERROR(__xludf.DUMMYFUNCTION("""COMPUTED_VALUE"""),0.583333333333333)</f>
        <v>0.58333333333333304</v>
      </c>
      <c r="T1026" s="1">
        <f ca="1">IFERROR(__xludf.DUMMYFUNCTION("""COMPUTED_VALUE"""),1)</f>
        <v>1</v>
      </c>
      <c r="U1026" s="1" t="str">
        <f ca="1">IFERROR(__xludf.DUMMYFUNCTION("""COMPUTED_VALUE"""),"Student shot in the arm by another student")</f>
        <v>Student shot in the arm by another student</v>
      </c>
      <c r="V1026" s="1" t="str">
        <f ca="1">IFERROR(__xludf.DUMMYFUNCTION("""COMPUTED_VALUE"""),"An 18 year-old student shot another 18 year-old student in the arm in or behind the school fieldhouse building. The SRO responded and arrested the shooter. School was not locked down. Police said the shooting was an accident.")</f>
        <v>An 18 year-old student shot another 18 year-old student in the arm in or behind the school fieldhouse building. The SRO responded and arrested the shooter. School was not locked down. Police said the shooting was an accident.</v>
      </c>
      <c r="W1026" s="1" t="str">
        <f ca="1">IFERROR(__xludf.DUMMYFUNCTION("""COMPUTED_VALUE"""),"Accidental")</f>
        <v>Accidental</v>
      </c>
      <c r="X1026" s="1" t="str">
        <f ca="1">IFERROR(__xludf.DUMMYFUNCTION("""COMPUTED_VALUE"""),"Random Shooting")</f>
        <v>Random Shooting</v>
      </c>
      <c r="Y1026" s="1" t="str">
        <f ca="1">IFERROR(__xludf.DUMMYFUNCTION("""COMPUTED_VALUE"""),"No")</f>
        <v>No</v>
      </c>
      <c r="Z1026" s="1"/>
      <c r="AA1026" s="1" t="str">
        <f ca="1">IFERROR(__xludf.DUMMYFUNCTION("""COMPUTED_VALUE"""),"No")</f>
        <v>No</v>
      </c>
      <c r="AB1026" s="1" t="str">
        <f ca="1">IFERROR(__xludf.DUMMYFUNCTION("""COMPUTED_VALUE"""),"No")</f>
        <v>No</v>
      </c>
      <c r="AC1026" s="1" t="str">
        <f ca="1">IFERROR(__xludf.DUMMYFUNCTION("""COMPUTED_VALUE"""),"No")</f>
        <v>No</v>
      </c>
      <c r="AD1026" s="1" t="str">
        <f ca="1">IFERROR(__xludf.DUMMYFUNCTION("""COMPUTED_VALUE"""),"No")</f>
        <v>No</v>
      </c>
      <c r="AE1026" s="1" t="str">
        <f ca="1">IFERROR(__xludf.DUMMYFUNCTION("""COMPUTED_VALUE"""),"No")</f>
        <v>No</v>
      </c>
      <c r="AF1026" s="1" t="str">
        <f ca="1">IFERROR(__xludf.DUMMYFUNCTION("""COMPUTED_VALUE"""),"No")</f>
        <v>No</v>
      </c>
      <c r="AG1026" s="1" t="str">
        <f ca="1">IFERROR(__xludf.DUMMYFUNCTION("""COMPUTED_VALUE"""),"No")</f>
        <v>No</v>
      </c>
      <c r="AH1026" s="1">
        <f ca="1">IFERROR(__xludf.DUMMYFUNCTION("""COMPUTED_VALUE"""),1)</f>
        <v>1</v>
      </c>
    </row>
    <row r="1027" spans="1:34" ht="12.5">
      <c r="A1027" s="1" t="str">
        <f ca="1">IFERROR(__xludf.DUMMYFUNCTION("""COMPUTED_VALUE"""),"20201005OKSOM")</f>
        <v>20201005OKSOM</v>
      </c>
      <c r="B1027" s="1">
        <f ca="1">IFERROR(__xludf.DUMMYFUNCTION("""COMPUTED_VALUE"""),10)</f>
        <v>10</v>
      </c>
      <c r="C1027" s="1">
        <f ca="1">IFERROR(__xludf.DUMMYFUNCTION("""COMPUTED_VALUE"""),5)</f>
        <v>5</v>
      </c>
      <c r="D1027" s="1">
        <f ca="1">IFERROR(__xludf.DUMMYFUNCTION("""COMPUTED_VALUE"""),2020)</f>
        <v>2020</v>
      </c>
      <c r="E1027" s="4">
        <f ca="1">IFERROR(__xludf.DUMMYFUNCTION("""COMPUTED_VALUE"""),44109)</f>
        <v>44109</v>
      </c>
      <c r="F1027" s="1" t="str">
        <f ca="1">IFERROR(__xludf.DUMMYFUNCTION("""COMPUTED_VALUE"""),"Southridge Junior High")</f>
        <v>Southridge Junior High</v>
      </c>
      <c r="G1027" s="1">
        <f ca="1">IFERROR(__xludf.DUMMYFUNCTION("""COMPUTED_VALUE"""),0)</f>
        <v>0</v>
      </c>
      <c r="H1027" s="1">
        <f ca="1">IFERROR(__xludf.DUMMYFUNCTION("""COMPUTED_VALUE"""),0)</f>
        <v>0</v>
      </c>
      <c r="I1027" s="1">
        <f ca="1">IFERROR(__xludf.DUMMYFUNCTION("""COMPUTED_VALUE"""),0)</f>
        <v>0</v>
      </c>
      <c r="J1027" s="1">
        <f ca="1">IFERROR(__xludf.DUMMYFUNCTION("""COMPUTED_VALUE"""),0)</f>
        <v>0</v>
      </c>
      <c r="K1027" s="1" t="str">
        <f ca="1">IFERROR(__xludf.DUMMYFUNCTION("""COMPUTED_VALUE"""),"Fall")</f>
        <v>Fall</v>
      </c>
      <c r="L1027" s="1" t="str">
        <f ca="1">IFERROR(__xludf.DUMMYFUNCTION("""COMPUTED_VALUE"""),"Moore")</f>
        <v>Moore</v>
      </c>
      <c r="M1027" s="1" t="str">
        <f ca="1">IFERROR(__xludf.DUMMYFUNCTION("""COMPUTED_VALUE"""),"OK")</f>
        <v>OK</v>
      </c>
      <c r="N1027" s="1" t="str">
        <f ca="1">IFERROR(__xludf.DUMMYFUNCTION("""COMPUTED_VALUE"""),"High")</f>
        <v>High</v>
      </c>
      <c r="O1027" s="1" t="str">
        <f ca="1">IFERROR(__xludf.DUMMYFUNCTION("""COMPUTED_VALUE"""),"School Bus")</f>
        <v>School Bus</v>
      </c>
      <c r="P1027" s="1" t="str">
        <f ca="1">IFERROR(__xludf.DUMMYFUNCTION("""COMPUTED_VALUE"""),"School Bus")</f>
        <v>School Bus</v>
      </c>
      <c r="Q1027" s="1" t="str">
        <f ca="1">IFERROR(__xludf.DUMMYFUNCTION("""COMPUTED_VALUE"""),"Yes")</f>
        <v>Yes</v>
      </c>
      <c r="R1027" s="1" t="str">
        <f ca="1">IFERROR(__xludf.DUMMYFUNCTION("""COMPUTED_VALUE"""),"Before School")</f>
        <v>Before School</v>
      </c>
      <c r="S1027" s="1"/>
      <c r="T1027" s="1">
        <f ca="1">IFERROR(__xludf.DUMMYFUNCTION("""COMPUTED_VALUE"""),1)</f>
        <v>1</v>
      </c>
      <c r="U1027" s="1" t="str">
        <f ca="1">IFERROR(__xludf.DUMMYFUNCTION("""COMPUTED_VALUE"""),"Student with airsoft gun fired multiple shots at other students on school bus")</f>
        <v>Student with airsoft gun fired multiple shots at other students on school bus</v>
      </c>
      <c r="V1027" s="1" t="str">
        <f ca="1">IFERROR(__xludf.DUMMYFUNCTION("""COMPUTED_VALUE"""),"A student got onto the school bus on the way to school, pulled out an airsoft gun, and fired a shot striking one student. The student then put the gun into his backpack and then exited the bus when it arrived at the school. Police were notified and the st"&amp;"udent was arrested at the school. Student has been expelled under the zero tolerance policy.")</f>
        <v>A student got onto the school bus on the way to school, pulled out an airsoft gun, and fired a shot striking one student. The student then put the gun into his backpack and then exited the bus when it arrived at the school. Police were notified and the student was arrested at the school. Student has been expelled under the zero tolerance policy.</v>
      </c>
      <c r="W1027" s="1"/>
      <c r="X1027" s="1"/>
      <c r="Y1027" s="1" t="str">
        <f ca="1">IFERROR(__xludf.DUMMYFUNCTION("""COMPUTED_VALUE"""),"No")</f>
        <v>No</v>
      </c>
      <c r="Z1027" s="1"/>
      <c r="AA1027" s="1" t="str">
        <f ca="1">IFERROR(__xludf.DUMMYFUNCTION("""COMPUTED_VALUE"""),"No")</f>
        <v>No</v>
      </c>
      <c r="AB1027" s="1" t="str">
        <f ca="1">IFERROR(__xludf.DUMMYFUNCTION("""COMPUTED_VALUE"""),"No")</f>
        <v>No</v>
      </c>
      <c r="AC1027" s="1" t="str">
        <f ca="1">IFERROR(__xludf.DUMMYFUNCTION("""COMPUTED_VALUE"""),"No")</f>
        <v>No</v>
      </c>
      <c r="AD1027" s="1"/>
      <c r="AE1027" s="1" t="str">
        <f ca="1">IFERROR(__xludf.DUMMYFUNCTION("""COMPUTED_VALUE"""),"No")</f>
        <v>No</v>
      </c>
      <c r="AF1027" s="1" t="str">
        <f ca="1">IFERROR(__xludf.DUMMYFUNCTION("""COMPUTED_VALUE"""),"No")</f>
        <v>No</v>
      </c>
      <c r="AG1027" s="1" t="str">
        <f ca="1">IFERROR(__xludf.DUMMYFUNCTION("""COMPUTED_VALUE"""),"No")</f>
        <v>No</v>
      </c>
      <c r="AH1027" s="1">
        <f ca="1">IFERROR(__xludf.DUMMYFUNCTION("""COMPUTED_VALUE"""),1)</f>
        <v>1</v>
      </c>
    </row>
    <row r="1028" spans="1:34" ht="12.5">
      <c r="A1028" s="1" t="str">
        <f ca="1">IFERROR(__xludf.DUMMYFUNCTION("""COMPUTED_VALUE"""),"20201005ARKIH")</f>
        <v>20201005ARKIH</v>
      </c>
      <c r="B1028" s="1">
        <f ca="1">IFERROR(__xludf.DUMMYFUNCTION("""COMPUTED_VALUE"""),10)</f>
        <v>10</v>
      </c>
      <c r="C1028" s="1">
        <f ca="1">IFERROR(__xludf.DUMMYFUNCTION("""COMPUTED_VALUE"""),5)</f>
        <v>5</v>
      </c>
      <c r="D1028" s="1">
        <f ca="1">IFERROR(__xludf.DUMMYFUNCTION("""COMPUTED_VALUE"""),2020)</f>
        <v>2020</v>
      </c>
      <c r="E1028" s="4">
        <f ca="1">IFERROR(__xludf.DUMMYFUNCTION("""COMPUTED_VALUE"""),44109)</f>
        <v>44109</v>
      </c>
      <c r="F1028" s="1" t="str">
        <f ca="1">IFERROR(__xludf.DUMMYFUNCTION("""COMPUTED_VALUE"""),"KIPP Delta Elementary School")</f>
        <v>KIPP Delta Elementary School</v>
      </c>
      <c r="G1028" s="1">
        <f ca="1">IFERROR(__xludf.DUMMYFUNCTION("""COMPUTED_VALUE"""),1)</f>
        <v>1</v>
      </c>
      <c r="H1028" s="1">
        <f ca="1">IFERROR(__xludf.DUMMYFUNCTION("""COMPUTED_VALUE"""),1)</f>
        <v>1</v>
      </c>
      <c r="I1028" s="1">
        <f ca="1">IFERROR(__xludf.DUMMYFUNCTION("""COMPUTED_VALUE"""),2)</f>
        <v>2</v>
      </c>
      <c r="J1028" s="1">
        <f ca="1">IFERROR(__xludf.DUMMYFUNCTION("""COMPUTED_VALUE"""),0)</f>
        <v>0</v>
      </c>
      <c r="K1028" s="1" t="str">
        <f ca="1">IFERROR(__xludf.DUMMYFUNCTION("""COMPUTED_VALUE"""),"Fall")</f>
        <v>Fall</v>
      </c>
      <c r="L1028" s="1" t="str">
        <f ca="1">IFERROR(__xludf.DUMMYFUNCTION("""COMPUTED_VALUE"""),"West Helena")</f>
        <v>West Helena</v>
      </c>
      <c r="M1028" s="1" t="str">
        <f ca="1">IFERROR(__xludf.DUMMYFUNCTION("""COMPUTED_VALUE"""),"AR")</f>
        <v>AR</v>
      </c>
      <c r="N1028" s="1" t="str">
        <f ca="1">IFERROR(__xludf.DUMMYFUNCTION("""COMPUTED_VALUE"""),"Elementary")</f>
        <v>Elementary</v>
      </c>
      <c r="O1028" s="1" t="str">
        <f ca="1">IFERROR(__xludf.DUMMYFUNCTION("""COMPUTED_VALUE"""),"Front of School")</f>
        <v>Front of School</v>
      </c>
      <c r="P1028" s="1" t="str">
        <f ca="1">IFERROR(__xludf.DUMMYFUNCTION("""COMPUTED_VALUE"""),"Outside on School Property")</f>
        <v>Outside on School Property</v>
      </c>
      <c r="Q1028" s="1" t="str">
        <f ca="1">IFERROR(__xludf.DUMMYFUNCTION("""COMPUTED_VALUE"""),"Yes")</f>
        <v>Yes</v>
      </c>
      <c r="R1028" s="1" t="str">
        <f ca="1">IFERROR(__xludf.DUMMYFUNCTION("""COMPUTED_VALUE"""),"Dismissal")</f>
        <v>Dismissal</v>
      </c>
      <c r="S1028" s="5">
        <f ca="1">IFERROR(__xludf.DUMMYFUNCTION("""COMPUTED_VALUE"""),0.625)</f>
        <v>0.625</v>
      </c>
      <c r="T1028" s="1"/>
      <c r="U1028" s="1" t="str">
        <f ca="1">IFERROR(__xludf.DUMMYFUNCTION("""COMPUTED_VALUE"""),"Two men shot during domestic dispute in front of school during dismissal")</f>
        <v>Two men shot during domestic dispute in front of school during dismissal</v>
      </c>
      <c r="V1028" s="1" t="str">
        <f ca="1">IFERROR(__xludf.DUMMYFUNCTION("""COMPUTED_VALUE"""),"Two men were shot during two shootings a few minutes apart related to a domestic dispute in front of the school. Students were dismissing at the time of the shooting and ran back into the school following lockdown procedures when the shots were fired. A m"&amp;"an was struck in the arm and fled the scene. While locked down, the second shooting occurred (man fatally shot). Assistant Police Chief James Mayfield said: “It’s gonna be a girlfriend-boyfriend, baby daddy, ex-boyfriend-new boyfriend type situation.” No "&amp;"students or staff were injured.")</f>
        <v>Two men were shot during two shootings a few minutes apart related to a domestic dispute in front of the school. Students were dismissing at the time of the shooting and ran back into the school following lockdown procedures when the shots were fired. A man was struck in the arm and fled the scene. While locked down, the second shooting occurred (man fatally shot). Assistant Police Chief James Mayfield said: “It’s gonna be a girlfriend-boyfriend, baby daddy, ex-boyfriend-new boyfriend type situation.” No students or staff were injured.</v>
      </c>
      <c r="W1028" s="1" t="str">
        <f ca="1">IFERROR(__xludf.DUMMYFUNCTION("""COMPUTED_VALUE"""),"Domestic w/ Targeted Victim")</f>
        <v>Domestic w/ Targeted Victim</v>
      </c>
      <c r="X1028" s="1" t="str">
        <f ca="1">IFERROR(__xludf.DUMMYFUNCTION("""COMPUTED_VALUE"""),"Victims Targeted")</f>
        <v>Victims Targeted</v>
      </c>
      <c r="Y1028" s="1"/>
      <c r="Z1028" s="1"/>
      <c r="AA1028" s="1" t="str">
        <f ca="1">IFERROR(__xludf.DUMMYFUNCTION("""COMPUTED_VALUE"""),"No")</f>
        <v>No</v>
      </c>
      <c r="AB1028" s="1" t="str">
        <f ca="1">IFERROR(__xludf.DUMMYFUNCTION("""COMPUTED_VALUE"""),"No")</f>
        <v>No</v>
      </c>
      <c r="AC1028" s="1" t="str">
        <f ca="1">IFERROR(__xludf.DUMMYFUNCTION("""COMPUTED_VALUE"""),"No")</f>
        <v>No</v>
      </c>
      <c r="AD1028" s="1" t="str">
        <f ca="1">IFERROR(__xludf.DUMMYFUNCTION("""COMPUTED_VALUE"""),"No")</f>
        <v>No</v>
      </c>
      <c r="AE1028" s="1" t="str">
        <f ca="1">IFERROR(__xludf.DUMMYFUNCTION("""COMPUTED_VALUE"""),"Yes")</f>
        <v>Yes</v>
      </c>
      <c r="AF1028" s="1" t="str">
        <f ca="1">IFERROR(__xludf.DUMMYFUNCTION("""COMPUTED_VALUE"""),"No")</f>
        <v>No</v>
      </c>
      <c r="AG1028" s="1" t="str">
        <f ca="1">IFERROR(__xludf.DUMMYFUNCTION("""COMPUTED_VALUE"""),"No")</f>
        <v>No</v>
      </c>
      <c r="AH1028" s="1"/>
    </row>
    <row r="1029" spans="1:34" ht="12.5">
      <c r="A1029" s="1" t="str">
        <f ca="1">IFERROR(__xludf.DUMMYFUNCTION("""COMPUTED_VALUE"""),"20201004NEADL")</f>
        <v>20201004NEADL</v>
      </c>
      <c r="B1029" s="1">
        <f ca="1">IFERROR(__xludf.DUMMYFUNCTION("""COMPUTED_VALUE"""),10)</f>
        <v>10</v>
      </c>
      <c r="C1029" s="1">
        <f ca="1">IFERROR(__xludf.DUMMYFUNCTION("""COMPUTED_VALUE"""),4)</f>
        <v>4</v>
      </c>
      <c r="D1029" s="1">
        <f ca="1">IFERROR(__xludf.DUMMYFUNCTION("""COMPUTED_VALUE"""),2020)</f>
        <v>2020</v>
      </c>
      <c r="E1029" s="4">
        <f ca="1">IFERROR(__xludf.DUMMYFUNCTION("""COMPUTED_VALUE"""),44108)</f>
        <v>44108</v>
      </c>
      <c r="F1029" s="1" t="str">
        <f ca="1">IFERROR(__xludf.DUMMYFUNCTION("""COMPUTED_VALUE"""),"Adam’s Elementary School")</f>
        <v>Adam’s Elementary School</v>
      </c>
      <c r="G1029" s="1">
        <f ca="1">IFERROR(__xludf.DUMMYFUNCTION("""COMPUTED_VALUE"""),0)</f>
        <v>0</v>
      </c>
      <c r="H1029" s="1">
        <f ca="1">IFERROR(__xludf.DUMMYFUNCTION("""COMPUTED_VALUE"""),0)</f>
        <v>0</v>
      </c>
      <c r="I1029" s="1">
        <f ca="1">IFERROR(__xludf.DUMMYFUNCTION("""COMPUTED_VALUE"""),0)</f>
        <v>0</v>
      </c>
      <c r="J1029" s="1">
        <f ca="1">IFERROR(__xludf.DUMMYFUNCTION("""COMPUTED_VALUE"""),0)</f>
        <v>0</v>
      </c>
      <c r="K1029" s="1" t="str">
        <f ca="1">IFERROR(__xludf.DUMMYFUNCTION("""COMPUTED_VALUE"""),"Fall")</f>
        <v>Fall</v>
      </c>
      <c r="L1029" s="1" t="str">
        <f ca="1">IFERROR(__xludf.DUMMYFUNCTION("""COMPUTED_VALUE"""),"Lincoln")</f>
        <v>Lincoln</v>
      </c>
      <c r="M1029" s="1" t="str">
        <f ca="1">IFERROR(__xludf.DUMMYFUNCTION("""COMPUTED_VALUE"""),"NE")</f>
        <v>NE</v>
      </c>
      <c r="N1029" s="1" t="str">
        <f ca="1">IFERROR(__xludf.DUMMYFUNCTION("""COMPUTED_VALUE"""),"Elementary")</f>
        <v>Elementary</v>
      </c>
      <c r="O1029" s="1" t="str">
        <f ca="1">IFERROR(__xludf.DUMMYFUNCTION("""COMPUTED_VALUE"""),"Parking Lot")</f>
        <v>Parking Lot</v>
      </c>
      <c r="P1029" s="1" t="str">
        <f ca="1">IFERROR(__xludf.DUMMYFUNCTION("""COMPUTED_VALUE"""),"Outside on School Property")</f>
        <v>Outside on School Property</v>
      </c>
      <c r="Q1029" s="1" t="str">
        <f ca="1">IFERROR(__xludf.DUMMYFUNCTION("""COMPUTED_VALUE"""),"No")</f>
        <v>No</v>
      </c>
      <c r="R1029" s="1"/>
      <c r="S1029" s="1"/>
      <c r="T1029" s="1"/>
      <c r="U1029" s="1" t="str">
        <f ca="1">IFERROR(__xludf.DUMMYFUNCTION("""COMPUTED_VALUE"""),"Police found shell casings near the elementary school playground")</f>
        <v>Police found shell casings near the elementary school playground</v>
      </c>
      <c r="V1029" s="1" t="str">
        <f ca="1">IFERROR(__xludf.DUMMYFUNCTION("""COMPUTED_VALUE"""),"Following an anonymous tip, police found spent shell casing in the parking lot of the elementary school near the play ground 2 days after the shooting occurred. A witness said a car pulled up, fired shots and left the scene. No injuries or damage.")</f>
        <v>Following an anonymous tip, police found spent shell casing in the parking lot of the elementary school near the play ground 2 days after the shooting occurred. A witness said a car pulled up, fired shots and left the scene. No injuries or damage.</v>
      </c>
      <c r="W1029" s="1" t="str">
        <f ca="1">IFERROR(__xludf.DUMMYFUNCTION("""COMPUTED_VALUE"""),"Drive-by Shooting")</f>
        <v>Drive-by Shooting</v>
      </c>
      <c r="X1029" s="1" t="str">
        <f ca="1">IFERROR(__xludf.DUMMYFUNCTION("""COMPUTED_VALUE"""),"Neither")</f>
        <v>Neither</v>
      </c>
      <c r="Y1029" s="1"/>
      <c r="Z1029" s="1"/>
      <c r="AA1029" s="1" t="str">
        <f ca="1">IFERROR(__xludf.DUMMYFUNCTION("""COMPUTED_VALUE"""),"No")</f>
        <v>No</v>
      </c>
      <c r="AB1029" s="1" t="str">
        <f ca="1">IFERROR(__xludf.DUMMYFUNCTION("""COMPUTED_VALUE"""),"No")</f>
        <v>No</v>
      </c>
      <c r="AC1029" s="1" t="str">
        <f ca="1">IFERROR(__xludf.DUMMYFUNCTION("""COMPUTED_VALUE"""),"No")</f>
        <v>No</v>
      </c>
      <c r="AD1029" s="1" t="str">
        <f ca="1">IFERROR(__xludf.DUMMYFUNCTION("""COMPUTED_VALUE"""),"No")</f>
        <v>No</v>
      </c>
      <c r="AE1029" s="1" t="str">
        <f ca="1">IFERROR(__xludf.DUMMYFUNCTION("""COMPUTED_VALUE"""),"No")</f>
        <v>No</v>
      </c>
      <c r="AF1029" s="1"/>
      <c r="AG1029" s="1" t="str">
        <f ca="1">IFERROR(__xludf.DUMMYFUNCTION("""COMPUTED_VALUE"""),"No")</f>
        <v>No</v>
      </c>
      <c r="AH1029" s="1"/>
    </row>
    <row r="1030" spans="1:34" ht="12.5">
      <c r="A1030" s="1" t="str">
        <f ca="1">IFERROR(__xludf.DUMMYFUNCTION("""COMPUTED_VALUE"""),"20201002PAMAE")</f>
        <v>20201002PAMAE</v>
      </c>
      <c r="B1030" s="1">
        <f ca="1">IFERROR(__xludf.DUMMYFUNCTION("""COMPUTED_VALUE"""),10)</f>
        <v>10</v>
      </c>
      <c r="C1030" s="1">
        <f ca="1">IFERROR(__xludf.DUMMYFUNCTION("""COMPUTED_VALUE"""),2)</f>
        <v>2</v>
      </c>
      <c r="D1030" s="1">
        <f ca="1">IFERROR(__xludf.DUMMYFUNCTION("""COMPUTED_VALUE"""),2020)</f>
        <v>2020</v>
      </c>
      <c r="E1030" s="4">
        <f ca="1">IFERROR(__xludf.DUMMYFUNCTION("""COMPUTED_VALUE"""),44106)</f>
        <v>44106</v>
      </c>
      <c r="F1030" s="1" t="str">
        <f ca="1">IFERROR(__xludf.DUMMYFUNCTION("""COMPUTED_VALUE"""),"Marple-Newtown School Bus")</f>
        <v>Marple-Newtown School Bus</v>
      </c>
      <c r="G1030" s="1">
        <f ca="1">IFERROR(__xludf.DUMMYFUNCTION("""COMPUTED_VALUE"""),0)</f>
        <v>0</v>
      </c>
      <c r="H1030" s="1">
        <f ca="1">IFERROR(__xludf.DUMMYFUNCTION("""COMPUTED_VALUE"""),0)</f>
        <v>0</v>
      </c>
      <c r="I1030" s="1">
        <f ca="1">IFERROR(__xludf.DUMMYFUNCTION("""COMPUTED_VALUE"""),0)</f>
        <v>0</v>
      </c>
      <c r="J1030" s="1">
        <f ca="1">IFERROR(__xludf.DUMMYFUNCTION("""COMPUTED_VALUE"""),0)</f>
        <v>0</v>
      </c>
      <c r="K1030" s="1" t="str">
        <f ca="1">IFERROR(__xludf.DUMMYFUNCTION("""COMPUTED_VALUE"""),"Fall")</f>
        <v>Fall</v>
      </c>
      <c r="L1030" s="1" t="str">
        <f ca="1">IFERROR(__xludf.DUMMYFUNCTION("""COMPUTED_VALUE"""),"Exton")</f>
        <v>Exton</v>
      </c>
      <c r="M1030" s="1" t="str">
        <f ca="1">IFERROR(__xludf.DUMMYFUNCTION("""COMPUTED_VALUE"""),"PA")</f>
        <v>PA</v>
      </c>
      <c r="N1030" s="1"/>
      <c r="O1030" s="1" t="str">
        <f ca="1">IFERROR(__xludf.DUMMYFUNCTION("""COMPUTED_VALUE"""),"School Bus")</f>
        <v>School Bus</v>
      </c>
      <c r="P1030" s="1" t="str">
        <f ca="1">IFERROR(__xludf.DUMMYFUNCTION("""COMPUTED_VALUE"""),"School Bus")</f>
        <v>School Bus</v>
      </c>
      <c r="Q1030" s="1"/>
      <c r="R1030" s="1"/>
      <c r="S1030" s="1"/>
      <c r="T1030" s="1">
        <f ca="1">IFERROR(__xludf.DUMMYFUNCTION("""COMPUTED_VALUE"""),1)</f>
        <v>1</v>
      </c>
      <c r="U1030" s="1" t="str">
        <f ca="1">IFERROR(__xludf.DUMMYFUNCTION("""COMPUTED_VALUE"""),"Multiple school bus windows shot while bus was driving on city street")</f>
        <v>Multiple school bus windows shot while bus was driving on city street</v>
      </c>
      <c r="V1030" s="1" t="str">
        <f ca="1">IFERROR(__xludf.DUMMYFUNCTION("""COMPUTED_VALUE"""),"Multiple bus windows were broken while the school bus was being driven on a city street. Police said a pellet gun was used. No other information available.")</f>
        <v>Multiple bus windows were broken while the school bus was being driven on a city street. Police said a pellet gun was used. No other information available.</v>
      </c>
      <c r="W1030" s="1" t="str">
        <f ca="1">IFERROR(__xludf.DUMMYFUNCTION("""COMPUTED_VALUE"""),"Intentional Property Damage")</f>
        <v>Intentional Property Damage</v>
      </c>
      <c r="X1030" s="1" t="str">
        <f ca="1">IFERROR(__xludf.DUMMYFUNCTION("""COMPUTED_VALUE"""),"Neither")</f>
        <v>Neither</v>
      </c>
      <c r="Y1030" s="1"/>
      <c r="Z1030" s="1"/>
      <c r="AA1030" s="1" t="str">
        <f ca="1">IFERROR(__xludf.DUMMYFUNCTION("""COMPUTED_VALUE"""),"No")</f>
        <v>No</v>
      </c>
      <c r="AB1030" s="1" t="str">
        <f ca="1">IFERROR(__xludf.DUMMYFUNCTION("""COMPUTED_VALUE"""),"No")</f>
        <v>No</v>
      </c>
      <c r="AC1030" s="1" t="str">
        <f ca="1">IFERROR(__xludf.DUMMYFUNCTION("""COMPUTED_VALUE"""),"No")</f>
        <v>No</v>
      </c>
      <c r="AD1030" s="1" t="str">
        <f ca="1">IFERROR(__xludf.DUMMYFUNCTION("""COMPUTED_VALUE"""),"No")</f>
        <v>No</v>
      </c>
      <c r="AE1030" s="1" t="str">
        <f ca="1">IFERROR(__xludf.DUMMYFUNCTION("""COMPUTED_VALUE"""),"No")</f>
        <v>No</v>
      </c>
      <c r="AF1030" s="1" t="str">
        <f ca="1">IFERROR(__xludf.DUMMYFUNCTION("""COMPUTED_VALUE"""),"No")</f>
        <v>No</v>
      </c>
      <c r="AG1030" s="1" t="str">
        <f ca="1">IFERROR(__xludf.DUMMYFUNCTION("""COMPUTED_VALUE"""),"No")</f>
        <v>No</v>
      </c>
      <c r="AH1030" s="1"/>
    </row>
    <row r="1031" spans="1:34" ht="12.5">
      <c r="A1031" s="1" t="str">
        <f ca="1">IFERROR(__xludf.DUMMYFUNCTION("""COMPUTED_VALUE"""),"20200930CADYL")</f>
        <v>20200930CADYL</v>
      </c>
      <c r="B1031" s="1">
        <f ca="1">IFERROR(__xludf.DUMMYFUNCTION("""COMPUTED_VALUE"""),9)</f>
        <v>9</v>
      </c>
      <c r="C1031" s="1">
        <f ca="1">IFERROR(__xludf.DUMMYFUNCTION("""COMPUTED_VALUE"""),30)</f>
        <v>30</v>
      </c>
      <c r="D1031" s="1">
        <f ca="1">IFERROR(__xludf.DUMMYFUNCTION("""COMPUTED_VALUE"""),2020)</f>
        <v>2020</v>
      </c>
      <c r="E1031" s="4">
        <f ca="1">IFERROR(__xludf.DUMMYFUNCTION("""COMPUTED_VALUE"""),44104)</f>
        <v>44104</v>
      </c>
      <c r="F1031" s="1" t="str">
        <f ca="1">IFERROR(__xludf.DUMMYFUNCTION("""COMPUTED_VALUE"""),"Dymally High School")</f>
        <v>Dymally High School</v>
      </c>
      <c r="G1031" s="1">
        <f ca="1">IFERROR(__xludf.DUMMYFUNCTION("""COMPUTED_VALUE"""),0)</f>
        <v>0</v>
      </c>
      <c r="H1031" s="1">
        <f ca="1">IFERROR(__xludf.DUMMYFUNCTION("""COMPUTED_VALUE"""),2)</f>
        <v>2</v>
      </c>
      <c r="I1031" s="1">
        <f ca="1">IFERROR(__xludf.DUMMYFUNCTION("""COMPUTED_VALUE"""),2)</f>
        <v>2</v>
      </c>
      <c r="J1031" s="1">
        <f ca="1">IFERROR(__xludf.DUMMYFUNCTION("""COMPUTED_VALUE"""),0)</f>
        <v>0</v>
      </c>
      <c r="K1031" s="1" t="str">
        <f ca="1">IFERROR(__xludf.DUMMYFUNCTION("""COMPUTED_VALUE"""),"Fall")</f>
        <v>Fall</v>
      </c>
      <c r="L1031" s="1" t="str">
        <f ca="1">IFERROR(__xludf.DUMMYFUNCTION("""COMPUTED_VALUE"""),"Los Angeles")</f>
        <v>Los Angeles</v>
      </c>
      <c r="M1031" s="1" t="str">
        <f ca="1">IFERROR(__xludf.DUMMYFUNCTION("""COMPUTED_VALUE"""),"CA")</f>
        <v>CA</v>
      </c>
      <c r="N1031" s="1" t="str">
        <f ca="1">IFERROR(__xludf.DUMMYFUNCTION("""COMPUTED_VALUE"""),"High")</f>
        <v>High</v>
      </c>
      <c r="O1031" s="1" t="str">
        <f ca="1">IFERROR(__xludf.DUMMYFUNCTION("""COMPUTED_VALUE"""),"Front of School")</f>
        <v>Front of School</v>
      </c>
      <c r="P1031" s="1" t="str">
        <f ca="1">IFERROR(__xludf.DUMMYFUNCTION("""COMPUTED_VALUE"""),"Outside on School Property")</f>
        <v>Outside on School Property</v>
      </c>
      <c r="Q1031" s="1" t="str">
        <f ca="1">IFERROR(__xludf.DUMMYFUNCTION("""COMPUTED_VALUE"""),"Yes")</f>
        <v>Yes</v>
      </c>
      <c r="R1031" s="1" t="str">
        <f ca="1">IFERROR(__xludf.DUMMYFUNCTION("""COMPUTED_VALUE"""),"Afternoon Classes")</f>
        <v>Afternoon Classes</v>
      </c>
      <c r="S1031" s="1"/>
      <c r="T1031" s="1">
        <f ca="1">IFERROR(__xludf.DUMMYFUNCTION("""COMPUTED_VALUE"""),1)</f>
        <v>1</v>
      </c>
      <c r="U1031" s="1" t="str">
        <f ca="1">IFERROR(__xludf.DUMMYFUNCTION("""COMPUTED_VALUE"""),"Two men were shot in front of the school")</f>
        <v>Two men were shot in front of the school</v>
      </c>
      <c r="V1031" s="1" t="str">
        <f ca="1">IFERROR(__xludf.DUMMYFUNCTION("""COMPUTED_VALUE"""),"LA School Police assigned to the building responded to two men shot (one was a 18 year-old male student) in front of the school. Staff and students in the building were locked down. School police provided first aid to both victims who were not students. N"&amp;"o further information about the shooter or motive provided.")</f>
        <v>LA School Police assigned to the building responded to two men shot (one was a 18 year-old male student) in front of the school. Staff and students in the building were locked down. School police provided first aid to both victims who were not students. No further information about the shooter or motive provided.</v>
      </c>
      <c r="W1031" s="1"/>
      <c r="X1031" s="1" t="str">
        <f ca="1">IFERROR(__xludf.DUMMYFUNCTION("""COMPUTED_VALUE"""),"Victims Targeted")</f>
        <v>Victims Targeted</v>
      </c>
      <c r="Y1031" s="1"/>
      <c r="Z1031" s="1"/>
      <c r="AA1031" s="1" t="str">
        <f ca="1">IFERROR(__xludf.DUMMYFUNCTION("""COMPUTED_VALUE"""),"No")</f>
        <v>No</v>
      </c>
      <c r="AB1031" s="1" t="str">
        <f ca="1">IFERROR(__xludf.DUMMYFUNCTION("""COMPUTED_VALUE"""),"No")</f>
        <v>No</v>
      </c>
      <c r="AC1031" s="1" t="str">
        <f ca="1">IFERROR(__xludf.DUMMYFUNCTION("""COMPUTED_VALUE"""),"No")</f>
        <v>No</v>
      </c>
      <c r="AD1031" s="1" t="str">
        <f ca="1">IFERROR(__xludf.DUMMYFUNCTION("""COMPUTED_VALUE"""),"No")</f>
        <v>No</v>
      </c>
      <c r="AE1031" s="1" t="str">
        <f ca="1">IFERROR(__xludf.DUMMYFUNCTION("""COMPUTED_VALUE"""),"No")</f>
        <v>No</v>
      </c>
      <c r="AF1031" s="1"/>
      <c r="AG1031" s="1" t="str">
        <f ca="1">IFERROR(__xludf.DUMMYFUNCTION("""COMPUTED_VALUE"""),"No")</f>
        <v>No</v>
      </c>
      <c r="AH1031" s="1"/>
    </row>
    <row r="1032" spans="1:34" ht="12.5">
      <c r="A1032" s="1" t="str">
        <f ca="1">IFERROR(__xludf.DUMMYFUNCTION("""COMPUTED_VALUE"""),"20200928CTEAN")</f>
        <v>20200928CTEAN</v>
      </c>
      <c r="B1032" s="1">
        <f ca="1">IFERROR(__xludf.DUMMYFUNCTION("""COMPUTED_VALUE"""),9)</f>
        <v>9</v>
      </c>
      <c r="C1032" s="1">
        <f ca="1">IFERROR(__xludf.DUMMYFUNCTION("""COMPUTED_VALUE"""),28)</f>
        <v>28</v>
      </c>
      <c r="D1032" s="1">
        <f ca="1">IFERROR(__xludf.DUMMYFUNCTION("""COMPUTED_VALUE"""),2020)</f>
        <v>2020</v>
      </c>
      <c r="E1032" s="4">
        <f ca="1">IFERROR(__xludf.DUMMYFUNCTION("""COMPUTED_VALUE"""),44102)</f>
        <v>44102</v>
      </c>
      <c r="F1032" s="1" t="str">
        <f ca="1">IFERROR(__xludf.DUMMYFUNCTION("""COMPUTED_VALUE"""),"East Rock Community Magnet School")</f>
        <v>East Rock Community Magnet School</v>
      </c>
      <c r="G1032" s="1">
        <f ca="1">IFERROR(__xludf.DUMMYFUNCTION("""COMPUTED_VALUE"""),0)</f>
        <v>0</v>
      </c>
      <c r="H1032" s="1">
        <f ca="1">IFERROR(__xludf.DUMMYFUNCTION("""COMPUTED_VALUE"""),1)</f>
        <v>1</v>
      </c>
      <c r="I1032" s="1">
        <f ca="1">IFERROR(__xludf.DUMMYFUNCTION("""COMPUTED_VALUE"""),1)</f>
        <v>1</v>
      </c>
      <c r="J1032" s="1">
        <f ca="1">IFERROR(__xludf.DUMMYFUNCTION("""COMPUTED_VALUE"""),0)</f>
        <v>0</v>
      </c>
      <c r="K1032" s="1" t="str">
        <f ca="1">IFERROR(__xludf.DUMMYFUNCTION("""COMPUTED_VALUE"""),"Fall")</f>
        <v>Fall</v>
      </c>
      <c r="L1032" s="1" t="str">
        <f ca="1">IFERROR(__xludf.DUMMYFUNCTION("""COMPUTED_VALUE"""),"New Haven")</f>
        <v>New Haven</v>
      </c>
      <c r="M1032" s="1" t="str">
        <f ca="1">IFERROR(__xludf.DUMMYFUNCTION("""COMPUTED_VALUE"""),"CT")</f>
        <v>CT</v>
      </c>
      <c r="N1032" s="1" t="str">
        <f ca="1">IFERROR(__xludf.DUMMYFUNCTION("""COMPUTED_VALUE"""),"K-8")</f>
        <v>K-8</v>
      </c>
      <c r="O1032" s="1" t="str">
        <f ca="1">IFERROR(__xludf.DUMMYFUNCTION("""COMPUTED_VALUE"""),"Beside Building")</f>
        <v>Beside Building</v>
      </c>
      <c r="P1032" s="1" t="str">
        <f ca="1">IFERROR(__xludf.DUMMYFUNCTION("""COMPUTED_VALUE"""),"Outside on School Property")</f>
        <v>Outside on School Property</v>
      </c>
      <c r="Q1032" s="1" t="str">
        <f ca="1">IFERROR(__xludf.DUMMYFUNCTION("""COMPUTED_VALUE"""),"No")</f>
        <v>No</v>
      </c>
      <c r="R1032" s="1" t="str">
        <f ca="1">IFERROR(__xludf.DUMMYFUNCTION("""COMPUTED_VALUE"""),"Before School")</f>
        <v>Before School</v>
      </c>
      <c r="S1032" s="5">
        <f ca="1">IFERROR(__xludf.DUMMYFUNCTION("""COMPUTED_VALUE"""),0.259027777777777)</f>
        <v>0.25902777777777702</v>
      </c>
      <c r="T1032" s="1">
        <f ca="1">IFERROR(__xludf.DUMMYFUNCTION("""COMPUTED_VALUE"""),1)</f>
        <v>1</v>
      </c>
      <c r="U1032" s="1" t="str">
        <f ca="1">IFERROR(__xludf.DUMMYFUNCTION("""COMPUTED_VALUE"""),"Man shot next to school building")</f>
        <v>Man shot next to school building</v>
      </c>
      <c r="V1032" s="1" t="str">
        <f ca="1">IFERROR(__xludf.DUMMYFUNCTION("""COMPUTED_VALUE"""),"Police responded for a call of multiple shots fired. Officers found an 18 year-old male wounded next to the school. Shooter fled the scene. School is closed for COVID-19. No information about motive. A vehicle parked in the street was also struck by the g"&amp;"unfire.")</f>
        <v>Police responded for a call of multiple shots fired. Officers found an 18 year-old male wounded next to the school. Shooter fled the scene. School is closed for COVID-19. No information about motive. A vehicle parked in the street was also struck by the gunfire.</v>
      </c>
      <c r="W1032" s="1"/>
      <c r="X1032" s="1" t="str">
        <f ca="1">IFERROR(__xludf.DUMMYFUNCTION("""COMPUTED_VALUE"""),"Victims Targeted")</f>
        <v>Victims Targeted</v>
      </c>
      <c r="Y1032" s="1"/>
      <c r="Z1032" s="1"/>
      <c r="AA1032" s="1" t="str">
        <f ca="1">IFERROR(__xludf.DUMMYFUNCTION("""COMPUTED_VALUE"""),"No")</f>
        <v>No</v>
      </c>
      <c r="AB1032" s="1" t="str">
        <f ca="1">IFERROR(__xludf.DUMMYFUNCTION("""COMPUTED_VALUE"""),"No")</f>
        <v>No</v>
      </c>
      <c r="AC1032" s="1" t="str">
        <f ca="1">IFERROR(__xludf.DUMMYFUNCTION("""COMPUTED_VALUE"""),"No")</f>
        <v>No</v>
      </c>
      <c r="AD1032" s="1" t="str">
        <f ca="1">IFERROR(__xludf.DUMMYFUNCTION("""COMPUTED_VALUE"""),"No")</f>
        <v>No</v>
      </c>
      <c r="AE1032" s="1" t="str">
        <f ca="1">IFERROR(__xludf.DUMMYFUNCTION("""COMPUTED_VALUE"""),"No")</f>
        <v>No</v>
      </c>
      <c r="AF1032" s="1"/>
      <c r="AG1032" s="1" t="str">
        <f ca="1">IFERROR(__xludf.DUMMYFUNCTION("""COMPUTED_VALUE"""),"No")</f>
        <v>No</v>
      </c>
      <c r="AH1032" s="1"/>
    </row>
    <row r="1033" spans="1:34" ht="12.5">
      <c r="A1033" s="1" t="str">
        <f ca="1">IFERROR(__xludf.DUMMYFUNCTION("""COMPUTED_VALUE"""),"20200925NJHAH")</f>
        <v>20200925NJHAH</v>
      </c>
      <c r="B1033" s="1">
        <f ca="1">IFERROR(__xludf.DUMMYFUNCTION("""COMPUTED_VALUE"""),9)</f>
        <v>9</v>
      </c>
      <c r="C1033" s="1">
        <f ca="1">IFERROR(__xludf.DUMMYFUNCTION("""COMPUTED_VALUE"""),25)</f>
        <v>25</v>
      </c>
      <c r="D1033" s="1">
        <f ca="1">IFERROR(__xludf.DUMMYFUNCTION("""COMPUTED_VALUE"""),2020)</f>
        <v>2020</v>
      </c>
      <c r="E1033" s="4">
        <f ca="1">IFERROR(__xludf.DUMMYFUNCTION("""COMPUTED_VALUE"""),44099)</f>
        <v>44099</v>
      </c>
      <c r="F1033" s="1" t="str">
        <f ca="1">IFERROR(__xludf.DUMMYFUNCTION("""COMPUTED_VALUE"""),"Haledon Public School")</f>
        <v>Haledon Public School</v>
      </c>
      <c r="G1033" s="1">
        <f ca="1">IFERROR(__xludf.DUMMYFUNCTION("""COMPUTED_VALUE"""),0)</f>
        <v>0</v>
      </c>
      <c r="H1033" s="1">
        <f ca="1">IFERROR(__xludf.DUMMYFUNCTION("""COMPUTED_VALUE"""),1)</f>
        <v>1</v>
      </c>
      <c r="I1033" s="1">
        <f ca="1">IFERROR(__xludf.DUMMYFUNCTION("""COMPUTED_VALUE"""),1)</f>
        <v>1</v>
      </c>
      <c r="J1033" s="1">
        <f ca="1">IFERROR(__xludf.DUMMYFUNCTION("""COMPUTED_VALUE"""),0)</f>
        <v>0</v>
      </c>
      <c r="K1033" s="1" t="str">
        <f ca="1">IFERROR(__xludf.DUMMYFUNCTION("""COMPUTED_VALUE"""),"Fall")</f>
        <v>Fall</v>
      </c>
      <c r="L1033" s="1" t="str">
        <f ca="1">IFERROR(__xludf.DUMMYFUNCTION("""COMPUTED_VALUE"""),"Haledon")</f>
        <v>Haledon</v>
      </c>
      <c r="M1033" s="1" t="str">
        <f ca="1">IFERROR(__xludf.DUMMYFUNCTION("""COMPUTED_VALUE"""),"NJ")</f>
        <v>NJ</v>
      </c>
      <c r="N1033" s="1" t="str">
        <f ca="1">IFERROR(__xludf.DUMMYFUNCTION("""COMPUTED_VALUE"""),"K-8")</f>
        <v>K-8</v>
      </c>
      <c r="O1033" s="1" t="str">
        <f ca="1">IFERROR(__xludf.DUMMYFUNCTION("""COMPUTED_VALUE"""),"Beside Building")</f>
        <v>Beside Building</v>
      </c>
      <c r="P1033" s="1" t="str">
        <f ca="1">IFERROR(__xludf.DUMMYFUNCTION("""COMPUTED_VALUE"""),"Outside on School Property")</f>
        <v>Outside on School Property</v>
      </c>
      <c r="Q1033" s="1" t="str">
        <f ca="1">IFERROR(__xludf.DUMMYFUNCTION("""COMPUTED_VALUE"""),"No")</f>
        <v>No</v>
      </c>
      <c r="R1033" s="1" t="str">
        <f ca="1">IFERROR(__xludf.DUMMYFUNCTION("""COMPUTED_VALUE"""),"Evening")</f>
        <v>Evening</v>
      </c>
      <c r="S1033" s="5">
        <f ca="1">IFERROR(__xludf.DUMMYFUNCTION("""COMPUTED_VALUE"""),0.797222222222222)</f>
        <v>0.79722222222222205</v>
      </c>
      <c r="T1033" s="1">
        <f ca="1">IFERROR(__xludf.DUMMYFUNCTION("""COMPUTED_VALUE"""),1)</f>
        <v>1</v>
      </c>
      <c r="U1033" s="1" t="str">
        <f ca="1">IFERROR(__xludf.DUMMYFUNCTION("""COMPUTED_VALUE"""),"Shooting victim found beside school building")</f>
        <v>Shooting victim found beside school building</v>
      </c>
      <c r="V1033" s="1" t="str">
        <f ca="1">IFERROR(__xludf.DUMMYFUNCTION("""COMPUTED_VALUE"""),"41 year-old male shooting victim was found beside school building. Transported the hospital and survived. No other information available.")</f>
        <v>41 year-old male shooting victim was found beside school building. Transported the hospital and survived. No other information available.</v>
      </c>
      <c r="W1033" s="1"/>
      <c r="X1033" s="1"/>
      <c r="Y1033" s="1"/>
      <c r="Z1033" s="1"/>
      <c r="AA1033" s="1" t="str">
        <f ca="1">IFERROR(__xludf.DUMMYFUNCTION("""COMPUTED_VALUE"""),"No")</f>
        <v>No</v>
      </c>
      <c r="AB1033" s="1" t="str">
        <f ca="1">IFERROR(__xludf.DUMMYFUNCTION("""COMPUTED_VALUE"""),"No")</f>
        <v>No</v>
      </c>
      <c r="AC1033" s="1" t="str">
        <f ca="1">IFERROR(__xludf.DUMMYFUNCTION("""COMPUTED_VALUE"""),"No")</f>
        <v>No</v>
      </c>
      <c r="AD1033" s="1" t="str">
        <f ca="1">IFERROR(__xludf.DUMMYFUNCTION("""COMPUTED_VALUE"""),"No")</f>
        <v>No</v>
      </c>
      <c r="AE1033" s="1"/>
      <c r="AF1033" s="1"/>
      <c r="AG1033" s="1" t="str">
        <f ca="1">IFERROR(__xludf.DUMMYFUNCTION("""COMPUTED_VALUE"""),"No")</f>
        <v>No</v>
      </c>
      <c r="AH1033" s="1"/>
    </row>
    <row r="1034" spans="1:34" ht="12.5">
      <c r="A1034" s="1" t="str">
        <f ca="1">IFERROR(__xludf.DUMMYFUNCTION("""COMPUTED_VALUE"""),"20200925ILROR")</f>
        <v>20200925ILROR</v>
      </c>
      <c r="B1034" s="1">
        <f ca="1">IFERROR(__xludf.DUMMYFUNCTION("""COMPUTED_VALUE"""),9)</f>
        <v>9</v>
      </c>
      <c r="C1034" s="1">
        <f ca="1">IFERROR(__xludf.DUMMYFUNCTION("""COMPUTED_VALUE"""),25)</f>
        <v>25</v>
      </c>
      <c r="D1034" s="1">
        <f ca="1">IFERROR(__xludf.DUMMYFUNCTION("""COMPUTED_VALUE"""),2020)</f>
        <v>2020</v>
      </c>
      <c r="E1034" s="4">
        <f ca="1">IFERROR(__xludf.DUMMYFUNCTION("""COMPUTED_VALUE"""),44099)</f>
        <v>44099</v>
      </c>
      <c r="F1034" s="1" t="str">
        <f ca="1">IFERROR(__xludf.DUMMYFUNCTION("""COMPUTED_VALUE"""),"Rock Island Academy")</f>
        <v>Rock Island Academy</v>
      </c>
      <c r="G1034" s="1">
        <f ca="1">IFERROR(__xludf.DUMMYFUNCTION("""COMPUTED_VALUE"""),0)</f>
        <v>0</v>
      </c>
      <c r="H1034" s="1">
        <f ca="1">IFERROR(__xludf.DUMMYFUNCTION("""COMPUTED_VALUE"""),0)</f>
        <v>0</v>
      </c>
      <c r="I1034" s="1">
        <f ca="1">IFERROR(__xludf.DUMMYFUNCTION("""COMPUTED_VALUE"""),0)</f>
        <v>0</v>
      </c>
      <c r="J1034" s="1">
        <f ca="1">IFERROR(__xludf.DUMMYFUNCTION("""COMPUTED_VALUE"""),0)</f>
        <v>0</v>
      </c>
      <c r="K1034" s="1" t="str">
        <f ca="1">IFERROR(__xludf.DUMMYFUNCTION("""COMPUTED_VALUE"""),"Fall")</f>
        <v>Fall</v>
      </c>
      <c r="L1034" s="1" t="str">
        <f ca="1">IFERROR(__xludf.DUMMYFUNCTION("""COMPUTED_VALUE"""),"Rock Island")</f>
        <v>Rock Island</v>
      </c>
      <c r="M1034" s="1" t="str">
        <f ca="1">IFERROR(__xludf.DUMMYFUNCTION("""COMPUTED_VALUE"""),"IL")</f>
        <v>IL</v>
      </c>
      <c r="N1034" s="1" t="str">
        <f ca="1">IFERROR(__xludf.DUMMYFUNCTION("""COMPUTED_VALUE"""),"Elementary")</f>
        <v>Elementary</v>
      </c>
      <c r="O1034" s="1" t="str">
        <f ca="1">IFERROR(__xludf.DUMMYFUNCTION("""COMPUTED_VALUE"""),"Hallway")</f>
        <v>Hallway</v>
      </c>
      <c r="P1034" s="1" t="str">
        <f ca="1">IFERROR(__xludf.DUMMYFUNCTION("""COMPUTED_VALUE"""),"Inside School Building")</f>
        <v>Inside School Building</v>
      </c>
      <c r="Q1034" s="1" t="str">
        <f ca="1">IFERROR(__xludf.DUMMYFUNCTION("""COMPUTED_VALUE"""),"No")</f>
        <v>No</v>
      </c>
      <c r="R1034" s="1"/>
      <c r="S1034" s="5">
        <f ca="1">IFERROR(__xludf.DUMMYFUNCTION("""COMPUTED_VALUE"""),0.958333333333333)</f>
        <v>0.95833333333333304</v>
      </c>
      <c r="T1034" s="1">
        <f ca="1">IFERROR(__xludf.DUMMYFUNCTION("""COMPUTED_VALUE"""),1)</f>
        <v>1</v>
      </c>
      <c r="U1034" s="1" t="str">
        <f ca="1">IFERROR(__xludf.DUMMYFUNCTION("""COMPUTED_VALUE"""),"Armed man fled from police into the school where he was arrested")</f>
        <v>Armed man fled from police into the school where he was arrested</v>
      </c>
      <c r="V1034" s="1" t="str">
        <f ca="1">IFERROR(__xludf.DUMMYFUNCTION("""COMPUTED_VALUE"""),"Police responded to 9-1-1 calls for shots fired and saw an adult male running from the shooting scene. Officers chased the man and he ran into the school building. Police found him with a loaded handgun in the school's stairwell. Arrested and charged with"&amp;" a felony.")</f>
        <v>Police responded to 9-1-1 calls for shots fired and saw an adult male running from the shooting scene. Officers chased the man and he ran into the school building. Police found him with a loaded handgun in the school's stairwell. Arrested and charged with a felony.</v>
      </c>
      <c r="W1034" s="1"/>
      <c r="X1034" s="1"/>
      <c r="Y1034" s="1" t="str">
        <f ca="1">IFERROR(__xludf.DUMMYFUNCTION("""COMPUTED_VALUE"""),"No")</f>
        <v>No</v>
      </c>
      <c r="Z1034" s="1"/>
      <c r="AA1034" s="1"/>
      <c r="AB1034" s="1" t="str">
        <f ca="1">IFERROR(__xludf.DUMMYFUNCTION("""COMPUTED_VALUE"""),"No")</f>
        <v>No</v>
      </c>
      <c r="AC1034" s="1" t="str">
        <f ca="1">IFERROR(__xludf.DUMMYFUNCTION("""COMPUTED_VALUE"""),"No")</f>
        <v>No</v>
      </c>
      <c r="AD1034" s="1" t="str">
        <f ca="1">IFERROR(__xludf.DUMMYFUNCTION("""COMPUTED_VALUE"""),"No")</f>
        <v>No</v>
      </c>
      <c r="AE1034" s="1" t="str">
        <f ca="1">IFERROR(__xludf.DUMMYFUNCTION("""COMPUTED_VALUE"""),"No")</f>
        <v>No</v>
      </c>
      <c r="AF1034" s="1"/>
      <c r="AG1034" s="1" t="str">
        <f ca="1">IFERROR(__xludf.DUMMYFUNCTION("""COMPUTED_VALUE"""),"No")</f>
        <v>No</v>
      </c>
      <c r="AH1034" s="1">
        <f ca="1">IFERROR(__xludf.DUMMYFUNCTION("""COMPUTED_VALUE"""),0)</f>
        <v>0</v>
      </c>
    </row>
    <row r="1035" spans="1:34" ht="12.5">
      <c r="A1035" s="1" t="str">
        <f ca="1">IFERROR(__xludf.DUMMYFUNCTION("""COMPUTED_VALUE"""),"20200924ILMCS")</f>
        <v>20200924ILMCS</v>
      </c>
      <c r="B1035" s="1">
        <f ca="1">IFERROR(__xludf.DUMMYFUNCTION("""COMPUTED_VALUE"""),9)</f>
        <v>9</v>
      </c>
      <c r="C1035" s="1">
        <f ca="1">IFERROR(__xludf.DUMMYFUNCTION("""COMPUTED_VALUE"""),24)</f>
        <v>24</v>
      </c>
      <c r="D1035" s="1">
        <f ca="1">IFERROR(__xludf.DUMMYFUNCTION("""COMPUTED_VALUE"""),2020)</f>
        <v>2020</v>
      </c>
      <c r="E1035" s="4">
        <f ca="1">IFERROR(__xludf.DUMMYFUNCTION("""COMPUTED_VALUE"""),44098)</f>
        <v>44098</v>
      </c>
      <c r="F1035" s="1" t="str">
        <f ca="1">IFERROR(__xludf.DUMMYFUNCTION("""COMPUTED_VALUE"""),"McClernand Elementary School")</f>
        <v>McClernand Elementary School</v>
      </c>
      <c r="G1035" s="1">
        <f ca="1">IFERROR(__xludf.DUMMYFUNCTION("""COMPUTED_VALUE"""),0)</f>
        <v>0</v>
      </c>
      <c r="H1035" s="1">
        <f ca="1">IFERROR(__xludf.DUMMYFUNCTION("""COMPUTED_VALUE"""),0)</f>
        <v>0</v>
      </c>
      <c r="I1035" s="1">
        <f ca="1">IFERROR(__xludf.DUMMYFUNCTION("""COMPUTED_VALUE"""),0)</f>
        <v>0</v>
      </c>
      <c r="J1035" s="1">
        <f ca="1">IFERROR(__xludf.DUMMYFUNCTION("""COMPUTED_VALUE"""),0)</f>
        <v>0</v>
      </c>
      <c r="K1035" s="1" t="str">
        <f ca="1">IFERROR(__xludf.DUMMYFUNCTION("""COMPUTED_VALUE"""),"Fall")</f>
        <v>Fall</v>
      </c>
      <c r="L1035" s="1" t="str">
        <f ca="1">IFERROR(__xludf.DUMMYFUNCTION("""COMPUTED_VALUE"""),"Springfield")</f>
        <v>Springfield</v>
      </c>
      <c r="M1035" s="1" t="str">
        <f ca="1">IFERROR(__xludf.DUMMYFUNCTION("""COMPUTED_VALUE"""),"IL")</f>
        <v>IL</v>
      </c>
      <c r="N1035" s="1" t="str">
        <f ca="1">IFERROR(__xludf.DUMMYFUNCTION("""COMPUTED_VALUE"""),"Elementary")</f>
        <v>Elementary</v>
      </c>
      <c r="O1035" s="1" t="str">
        <f ca="1">IFERROR(__xludf.DUMMYFUNCTION("""COMPUTED_VALUE"""),"Beside Building")</f>
        <v>Beside Building</v>
      </c>
      <c r="P1035" s="1" t="str">
        <f ca="1">IFERROR(__xludf.DUMMYFUNCTION("""COMPUTED_VALUE"""),"Outside on School Property")</f>
        <v>Outside on School Property</v>
      </c>
      <c r="Q1035" s="1" t="str">
        <f ca="1">IFERROR(__xludf.DUMMYFUNCTION("""COMPUTED_VALUE"""),"Yes")</f>
        <v>Yes</v>
      </c>
      <c r="R1035" s="1" t="str">
        <f ca="1">IFERROR(__xludf.DUMMYFUNCTION("""COMPUTED_VALUE"""),"Afternoon Classes")</f>
        <v>Afternoon Classes</v>
      </c>
      <c r="S1035" s="5">
        <f ca="1">IFERROR(__xludf.DUMMYFUNCTION("""COMPUTED_VALUE"""),0.522916666666666)</f>
        <v>0.52291666666666603</v>
      </c>
      <c r="T1035" s="1"/>
      <c r="U1035" s="1" t="str">
        <f ca="1">IFERROR(__xludf.DUMMYFUNCTION("""COMPUTED_VALUE"""),"Man fired shot that broke window then walked past classroom with BB gun")</f>
        <v>Man fired shot that broke window then walked past classroom with BB gun</v>
      </c>
      <c r="V1035" s="1" t="str">
        <f ca="1">IFERROR(__xludf.DUMMYFUNCTION("""COMPUTED_VALUE"""),"Police received a report of a BB gun near the school. A window was shot out of the school. Police said there were people inside the school at the time. Police were also called by a person who lives on the same block as the school who said he was shot in t"&amp;"he back with what he believed to be a BB. A teacher said they saw someone in the background of a Zoom class with a black gun, which ended up being a BB gun. 2 juveniles and an 18 year-old were arrested.")</f>
        <v>Police received a report of a BB gun near the school. A window was shot out of the school. Police said there were people inside the school at the time. Police were also called by a person who lives on the same block as the school who said he was shot in the back with what he believed to be a BB. A teacher said they saw someone in the background of a Zoom class with a black gun, which ended up being a BB gun. 2 juveniles and an 18 year-old were arrested.</v>
      </c>
      <c r="W1035" s="1" t="str">
        <f ca="1">IFERROR(__xludf.DUMMYFUNCTION("""COMPUTED_VALUE"""),"Intentional Property Damage")</f>
        <v>Intentional Property Damage</v>
      </c>
      <c r="X1035" s="1" t="str">
        <f ca="1">IFERROR(__xludf.DUMMYFUNCTION("""COMPUTED_VALUE"""),"Neither")</f>
        <v>Neither</v>
      </c>
      <c r="Y1035" s="1" t="str">
        <f ca="1">IFERROR(__xludf.DUMMYFUNCTION("""COMPUTED_VALUE"""),"No")</f>
        <v>No</v>
      </c>
      <c r="Z1035" s="1" t="str">
        <f ca="1">IFERROR(__xludf.DUMMYFUNCTION("""COMPUTED_VALUE"""),"One 18YO and 2 teens arrested")</f>
        <v>One 18YO and 2 teens arrested</v>
      </c>
      <c r="AA1035" s="1" t="str">
        <f ca="1">IFERROR(__xludf.DUMMYFUNCTION("""COMPUTED_VALUE"""),"No")</f>
        <v>No</v>
      </c>
      <c r="AB1035" s="1" t="str">
        <f ca="1">IFERROR(__xludf.DUMMYFUNCTION("""COMPUTED_VALUE"""),"No")</f>
        <v>No</v>
      </c>
      <c r="AC1035" s="1" t="str">
        <f ca="1">IFERROR(__xludf.DUMMYFUNCTION("""COMPUTED_VALUE"""),"No")</f>
        <v>No</v>
      </c>
      <c r="AD1035" s="1" t="str">
        <f ca="1">IFERROR(__xludf.DUMMYFUNCTION("""COMPUTED_VALUE"""),"No")</f>
        <v>No</v>
      </c>
      <c r="AE1035" s="1" t="str">
        <f ca="1">IFERROR(__xludf.DUMMYFUNCTION("""COMPUTED_VALUE"""),"No")</f>
        <v>No</v>
      </c>
      <c r="AF1035" s="1" t="str">
        <f ca="1">IFERROR(__xludf.DUMMYFUNCTION("""COMPUTED_VALUE"""),"No")</f>
        <v>No</v>
      </c>
      <c r="AG1035" s="1" t="str">
        <f ca="1">IFERROR(__xludf.DUMMYFUNCTION("""COMPUTED_VALUE"""),"No")</f>
        <v>No</v>
      </c>
      <c r="AH1035" s="1"/>
    </row>
    <row r="1036" spans="1:34" ht="12.5">
      <c r="A1036" s="1" t="str">
        <f ca="1">IFERROR(__xludf.DUMMYFUNCTION("""COMPUTED_VALUE"""),"20200924CAWAC")</f>
        <v>20200924CAWAC</v>
      </c>
      <c r="B1036" s="1">
        <f ca="1">IFERROR(__xludf.DUMMYFUNCTION("""COMPUTED_VALUE"""),9)</f>
        <v>9</v>
      </c>
      <c r="C1036" s="1">
        <f ca="1">IFERROR(__xludf.DUMMYFUNCTION("""COMPUTED_VALUE"""),24)</f>
        <v>24</v>
      </c>
      <c r="D1036" s="1">
        <f ca="1">IFERROR(__xludf.DUMMYFUNCTION("""COMPUTED_VALUE"""),2020)</f>
        <v>2020</v>
      </c>
      <c r="E1036" s="4">
        <f ca="1">IFERROR(__xludf.DUMMYFUNCTION("""COMPUTED_VALUE"""),44098)</f>
        <v>44098</v>
      </c>
      <c r="F1036" s="1" t="str">
        <f ca="1">IFERROR(__xludf.DUMMYFUNCTION("""COMPUTED_VALUE"""),"Walt Hanline Middle School")</f>
        <v>Walt Hanline Middle School</v>
      </c>
      <c r="G1036" s="1">
        <f ca="1">IFERROR(__xludf.DUMMYFUNCTION("""COMPUTED_VALUE"""),0)</f>
        <v>0</v>
      </c>
      <c r="H1036" s="1">
        <f ca="1">IFERROR(__xludf.DUMMYFUNCTION("""COMPUTED_VALUE"""),0)</f>
        <v>0</v>
      </c>
      <c r="I1036" s="1">
        <f ca="1">IFERROR(__xludf.DUMMYFUNCTION("""COMPUTED_VALUE"""),0)</f>
        <v>0</v>
      </c>
      <c r="J1036" s="1">
        <f ca="1">IFERROR(__xludf.DUMMYFUNCTION("""COMPUTED_VALUE"""),0)</f>
        <v>0</v>
      </c>
      <c r="K1036" s="1" t="str">
        <f ca="1">IFERROR(__xludf.DUMMYFUNCTION("""COMPUTED_VALUE"""),"Fall")</f>
        <v>Fall</v>
      </c>
      <c r="L1036" s="1" t="str">
        <f ca="1">IFERROR(__xludf.DUMMYFUNCTION("""COMPUTED_VALUE"""),"Ceres")</f>
        <v>Ceres</v>
      </c>
      <c r="M1036" s="1" t="str">
        <f ca="1">IFERROR(__xludf.DUMMYFUNCTION("""COMPUTED_VALUE"""),"CA")</f>
        <v>CA</v>
      </c>
      <c r="N1036" s="1" t="str">
        <f ca="1">IFERROR(__xludf.DUMMYFUNCTION("""COMPUTED_VALUE"""),"Middle")</f>
        <v>Middle</v>
      </c>
      <c r="O1036" s="1" t="str">
        <f ca="1">IFERROR(__xludf.DUMMYFUNCTION("""COMPUTED_VALUE"""),"Classroom")</f>
        <v>Classroom</v>
      </c>
      <c r="P1036" s="1" t="str">
        <f ca="1">IFERROR(__xludf.DUMMYFUNCTION("""COMPUTED_VALUE"""),"Both Inside/Outside")</f>
        <v>Both Inside/Outside</v>
      </c>
      <c r="Q1036" s="1" t="str">
        <f ca="1">IFERROR(__xludf.DUMMYFUNCTION("""COMPUTED_VALUE"""),"Yes")</f>
        <v>Yes</v>
      </c>
      <c r="R1036" s="1" t="str">
        <f ca="1">IFERROR(__xludf.DUMMYFUNCTION("""COMPUTED_VALUE"""),"Afternoon Classes")</f>
        <v>Afternoon Classes</v>
      </c>
      <c r="S1036" s="1"/>
      <c r="T1036" s="1"/>
      <c r="U1036" s="1" t="str">
        <f ca="1">IFERROR(__xludf.DUMMYFUNCTION("""COMPUTED_VALUE"""),"Bullets struck classroom and gym occupied by teachers")</f>
        <v>Bullets struck classroom and gym occupied by teachers</v>
      </c>
      <c r="V1036" s="1" t="str">
        <f ca="1">IFERROR(__xludf.DUMMYFUNCTION("""COMPUTED_VALUE"""),"One bullet struck a classroom wall and hit the classroom ceiling while a teach was in the room teaching a zoom class session. Two bullets struck the gym wall while a teacher was inside. Police arrested 3 men firing multiple weapons 300 yards from the scho"&amp;"ol. Claimed to be shooting for target practice. Police found 10 casing near the school. Men were arrested with 6 weapons.")</f>
        <v>One bullet struck a classroom wall and hit the classroom ceiling while a teach was in the room teaching a zoom class session. Two bullets struck the gym wall while a teacher was inside. Police arrested 3 men firing multiple weapons 300 yards from the school. Claimed to be shooting for target practice. Police found 10 casing near the school. Men were arrested with 6 weapons.</v>
      </c>
      <c r="W1036" s="1" t="str">
        <f ca="1">IFERROR(__xludf.DUMMYFUNCTION("""COMPUTED_VALUE"""),"Illegal Activity")</f>
        <v>Illegal Activity</v>
      </c>
      <c r="X1036" s="1" t="str">
        <f ca="1">IFERROR(__xludf.DUMMYFUNCTION("""COMPUTED_VALUE"""),"Neither")</f>
        <v>Neither</v>
      </c>
      <c r="Y1036" s="1" t="str">
        <f ca="1">IFERROR(__xludf.DUMMYFUNCTION("""COMPUTED_VALUE"""),"Yes")</f>
        <v>Yes</v>
      </c>
      <c r="Z1036" s="1" t="str">
        <f ca="1">IFERROR(__xludf.DUMMYFUNCTION("""COMPUTED_VALUE"""),"Three men arrested")</f>
        <v>Three men arrested</v>
      </c>
      <c r="AA1036" s="1" t="str">
        <f ca="1">IFERROR(__xludf.DUMMYFUNCTION("""COMPUTED_VALUE"""),"No")</f>
        <v>No</v>
      </c>
      <c r="AB1036" s="1" t="str">
        <f ca="1">IFERROR(__xludf.DUMMYFUNCTION("""COMPUTED_VALUE"""),"No")</f>
        <v>No</v>
      </c>
      <c r="AC1036" s="1" t="str">
        <f ca="1">IFERROR(__xludf.DUMMYFUNCTION("""COMPUTED_VALUE"""),"No")</f>
        <v>No</v>
      </c>
      <c r="AD1036" s="1" t="str">
        <f ca="1">IFERROR(__xludf.DUMMYFUNCTION("""COMPUTED_VALUE"""),"No")</f>
        <v>No</v>
      </c>
      <c r="AE1036" s="1" t="str">
        <f ca="1">IFERROR(__xludf.DUMMYFUNCTION("""COMPUTED_VALUE"""),"No")</f>
        <v>No</v>
      </c>
      <c r="AF1036" s="1"/>
      <c r="AG1036" s="1"/>
      <c r="AH1036" s="1">
        <f ca="1">IFERROR(__xludf.DUMMYFUNCTION("""COMPUTED_VALUE"""),10)</f>
        <v>10</v>
      </c>
    </row>
    <row r="1037" spans="1:34" ht="12.5">
      <c r="A1037" s="1" t="str">
        <f ca="1">IFERROR(__xludf.DUMMYFUNCTION("""COMPUTED_VALUE"""),"20200923PAWIW")</f>
        <v>20200923PAWIW</v>
      </c>
      <c r="B1037" s="1">
        <f ca="1">IFERROR(__xludf.DUMMYFUNCTION("""COMPUTED_VALUE"""),9)</f>
        <v>9</v>
      </c>
      <c r="C1037" s="1">
        <f ca="1">IFERROR(__xludf.DUMMYFUNCTION("""COMPUTED_VALUE"""),23)</f>
        <v>23</v>
      </c>
      <c r="D1037" s="1">
        <f ca="1">IFERROR(__xludf.DUMMYFUNCTION("""COMPUTED_VALUE"""),2020)</f>
        <v>2020</v>
      </c>
      <c r="E1037" s="4">
        <f ca="1">IFERROR(__xludf.DUMMYFUNCTION("""COMPUTED_VALUE"""),44097)</f>
        <v>44097</v>
      </c>
      <c r="F1037" s="1" t="str">
        <f ca="1">IFERROR(__xludf.DUMMYFUNCTION("""COMPUTED_VALUE"""),"William Tennent High School")</f>
        <v>William Tennent High School</v>
      </c>
      <c r="G1037" s="1">
        <f ca="1">IFERROR(__xludf.DUMMYFUNCTION("""COMPUTED_VALUE"""),0)</f>
        <v>0</v>
      </c>
      <c r="H1037" s="1">
        <f ca="1">IFERROR(__xludf.DUMMYFUNCTION("""COMPUTED_VALUE"""),0)</f>
        <v>0</v>
      </c>
      <c r="I1037" s="1">
        <f ca="1">IFERROR(__xludf.DUMMYFUNCTION("""COMPUTED_VALUE"""),0)</f>
        <v>0</v>
      </c>
      <c r="J1037" s="1">
        <f ca="1">IFERROR(__xludf.DUMMYFUNCTION("""COMPUTED_VALUE"""),0)</f>
        <v>0</v>
      </c>
      <c r="K1037" s="1" t="str">
        <f ca="1">IFERROR(__xludf.DUMMYFUNCTION("""COMPUTED_VALUE"""),"Fall")</f>
        <v>Fall</v>
      </c>
      <c r="L1037" s="1" t="str">
        <f ca="1">IFERROR(__xludf.DUMMYFUNCTION("""COMPUTED_VALUE"""),"Warminster")</f>
        <v>Warminster</v>
      </c>
      <c r="M1037" s="1" t="str">
        <f ca="1">IFERROR(__xludf.DUMMYFUNCTION("""COMPUTED_VALUE"""),"PA")</f>
        <v>PA</v>
      </c>
      <c r="N1037" s="1" t="str">
        <f ca="1">IFERROR(__xludf.DUMMYFUNCTION("""COMPUTED_VALUE"""),"High")</f>
        <v>High</v>
      </c>
      <c r="O1037" s="1" t="str">
        <f ca="1">IFERROR(__xludf.DUMMYFUNCTION("""COMPUTED_VALUE"""),"Parking Lot")</f>
        <v>Parking Lot</v>
      </c>
      <c r="P1037" s="1" t="str">
        <f ca="1">IFERROR(__xludf.DUMMYFUNCTION("""COMPUTED_VALUE"""),"Outside on School Property")</f>
        <v>Outside on School Property</v>
      </c>
      <c r="Q1037" s="1" t="str">
        <f ca="1">IFERROR(__xludf.DUMMYFUNCTION("""COMPUTED_VALUE"""),"No")</f>
        <v>No</v>
      </c>
      <c r="R1037" s="1" t="str">
        <f ca="1">IFERROR(__xludf.DUMMYFUNCTION("""COMPUTED_VALUE"""),"After School")</f>
        <v>After School</v>
      </c>
      <c r="S1037" s="5">
        <f ca="1">IFERROR(__xludf.DUMMYFUNCTION("""COMPUTED_VALUE"""),0.704861111111111)</f>
        <v>0.70486111111111105</v>
      </c>
      <c r="T1037" s="1">
        <f ca="1">IFERROR(__xludf.DUMMYFUNCTION("""COMPUTED_VALUE"""),1)</f>
        <v>1</v>
      </c>
      <c r="U1037" s="1" t="str">
        <f ca="1">IFERROR(__xludf.DUMMYFUNCTION("""COMPUTED_VALUE"""),"Shooting in parking lot during sports practice")</f>
        <v>Shooting in parking lot during sports practice</v>
      </c>
      <c r="V1037" s="1" t="str">
        <f ca="1">IFERROR(__xludf.DUMMYFUNCTION("""COMPUTED_VALUE"""),"A man chasing another man fired 2 shots in the school parking lot. Both shots missed. The shooter and the targeted victim fled the areas. The shooter fled in a vehicle driven by another person. The school was locked down. The incident was recorded on the "&amp;"school's CCTV system. Suspect was arrested on October 6, 2020 in a neighboring county. Police said the shooting was related to a drug deal that went wrong.")</f>
        <v>A man chasing another man fired 2 shots in the school parking lot. Both shots missed. The shooter and the targeted victim fled the areas. The shooter fled in a vehicle driven by another person. The school was locked down. The incident was recorded on the school's CCTV system. Suspect was arrested on October 6, 2020 in a neighboring county. Police said the shooting was related to a drug deal that went wrong.</v>
      </c>
      <c r="W1037" s="1" t="str">
        <f ca="1">IFERROR(__xludf.DUMMYFUNCTION("""COMPUTED_VALUE"""),"Illegal Activity")</f>
        <v>Illegal Activity</v>
      </c>
      <c r="X1037" s="1" t="str">
        <f ca="1">IFERROR(__xludf.DUMMYFUNCTION("""COMPUTED_VALUE"""),"Victims Targeted")</f>
        <v>Victims Targeted</v>
      </c>
      <c r="Y1037" s="1" t="str">
        <f ca="1">IFERROR(__xludf.DUMMYFUNCTION("""COMPUTED_VALUE"""),"Yes")</f>
        <v>Yes</v>
      </c>
      <c r="Z1037" s="1" t="str">
        <f ca="1">IFERROR(__xludf.DUMMYFUNCTION("""COMPUTED_VALUE"""),"Vehicle driver and shooter")</f>
        <v>Vehicle driver and shooter</v>
      </c>
      <c r="AA1037" s="1" t="str">
        <f ca="1">IFERROR(__xludf.DUMMYFUNCTION("""COMPUTED_VALUE"""),"No")</f>
        <v>No</v>
      </c>
      <c r="AB1037" s="1" t="str">
        <f ca="1">IFERROR(__xludf.DUMMYFUNCTION("""COMPUTED_VALUE"""),"No")</f>
        <v>No</v>
      </c>
      <c r="AC1037" s="1" t="str">
        <f ca="1">IFERROR(__xludf.DUMMYFUNCTION("""COMPUTED_VALUE"""),"No")</f>
        <v>No</v>
      </c>
      <c r="AD1037" s="1" t="str">
        <f ca="1">IFERROR(__xludf.DUMMYFUNCTION("""COMPUTED_VALUE"""),"No")</f>
        <v>No</v>
      </c>
      <c r="AE1037" s="1" t="str">
        <f ca="1">IFERROR(__xludf.DUMMYFUNCTION("""COMPUTED_VALUE"""),"No")</f>
        <v>No</v>
      </c>
      <c r="AF1037" s="1" t="str">
        <f ca="1">IFERROR(__xludf.DUMMYFUNCTION("""COMPUTED_VALUE"""),"No")</f>
        <v>No</v>
      </c>
      <c r="AG1037" s="1" t="str">
        <f ca="1">IFERROR(__xludf.DUMMYFUNCTION("""COMPUTED_VALUE"""),"No")</f>
        <v>No</v>
      </c>
      <c r="AH1037" s="1">
        <f ca="1">IFERROR(__xludf.DUMMYFUNCTION("""COMPUTED_VALUE"""),2)</f>
        <v>2</v>
      </c>
    </row>
    <row r="1038" spans="1:34" ht="12.5">
      <c r="A1038" s="1" t="str">
        <f ca="1">IFERROR(__xludf.DUMMYFUNCTION("""COMPUTED_VALUE"""),"20200923FLHIJ")</f>
        <v>20200923FLHIJ</v>
      </c>
      <c r="B1038" s="1">
        <f ca="1">IFERROR(__xludf.DUMMYFUNCTION("""COMPUTED_VALUE"""),9)</f>
        <v>9</v>
      </c>
      <c r="C1038" s="1">
        <f ca="1">IFERROR(__xludf.DUMMYFUNCTION("""COMPUTED_VALUE"""),23)</f>
        <v>23</v>
      </c>
      <c r="D1038" s="1">
        <f ca="1">IFERROR(__xludf.DUMMYFUNCTION("""COMPUTED_VALUE"""),2020)</f>
        <v>2020</v>
      </c>
      <c r="E1038" s="4">
        <f ca="1">IFERROR(__xludf.DUMMYFUNCTION("""COMPUTED_VALUE"""),44097)</f>
        <v>44097</v>
      </c>
      <c r="F1038" s="1" t="str">
        <f ca="1">IFERROR(__xludf.DUMMYFUNCTION("""COMPUTED_VALUE"""),"Highlands Middle School")</f>
        <v>Highlands Middle School</v>
      </c>
      <c r="G1038" s="1">
        <f ca="1">IFERROR(__xludf.DUMMYFUNCTION("""COMPUTED_VALUE"""),0)</f>
        <v>0</v>
      </c>
      <c r="H1038" s="1">
        <f ca="1">IFERROR(__xludf.DUMMYFUNCTION("""COMPUTED_VALUE"""),0)</f>
        <v>0</v>
      </c>
      <c r="I1038" s="1">
        <f ca="1">IFERROR(__xludf.DUMMYFUNCTION("""COMPUTED_VALUE"""),0)</f>
        <v>0</v>
      </c>
      <c r="J1038" s="1">
        <f ca="1">IFERROR(__xludf.DUMMYFUNCTION("""COMPUTED_VALUE"""),0)</f>
        <v>0</v>
      </c>
      <c r="K1038" s="1" t="str">
        <f ca="1">IFERROR(__xludf.DUMMYFUNCTION("""COMPUTED_VALUE"""),"Fall")</f>
        <v>Fall</v>
      </c>
      <c r="L1038" s="1" t="str">
        <f ca="1">IFERROR(__xludf.DUMMYFUNCTION("""COMPUTED_VALUE"""),"Jacksonville")</f>
        <v>Jacksonville</v>
      </c>
      <c r="M1038" s="1" t="str">
        <f ca="1">IFERROR(__xludf.DUMMYFUNCTION("""COMPUTED_VALUE"""),"FL")</f>
        <v>FL</v>
      </c>
      <c r="N1038" s="1" t="str">
        <f ca="1">IFERROR(__xludf.DUMMYFUNCTION("""COMPUTED_VALUE"""),"Middle")</f>
        <v>Middle</v>
      </c>
      <c r="O1038" s="1" t="str">
        <f ca="1">IFERROR(__xludf.DUMMYFUNCTION("""COMPUTED_VALUE"""),"School Bus")</f>
        <v>School Bus</v>
      </c>
      <c r="P1038" s="1" t="str">
        <f ca="1">IFERROR(__xludf.DUMMYFUNCTION("""COMPUTED_VALUE"""),"School Bus")</f>
        <v>School Bus</v>
      </c>
      <c r="Q1038" s="1" t="str">
        <f ca="1">IFERROR(__xludf.DUMMYFUNCTION("""COMPUTED_VALUE"""),"Yes")</f>
        <v>Yes</v>
      </c>
      <c r="R1038" s="1" t="str">
        <f ca="1">IFERROR(__xludf.DUMMYFUNCTION("""COMPUTED_VALUE"""),"Dismissal")</f>
        <v>Dismissal</v>
      </c>
      <c r="S1038" s="5">
        <f ca="1">IFERROR(__xludf.DUMMYFUNCTION("""COMPUTED_VALUE"""),0.6875)</f>
        <v>0.6875</v>
      </c>
      <c r="T1038" s="1">
        <f ca="1">IFERROR(__xludf.DUMMYFUNCTION("""COMPUTED_VALUE"""),1)</f>
        <v>1</v>
      </c>
      <c r="U1038" s="1" t="str">
        <f ca="1">IFERROR(__xludf.DUMMYFUNCTION("""COMPUTED_VALUE"""),"Teen shot BB breaking window of occupied school bus")</f>
        <v>Teen shot BB breaking window of occupied school bus</v>
      </c>
      <c r="V1038" s="1" t="str">
        <f ca="1">IFERROR(__xludf.DUMMYFUNCTION("""COMPUTED_VALUE"""),"Teen fired a BB that broke the window of a school bus with 12 students and the drive. Police were notified for a shooting involving a school bus. 18 year-old male teen was arrested near the scene.")</f>
        <v>Teen fired a BB that broke the window of a school bus with 12 students and the drive. Police were notified for a shooting involving a school bus. 18 year-old male teen was arrested near the scene.</v>
      </c>
      <c r="W1038" s="1" t="str">
        <f ca="1">IFERROR(__xludf.DUMMYFUNCTION("""COMPUTED_VALUE"""),"Intentional Property Damage")</f>
        <v>Intentional Property Damage</v>
      </c>
      <c r="X1038" s="1" t="str">
        <f ca="1">IFERROR(__xludf.DUMMYFUNCTION("""COMPUTED_VALUE"""),"Neither")</f>
        <v>Neither</v>
      </c>
      <c r="Y1038" s="1" t="str">
        <f ca="1">IFERROR(__xludf.DUMMYFUNCTION("""COMPUTED_VALUE"""),"No")</f>
        <v>No</v>
      </c>
      <c r="Z1038" s="1"/>
      <c r="AA1038" s="1" t="str">
        <f ca="1">IFERROR(__xludf.DUMMYFUNCTION("""COMPUTED_VALUE"""),"No")</f>
        <v>No</v>
      </c>
      <c r="AB1038" s="1" t="str">
        <f ca="1">IFERROR(__xludf.DUMMYFUNCTION("""COMPUTED_VALUE"""),"No")</f>
        <v>No</v>
      </c>
      <c r="AC1038" s="1" t="str">
        <f ca="1">IFERROR(__xludf.DUMMYFUNCTION("""COMPUTED_VALUE"""),"No")</f>
        <v>No</v>
      </c>
      <c r="AD1038" s="1" t="str">
        <f ca="1">IFERROR(__xludf.DUMMYFUNCTION("""COMPUTED_VALUE"""),"No")</f>
        <v>No</v>
      </c>
      <c r="AE1038" s="1" t="str">
        <f ca="1">IFERROR(__xludf.DUMMYFUNCTION("""COMPUTED_VALUE"""),"No")</f>
        <v>No</v>
      </c>
      <c r="AF1038" s="1" t="str">
        <f ca="1">IFERROR(__xludf.DUMMYFUNCTION("""COMPUTED_VALUE"""),"No")</f>
        <v>No</v>
      </c>
      <c r="AG1038" s="1" t="str">
        <f ca="1">IFERROR(__xludf.DUMMYFUNCTION("""COMPUTED_VALUE"""),"No")</f>
        <v>No</v>
      </c>
      <c r="AH1038" s="1">
        <f ca="1">IFERROR(__xludf.DUMMYFUNCTION("""COMPUTED_VALUE"""),1)</f>
        <v>1</v>
      </c>
    </row>
    <row r="1039" spans="1:34" ht="12.5">
      <c r="A1039" s="1" t="str">
        <f ca="1">IFERROR(__xludf.DUMMYFUNCTION("""COMPUTED_VALUE"""),"20200921CAPLP")</f>
        <v>20200921CAPLP</v>
      </c>
      <c r="B1039" s="1">
        <f ca="1">IFERROR(__xludf.DUMMYFUNCTION("""COMPUTED_VALUE"""),9)</f>
        <v>9</v>
      </c>
      <c r="C1039" s="1">
        <f ca="1">IFERROR(__xludf.DUMMYFUNCTION("""COMPUTED_VALUE"""),21)</f>
        <v>21</v>
      </c>
      <c r="D1039" s="1">
        <f ca="1">IFERROR(__xludf.DUMMYFUNCTION("""COMPUTED_VALUE"""),2020)</f>
        <v>2020</v>
      </c>
      <c r="E1039" s="4">
        <f ca="1">IFERROR(__xludf.DUMMYFUNCTION("""COMPUTED_VALUE"""),44095)</f>
        <v>44095</v>
      </c>
      <c r="F1039" s="1" t="str">
        <f ca="1">IFERROR(__xludf.DUMMYFUNCTION("""COMPUTED_VALUE"""),"Pleasant Hill Elementary School")</f>
        <v>Pleasant Hill Elementary School</v>
      </c>
      <c r="G1039" s="1">
        <f ca="1">IFERROR(__xludf.DUMMYFUNCTION("""COMPUTED_VALUE"""),0)</f>
        <v>0</v>
      </c>
      <c r="H1039" s="1">
        <f ca="1">IFERROR(__xludf.DUMMYFUNCTION("""COMPUTED_VALUE"""),0)</f>
        <v>0</v>
      </c>
      <c r="I1039" s="1">
        <f ca="1">IFERROR(__xludf.DUMMYFUNCTION("""COMPUTED_VALUE"""),0)</f>
        <v>0</v>
      </c>
      <c r="J1039" s="1">
        <f ca="1">IFERROR(__xludf.DUMMYFUNCTION("""COMPUTED_VALUE"""),0)</f>
        <v>0</v>
      </c>
      <c r="K1039" s="1" t="str">
        <f ca="1">IFERROR(__xludf.DUMMYFUNCTION("""COMPUTED_VALUE"""),"Fall")</f>
        <v>Fall</v>
      </c>
      <c r="L1039" s="1" t="str">
        <f ca="1">IFERROR(__xludf.DUMMYFUNCTION("""COMPUTED_VALUE"""),"Pleasant Hill")</f>
        <v>Pleasant Hill</v>
      </c>
      <c r="M1039" s="1" t="str">
        <f ca="1">IFERROR(__xludf.DUMMYFUNCTION("""COMPUTED_VALUE"""),"CA")</f>
        <v>CA</v>
      </c>
      <c r="N1039" s="1" t="str">
        <f ca="1">IFERROR(__xludf.DUMMYFUNCTION("""COMPUTED_VALUE"""),"Elementary")</f>
        <v>Elementary</v>
      </c>
      <c r="O1039" s="1" t="str">
        <f ca="1">IFERROR(__xludf.DUMMYFUNCTION("""COMPUTED_VALUE"""),"Beside Building")</f>
        <v>Beside Building</v>
      </c>
      <c r="P1039" s="1" t="str">
        <f ca="1">IFERROR(__xludf.DUMMYFUNCTION("""COMPUTED_VALUE"""),"Outside on School Property")</f>
        <v>Outside on School Property</v>
      </c>
      <c r="Q1039" s="1" t="str">
        <f ca="1">IFERROR(__xludf.DUMMYFUNCTION("""COMPUTED_VALUE"""),"No")</f>
        <v>No</v>
      </c>
      <c r="R1039" s="1" t="str">
        <f ca="1">IFERROR(__xludf.DUMMYFUNCTION("""COMPUTED_VALUE"""),"Evening")</f>
        <v>Evening</v>
      </c>
      <c r="S1039" s="1"/>
      <c r="T1039" s="1">
        <f ca="1">IFERROR(__xludf.DUMMYFUNCTION("""COMPUTED_VALUE"""),1)</f>
        <v>1</v>
      </c>
      <c r="U1039" s="1" t="str">
        <f ca="1">IFERROR(__xludf.DUMMYFUNCTION("""COMPUTED_VALUE"""),"Man attempted suicide behind school after firing at officers during pursuit")</f>
        <v>Man attempted suicide behind school after firing at officers during pursuit</v>
      </c>
      <c r="V1039" s="1" t="str">
        <f ca="1">IFERROR(__xludf.DUMMYFUNCTION("""COMPUTED_VALUE"""),"Man attempted suicide behind school after firing at officers during pursuit")</f>
        <v>Man attempted suicide behind school after firing at officers during pursuit</v>
      </c>
      <c r="W1039" s="1" t="str">
        <f ca="1">IFERROR(__xludf.DUMMYFUNCTION("""COMPUTED_VALUE"""),"Suicide/Attempted")</f>
        <v>Suicide/Attempted</v>
      </c>
      <c r="X1039" s="1" t="str">
        <f ca="1">IFERROR(__xludf.DUMMYFUNCTION("""COMPUTED_VALUE"""),"Neither")</f>
        <v>Neither</v>
      </c>
      <c r="Y1039" s="1" t="str">
        <f ca="1">IFERROR(__xludf.DUMMYFUNCTION("""COMPUTED_VALUE"""),"No")</f>
        <v>No</v>
      </c>
      <c r="Z1039" s="1"/>
      <c r="AA1039" s="1" t="str">
        <f ca="1">IFERROR(__xludf.DUMMYFUNCTION("""COMPUTED_VALUE"""),"No")</f>
        <v>No</v>
      </c>
      <c r="AB1039" s="1" t="str">
        <f ca="1">IFERROR(__xludf.DUMMYFUNCTION("""COMPUTED_VALUE"""),"No")</f>
        <v>No</v>
      </c>
      <c r="AC1039" s="1" t="str">
        <f ca="1">IFERROR(__xludf.DUMMYFUNCTION("""COMPUTED_VALUE"""),"No")</f>
        <v>No</v>
      </c>
      <c r="AD1039" s="1" t="str">
        <f ca="1">IFERROR(__xludf.DUMMYFUNCTION("""COMPUTED_VALUE"""),"No")</f>
        <v>No</v>
      </c>
      <c r="AE1039" s="1" t="str">
        <f ca="1">IFERROR(__xludf.DUMMYFUNCTION("""COMPUTED_VALUE"""),"No")</f>
        <v>No</v>
      </c>
      <c r="AF1039" s="1" t="str">
        <f ca="1">IFERROR(__xludf.DUMMYFUNCTION("""COMPUTED_VALUE"""),"No")</f>
        <v>No</v>
      </c>
      <c r="AG1039" s="1" t="str">
        <f ca="1">IFERROR(__xludf.DUMMYFUNCTION("""COMPUTED_VALUE"""),"No")</f>
        <v>No</v>
      </c>
      <c r="AH1039" s="1">
        <f ca="1">IFERROR(__xludf.DUMMYFUNCTION("""COMPUTED_VALUE"""),1)</f>
        <v>1</v>
      </c>
    </row>
    <row r="1040" spans="1:34" ht="12.5">
      <c r="A1040" s="1" t="str">
        <f ca="1">IFERROR(__xludf.DUMMYFUNCTION("""COMPUTED_VALUE"""),"20200920UTLIS")</f>
        <v>20200920UTLIS</v>
      </c>
      <c r="B1040" s="1">
        <f ca="1">IFERROR(__xludf.DUMMYFUNCTION("""COMPUTED_VALUE"""),9)</f>
        <v>9</v>
      </c>
      <c r="C1040" s="1">
        <f ca="1">IFERROR(__xludf.DUMMYFUNCTION("""COMPUTED_VALUE"""),20)</f>
        <v>20</v>
      </c>
      <c r="D1040" s="1">
        <f ca="1">IFERROR(__xludf.DUMMYFUNCTION("""COMPUTED_VALUE"""),2020)</f>
        <v>2020</v>
      </c>
      <c r="E1040" s="4">
        <f ca="1">IFERROR(__xludf.DUMMYFUNCTION("""COMPUTED_VALUE"""),44094)</f>
        <v>44094</v>
      </c>
      <c r="F1040" s="1" t="str">
        <f ca="1">IFERROR(__xludf.DUMMYFUNCTION("""COMPUTED_VALUE"""),"Liberty Elementary School")</f>
        <v>Liberty Elementary School</v>
      </c>
      <c r="G1040" s="1">
        <f ca="1">IFERROR(__xludf.DUMMYFUNCTION("""COMPUTED_VALUE"""),0)</f>
        <v>0</v>
      </c>
      <c r="H1040" s="1">
        <f ca="1">IFERROR(__xludf.DUMMYFUNCTION("""COMPUTED_VALUE"""),0)</f>
        <v>0</v>
      </c>
      <c r="I1040" s="1">
        <f ca="1">IFERROR(__xludf.DUMMYFUNCTION("""COMPUTED_VALUE"""),0)</f>
        <v>0</v>
      </c>
      <c r="J1040" s="1">
        <f ca="1">IFERROR(__xludf.DUMMYFUNCTION("""COMPUTED_VALUE"""),0)</f>
        <v>0</v>
      </c>
      <c r="K1040" s="1" t="str">
        <f ca="1">IFERROR(__xludf.DUMMYFUNCTION("""COMPUTED_VALUE"""),"Fall")</f>
        <v>Fall</v>
      </c>
      <c r="L1040" s="1" t="str">
        <f ca="1">IFERROR(__xludf.DUMMYFUNCTION("""COMPUTED_VALUE"""),"Salt Lake City")</f>
        <v>Salt Lake City</v>
      </c>
      <c r="M1040" s="1" t="str">
        <f ca="1">IFERROR(__xludf.DUMMYFUNCTION("""COMPUTED_VALUE"""),"UT")</f>
        <v>UT</v>
      </c>
      <c r="N1040" s="1" t="str">
        <f ca="1">IFERROR(__xludf.DUMMYFUNCTION("""COMPUTED_VALUE"""),"Elementary")</f>
        <v>Elementary</v>
      </c>
      <c r="O1040" s="1" t="str">
        <f ca="1">IFERROR(__xludf.DUMMYFUNCTION("""COMPUTED_VALUE"""),"Field (General)")</f>
        <v>Field (General)</v>
      </c>
      <c r="P1040" s="1" t="str">
        <f ca="1">IFERROR(__xludf.DUMMYFUNCTION("""COMPUTED_VALUE"""),"Outside on School Property")</f>
        <v>Outside on School Property</v>
      </c>
      <c r="Q1040" s="1" t="str">
        <f ca="1">IFERROR(__xludf.DUMMYFUNCTION("""COMPUTED_VALUE"""),"No")</f>
        <v>No</v>
      </c>
      <c r="R1040" s="1" t="str">
        <f ca="1">IFERROR(__xludf.DUMMYFUNCTION("""COMPUTED_VALUE"""),"Not a School Day")</f>
        <v>Not a School Day</v>
      </c>
      <c r="S1040" s="5">
        <f ca="1">IFERROR(__xludf.DUMMYFUNCTION("""COMPUTED_VALUE"""),0.666666666666666)</f>
        <v>0.66666666666666596</v>
      </c>
      <c r="T1040" s="1">
        <f ca="1">IFERROR(__xludf.DUMMYFUNCTION("""COMPUTED_VALUE"""),1)</f>
        <v>1</v>
      </c>
      <c r="U1040" s="1" t="str">
        <f ca="1">IFERROR(__xludf.DUMMYFUNCTION("""COMPUTED_VALUE"""),"8 shots fired on school soccer field")</f>
        <v>8 shots fired on school soccer field</v>
      </c>
      <c r="V1040" s="1" t="str">
        <f ca="1">IFERROR(__xludf.DUMMYFUNCTION("""COMPUTED_VALUE"""),"8 shots were fired from the school soccer field. Police found shell casings near the soccer goal. One round struck the window of a nearby home with a 9-year-old girl sitting nearby. Father reported a dispute earlier in the day with an unknown male. Shoote"&amp;"r fled. Police did not identify a suspect.")</f>
        <v>8 shots were fired from the school soccer field. Police found shell casings near the soccer goal. One round struck the window of a nearby home with a 9-year-old girl sitting nearby. Father reported a dispute earlier in the day with an unknown male. Shooter fled. Police did not identify a suspect.</v>
      </c>
      <c r="W1040" s="1"/>
      <c r="X1040" s="1"/>
      <c r="Y1040" s="1"/>
      <c r="Z1040" s="1"/>
      <c r="AA1040" s="1" t="str">
        <f ca="1">IFERROR(__xludf.DUMMYFUNCTION("""COMPUTED_VALUE"""),"No")</f>
        <v>No</v>
      </c>
      <c r="AB1040" s="1" t="str">
        <f ca="1">IFERROR(__xludf.DUMMYFUNCTION("""COMPUTED_VALUE"""),"No")</f>
        <v>No</v>
      </c>
      <c r="AC1040" s="1" t="str">
        <f ca="1">IFERROR(__xludf.DUMMYFUNCTION("""COMPUTED_VALUE"""),"No")</f>
        <v>No</v>
      </c>
      <c r="AD1040" s="1" t="str">
        <f ca="1">IFERROR(__xludf.DUMMYFUNCTION("""COMPUTED_VALUE"""),"No")</f>
        <v>No</v>
      </c>
      <c r="AE1040" s="1" t="str">
        <f ca="1">IFERROR(__xludf.DUMMYFUNCTION("""COMPUTED_VALUE"""),"No")</f>
        <v>No</v>
      </c>
      <c r="AF1040" s="1"/>
      <c r="AG1040" s="1" t="str">
        <f ca="1">IFERROR(__xludf.DUMMYFUNCTION("""COMPUTED_VALUE"""),"No")</f>
        <v>No</v>
      </c>
      <c r="AH1040" s="1"/>
    </row>
    <row r="1041" spans="1:34" ht="12.5">
      <c r="A1041" s="1" t="str">
        <f ca="1">IFERROR(__xludf.DUMMYFUNCTION("""COMPUTED_VALUE"""),"20200919CAKRS")</f>
        <v>20200919CAKRS</v>
      </c>
      <c r="B1041" s="1">
        <f ca="1">IFERROR(__xludf.DUMMYFUNCTION("""COMPUTED_VALUE"""),9)</f>
        <v>9</v>
      </c>
      <c r="C1041" s="1">
        <f ca="1">IFERROR(__xludf.DUMMYFUNCTION("""COMPUTED_VALUE"""),19)</f>
        <v>19</v>
      </c>
      <c r="D1041" s="1">
        <f ca="1">IFERROR(__xludf.DUMMYFUNCTION("""COMPUTED_VALUE"""),2020)</f>
        <v>2020</v>
      </c>
      <c r="E1041" s="4">
        <f ca="1">IFERROR(__xludf.DUMMYFUNCTION("""COMPUTED_VALUE"""),44093)</f>
        <v>44093</v>
      </c>
      <c r="F1041" s="1" t="str">
        <f ca="1">IFERROR(__xludf.DUMMYFUNCTION("""COMPUTED_VALUE"""),"Krouzian Zekarian Vasbouragan Armenian School")</f>
        <v>Krouzian Zekarian Vasbouragan Armenian School</v>
      </c>
      <c r="G1041" s="1">
        <f ca="1">IFERROR(__xludf.DUMMYFUNCTION("""COMPUTED_VALUE"""),0)</f>
        <v>0</v>
      </c>
      <c r="H1041" s="1">
        <f ca="1">IFERROR(__xludf.DUMMYFUNCTION("""COMPUTED_VALUE"""),0)</f>
        <v>0</v>
      </c>
      <c r="I1041" s="1">
        <f ca="1">IFERROR(__xludf.DUMMYFUNCTION("""COMPUTED_VALUE"""),0)</f>
        <v>0</v>
      </c>
      <c r="J1041" s="1">
        <f ca="1">IFERROR(__xludf.DUMMYFUNCTION("""COMPUTED_VALUE"""),0)</f>
        <v>0</v>
      </c>
      <c r="K1041" s="1"/>
      <c r="L1041" s="1" t="str">
        <f ca="1">IFERROR(__xludf.DUMMYFUNCTION("""COMPUTED_VALUE"""),"San Francisco")</f>
        <v>San Francisco</v>
      </c>
      <c r="M1041" s="1" t="str">
        <f ca="1">IFERROR(__xludf.DUMMYFUNCTION("""COMPUTED_VALUE"""),"CA")</f>
        <v>CA</v>
      </c>
      <c r="N1041" s="1" t="str">
        <f ca="1">IFERROR(__xludf.DUMMYFUNCTION("""COMPUTED_VALUE"""),"K-8")</f>
        <v>K-8</v>
      </c>
      <c r="O1041" s="1" t="str">
        <f ca="1">IFERROR(__xludf.DUMMYFUNCTION("""COMPUTED_VALUE"""),"Outside on School Property")</f>
        <v>Outside on School Property</v>
      </c>
      <c r="P1041" s="1" t="str">
        <f ca="1">IFERROR(__xludf.DUMMYFUNCTION("""COMPUTED_VALUE"""),"Outside on School Property")</f>
        <v>Outside on School Property</v>
      </c>
      <c r="Q1041" s="1" t="str">
        <f ca="1">IFERROR(__xludf.DUMMYFUNCTION("""COMPUTED_VALUE"""),"No")</f>
        <v>No</v>
      </c>
      <c r="R1041" s="1" t="str">
        <f ca="1">IFERROR(__xludf.DUMMYFUNCTION("""COMPUTED_VALUE"""),"Night")</f>
        <v>Night</v>
      </c>
      <c r="S1041" s="5">
        <f ca="1">IFERROR(__xludf.DUMMYFUNCTION("""COMPUTED_VALUE"""),0.600694444444444)</f>
        <v>0.60069444444444398</v>
      </c>
      <c r="T1041" s="1">
        <f ca="1">IFERROR(__xludf.DUMMYFUNCTION("""COMPUTED_VALUE"""),1)</f>
        <v>1</v>
      </c>
      <c r="U1041" s="1" t="str">
        <f ca="1">IFERROR(__xludf.DUMMYFUNCTION("""COMPUTED_VALUE"""),"School sign damaged by gunshot")</f>
        <v>School sign damaged by gunshot</v>
      </c>
      <c r="V1041" s="1" t="str">
        <f ca="1">IFERROR(__xludf.DUMMYFUNCTION("""COMPUTED_VALUE"""),"Police were called for the report of gunshots near the school. Police found a bullet hole in the sign of the school. The school was been vandalized twice in the past 2 months. Shooting is being investigated as a hate crime.")</f>
        <v>Police were called for the report of gunshots near the school. Police found a bullet hole in the sign of the school. The school was been vandalized twice in the past 2 months. Shooting is being investigated as a hate crime.</v>
      </c>
      <c r="W1041" s="1" t="str">
        <f ca="1">IFERROR(__xludf.DUMMYFUNCTION("""COMPUTED_VALUE"""),"Intentional Property Damage")</f>
        <v>Intentional Property Damage</v>
      </c>
      <c r="X1041" s="1" t="str">
        <f ca="1">IFERROR(__xludf.DUMMYFUNCTION("""COMPUTED_VALUE"""),"Neither")</f>
        <v>Neither</v>
      </c>
      <c r="Y1041" s="1"/>
      <c r="Z1041" s="1"/>
      <c r="AA1041" s="1" t="str">
        <f ca="1">IFERROR(__xludf.DUMMYFUNCTION("""COMPUTED_VALUE"""),"No")</f>
        <v>No</v>
      </c>
      <c r="AB1041" s="1" t="str">
        <f ca="1">IFERROR(__xludf.DUMMYFUNCTION("""COMPUTED_VALUE"""),"No")</f>
        <v>No</v>
      </c>
      <c r="AC1041" s="1" t="str">
        <f ca="1">IFERROR(__xludf.DUMMYFUNCTION("""COMPUTED_VALUE"""),"No")</f>
        <v>No</v>
      </c>
      <c r="AD1041" s="1" t="str">
        <f ca="1">IFERROR(__xludf.DUMMYFUNCTION("""COMPUTED_VALUE"""),"No")</f>
        <v>No</v>
      </c>
      <c r="AE1041" s="1" t="str">
        <f ca="1">IFERROR(__xludf.DUMMYFUNCTION("""COMPUTED_VALUE"""),"No")</f>
        <v>No</v>
      </c>
      <c r="AF1041" s="1"/>
      <c r="AG1041" s="1" t="str">
        <f ca="1">IFERROR(__xludf.DUMMYFUNCTION("""COMPUTED_VALUE"""),"No")</f>
        <v>No</v>
      </c>
      <c r="AH1041" s="1"/>
    </row>
    <row r="1042" spans="1:34" ht="12.5">
      <c r="A1042" s="1" t="str">
        <f ca="1">IFERROR(__xludf.DUMMYFUNCTION("""COMPUTED_VALUE"""),"20200918KYWIL")</f>
        <v>20200918KYWIL</v>
      </c>
      <c r="B1042" s="1">
        <f ca="1">IFERROR(__xludf.DUMMYFUNCTION("""COMPUTED_VALUE"""),9)</f>
        <v>9</v>
      </c>
      <c r="C1042" s="1">
        <f ca="1">IFERROR(__xludf.DUMMYFUNCTION("""COMPUTED_VALUE"""),18)</f>
        <v>18</v>
      </c>
      <c r="D1042" s="1">
        <f ca="1">IFERROR(__xludf.DUMMYFUNCTION("""COMPUTED_VALUE"""),2020)</f>
        <v>2020</v>
      </c>
      <c r="E1042" s="4">
        <f ca="1">IFERROR(__xludf.DUMMYFUNCTION("""COMPUTED_VALUE"""),44092)</f>
        <v>44092</v>
      </c>
      <c r="F1042" s="1" t="str">
        <f ca="1">IFERROR(__xludf.DUMMYFUNCTION("""COMPUTED_VALUE"""),"Winburn Middle School")</f>
        <v>Winburn Middle School</v>
      </c>
      <c r="G1042" s="1">
        <f ca="1">IFERROR(__xludf.DUMMYFUNCTION("""COMPUTED_VALUE"""),0)</f>
        <v>0</v>
      </c>
      <c r="H1042" s="1">
        <f ca="1">IFERROR(__xludf.DUMMYFUNCTION("""COMPUTED_VALUE"""),1)</f>
        <v>1</v>
      </c>
      <c r="I1042" s="1">
        <f ca="1">IFERROR(__xludf.DUMMYFUNCTION("""COMPUTED_VALUE"""),1)</f>
        <v>1</v>
      </c>
      <c r="J1042" s="1">
        <f ca="1">IFERROR(__xludf.DUMMYFUNCTION("""COMPUTED_VALUE"""),0)</f>
        <v>0</v>
      </c>
      <c r="K1042" s="1" t="str">
        <f ca="1">IFERROR(__xludf.DUMMYFUNCTION("""COMPUTED_VALUE"""),"Fall")</f>
        <v>Fall</v>
      </c>
      <c r="L1042" s="1" t="str">
        <f ca="1">IFERROR(__xludf.DUMMYFUNCTION("""COMPUTED_VALUE"""),"Lexington")</f>
        <v>Lexington</v>
      </c>
      <c r="M1042" s="1" t="str">
        <f ca="1">IFERROR(__xludf.DUMMYFUNCTION("""COMPUTED_VALUE"""),"KY")</f>
        <v>KY</v>
      </c>
      <c r="N1042" s="1" t="str">
        <f ca="1">IFERROR(__xludf.DUMMYFUNCTION("""COMPUTED_VALUE"""),"Middle")</f>
        <v>Middle</v>
      </c>
      <c r="O1042" s="1" t="str">
        <f ca="1">IFERROR(__xludf.DUMMYFUNCTION("""COMPUTED_VALUE"""),"Basketball Court")</f>
        <v>Basketball Court</v>
      </c>
      <c r="P1042" s="1" t="str">
        <f ca="1">IFERROR(__xludf.DUMMYFUNCTION("""COMPUTED_VALUE"""),"Outside on School Property")</f>
        <v>Outside on School Property</v>
      </c>
      <c r="Q1042" s="1" t="str">
        <f ca="1">IFERROR(__xludf.DUMMYFUNCTION("""COMPUTED_VALUE"""),"No")</f>
        <v>No</v>
      </c>
      <c r="R1042" s="1" t="str">
        <f ca="1">IFERROR(__xludf.DUMMYFUNCTION("""COMPUTED_VALUE"""),"Evening")</f>
        <v>Evening</v>
      </c>
      <c r="S1042" s="5">
        <f ca="1">IFERROR(__xludf.DUMMYFUNCTION("""COMPUTED_VALUE"""),0.854166666666666)</f>
        <v>0.85416666666666596</v>
      </c>
      <c r="T1042" s="1">
        <f ca="1">IFERROR(__xludf.DUMMYFUNCTION("""COMPUTED_VALUE"""),1)</f>
        <v>1</v>
      </c>
      <c r="U1042" s="1" t="str">
        <f ca="1">IFERROR(__xludf.DUMMYFUNCTION("""COMPUTED_VALUE"""),"Man shot near the school basketball court")</f>
        <v>Man shot near the school basketball court</v>
      </c>
      <c r="V1042" s="1" t="str">
        <f ca="1">IFERROR(__xludf.DUMMYFUNCTION("""COMPUTED_VALUE"""),"Man was shot near the school basketball court. Police did not provide any other information.")</f>
        <v>Man was shot near the school basketball court. Police did not provide any other information.</v>
      </c>
      <c r="W1042" s="1"/>
      <c r="X1042" s="1"/>
      <c r="Y1042" s="1"/>
      <c r="Z1042" s="1"/>
      <c r="AA1042" s="1" t="str">
        <f ca="1">IFERROR(__xludf.DUMMYFUNCTION("""COMPUTED_VALUE"""),"No")</f>
        <v>No</v>
      </c>
      <c r="AB1042" s="1" t="str">
        <f ca="1">IFERROR(__xludf.DUMMYFUNCTION("""COMPUTED_VALUE"""),"No")</f>
        <v>No</v>
      </c>
      <c r="AC1042" s="1" t="str">
        <f ca="1">IFERROR(__xludf.DUMMYFUNCTION("""COMPUTED_VALUE"""),"No")</f>
        <v>No</v>
      </c>
      <c r="AD1042" s="1" t="str">
        <f ca="1">IFERROR(__xludf.DUMMYFUNCTION("""COMPUTED_VALUE"""),"No")</f>
        <v>No</v>
      </c>
      <c r="AE1042" s="1" t="str">
        <f ca="1">IFERROR(__xludf.DUMMYFUNCTION("""COMPUTED_VALUE"""),"No")</f>
        <v>No</v>
      </c>
      <c r="AF1042" s="1"/>
      <c r="AG1042" s="1" t="str">
        <f ca="1">IFERROR(__xludf.DUMMYFUNCTION("""COMPUTED_VALUE"""),"No")</f>
        <v>No</v>
      </c>
      <c r="AH1042" s="1"/>
    </row>
    <row r="1043" spans="1:34" ht="12.5">
      <c r="A1043" s="1" t="str">
        <f ca="1">IFERROR(__xludf.DUMMYFUNCTION("""COMPUTED_VALUE"""),"20200917ORDRP")</f>
        <v>20200917ORDRP</v>
      </c>
      <c r="B1043" s="1">
        <f ca="1">IFERROR(__xludf.DUMMYFUNCTION("""COMPUTED_VALUE"""),9)</f>
        <v>9</v>
      </c>
      <c r="C1043" s="1">
        <f ca="1">IFERROR(__xludf.DUMMYFUNCTION("""COMPUTED_VALUE"""),17)</f>
        <v>17</v>
      </c>
      <c r="D1043" s="1">
        <f ca="1">IFERROR(__xludf.DUMMYFUNCTION("""COMPUTED_VALUE"""),2020)</f>
        <v>2020</v>
      </c>
      <c r="E1043" s="4">
        <f ca="1">IFERROR(__xludf.DUMMYFUNCTION("""COMPUTED_VALUE"""),44091)</f>
        <v>44091</v>
      </c>
      <c r="F1043" s="1" t="str">
        <f ca="1">IFERROR(__xludf.DUMMYFUNCTION("""COMPUTED_VALUE"""),"Dr. Martin Luther King Jr. Elementary School")</f>
        <v>Dr. Martin Luther King Jr. Elementary School</v>
      </c>
      <c r="G1043" s="1">
        <f ca="1">IFERROR(__xludf.DUMMYFUNCTION("""COMPUTED_VALUE"""),0)</f>
        <v>0</v>
      </c>
      <c r="H1043" s="1">
        <f ca="1">IFERROR(__xludf.DUMMYFUNCTION("""COMPUTED_VALUE"""),1)</f>
        <v>1</v>
      </c>
      <c r="I1043" s="1">
        <f ca="1">IFERROR(__xludf.DUMMYFUNCTION("""COMPUTED_VALUE"""),1)</f>
        <v>1</v>
      </c>
      <c r="J1043" s="1">
        <f ca="1">IFERROR(__xludf.DUMMYFUNCTION("""COMPUTED_VALUE"""),0)</f>
        <v>0</v>
      </c>
      <c r="K1043" s="1" t="str">
        <f ca="1">IFERROR(__xludf.DUMMYFUNCTION("""COMPUTED_VALUE"""),"Fall")</f>
        <v>Fall</v>
      </c>
      <c r="L1043" s="1" t="str">
        <f ca="1">IFERROR(__xludf.DUMMYFUNCTION("""COMPUTED_VALUE"""),"Portland")</f>
        <v>Portland</v>
      </c>
      <c r="M1043" s="1" t="str">
        <f ca="1">IFERROR(__xludf.DUMMYFUNCTION("""COMPUTED_VALUE"""),"OR")</f>
        <v>OR</v>
      </c>
      <c r="N1043" s="1" t="str">
        <f ca="1">IFERROR(__xludf.DUMMYFUNCTION("""COMPUTED_VALUE"""),"Elementary")</f>
        <v>Elementary</v>
      </c>
      <c r="O1043" s="1" t="str">
        <f ca="1">IFERROR(__xludf.DUMMYFUNCTION("""COMPUTED_VALUE"""),"Outside on School Property")</f>
        <v>Outside on School Property</v>
      </c>
      <c r="P1043" s="1" t="str">
        <f ca="1">IFERROR(__xludf.DUMMYFUNCTION("""COMPUTED_VALUE"""),"Outside on School Property")</f>
        <v>Outside on School Property</v>
      </c>
      <c r="Q1043" s="1" t="str">
        <f ca="1">IFERROR(__xludf.DUMMYFUNCTION("""COMPUTED_VALUE"""),"No")</f>
        <v>No</v>
      </c>
      <c r="R1043" s="1" t="str">
        <f ca="1">IFERROR(__xludf.DUMMYFUNCTION("""COMPUTED_VALUE"""),"Night")</f>
        <v>Night</v>
      </c>
      <c r="S1043" s="5">
        <f ca="1">IFERROR(__xludf.DUMMYFUNCTION("""COMPUTED_VALUE"""),0.900694444444444)</f>
        <v>0.90069444444444402</v>
      </c>
      <c r="T1043" s="1">
        <f ca="1">IFERROR(__xludf.DUMMYFUNCTION("""COMPUTED_VALUE"""),1)</f>
        <v>1</v>
      </c>
      <c r="U1043" s="1" t="str">
        <f ca="1">IFERROR(__xludf.DUMMYFUNCTION("""COMPUTED_VALUE"""),"Victim shot near school tennis court")</f>
        <v>Victim shot near school tennis court</v>
      </c>
      <c r="V1043" s="1" t="str">
        <f ca="1">IFERROR(__xludf.DUMMYFUNCTION("""COMPUTED_VALUE"""),"Victim shot near school tennis court. Police were called for report of gunshot and did not find any victims. Victim was driven to the hospital and notified police that the shooting occurred near the school tennis court. Shooter fled.")</f>
        <v>Victim shot near school tennis court. Police were called for report of gunshot and did not find any victims. Victim was driven to the hospital and notified police that the shooting occurred near the school tennis court. Shooter fled.</v>
      </c>
      <c r="W1043" s="1"/>
      <c r="X1043" s="1"/>
      <c r="Y1043" s="1"/>
      <c r="Z1043" s="1"/>
      <c r="AA1043" s="1" t="str">
        <f ca="1">IFERROR(__xludf.DUMMYFUNCTION("""COMPUTED_VALUE"""),"No")</f>
        <v>No</v>
      </c>
      <c r="AB1043" s="1" t="str">
        <f ca="1">IFERROR(__xludf.DUMMYFUNCTION("""COMPUTED_VALUE"""),"No")</f>
        <v>No</v>
      </c>
      <c r="AC1043" s="1" t="str">
        <f ca="1">IFERROR(__xludf.DUMMYFUNCTION("""COMPUTED_VALUE"""),"No")</f>
        <v>No</v>
      </c>
      <c r="AD1043" s="1" t="str">
        <f ca="1">IFERROR(__xludf.DUMMYFUNCTION("""COMPUTED_VALUE"""),"No")</f>
        <v>No</v>
      </c>
      <c r="AE1043" s="1" t="str">
        <f ca="1">IFERROR(__xludf.DUMMYFUNCTION("""COMPUTED_VALUE"""),"No")</f>
        <v>No</v>
      </c>
      <c r="AF1043" s="1"/>
      <c r="AG1043" s="1" t="str">
        <f ca="1">IFERROR(__xludf.DUMMYFUNCTION("""COMPUTED_VALUE"""),"No")</f>
        <v>No</v>
      </c>
      <c r="AH1043" s="1"/>
    </row>
    <row r="1044" spans="1:34" ht="12.5">
      <c r="A1044" s="1" t="str">
        <f ca="1">IFERROR(__xludf.DUMMYFUNCTION("""COMPUTED_VALUE"""),"20200917OHELA")</f>
        <v>20200917OHELA</v>
      </c>
      <c r="B1044" s="1">
        <f ca="1">IFERROR(__xludf.DUMMYFUNCTION("""COMPUTED_VALUE"""),9)</f>
        <v>9</v>
      </c>
      <c r="C1044" s="1">
        <f ca="1">IFERROR(__xludf.DUMMYFUNCTION("""COMPUTED_VALUE"""),17)</f>
        <v>17</v>
      </c>
      <c r="D1044" s="1">
        <f ca="1">IFERROR(__xludf.DUMMYFUNCTION("""COMPUTED_VALUE"""),2020)</f>
        <v>2020</v>
      </c>
      <c r="E1044" s="4">
        <f ca="1">IFERROR(__xludf.DUMMYFUNCTION("""COMPUTED_VALUE"""),44091)</f>
        <v>44091</v>
      </c>
      <c r="F1044" s="1" t="str">
        <f ca="1">IFERROR(__xludf.DUMMYFUNCTION("""COMPUTED_VALUE"""),"Ellet High School")</f>
        <v>Ellet High School</v>
      </c>
      <c r="G1044" s="1">
        <f ca="1">IFERROR(__xludf.DUMMYFUNCTION("""COMPUTED_VALUE"""),0)</f>
        <v>0</v>
      </c>
      <c r="H1044" s="1">
        <f ca="1">IFERROR(__xludf.DUMMYFUNCTION("""COMPUTED_VALUE"""),2)</f>
        <v>2</v>
      </c>
      <c r="I1044" s="1">
        <f ca="1">IFERROR(__xludf.DUMMYFUNCTION("""COMPUTED_VALUE"""),2)</f>
        <v>2</v>
      </c>
      <c r="J1044" s="1">
        <f ca="1">IFERROR(__xludf.DUMMYFUNCTION("""COMPUTED_VALUE"""),0)</f>
        <v>0</v>
      </c>
      <c r="K1044" s="1" t="str">
        <f ca="1">IFERROR(__xludf.DUMMYFUNCTION("""COMPUTED_VALUE"""),"Fall")</f>
        <v>Fall</v>
      </c>
      <c r="L1044" s="1" t="str">
        <f ca="1">IFERROR(__xludf.DUMMYFUNCTION("""COMPUTED_VALUE"""),"Akron")</f>
        <v>Akron</v>
      </c>
      <c r="M1044" s="1" t="str">
        <f ca="1">IFERROR(__xludf.DUMMYFUNCTION("""COMPUTED_VALUE"""),"OH")</f>
        <v>OH</v>
      </c>
      <c r="N1044" s="1" t="str">
        <f ca="1">IFERROR(__xludf.DUMMYFUNCTION("""COMPUTED_VALUE"""),"High")</f>
        <v>High</v>
      </c>
      <c r="O1044" s="1" t="str">
        <f ca="1">IFERROR(__xludf.DUMMYFUNCTION("""COMPUTED_VALUE"""),"Football Field/Track")</f>
        <v>Football Field/Track</v>
      </c>
      <c r="P1044" s="1" t="str">
        <f ca="1">IFERROR(__xludf.DUMMYFUNCTION("""COMPUTED_VALUE"""),"Outside on School Property")</f>
        <v>Outside on School Property</v>
      </c>
      <c r="Q1044" s="1" t="str">
        <f ca="1">IFERROR(__xludf.DUMMYFUNCTION("""COMPUTED_VALUE"""),"No")</f>
        <v>No</v>
      </c>
      <c r="R1044" s="1" t="str">
        <f ca="1">IFERROR(__xludf.DUMMYFUNCTION("""COMPUTED_VALUE"""),"Sport Event")</f>
        <v>Sport Event</v>
      </c>
      <c r="S1044" s="5">
        <f ca="1">IFERROR(__xludf.DUMMYFUNCTION("""COMPUTED_VALUE"""),0.833333333333333)</f>
        <v>0.83333333333333304</v>
      </c>
      <c r="T1044" s="1">
        <f ca="1">IFERROR(__xludf.DUMMYFUNCTION("""COMPUTED_VALUE"""),1)</f>
        <v>1</v>
      </c>
      <c r="U1044" s="1" t="str">
        <f ca="1">IFERROR(__xludf.DUMMYFUNCTION("""COMPUTED_VALUE"""),"Teen shot another teen and bystander during dispute at football game")</f>
        <v>Teen shot another teen and bystander during dispute at football game</v>
      </c>
      <c r="V1044" s="1" t="str">
        <f ca="1">IFERROR(__xludf.DUMMYFUNCTION("""COMPUTED_VALUE"""),"An unidentified teen got into a dispute with a 19YOM (victim) in the stands during a high school football game. The teen shot the 19YOM victim and a woman in her 40's seated behind them. The shooter fled the area.")</f>
        <v>An unidentified teen got into a dispute with a 19YOM (victim) in the stands during a high school football game. The teen shot the 19YOM victim and a woman in her 40's seated behind them. The shooter fled the area.</v>
      </c>
      <c r="W1044" s="1" t="str">
        <f ca="1">IFERROR(__xludf.DUMMYFUNCTION("""COMPUTED_VALUE"""),"Escalation of Dispute")</f>
        <v>Escalation of Dispute</v>
      </c>
      <c r="X1044" s="1" t="str">
        <f ca="1">IFERROR(__xludf.DUMMYFUNCTION("""COMPUTED_VALUE"""),"Both")</f>
        <v>Both</v>
      </c>
      <c r="Y1044" s="1" t="str">
        <f ca="1">IFERROR(__xludf.DUMMYFUNCTION("""COMPUTED_VALUE"""),"No")</f>
        <v>No</v>
      </c>
      <c r="Z1044" s="1"/>
      <c r="AA1044" s="1" t="str">
        <f ca="1">IFERROR(__xludf.DUMMYFUNCTION("""COMPUTED_VALUE"""),"No")</f>
        <v>No</v>
      </c>
      <c r="AB1044" s="1" t="str">
        <f ca="1">IFERROR(__xludf.DUMMYFUNCTION("""COMPUTED_VALUE"""),"No")</f>
        <v>No</v>
      </c>
      <c r="AC1044" s="1" t="str">
        <f ca="1">IFERROR(__xludf.DUMMYFUNCTION("""COMPUTED_VALUE"""),"No")</f>
        <v>No</v>
      </c>
      <c r="AD1044" s="1" t="str">
        <f ca="1">IFERROR(__xludf.DUMMYFUNCTION("""COMPUTED_VALUE"""),"No")</f>
        <v>No</v>
      </c>
      <c r="AE1044" s="1" t="str">
        <f ca="1">IFERROR(__xludf.DUMMYFUNCTION("""COMPUTED_VALUE"""),"No")</f>
        <v>No</v>
      </c>
      <c r="AF1044" s="1"/>
      <c r="AG1044" s="1" t="str">
        <f ca="1">IFERROR(__xludf.DUMMYFUNCTION("""COMPUTED_VALUE"""),"No")</f>
        <v>No</v>
      </c>
      <c r="AH1044" s="1"/>
    </row>
    <row r="1045" spans="1:34" ht="12.5">
      <c r="A1045" s="1" t="str">
        <f ca="1">IFERROR(__xludf.DUMMYFUNCTION("""COMPUTED_VALUE"""),"20200916WAARG")</f>
        <v>20200916WAARG</v>
      </c>
      <c r="B1045" s="1">
        <f ca="1">IFERROR(__xludf.DUMMYFUNCTION("""COMPUTED_VALUE"""),9)</f>
        <v>9</v>
      </c>
      <c r="C1045" s="1">
        <f ca="1">IFERROR(__xludf.DUMMYFUNCTION("""COMPUTED_VALUE"""),15)</f>
        <v>15</v>
      </c>
      <c r="D1045" s="1">
        <f ca="1">IFERROR(__xludf.DUMMYFUNCTION("""COMPUTED_VALUE"""),2020)</f>
        <v>2020</v>
      </c>
      <c r="E1045" s="4">
        <f ca="1">IFERROR(__xludf.DUMMYFUNCTION("""COMPUTED_VALUE"""),44089)</f>
        <v>44089</v>
      </c>
      <c r="F1045" s="1" t="str">
        <f ca="1">IFERROR(__xludf.DUMMYFUNCTION("""COMPUTED_VALUE"""),"Artondale Elementary School")</f>
        <v>Artondale Elementary School</v>
      </c>
      <c r="G1045" s="1">
        <f ca="1">IFERROR(__xludf.DUMMYFUNCTION("""COMPUTED_VALUE"""),0)</f>
        <v>0</v>
      </c>
      <c r="H1045" s="1">
        <f ca="1">IFERROR(__xludf.DUMMYFUNCTION("""COMPUTED_VALUE"""),1)</f>
        <v>1</v>
      </c>
      <c r="I1045" s="1">
        <f ca="1">IFERROR(__xludf.DUMMYFUNCTION("""COMPUTED_VALUE"""),1)</f>
        <v>1</v>
      </c>
      <c r="J1045" s="1">
        <f ca="1">IFERROR(__xludf.DUMMYFUNCTION("""COMPUTED_VALUE"""),0)</f>
        <v>0</v>
      </c>
      <c r="K1045" s="1" t="str">
        <f ca="1">IFERROR(__xludf.DUMMYFUNCTION("""COMPUTED_VALUE"""),"Fall")</f>
        <v>Fall</v>
      </c>
      <c r="L1045" s="1" t="str">
        <f ca="1">IFERROR(__xludf.DUMMYFUNCTION("""COMPUTED_VALUE"""),"Gig Harbor")</f>
        <v>Gig Harbor</v>
      </c>
      <c r="M1045" s="1" t="str">
        <f ca="1">IFERROR(__xludf.DUMMYFUNCTION("""COMPUTED_VALUE"""),"WA")</f>
        <v>WA</v>
      </c>
      <c r="N1045" s="1" t="str">
        <f ca="1">IFERROR(__xludf.DUMMYFUNCTION("""COMPUTED_VALUE"""),"Elementary")</f>
        <v>Elementary</v>
      </c>
      <c r="O1045" s="1" t="str">
        <f ca="1">IFERROR(__xludf.DUMMYFUNCTION("""COMPUTED_VALUE"""),"Beside Building")</f>
        <v>Beside Building</v>
      </c>
      <c r="P1045" s="1" t="str">
        <f ca="1">IFERROR(__xludf.DUMMYFUNCTION("""COMPUTED_VALUE"""),"Outside on School Property")</f>
        <v>Outside on School Property</v>
      </c>
      <c r="Q1045" s="1" t="str">
        <f ca="1">IFERROR(__xludf.DUMMYFUNCTION("""COMPUTED_VALUE"""),"No")</f>
        <v>No</v>
      </c>
      <c r="R1045" s="1" t="str">
        <f ca="1">IFERROR(__xludf.DUMMYFUNCTION("""COMPUTED_VALUE"""),"Evening")</f>
        <v>Evening</v>
      </c>
      <c r="S1045" s="5">
        <f ca="1">IFERROR(__xludf.DUMMYFUNCTION("""COMPUTED_VALUE"""),0.354166666666666)</f>
        <v>0.35416666666666602</v>
      </c>
      <c r="T1045" s="1">
        <f ca="1">IFERROR(__xludf.DUMMYFUNCTION("""COMPUTED_VALUE"""),1)</f>
        <v>1</v>
      </c>
      <c r="U1045" s="1" t="str">
        <f ca="1">IFERROR(__xludf.DUMMYFUNCTION("""COMPUTED_VALUE"""),"Neighbor shot man stealing construction materials from the school")</f>
        <v>Neighbor shot man stealing construction materials from the school</v>
      </c>
      <c r="V1045" s="1" t="str">
        <f ca="1">IFERROR(__xludf.DUMMYFUNCTION("""COMPUTED_VALUE"""),"A homeowner near the school approached a man who was stealing construction materials from the school. The man had a baton, brass knuckles, and illegal drugs. The homeowner felt threatened and shot the man once then provided first aid and notified police. "&amp;"The homeowner who fired the shot was not arrested. The victim had an arrest warrant for another crime.")</f>
        <v>A homeowner near the school approached a man who was stealing construction materials from the school. The man had a baton, brass knuckles, and illegal drugs. The homeowner felt threatened and shot the man once then provided first aid and notified police. The homeowner who fired the shot was not arrested. The victim had an arrest warrant for another crime.</v>
      </c>
      <c r="W1045" s="1" t="str">
        <f ca="1">IFERROR(__xludf.DUMMYFUNCTION("""COMPUTED_VALUE"""),"Illegal Activity")</f>
        <v>Illegal Activity</v>
      </c>
      <c r="X1045" s="1" t="str">
        <f ca="1">IFERROR(__xludf.DUMMYFUNCTION("""COMPUTED_VALUE"""),"Victims Targeted")</f>
        <v>Victims Targeted</v>
      </c>
      <c r="Y1045" s="1" t="str">
        <f ca="1">IFERROR(__xludf.DUMMYFUNCTION("""COMPUTED_VALUE"""),"No")</f>
        <v>No</v>
      </c>
      <c r="Z1045" s="1"/>
      <c r="AA1045" s="1" t="str">
        <f ca="1">IFERROR(__xludf.DUMMYFUNCTION("""COMPUTED_VALUE"""),"No")</f>
        <v>No</v>
      </c>
      <c r="AB1045" s="1" t="str">
        <f ca="1">IFERROR(__xludf.DUMMYFUNCTION("""COMPUTED_VALUE"""),"No")</f>
        <v>No</v>
      </c>
      <c r="AC1045" s="1" t="str">
        <f ca="1">IFERROR(__xludf.DUMMYFUNCTION("""COMPUTED_VALUE"""),"No")</f>
        <v>No</v>
      </c>
      <c r="AD1045" s="1" t="str">
        <f ca="1">IFERROR(__xludf.DUMMYFUNCTION("""COMPUTED_VALUE"""),"No")</f>
        <v>No</v>
      </c>
      <c r="AE1045" s="1" t="str">
        <f ca="1">IFERROR(__xludf.DUMMYFUNCTION("""COMPUTED_VALUE"""),"No")</f>
        <v>No</v>
      </c>
      <c r="AF1045" s="1" t="str">
        <f ca="1">IFERROR(__xludf.DUMMYFUNCTION("""COMPUTED_VALUE"""),"No")</f>
        <v>No</v>
      </c>
      <c r="AG1045" s="1" t="str">
        <f ca="1">IFERROR(__xludf.DUMMYFUNCTION("""COMPUTED_VALUE"""),"No")</f>
        <v>No</v>
      </c>
      <c r="AH1045" s="1"/>
    </row>
    <row r="1046" spans="1:34" ht="12.5">
      <c r="A1046" s="1" t="str">
        <f ca="1">IFERROR(__xludf.DUMMYFUNCTION("""COMPUTED_VALUE"""),"20200916CASOS")</f>
        <v>20200916CASOS</v>
      </c>
      <c r="B1046" s="1">
        <f ca="1">IFERROR(__xludf.DUMMYFUNCTION("""COMPUTED_VALUE"""),9)</f>
        <v>9</v>
      </c>
      <c r="C1046" s="1">
        <f ca="1">IFERROR(__xludf.DUMMYFUNCTION("""COMPUTED_VALUE"""),16)</f>
        <v>16</v>
      </c>
      <c r="D1046" s="1">
        <f ca="1">IFERROR(__xludf.DUMMYFUNCTION("""COMPUTED_VALUE"""),2020)</f>
        <v>2020</v>
      </c>
      <c r="E1046" s="4">
        <f ca="1">IFERROR(__xludf.DUMMYFUNCTION("""COMPUTED_VALUE"""),44090)</f>
        <v>44090</v>
      </c>
      <c r="F1046" s="1" t="str">
        <f ca="1">IFERROR(__xludf.DUMMYFUNCTION("""COMPUTED_VALUE"""),"Sonora High School")</f>
        <v>Sonora High School</v>
      </c>
      <c r="G1046" s="1">
        <f ca="1">IFERROR(__xludf.DUMMYFUNCTION("""COMPUTED_VALUE"""),1)</f>
        <v>1</v>
      </c>
      <c r="H1046" s="1">
        <f ca="1">IFERROR(__xludf.DUMMYFUNCTION("""COMPUTED_VALUE"""),0)</f>
        <v>0</v>
      </c>
      <c r="I1046" s="1">
        <f ca="1">IFERROR(__xludf.DUMMYFUNCTION("""COMPUTED_VALUE"""),1)</f>
        <v>1</v>
      </c>
      <c r="J1046" s="1">
        <f ca="1">IFERROR(__xludf.DUMMYFUNCTION("""COMPUTED_VALUE"""),0)</f>
        <v>0</v>
      </c>
      <c r="K1046" s="1" t="str">
        <f ca="1">IFERROR(__xludf.DUMMYFUNCTION("""COMPUTED_VALUE"""),"Fall")</f>
        <v>Fall</v>
      </c>
      <c r="L1046" s="1" t="str">
        <f ca="1">IFERROR(__xludf.DUMMYFUNCTION("""COMPUTED_VALUE"""),"Sonora")</f>
        <v>Sonora</v>
      </c>
      <c r="M1046" s="1" t="str">
        <f ca="1">IFERROR(__xludf.DUMMYFUNCTION("""COMPUTED_VALUE"""),"CA")</f>
        <v>CA</v>
      </c>
      <c r="N1046" s="1" t="str">
        <f ca="1">IFERROR(__xludf.DUMMYFUNCTION("""COMPUTED_VALUE"""),"High")</f>
        <v>High</v>
      </c>
      <c r="O1046" s="1" t="str">
        <f ca="1">IFERROR(__xludf.DUMMYFUNCTION("""COMPUTED_VALUE"""),"Parking Lot")</f>
        <v>Parking Lot</v>
      </c>
      <c r="P1046" s="1" t="str">
        <f ca="1">IFERROR(__xludf.DUMMYFUNCTION("""COMPUTED_VALUE"""),"Outside on School Property")</f>
        <v>Outside on School Property</v>
      </c>
      <c r="Q1046" s="1" t="str">
        <f ca="1">IFERROR(__xludf.DUMMYFUNCTION("""COMPUTED_VALUE"""),"No")</f>
        <v>No</v>
      </c>
      <c r="R1046" s="1" t="str">
        <f ca="1">IFERROR(__xludf.DUMMYFUNCTION("""COMPUTED_VALUE"""),"Night")</f>
        <v>Night</v>
      </c>
      <c r="S1046" s="5">
        <f ca="1">IFERROR(__xludf.DUMMYFUNCTION("""COMPUTED_VALUE"""),0.990277777777777)</f>
        <v>0.99027777777777704</v>
      </c>
      <c r="T1046" s="1">
        <f ca="1">IFERROR(__xludf.DUMMYFUNCTION("""COMPUTED_VALUE"""),1)</f>
        <v>1</v>
      </c>
      <c r="U1046" s="1" t="str">
        <f ca="1">IFERROR(__xludf.DUMMYFUNCTION("""COMPUTED_VALUE"""),"17 year-old male killed in the school parking lot")</f>
        <v>17 year-old male killed in the school parking lot</v>
      </c>
      <c r="V1046" s="1" t="str">
        <f ca="1">IFERROR(__xludf.DUMMYFUNCTION("""COMPUTED_VALUE"""),"Multiple shots were fired in the school parking lot and 3-4 vehicles fled the scene. When officers arrived, the shooters and victims had fled. Officers were notified by the local hospital that a 17YOM gun shot victim (fatal) had been brought in. Police sa"&amp;"id the shooting was not random and the victim and shooter(s) were known to each other.")</f>
        <v>Multiple shots were fired in the school parking lot and 3-4 vehicles fled the scene. When officers arrived, the shooters and victims had fled. Officers were notified by the local hospital that a 17YOM gun shot victim (fatal) had been brought in. Police said the shooting was not random and the victim and shooter(s) were known to each other.</v>
      </c>
      <c r="W1046" s="1" t="str">
        <f ca="1">IFERROR(__xludf.DUMMYFUNCTION("""COMPUTED_VALUE"""),"Drive-by Shooting")</f>
        <v>Drive-by Shooting</v>
      </c>
      <c r="X1046" s="1" t="str">
        <f ca="1">IFERROR(__xludf.DUMMYFUNCTION("""COMPUTED_VALUE"""),"Victims Targeted")</f>
        <v>Victims Targeted</v>
      </c>
      <c r="Y1046" s="1" t="str">
        <f ca="1">IFERROR(__xludf.DUMMYFUNCTION("""COMPUTED_VALUE"""),"Yes")</f>
        <v>Yes</v>
      </c>
      <c r="Z1046" s="1" t="str">
        <f ca="1">IFERROR(__xludf.DUMMYFUNCTION("""COMPUTED_VALUE"""),"Multiple people and vehicles involved")</f>
        <v>Multiple people and vehicles involved</v>
      </c>
      <c r="AA1046" s="1" t="str">
        <f ca="1">IFERROR(__xludf.DUMMYFUNCTION("""COMPUTED_VALUE"""),"No")</f>
        <v>No</v>
      </c>
      <c r="AB1046" s="1" t="str">
        <f ca="1">IFERROR(__xludf.DUMMYFUNCTION("""COMPUTED_VALUE"""),"No")</f>
        <v>No</v>
      </c>
      <c r="AC1046" s="1" t="str">
        <f ca="1">IFERROR(__xludf.DUMMYFUNCTION("""COMPUTED_VALUE"""),"No")</f>
        <v>No</v>
      </c>
      <c r="AD1046" s="1" t="str">
        <f ca="1">IFERROR(__xludf.DUMMYFUNCTION("""COMPUTED_VALUE"""),"No")</f>
        <v>No</v>
      </c>
      <c r="AE1046" s="1" t="str">
        <f ca="1">IFERROR(__xludf.DUMMYFUNCTION("""COMPUTED_VALUE"""),"No")</f>
        <v>No</v>
      </c>
      <c r="AF1046" s="1"/>
      <c r="AG1046" s="1" t="str">
        <f ca="1">IFERROR(__xludf.DUMMYFUNCTION("""COMPUTED_VALUE"""),"No")</f>
        <v>No</v>
      </c>
      <c r="AH1046" s="1">
        <f ca="1">IFERROR(__xludf.DUMMYFUNCTION("""COMPUTED_VALUE"""),8)</f>
        <v>8</v>
      </c>
    </row>
    <row r="1047" spans="1:34" ht="12.5">
      <c r="A1047" s="1" t="str">
        <f ca="1">IFERROR(__xludf.DUMMYFUNCTION("""COMPUTED_VALUE"""),"20200915UTVIB")</f>
        <v>20200915UTVIB</v>
      </c>
      <c r="B1047" s="1">
        <f ca="1">IFERROR(__xludf.DUMMYFUNCTION("""COMPUTED_VALUE"""),9)</f>
        <v>9</v>
      </c>
      <c r="C1047" s="1">
        <f ca="1">IFERROR(__xludf.DUMMYFUNCTION("""COMPUTED_VALUE"""),15)</f>
        <v>15</v>
      </c>
      <c r="D1047" s="1">
        <f ca="1">IFERROR(__xludf.DUMMYFUNCTION("""COMPUTED_VALUE"""),2020)</f>
        <v>2020</v>
      </c>
      <c r="E1047" s="4">
        <f ca="1">IFERROR(__xludf.DUMMYFUNCTION("""COMPUTED_VALUE"""),44089)</f>
        <v>44089</v>
      </c>
      <c r="F1047" s="1" t="str">
        <f ca="1">IFERROR(__xludf.DUMMYFUNCTION("""COMPUTED_VALUE"""),"Viewmont High School")</f>
        <v>Viewmont High School</v>
      </c>
      <c r="G1047" s="1">
        <f ca="1">IFERROR(__xludf.DUMMYFUNCTION("""COMPUTED_VALUE"""),0)</f>
        <v>0</v>
      </c>
      <c r="H1047" s="1">
        <f ca="1">IFERROR(__xludf.DUMMYFUNCTION("""COMPUTED_VALUE"""),0)</f>
        <v>0</v>
      </c>
      <c r="I1047" s="1">
        <f ca="1">IFERROR(__xludf.DUMMYFUNCTION("""COMPUTED_VALUE"""),0)</f>
        <v>0</v>
      </c>
      <c r="J1047" s="1">
        <f ca="1">IFERROR(__xludf.DUMMYFUNCTION("""COMPUTED_VALUE"""),1)</f>
        <v>1</v>
      </c>
      <c r="K1047" s="1" t="str">
        <f ca="1">IFERROR(__xludf.DUMMYFUNCTION("""COMPUTED_VALUE"""),"Fall")</f>
        <v>Fall</v>
      </c>
      <c r="L1047" s="1" t="str">
        <f ca="1">IFERROR(__xludf.DUMMYFUNCTION("""COMPUTED_VALUE"""),"Bountiful")</f>
        <v>Bountiful</v>
      </c>
      <c r="M1047" s="1" t="str">
        <f ca="1">IFERROR(__xludf.DUMMYFUNCTION("""COMPUTED_VALUE"""),"UT")</f>
        <v>UT</v>
      </c>
      <c r="N1047" s="1" t="str">
        <f ca="1">IFERROR(__xludf.DUMMYFUNCTION("""COMPUTED_VALUE"""),"High")</f>
        <v>High</v>
      </c>
      <c r="O1047" s="1" t="str">
        <f ca="1">IFERROR(__xludf.DUMMYFUNCTION("""COMPUTED_VALUE"""),"Front of School")</f>
        <v>Front of School</v>
      </c>
      <c r="P1047" s="1" t="str">
        <f ca="1">IFERROR(__xludf.DUMMYFUNCTION("""COMPUTED_VALUE"""),"Outside on School Property")</f>
        <v>Outside on School Property</v>
      </c>
      <c r="Q1047" s="1" t="str">
        <f ca="1">IFERROR(__xludf.DUMMYFUNCTION("""COMPUTED_VALUE"""),"No")</f>
        <v>No</v>
      </c>
      <c r="R1047" s="1" t="str">
        <f ca="1">IFERROR(__xludf.DUMMYFUNCTION("""COMPUTED_VALUE"""),"Night")</f>
        <v>Night</v>
      </c>
      <c r="S1047" s="5">
        <f ca="1">IFERROR(__xludf.DUMMYFUNCTION("""COMPUTED_VALUE"""),0.935416666666666)</f>
        <v>0.93541666666666601</v>
      </c>
      <c r="T1047" s="1">
        <f ca="1">IFERROR(__xludf.DUMMYFUNCTION("""COMPUTED_VALUE"""),1)</f>
        <v>1</v>
      </c>
      <c r="U1047" s="1" t="str">
        <f ca="1">IFERROR(__xludf.DUMMYFUNCTION("""COMPUTED_VALUE"""),"Police shot a man armed with a rifle and bow in front of the school")</f>
        <v>Police shot a man armed with a rifle and bow in front of the school</v>
      </c>
      <c r="V1047" s="1" t="str">
        <f ca="1">IFERROR(__xludf.DUMMYFUNCTION("""COMPUTED_VALUE"""),"Police responded to the high school for a 911 call about a man with a rifle. Police found an 27 year-old male with a rifle, bow, and knife in front of the school. When police approached the man, he reached for the weapon and was fatally shot by officers. "&amp;"The family of the man said had a history of mental illness and was experiencing a mental health crisis. Bullets stuck the school's windows causing damage. Classes were delayed the next day due to the shooting.")</f>
        <v>Police responded to the high school for a 911 call about a man with a rifle. Police found an 27 year-old male with a rifle, bow, and knife in front of the school. When police approached the man, he reached for the weapon and was fatally shot by officers. The family of the man said had a history of mental illness and was experiencing a mental health crisis. Bullets stuck the school's windows causing damage. Classes were delayed the next day due to the shooting.</v>
      </c>
      <c r="W1047" s="1" t="str">
        <f ca="1">IFERROR(__xludf.DUMMYFUNCTION("""COMPUTED_VALUE"""),"Psychosis")</f>
        <v>Psychosis</v>
      </c>
      <c r="X1047" s="1" t="str">
        <f ca="1">IFERROR(__xludf.DUMMYFUNCTION("""COMPUTED_VALUE"""),"Neither")</f>
        <v>Neither</v>
      </c>
      <c r="Y1047" s="1" t="str">
        <f ca="1">IFERROR(__xludf.DUMMYFUNCTION("""COMPUTED_VALUE"""),"No")</f>
        <v>No</v>
      </c>
      <c r="Z1047" s="1"/>
      <c r="AA1047" s="1" t="str">
        <f ca="1">IFERROR(__xludf.DUMMYFUNCTION("""COMPUTED_VALUE"""),"No")</f>
        <v>No</v>
      </c>
      <c r="AB1047" s="1" t="str">
        <f ca="1">IFERROR(__xludf.DUMMYFUNCTION("""COMPUTED_VALUE"""),"No")</f>
        <v>No</v>
      </c>
      <c r="AC1047" s="1" t="str">
        <f ca="1">IFERROR(__xludf.DUMMYFUNCTION("""COMPUTED_VALUE"""),"No")</f>
        <v>No</v>
      </c>
      <c r="AD1047" s="1" t="str">
        <f ca="1">IFERROR(__xludf.DUMMYFUNCTION("""COMPUTED_VALUE"""),"No")</f>
        <v>No</v>
      </c>
      <c r="AE1047" s="1" t="str">
        <f ca="1">IFERROR(__xludf.DUMMYFUNCTION("""COMPUTED_VALUE"""),"No")</f>
        <v>No</v>
      </c>
      <c r="AF1047" s="1" t="str">
        <f ca="1">IFERROR(__xludf.DUMMYFUNCTION("""COMPUTED_VALUE"""),"No")</f>
        <v>No</v>
      </c>
      <c r="AG1047" s="1" t="str">
        <f ca="1">IFERROR(__xludf.DUMMYFUNCTION("""COMPUTED_VALUE"""),"No")</f>
        <v>No</v>
      </c>
      <c r="AH1047" s="1"/>
    </row>
    <row r="1048" spans="1:34" ht="12.5">
      <c r="A1048" s="1" t="str">
        <f ca="1">IFERROR(__xludf.DUMMYFUNCTION("""COMPUTED_VALUE"""),"20200915SCYOR")</f>
        <v>20200915SCYOR</v>
      </c>
      <c r="B1048" s="1">
        <f ca="1">IFERROR(__xludf.DUMMYFUNCTION("""COMPUTED_VALUE"""),9)</f>
        <v>9</v>
      </c>
      <c r="C1048" s="1">
        <f ca="1">IFERROR(__xludf.DUMMYFUNCTION("""COMPUTED_VALUE"""),15)</f>
        <v>15</v>
      </c>
      <c r="D1048" s="1">
        <f ca="1">IFERROR(__xludf.DUMMYFUNCTION("""COMPUTED_VALUE"""),2020)</f>
        <v>2020</v>
      </c>
      <c r="E1048" s="4">
        <f ca="1">IFERROR(__xludf.DUMMYFUNCTION("""COMPUTED_VALUE"""),44089)</f>
        <v>44089</v>
      </c>
      <c r="F1048" s="1" t="str">
        <f ca="1">IFERROR(__xludf.DUMMYFUNCTION("""COMPUTED_VALUE"""),"York County School Bus")</f>
        <v>York County School Bus</v>
      </c>
      <c r="G1048" s="1">
        <f ca="1">IFERROR(__xludf.DUMMYFUNCTION("""COMPUTED_VALUE"""),0)</f>
        <v>0</v>
      </c>
      <c r="H1048" s="1">
        <f ca="1">IFERROR(__xludf.DUMMYFUNCTION("""COMPUTED_VALUE"""),0)</f>
        <v>0</v>
      </c>
      <c r="I1048" s="1">
        <f ca="1">IFERROR(__xludf.DUMMYFUNCTION("""COMPUTED_VALUE"""),0)</f>
        <v>0</v>
      </c>
      <c r="J1048" s="1">
        <f ca="1">IFERROR(__xludf.DUMMYFUNCTION("""COMPUTED_VALUE"""),0)</f>
        <v>0</v>
      </c>
      <c r="K1048" s="1" t="str">
        <f ca="1">IFERROR(__xludf.DUMMYFUNCTION("""COMPUTED_VALUE"""),"Fall")</f>
        <v>Fall</v>
      </c>
      <c r="L1048" s="1" t="str">
        <f ca="1">IFERROR(__xludf.DUMMYFUNCTION("""COMPUTED_VALUE"""),"Rock Hill")</f>
        <v>Rock Hill</v>
      </c>
      <c r="M1048" s="1" t="str">
        <f ca="1">IFERROR(__xludf.DUMMYFUNCTION("""COMPUTED_VALUE"""),"SC")</f>
        <v>SC</v>
      </c>
      <c r="N1048" s="1"/>
      <c r="O1048" s="1" t="str">
        <f ca="1">IFERROR(__xludf.DUMMYFUNCTION("""COMPUTED_VALUE"""),"School Bus")</f>
        <v>School Bus</v>
      </c>
      <c r="P1048" s="1" t="str">
        <f ca="1">IFERROR(__xludf.DUMMYFUNCTION("""COMPUTED_VALUE"""),"School Bus")</f>
        <v>School Bus</v>
      </c>
      <c r="Q1048" s="1" t="str">
        <f ca="1">IFERROR(__xludf.DUMMYFUNCTION("""COMPUTED_VALUE"""),"Yes")</f>
        <v>Yes</v>
      </c>
      <c r="R1048" s="1" t="str">
        <f ca="1">IFERROR(__xludf.DUMMYFUNCTION("""COMPUTED_VALUE"""),"Dismissal")</f>
        <v>Dismissal</v>
      </c>
      <c r="S1048" s="5">
        <f ca="1">IFERROR(__xludf.DUMMYFUNCTION("""COMPUTED_VALUE"""),0.614583333333333)</f>
        <v>0.61458333333333304</v>
      </c>
      <c r="T1048" s="1">
        <f ca="1">IFERROR(__xludf.DUMMYFUNCTION("""COMPUTED_VALUE"""),1)</f>
        <v>1</v>
      </c>
      <c r="U1048" s="1" t="str">
        <f ca="1">IFERROR(__xludf.DUMMYFUNCTION("""COMPUTED_VALUE"""),"BB shot at occupied school bus broke window")</f>
        <v>BB shot at occupied school bus broke window</v>
      </c>
      <c r="V1048" s="1" t="str">
        <f ca="1">IFERROR(__xludf.DUMMYFUNCTION("""COMPUTED_VALUE"""),"A BB fired at a school bus occupied by one student broke the window. The student and driver were not injured. No suspect identified. Police are investigating.")</f>
        <v>A BB fired at a school bus occupied by one student broke the window. The student and driver were not injured. No suspect identified. Police are investigating.</v>
      </c>
      <c r="W1048" s="1" t="str">
        <f ca="1">IFERROR(__xludf.DUMMYFUNCTION("""COMPUTED_VALUE"""),"Intentional Property Damage")</f>
        <v>Intentional Property Damage</v>
      </c>
      <c r="X1048" s="1" t="str">
        <f ca="1">IFERROR(__xludf.DUMMYFUNCTION("""COMPUTED_VALUE"""),"Neither")</f>
        <v>Neither</v>
      </c>
      <c r="Y1048" s="1"/>
      <c r="Z1048" s="1"/>
      <c r="AA1048" s="1" t="str">
        <f ca="1">IFERROR(__xludf.DUMMYFUNCTION("""COMPUTED_VALUE"""),"No")</f>
        <v>No</v>
      </c>
      <c r="AB1048" s="1" t="str">
        <f ca="1">IFERROR(__xludf.DUMMYFUNCTION("""COMPUTED_VALUE"""),"No")</f>
        <v>No</v>
      </c>
      <c r="AC1048" s="1" t="str">
        <f ca="1">IFERROR(__xludf.DUMMYFUNCTION("""COMPUTED_VALUE"""),"No")</f>
        <v>No</v>
      </c>
      <c r="AD1048" s="1" t="str">
        <f ca="1">IFERROR(__xludf.DUMMYFUNCTION("""COMPUTED_VALUE"""),"No")</f>
        <v>No</v>
      </c>
      <c r="AE1048" s="1" t="str">
        <f ca="1">IFERROR(__xludf.DUMMYFUNCTION("""COMPUTED_VALUE"""),"No")</f>
        <v>No</v>
      </c>
      <c r="AF1048" s="1" t="str">
        <f ca="1">IFERROR(__xludf.DUMMYFUNCTION("""COMPUTED_VALUE"""),"No")</f>
        <v>No</v>
      </c>
      <c r="AG1048" s="1" t="str">
        <f ca="1">IFERROR(__xludf.DUMMYFUNCTION("""COMPUTED_VALUE"""),"No")</f>
        <v>No</v>
      </c>
      <c r="AH1048" s="1"/>
    </row>
    <row r="1049" spans="1:34" ht="12.5">
      <c r="A1049" s="1" t="str">
        <f ca="1">IFERROR(__xludf.DUMMYFUNCTION("""COMPUTED_VALUE"""),"20200910OHSAC")</f>
        <v>20200910OHSAC</v>
      </c>
      <c r="B1049" s="1">
        <f ca="1">IFERROR(__xludf.DUMMYFUNCTION("""COMPUTED_VALUE"""),9)</f>
        <v>9</v>
      </c>
      <c r="C1049" s="1">
        <f ca="1">IFERROR(__xludf.DUMMYFUNCTION("""COMPUTED_VALUE"""),10)</f>
        <v>10</v>
      </c>
      <c r="D1049" s="1">
        <f ca="1">IFERROR(__xludf.DUMMYFUNCTION("""COMPUTED_VALUE"""),2020)</f>
        <v>2020</v>
      </c>
      <c r="E1049" s="4">
        <f ca="1">IFERROR(__xludf.DUMMYFUNCTION("""COMPUTED_VALUE"""),44084)</f>
        <v>44084</v>
      </c>
      <c r="F1049" s="1" t="str">
        <f ca="1">IFERROR(__xludf.DUMMYFUNCTION("""COMPUTED_VALUE"""),"Saint Francis DeSales High School")</f>
        <v>Saint Francis DeSales High School</v>
      </c>
      <c r="G1049" s="1">
        <f ca="1">IFERROR(__xludf.DUMMYFUNCTION("""COMPUTED_VALUE"""),0)</f>
        <v>0</v>
      </c>
      <c r="H1049" s="1">
        <f ca="1">IFERROR(__xludf.DUMMYFUNCTION("""COMPUTED_VALUE"""),0)</f>
        <v>0</v>
      </c>
      <c r="I1049" s="1">
        <f ca="1">IFERROR(__xludf.DUMMYFUNCTION("""COMPUTED_VALUE"""),0)</f>
        <v>0</v>
      </c>
      <c r="J1049" s="1">
        <f ca="1">IFERROR(__xludf.DUMMYFUNCTION("""COMPUTED_VALUE"""),0)</f>
        <v>0</v>
      </c>
      <c r="K1049" s="1" t="str">
        <f ca="1">IFERROR(__xludf.DUMMYFUNCTION("""COMPUTED_VALUE"""),"Fall")</f>
        <v>Fall</v>
      </c>
      <c r="L1049" s="1" t="str">
        <f ca="1">IFERROR(__xludf.DUMMYFUNCTION("""COMPUTED_VALUE"""),"Columbus")</f>
        <v>Columbus</v>
      </c>
      <c r="M1049" s="1" t="str">
        <f ca="1">IFERROR(__xludf.DUMMYFUNCTION("""COMPUTED_VALUE"""),"OH")</f>
        <v>OH</v>
      </c>
      <c r="N1049" s="1" t="str">
        <f ca="1">IFERROR(__xludf.DUMMYFUNCTION("""COMPUTED_VALUE"""),"High")</f>
        <v>High</v>
      </c>
      <c r="O1049" s="1" t="str">
        <f ca="1">IFERROR(__xludf.DUMMYFUNCTION("""COMPUTED_VALUE"""),"School Bus")</f>
        <v>School Bus</v>
      </c>
      <c r="P1049" s="1" t="str">
        <f ca="1">IFERROR(__xludf.DUMMYFUNCTION("""COMPUTED_VALUE"""),"School Bus")</f>
        <v>School Bus</v>
      </c>
      <c r="Q1049" s="1" t="str">
        <f ca="1">IFERROR(__xludf.DUMMYFUNCTION("""COMPUTED_VALUE"""),"Yes")</f>
        <v>Yes</v>
      </c>
      <c r="R1049" s="1" t="str">
        <f ca="1">IFERROR(__xludf.DUMMYFUNCTION("""COMPUTED_VALUE"""),"Dismissal")</f>
        <v>Dismissal</v>
      </c>
      <c r="S1049" s="5">
        <f ca="1">IFERROR(__xludf.DUMMYFUNCTION("""COMPUTED_VALUE"""),0.65625)</f>
        <v>0.65625</v>
      </c>
      <c r="T1049" s="1">
        <f ca="1">IFERROR(__xludf.DUMMYFUNCTION("""COMPUTED_VALUE"""),1)</f>
        <v>1</v>
      </c>
      <c r="U1049" s="1" t="str">
        <f ca="1">IFERROR(__xludf.DUMMYFUNCTION("""COMPUTED_VALUE"""),"School bus struck by multiple shots fired from vehicle")</f>
        <v>School bus struck by multiple shots fired from vehicle</v>
      </c>
      <c r="V1049" s="1" t="str">
        <f ca="1">IFERROR(__xludf.DUMMYFUNCTION("""COMPUTED_VALUE"""),"School bus occupied by 3 students was struck by 2 rounds fired from a vehicle at another vehicle (bus was not the target). Bus was damaged. Students and driver were not injured.")</f>
        <v>School bus occupied by 3 students was struck by 2 rounds fired from a vehicle at another vehicle (bus was not the target). Bus was damaged. Students and driver were not injured.</v>
      </c>
      <c r="W1049" s="1" t="str">
        <f ca="1">IFERROR(__xludf.DUMMYFUNCTION("""COMPUTED_VALUE"""),"Drive-by Shooting")</f>
        <v>Drive-by Shooting</v>
      </c>
      <c r="X1049" s="1" t="str">
        <f ca="1">IFERROR(__xludf.DUMMYFUNCTION("""COMPUTED_VALUE"""),"Both")</f>
        <v>Both</v>
      </c>
      <c r="Y1049" s="1"/>
      <c r="Z1049" s="1"/>
      <c r="AA1049" s="1" t="str">
        <f ca="1">IFERROR(__xludf.DUMMYFUNCTION("""COMPUTED_VALUE"""),"No")</f>
        <v>No</v>
      </c>
      <c r="AB1049" s="1" t="str">
        <f ca="1">IFERROR(__xludf.DUMMYFUNCTION("""COMPUTED_VALUE"""),"No")</f>
        <v>No</v>
      </c>
      <c r="AC1049" s="1" t="str">
        <f ca="1">IFERROR(__xludf.DUMMYFUNCTION("""COMPUTED_VALUE"""),"No")</f>
        <v>No</v>
      </c>
      <c r="AD1049" s="1" t="str">
        <f ca="1">IFERROR(__xludf.DUMMYFUNCTION("""COMPUTED_VALUE"""),"No")</f>
        <v>No</v>
      </c>
      <c r="AE1049" s="1" t="str">
        <f ca="1">IFERROR(__xludf.DUMMYFUNCTION("""COMPUTED_VALUE"""),"No")</f>
        <v>No</v>
      </c>
      <c r="AF1049" s="1"/>
      <c r="AG1049" s="1" t="str">
        <f ca="1">IFERROR(__xludf.DUMMYFUNCTION("""COMPUTED_VALUE"""),"No")</f>
        <v>No</v>
      </c>
      <c r="AH1049" s="1"/>
    </row>
    <row r="1050" spans="1:34" ht="12.5">
      <c r="A1050" s="1" t="str">
        <f ca="1">IFERROR(__xludf.DUMMYFUNCTION("""COMPUTED_VALUE"""),"20200910ILPEP")</f>
        <v>20200910ILPEP</v>
      </c>
      <c r="B1050" s="1">
        <f ca="1">IFERROR(__xludf.DUMMYFUNCTION("""COMPUTED_VALUE"""),9)</f>
        <v>9</v>
      </c>
      <c r="C1050" s="1">
        <f ca="1">IFERROR(__xludf.DUMMYFUNCTION("""COMPUTED_VALUE"""),14)</f>
        <v>14</v>
      </c>
      <c r="D1050" s="1">
        <f ca="1">IFERROR(__xludf.DUMMYFUNCTION("""COMPUTED_VALUE"""),2020)</f>
        <v>2020</v>
      </c>
      <c r="E1050" s="4">
        <f ca="1">IFERROR(__xludf.DUMMYFUNCTION("""COMPUTED_VALUE"""),44088)</f>
        <v>44088</v>
      </c>
      <c r="F1050" s="1" t="str">
        <f ca="1">IFERROR(__xludf.DUMMYFUNCTION("""COMPUTED_VALUE"""),"Peoria Public Schools Bus")</f>
        <v>Peoria Public Schools Bus</v>
      </c>
      <c r="G1050" s="1">
        <f ca="1">IFERROR(__xludf.DUMMYFUNCTION("""COMPUTED_VALUE"""),0)</f>
        <v>0</v>
      </c>
      <c r="H1050" s="1">
        <f ca="1">IFERROR(__xludf.DUMMYFUNCTION("""COMPUTED_VALUE"""),0)</f>
        <v>0</v>
      </c>
      <c r="I1050" s="1">
        <f ca="1">IFERROR(__xludf.DUMMYFUNCTION("""COMPUTED_VALUE"""),0)</f>
        <v>0</v>
      </c>
      <c r="J1050" s="1">
        <f ca="1">IFERROR(__xludf.DUMMYFUNCTION("""COMPUTED_VALUE"""),0)</f>
        <v>0</v>
      </c>
      <c r="K1050" s="1" t="str">
        <f ca="1">IFERROR(__xludf.DUMMYFUNCTION("""COMPUTED_VALUE"""),"Fall")</f>
        <v>Fall</v>
      </c>
      <c r="L1050" s="1" t="str">
        <f ca="1">IFERROR(__xludf.DUMMYFUNCTION("""COMPUTED_VALUE"""),"Peoria")</f>
        <v>Peoria</v>
      </c>
      <c r="M1050" s="1" t="str">
        <f ca="1">IFERROR(__xludf.DUMMYFUNCTION("""COMPUTED_VALUE"""),"IL")</f>
        <v>IL</v>
      </c>
      <c r="N1050" s="1"/>
      <c r="O1050" s="1" t="str">
        <f ca="1">IFERROR(__xludf.DUMMYFUNCTION("""COMPUTED_VALUE"""),"School Bus")</f>
        <v>School Bus</v>
      </c>
      <c r="P1050" s="1" t="str">
        <f ca="1">IFERROR(__xludf.DUMMYFUNCTION("""COMPUTED_VALUE"""),"School Bus")</f>
        <v>School Bus</v>
      </c>
      <c r="Q1050" s="1" t="str">
        <f ca="1">IFERROR(__xludf.DUMMYFUNCTION("""COMPUTED_VALUE"""),"Yes")</f>
        <v>Yes</v>
      </c>
      <c r="R1050" s="1" t="str">
        <f ca="1">IFERROR(__xludf.DUMMYFUNCTION("""COMPUTED_VALUE"""),"Afternoon Classes")</f>
        <v>Afternoon Classes</v>
      </c>
      <c r="S1050" s="5">
        <f ca="1">IFERROR(__xludf.DUMMYFUNCTION("""COMPUTED_VALUE"""),0.572916666666666)</f>
        <v>0.57291666666666596</v>
      </c>
      <c r="T1050" s="1">
        <f ca="1">IFERROR(__xludf.DUMMYFUNCTION("""COMPUTED_VALUE"""),1)</f>
        <v>1</v>
      </c>
      <c r="U1050" s="1" t="str">
        <f ca="1">IFERROR(__xludf.DUMMYFUNCTION("""COMPUTED_VALUE"""),"Occupied school bus struck by gunfire")</f>
        <v>Occupied school bus struck by gunfire</v>
      </c>
      <c r="V1050" s="1" t="str">
        <f ca="1">IFERROR(__xludf.DUMMYFUNCTION("""COMPUTED_VALUE"""),"School bus was hit by shot fired during drive-by. Bus driver, aid, and one student were on the bus. No injuries.")</f>
        <v>School bus was hit by shot fired during drive-by. Bus driver, aid, and one student were on the bus. No injuries.</v>
      </c>
      <c r="W1050" s="1" t="str">
        <f ca="1">IFERROR(__xludf.DUMMYFUNCTION("""COMPUTED_VALUE"""),"Drive-by Shooting")</f>
        <v>Drive-by Shooting</v>
      </c>
      <c r="X1050" s="1" t="str">
        <f ca="1">IFERROR(__xludf.DUMMYFUNCTION("""COMPUTED_VALUE"""),"Victims Targeted")</f>
        <v>Victims Targeted</v>
      </c>
      <c r="Y1050" s="1"/>
      <c r="Z1050" s="1"/>
      <c r="AA1050" s="1" t="str">
        <f ca="1">IFERROR(__xludf.DUMMYFUNCTION("""COMPUTED_VALUE"""),"No")</f>
        <v>No</v>
      </c>
      <c r="AB1050" s="1" t="str">
        <f ca="1">IFERROR(__xludf.DUMMYFUNCTION("""COMPUTED_VALUE"""),"No")</f>
        <v>No</v>
      </c>
      <c r="AC1050" s="1"/>
      <c r="AD1050" s="1" t="str">
        <f ca="1">IFERROR(__xludf.DUMMYFUNCTION("""COMPUTED_VALUE"""),"No")</f>
        <v>No</v>
      </c>
      <c r="AE1050" s="1" t="str">
        <f ca="1">IFERROR(__xludf.DUMMYFUNCTION("""COMPUTED_VALUE"""),"No")</f>
        <v>No</v>
      </c>
      <c r="AF1050" s="1"/>
      <c r="AG1050" s="1" t="str">
        <f ca="1">IFERROR(__xludf.DUMMYFUNCTION("""COMPUTED_VALUE"""),"No")</f>
        <v>No</v>
      </c>
      <c r="AH1050" s="1"/>
    </row>
    <row r="1051" spans="1:34" ht="12.5">
      <c r="A1051" s="1" t="str">
        <f ca="1">IFERROR(__xludf.DUMMYFUNCTION("""COMPUTED_VALUE"""),"20200909TXSOH")</f>
        <v>20200909TXSOH</v>
      </c>
      <c r="B1051" s="1">
        <f ca="1">IFERROR(__xludf.DUMMYFUNCTION("""COMPUTED_VALUE"""),9)</f>
        <v>9</v>
      </c>
      <c r="C1051" s="1">
        <f ca="1">IFERROR(__xludf.DUMMYFUNCTION("""COMPUTED_VALUE"""),9)</f>
        <v>9</v>
      </c>
      <c r="D1051" s="1">
        <f ca="1">IFERROR(__xludf.DUMMYFUNCTION("""COMPUTED_VALUE"""),2020)</f>
        <v>2020</v>
      </c>
      <c r="E1051" s="4">
        <f ca="1">IFERROR(__xludf.DUMMYFUNCTION("""COMPUTED_VALUE"""),44083)</f>
        <v>44083</v>
      </c>
      <c r="F1051" s="1" t="str">
        <f ca="1">IFERROR(__xludf.DUMMYFUNCTION("""COMPUTED_VALUE"""),"Southmayd Elementary School")</f>
        <v>Southmayd Elementary School</v>
      </c>
      <c r="G1051" s="1">
        <f ca="1">IFERROR(__xludf.DUMMYFUNCTION("""COMPUTED_VALUE"""),0)</f>
        <v>0</v>
      </c>
      <c r="H1051" s="1">
        <f ca="1">IFERROR(__xludf.DUMMYFUNCTION("""COMPUTED_VALUE"""),1)</f>
        <v>1</v>
      </c>
      <c r="I1051" s="1">
        <f ca="1">IFERROR(__xludf.DUMMYFUNCTION("""COMPUTED_VALUE"""),1)</f>
        <v>1</v>
      </c>
      <c r="J1051" s="1">
        <f ca="1">IFERROR(__xludf.DUMMYFUNCTION("""COMPUTED_VALUE"""),0)</f>
        <v>0</v>
      </c>
      <c r="K1051" s="1" t="str">
        <f ca="1">IFERROR(__xludf.DUMMYFUNCTION("""COMPUTED_VALUE"""),"Fall")</f>
        <v>Fall</v>
      </c>
      <c r="L1051" s="1" t="str">
        <f ca="1">IFERROR(__xludf.DUMMYFUNCTION("""COMPUTED_VALUE"""),"Houston")</f>
        <v>Houston</v>
      </c>
      <c r="M1051" s="1" t="str">
        <f ca="1">IFERROR(__xludf.DUMMYFUNCTION("""COMPUTED_VALUE"""),"TX")</f>
        <v>TX</v>
      </c>
      <c r="N1051" s="1" t="str">
        <f ca="1">IFERROR(__xludf.DUMMYFUNCTION("""COMPUTED_VALUE"""),"Elementary")</f>
        <v>Elementary</v>
      </c>
      <c r="O1051" s="1" t="str">
        <f ca="1">IFERROR(__xludf.DUMMYFUNCTION("""COMPUTED_VALUE"""),"Front of School")</f>
        <v>Front of School</v>
      </c>
      <c r="P1051" s="1" t="str">
        <f ca="1">IFERROR(__xludf.DUMMYFUNCTION("""COMPUTED_VALUE"""),"Outside on School Property")</f>
        <v>Outside on School Property</v>
      </c>
      <c r="Q1051" s="1" t="str">
        <f ca="1">IFERROR(__xludf.DUMMYFUNCTION("""COMPUTED_VALUE"""),"Yes")</f>
        <v>Yes</v>
      </c>
      <c r="R1051" s="1" t="str">
        <f ca="1">IFERROR(__xludf.DUMMYFUNCTION("""COMPUTED_VALUE"""),"Morning Classes")</f>
        <v>Morning Classes</v>
      </c>
      <c r="S1051" s="5">
        <f ca="1">IFERROR(__xludf.DUMMYFUNCTION("""COMPUTED_VALUE"""),0.909722222222222)</f>
        <v>0.90972222222222199</v>
      </c>
      <c r="T1051" s="1">
        <f ca="1">IFERROR(__xludf.DUMMYFUNCTION("""COMPUTED_VALUE"""),1)</f>
        <v>1</v>
      </c>
      <c r="U1051" s="1" t="str">
        <f ca="1">IFERROR(__xludf.DUMMYFUNCTION("""COMPUTED_VALUE"""),"Teen shot during drive-by in front of school")</f>
        <v>Teen shot during drive-by in front of school</v>
      </c>
      <c r="V1051" s="1" t="str">
        <f ca="1">IFERROR(__xludf.DUMMYFUNCTION("""COMPUTED_VALUE"""),"18 year-old male was shot during a drive-by in front of the elementary school. School officials provided aid and locked down the school. Police said the shooting was gang related. Shooter fled the scene in a vehicle.")</f>
        <v>18 year-old male was shot during a drive-by in front of the elementary school. School officials provided aid and locked down the school. Police said the shooting was gang related. Shooter fled the scene in a vehicle.</v>
      </c>
      <c r="W1051" s="1" t="str">
        <f ca="1">IFERROR(__xludf.DUMMYFUNCTION("""COMPUTED_VALUE"""),"Drive-by Shooting")</f>
        <v>Drive-by Shooting</v>
      </c>
      <c r="X1051" s="1" t="str">
        <f ca="1">IFERROR(__xludf.DUMMYFUNCTION("""COMPUTED_VALUE"""),"Victims Targeted")</f>
        <v>Victims Targeted</v>
      </c>
      <c r="Y1051" s="1" t="str">
        <f ca="1">IFERROR(__xludf.DUMMYFUNCTION("""COMPUTED_VALUE"""),"Yes")</f>
        <v>Yes</v>
      </c>
      <c r="Z1051" s="1" t="str">
        <f ca="1">IFERROR(__xludf.DUMMYFUNCTION("""COMPUTED_VALUE"""),"Multiple males in vehicle that fled")</f>
        <v>Multiple males in vehicle that fled</v>
      </c>
      <c r="AA1051" s="1" t="str">
        <f ca="1">IFERROR(__xludf.DUMMYFUNCTION("""COMPUTED_VALUE"""),"No")</f>
        <v>No</v>
      </c>
      <c r="AB1051" s="1" t="str">
        <f ca="1">IFERROR(__xludf.DUMMYFUNCTION("""COMPUTED_VALUE"""),"No")</f>
        <v>No</v>
      </c>
      <c r="AC1051" s="1" t="str">
        <f ca="1">IFERROR(__xludf.DUMMYFUNCTION("""COMPUTED_VALUE"""),"No")</f>
        <v>No</v>
      </c>
      <c r="AD1051" s="1" t="str">
        <f ca="1">IFERROR(__xludf.DUMMYFUNCTION("""COMPUTED_VALUE"""),"No")</f>
        <v>No</v>
      </c>
      <c r="AE1051" s="1" t="str">
        <f ca="1">IFERROR(__xludf.DUMMYFUNCTION("""COMPUTED_VALUE"""),"No")</f>
        <v>No</v>
      </c>
      <c r="AF1051" s="1" t="str">
        <f ca="1">IFERROR(__xludf.DUMMYFUNCTION("""COMPUTED_VALUE"""),"Yes")</f>
        <v>Yes</v>
      </c>
      <c r="AG1051" s="1" t="str">
        <f ca="1">IFERROR(__xludf.DUMMYFUNCTION("""COMPUTED_VALUE"""),"No")</f>
        <v>No</v>
      </c>
      <c r="AH1051" s="1"/>
    </row>
    <row r="1052" spans="1:34" ht="12.5">
      <c r="A1052" s="1" t="str">
        <f ca="1">IFERROR(__xludf.DUMMYFUNCTION("""COMPUTED_VALUE"""),"20200909PAWEW")</f>
        <v>20200909PAWEW</v>
      </c>
      <c r="B1052" s="1">
        <f ca="1">IFERROR(__xludf.DUMMYFUNCTION("""COMPUTED_VALUE"""),9)</f>
        <v>9</v>
      </c>
      <c r="C1052" s="1">
        <f ca="1">IFERROR(__xludf.DUMMYFUNCTION("""COMPUTED_VALUE"""),9)</f>
        <v>9</v>
      </c>
      <c r="D1052" s="1">
        <f ca="1">IFERROR(__xludf.DUMMYFUNCTION("""COMPUTED_VALUE"""),2020)</f>
        <v>2020</v>
      </c>
      <c r="E1052" s="4">
        <f ca="1">IFERROR(__xludf.DUMMYFUNCTION("""COMPUTED_VALUE"""),44083)</f>
        <v>44083</v>
      </c>
      <c r="F1052" s="1" t="str">
        <f ca="1">IFERROR(__xludf.DUMMYFUNCTION("""COMPUTED_VALUE"""),"West Bradford Elementary School")</f>
        <v>West Bradford Elementary School</v>
      </c>
      <c r="G1052" s="1">
        <f ca="1">IFERROR(__xludf.DUMMYFUNCTION("""COMPUTED_VALUE"""),0)</f>
        <v>0</v>
      </c>
      <c r="H1052" s="1">
        <f ca="1">IFERROR(__xludf.DUMMYFUNCTION("""COMPUTED_VALUE"""),0)</f>
        <v>0</v>
      </c>
      <c r="I1052" s="1">
        <f ca="1">IFERROR(__xludf.DUMMYFUNCTION("""COMPUTED_VALUE"""),0)</f>
        <v>0</v>
      </c>
      <c r="J1052" s="1">
        <f ca="1">IFERROR(__xludf.DUMMYFUNCTION("""COMPUTED_VALUE"""),0)</f>
        <v>0</v>
      </c>
      <c r="K1052" s="1" t="str">
        <f ca="1">IFERROR(__xludf.DUMMYFUNCTION("""COMPUTED_VALUE"""),"Fall")</f>
        <v>Fall</v>
      </c>
      <c r="L1052" s="1" t="str">
        <f ca="1">IFERROR(__xludf.DUMMYFUNCTION("""COMPUTED_VALUE"""),"West Bradford Township")</f>
        <v>West Bradford Township</v>
      </c>
      <c r="M1052" s="1" t="str">
        <f ca="1">IFERROR(__xludf.DUMMYFUNCTION("""COMPUTED_VALUE"""),"PA")</f>
        <v>PA</v>
      </c>
      <c r="N1052" s="1" t="str">
        <f ca="1">IFERROR(__xludf.DUMMYFUNCTION("""COMPUTED_VALUE"""),"Elementary")</f>
        <v>Elementary</v>
      </c>
      <c r="O1052" s="1" t="str">
        <f ca="1">IFERROR(__xludf.DUMMYFUNCTION("""COMPUTED_VALUE"""),"Parking Lot")</f>
        <v>Parking Lot</v>
      </c>
      <c r="P1052" s="1" t="str">
        <f ca="1">IFERROR(__xludf.DUMMYFUNCTION("""COMPUTED_VALUE"""),"Outside on School Property")</f>
        <v>Outside on School Property</v>
      </c>
      <c r="Q1052" s="1" t="str">
        <f ca="1">IFERROR(__xludf.DUMMYFUNCTION("""COMPUTED_VALUE"""),"No")</f>
        <v>No</v>
      </c>
      <c r="R1052" s="1" t="str">
        <f ca="1">IFERROR(__xludf.DUMMYFUNCTION("""COMPUTED_VALUE"""),"Evening")</f>
        <v>Evening</v>
      </c>
      <c r="S1052" s="5">
        <f ca="1">IFERROR(__xludf.DUMMYFUNCTION("""COMPUTED_VALUE"""),0.774305555555555)</f>
        <v>0.77430555555555503</v>
      </c>
      <c r="T1052" s="1">
        <f ca="1">IFERROR(__xludf.DUMMYFUNCTION("""COMPUTED_VALUE"""),1)</f>
        <v>1</v>
      </c>
      <c r="U1052" s="1" t="str">
        <f ca="1">IFERROR(__xludf.DUMMYFUNCTION("""COMPUTED_VALUE"""),"Shot fired in school parking lot following roadrage incident")</f>
        <v>Shot fired in school parking lot following roadrage incident</v>
      </c>
      <c r="V1052" s="1" t="str">
        <f ca="1">IFERROR(__xludf.DUMMYFUNCTION("""COMPUTED_VALUE"""),"After a ""roadrage"" incident, an unknown adult man followed the victim's vehicle into the school parking lot. The unknown male fired one shot at the vehicle breaking his back window and then fled the scene. Police have not identified the shooter. No inju"&amp;"ries.")</f>
        <v>After a "roadrage" incident, an unknown adult man followed the victim's vehicle into the school parking lot. The unknown male fired one shot at the vehicle breaking his back window and then fled the scene. Police have not identified the shooter. No injuries.</v>
      </c>
      <c r="W1052" s="1" t="str">
        <f ca="1">IFERROR(__xludf.DUMMYFUNCTION("""COMPUTED_VALUE"""),"Escalation of Dispute")</f>
        <v>Escalation of Dispute</v>
      </c>
      <c r="X1052" s="1" t="str">
        <f ca="1">IFERROR(__xludf.DUMMYFUNCTION("""COMPUTED_VALUE"""),"Victims Targeted")</f>
        <v>Victims Targeted</v>
      </c>
      <c r="Y1052" s="1" t="str">
        <f ca="1">IFERROR(__xludf.DUMMYFUNCTION("""COMPUTED_VALUE"""),"No")</f>
        <v>No</v>
      </c>
      <c r="Z1052" s="1"/>
      <c r="AA1052" s="1" t="str">
        <f ca="1">IFERROR(__xludf.DUMMYFUNCTION("""COMPUTED_VALUE"""),"No")</f>
        <v>No</v>
      </c>
      <c r="AB1052" s="1" t="str">
        <f ca="1">IFERROR(__xludf.DUMMYFUNCTION("""COMPUTED_VALUE"""),"No")</f>
        <v>No</v>
      </c>
      <c r="AC1052" s="1" t="str">
        <f ca="1">IFERROR(__xludf.DUMMYFUNCTION("""COMPUTED_VALUE"""),"No")</f>
        <v>No</v>
      </c>
      <c r="AD1052" s="1" t="str">
        <f ca="1">IFERROR(__xludf.DUMMYFUNCTION("""COMPUTED_VALUE"""),"No")</f>
        <v>No</v>
      </c>
      <c r="AE1052" s="1" t="str">
        <f ca="1">IFERROR(__xludf.DUMMYFUNCTION("""COMPUTED_VALUE"""),"No")</f>
        <v>No</v>
      </c>
      <c r="AF1052" s="1" t="str">
        <f ca="1">IFERROR(__xludf.DUMMYFUNCTION("""COMPUTED_VALUE"""),"No")</f>
        <v>No</v>
      </c>
      <c r="AG1052" s="1" t="str">
        <f ca="1">IFERROR(__xludf.DUMMYFUNCTION("""COMPUTED_VALUE"""),"No")</f>
        <v>No</v>
      </c>
      <c r="AH1052" s="1">
        <f ca="1">IFERROR(__xludf.DUMMYFUNCTION("""COMPUTED_VALUE"""),1)</f>
        <v>1</v>
      </c>
    </row>
    <row r="1053" spans="1:34" ht="12.5">
      <c r="A1053" s="1" t="str">
        <f ca="1">IFERROR(__xludf.DUMMYFUNCTION("""COMPUTED_VALUE"""),"20200904FLLOJ")</f>
        <v>20200904FLLOJ</v>
      </c>
      <c r="B1053" s="1">
        <f ca="1">IFERROR(__xludf.DUMMYFUNCTION("""COMPUTED_VALUE"""),9)</f>
        <v>9</v>
      </c>
      <c r="C1053" s="1">
        <f ca="1">IFERROR(__xludf.DUMMYFUNCTION("""COMPUTED_VALUE"""),3)</f>
        <v>3</v>
      </c>
      <c r="D1053" s="1">
        <f ca="1">IFERROR(__xludf.DUMMYFUNCTION("""COMPUTED_VALUE"""),2020)</f>
        <v>2020</v>
      </c>
      <c r="E1053" s="4">
        <f ca="1">IFERROR(__xludf.DUMMYFUNCTION("""COMPUTED_VALUE"""),44077)</f>
        <v>44077</v>
      </c>
      <c r="F1053" s="1" t="str">
        <f ca="1">IFERROR(__xludf.DUMMYFUNCTION("""COMPUTED_VALUE"""),"Lone Star Elementary School")</f>
        <v>Lone Star Elementary School</v>
      </c>
      <c r="G1053" s="1">
        <f ca="1">IFERROR(__xludf.DUMMYFUNCTION("""COMPUTED_VALUE"""),0)</f>
        <v>0</v>
      </c>
      <c r="H1053" s="1">
        <f ca="1">IFERROR(__xludf.DUMMYFUNCTION("""COMPUTED_VALUE"""),1)</f>
        <v>1</v>
      </c>
      <c r="I1053" s="1">
        <f ca="1">IFERROR(__xludf.DUMMYFUNCTION("""COMPUTED_VALUE"""),1)</f>
        <v>1</v>
      </c>
      <c r="J1053" s="1">
        <f ca="1">IFERROR(__xludf.DUMMYFUNCTION("""COMPUTED_VALUE"""),0)</f>
        <v>0</v>
      </c>
      <c r="K1053" s="1" t="str">
        <f ca="1">IFERROR(__xludf.DUMMYFUNCTION("""COMPUTED_VALUE"""),"Fall")</f>
        <v>Fall</v>
      </c>
      <c r="L1053" s="1" t="str">
        <f ca="1">IFERROR(__xludf.DUMMYFUNCTION("""COMPUTED_VALUE"""),"Jacksonville")</f>
        <v>Jacksonville</v>
      </c>
      <c r="M1053" s="1" t="str">
        <f ca="1">IFERROR(__xludf.DUMMYFUNCTION("""COMPUTED_VALUE"""),"FL")</f>
        <v>FL</v>
      </c>
      <c r="N1053" s="1" t="str">
        <f ca="1">IFERROR(__xludf.DUMMYFUNCTION("""COMPUTED_VALUE"""),"Elementary")</f>
        <v>Elementary</v>
      </c>
      <c r="O1053" s="1" t="str">
        <f ca="1">IFERROR(__xludf.DUMMYFUNCTION("""COMPUTED_VALUE"""),"Beside Building")</f>
        <v>Beside Building</v>
      </c>
      <c r="P1053" s="1" t="str">
        <f ca="1">IFERROR(__xludf.DUMMYFUNCTION("""COMPUTED_VALUE"""),"Outside on School Property")</f>
        <v>Outside on School Property</v>
      </c>
      <c r="Q1053" s="1" t="str">
        <f ca="1">IFERROR(__xludf.DUMMYFUNCTION("""COMPUTED_VALUE"""),"No")</f>
        <v>No</v>
      </c>
      <c r="R1053" s="1" t="str">
        <f ca="1">IFERROR(__xludf.DUMMYFUNCTION("""COMPUTED_VALUE"""),"Night")</f>
        <v>Night</v>
      </c>
      <c r="S1053" s="5">
        <f ca="1">IFERROR(__xludf.DUMMYFUNCTION("""COMPUTED_VALUE"""),0.989583333333333)</f>
        <v>0.98958333333333304</v>
      </c>
      <c r="T1053" s="1">
        <f ca="1">IFERROR(__xludf.DUMMYFUNCTION("""COMPUTED_VALUE"""),1)</f>
        <v>1</v>
      </c>
      <c r="U1053" s="1" t="str">
        <f ca="1">IFERROR(__xludf.DUMMYFUNCTION("""COMPUTED_VALUE"""),"Adult male found shot to death outside of school")</f>
        <v>Adult male found shot to death outside of school</v>
      </c>
      <c r="V1053" s="1" t="str">
        <f ca="1">IFERROR(__xludf.DUMMYFUNCTION("""COMPUTED_VALUE"""),"A 27 year-old male was found laying in the grass near the school building following a shooting. He was taken to the hospital with life threatening injuries. No suspect or motive identified.")</f>
        <v>A 27 year-old male was found laying in the grass near the school building following a shooting. He was taken to the hospital with life threatening injuries. No suspect or motive identified.</v>
      </c>
      <c r="W1053" s="1"/>
      <c r="X1053" s="1"/>
      <c r="Y1053" s="1"/>
      <c r="Z1053" s="1"/>
      <c r="AA1053" s="1" t="str">
        <f ca="1">IFERROR(__xludf.DUMMYFUNCTION("""COMPUTED_VALUE"""),"No")</f>
        <v>No</v>
      </c>
      <c r="AB1053" s="1" t="str">
        <f ca="1">IFERROR(__xludf.DUMMYFUNCTION("""COMPUTED_VALUE"""),"No")</f>
        <v>No</v>
      </c>
      <c r="AC1053" s="1" t="str">
        <f ca="1">IFERROR(__xludf.DUMMYFUNCTION("""COMPUTED_VALUE"""),"No")</f>
        <v>No</v>
      </c>
      <c r="AD1053" s="1" t="str">
        <f ca="1">IFERROR(__xludf.DUMMYFUNCTION("""COMPUTED_VALUE"""),"No")</f>
        <v>No</v>
      </c>
      <c r="AE1053" s="1" t="str">
        <f ca="1">IFERROR(__xludf.DUMMYFUNCTION("""COMPUTED_VALUE"""),"No")</f>
        <v>No</v>
      </c>
      <c r="AF1053" s="1" t="str">
        <f ca="1">IFERROR(__xludf.DUMMYFUNCTION("""COMPUTED_VALUE"""),"No")</f>
        <v>No</v>
      </c>
      <c r="AG1053" s="1" t="str">
        <f ca="1">IFERROR(__xludf.DUMMYFUNCTION("""COMPUTED_VALUE"""),"No")</f>
        <v>No</v>
      </c>
      <c r="AH1053" s="1"/>
    </row>
    <row r="1054" spans="1:34" ht="12.5">
      <c r="A1054" s="1" t="str">
        <f ca="1">IFERROR(__xludf.DUMMYFUNCTION("""COMPUTED_VALUE"""),"20200903GADOA")</f>
        <v>20200903GADOA</v>
      </c>
      <c r="B1054" s="1">
        <f ca="1">IFERROR(__xludf.DUMMYFUNCTION("""COMPUTED_VALUE"""),9)</f>
        <v>9</v>
      </c>
      <c r="C1054" s="1">
        <f ca="1">IFERROR(__xludf.DUMMYFUNCTION("""COMPUTED_VALUE"""),3)</f>
        <v>3</v>
      </c>
      <c r="D1054" s="1">
        <f ca="1">IFERROR(__xludf.DUMMYFUNCTION("""COMPUTED_VALUE"""),2020)</f>
        <v>2020</v>
      </c>
      <c r="E1054" s="4">
        <f ca="1">IFERROR(__xludf.DUMMYFUNCTION("""COMPUTED_VALUE"""),44077)</f>
        <v>44077</v>
      </c>
      <c r="F1054" s="1" t="str">
        <f ca="1">IFERROR(__xludf.DUMMYFUNCTION("""COMPUTED_VALUE"""),"Dougherty Comprehensive High School")</f>
        <v>Dougherty Comprehensive High School</v>
      </c>
      <c r="G1054" s="1">
        <f ca="1">IFERROR(__xludf.DUMMYFUNCTION("""COMPUTED_VALUE"""),1)</f>
        <v>1</v>
      </c>
      <c r="H1054" s="1">
        <f ca="1">IFERROR(__xludf.DUMMYFUNCTION("""COMPUTED_VALUE"""),0)</f>
        <v>0</v>
      </c>
      <c r="I1054" s="1">
        <f ca="1">IFERROR(__xludf.DUMMYFUNCTION("""COMPUTED_VALUE"""),1)</f>
        <v>1</v>
      </c>
      <c r="J1054" s="1">
        <f ca="1">IFERROR(__xludf.DUMMYFUNCTION("""COMPUTED_VALUE"""),0)</f>
        <v>0</v>
      </c>
      <c r="K1054" s="1" t="str">
        <f ca="1">IFERROR(__xludf.DUMMYFUNCTION("""COMPUTED_VALUE"""),"Fall")</f>
        <v>Fall</v>
      </c>
      <c r="L1054" s="1" t="str">
        <f ca="1">IFERROR(__xludf.DUMMYFUNCTION("""COMPUTED_VALUE"""),"Albany")</f>
        <v>Albany</v>
      </c>
      <c r="M1054" s="1" t="str">
        <f ca="1">IFERROR(__xludf.DUMMYFUNCTION("""COMPUTED_VALUE"""),"GA")</f>
        <v>GA</v>
      </c>
      <c r="N1054" s="1" t="str">
        <f ca="1">IFERROR(__xludf.DUMMYFUNCTION("""COMPUTED_VALUE"""),"High")</f>
        <v>High</v>
      </c>
      <c r="O1054" s="1" t="str">
        <f ca="1">IFERROR(__xludf.DUMMYFUNCTION("""COMPUTED_VALUE"""),"Parking Lot")</f>
        <v>Parking Lot</v>
      </c>
      <c r="P1054" s="1" t="str">
        <f ca="1">IFERROR(__xludf.DUMMYFUNCTION("""COMPUTED_VALUE"""),"Outside on School Property")</f>
        <v>Outside on School Property</v>
      </c>
      <c r="Q1054" s="1" t="str">
        <f ca="1">IFERROR(__xludf.DUMMYFUNCTION("""COMPUTED_VALUE"""),"No")</f>
        <v>No</v>
      </c>
      <c r="R1054" s="1" t="str">
        <f ca="1">IFERROR(__xludf.DUMMYFUNCTION("""COMPUTED_VALUE"""),"Not a School Day")</f>
        <v>Not a School Day</v>
      </c>
      <c r="S1054" s="5">
        <f ca="1">IFERROR(__xludf.DUMMYFUNCTION("""COMPUTED_VALUE"""),0.34375)</f>
        <v>0.34375</v>
      </c>
      <c r="T1054" s="1">
        <f ca="1">IFERROR(__xludf.DUMMYFUNCTION("""COMPUTED_VALUE"""),1)</f>
        <v>1</v>
      </c>
      <c r="U1054" s="1" t="str">
        <f ca="1">IFERROR(__xludf.DUMMYFUNCTION("""COMPUTED_VALUE"""),"18 year-old found shot and killed in vehicle in school parking lot")</f>
        <v>18 year-old found shot and killed in vehicle in school parking lot</v>
      </c>
      <c r="V1054" s="1" t="str">
        <f ca="1">IFERROR(__xludf.DUMMYFUNCTION("""COMPUTED_VALUE"""),"18 year-old male was found shot and killed in the school parking lot. Death is being investigated as a homicide. School was closed due to COVID-19. No suspect or motive released.")</f>
        <v>18 year-old male was found shot and killed in the school parking lot. Death is being investigated as a homicide. School was closed due to COVID-19. No suspect or motive released.</v>
      </c>
      <c r="W1054" s="1"/>
      <c r="X1054" s="1" t="str">
        <f ca="1">IFERROR(__xludf.DUMMYFUNCTION("""COMPUTED_VALUE"""),"Victims Targeted")</f>
        <v>Victims Targeted</v>
      </c>
      <c r="Y1054" s="1"/>
      <c r="Z1054" s="1"/>
      <c r="AA1054" s="1" t="str">
        <f ca="1">IFERROR(__xludf.DUMMYFUNCTION("""COMPUTED_VALUE"""),"No")</f>
        <v>No</v>
      </c>
      <c r="AB1054" s="1" t="str">
        <f ca="1">IFERROR(__xludf.DUMMYFUNCTION("""COMPUTED_VALUE"""),"No")</f>
        <v>No</v>
      </c>
      <c r="AC1054" s="1" t="str">
        <f ca="1">IFERROR(__xludf.DUMMYFUNCTION("""COMPUTED_VALUE"""),"No")</f>
        <v>No</v>
      </c>
      <c r="AD1054" s="1" t="str">
        <f ca="1">IFERROR(__xludf.DUMMYFUNCTION("""COMPUTED_VALUE"""),"No")</f>
        <v>No</v>
      </c>
      <c r="AE1054" s="1" t="str">
        <f ca="1">IFERROR(__xludf.DUMMYFUNCTION("""COMPUTED_VALUE"""),"No")</f>
        <v>No</v>
      </c>
      <c r="AF1054" s="1"/>
      <c r="AG1054" s="1" t="str">
        <f ca="1">IFERROR(__xludf.DUMMYFUNCTION("""COMPUTED_VALUE"""),"No")</f>
        <v>No</v>
      </c>
      <c r="AH1054" s="1"/>
    </row>
    <row r="1055" spans="1:34" ht="12.5">
      <c r="A1055" s="1" t="str">
        <f ca="1">IFERROR(__xludf.DUMMYFUNCTION("""COMPUTED_VALUE"""),"20200830TXLOD")</f>
        <v>20200830TXLOD</v>
      </c>
      <c r="B1055" s="1">
        <f ca="1">IFERROR(__xludf.DUMMYFUNCTION("""COMPUTED_VALUE"""),8)</f>
        <v>8</v>
      </c>
      <c r="C1055" s="1">
        <f ca="1">IFERROR(__xludf.DUMMYFUNCTION("""COMPUTED_VALUE"""),30)</f>
        <v>30</v>
      </c>
      <c r="D1055" s="1">
        <f ca="1">IFERROR(__xludf.DUMMYFUNCTION("""COMPUTED_VALUE"""),2020)</f>
        <v>2020</v>
      </c>
      <c r="E1055" s="4">
        <f ca="1">IFERROR(__xludf.DUMMYFUNCTION("""COMPUTED_VALUE"""),44073)</f>
        <v>44073</v>
      </c>
      <c r="F1055" s="1" t="str">
        <f ca="1">IFERROR(__xludf.DUMMYFUNCTION("""COMPUTED_VALUE"""),"L.O. Donald Leadership Academy")</f>
        <v>L.O. Donald Leadership Academy</v>
      </c>
      <c r="G1055" s="1">
        <f ca="1">IFERROR(__xludf.DUMMYFUNCTION("""COMPUTED_VALUE"""),1)</f>
        <v>1</v>
      </c>
      <c r="H1055" s="1">
        <f ca="1">IFERROR(__xludf.DUMMYFUNCTION("""COMPUTED_VALUE"""),0)</f>
        <v>0</v>
      </c>
      <c r="I1055" s="1">
        <f ca="1">IFERROR(__xludf.DUMMYFUNCTION("""COMPUTED_VALUE"""),1)</f>
        <v>1</v>
      </c>
      <c r="J1055" s="1">
        <f ca="1">IFERROR(__xludf.DUMMYFUNCTION("""COMPUTED_VALUE"""),0)</f>
        <v>0</v>
      </c>
      <c r="K1055" s="1" t="str">
        <f ca="1">IFERROR(__xludf.DUMMYFUNCTION("""COMPUTED_VALUE"""),"Summer")</f>
        <v>Summer</v>
      </c>
      <c r="L1055" s="1" t="str">
        <f ca="1">IFERROR(__xludf.DUMMYFUNCTION("""COMPUTED_VALUE"""),"Dallas")</f>
        <v>Dallas</v>
      </c>
      <c r="M1055" s="1" t="str">
        <f ca="1">IFERROR(__xludf.DUMMYFUNCTION("""COMPUTED_VALUE"""),"TX")</f>
        <v>TX</v>
      </c>
      <c r="N1055" s="1" t="str">
        <f ca="1">IFERROR(__xludf.DUMMYFUNCTION("""COMPUTED_VALUE"""),"Elementary")</f>
        <v>Elementary</v>
      </c>
      <c r="O1055" s="1" t="str">
        <f ca="1">IFERROR(__xludf.DUMMYFUNCTION("""COMPUTED_VALUE"""),"Playground")</f>
        <v>Playground</v>
      </c>
      <c r="P1055" s="1" t="str">
        <f ca="1">IFERROR(__xludf.DUMMYFUNCTION("""COMPUTED_VALUE"""),"Outside on School Property")</f>
        <v>Outside on School Property</v>
      </c>
      <c r="Q1055" s="1" t="str">
        <f ca="1">IFERROR(__xludf.DUMMYFUNCTION("""COMPUTED_VALUE"""),"No")</f>
        <v>No</v>
      </c>
      <c r="R1055" s="1" t="str">
        <f ca="1">IFERROR(__xludf.DUMMYFUNCTION("""COMPUTED_VALUE"""),"Night")</f>
        <v>Night</v>
      </c>
      <c r="S1055" s="5">
        <f ca="1">IFERROR(__xludf.DUMMYFUNCTION("""COMPUTED_VALUE"""),0.916666666666666)</f>
        <v>0.91666666666666596</v>
      </c>
      <c r="T1055" s="1">
        <f ca="1">IFERROR(__xludf.DUMMYFUNCTION("""COMPUTED_VALUE"""),1)</f>
        <v>1</v>
      </c>
      <c r="U1055" s="1" t="str">
        <f ca="1">IFERROR(__xludf.DUMMYFUNCTION("""COMPUTED_VALUE"""),"Adult man shot and killed on school playground")</f>
        <v>Adult man shot and killed on school playground</v>
      </c>
      <c r="V1055" s="1" t="str">
        <f ca="1">IFERROR(__xludf.DUMMYFUNCTION("""COMPUTED_VALUE"""),"A 27 year-old male was shot and killed on the school playground. Shooter fled the scene. 17 year-old man was later arrested and charged with murder. Police said the shooting was a result of a drug deal that went wrong. The victim pulled a knife and attemp"&amp;"ted to rob the shooter. The shooter fired as the victim ran away. Police determine it was not a shooting in self defense due to the distance between the shooter and the victim.")</f>
        <v>A 27 year-old male was shot and killed on the school playground. Shooter fled the scene. 17 year-old man was later arrested and charged with murder. Police said the shooting was a result of a drug deal that went wrong. The victim pulled a knife and attempted to rob the shooter. The shooter fired as the victim ran away. Police determine it was not a shooting in self defense due to the distance between the shooter and the victim.</v>
      </c>
      <c r="W1055" s="1" t="str">
        <f ca="1">IFERROR(__xludf.DUMMYFUNCTION("""COMPUTED_VALUE"""),"Illegal Activity")</f>
        <v>Illegal Activity</v>
      </c>
      <c r="X1055" s="1" t="str">
        <f ca="1">IFERROR(__xludf.DUMMYFUNCTION("""COMPUTED_VALUE"""),"Victims Targeted")</f>
        <v>Victims Targeted</v>
      </c>
      <c r="Y1055" s="1" t="str">
        <f ca="1">IFERROR(__xludf.DUMMYFUNCTION("""COMPUTED_VALUE"""),"No")</f>
        <v>No</v>
      </c>
      <c r="Z1055" s="1"/>
      <c r="AA1055" s="1" t="str">
        <f ca="1">IFERROR(__xludf.DUMMYFUNCTION("""COMPUTED_VALUE"""),"No")</f>
        <v>No</v>
      </c>
      <c r="AB1055" s="1" t="str">
        <f ca="1">IFERROR(__xludf.DUMMYFUNCTION("""COMPUTED_VALUE"""),"No")</f>
        <v>No</v>
      </c>
      <c r="AC1055" s="1" t="str">
        <f ca="1">IFERROR(__xludf.DUMMYFUNCTION("""COMPUTED_VALUE"""),"No")</f>
        <v>No</v>
      </c>
      <c r="AD1055" s="1" t="str">
        <f ca="1">IFERROR(__xludf.DUMMYFUNCTION("""COMPUTED_VALUE"""),"No")</f>
        <v>No</v>
      </c>
      <c r="AE1055" s="1" t="str">
        <f ca="1">IFERROR(__xludf.DUMMYFUNCTION("""COMPUTED_VALUE"""),"No")</f>
        <v>No</v>
      </c>
      <c r="AF1055" s="1" t="str">
        <f ca="1">IFERROR(__xludf.DUMMYFUNCTION("""COMPUTED_VALUE"""),"No")</f>
        <v>No</v>
      </c>
      <c r="AG1055" s="1" t="str">
        <f ca="1">IFERROR(__xludf.DUMMYFUNCTION("""COMPUTED_VALUE"""),"No")</f>
        <v>No</v>
      </c>
      <c r="AH1055" s="1">
        <f ca="1">IFERROR(__xludf.DUMMYFUNCTION("""COMPUTED_VALUE"""),5)</f>
        <v>5</v>
      </c>
    </row>
    <row r="1056" spans="1:34" ht="12.5">
      <c r="A1056" s="1" t="str">
        <f ca="1">IFERROR(__xludf.DUMMYFUNCTION("""COMPUTED_VALUE"""),"20200825MOWEC")</f>
        <v>20200825MOWEC</v>
      </c>
      <c r="B1056" s="1">
        <f ca="1">IFERROR(__xludf.DUMMYFUNCTION("""COMPUTED_VALUE"""),8)</f>
        <v>8</v>
      </c>
      <c r="C1056" s="1">
        <f ca="1">IFERROR(__xludf.DUMMYFUNCTION("""COMPUTED_VALUE"""),25)</f>
        <v>25</v>
      </c>
      <c r="D1056" s="1">
        <f ca="1">IFERROR(__xludf.DUMMYFUNCTION("""COMPUTED_VALUE"""),2020)</f>
        <v>2020</v>
      </c>
      <c r="E1056" s="4">
        <f ca="1">IFERROR(__xludf.DUMMYFUNCTION("""COMPUTED_VALUE"""),44068)</f>
        <v>44068</v>
      </c>
      <c r="F1056" s="1" t="str">
        <f ca="1">IFERROR(__xludf.DUMMYFUNCTION("""COMPUTED_VALUE"""),"West Middle School")</f>
        <v>West Middle School</v>
      </c>
      <c r="G1056" s="1">
        <f ca="1">IFERROR(__xludf.DUMMYFUNCTION("""COMPUTED_VALUE"""),0)</f>
        <v>0</v>
      </c>
      <c r="H1056" s="1">
        <f ca="1">IFERROR(__xludf.DUMMYFUNCTION("""COMPUTED_VALUE"""),1)</f>
        <v>1</v>
      </c>
      <c r="I1056" s="1">
        <f ca="1">IFERROR(__xludf.DUMMYFUNCTION("""COMPUTED_VALUE"""),1)</f>
        <v>1</v>
      </c>
      <c r="J1056" s="1">
        <f ca="1">IFERROR(__xludf.DUMMYFUNCTION("""COMPUTED_VALUE"""),0)</f>
        <v>0</v>
      </c>
      <c r="K1056" s="1" t="str">
        <f ca="1">IFERROR(__xludf.DUMMYFUNCTION("""COMPUTED_VALUE"""),"Summer")</f>
        <v>Summer</v>
      </c>
      <c r="L1056" s="1" t="str">
        <f ca="1">IFERROR(__xludf.DUMMYFUNCTION("""COMPUTED_VALUE"""),"Columbia")</f>
        <v>Columbia</v>
      </c>
      <c r="M1056" s="1" t="str">
        <f ca="1">IFERROR(__xludf.DUMMYFUNCTION("""COMPUTED_VALUE"""),"MO")</f>
        <v>MO</v>
      </c>
      <c r="N1056" s="1" t="str">
        <f ca="1">IFERROR(__xludf.DUMMYFUNCTION("""COMPUTED_VALUE"""),"Middle")</f>
        <v>Middle</v>
      </c>
      <c r="O1056" s="1" t="str">
        <f ca="1">IFERROR(__xludf.DUMMYFUNCTION("""COMPUTED_VALUE"""),"Football Field/Track")</f>
        <v>Football Field/Track</v>
      </c>
      <c r="P1056" s="1" t="str">
        <f ca="1">IFERROR(__xludf.DUMMYFUNCTION("""COMPUTED_VALUE"""),"Outside on School Property")</f>
        <v>Outside on School Property</v>
      </c>
      <c r="Q1056" s="1" t="str">
        <f ca="1">IFERROR(__xludf.DUMMYFUNCTION("""COMPUTED_VALUE"""),"No")</f>
        <v>No</v>
      </c>
      <c r="R1056" s="1" t="str">
        <f ca="1">IFERROR(__xludf.DUMMYFUNCTION("""COMPUTED_VALUE"""),"Night")</f>
        <v>Night</v>
      </c>
      <c r="S1056" s="5">
        <f ca="1">IFERROR(__xludf.DUMMYFUNCTION("""COMPUTED_VALUE"""),0.145833333333333)</f>
        <v>0.14583333333333301</v>
      </c>
      <c r="T1056" s="1">
        <f ca="1">IFERROR(__xludf.DUMMYFUNCTION("""COMPUTED_VALUE"""),1)</f>
        <v>1</v>
      </c>
      <c r="U1056" s="1" t="str">
        <f ca="1">IFERROR(__xludf.DUMMYFUNCTION("""COMPUTED_VALUE"""),"Adult male shot on the school track")</f>
        <v>Adult male shot on the school track</v>
      </c>
      <c r="V1056" s="1" t="str">
        <f ca="1">IFERROR(__xludf.DUMMYFUNCTION("""COMPUTED_VALUE"""),"An unidentified adult male was shot on the school track by an unknown shooter. Sustained non-life threatening injuries. Shooter fled the scene. No other information available.")</f>
        <v>An unidentified adult male was shot on the school track by an unknown shooter. Sustained non-life threatening injuries. Shooter fled the scene. No other information available.</v>
      </c>
      <c r="W1056" s="1"/>
      <c r="X1056" s="1"/>
      <c r="Y1056" s="1"/>
      <c r="Z1056" s="1"/>
      <c r="AA1056" s="1" t="str">
        <f ca="1">IFERROR(__xludf.DUMMYFUNCTION("""COMPUTED_VALUE"""),"No")</f>
        <v>No</v>
      </c>
      <c r="AB1056" s="1" t="str">
        <f ca="1">IFERROR(__xludf.DUMMYFUNCTION("""COMPUTED_VALUE"""),"No")</f>
        <v>No</v>
      </c>
      <c r="AC1056" s="1" t="str">
        <f ca="1">IFERROR(__xludf.DUMMYFUNCTION("""COMPUTED_VALUE"""),"No")</f>
        <v>No</v>
      </c>
      <c r="AD1056" s="1" t="str">
        <f ca="1">IFERROR(__xludf.DUMMYFUNCTION("""COMPUTED_VALUE"""),"No")</f>
        <v>No</v>
      </c>
      <c r="AE1056" s="1" t="str">
        <f ca="1">IFERROR(__xludf.DUMMYFUNCTION("""COMPUTED_VALUE"""),"No")</f>
        <v>No</v>
      </c>
      <c r="AF1056" s="1"/>
      <c r="AG1056" s="1" t="str">
        <f ca="1">IFERROR(__xludf.DUMMYFUNCTION("""COMPUTED_VALUE"""),"No")</f>
        <v>No</v>
      </c>
      <c r="AH1056" s="1"/>
    </row>
    <row r="1057" spans="1:34" ht="12.5">
      <c r="A1057" s="1" t="str">
        <f ca="1">IFERROR(__xludf.DUMMYFUNCTION("""COMPUTED_VALUE"""),"20200817MIABG")</f>
        <v>20200817MIABG</v>
      </c>
      <c r="B1057" s="1">
        <f ca="1">IFERROR(__xludf.DUMMYFUNCTION("""COMPUTED_VALUE"""),8)</f>
        <v>8</v>
      </c>
      <c r="C1057" s="1">
        <f ca="1">IFERROR(__xludf.DUMMYFUNCTION("""COMPUTED_VALUE"""),17)</f>
        <v>17</v>
      </c>
      <c r="D1057" s="1">
        <f ca="1">IFERROR(__xludf.DUMMYFUNCTION("""COMPUTED_VALUE"""),2020)</f>
        <v>2020</v>
      </c>
      <c r="E1057" s="4">
        <f ca="1">IFERROR(__xludf.DUMMYFUNCTION("""COMPUTED_VALUE"""),44060)</f>
        <v>44060</v>
      </c>
      <c r="F1057" s="1" t="str">
        <f ca="1">IFERROR(__xludf.DUMMYFUNCTION("""COMPUTED_VALUE"""),"Aberdeen K-8 School")</f>
        <v>Aberdeen K-8 School</v>
      </c>
      <c r="G1057" s="1">
        <f ca="1">IFERROR(__xludf.DUMMYFUNCTION("""COMPUTED_VALUE"""),0)</f>
        <v>0</v>
      </c>
      <c r="H1057" s="1">
        <f ca="1">IFERROR(__xludf.DUMMYFUNCTION("""COMPUTED_VALUE"""),1)</f>
        <v>1</v>
      </c>
      <c r="I1057" s="1">
        <f ca="1">IFERROR(__xludf.DUMMYFUNCTION("""COMPUTED_VALUE"""),1)</f>
        <v>1</v>
      </c>
      <c r="J1057" s="1">
        <f ca="1">IFERROR(__xludf.DUMMYFUNCTION("""COMPUTED_VALUE"""),0)</f>
        <v>0</v>
      </c>
      <c r="K1057" s="1" t="str">
        <f ca="1">IFERROR(__xludf.DUMMYFUNCTION("""COMPUTED_VALUE"""),"Summer")</f>
        <v>Summer</v>
      </c>
      <c r="L1057" s="1" t="str">
        <f ca="1">IFERROR(__xludf.DUMMYFUNCTION("""COMPUTED_VALUE"""),"Grand Rapids")</f>
        <v>Grand Rapids</v>
      </c>
      <c r="M1057" s="1" t="str">
        <f ca="1">IFERROR(__xludf.DUMMYFUNCTION("""COMPUTED_VALUE"""),"MI")</f>
        <v>MI</v>
      </c>
      <c r="N1057" s="1" t="str">
        <f ca="1">IFERROR(__xludf.DUMMYFUNCTION("""COMPUTED_VALUE"""),"K-8")</f>
        <v>K-8</v>
      </c>
      <c r="O1057" s="1" t="str">
        <f ca="1">IFERROR(__xludf.DUMMYFUNCTION("""COMPUTED_VALUE"""),"Beside Building")</f>
        <v>Beside Building</v>
      </c>
      <c r="P1057" s="1" t="str">
        <f ca="1">IFERROR(__xludf.DUMMYFUNCTION("""COMPUTED_VALUE"""),"Outside on School Property")</f>
        <v>Outside on School Property</v>
      </c>
      <c r="Q1057" s="1" t="str">
        <f ca="1">IFERROR(__xludf.DUMMYFUNCTION("""COMPUTED_VALUE"""),"No")</f>
        <v>No</v>
      </c>
      <c r="R1057" s="1" t="str">
        <f ca="1">IFERROR(__xludf.DUMMYFUNCTION("""COMPUTED_VALUE"""),"Not a School Day")</f>
        <v>Not a School Day</v>
      </c>
      <c r="S1057" s="5">
        <f ca="1">IFERROR(__xludf.DUMMYFUNCTION("""COMPUTED_VALUE"""),0.6875)</f>
        <v>0.6875</v>
      </c>
      <c r="T1057" s="1">
        <f ca="1">IFERROR(__xludf.DUMMYFUNCTION("""COMPUTED_VALUE"""),1)</f>
        <v>1</v>
      </c>
      <c r="U1057" s="1" t="str">
        <f ca="1">IFERROR(__xludf.DUMMYFUNCTION("""COMPUTED_VALUE"""),"Adult male shot in hand next to school")</f>
        <v>Adult male shot in hand next to school</v>
      </c>
      <c r="V1057" s="1" t="str">
        <f ca="1">IFERROR(__xludf.DUMMYFUNCTION("""COMPUTED_VALUE"""),"Adult male was shot in the hand next to the school. Police responded to 9-1-1 call for shots fired. Victim and shooter fled the scene. Victim was later found and did not cooperate with police. Identify of shooter and circumstances unknown.")</f>
        <v>Adult male was shot in the hand next to the school. Police responded to 9-1-1 call for shots fired. Victim and shooter fled the scene. Victim was later found and did not cooperate with police. Identify of shooter and circumstances unknown.</v>
      </c>
      <c r="W1057" s="1"/>
      <c r="X1057" s="1"/>
      <c r="Y1057" s="1" t="str">
        <f ca="1">IFERROR(__xludf.DUMMYFUNCTION("""COMPUTED_VALUE"""),"No")</f>
        <v>No</v>
      </c>
      <c r="Z1057" s="1"/>
      <c r="AA1057" s="1" t="str">
        <f ca="1">IFERROR(__xludf.DUMMYFUNCTION("""COMPUTED_VALUE"""),"No")</f>
        <v>No</v>
      </c>
      <c r="AB1057" s="1" t="str">
        <f ca="1">IFERROR(__xludf.DUMMYFUNCTION("""COMPUTED_VALUE"""),"No")</f>
        <v>No</v>
      </c>
      <c r="AC1057" s="1" t="str">
        <f ca="1">IFERROR(__xludf.DUMMYFUNCTION("""COMPUTED_VALUE"""),"No")</f>
        <v>No</v>
      </c>
      <c r="AD1057" s="1" t="str">
        <f ca="1">IFERROR(__xludf.DUMMYFUNCTION("""COMPUTED_VALUE"""),"No")</f>
        <v>No</v>
      </c>
      <c r="AE1057" s="1" t="str">
        <f ca="1">IFERROR(__xludf.DUMMYFUNCTION("""COMPUTED_VALUE"""),"No")</f>
        <v>No</v>
      </c>
      <c r="AF1057" s="1"/>
      <c r="AG1057" s="1" t="str">
        <f ca="1">IFERROR(__xludf.DUMMYFUNCTION("""COMPUTED_VALUE"""),"No")</f>
        <v>No</v>
      </c>
      <c r="AH1057" s="1"/>
    </row>
    <row r="1058" spans="1:34" ht="12.5">
      <c r="A1058" s="1" t="str">
        <f ca="1">IFERROR(__xludf.DUMMYFUNCTION("""COMPUTED_VALUE"""),"20200804PAKEP")</f>
        <v>20200804PAKEP</v>
      </c>
      <c r="B1058" s="1">
        <f ca="1">IFERROR(__xludf.DUMMYFUNCTION("""COMPUTED_VALUE"""),8)</f>
        <v>8</v>
      </c>
      <c r="C1058" s="1">
        <f ca="1">IFERROR(__xludf.DUMMYFUNCTION("""COMPUTED_VALUE"""),4)</f>
        <v>4</v>
      </c>
      <c r="D1058" s="1">
        <f ca="1">IFERROR(__xludf.DUMMYFUNCTION("""COMPUTED_VALUE"""),2020)</f>
        <v>2020</v>
      </c>
      <c r="E1058" s="4">
        <f ca="1">IFERROR(__xludf.DUMMYFUNCTION("""COMPUTED_VALUE"""),44047)</f>
        <v>44047</v>
      </c>
      <c r="F1058" s="1" t="str">
        <f ca="1">IFERROR(__xludf.DUMMYFUNCTION("""COMPUTED_VALUE"""),"Kelly Elementary School")</f>
        <v>Kelly Elementary School</v>
      </c>
      <c r="G1058" s="1">
        <f ca="1">IFERROR(__xludf.DUMMYFUNCTION("""COMPUTED_VALUE"""),1)</f>
        <v>1</v>
      </c>
      <c r="H1058" s="1">
        <f ca="1">IFERROR(__xludf.DUMMYFUNCTION("""COMPUTED_VALUE"""),0)</f>
        <v>0</v>
      </c>
      <c r="I1058" s="1">
        <f ca="1">IFERROR(__xludf.DUMMYFUNCTION("""COMPUTED_VALUE"""),1)</f>
        <v>1</v>
      </c>
      <c r="J1058" s="1">
        <f ca="1">IFERROR(__xludf.DUMMYFUNCTION("""COMPUTED_VALUE"""),0)</f>
        <v>0</v>
      </c>
      <c r="K1058" s="1" t="str">
        <f ca="1">IFERROR(__xludf.DUMMYFUNCTION("""COMPUTED_VALUE"""),"Summer")</f>
        <v>Summer</v>
      </c>
      <c r="L1058" s="1" t="str">
        <f ca="1">IFERROR(__xludf.DUMMYFUNCTION("""COMPUTED_VALUE"""),"Pittsburg")</f>
        <v>Pittsburg</v>
      </c>
      <c r="M1058" s="1" t="str">
        <f ca="1">IFERROR(__xludf.DUMMYFUNCTION("""COMPUTED_VALUE"""),"PA")</f>
        <v>PA</v>
      </c>
      <c r="N1058" s="1" t="str">
        <f ca="1">IFERROR(__xludf.DUMMYFUNCTION("""COMPUTED_VALUE"""),"Elementary")</f>
        <v>Elementary</v>
      </c>
      <c r="O1058" s="1" t="str">
        <f ca="1">IFERROR(__xludf.DUMMYFUNCTION("""COMPUTED_VALUE"""),"Beside Building")</f>
        <v>Beside Building</v>
      </c>
      <c r="P1058" s="1" t="str">
        <f ca="1">IFERROR(__xludf.DUMMYFUNCTION("""COMPUTED_VALUE"""),"Outside on School Property")</f>
        <v>Outside on School Property</v>
      </c>
      <c r="Q1058" s="1" t="str">
        <f ca="1">IFERROR(__xludf.DUMMYFUNCTION("""COMPUTED_VALUE"""),"No")</f>
        <v>No</v>
      </c>
      <c r="R1058" s="1" t="str">
        <f ca="1">IFERROR(__xludf.DUMMYFUNCTION("""COMPUTED_VALUE"""),"Not A School Day")</f>
        <v>Not A School Day</v>
      </c>
      <c r="S1058" s="5">
        <f ca="1">IFERROR(__xludf.DUMMYFUNCTION("""COMPUTED_VALUE"""),0.510416666666666)</f>
        <v>0.51041666666666596</v>
      </c>
      <c r="T1058" s="1">
        <f ca="1">IFERROR(__xludf.DUMMYFUNCTION("""COMPUTED_VALUE"""),1)</f>
        <v>1</v>
      </c>
      <c r="U1058" s="1" t="str">
        <f ca="1">IFERROR(__xludf.DUMMYFUNCTION("""COMPUTED_VALUE"""),"Adult male found shot next to school building")</f>
        <v>Adult male found shot next to school building</v>
      </c>
      <c r="V1058" s="1" t="str">
        <f ca="1">IFERROR(__xludf.DUMMYFUNCTION("""COMPUTED_VALUE"""),"Adult male was found shot multiple times next to school building. Class was not in session, janitors were present cleaning the schools. Doors were locked and school was locked down. 29 year-old male arrested.")</f>
        <v>Adult male was found shot multiple times next to school building. Class was not in session, janitors were present cleaning the schools. Doors were locked and school was locked down. 29 year-old male arrested.</v>
      </c>
      <c r="W1058" s="1" t="str">
        <f ca="1">IFERROR(__xludf.DUMMYFUNCTION("""COMPUTED_VALUE"""),"Unknown")</f>
        <v>Unknown</v>
      </c>
      <c r="X1058" s="1" t="str">
        <f ca="1">IFERROR(__xludf.DUMMYFUNCTION("""COMPUTED_VALUE"""),"Victims Targeted")</f>
        <v>Victims Targeted</v>
      </c>
      <c r="Y1058" s="1"/>
      <c r="Z1058" s="1"/>
      <c r="AA1058" s="1" t="str">
        <f ca="1">IFERROR(__xludf.DUMMYFUNCTION("""COMPUTED_VALUE"""),"No")</f>
        <v>No</v>
      </c>
      <c r="AB1058" s="1" t="str">
        <f ca="1">IFERROR(__xludf.DUMMYFUNCTION("""COMPUTED_VALUE"""),"No")</f>
        <v>No</v>
      </c>
      <c r="AC1058" s="1" t="str">
        <f ca="1">IFERROR(__xludf.DUMMYFUNCTION("""COMPUTED_VALUE"""),"No")</f>
        <v>No</v>
      </c>
      <c r="AD1058" s="1" t="str">
        <f ca="1">IFERROR(__xludf.DUMMYFUNCTION("""COMPUTED_VALUE"""),"No")</f>
        <v>No</v>
      </c>
      <c r="AE1058" s="1" t="str">
        <f ca="1">IFERROR(__xludf.DUMMYFUNCTION("""COMPUTED_VALUE"""),"No")</f>
        <v>No</v>
      </c>
      <c r="AF1058" s="1" t="str">
        <f ca="1">IFERROR(__xludf.DUMMYFUNCTION("""COMPUTED_VALUE"""),"No")</f>
        <v>No</v>
      </c>
      <c r="AG1058" s="1"/>
      <c r="AH1058" s="1"/>
    </row>
    <row r="1059" spans="1:34" ht="12.5">
      <c r="A1059" s="1" t="str">
        <f ca="1">IFERROR(__xludf.DUMMYFUNCTION("""COMPUTED_VALUE"""),"20200729ILCOC")</f>
        <v>20200729ILCOC</v>
      </c>
      <c r="B1059" s="1">
        <f ca="1">IFERROR(__xludf.DUMMYFUNCTION("""COMPUTED_VALUE"""),7)</f>
        <v>7</v>
      </c>
      <c r="C1059" s="1">
        <f ca="1">IFERROR(__xludf.DUMMYFUNCTION("""COMPUTED_VALUE"""),29)</f>
        <v>29</v>
      </c>
      <c r="D1059" s="1">
        <f ca="1">IFERROR(__xludf.DUMMYFUNCTION("""COMPUTED_VALUE"""),2020)</f>
        <v>2020</v>
      </c>
      <c r="E1059" s="4">
        <f ca="1">IFERROR(__xludf.DUMMYFUNCTION("""COMPUTED_VALUE"""),44041)</f>
        <v>44041</v>
      </c>
      <c r="F1059" s="1" t="str">
        <f ca="1">IFERROR(__xludf.DUMMYFUNCTION("""COMPUTED_VALUE"""),"Collinsville High School")</f>
        <v>Collinsville High School</v>
      </c>
      <c r="G1059" s="1">
        <f ca="1">IFERROR(__xludf.DUMMYFUNCTION("""COMPUTED_VALUE"""),0)</f>
        <v>0</v>
      </c>
      <c r="H1059" s="1">
        <f ca="1">IFERROR(__xludf.DUMMYFUNCTION("""COMPUTED_VALUE"""),0)</f>
        <v>0</v>
      </c>
      <c r="I1059" s="1">
        <f ca="1">IFERROR(__xludf.DUMMYFUNCTION("""COMPUTED_VALUE"""),0)</f>
        <v>0</v>
      </c>
      <c r="J1059" s="1">
        <f ca="1">IFERROR(__xludf.DUMMYFUNCTION("""COMPUTED_VALUE"""),0)</f>
        <v>0</v>
      </c>
      <c r="K1059" s="1"/>
      <c r="L1059" s="1" t="str">
        <f ca="1">IFERROR(__xludf.DUMMYFUNCTION("""COMPUTED_VALUE"""),"Collinsville")</f>
        <v>Collinsville</v>
      </c>
      <c r="M1059" s="1" t="str">
        <f ca="1">IFERROR(__xludf.DUMMYFUNCTION("""COMPUTED_VALUE"""),"IL")</f>
        <v>IL</v>
      </c>
      <c r="N1059" s="1" t="str">
        <f ca="1">IFERROR(__xludf.DUMMYFUNCTION("""COMPUTED_VALUE"""),"High")</f>
        <v>High</v>
      </c>
      <c r="O1059" s="1" t="str">
        <f ca="1">IFERROR(__xludf.DUMMYFUNCTION("""COMPUTED_VALUE"""),"Beside Building")</f>
        <v>Beside Building</v>
      </c>
      <c r="P1059" s="1" t="str">
        <f ca="1">IFERROR(__xludf.DUMMYFUNCTION("""COMPUTED_VALUE"""),"Outside on School Property")</f>
        <v>Outside on School Property</v>
      </c>
      <c r="Q1059" s="1" t="str">
        <f ca="1">IFERROR(__xludf.DUMMYFUNCTION("""COMPUTED_VALUE"""),"No")</f>
        <v>No</v>
      </c>
      <c r="R1059" s="1" t="str">
        <f ca="1">IFERROR(__xludf.DUMMYFUNCTION("""COMPUTED_VALUE"""),"Night")</f>
        <v>Night</v>
      </c>
      <c r="S1059" s="5">
        <f ca="1">IFERROR(__xludf.DUMMYFUNCTION("""COMPUTED_VALUE"""),0.884722222222222)</f>
        <v>0.88472222222222197</v>
      </c>
      <c r="T1059" s="1">
        <f ca="1">IFERROR(__xludf.DUMMYFUNCTION("""COMPUTED_VALUE"""),1)</f>
        <v>1</v>
      </c>
      <c r="U1059" s="1" t="str">
        <f ca="1">IFERROR(__xludf.DUMMYFUNCTION("""COMPUTED_VALUE"""),"Teen shot by police officer after pointing gun at the officers")</f>
        <v>Teen shot by police officer after pointing gun at the officers</v>
      </c>
      <c r="V1059" s="1" t="str">
        <f ca="1">IFERROR(__xludf.DUMMYFUNCTION("""COMPUTED_VALUE"""),"Police responded to the school for a 911 hang-up call for a person in distress. Officers found a 17 year-old male with a gun near the school. When officers approached, the teen pointed the gun at the officers who then fired and injured him. Teen was trans"&amp;"ported to the hospital with minor injuries.")</f>
        <v>Police responded to the school for a 911 hang-up call for a person in distress. Officers found a 17 year-old male with a gun near the school. When officers approached, the teen pointed the gun at the officers who then fired and injured him. Teen was transported to the hospital with minor injuries.</v>
      </c>
      <c r="W1059" s="1" t="str">
        <f ca="1">IFERROR(__xludf.DUMMYFUNCTION("""COMPUTED_VALUE"""),"Unknown")</f>
        <v>Unknown</v>
      </c>
      <c r="X1059" s="1" t="str">
        <f ca="1">IFERROR(__xludf.DUMMYFUNCTION("""COMPUTED_VALUE"""),"Neither")</f>
        <v>Neither</v>
      </c>
      <c r="Y1059" s="1" t="str">
        <f ca="1">IFERROR(__xludf.DUMMYFUNCTION("""COMPUTED_VALUE"""),"No")</f>
        <v>No</v>
      </c>
      <c r="Z1059" s="1"/>
      <c r="AA1059" s="1" t="str">
        <f ca="1">IFERROR(__xludf.DUMMYFUNCTION("""COMPUTED_VALUE"""),"No")</f>
        <v>No</v>
      </c>
      <c r="AB1059" s="1" t="str">
        <f ca="1">IFERROR(__xludf.DUMMYFUNCTION("""COMPUTED_VALUE"""),"No")</f>
        <v>No</v>
      </c>
      <c r="AC1059" s="1" t="str">
        <f ca="1">IFERROR(__xludf.DUMMYFUNCTION("""COMPUTED_VALUE"""),"Yes")</f>
        <v>Yes</v>
      </c>
      <c r="AD1059" s="1"/>
      <c r="AE1059" s="1" t="str">
        <f ca="1">IFERROR(__xludf.DUMMYFUNCTION("""COMPUTED_VALUE"""),"No")</f>
        <v>No</v>
      </c>
      <c r="AF1059" s="1"/>
      <c r="AG1059" s="1" t="str">
        <f ca="1">IFERROR(__xludf.DUMMYFUNCTION("""COMPUTED_VALUE"""),"No")</f>
        <v>No</v>
      </c>
      <c r="AH1059" s="1">
        <f ca="1">IFERROR(__xludf.DUMMYFUNCTION("""COMPUTED_VALUE"""),0)</f>
        <v>0</v>
      </c>
    </row>
    <row r="1060" spans="1:34" ht="12.5">
      <c r="A1060" s="1" t="str">
        <f ca="1">IFERROR(__xludf.DUMMYFUNCTION("""COMPUTED_VALUE"""),"20200727AZCAO")</f>
        <v>20200727AZCAO</v>
      </c>
      <c r="B1060" s="1">
        <f ca="1">IFERROR(__xludf.DUMMYFUNCTION("""COMPUTED_VALUE"""),7)</f>
        <v>7</v>
      </c>
      <c r="C1060" s="1">
        <f ca="1">IFERROR(__xludf.DUMMYFUNCTION("""COMPUTED_VALUE"""),27)</f>
        <v>27</v>
      </c>
      <c r="D1060" s="1">
        <f ca="1">IFERROR(__xludf.DUMMYFUNCTION("""COMPUTED_VALUE"""),2020)</f>
        <v>2020</v>
      </c>
      <c r="E1060" s="4">
        <f ca="1">IFERROR(__xludf.DUMMYFUNCTION("""COMPUTED_VALUE"""),44039)</f>
        <v>44039</v>
      </c>
      <c r="F1060" s="1" t="str">
        <f ca="1">IFERROR(__xludf.DUMMYFUNCTION("""COMPUTED_VALUE"""),"Canyon del Oro High School")</f>
        <v>Canyon del Oro High School</v>
      </c>
      <c r="G1060" s="1">
        <f ca="1">IFERROR(__xludf.DUMMYFUNCTION("""COMPUTED_VALUE"""),0)</f>
        <v>0</v>
      </c>
      <c r="H1060" s="1">
        <f ca="1">IFERROR(__xludf.DUMMYFUNCTION("""COMPUTED_VALUE"""),0)</f>
        <v>0</v>
      </c>
      <c r="I1060" s="1">
        <f ca="1">IFERROR(__xludf.DUMMYFUNCTION("""COMPUTED_VALUE"""),0)</f>
        <v>0</v>
      </c>
      <c r="J1060" s="1">
        <f ca="1">IFERROR(__xludf.DUMMYFUNCTION("""COMPUTED_VALUE"""),1)</f>
        <v>1</v>
      </c>
      <c r="K1060" s="1" t="str">
        <f ca="1">IFERROR(__xludf.DUMMYFUNCTION("""COMPUTED_VALUE"""),"Summer")</f>
        <v>Summer</v>
      </c>
      <c r="L1060" s="1" t="str">
        <f ca="1">IFERROR(__xludf.DUMMYFUNCTION("""COMPUTED_VALUE"""),"Oro Valley")</f>
        <v>Oro Valley</v>
      </c>
      <c r="M1060" s="1" t="str">
        <f ca="1">IFERROR(__xludf.DUMMYFUNCTION("""COMPUTED_VALUE"""),"AZ")</f>
        <v>AZ</v>
      </c>
      <c r="N1060" s="1" t="str">
        <f ca="1">IFERROR(__xludf.DUMMYFUNCTION("""COMPUTED_VALUE"""),"High")</f>
        <v>High</v>
      </c>
      <c r="O1060" s="1" t="str">
        <f ca="1">IFERROR(__xludf.DUMMYFUNCTION("""COMPUTED_VALUE"""),"Beside Building")</f>
        <v>Beside Building</v>
      </c>
      <c r="P1060" s="1" t="str">
        <f ca="1">IFERROR(__xludf.DUMMYFUNCTION("""COMPUTED_VALUE"""),"Outside on School Property")</f>
        <v>Outside on School Property</v>
      </c>
      <c r="Q1060" s="1" t="str">
        <f ca="1">IFERROR(__xludf.DUMMYFUNCTION("""COMPUTED_VALUE"""),"No")</f>
        <v>No</v>
      </c>
      <c r="R1060" s="1" t="str">
        <f ca="1">IFERROR(__xludf.DUMMYFUNCTION("""COMPUTED_VALUE"""),"Not a School Day")</f>
        <v>Not a School Day</v>
      </c>
      <c r="S1060" s="5">
        <f ca="1">IFERROR(__xludf.DUMMYFUNCTION("""COMPUTED_VALUE"""),0.666666666666666)</f>
        <v>0.66666666666666596</v>
      </c>
      <c r="T1060" s="1">
        <f ca="1">IFERROR(__xludf.DUMMYFUNCTION("""COMPUTED_VALUE"""),1)</f>
        <v>1</v>
      </c>
      <c r="U1060" s="1" t="str">
        <f ca="1">IFERROR(__xludf.DUMMYFUNCTION("""COMPUTED_VALUE"""),"Adult male construction work fatal shot self in leg")</f>
        <v>Adult male construction work fatal shot self in leg</v>
      </c>
      <c r="V1060" s="1" t="str">
        <f ca="1">IFERROR(__xludf.DUMMYFUNCTION("""COMPUTED_VALUE"""),"40 year-old male fatally shot himself (accident) while working on the roof of the school. School placed on lockdown when gun shot was reported. No students were present at the school.")</f>
        <v>40 year-old male fatally shot himself (accident) while working on the roof of the school. School placed on lockdown when gun shot was reported. No students were present at the school.</v>
      </c>
      <c r="W1060" s="1" t="str">
        <f ca="1">IFERROR(__xludf.DUMMYFUNCTION("""COMPUTED_VALUE"""),"Accidental")</f>
        <v>Accidental</v>
      </c>
      <c r="X1060" s="1" t="str">
        <f ca="1">IFERROR(__xludf.DUMMYFUNCTION("""COMPUTED_VALUE"""),"Neither")</f>
        <v>Neither</v>
      </c>
      <c r="Y1060" s="1" t="str">
        <f ca="1">IFERROR(__xludf.DUMMYFUNCTION("""COMPUTED_VALUE"""),"No")</f>
        <v>No</v>
      </c>
      <c r="Z1060" s="1"/>
      <c r="AA1060" s="1" t="str">
        <f ca="1">IFERROR(__xludf.DUMMYFUNCTION("""COMPUTED_VALUE"""),"No")</f>
        <v>No</v>
      </c>
      <c r="AB1060" s="1" t="str">
        <f ca="1">IFERROR(__xludf.DUMMYFUNCTION("""COMPUTED_VALUE"""),"No")</f>
        <v>No</v>
      </c>
      <c r="AC1060" s="1" t="str">
        <f ca="1">IFERROR(__xludf.DUMMYFUNCTION("""COMPUTED_VALUE"""),"No")</f>
        <v>No</v>
      </c>
      <c r="AD1060" s="1" t="str">
        <f ca="1">IFERROR(__xludf.DUMMYFUNCTION("""COMPUTED_VALUE"""),"No")</f>
        <v>No</v>
      </c>
      <c r="AE1060" s="1" t="str">
        <f ca="1">IFERROR(__xludf.DUMMYFUNCTION("""COMPUTED_VALUE"""),"No")</f>
        <v>No</v>
      </c>
      <c r="AF1060" s="1" t="str">
        <f ca="1">IFERROR(__xludf.DUMMYFUNCTION("""COMPUTED_VALUE"""),"No")</f>
        <v>No</v>
      </c>
      <c r="AG1060" s="1" t="str">
        <f ca="1">IFERROR(__xludf.DUMMYFUNCTION("""COMPUTED_VALUE"""),"No")</f>
        <v>No</v>
      </c>
      <c r="AH1060" s="1"/>
    </row>
    <row r="1061" spans="1:34" ht="12.5">
      <c r="A1061" s="1" t="str">
        <f ca="1">IFERROR(__xludf.DUMMYFUNCTION("""COMPUTED_VALUE"""),"20200721SCBRO")</f>
        <v>20200721SCBRO</v>
      </c>
      <c r="B1061" s="1">
        <f ca="1">IFERROR(__xludf.DUMMYFUNCTION("""COMPUTED_VALUE"""),7)</f>
        <v>7</v>
      </c>
      <c r="C1061" s="1">
        <f ca="1">IFERROR(__xludf.DUMMYFUNCTION("""COMPUTED_VALUE"""),21)</f>
        <v>21</v>
      </c>
      <c r="D1061" s="1">
        <f ca="1">IFERROR(__xludf.DUMMYFUNCTION("""COMPUTED_VALUE"""),2020)</f>
        <v>2020</v>
      </c>
      <c r="E1061" s="4">
        <f ca="1">IFERROR(__xludf.DUMMYFUNCTION("""COMPUTED_VALUE"""),44033)</f>
        <v>44033</v>
      </c>
      <c r="F1061" s="1" t="str">
        <f ca="1">IFERROR(__xludf.DUMMYFUNCTION("""COMPUTED_VALUE"""),"Brookdale Elementary School")</f>
        <v>Brookdale Elementary School</v>
      </c>
      <c r="G1061" s="1">
        <f ca="1">IFERROR(__xludf.DUMMYFUNCTION("""COMPUTED_VALUE"""),1)</f>
        <v>1</v>
      </c>
      <c r="H1061" s="1">
        <f ca="1">IFERROR(__xludf.DUMMYFUNCTION("""COMPUTED_VALUE"""),0)</f>
        <v>0</v>
      </c>
      <c r="I1061" s="1">
        <f ca="1">IFERROR(__xludf.DUMMYFUNCTION("""COMPUTED_VALUE"""),1)</f>
        <v>1</v>
      </c>
      <c r="J1061" s="1">
        <f ca="1">IFERROR(__xludf.DUMMYFUNCTION("""COMPUTED_VALUE"""),0)</f>
        <v>0</v>
      </c>
      <c r="K1061" s="1" t="str">
        <f ca="1">IFERROR(__xludf.DUMMYFUNCTION("""COMPUTED_VALUE"""),"Summer")</f>
        <v>Summer</v>
      </c>
      <c r="L1061" s="1" t="str">
        <f ca="1">IFERROR(__xludf.DUMMYFUNCTION("""COMPUTED_VALUE"""),"Orangeburg")</f>
        <v>Orangeburg</v>
      </c>
      <c r="M1061" s="1" t="str">
        <f ca="1">IFERROR(__xludf.DUMMYFUNCTION("""COMPUTED_VALUE"""),"SC")</f>
        <v>SC</v>
      </c>
      <c r="N1061" s="1" t="str">
        <f ca="1">IFERROR(__xludf.DUMMYFUNCTION("""COMPUTED_VALUE"""),"Elementary")</f>
        <v>Elementary</v>
      </c>
      <c r="O1061" s="1" t="str">
        <f ca="1">IFERROR(__xludf.DUMMYFUNCTION("""COMPUTED_VALUE"""),"Basketball Court")</f>
        <v>Basketball Court</v>
      </c>
      <c r="P1061" s="1" t="str">
        <f ca="1">IFERROR(__xludf.DUMMYFUNCTION("""COMPUTED_VALUE"""),"Outside on School Property")</f>
        <v>Outside on School Property</v>
      </c>
      <c r="Q1061" s="1" t="str">
        <f ca="1">IFERROR(__xludf.DUMMYFUNCTION("""COMPUTED_VALUE"""),"No")</f>
        <v>No</v>
      </c>
      <c r="R1061" s="1" t="str">
        <f ca="1">IFERROR(__xludf.DUMMYFUNCTION("""COMPUTED_VALUE"""),"Night")</f>
        <v>Night</v>
      </c>
      <c r="S1061" s="5">
        <f ca="1">IFERROR(__xludf.DUMMYFUNCTION("""COMPUTED_VALUE"""),0.875)</f>
        <v>0.875</v>
      </c>
      <c r="T1061" s="1">
        <f ca="1">IFERROR(__xludf.DUMMYFUNCTION("""COMPUTED_VALUE"""),1)</f>
        <v>1</v>
      </c>
      <c r="U1061" s="1" t="str">
        <f ca="1">IFERROR(__xludf.DUMMYFUNCTION("""COMPUTED_VALUE"""),"Adult male shot on school basketball court")</f>
        <v>Adult male shot on school basketball court</v>
      </c>
      <c r="V1061" s="1" t="str">
        <f ca="1">IFERROR(__xludf.DUMMYFUNCTION("""COMPUTED_VALUE"""),"28 year-old male victim was shot on the school basketball court. Shooter fled the area. Brother transported victim to the hospital where he died. Police searching for 21 year-old male shooter.")</f>
        <v>28 year-old male victim was shot on the school basketball court. Shooter fled the area. Brother transported victim to the hospital where he died. Police searching for 21 year-old male shooter.</v>
      </c>
      <c r="W1061" s="1" t="str">
        <f ca="1">IFERROR(__xludf.DUMMYFUNCTION("""COMPUTED_VALUE"""),"Escalation of Dispute")</f>
        <v>Escalation of Dispute</v>
      </c>
      <c r="X1061" s="1"/>
      <c r="Y1061" s="1" t="str">
        <f ca="1">IFERROR(__xludf.DUMMYFUNCTION("""COMPUTED_VALUE"""),"No")</f>
        <v>No</v>
      </c>
      <c r="Z1061" s="1"/>
      <c r="AA1061" s="1" t="str">
        <f ca="1">IFERROR(__xludf.DUMMYFUNCTION("""COMPUTED_VALUE"""),"No")</f>
        <v>No</v>
      </c>
      <c r="AB1061" s="1" t="str">
        <f ca="1">IFERROR(__xludf.DUMMYFUNCTION("""COMPUTED_VALUE"""),"No")</f>
        <v>No</v>
      </c>
      <c r="AC1061" s="1" t="str">
        <f ca="1">IFERROR(__xludf.DUMMYFUNCTION("""COMPUTED_VALUE"""),"No")</f>
        <v>No</v>
      </c>
      <c r="AD1061" s="1" t="str">
        <f ca="1">IFERROR(__xludf.DUMMYFUNCTION("""COMPUTED_VALUE"""),"No")</f>
        <v>No</v>
      </c>
      <c r="AE1061" s="1" t="str">
        <f ca="1">IFERROR(__xludf.DUMMYFUNCTION("""COMPUTED_VALUE"""),"No")</f>
        <v>No</v>
      </c>
      <c r="AF1061" s="1"/>
      <c r="AG1061" s="1" t="str">
        <f ca="1">IFERROR(__xludf.DUMMYFUNCTION("""COMPUTED_VALUE"""),"No")</f>
        <v>No</v>
      </c>
      <c r="AH1061" s="1"/>
    </row>
    <row r="1062" spans="1:34" ht="12.5">
      <c r="A1062" s="1" t="str">
        <f ca="1">IFERROR(__xludf.DUMMYFUNCTION("""COMPUTED_VALUE"""),"20200714MIWID")</f>
        <v>20200714MIWID</v>
      </c>
      <c r="B1062" s="1">
        <f ca="1">IFERROR(__xludf.DUMMYFUNCTION("""COMPUTED_VALUE"""),7)</f>
        <v>7</v>
      </c>
      <c r="C1062" s="1">
        <f ca="1">IFERROR(__xludf.DUMMYFUNCTION("""COMPUTED_VALUE"""),14)</f>
        <v>14</v>
      </c>
      <c r="D1062" s="1">
        <f ca="1">IFERROR(__xludf.DUMMYFUNCTION("""COMPUTED_VALUE"""),2020)</f>
        <v>2020</v>
      </c>
      <c r="E1062" s="4">
        <f ca="1">IFERROR(__xludf.DUMMYFUNCTION("""COMPUTED_VALUE"""),44026)</f>
        <v>44026</v>
      </c>
      <c r="F1062" s="1" t="str">
        <f ca="1">IFERROR(__xludf.DUMMYFUNCTION("""COMPUTED_VALUE"""),"Willow Woods Elementary School")</f>
        <v>Willow Woods Elementary School</v>
      </c>
      <c r="G1062" s="1">
        <f ca="1">IFERROR(__xludf.DUMMYFUNCTION("""COMPUTED_VALUE"""),0)</f>
        <v>0</v>
      </c>
      <c r="H1062" s="1">
        <f ca="1">IFERROR(__xludf.DUMMYFUNCTION("""COMPUTED_VALUE"""),0)</f>
        <v>0</v>
      </c>
      <c r="I1062" s="1">
        <f ca="1">IFERROR(__xludf.DUMMYFUNCTION("""COMPUTED_VALUE"""),0)</f>
        <v>0</v>
      </c>
      <c r="J1062" s="1">
        <f ca="1">IFERROR(__xludf.DUMMYFUNCTION("""COMPUTED_VALUE"""),0)</f>
        <v>0</v>
      </c>
      <c r="K1062" s="1" t="str">
        <f ca="1">IFERROR(__xludf.DUMMYFUNCTION("""COMPUTED_VALUE"""),"Summer")</f>
        <v>Summer</v>
      </c>
      <c r="L1062" s="1" t="str">
        <f ca="1">IFERROR(__xludf.DUMMYFUNCTION("""COMPUTED_VALUE"""),"Detroit")</f>
        <v>Detroit</v>
      </c>
      <c r="M1062" s="1" t="str">
        <f ca="1">IFERROR(__xludf.DUMMYFUNCTION("""COMPUTED_VALUE"""),"MI")</f>
        <v>MI</v>
      </c>
      <c r="N1062" s="1" t="str">
        <f ca="1">IFERROR(__xludf.DUMMYFUNCTION("""COMPUTED_VALUE"""),"Elementary")</f>
        <v>Elementary</v>
      </c>
      <c r="O1062" s="1" t="str">
        <f ca="1">IFERROR(__xludf.DUMMYFUNCTION("""COMPUTED_VALUE"""),"Parking Lot")</f>
        <v>Parking Lot</v>
      </c>
      <c r="P1062" s="1" t="str">
        <f ca="1">IFERROR(__xludf.DUMMYFUNCTION("""COMPUTED_VALUE"""),"Outside on School Property")</f>
        <v>Outside on School Property</v>
      </c>
      <c r="Q1062" s="1" t="str">
        <f ca="1">IFERROR(__xludf.DUMMYFUNCTION("""COMPUTED_VALUE"""),"No")</f>
        <v>No</v>
      </c>
      <c r="R1062" s="1" t="str">
        <f ca="1">IFERROR(__xludf.DUMMYFUNCTION("""COMPUTED_VALUE"""),"Not a School Day")</f>
        <v>Not a School Day</v>
      </c>
      <c r="S1062" s="1"/>
      <c r="T1062" s="1">
        <f ca="1">IFERROR(__xludf.DUMMYFUNCTION("""COMPUTED_VALUE"""),1)</f>
        <v>1</v>
      </c>
      <c r="U1062" s="1" t="str">
        <f ca="1">IFERROR(__xludf.DUMMYFUNCTION("""COMPUTED_VALUE"""),"Shots fired into the air during fight between two men")</f>
        <v>Shots fired into the air during fight between two men</v>
      </c>
      <c r="V1062" s="1" t="str">
        <f ca="1">IFERROR(__xludf.DUMMYFUNCTION("""COMPUTED_VALUE"""),"Shots fired into the air between two men who police reported are not related to the school. School was not in session. Both men fled the scene.")</f>
        <v>Shots fired into the air between two men who police reported are not related to the school. School was not in session. Both men fled the scene.</v>
      </c>
      <c r="W1062" s="1" t="str">
        <f ca="1">IFERROR(__xludf.DUMMYFUNCTION("""COMPUTED_VALUE"""),"Escalation of Dispute")</f>
        <v>Escalation of Dispute</v>
      </c>
      <c r="X1062" s="1" t="str">
        <f ca="1">IFERROR(__xludf.DUMMYFUNCTION("""COMPUTED_VALUE"""),"Neither")</f>
        <v>Neither</v>
      </c>
      <c r="Y1062" s="1" t="str">
        <f ca="1">IFERROR(__xludf.DUMMYFUNCTION("""COMPUTED_VALUE"""),"No")</f>
        <v>No</v>
      </c>
      <c r="Z1062" s="1"/>
      <c r="AA1062" s="1" t="str">
        <f ca="1">IFERROR(__xludf.DUMMYFUNCTION("""COMPUTED_VALUE"""),"No")</f>
        <v>No</v>
      </c>
      <c r="AB1062" s="1" t="str">
        <f ca="1">IFERROR(__xludf.DUMMYFUNCTION("""COMPUTED_VALUE"""),"No")</f>
        <v>No</v>
      </c>
      <c r="AC1062" s="1" t="str">
        <f ca="1">IFERROR(__xludf.DUMMYFUNCTION("""COMPUTED_VALUE"""),"No")</f>
        <v>No</v>
      </c>
      <c r="AD1062" s="1" t="str">
        <f ca="1">IFERROR(__xludf.DUMMYFUNCTION("""COMPUTED_VALUE"""),"No")</f>
        <v>No</v>
      </c>
      <c r="AE1062" s="1" t="str">
        <f ca="1">IFERROR(__xludf.DUMMYFUNCTION("""COMPUTED_VALUE"""),"No")</f>
        <v>No</v>
      </c>
      <c r="AF1062" s="1" t="str">
        <f ca="1">IFERROR(__xludf.DUMMYFUNCTION("""COMPUTED_VALUE"""),"No")</f>
        <v>No</v>
      </c>
      <c r="AG1062" s="1" t="str">
        <f ca="1">IFERROR(__xludf.DUMMYFUNCTION("""COMPUTED_VALUE"""),"No")</f>
        <v>No</v>
      </c>
      <c r="AH1062" s="1"/>
    </row>
    <row r="1063" spans="1:34" ht="12.5">
      <c r="A1063" s="1" t="str">
        <f ca="1">IFERROR(__xludf.DUMMYFUNCTION("""COMPUTED_VALUE"""),"20200704INLAM")</f>
        <v>20200704INLAM</v>
      </c>
      <c r="B1063" s="1">
        <f ca="1">IFERROR(__xludf.DUMMYFUNCTION("""COMPUTED_VALUE"""),7)</f>
        <v>7</v>
      </c>
      <c r="C1063" s="1">
        <f ca="1">IFERROR(__xludf.DUMMYFUNCTION("""COMPUTED_VALUE"""),4)</f>
        <v>4</v>
      </c>
      <c r="D1063" s="1">
        <f ca="1">IFERROR(__xludf.DUMMYFUNCTION("""COMPUTED_VALUE"""),2020)</f>
        <v>2020</v>
      </c>
      <c r="E1063" s="4">
        <f ca="1">IFERROR(__xludf.DUMMYFUNCTION("""COMPUTED_VALUE"""),44016)</f>
        <v>44016</v>
      </c>
      <c r="F1063" s="1" t="str">
        <f ca="1">IFERROR(__xludf.DUMMYFUNCTION("""COMPUTED_VALUE"""),"Lake Hills Elementary School")</f>
        <v>Lake Hills Elementary School</v>
      </c>
      <c r="G1063" s="1">
        <f ca="1">IFERROR(__xludf.DUMMYFUNCTION("""COMPUTED_VALUE"""),1)</f>
        <v>1</v>
      </c>
      <c r="H1063" s="1">
        <f ca="1">IFERROR(__xludf.DUMMYFUNCTION("""COMPUTED_VALUE"""),0)</f>
        <v>0</v>
      </c>
      <c r="I1063" s="1">
        <f ca="1">IFERROR(__xludf.DUMMYFUNCTION("""COMPUTED_VALUE"""),1)</f>
        <v>1</v>
      </c>
      <c r="J1063" s="1">
        <f ca="1">IFERROR(__xludf.DUMMYFUNCTION("""COMPUTED_VALUE"""),0)</f>
        <v>0</v>
      </c>
      <c r="K1063" s="1" t="str">
        <f ca="1">IFERROR(__xludf.DUMMYFUNCTION("""COMPUTED_VALUE"""),"Summer")</f>
        <v>Summer</v>
      </c>
      <c r="L1063" s="1" t="str">
        <f ca="1">IFERROR(__xludf.DUMMYFUNCTION("""COMPUTED_VALUE"""),"Michigan City")</f>
        <v>Michigan City</v>
      </c>
      <c r="M1063" s="1" t="str">
        <f ca="1">IFERROR(__xludf.DUMMYFUNCTION("""COMPUTED_VALUE"""),"IN")</f>
        <v>IN</v>
      </c>
      <c r="N1063" s="1" t="str">
        <f ca="1">IFERROR(__xludf.DUMMYFUNCTION("""COMPUTED_VALUE"""),"Elementary")</f>
        <v>Elementary</v>
      </c>
      <c r="O1063" s="1" t="str">
        <f ca="1">IFERROR(__xludf.DUMMYFUNCTION("""COMPUTED_VALUE"""),"Parking Lot")</f>
        <v>Parking Lot</v>
      </c>
      <c r="P1063" s="1" t="str">
        <f ca="1">IFERROR(__xludf.DUMMYFUNCTION("""COMPUTED_VALUE"""),"Outside on School Property")</f>
        <v>Outside on School Property</v>
      </c>
      <c r="Q1063" s="1" t="str">
        <f ca="1">IFERROR(__xludf.DUMMYFUNCTION("""COMPUTED_VALUE"""),"No")</f>
        <v>No</v>
      </c>
      <c r="R1063" s="1" t="str">
        <f ca="1">IFERROR(__xludf.DUMMYFUNCTION("""COMPUTED_VALUE"""),"Night")</f>
        <v>Night</v>
      </c>
      <c r="S1063" s="1"/>
      <c r="T1063" s="1">
        <f ca="1">IFERROR(__xludf.DUMMYFUNCTION("""COMPUTED_VALUE"""),1)</f>
        <v>1</v>
      </c>
      <c r="U1063" s="1" t="str">
        <f ca="1">IFERROR(__xludf.DUMMYFUNCTION("""COMPUTED_VALUE"""),"Adult male fired shot during exchange of stolen cellphone")</f>
        <v>Adult male fired shot during exchange of stolen cellphone</v>
      </c>
      <c r="V1063" s="1" t="str">
        <f ca="1">IFERROR(__xludf.DUMMYFUNCTION("""COMPUTED_VALUE"""),"22 year-old male was involved in a prior assualt and theft of a cell phone. The victim tracked the phone and arranged to meet the shooter in the school parking lot. During the exchange of the phone, he fired a shot at a 22 year-old male victim who was wit"&amp;"h the woman. Shooter than chased the victim in his vehicle. The victim was fatally shot and crashed his vehicle away from the school. Shooter was arrested 2 weeks later after investigation.")</f>
        <v>22 year-old male was involved in a prior assualt and theft of a cell phone. The victim tracked the phone and arranged to meet the shooter in the school parking lot. During the exchange of the phone, he fired a shot at a 22 year-old male victim who was with the woman. Shooter than chased the victim in his vehicle. The victim was fatally shot and crashed his vehicle away from the school. Shooter was arrested 2 weeks later after investigation.</v>
      </c>
      <c r="W1063" s="1" t="str">
        <f ca="1">IFERROR(__xludf.DUMMYFUNCTION("""COMPUTED_VALUE"""),"Illegal Activity")</f>
        <v>Illegal Activity</v>
      </c>
      <c r="X1063" s="1" t="str">
        <f ca="1">IFERROR(__xludf.DUMMYFUNCTION("""COMPUTED_VALUE"""),"Victims Targeted")</f>
        <v>Victims Targeted</v>
      </c>
      <c r="Y1063" s="1" t="str">
        <f ca="1">IFERROR(__xludf.DUMMYFUNCTION("""COMPUTED_VALUE"""),"No")</f>
        <v>No</v>
      </c>
      <c r="Z1063" s="1"/>
      <c r="AA1063" s="1" t="str">
        <f ca="1">IFERROR(__xludf.DUMMYFUNCTION("""COMPUTED_VALUE"""),"No")</f>
        <v>No</v>
      </c>
      <c r="AB1063" s="1" t="str">
        <f ca="1">IFERROR(__xludf.DUMMYFUNCTION("""COMPUTED_VALUE"""),"No")</f>
        <v>No</v>
      </c>
      <c r="AC1063" s="1" t="str">
        <f ca="1">IFERROR(__xludf.DUMMYFUNCTION("""COMPUTED_VALUE"""),"No")</f>
        <v>No</v>
      </c>
      <c r="AD1063" s="1" t="str">
        <f ca="1">IFERROR(__xludf.DUMMYFUNCTION("""COMPUTED_VALUE"""),"No")</f>
        <v>No</v>
      </c>
      <c r="AE1063" s="1" t="str">
        <f ca="1">IFERROR(__xludf.DUMMYFUNCTION("""COMPUTED_VALUE"""),"No")</f>
        <v>No</v>
      </c>
      <c r="AF1063" s="1" t="str">
        <f ca="1">IFERROR(__xludf.DUMMYFUNCTION("""COMPUTED_VALUE"""),"No")</f>
        <v>No</v>
      </c>
      <c r="AG1063" s="1" t="str">
        <f ca="1">IFERROR(__xludf.DUMMYFUNCTION("""COMPUTED_VALUE"""),"No")</f>
        <v>No</v>
      </c>
      <c r="AH1063" s="1"/>
    </row>
    <row r="1064" spans="1:34" ht="12.5">
      <c r="A1064" s="1" t="str">
        <f ca="1">IFERROR(__xludf.DUMMYFUNCTION("""COMPUTED_VALUE"""),"20200701ILFRP")</f>
        <v>20200701ILFRP</v>
      </c>
      <c r="B1064" s="1">
        <f ca="1">IFERROR(__xludf.DUMMYFUNCTION("""COMPUTED_VALUE"""),7)</f>
        <v>7</v>
      </c>
      <c r="C1064" s="1">
        <f ca="1">IFERROR(__xludf.DUMMYFUNCTION("""COMPUTED_VALUE"""),1)</f>
        <v>1</v>
      </c>
      <c r="D1064" s="1">
        <f ca="1">IFERROR(__xludf.DUMMYFUNCTION("""COMPUTED_VALUE"""),2020)</f>
        <v>2020</v>
      </c>
      <c r="E1064" s="4">
        <f ca="1">IFERROR(__xludf.DUMMYFUNCTION("""COMPUTED_VALUE"""),44013)</f>
        <v>44013</v>
      </c>
      <c r="F1064" s="1" t="str">
        <f ca="1">IFERROR(__xludf.DUMMYFUNCTION("""COMPUTED_VALUE"""),"Frost Elementary School")</f>
        <v>Frost Elementary School</v>
      </c>
      <c r="G1064" s="1">
        <f ca="1">IFERROR(__xludf.DUMMYFUNCTION("""COMPUTED_VALUE"""),0)</f>
        <v>0</v>
      </c>
      <c r="H1064" s="1">
        <f ca="1">IFERROR(__xludf.DUMMYFUNCTION("""COMPUTED_VALUE"""),0)</f>
        <v>0</v>
      </c>
      <c r="I1064" s="1">
        <f ca="1">IFERROR(__xludf.DUMMYFUNCTION("""COMPUTED_VALUE"""),0)</f>
        <v>0</v>
      </c>
      <c r="J1064" s="1">
        <f ca="1">IFERROR(__xludf.DUMMYFUNCTION("""COMPUTED_VALUE"""),0)</f>
        <v>0</v>
      </c>
      <c r="K1064" s="1" t="str">
        <f ca="1">IFERROR(__xludf.DUMMYFUNCTION("""COMPUTED_VALUE"""),"Summer")</f>
        <v>Summer</v>
      </c>
      <c r="L1064" s="1" t="str">
        <f ca="1">IFERROR(__xludf.DUMMYFUNCTION("""COMPUTED_VALUE"""),"Prospect Heights")</f>
        <v>Prospect Heights</v>
      </c>
      <c r="M1064" s="1" t="str">
        <f ca="1">IFERROR(__xludf.DUMMYFUNCTION("""COMPUTED_VALUE"""),"IL")</f>
        <v>IL</v>
      </c>
      <c r="N1064" s="1" t="str">
        <f ca="1">IFERROR(__xludf.DUMMYFUNCTION("""COMPUTED_VALUE"""),"Elementary")</f>
        <v>Elementary</v>
      </c>
      <c r="O1064" s="1" t="str">
        <f ca="1">IFERROR(__xludf.DUMMYFUNCTION("""COMPUTED_VALUE"""),"Parking Lot")</f>
        <v>Parking Lot</v>
      </c>
      <c r="P1064" s="1" t="str">
        <f ca="1">IFERROR(__xludf.DUMMYFUNCTION("""COMPUTED_VALUE"""),"Outside on School Property")</f>
        <v>Outside on School Property</v>
      </c>
      <c r="Q1064" s="1" t="str">
        <f ca="1">IFERROR(__xludf.DUMMYFUNCTION("""COMPUTED_VALUE"""),"No")</f>
        <v>No</v>
      </c>
      <c r="R1064" s="1" t="str">
        <f ca="1">IFERROR(__xludf.DUMMYFUNCTION("""COMPUTED_VALUE"""),"Not a School Day")</f>
        <v>Not a School Day</v>
      </c>
      <c r="S1064" s="5">
        <f ca="1">IFERROR(__xludf.DUMMYFUNCTION("""COMPUTED_VALUE"""),0.690972222222222)</f>
        <v>0.69097222222222199</v>
      </c>
      <c r="T1064" s="1">
        <f ca="1">IFERROR(__xludf.DUMMYFUNCTION("""COMPUTED_VALUE"""),1)</f>
        <v>1</v>
      </c>
      <c r="U1064" s="1" t="str">
        <f ca="1">IFERROR(__xludf.DUMMYFUNCTION("""COMPUTED_VALUE"""),"Adult male fired shot from vehicle at 4 people")</f>
        <v>Adult male fired shot from vehicle at 4 people</v>
      </c>
      <c r="V1064" s="1" t="str">
        <f ca="1">IFERROR(__xludf.DUMMYFUNCTION("""COMPUTED_VALUE"""),"25 year-old male fired shots from a vehicle at 4 people near the school and then fled the scene. Later arrested. Driver also charged. Police said the shooting is gang related.")</f>
        <v>25 year-old male fired shots from a vehicle at 4 people near the school and then fled the scene. Later arrested. Driver also charged. Police said the shooting is gang related.</v>
      </c>
      <c r="W1064" s="1" t="str">
        <f ca="1">IFERROR(__xludf.DUMMYFUNCTION("""COMPUTED_VALUE"""),"Drive-by Shooting")</f>
        <v>Drive-by Shooting</v>
      </c>
      <c r="X1064" s="1"/>
      <c r="Y1064" s="1" t="str">
        <f ca="1">IFERROR(__xludf.DUMMYFUNCTION("""COMPUTED_VALUE"""),"Yes")</f>
        <v>Yes</v>
      </c>
      <c r="Z1064" s="1" t="str">
        <f ca="1">IFERROR(__xludf.DUMMYFUNCTION("""COMPUTED_VALUE"""),"Unnamed driver charged")</f>
        <v>Unnamed driver charged</v>
      </c>
      <c r="AA1064" s="1" t="str">
        <f ca="1">IFERROR(__xludf.DUMMYFUNCTION("""COMPUTED_VALUE"""),"No")</f>
        <v>No</v>
      </c>
      <c r="AB1064" s="1" t="str">
        <f ca="1">IFERROR(__xludf.DUMMYFUNCTION("""COMPUTED_VALUE"""),"No")</f>
        <v>No</v>
      </c>
      <c r="AC1064" s="1" t="str">
        <f ca="1">IFERROR(__xludf.DUMMYFUNCTION("""COMPUTED_VALUE"""),"No")</f>
        <v>No</v>
      </c>
      <c r="AD1064" s="1" t="str">
        <f ca="1">IFERROR(__xludf.DUMMYFUNCTION("""COMPUTED_VALUE"""),"No")</f>
        <v>No</v>
      </c>
      <c r="AE1064" s="1" t="str">
        <f ca="1">IFERROR(__xludf.DUMMYFUNCTION("""COMPUTED_VALUE"""),"No")</f>
        <v>No</v>
      </c>
      <c r="AF1064" s="1" t="str">
        <f ca="1">IFERROR(__xludf.DUMMYFUNCTION("""COMPUTED_VALUE"""),"Yes")</f>
        <v>Yes</v>
      </c>
      <c r="AG1064" s="1" t="str">
        <f ca="1">IFERROR(__xludf.DUMMYFUNCTION("""COMPUTED_VALUE"""),"No")</f>
        <v>No</v>
      </c>
      <c r="AH1064" s="1"/>
    </row>
    <row r="1065" spans="1:34" ht="12.5">
      <c r="A1065" s="1" t="str">
        <f ca="1">IFERROR(__xludf.DUMMYFUNCTION("""COMPUTED_VALUE"""),"20200630OHLAW")</f>
        <v>20200630OHLAW</v>
      </c>
      <c r="B1065" s="1">
        <f ca="1">IFERROR(__xludf.DUMMYFUNCTION("""COMPUTED_VALUE"""),6)</f>
        <v>6</v>
      </c>
      <c r="C1065" s="1">
        <f ca="1">IFERROR(__xludf.DUMMYFUNCTION("""COMPUTED_VALUE"""),30)</f>
        <v>30</v>
      </c>
      <c r="D1065" s="1">
        <f ca="1">IFERROR(__xludf.DUMMYFUNCTION("""COMPUTED_VALUE"""),2020)</f>
        <v>2020</v>
      </c>
      <c r="E1065" s="4">
        <f ca="1">IFERROR(__xludf.DUMMYFUNCTION("""COMPUTED_VALUE"""),44012)</f>
        <v>44012</v>
      </c>
      <c r="F1065" s="1" t="str">
        <f ca="1">IFERROR(__xludf.DUMMYFUNCTION("""COMPUTED_VALUE"""),"Lakota Career Readiness Academy")</f>
        <v>Lakota Career Readiness Academy</v>
      </c>
      <c r="G1065" s="1">
        <f ca="1">IFERROR(__xludf.DUMMYFUNCTION("""COMPUTED_VALUE"""),0)</f>
        <v>0</v>
      </c>
      <c r="H1065" s="1">
        <f ca="1">IFERROR(__xludf.DUMMYFUNCTION("""COMPUTED_VALUE"""),0)</f>
        <v>0</v>
      </c>
      <c r="I1065" s="1">
        <f ca="1">IFERROR(__xludf.DUMMYFUNCTION("""COMPUTED_VALUE"""),0)</f>
        <v>0</v>
      </c>
      <c r="J1065" s="1">
        <f ca="1">IFERROR(__xludf.DUMMYFUNCTION("""COMPUTED_VALUE"""),0)</f>
        <v>0</v>
      </c>
      <c r="K1065" s="1" t="str">
        <f ca="1">IFERROR(__xludf.DUMMYFUNCTION("""COMPUTED_VALUE"""),"Summer")</f>
        <v>Summer</v>
      </c>
      <c r="L1065" s="1" t="str">
        <f ca="1">IFERROR(__xludf.DUMMYFUNCTION("""COMPUTED_VALUE"""),"West Chester Township")</f>
        <v>West Chester Township</v>
      </c>
      <c r="M1065" s="1" t="str">
        <f ca="1">IFERROR(__xludf.DUMMYFUNCTION("""COMPUTED_VALUE"""),"OH")</f>
        <v>OH</v>
      </c>
      <c r="N1065" s="1" t="str">
        <f ca="1">IFERROR(__xludf.DUMMYFUNCTION("""COMPUTED_VALUE"""),"K-12")</f>
        <v>K-12</v>
      </c>
      <c r="O1065" s="1" t="str">
        <f ca="1">IFERROR(__xludf.DUMMYFUNCTION("""COMPUTED_VALUE"""),"Front of School")</f>
        <v>Front of School</v>
      </c>
      <c r="P1065" s="1" t="str">
        <f ca="1">IFERROR(__xludf.DUMMYFUNCTION("""COMPUTED_VALUE"""),"Outside on School Property")</f>
        <v>Outside on School Property</v>
      </c>
      <c r="Q1065" s="1" t="str">
        <f ca="1">IFERROR(__xludf.DUMMYFUNCTION("""COMPUTED_VALUE"""),"No")</f>
        <v>No</v>
      </c>
      <c r="R1065" s="1" t="str">
        <f ca="1">IFERROR(__xludf.DUMMYFUNCTION("""COMPUTED_VALUE"""),"Before School")</f>
        <v>Before School</v>
      </c>
      <c r="S1065" s="1"/>
      <c r="T1065" s="1"/>
      <c r="U1065" s="1" t="str">
        <f ca="1">IFERROR(__xludf.DUMMYFUNCTION("""COMPUTED_VALUE"""),"Adult male with AK-47 shot the front glass doors of the school")</f>
        <v>Adult male with AK-47 shot the front glass doors of the school</v>
      </c>
      <c r="V1065" s="1" t="str">
        <f ca="1">IFERROR(__xludf.DUMMYFUNCTION("""COMPUTED_VALUE"""),"19 year-old male fired shot with an AK-47 style rifle breaking the glass front doors to the school. Shooting occurred in the early morning before the school opened. No injuries. Shooter charged of improperly discharging a firearm into a school, vandalism,"&amp;" and a gun charge. Shooter fled the scene and arrested later following identification with CCTV footage.")</f>
        <v>19 year-old male fired shot with an AK-47 style rifle breaking the glass front doors to the school. Shooting occurred in the early morning before the school opened. No injuries. Shooter charged of improperly discharging a firearm into a school, vandalism, and a gun charge. Shooter fled the scene and arrested later following identification with CCTV footage.</v>
      </c>
      <c r="W1065" s="1" t="str">
        <f ca="1">IFERROR(__xludf.DUMMYFUNCTION("""COMPUTED_VALUE"""),"Intentional Property Damage")</f>
        <v>Intentional Property Damage</v>
      </c>
      <c r="X1065" s="1" t="str">
        <f ca="1">IFERROR(__xludf.DUMMYFUNCTION("""COMPUTED_VALUE"""),"Neither")</f>
        <v>Neither</v>
      </c>
      <c r="Y1065" s="1" t="str">
        <f ca="1">IFERROR(__xludf.DUMMYFUNCTION("""COMPUTED_VALUE"""),"No")</f>
        <v>No</v>
      </c>
      <c r="Z1065" s="1"/>
      <c r="AA1065" s="1" t="str">
        <f ca="1">IFERROR(__xludf.DUMMYFUNCTION("""COMPUTED_VALUE"""),"No")</f>
        <v>No</v>
      </c>
      <c r="AB1065" s="1" t="str">
        <f ca="1">IFERROR(__xludf.DUMMYFUNCTION("""COMPUTED_VALUE"""),"No")</f>
        <v>No</v>
      </c>
      <c r="AC1065" s="1" t="str">
        <f ca="1">IFERROR(__xludf.DUMMYFUNCTION("""COMPUTED_VALUE"""),"No")</f>
        <v>No</v>
      </c>
      <c r="AD1065" s="1" t="str">
        <f ca="1">IFERROR(__xludf.DUMMYFUNCTION("""COMPUTED_VALUE"""),"No")</f>
        <v>No</v>
      </c>
      <c r="AE1065" s="1" t="str">
        <f ca="1">IFERROR(__xludf.DUMMYFUNCTION("""COMPUTED_VALUE"""),"No")</f>
        <v>No</v>
      </c>
      <c r="AF1065" s="1" t="str">
        <f ca="1">IFERROR(__xludf.DUMMYFUNCTION("""COMPUTED_VALUE"""),"No")</f>
        <v>No</v>
      </c>
      <c r="AG1065" s="1" t="str">
        <f ca="1">IFERROR(__xludf.DUMMYFUNCTION("""COMPUTED_VALUE"""),"No")</f>
        <v>No</v>
      </c>
      <c r="AH1065" s="1"/>
    </row>
    <row r="1066" spans="1:34" ht="12.5">
      <c r="A1066" s="1" t="str">
        <f ca="1">IFERROR(__xludf.DUMMYFUNCTION("""COMPUTED_VALUE"""),"20200627VAHAS")</f>
        <v>20200627VAHAS</v>
      </c>
      <c r="B1066" s="1">
        <f ca="1">IFERROR(__xludf.DUMMYFUNCTION("""COMPUTED_VALUE"""),6)</f>
        <v>6</v>
      </c>
      <c r="C1066" s="1">
        <f ca="1">IFERROR(__xludf.DUMMYFUNCTION("""COMPUTED_VALUE"""),27)</f>
        <v>27</v>
      </c>
      <c r="D1066" s="1">
        <f ca="1">IFERROR(__xludf.DUMMYFUNCTION("""COMPUTED_VALUE"""),2020)</f>
        <v>2020</v>
      </c>
      <c r="E1066" s="4">
        <f ca="1">IFERROR(__xludf.DUMMYFUNCTION("""COMPUTED_VALUE"""),44009)</f>
        <v>44009</v>
      </c>
      <c r="F1066" s="1" t="str">
        <f ca="1">IFERROR(__xludf.DUMMYFUNCTION("""COMPUTED_VALUE"""),"Halifax County Middle School")</f>
        <v>Halifax County Middle School</v>
      </c>
      <c r="G1066" s="1">
        <f ca="1">IFERROR(__xludf.DUMMYFUNCTION("""COMPUTED_VALUE"""),0)</f>
        <v>0</v>
      </c>
      <c r="H1066" s="1">
        <f ca="1">IFERROR(__xludf.DUMMYFUNCTION("""COMPUTED_VALUE"""),0)</f>
        <v>0</v>
      </c>
      <c r="I1066" s="1">
        <f ca="1">IFERROR(__xludf.DUMMYFUNCTION("""COMPUTED_VALUE"""),0)</f>
        <v>0</v>
      </c>
      <c r="J1066" s="1">
        <f ca="1">IFERROR(__xludf.DUMMYFUNCTION("""COMPUTED_VALUE"""),0)</f>
        <v>0</v>
      </c>
      <c r="K1066" s="1" t="str">
        <f ca="1">IFERROR(__xludf.DUMMYFUNCTION("""COMPUTED_VALUE"""),"Summer")</f>
        <v>Summer</v>
      </c>
      <c r="L1066" s="1" t="str">
        <f ca="1">IFERROR(__xludf.DUMMYFUNCTION("""COMPUTED_VALUE"""),"South Boston")</f>
        <v>South Boston</v>
      </c>
      <c r="M1066" s="1" t="str">
        <f ca="1">IFERROR(__xludf.DUMMYFUNCTION("""COMPUTED_VALUE"""),"VA")</f>
        <v>VA</v>
      </c>
      <c r="N1066" s="1" t="str">
        <f ca="1">IFERROR(__xludf.DUMMYFUNCTION("""COMPUTED_VALUE"""),"Middle")</f>
        <v>Middle</v>
      </c>
      <c r="O1066" s="1" t="str">
        <f ca="1">IFERROR(__xludf.DUMMYFUNCTION("""COMPUTED_VALUE"""),"Football Field/Track")</f>
        <v>Football Field/Track</v>
      </c>
      <c r="P1066" s="1" t="str">
        <f ca="1">IFERROR(__xludf.DUMMYFUNCTION("""COMPUTED_VALUE"""),"Outside on School Property")</f>
        <v>Outside on School Property</v>
      </c>
      <c r="Q1066" s="1" t="str">
        <f ca="1">IFERROR(__xludf.DUMMYFUNCTION("""COMPUTED_VALUE"""),"No")</f>
        <v>No</v>
      </c>
      <c r="R1066" s="1" t="str">
        <f ca="1">IFERROR(__xludf.DUMMYFUNCTION("""COMPUTED_VALUE"""),"Night")</f>
        <v>Night</v>
      </c>
      <c r="S1066" s="5">
        <f ca="1">IFERROR(__xludf.DUMMYFUNCTION("""COMPUTED_VALUE"""),0.916666666666666)</f>
        <v>0.91666666666666596</v>
      </c>
      <c r="T1066" s="1">
        <f ca="1">IFERROR(__xludf.DUMMYFUNCTION("""COMPUTED_VALUE"""),1)</f>
        <v>1</v>
      </c>
      <c r="U1066" s="1" t="str">
        <f ca="1">IFERROR(__xludf.DUMMYFUNCTION("""COMPUTED_VALUE"""),"Teen fired shot during large fight between multiple teens and adults on school football field")</f>
        <v>Teen fired shot during large fight between multiple teens and adults on school football field</v>
      </c>
      <c r="V1066" s="1" t="str">
        <f ca="1">IFERROR(__xludf.DUMMYFUNCTION("""COMPUTED_VALUE"""),"A 17 year-old male fired multiple shots during a large fight between multiple teens and adults on the school football field. A vehicle was struck twice. No one was injured.")</f>
        <v>A 17 year-old male fired multiple shots during a large fight between multiple teens and adults on the school football field. A vehicle was struck twice. No one was injured.</v>
      </c>
      <c r="W1066" s="1" t="str">
        <f ca="1">IFERROR(__xludf.DUMMYFUNCTION("""COMPUTED_VALUE"""),"Escalation of Dispute")</f>
        <v>Escalation of Dispute</v>
      </c>
      <c r="X1066" s="1"/>
      <c r="Y1066" s="1" t="str">
        <f ca="1">IFERROR(__xludf.DUMMYFUNCTION("""COMPUTED_VALUE"""),"No")</f>
        <v>No</v>
      </c>
      <c r="Z1066" s="1"/>
      <c r="AA1066" s="1" t="str">
        <f ca="1">IFERROR(__xludf.DUMMYFUNCTION("""COMPUTED_VALUE"""),"No")</f>
        <v>No</v>
      </c>
      <c r="AB1066" s="1" t="str">
        <f ca="1">IFERROR(__xludf.DUMMYFUNCTION("""COMPUTED_VALUE"""),"No")</f>
        <v>No</v>
      </c>
      <c r="AC1066" s="1" t="str">
        <f ca="1">IFERROR(__xludf.DUMMYFUNCTION("""COMPUTED_VALUE"""),"No")</f>
        <v>No</v>
      </c>
      <c r="AD1066" s="1" t="str">
        <f ca="1">IFERROR(__xludf.DUMMYFUNCTION("""COMPUTED_VALUE"""),"No")</f>
        <v>No</v>
      </c>
      <c r="AE1066" s="1" t="str">
        <f ca="1">IFERROR(__xludf.DUMMYFUNCTION("""COMPUTED_VALUE"""),"No")</f>
        <v>No</v>
      </c>
      <c r="AF1066" s="1"/>
      <c r="AG1066" s="1" t="str">
        <f ca="1">IFERROR(__xludf.DUMMYFUNCTION("""COMPUTED_VALUE"""),"No")</f>
        <v>No</v>
      </c>
      <c r="AH1066" s="1"/>
    </row>
    <row r="1067" spans="1:34" ht="12.5">
      <c r="A1067" s="1" t="str">
        <f ca="1">IFERROR(__xludf.DUMMYFUNCTION("""COMPUTED_VALUE"""),"20200621INCOC")</f>
        <v>20200621INCOC</v>
      </c>
      <c r="B1067" s="1">
        <f ca="1">IFERROR(__xludf.DUMMYFUNCTION("""COMPUTED_VALUE"""),6)</f>
        <v>6</v>
      </c>
      <c r="C1067" s="1">
        <f ca="1">IFERROR(__xludf.DUMMYFUNCTION("""COMPUTED_VALUE"""),21)</f>
        <v>21</v>
      </c>
      <c r="D1067" s="1">
        <f ca="1">IFERROR(__xludf.DUMMYFUNCTION("""COMPUTED_VALUE"""),2020)</f>
        <v>2020</v>
      </c>
      <c r="E1067" s="4">
        <f ca="1">IFERROR(__xludf.DUMMYFUNCTION("""COMPUTED_VALUE"""),44003)</f>
        <v>44003</v>
      </c>
      <c r="F1067" s="1" t="str">
        <f ca="1">IFERROR(__xludf.DUMMYFUNCTION("""COMPUTED_VALUE"""),"Columbus East High School")</f>
        <v>Columbus East High School</v>
      </c>
      <c r="G1067" s="1">
        <f ca="1">IFERROR(__xludf.DUMMYFUNCTION("""COMPUTED_VALUE"""),0)</f>
        <v>0</v>
      </c>
      <c r="H1067" s="1">
        <f ca="1">IFERROR(__xludf.DUMMYFUNCTION("""COMPUTED_VALUE"""),0)</f>
        <v>0</v>
      </c>
      <c r="I1067" s="1">
        <f ca="1">IFERROR(__xludf.DUMMYFUNCTION("""COMPUTED_VALUE"""),0)</f>
        <v>0</v>
      </c>
      <c r="J1067" s="1">
        <f ca="1">IFERROR(__xludf.DUMMYFUNCTION("""COMPUTED_VALUE"""),0)</f>
        <v>0</v>
      </c>
      <c r="K1067" s="1" t="str">
        <f ca="1">IFERROR(__xludf.DUMMYFUNCTION("""COMPUTED_VALUE"""),"Summer")</f>
        <v>Summer</v>
      </c>
      <c r="L1067" s="1" t="str">
        <f ca="1">IFERROR(__xludf.DUMMYFUNCTION("""COMPUTED_VALUE"""),"Columbus")</f>
        <v>Columbus</v>
      </c>
      <c r="M1067" s="1" t="str">
        <f ca="1">IFERROR(__xludf.DUMMYFUNCTION("""COMPUTED_VALUE"""),"IN")</f>
        <v>IN</v>
      </c>
      <c r="N1067" s="1" t="str">
        <f ca="1">IFERROR(__xludf.DUMMYFUNCTION("""COMPUTED_VALUE"""),"High")</f>
        <v>High</v>
      </c>
      <c r="O1067" s="1" t="str">
        <f ca="1">IFERROR(__xludf.DUMMYFUNCTION("""COMPUTED_VALUE"""),"Beside Building")</f>
        <v>Beside Building</v>
      </c>
      <c r="P1067" s="1" t="str">
        <f ca="1">IFERROR(__xludf.DUMMYFUNCTION("""COMPUTED_VALUE"""),"Outside on School Property")</f>
        <v>Outside on School Property</v>
      </c>
      <c r="Q1067" s="1" t="str">
        <f ca="1">IFERROR(__xludf.DUMMYFUNCTION("""COMPUTED_VALUE"""),"No")</f>
        <v>No</v>
      </c>
      <c r="R1067" s="1" t="str">
        <f ca="1">IFERROR(__xludf.DUMMYFUNCTION("""COMPUTED_VALUE"""),"Night")</f>
        <v>Night</v>
      </c>
      <c r="S1067" s="5">
        <f ca="1">IFERROR(__xludf.DUMMYFUNCTION("""COMPUTED_VALUE"""),0.229166666666666)</f>
        <v>0.22916666666666599</v>
      </c>
      <c r="T1067" s="1">
        <f ca="1">IFERROR(__xludf.DUMMYFUNCTION("""COMPUTED_VALUE"""),1)</f>
        <v>1</v>
      </c>
      <c r="U1067" s="1" t="str">
        <f ca="1">IFERROR(__xludf.DUMMYFUNCTION("""COMPUTED_VALUE"""),"Three teen males fired a stolen handgun at the school building damaging windows.")</f>
        <v>Three teen males fired a stolen handgun at the school building damaging windows.</v>
      </c>
      <c r="V1067" s="1" t="str">
        <f ca="1">IFERROR(__xludf.DUMMYFUNCTION("""COMPUTED_VALUE"""),"14 year-old male, 16 year-old male, and 16 year-old male fired a stolen handgun at the school building damaging property. Later arrested after being identified with CCTV footage.")</f>
        <v>14 year-old male, 16 year-old male, and 16 year-old male fired a stolen handgun at the school building damaging property. Later arrested after being identified with CCTV footage.</v>
      </c>
      <c r="W1067" s="1" t="str">
        <f ca="1">IFERROR(__xludf.DUMMYFUNCTION("""COMPUTED_VALUE"""),"Intentional Property Damage")</f>
        <v>Intentional Property Damage</v>
      </c>
      <c r="X1067" s="1" t="str">
        <f ca="1">IFERROR(__xludf.DUMMYFUNCTION("""COMPUTED_VALUE"""),"Neither")</f>
        <v>Neither</v>
      </c>
      <c r="Y1067" s="1" t="str">
        <f ca="1">IFERROR(__xludf.DUMMYFUNCTION("""COMPUTED_VALUE"""),"Yes")</f>
        <v>Yes</v>
      </c>
      <c r="Z1067" s="1" t="str">
        <f ca="1">IFERROR(__xludf.DUMMYFUNCTION("""COMPUTED_VALUE"""),"3 teens")</f>
        <v>3 teens</v>
      </c>
      <c r="AA1067" s="1" t="str">
        <f ca="1">IFERROR(__xludf.DUMMYFUNCTION("""COMPUTED_VALUE"""),"No")</f>
        <v>No</v>
      </c>
      <c r="AB1067" s="1" t="str">
        <f ca="1">IFERROR(__xludf.DUMMYFUNCTION("""COMPUTED_VALUE"""),"No")</f>
        <v>No</v>
      </c>
      <c r="AC1067" s="1" t="str">
        <f ca="1">IFERROR(__xludf.DUMMYFUNCTION("""COMPUTED_VALUE"""),"No")</f>
        <v>No</v>
      </c>
      <c r="AD1067" s="1" t="str">
        <f ca="1">IFERROR(__xludf.DUMMYFUNCTION("""COMPUTED_VALUE"""),"No")</f>
        <v>No</v>
      </c>
      <c r="AE1067" s="1" t="str">
        <f ca="1">IFERROR(__xludf.DUMMYFUNCTION("""COMPUTED_VALUE"""),"No")</f>
        <v>No</v>
      </c>
      <c r="AF1067" s="1" t="str">
        <f ca="1">IFERROR(__xludf.DUMMYFUNCTION("""COMPUTED_VALUE"""),"No")</f>
        <v>No</v>
      </c>
      <c r="AG1067" s="1" t="str">
        <f ca="1">IFERROR(__xludf.DUMMYFUNCTION("""COMPUTED_VALUE"""),"No")</f>
        <v>No</v>
      </c>
      <c r="AH1067" s="1"/>
    </row>
    <row r="1068" spans="1:34" ht="12.5">
      <c r="A1068" s="1" t="str">
        <f ca="1">IFERROR(__xludf.DUMMYFUNCTION("""COMPUTED_VALUE"""),"20200618INJOI")</f>
        <v>20200618INJOI</v>
      </c>
      <c r="B1068" s="1">
        <f ca="1">IFERROR(__xludf.DUMMYFUNCTION("""COMPUTED_VALUE"""),6)</f>
        <v>6</v>
      </c>
      <c r="C1068" s="1">
        <f ca="1">IFERROR(__xludf.DUMMYFUNCTION("""COMPUTED_VALUE"""),18)</f>
        <v>18</v>
      </c>
      <c r="D1068" s="1">
        <f ca="1">IFERROR(__xludf.DUMMYFUNCTION("""COMPUTED_VALUE"""),2020)</f>
        <v>2020</v>
      </c>
      <c r="E1068" s="4">
        <f ca="1">IFERROR(__xludf.DUMMYFUNCTION("""COMPUTED_VALUE"""),44000)</f>
        <v>44000</v>
      </c>
      <c r="F1068" s="1" t="str">
        <f ca="1">IFERROR(__xludf.DUMMYFUNCTION("""COMPUTED_VALUE"""),"Joyce Kilmer School 69")</f>
        <v>Joyce Kilmer School 69</v>
      </c>
      <c r="G1068" s="1">
        <f ca="1">IFERROR(__xludf.DUMMYFUNCTION("""COMPUTED_VALUE"""),0)</f>
        <v>0</v>
      </c>
      <c r="H1068" s="1">
        <f ca="1">IFERROR(__xludf.DUMMYFUNCTION("""COMPUTED_VALUE"""),0)</f>
        <v>0</v>
      </c>
      <c r="I1068" s="1">
        <f ca="1">IFERROR(__xludf.DUMMYFUNCTION("""COMPUTED_VALUE"""),0)</f>
        <v>0</v>
      </c>
      <c r="J1068" s="1">
        <f ca="1">IFERROR(__xludf.DUMMYFUNCTION("""COMPUTED_VALUE"""),0)</f>
        <v>0</v>
      </c>
      <c r="K1068" s="1" t="str">
        <f ca="1">IFERROR(__xludf.DUMMYFUNCTION("""COMPUTED_VALUE"""),"Summer")</f>
        <v>Summer</v>
      </c>
      <c r="L1068" s="1" t="str">
        <f ca="1">IFERROR(__xludf.DUMMYFUNCTION("""COMPUTED_VALUE"""),"Indianapolis")</f>
        <v>Indianapolis</v>
      </c>
      <c r="M1068" s="1" t="str">
        <f ca="1">IFERROR(__xludf.DUMMYFUNCTION("""COMPUTED_VALUE"""),"IN")</f>
        <v>IN</v>
      </c>
      <c r="N1068" s="1" t="str">
        <f ca="1">IFERROR(__xludf.DUMMYFUNCTION("""COMPUTED_VALUE"""),"Elementary")</f>
        <v>Elementary</v>
      </c>
      <c r="O1068" s="1" t="str">
        <f ca="1">IFERROR(__xludf.DUMMYFUNCTION("""COMPUTED_VALUE"""),"Beside Building")</f>
        <v>Beside Building</v>
      </c>
      <c r="P1068" s="1" t="str">
        <f ca="1">IFERROR(__xludf.DUMMYFUNCTION("""COMPUTED_VALUE"""),"Outside on School Property")</f>
        <v>Outside on School Property</v>
      </c>
      <c r="Q1068" s="1" t="str">
        <f ca="1">IFERROR(__xludf.DUMMYFUNCTION("""COMPUTED_VALUE"""),"No")</f>
        <v>No</v>
      </c>
      <c r="R1068" s="1" t="str">
        <f ca="1">IFERROR(__xludf.DUMMYFUNCTION("""COMPUTED_VALUE"""),"Night")</f>
        <v>Night</v>
      </c>
      <c r="S1068" s="5">
        <f ca="1">IFERROR(__xludf.DUMMYFUNCTION("""COMPUTED_VALUE"""),0.0625)</f>
        <v>6.25E-2</v>
      </c>
      <c r="T1068" s="1">
        <f ca="1">IFERROR(__xludf.DUMMYFUNCTION("""COMPUTED_VALUE"""),1)</f>
        <v>1</v>
      </c>
      <c r="U1068" s="1" t="str">
        <f ca="1">IFERROR(__xludf.DUMMYFUNCTION("""COMPUTED_VALUE"""),"Adult male found dead next to school")</f>
        <v>Adult male found dead next to school</v>
      </c>
      <c r="V1068" s="1" t="str">
        <f ca="1">IFERROR(__xludf.DUMMYFUNCTION("""COMPUTED_VALUE"""),"A 37 year-old male was found lying in the grass next to the school. Neighbors reported hearing gunshots. Police believe the shooting was related to an attempted robbery at a nearby business.  No suspects.")</f>
        <v>A 37 year-old male was found lying in the grass next to the school. Neighbors reported hearing gunshots. Police believe the shooting was related to an attempted robbery at a nearby business.  No suspects.</v>
      </c>
      <c r="W1068" s="1" t="str">
        <f ca="1">IFERROR(__xludf.DUMMYFUNCTION("""COMPUTED_VALUE"""),"Illegal Activity")</f>
        <v>Illegal Activity</v>
      </c>
      <c r="X1068" s="1"/>
      <c r="Y1068" s="1"/>
      <c r="Z1068" s="1"/>
      <c r="AA1068" s="1" t="str">
        <f ca="1">IFERROR(__xludf.DUMMYFUNCTION("""COMPUTED_VALUE"""),"No")</f>
        <v>No</v>
      </c>
      <c r="AB1068" s="1" t="str">
        <f ca="1">IFERROR(__xludf.DUMMYFUNCTION("""COMPUTED_VALUE"""),"No")</f>
        <v>No</v>
      </c>
      <c r="AC1068" s="1" t="str">
        <f ca="1">IFERROR(__xludf.DUMMYFUNCTION("""COMPUTED_VALUE"""),"No")</f>
        <v>No</v>
      </c>
      <c r="AD1068" s="1" t="str">
        <f ca="1">IFERROR(__xludf.DUMMYFUNCTION("""COMPUTED_VALUE"""),"No")</f>
        <v>No</v>
      </c>
      <c r="AE1068" s="1" t="str">
        <f ca="1">IFERROR(__xludf.DUMMYFUNCTION("""COMPUTED_VALUE"""),"No")</f>
        <v>No</v>
      </c>
      <c r="AF1068" s="1"/>
      <c r="AG1068" s="1" t="str">
        <f ca="1">IFERROR(__xludf.DUMMYFUNCTION("""COMPUTED_VALUE"""),"No")</f>
        <v>No</v>
      </c>
      <c r="AH1068" s="1"/>
    </row>
    <row r="1069" spans="1:34" ht="12.5">
      <c r="A1069" s="1" t="str">
        <f ca="1">IFERROR(__xludf.DUMMYFUNCTION("""COMPUTED_VALUE"""),"20200616FLTOM")</f>
        <v>20200616FLTOM</v>
      </c>
      <c r="B1069" s="1">
        <f ca="1">IFERROR(__xludf.DUMMYFUNCTION("""COMPUTED_VALUE"""),6)</f>
        <v>6</v>
      </c>
      <c r="C1069" s="1">
        <f ca="1">IFERROR(__xludf.DUMMYFUNCTION("""COMPUTED_VALUE"""),16)</f>
        <v>16</v>
      </c>
      <c r="D1069" s="1">
        <f ca="1">IFERROR(__xludf.DUMMYFUNCTION("""COMPUTED_VALUE"""),2020)</f>
        <v>2020</v>
      </c>
      <c r="E1069" s="4">
        <f ca="1">IFERROR(__xludf.DUMMYFUNCTION("""COMPUTED_VALUE"""),43998)</f>
        <v>43998</v>
      </c>
      <c r="F1069" s="1" t="str">
        <f ca="1">IFERROR(__xludf.DUMMYFUNCTION("""COMPUTED_VALUE"""),"Touissant Louverture Elementary School")</f>
        <v>Touissant Louverture Elementary School</v>
      </c>
      <c r="G1069" s="1">
        <f ca="1">IFERROR(__xludf.DUMMYFUNCTION("""COMPUTED_VALUE"""),0)</f>
        <v>0</v>
      </c>
      <c r="H1069" s="1">
        <f ca="1">IFERROR(__xludf.DUMMYFUNCTION("""COMPUTED_VALUE"""),1)</f>
        <v>1</v>
      </c>
      <c r="I1069" s="1">
        <f ca="1">IFERROR(__xludf.DUMMYFUNCTION("""COMPUTED_VALUE"""),1)</f>
        <v>1</v>
      </c>
      <c r="J1069" s="1">
        <f ca="1">IFERROR(__xludf.DUMMYFUNCTION("""COMPUTED_VALUE"""),0)</f>
        <v>0</v>
      </c>
      <c r="K1069" s="1" t="str">
        <f ca="1">IFERROR(__xludf.DUMMYFUNCTION("""COMPUTED_VALUE"""),"Summer")</f>
        <v>Summer</v>
      </c>
      <c r="L1069" s="1" t="str">
        <f ca="1">IFERROR(__xludf.DUMMYFUNCTION("""COMPUTED_VALUE"""),"Miami")</f>
        <v>Miami</v>
      </c>
      <c r="M1069" s="1" t="str">
        <f ca="1">IFERROR(__xludf.DUMMYFUNCTION("""COMPUTED_VALUE"""),"FL")</f>
        <v>FL</v>
      </c>
      <c r="N1069" s="1" t="str">
        <f ca="1">IFERROR(__xludf.DUMMYFUNCTION("""COMPUTED_VALUE"""),"Elementary")</f>
        <v>Elementary</v>
      </c>
      <c r="O1069" s="1" t="str">
        <f ca="1">IFERROR(__xludf.DUMMYFUNCTION("""COMPUTED_VALUE"""),"Front of School")</f>
        <v>Front of School</v>
      </c>
      <c r="P1069" s="1" t="str">
        <f ca="1">IFERROR(__xludf.DUMMYFUNCTION("""COMPUTED_VALUE"""),"Off School Property")</f>
        <v>Off School Property</v>
      </c>
      <c r="Q1069" s="1" t="str">
        <f ca="1">IFERROR(__xludf.DUMMYFUNCTION("""COMPUTED_VALUE"""),"No")</f>
        <v>No</v>
      </c>
      <c r="R1069" s="1" t="str">
        <f ca="1">IFERROR(__xludf.DUMMYFUNCTION("""COMPUTED_VALUE"""),"Night")</f>
        <v>Night</v>
      </c>
      <c r="S1069" s="5">
        <f ca="1">IFERROR(__xludf.DUMMYFUNCTION("""COMPUTED_VALUE"""),0.96875)</f>
        <v>0.96875</v>
      </c>
      <c r="T1069" s="1">
        <f ca="1">IFERROR(__xludf.DUMMYFUNCTION("""COMPUTED_VALUE"""),1)</f>
        <v>1</v>
      </c>
      <c r="U1069" s="1" t="str">
        <f ca="1">IFERROR(__xludf.DUMMYFUNCTION("""COMPUTED_VALUE"""),"Shots fired during a drive-by struck the school building")</f>
        <v>Shots fired during a drive-by struck the school building</v>
      </c>
      <c r="V1069" s="1" t="str">
        <f ca="1">IFERROR(__xludf.DUMMYFUNCTION("""COMPUTED_VALUE"""),"At least 56 shots were fired during a drive-by shooting that targeted two adult victims in front of the school building. The school building was struck by bullets. No suspects identified. School was closed.")</f>
        <v>At least 56 shots were fired during a drive-by shooting that targeted two adult victims in front of the school building. The school building was struck by bullets. No suspects identified. School was closed.</v>
      </c>
      <c r="W1069" s="1" t="str">
        <f ca="1">IFERROR(__xludf.DUMMYFUNCTION("""COMPUTED_VALUE"""),"Drive-by Shooting")</f>
        <v>Drive-by Shooting</v>
      </c>
      <c r="X1069" s="1"/>
      <c r="Y1069" s="1"/>
      <c r="Z1069" s="1"/>
      <c r="AA1069" s="1" t="str">
        <f ca="1">IFERROR(__xludf.DUMMYFUNCTION("""COMPUTED_VALUE"""),"No")</f>
        <v>No</v>
      </c>
      <c r="AB1069" s="1" t="str">
        <f ca="1">IFERROR(__xludf.DUMMYFUNCTION("""COMPUTED_VALUE"""),"No")</f>
        <v>No</v>
      </c>
      <c r="AC1069" s="1" t="str">
        <f ca="1">IFERROR(__xludf.DUMMYFUNCTION("""COMPUTED_VALUE"""),"No")</f>
        <v>No</v>
      </c>
      <c r="AD1069" s="1" t="str">
        <f ca="1">IFERROR(__xludf.DUMMYFUNCTION("""COMPUTED_VALUE"""),"No")</f>
        <v>No</v>
      </c>
      <c r="AE1069" s="1" t="str">
        <f ca="1">IFERROR(__xludf.DUMMYFUNCTION("""COMPUTED_VALUE"""),"No")</f>
        <v>No</v>
      </c>
      <c r="AF1069" s="1" t="str">
        <f ca="1">IFERROR(__xludf.DUMMYFUNCTION("""COMPUTED_VALUE"""),"Yes")</f>
        <v>Yes</v>
      </c>
      <c r="AG1069" s="1" t="str">
        <f ca="1">IFERROR(__xludf.DUMMYFUNCTION("""COMPUTED_VALUE"""),"No")</f>
        <v>No</v>
      </c>
      <c r="AH1069" s="1">
        <f ca="1">IFERROR(__xludf.DUMMYFUNCTION("""COMPUTED_VALUE"""),56)</f>
        <v>56</v>
      </c>
    </row>
    <row r="1070" spans="1:34" ht="12.5">
      <c r="A1070" s="1" t="str">
        <f ca="1">IFERROR(__xludf.DUMMYFUNCTION("""COMPUTED_VALUE"""),"20200603IAGAD")</f>
        <v>20200603IAGAD</v>
      </c>
      <c r="B1070" s="1">
        <f ca="1">IFERROR(__xludf.DUMMYFUNCTION("""COMPUTED_VALUE"""),6)</f>
        <v>6</v>
      </c>
      <c r="C1070" s="1">
        <f ca="1">IFERROR(__xludf.DUMMYFUNCTION("""COMPUTED_VALUE"""),3)</f>
        <v>3</v>
      </c>
      <c r="D1070" s="1">
        <f ca="1">IFERROR(__xludf.DUMMYFUNCTION("""COMPUTED_VALUE"""),2020)</f>
        <v>2020</v>
      </c>
      <c r="E1070" s="4">
        <f ca="1">IFERROR(__xludf.DUMMYFUNCTION("""COMPUTED_VALUE"""),43985)</f>
        <v>43985</v>
      </c>
      <c r="F1070" s="1" t="str">
        <f ca="1">IFERROR(__xludf.DUMMYFUNCTION("""COMPUTED_VALUE"""),"Garfield Elementary School")</f>
        <v>Garfield Elementary School</v>
      </c>
      <c r="G1070" s="1">
        <f ca="1">IFERROR(__xludf.DUMMYFUNCTION("""COMPUTED_VALUE"""),0)</f>
        <v>0</v>
      </c>
      <c r="H1070" s="1">
        <f ca="1">IFERROR(__xludf.DUMMYFUNCTION("""COMPUTED_VALUE"""),1)</f>
        <v>1</v>
      </c>
      <c r="I1070" s="1">
        <f ca="1">IFERROR(__xludf.DUMMYFUNCTION("""COMPUTED_VALUE"""),1)</f>
        <v>1</v>
      </c>
      <c r="J1070" s="1">
        <f ca="1">IFERROR(__xludf.DUMMYFUNCTION("""COMPUTED_VALUE"""),0)</f>
        <v>0</v>
      </c>
      <c r="K1070" s="1" t="str">
        <f ca="1">IFERROR(__xludf.DUMMYFUNCTION("""COMPUTED_VALUE"""),"Summer")</f>
        <v>Summer</v>
      </c>
      <c r="L1070" s="1" t="str">
        <f ca="1">IFERROR(__xludf.DUMMYFUNCTION("""COMPUTED_VALUE"""),"Davenport")</f>
        <v>Davenport</v>
      </c>
      <c r="M1070" s="1" t="str">
        <f ca="1">IFERROR(__xludf.DUMMYFUNCTION("""COMPUTED_VALUE"""),"IA")</f>
        <v>IA</v>
      </c>
      <c r="N1070" s="1" t="str">
        <f ca="1">IFERROR(__xludf.DUMMYFUNCTION("""COMPUTED_VALUE"""),"Elementary")</f>
        <v>Elementary</v>
      </c>
      <c r="O1070" s="1" t="str">
        <f ca="1">IFERROR(__xludf.DUMMYFUNCTION("""COMPUTED_VALUE"""),"Front of School")</f>
        <v>Front of School</v>
      </c>
      <c r="P1070" s="1" t="str">
        <f ca="1">IFERROR(__xludf.DUMMYFUNCTION("""COMPUTED_VALUE"""),"Outside on School Property")</f>
        <v>Outside on School Property</v>
      </c>
      <c r="Q1070" s="1" t="str">
        <f ca="1">IFERROR(__xludf.DUMMYFUNCTION("""COMPUTED_VALUE"""),"No")</f>
        <v>No</v>
      </c>
      <c r="R1070" s="1" t="str">
        <f ca="1">IFERROR(__xludf.DUMMYFUNCTION("""COMPUTED_VALUE"""),"Not a School Day")</f>
        <v>Not a School Day</v>
      </c>
      <c r="S1070" s="5">
        <f ca="1">IFERROR(__xludf.DUMMYFUNCTION("""COMPUTED_VALUE"""),0.538194444444444)</f>
        <v>0.53819444444444398</v>
      </c>
      <c r="T1070" s="1">
        <f ca="1">IFERROR(__xludf.DUMMYFUNCTION("""COMPUTED_VALUE"""),1)</f>
        <v>1</v>
      </c>
      <c r="U1070" s="1" t="str">
        <f ca="1">IFERROR(__xludf.DUMMYFUNCTION("""COMPUTED_VALUE"""),"Adult male shot in front of school")</f>
        <v>Adult male shot in front of school</v>
      </c>
      <c r="V1070" s="1" t="str">
        <f ca="1">IFERROR(__xludf.DUMMYFUNCTION("""COMPUTED_VALUE"""),"An 18 year-old male was shot by an unidentified adult male in vehicle in front of the school (closed for COVID). The victim was struck once in the leg and other bullets stuck the school's playground equipment. Shooter fled the scene. Motive unknown.")</f>
        <v>An 18 year-old male was shot by an unidentified adult male in vehicle in front of the school (closed for COVID). The victim was struck once in the leg and other bullets stuck the school's playground equipment. Shooter fled the scene. Motive unknown.</v>
      </c>
      <c r="W1070" s="1" t="str">
        <f ca="1">IFERROR(__xludf.DUMMYFUNCTION("""COMPUTED_VALUE"""),"Drive-by Shooting")</f>
        <v>Drive-by Shooting</v>
      </c>
      <c r="X1070" s="1" t="str">
        <f ca="1">IFERROR(__xludf.DUMMYFUNCTION("""COMPUTED_VALUE"""),"Victims Targeted")</f>
        <v>Victims Targeted</v>
      </c>
      <c r="Y1070" s="1"/>
      <c r="Z1070" s="1"/>
      <c r="AA1070" s="1" t="str">
        <f ca="1">IFERROR(__xludf.DUMMYFUNCTION("""COMPUTED_VALUE"""),"No")</f>
        <v>No</v>
      </c>
      <c r="AB1070" s="1" t="str">
        <f ca="1">IFERROR(__xludf.DUMMYFUNCTION("""COMPUTED_VALUE"""),"No")</f>
        <v>No</v>
      </c>
      <c r="AC1070" s="1" t="str">
        <f ca="1">IFERROR(__xludf.DUMMYFUNCTION("""COMPUTED_VALUE"""),"No")</f>
        <v>No</v>
      </c>
      <c r="AD1070" s="1" t="str">
        <f ca="1">IFERROR(__xludf.DUMMYFUNCTION("""COMPUTED_VALUE"""),"No")</f>
        <v>No</v>
      </c>
      <c r="AE1070" s="1" t="str">
        <f ca="1">IFERROR(__xludf.DUMMYFUNCTION("""COMPUTED_VALUE"""),"No")</f>
        <v>No</v>
      </c>
      <c r="AF1070" s="1"/>
      <c r="AG1070" s="1" t="str">
        <f ca="1">IFERROR(__xludf.DUMMYFUNCTION("""COMPUTED_VALUE"""),"No")</f>
        <v>No</v>
      </c>
      <c r="AH1070" s="1" t="str">
        <f ca="1">IFERROR(__xludf.DUMMYFUNCTION("""COMPUTED_VALUE"""),"&gt;10")</f>
        <v>&gt;10</v>
      </c>
    </row>
    <row r="1071" spans="1:34" ht="12.5">
      <c r="A1071" s="1" t="str">
        <f ca="1">IFERROR(__xludf.DUMMYFUNCTION("""COMPUTED_VALUE"""),"20200527OHLUC")</f>
        <v>20200527OHLUC</v>
      </c>
      <c r="B1071" s="1">
        <f ca="1">IFERROR(__xludf.DUMMYFUNCTION("""COMPUTED_VALUE"""),5)</f>
        <v>5</v>
      </c>
      <c r="C1071" s="1">
        <f ca="1">IFERROR(__xludf.DUMMYFUNCTION("""COMPUTED_VALUE"""),27)</f>
        <v>27</v>
      </c>
      <c r="D1071" s="1">
        <f ca="1">IFERROR(__xludf.DUMMYFUNCTION("""COMPUTED_VALUE"""),2020)</f>
        <v>2020</v>
      </c>
      <c r="E1071" s="4">
        <f ca="1">IFERROR(__xludf.DUMMYFUNCTION("""COMPUTED_VALUE"""),43978)</f>
        <v>43978</v>
      </c>
      <c r="F1071" s="1" t="str">
        <f ca="1">IFERROR(__xludf.DUMMYFUNCTION("""COMPUTED_VALUE"""),"Luis Munoz Marin Middle School")</f>
        <v>Luis Munoz Marin Middle School</v>
      </c>
      <c r="G1071" s="1">
        <f ca="1">IFERROR(__xludf.DUMMYFUNCTION("""COMPUTED_VALUE"""),0)</f>
        <v>0</v>
      </c>
      <c r="H1071" s="1">
        <f ca="1">IFERROR(__xludf.DUMMYFUNCTION("""COMPUTED_VALUE"""),0)</f>
        <v>0</v>
      </c>
      <c r="I1071" s="1">
        <f ca="1">IFERROR(__xludf.DUMMYFUNCTION("""COMPUTED_VALUE"""),0)</f>
        <v>0</v>
      </c>
      <c r="J1071" s="1">
        <f ca="1">IFERROR(__xludf.DUMMYFUNCTION("""COMPUTED_VALUE"""),1)</f>
        <v>1</v>
      </c>
      <c r="K1071" s="1" t="str">
        <f ca="1">IFERROR(__xludf.DUMMYFUNCTION("""COMPUTED_VALUE"""),"Spring")</f>
        <v>Spring</v>
      </c>
      <c r="L1071" s="1" t="str">
        <f ca="1">IFERROR(__xludf.DUMMYFUNCTION("""COMPUTED_VALUE"""),"Cleveland")</f>
        <v>Cleveland</v>
      </c>
      <c r="M1071" s="1" t="str">
        <f ca="1">IFERROR(__xludf.DUMMYFUNCTION("""COMPUTED_VALUE"""),"OH")</f>
        <v>OH</v>
      </c>
      <c r="N1071" s="1" t="str">
        <f ca="1">IFERROR(__xludf.DUMMYFUNCTION("""COMPUTED_VALUE"""),"Middle")</f>
        <v>Middle</v>
      </c>
      <c r="O1071" s="1" t="str">
        <f ca="1">IFERROR(__xludf.DUMMYFUNCTION("""COMPUTED_VALUE"""),"Parking Lot")</f>
        <v>Parking Lot</v>
      </c>
      <c r="P1071" s="1" t="str">
        <f ca="1">IFERROR(__xludf.DUMMYFUNCTION("""COMPUTED_VALUE"""),"Outside on School Property")</f>
        <v>Outside on School Property</v>
      </c>
      <c r="Q1071" s="1" t="str">
        <f ca="1">IFERROR(__xludf.DUMMYFUNCTION("""COMPUTED_VALUE"""),"No")</f>
        <v>No</v>
      </c>
      <c r="R1071" s="1" t="str">
        <f ca="1">IFERROR(__xludf.DUMMYFUNCTION("""COMPUTED_VALUE"""),"Night")</f>
        <v>Night</v>
      </c>
      <c r="S1071" s="5">
        <f ca="1">IFERROR(__xludf.DUMMYFUNCTION("""COMPUTED_VALUE"""),0.979166666666666)</f>
        <v>0.97916666666666596</v>
      </c>
      <c r="T1071" s="1">
        <f ca="1">IFERROR(__xludf.DUMMYFUNCTION("""COMPUTED_VALUE"""),1)</f>
        <v>1</v>
      </c>
      <c r="U1071" s="1" t="str">
        <f ca="1">IFERROR(__xludf.DUMMYFUNCTION("""COMPUTED_VALUE"""),"Two men shot each other during sale of handgun at school parking lot")</f>
        <v>Two men shot each other during sale of handgun at school parking lot</v>
      </c>
      <c r="V1071" s="1" t="str">
        <f ca="1">IFERROR(__xludf.DUMMYFUNCTION("""COMPUTED_VALUE"""),"Two 21 year-old men met in the school parking lot to sell a handgun. During the exchange, both men shot either other. One was killed at the scene and the other was shot in the leg, arrested, and transported to the hospital.")</f>
        <v>Two 21 year-old men met in the school parking lot to sell a handgun. During the exchange, both men shot either other. One was killed at the scene and the other was shot in the leg, arrested, and transported to the hospital.</v>
      </c>
      <c r="W1071" s="1" t="str">
        <f ca="1">IFERROR(__xludf.DUMMYFUNCTION("""COMPUTED_VALUE"""),"Illegal Activity")</f>
        <v>Illegal Activity</v>
      </c>
      <c r="X1071" s="1" t="str">
        <f ca="1">IFERROR(__xludf.DUMMYFUNCTION("""COMPUTED_VALUE"""),"Victims Targeted")</f>
        <v>Victims Targeted</v>
      </c>
      <c r="Y1071" s="1" t="str">
        <f ca="1">IFERROR(__xludf.DUMMYFUNCTION("""COMPUTED_VALUE"""),"No")</f>
        <v>No</v>
      </c>
      <c r="Z1071" s="1"/>
      <c r="AA1071" s="1" t="str">
        <f ca="1">IFERROR(__xludf.DUMMYFUNCTION("""COMPUTED_VALUE"""),"No")</f>
        <v>No</v>
      </c>
      <c r="AB1071" s="1" t="str">
        <f ca="1">IFERROR(__xludf.DUMMYFUNCTION("""COMPUTED_VALUE"""),"No")</f>
        <v>No</v>
      </c>
      <c r="AC1071" s="1" t="str">
        <f ca="1">IFERROR(__xludf.DUMMYFUNCTION("""COMPUTED_VALUE"""),"No")</f>
        <v>No</v>
      </c>
      <c r="AD1071" s="1" t="str">
        <f ca="1">IFERROR(__xludf.DUMMYFUNCTION("""COMPUTED_VALUE"""),"No")</f>
        <v>No</v>
      </c>
      <c r="AE1071" s="1" t="str">
        <f ca="1">IFERROR(__xludf.DUMMYFUNCTION("""COMPUTED_VALUE"""),"No")</f>
        <v>No</v>
      </c>
      <c r="AF1071" s="1" t="str">
        <f ca="1">IFERROR(__xludf.DUMMYFUNCTION("""COMPUTED_VALUE"""),"No")</f>
        <v>No</v>
      </c>
      <c r="AG1071" s="1" t="str">
        <f ca="1">IFERROR(__xludf.DUMMYFUNCTION("""COMPUTED_VALUE"""),"No")</f>
        <v>No</v>
      </c>
      <c r="AH1071" s="1"/>
    </row>
    <row r="1072" spans="1:34" ht="12.5">
      <c r="A1072" s="1" t="str">
        <f ca="1">IFERROR(__xludf.DUMMYFUNCTION("""COMPUTED_VALUE"""),"20200525ALORM")</f>
        <v>20200525ALORM</v>
      </c>
      <c r="B1072" s="1">
        <f ca="1">IFERROR(__xludf.DUMMYFUNCTION("""COMPUTED_VALUE"""),5)</f>
        <v>5</v>
      </c>
      <c r="C1072" s="1">
        <f ca="1">IFERROR(__xludf.DUMMYFUNCTION("""COMPUTED_VALUE"""),25)</f>
        <v>25</v>
      </c>
      <c r="D1072" s="1">
        <f ca="1">IFERROR(__xludf.DUMMYFUNCTION("""COMPUTED_VALUE"""),2020)</f>
        <v>2020</v>
      </c>
      <c r="E1072" s="4">
        <f ca="1">IFERROR(__xludf.DUMMYFUNCTION("""COMPUTED_VALUE"""),43976)</f>
        <v>43976</v>
      </c>
      <c r="F1072" s="1" t="str">
        <f ca="1">IFERROR(__xludf.DUMMYFUNCTION("""COMPUTED_VALUE"""),"O Rourke Elementary School")</f>
        <v>O Rourke Elementary School</v>
      </c>
      <c r="G1072" s="1">
        <f ca="1">IFERROR(__xludf.DUMMYFUNCTION("""COMPUTED_VALUE"""),0)</f>
        <v>0</v>
      </c>
      <c r="H1072" s="1">
        <f ca="1">IFERROR(__xludf.DUMMYFUNCTION("""COMPUTED_VALUE"""),3)</f>
        <v>3</v>
      </c>
      <c r="I1072" s="1">
        <f ca="1">IFERROR(__xludf.DUMMYFUNCTION("""COMPUTED_VALUE"""),3)</f>
        <v>3</v>
      </c>
      <c r="J1072" s="1">
        <f ca="1">IFERROR(__xludf.DUMMYFUNCTION("""COMPUTED_VALUE"""),0)</f>
        <v>0</v>
      </c>
      <c r="K1072" s="1" t="str">
        <f ca="1">IFERROR(__xludf.DUMMYFUNCTION("""COMPUTED_VALUE"""),"Spring")</f>
        <v>Spring</v>
      </c>
      <c r="L1072" s="1" t="str">
        <f ca="1">IFERROR(__xludf.DUMMYFUNCTION("""COMPUTED_VALUE"""),"Mobile")</f>
        <v>Mobile</v>
      </c>
      <c r="M1072" s="1" t="str">
        <f ca="1">IFERROR(__xludf.DUMMYFUNCTION("""COMPUTED_VALUE"""),"AL")</f>
        <v>AL</v>
      </c>
      <c r="N1072" s="1" t="str">
        <f ca="1">IFERROR(__xludf.DUMMYFUNCTION("""COMPUTED_VALUE"""),"Elementary")</f>
        <v>Elementary</v>
      </c>
      <c r="O1072" s="1" t="str">
        <f ca="1">IFERROR(__xludf.DUMMYFUNCTION("""COMPUTED_VALUE"""),"Parking Lot")</f>
        <v>Parking Lot</v>
      </c>
      <c r="P1072" s="1" t="str">
        <f ca="1">IFERROR(__xludf.DUMMYFUNCTION("""COMPUTED_VALUE"""),"Outside on School Property")</f>
        <v>Outside on School Property</v>
      </c>
      <c r="Q1072" s="1" t="str">
        <f ca="1">IFERROR(__xludf.DUMMYFUNCTION("""COMPUTED_VALUE"""),"No")</f>
        <v>No</v>
      </c>
      <c r="R1072" s="1" t="str">
        <f ca="1">IFERROR(__xludf.DUMMYFUNCTION("""COMPUTED_VALUE"""),"Night")</f>
        <v>Night</v>
      </c>
      <c r="S1072" s="5">
        <f ca="1">IFERROR(__xludf.DUMMYFUNCTION("""COMPUTED_VALUE"""),0.0625)</f>
        <v>6.25E-2</v>
      </c>
      <c r="T1072" s="1">
        <f ca="1">IFERROR(__xludf.DUMMYFUNCTION("""COMPUTED_VALUE"""),1)</f>
        <v>1</v>
      </c>
      <c r="U1072" s="1" t="str">
        <f ca="1">IFERROR(__xludf.DUMMYFUNCTION("""COMPUTED_VALUE"""),"Three adult males shot during robbery in school parking lot")</f>
        <v>Three adult males shot during robbery in school parking lot</v>
      </c>
      <c r="V1072" s="1" t="str">
        <f ca="1">IFERROR(__xludf.DUMMYFUNCTION("""COMPUTED_VALUE"""),"A group of three adult men met at 1:30 AM in the elementary school parking lot to carry out an unspecified transaction. While they were meeting, they were approached by two other men to robbed them. One of the two robbers fired multiple shots striking all"&amp;" three of the men then fled the scene. Police arrested a 19 year-old male but did not identify him as the shooter.")</f>
        <v>A group of three adult men met at 1:30 AM in the elementary school parking lot to carry out an unspecified transaction. While they were meeting, they were approached by two other men to robbed them. One of the two robbers fired multiple shots striking all three of the men then fled the scene. Police arrested a 19 year-old male but did not identify him as the shooter.</v>
      </c>
      <c r="W1072" s="1" t="str">
        <f ca="1">IFERROR(__xludf.DUMMYFUNCTION("""COMPUTED_VALUE"""),"Illegal Activity")</f>
        <v>Illegal Activity</v>
      </c>
      <c r="X1072" s="1" t="str">
        <f ca="1">IFERROR(__xludf.DUMMYFUNCTION("""COMPUTED_VALUE"""),"Victims Targeted")</f>
        <v>Victims Targeted</v>
      </c>
      <c r="Y1072" s="1" t="str">
        <f ca="1">IFERROR(__xludf.DUMMYFUNCTION("""COMPUTED_VALUE"""),"Yes")</f>
        <v>Yes</v>
      </c>
      <c r="Z1072" s="1" t="str">
        <f ca="1">IFERROR(__xludf.DUMMYFUNCTION("""COMPUTED_VALUE"""),"Two men")</f>
        <v>Two men</v>
      </c>
      <c r="AA1072" s="1" t="str">
        <f ca="1">IFERROR(__xludf.DUMMYFUNCTION("""COMPUTED_VALUE"""),"No")</f>
        <v>No</v>
      </c>
      <c r="AB1072" s="1" t="str">
        <f ca="1">IFERROR(__xludf.DUMMYFUNCTION("""COMPUTED_VALUE"""),"No")</f>
        <v>No</v>
      </c>
      <c r="AC1072" s="1" t="str">
        <f ca="1">IFERROR(__xludf.DUMMYFUNCTION("""COMPUTED_VALUE"""),"No")</f>
        <v>No</v>
      </c>
      <c r="AD1072" s="1" t="str">
        <f ca="1">IFERROR(__xludf.DUMMYFUNCTION("""COMPUTED_VALUE"""),"No")</f>
        <v>No</v>
      </c>
      <c r="AE1072" s="1" t="str">
        <f ca="1">IFERROR(__xludf.DUMMYFUNCTION("""COMPUTED_VALUE"""),"No")</f>
        <v>No</v>
      </c>
      <c r="AF1072" s="1" t="str">
        <f ca="1">IFERROR(__xludf.DUMMYFUNCTION("""COMPUTED_VALUE"""),"No")</f>
        <v>No</v>
      </c>
      <c r="AG1072" s="1" t="str">
        <f ca="1">IFERROR(__xludf.DUMMYFUNCTION("""COMPUTED_VALUE"""),"No")</f>
        <v>No</v>
      </c>
      <c r="AH1072" s="1"/>
    </row>
    <row r="1073" spans="1:34" ht="12.5">
      <c r="A1073" s="1" t="str">
        <f ca="1">IFERROR(__xludf.DUMMYFUNCTION("""COMPUTED_VALUE"""),"20200522OHMIC")</f>
        <v>20200522OHMIC</v>
      </c>
      <c r="B1073" s="1">
        <f ca="1">IFERROR(__xludf.DUMMYFUNCTION("""COMPUTED_VALUE"""),5)</f>
        <v>5</v>
      </c>
      <c r="C1073" s="1">
        <f ca="1">IFERROR(__xludf.DUMMYFUNCTION("""COMPUTED_VALUE"""),22)</f>
        <v>22</v>
      </c>
      <c r="D1073" s="1">
        <f ca="1">IFERROR(__xludf.DUMMYFUNCTION("""COMPUTED_VALUE"""),2020)</f>
        <v>2020</v>
      </c>
      <c r="E1073" s="4">
        <f ca="1">IFERROR(__xludf.DUMMYFUNCTION("""COMPUTED_VALUE"""),43973)</f>
        <v>43973</v>
      </c>
      <c r="F1073" s="1" t="str">
        <f ca="1">IFERROR(__xludf.DUMMYFUNCTION("""COMPUTED_VALUE"""),"Miles Elementary School")</f>
        <v>Miles Elementary School</v>
      </c>
      <c r="G1073" s="1">
        <f ca="1">IFERROR(__xludf.DUMMYFUNCTION("""COMPUTED_VALUE"""),1)</f>
        <v>1</v>
      </c>
      <c r="H1073" s="1">
        <f ca="1">IFERROR(__xludf.DUMMYFUNCTION("""COMPUTED_VALUE"""),0)</f>
        <v>0</v>
      </c>
      <c r="I1073" s="1">
        <f ca="1">IFERROR(__xludf.DUMMYFUNCTION("""COMPUTED_VALUE"""),1)</f>
        <v>1</v>
      </c>
      <c r="J1073" s="1">
        <f ca="1">IFERROR(__xludf.DUMMYFUNCTION("""COMPUTED_VALUE"""),0)</f>
        <v>0</v>
      </c>
      <c r="K1073" s="1" t="str">
        <f ca="1">IFERROR(__xludf.DUMMYFUNCTION("""COMPUTED_VALUE"""),"Spring")</f>
        <v>Spring</v>
      </c>
      <c r="L1073" s="1" t="str">
        <f ca="1">IFERROR(__xludf.DUMMYFUNCTION("""COMPUTED_VALUE"""),"Cleveland")</f>
        <v>Cleveland</v>
      </c>
      <c r="M1073" s="1" t="str">
        <f ca="1">IFERROR(__xludf.DUMMYFUNCTION("""COMPUTED_VALUE"""),"OH")</f>
        <v>OH</v>
      </c>
      <c r="N1073" s="1" t="str">
        <f ca="1">IFERROR(__xludf.DUMMYFUNCTION("""COMPUTED_VALUE"""),"Elementary")</f>
        <v>Elementary</v>
      </c>
      <c r="O1073" s="1" t="str">
        <f ca="1">IFERROR(__xludf.DUMMYFUNCTION("""COMPUTED_VALUE"""),"Beside Building")</f>
        <v>Beside Building</v>
      </c>
      <c r="P1073" s="1" t="str">
        <f ca="1">IFERROR(__xludf.DUMMYFUNCTION("""COMPUTED_VALUE"""),"Outside on School Property")</f>
        <v>Outside on School Property</v>
      </c>
      <c r="Q1073" s="1" t="str">
        <f ca="1">IFERROR(__xludf.DUMMYFUNCTION("""COMPUTED_VALUE"""),"No")</f>
        <v>No</v>
      </c>
      <c r="R1073" s="1" t="str">
        <f ca="1">IFERROR(__xludf.DUMMYFUNCTION("""COMPUTED_VALUE"""),"Night")</f>
        <v>Night</v>
      </c>
      <c r="S1073" s="5">
        <f ca="1">IFERROR(__xludf.DUMMYFUNCTION("""COMPUTED_VALUE"""),0.0625)</f>
        <v>6.25E-2</v>
      </c>
      <c r="T1073" s="1">
        <f ca="1">IFERROR(__xludf.DUMMYFUNCTION("""COMPUTED_VALUE"""),1)</f>
        <v>1</v>
      </c>
      <c r="U1073" s="1" t="str">
        <f ca="1">IFERROR(__xludf.DUMMYFUNCTION("""COMPUTED_VALUE"""),"Adult man found dead outside of school from gunshot to chest")</f>
        <v>Adult man found dead outside of school from gunshot to chest</v>
      </c>
      <c r="V1073" s="1" t="str">
        <f ca="1">IFERROR(__xludf.DUMMYFUNCTION("""COMPUTED_VALUE"""),"A 34 year-old male was found dead outside of the school with a gunshot wound to the chest. Police have not identified a suspect or motive.")</f>
        <v>A 34 year-old male was found dead outside of the school with a gunshot wound to the chest. Police have not identified a suspect or motive.</v>
      </c>
      <c r="W1073" s="1" t="str">
        <f ca="1">IFERROR(__xludf.DUMMYFUNCTION("""COMPUTED_VALUE"""),"Unknown")</f>
        <v>Unknown</v>
      </c>
      <c r="X1073" s="1" t="str">
        <f ca="1">IFERROR(__xludf.DUMMYFUNCTION("""COMPUTED_VALUE"""),"Victims Targeted")</f>
        <v>Victims Targeted</v>
      </c>
      <c r="Y1073" s="1"/>
      <c r="Z1073" s="1"/>
      <c r="AA1073" s="1" t="str">
        <f ca="1">IFERROR(__xludf.DUMMYFUNCTION("""COMPUTED_VALUE"""),"No")</f>
        <v>No</v>
      </c>
      <c r="AB1073" s="1" t="str">
        <f ca="1">IFERROR(__xludf.DUMMYFUNCTION("""COMPUTED_VALUE"""),"No")</f>
        <v>No</v>
      </c>
      <c r="AC1073" s="1" t="str">
        <f ca="1">IFERROR(__xludf.DUMMYFUNCTION("""COMPUTED_VALUE"""),"No")</f>
        <v>No</v>
      </c>
      <c r="AD1073" s="1" t="str">
        <f ca="1">IFERROR(__xludf.DUMMYFUNCTION("""COMPUTED_VALUE"""),"No")</f>
        <v>No</v>
      </c>
      <c r="AE1073" s="1" t="str">
        <f ca="1">IFERROR(__xludf.DUMMYFUNCTION("""COMPUTED_VALUE"""),"No")</f>
        <v>No</v>
      </c>
      <c r="AF1073" s="1"/>
      <c r="AG1073" s="1" t="str">
        <f ca="1">IFERROR(__xludf.DUMMYFUNCTION("""COMPUTED_VALUE"""),"No")</f>
        <v>No</v>
      </c>
      <c r="AH1073" s="1"/>
    </row>
    <row r="1074" spans="1:34" ht="12.5">
      <c r="A1074" s="1" t="str">
        <f ca="1">IFERROR(__xludf.DUMMYFUNCTION("""COMPUTED_VALUE"""),"20200519VAWEM")</f>
        <v>20200519VAWEM</v>
      </c>
      <c r="B1074" s="1">
        <f ca="1">IFERROR(__xludf.DUMMYFUNCTION("""COMPUTED_VALUE"""),5)</f>
        <v>5</v>
      </c>
      <c r="C1074" s="1">
        <f ca="1">IFERROR(__xludf.DUMMYFUNCTION("""COMPUTED_VALUE"""),19)</f>
        <v>19</v>
      </c>
      <c r="D1074" s="1">
        <f ca="1">IFERROR(__xludf.DUMMYFUNCTION("""COMPUTED_VALUE"""),2020)</f>
        <v>2020</v>
      </c>
      <c r="E1074" s="4">
        <f ca="1">IFERROR(__xludf.DUMMYFUNCTION("""COMPUTED_VALUE"""),43970)</f>
        <v>43970</v>
      </c>
      <c r="F1074" s="1" t="str">
        <f ca="1">IFERROR(__xludf.DUMMYFUNCTION("""COMPUTED_VALUE"""),"West Gate Elementary School")</f>
        <v>West Gate Elementary School</v>
      </c>
      <c r="G1074" s="1">
        <f ca="1">IFERROR(__xludf.DUMMYFUNCTION("""COMPUTED_VALUE"""),0)</f>
        <v>0</v>
      </c>
      <c r="H1074" s="1">
        <f ca="1">IFERROR(__xludf.DUMMYFUNCTION("""COMPUTED_VALUE"""),0)</f>
        <v>0</v>
      </c>
      <c r="I1074" s="1">
        <f ca="1">IFERROR(__xludf.DUMMYFUNCTION("""COMPUTED_VALUE"""),0)</f>
        <v>0</v>
      </c>
      <c r="J1074" s="1">
        <f ca="1">IFERROR(__xludf.DUMMYFUNCTION("""COMPUTED_VALUE"""),0)</f>
        <v>0</v>
      </c>
      <c r="K1074" s="1" t="str">
        <f ca="1">IFERROR(__xludf.DUMMYFUNCTION("""COMPUTED_VALUE"""),"Spring")</f>
        <v>Spring</v>
      </c>
      <c r="L1074" s="1" t="str">
        <f ca="1">IFERROR(__xludf.DUMMYFUNCTION("""COMPUTED_VALUE"""),"Manassas")</f>
        <v>Manassas</v>
      </c>
      <c r="M1074" s="1" t="str">
        <f ca="1">IFERROR(__xludf.DUMMYFUNCTION("""COMPUTED_VALUE"""),"VA")</f>
        <v>VA</v>
      </c>
      <c r="N1074" s="1" t="str">
        <f ca="1">IFERROR(__xludf.DUMMYFUNCTION("""COMPUTED_VALUE"""),"Elementary")</f>
        <v>Elementary</v>
      </c>
      <c r="O1074" s="1" t="str">
        <f ca="1">IFERROR(__xludf.DUMMYFUNCTION("""COMPUTED_VALUE"""),"Beside Building")</f>
        <v>Beside Building</v>
      </c>
      <c r="P1074" s="1" t="str">
        <f ca="1">IFERROR(__xludf.DUMMYFUNCTION("""COMPUTED_VALUE"""),"Outside on School Property")</f>
        <v>Outside on School Property</v>
      </c>
      <c r="Q1074" s="1" t="str">
        <f ca="1">IFERROR(__xludf.DUMMYFUNCTION("""COMPUTED_VALUE"""),"No")</f>
        <v>No</v>
      </c>
      <c r="R1074" s="1" t="str">
        <f ca="1">IFERROR(__xludf.DUMMYFUNCTION("""COMPUTED_VALUE"""),"Not a School Day")</f>
        <v>Not a School Day</v>
      </c>
      <c r="S1074" s="5">
        <f ca="1">IFERROR(__xludf.DUMMYFUNCTION("""COMPUTED_VALUE"""),0.611111111111111)</f>
        <v>0.61111111111111105</v>
      </c>
      <c r="T1074" s="1">
        <f ca="1">IFERROR(__xludf.DUMMYFUNCTION("""COMPUTED_VALUE"""),1)</f>
        <v>1</v>
      </c>
      <c r="U1074" s="1" t="str">
        <f ca="1">IFERROR(__xludf.DUMMYFUNCTION("""COMPUTED_VALUE"""),"Teen fired shot at another group of teens during a dispute")</f>
        <v>Teen fired shot at another group of teens during a dispute</v>
      </c>
      <c r="V1074" s="1" t="str">
        <f ca="1">IFERROR(__xludf.DUMMYFUNCTION("""COMPUTED_VALUE"""),"An 18 year-old male was given a handgun by a person in his group and then fired at another group of males during a dispute outside of the school. Shooter fled the scene and was arrested the following day. Shooter held without bond on multiple felony charg"&amp;"es. School was closed for COVID-19.")</f>
        <v>An 18 year-old male was given a handgun by a person in his group and then fired at another group of males during a dispute outside of the school. Shooter fled the scene and was arrested the following day. Shooter held without bond on multiple felony charges. School was closed for COVID-19.</v>
      </c>
      <c r="W1074" s="1" t="str">
        <f ca="1">IFERROR(__xludf.DUMMYFUNCTION("""COMPUTED_VALUE"""),"Escalation of Dispute")</f>
        <v>Escalation of Dispute</v>
      </c>
      <c r="X1074" s="1" t="str">
        <f ca="1">IFERROR(__xludf.DUMMYFUNCTION("""COMPUTED_VALUE"""),"Victims Targeted")</f>
        <v>Victims Targeted</v>
      </c>
      <c r="Y1074" s="1" t="str">
        <f ca="1">IFERROR(__xludf.DUMMYFUNCTION("""COMPUTED_VALUE"""),"Yes")</f>
        <v>Yes</v>
      </c>
      <c r="Z1074" s="1" t="str">
        <f ca="1">IFERROR(__xludf.DUMMYFUNCTION("""COMPUTED_VALUE"""),"Handed gun by another person")</f>
        <v>Handed gun by another person</v>
      </c>
      <c r="AA1074" s="1" t="str">
        <f ca="1">IFERROR(__xludf.DUMMYFUNCTION("""COMPUTED_VALUE"""),"No")</f>
        <v>No</v>
      </c>
      <c r="AB1074" s="1" t="str">
        <f ca="1">IFERROR(__xludf.DUMMYFUNCTION("""COMPUTED_VALUE"""),"No")</f>
        <v>No</v>
      </c>
      <c r="AC1074" s="1" t="str">
        <f ca="1">IFERROR(__xludf.DUMMYFUNCTION("""COMPUTED_VALUE"""),"No")</f>
        <v>No</v>
      </c>
      <c r="AD1074" s="1" t="str">
        <f ca="1">IFERROR(__xludf.DUMMYFUNCTION("""COMPUTED_VALUE"""),"No")</f>
        <v>No</v>
      </c>
      <c r="AE1074" s="1" t="str">
        <f ca="1">IFERROR(__xludf.DUMMYFUNCTION("""COMPUTED_VALUE"""),"No")</f>
        <v>No</v>
      </c>
      <c r="AF1074" s="1" t="str">
        <f ca="1">IFERROR(__xludf.DUMMYFUNCTION("""COMPUTED_VALUE"""),"No")</f>
        <v>No</v>
      </c>
      <c r="AG1074" s="1" t="str">
        <f ca="1">IFERROR(__xludf.DUMMYFUNCTION("""COMPUTED_VALUE"""),"No")</f>
        <v>No</v>
      </c>
      <c r="AH1074" s="1" t="str">
        <f ca="1">IFERROR(__xludf.DUMMYFUNCTION("""COMPUTED_VALUE"""),"&lt;10")</f>
        <v>&lt;10</v>
      </c>
    </row>
    <row r="1075" spans="1:34" ht="12.5">
      <c r="A1075" s="1" t="str">
        <f ca="1">IFERROR(__xludf.DUMMYFUNCTION("""COMPUTED_VALUE"""),"20200515NCSTC")</f>
        <v>20200515NCSTC</v>
      </c>
      <c r="B1075" s="1">
        <f ca="1">IFERROR(__xludf.DUMMYFUNCTION("""COMPUTED_VALUE"""),5)</f>
        <v>5</v>
      </c>
      <c r="C1075" s="1">
        <f ca="1">IFERROR(__xludf.DUMMYFUNCTION("""COMPUTED_VALUE"""),15)</f>
        <v>15</v>
      </c>
      <c r="D1075" s="1">
        <f ca="1">IFERROR(__xludf.DUMMYFUNCTION("""COMPUTED_VALUE"""),2020)</f>
        <v>2020</v>
      </c>
      <c r="E1075" s="4">
        <f ca="1">IFERROR(__xludf.DUMMYFUNCTION("""COMPUTED_VALUE"""),43966)</f>
        <v>43966</v>
      </c>
      <c r="F1075" s="1" t="str">
        <f ca="1">IFERROR(__xludf.DUMMYFUNCTION("""COMPUTED_VALUE"""),"Stuart W Cramer High School")</f>
        <v>Stuart W Cramer High School</v>
      </c>
      <c r="G1075" s="1">
        <f ca="1">IFERROR(__xludf.DUMMYFUNCTION("""COMPUTED_VALUE"""),0)</f>
        <v>0</v>
      </c>
      <c r="H1075" s="1">
        <f ca="1">IFERROR(__xludf.DUMMYFUNCTION("""COMPUTED_VALUE"""),0)</f>
        <v>0</v>
      </c>
      <c r="I1075" s="1">
        <f ca="1">IFERROR(__xludf.DUMMYFUNCTION("""COMPUTED_VALUE"""),0)</f>
        <v>0</v>
      </c>
      <c r="J1075" s="1">
        <f ca="1">IFERROR(__xludf.DUMMYFUNCTION("""COMPUTED_VALUE"""),0)</f>
        <v>0</v>
      </c>
      <c r="K1075" s="1" t="str">
        <f ca="1">IFERROR(__xludf.DUMMYFUNCTION("""COMPUTED_VALUE"""),"Spring")</f>
        <v>Spring</v>
      </c>
      <c r="L1075" s="1" t="str">
        <f ca="1">IFERROR(__xludf.DUMMYFUNCTION("""COMPUTED_VALUE"""),"Cramerton")</f>
        <v>Cramerton</v>
      </c>
      <c r="M1075" s="1" t="str">
        <f ca="1">IFERROR(__xludf.DUMMYFUNCTION("""COMPUTED_VALUE"""),"NC")</f>
        <v>NC</v>
      </c>
      <c r="N1075" s="1" t="str">
        <f ca="1">IFERROR(__xludf.DUMMYFUNCTION("""COMPUTED_VALUE"""),"High")</f>
        <v>High</v>
      </c>
      <c r="O1075" s="1" t="str">
        <f ca="1">IFERROR(__xludf.DUMMYFUNCTION("""COMPUTED_VALUE"""),"Parking Lot")</f>
        <v>Parking Lot</v>
      </c>
      <c r="P1075" s="1" t="str">
        <f ca="1">IFERROR(__xludf.DUMMYFUNCTION("""COMPUTED_VALUE"""),"Outside on School Property")</f>
        <v>Outside on School Property</v>
      </c>
      <c r="Q1075" s="1" t="str">
        <f ca="1">IFERROR(__xludf.DUMMYFUNCTION("""COMPUTED_VALUE"""),"No")</f>
        <v>No</v>
      </c>
      <c r="R1075" s="1" t="str">
        <f ca="1">IFERROR(__xludf.DUMMYFUNCTION("""COMPUTED_VALUE"""),"Night")</f>
        <v>Night</v>
      </c>
      <c r="S1075" s="1"/>
      <c r="T1075" s="1">
        <f ca="1">IFERROR(__xludf.DUMMYFUNCTION("""COMPUTED_VALUE"""),1)</f>
        <v>1</v>
      </c>
      <c r="U1075" s="1" t="str">
        <f ca="1">IFERROR(__xludf.DUMMYFUNCTION("""COMPUTED_VALUE"""),"Couple confused with mafia members during drug deal")</f>
        <v>Couple confused with mafia members during drug deal</v>
      </c>
      <c r="V1075" s="1" t="str">
        <f ca="1">IFERROR(__xludf.DUMMYFUNCTION("""COMPUTED_VALUE"""),"Couple came to school parking lot at night to see the school campus. They were unaware of a drug deal taking place in the parking lot. Adult male involved with the drug deal thought the couple were members of the Russian Mafia and fired shots at the vehic"&amp;"le. Bullets struck the windshield but did not hit the occupants. Shooter was later arrested and charged with two counts of attempted murder. FBI is investigating with local police.")</f>
        <v>Couple came to school parking lot at night to see the school campus. They were unaware of a drug deal taking place in the parking lot. Adult male involved with the drug deal thought the couple were members of the Russian Mafia and fired shots at the vehicle. Bullets struck the windshield but did not hit the occupants. Shooter was later arrested and charged with two counts of attempted murder. FBI is investigating with local police.</v>
      </c>
      <c r="W1075" s="1" t="str">
        <f ca="1">IFERROR(__xludf.DUMMYFUNCTION("""COMPUTED_VALUE"""),"Illegal Activity")</f>
        <v>Illegal Activity</v>
      </c>
      <c r="X1075" s="1" t="str">
        <f ca="1">IFERROR(__xludf.DUMMYFUNCTION("""COMPUTED_VALUE"""),"Random Shooting")</f>
        <v>Random Shooting</v>
      </c>
      <c r="Y1075" s="1"/>
      <c r="Z1075" s="1"/>
      <c r="AA1075" s="1" t="str">
        <f ca="1">IFERROR(__xludf.DUMMYFUNCTION("""COMPUTED_VALUE"""),"No")</f>
        <v>No</v>
      </c>
      <c r="AB1075" s="1" t="str">
        <f ca="1">IFERROR(__xludf.DUMMYFUNCTION("""COMPUTED_VALUE"""),"No")</f>
        <v>No</v>
      </c>
      <c r="AC1075" s="1" t="str">
        <f ca="1">IFERROR(__xludf.DUMMYFUNCTION("""COMPUTED_VALUE"""),"No")</f>
        <v>No</v>
      </c>
      <c r="AD1075" s="1" t="str">
        <f ca="1">IFERROR(__xludf.DUMMYFUNCTION("""COMPUTED_VALUE"""),"No")</f>
        <v>No</v>
      </c>
      <c r="AE1075" s="1" t="str">
        <f ca="1">IFERROR(__xludf.DUMMYFUNCTION("""COMPUTED_VALUE"""),"No")</f>
        <v>No</v>
      </c>
      <c r="AF1075" s="1" t="str">
        <f ca="1">IFERROR(__xludf.DUMMYFUNCTION("""COMPUTED_VALUE"""),"Yes")</f>
        <v>Yes</v>
      </c>
      <c r="AG1075" s="1" t="str">
        <f ca="1">IFERROR(__xludf.DUMMYFUNCTION("""COMPUTED_VALUE"""),"No")</f>
        <v>No</v>
      </c>
      <c r="AH1075" s="1"/>
    </row>
    <row r="1076" spans="1:34" ht="12.5">
      <c r="A1076" s="1" t="str">
        <f ca="1">IFERROR(__xludf.DUMMYFUNCTION("""COMPUTED_VALUE"""),"20200505CAGOV")</f>
        <v>20200505CAGOV</v>
      </c>
      <c r="B1076" s="1">
        <f ca="1">IFERROR(__xludf.DUMMYFUNCTION("""COMPUTED_VALUE"""),5)</f>
        <v>5</v>
      </c>
      <c r="C1076" s="1">
        <f ca="1">IFERROR(__xludf.DUMMYFUNCTION("""COMPUTED_VALUE"""),5)</f>
        <v>5</v>
      </c>
      <c r="D1076" s="1">
        <f ca="1">IFERROR(__xludf.DUMMYFUNCTION("""COMPUTED_VALUE"""),2020)</f>
        <v>2020</v>
      </c>
      <c r="E1076" s="4">
        <f ca="1">IFERROR(__xludf.DUMMYFUNCTION("""COMPUTED_VALUE"""),43956)</f>
        <v>43956</v>
      </c>
      <c r="F1076" s="1" t="str">
        <f ca="1">IFERROR(__xludf.DUMMYFUNCTION("""COMPUTED_VALUE"""),"Golden West High School")</f>
        <v>Golden West High School</v>
      </c>
      <c r="G1076" s="1">
        <f ca="1">IFERROR(__xludf.DUMMYFUNCTION("""COMPUTED_VALUE"""),3)</f>
        <v>3</v>
      </c>
      <c r="H1076" s="1">
        <f ca="1">IFERROR(__xludf.DUMMYFUNCTION("""COMPUTED_VALUE"""),0)</f>
        <v>0</v>
      </c>
      <c r="I1076" s="1">
        <f ca="1">IFERROR(__xludf.DUMMYFUNCTION("""COMPUTED_VALUE"""),3)</f>
        <v>3</v>
      </c>
      <c r="J1076" s="1">
        <f ca="1">IFERROR(__xludf.DUMMYFUNCTION("""COMPUTED_VALUE"""),0)</f>
        <v>0</v>
      </c>
      <c r="K1076" s="1" t="str">
        <f ca="1">IFERROR(__xludf.DUMMYFUNCTION("""COMPUTED_VALUE"""),"Spring")</f>
        <v>Spring</v>
      </c>
      <c r="L1076" s="1" t="str">
        <f ca="1">IFERROR(__xludf.DUMMYFUNCTION("""COMPUTED_VALUE"""),"Visalia")</f>
        <v>Visalia</v>
      </c>
      <c r="M1076" s="1" t="str">
        <f ca="1">IFERROR(__xludf.DUMMYFUNCTION("""COMPUTED_VALUE"""),"CA")</f>
        <v>CA</v>
      </c>
      <c r="N1076" s="1" t="str">
        <f ca="1">IFERROR(__xludf.DUMMYFUNCTION("""COMPUTED_VALUE"""),"High")</f>
        <v>High</v>
      </c>
      <c r="O1076" s="1" t="str">
        <f ca="1">IFERROR(__xludf.DUMMYFUNCTION("""COMPUTED_VALUE"""),"Parking Lot")</f>
        <v>Parking Lot</v>
      </c>
      <c r="P1076" s="1" t="str">
        <f ca="1">IFERROR(__xludf.DUMMYFUNCTION("""COMPUTED_VALUE"""),"Outside on School Property")</f>
        <v>Outside on School Property</v>
      </c>
      <c r="Q1076" s="1" t="str">
        <f ca="1">IFERROR(__xludf.DUMMYFUNCTION("""COMPUTED_VALUE"""),"No")</f>
        <v>No</v>
      </c>
      <c r="R1076" s="1" t="str">
        <f ca="1">IFERROR(__xludf.DUMMYFUNCTION("""COMPUTED_VALUE"""),"Night")</f>
        <v>Night</v>
      </c>
      <c r="S1076" s="5">
        <f ca="1">IFERROR(__xludf.DUMMYFUNCTION("""COMPUTED_VALUE"""),0.96875)</f>
        <v>0.96875</v>
      </c>
      <c r="T1076" s="1">
        <f ca="1">IFERROR(__xludf.DUMMYFUNCTION("""COMPUTED_VALUE"""),1)</f>
        <v>1</v>
      </c>
      <c r="U1076" s="1" t="str">
        <f ca="1">IFERROR(__xludf.DUMMYFUNCTION("""COMPUTED_VALUE"""),"Three victims found dead in school parking lot")</f>
        <v>Three victims found dead in school parking lot</v>
      </c>
      <c r="V1076" s="1" t="str">
        <f ca="1">IFERROR(__xludf.DUMMYFUNCTION("""COMPUTED_VALUE"""),"Three victims found dead in school parking lot")</f>
        <v>Three victims found dead in school parking lot</v>
      </c>
      <c r="W1076" s="1" t="str">
        <f ca="1">IFERROR(__xludf.DUMMYFUNCTION("""COMPUTED_VALUE"""),"Escalation of Dispute")</f>
        <v>Escalation of Dispute</v>
      </c>
      <c r="X1076" s="1"/>
      <c r="Y1076" s="1"/>
      <c r="Z1076" s="1"/>
      <c r="AA1076" s="1" t="str">
        <f ca="1">IFERROR(__xludf.DUMMYFUNCTION("""COMPUTED_VALUE"""),"No")</f>
        <v>No</v>
      </c>
      <c r="AB1076" s="1" t="str">
        <f ca="1">IFERROR(__xludf.DUMMYFUNCTION("""COMPUTED_VALUE"""),"No")</f>
        <v>No</v>
      </c>
      <c r="AC1076" s="1" t="str">
        <f ca="1">IFERROR(__xludf.DUMMYFUNCTION("""COMPUTED_VALUE"""),"No")</f>
        <v>No</v>
      </c>
      <c r="AD1076" s="1" t="str">
        <f ca="1">IFERROR(__xludf.DUMMYFUNCTION("""COMPUTED_VALUE"""),"No")</f>
        <v>No</v>
      </c>
      <c r="AE1076" s="1" t="str">
        <f ca="1">IFERROR(__xludf.DUMMYFUNCTION("""COMPUTED_VALUE"""),"No")</f>
        <v>No</v>
      </c>
      <c r="AF1076" s="1"/>
      <c r="AG1076" s="1" t="str">
        <f ca="1">IFERROR(__xludf.DUMMYFUNCTION("""COMPUTED_VALUE"""),"No")</f>
        <v>No</v>
      </c>
      <c r="AH1076" s="1"/>
    </row>
    <row r="1077" spans="1:34" ht="12.5">
      <c r="A1077" s="1" t="str">
        <f ca="1">IFERROR(__xludf.DUMMYFUNCTION("""COMPUTED_VALUE"""),"20200419NCABR")</f>
        <v>20200419NCABR</v>
      </c>
      <c r="B1077" s="1">
        <f ca="1">IFERROR(__xludf.DUMMYFUNCTION("""COMPUTED_VALUE"""),4)</f>
        <v>4</v>
      </c>
      <c r="C1077" s="1">
        <f ca="1">IFERROR(__xludf.DUMMYFUNCTION("""COMPUTED_VALUE"""),19)</f>
        <v>19</v>
      </c>
      <c r="D1077" s="1">
        <f ca="1">IFERROR(__xludf.DUMMYFUNCTION("""COMPUTED_VALUE"""),2020)</f>
        <v>2020</v>
      </c>
      <c r="E1077" s="4">
        <f ca="1">IFERROR(__xludf.DUMMYFUNCTION("""COMPUTED_VALUE"""),43940)</f>
        <v>43940</v>
      </c>
      <c r="F1077" s="1" t="str">
        <f ca="1">IFERROR(__xludf.DUMMYFUNCTION("""COMPUTED_VALUE"""),"Abbotts Creek Elementary School")</f>
        <v>Abbotts Creek Elementary School</v>
      </c>
      <c r="G1077" s="1">
        <f ca="1">IFERROR(__xludf.DUMMYFUNCTION("""COMPUTED_VALUE"""),0)</f>
        <v>0</v>
      </c>
      <c r="H1077" s="1">
        <f ca="1">IFERROR(__xludf.DUMMYFUNCTION("""COMPUTED_VALUE"""),0)</f>
        <v>0</v>
      </c>
      <c r="I1077" s="1">
        <f ca="1">IFERROR(__xludf.DUMMYFUNCTION("""COMPUTED_VALUE"""),0)</f>
        <v>0</v>
      </c>
      <c r="J1077" s="1">
        <f ca="1">IFERROR(__xludf.DUMMYFUNCTION("""COMPUTED_VALUE"""),0)</f>
        <v>0</v>
      </c>
      <c r="K1077" s="1" t="str">
        <f ca="1">IFERROR(__xludf.DUMMYFUNCTION("""COMPUTED_VALUE"""),"Spring")</f>
        <v>Spring</v>
      </c>
      <c r="L1077" s="1" t="str">
        <f ca="1">IFERROR(__xludf.DUMMYFUNCTION("""COMPUTED_VALUE"""),"Raleigh")</f>
        <v>Raleigh</v>
      </c>
      <c r="M1077" s="1" t="str">
        <f ca="1">IFERROR(__xludf.DUMMYFUNCTION("""COMPUTED_VALUE"""),"NC")</f>
        <v>NC</v>
      </c>
      <c r="N1077" s="1" t="str">
        <f ca="1">IFERROR(__xludf.DUMMYFUNCTION("""COMPUTED_VALUE"""),"Elementary")</f>
        <v>Elementary</v>
      </c>
      <c r="O1077" s="1" t="str">
        <f ca="1">IFERROR(__xludf.DUMMYFUNCTION("""COMPUTED_VALUE"""),"Parking Lot")</f>
        <v>Parking Lot</v>
      </c>
      <c r="P1077" s="1" t="str">
        <f ca="1">IFERROR(__xludf.DUMMYFUNCTION("""COMPUTED_VALUE"""),"Outside on School Property")</f>
        <v>Outside on School Property</v>
      </c>
      <c r="Q1077" s="1" t="str">
        <f ca="1">IFERROR(__xludf.DUMMYFUNCTION("""COMPUTED_VALUE"""),"No")</f>
        <v>No</v>
      </c>
      <c r="R1077" s="1" t="str">
        <f ca="1">IFERROR(__xludf.DUMMYFUNCTION("""COMPUTED_VALUE"""),"Night")</f>
        <v>Night</v>
      </c>
      <c r="S1077" s="5">
        <f ca="1">IFERROR(__xludf.DUMMYFUNCTION("""COMPUTED_VALUE"""),0.0833333333333333)</f>
        <v>8.3333333333333301E-2</v>
      </c>
      <c r="T1077" s="1">
        <f ca="1">IFERROR(__xludf.DUMMYFUNCTION("""COMPUTED_VALUE"""),1)</f>
        <v>1</v>
      </c>
      <c r="U1077" s="1" t="str">
        <f ca="1">IFERROR(__xludf.DUMMYFUNCTION("""COMPUTED_VALUE"""),"Man fired multiple gunshots in school parking lot")</f>
        <v>Man fired multiple gunshots in school parking lot</v>
      </c>
      <c r="V1077" s="1" t="str">
        <f ca="1">IFERROR(__xludf.DUMMYFUNCTION("""COMPUTED_VALUE"""),"24-year-old man was under police surveillance when he pulled into the school parking lot, fired multiple shots, and fled the area. He was arrested away from the scene and charged with multiple crimes.")</f>
        <v>24-year-old man was under police surveillance when he pulled into the school parking lot, fired multiple shots, and fled the area. He was arrested away from the scene and charged with multiple crimes.</v>
      </c>
      <c r="W1077" s="1" t="str">
        <f ca="1">IFERROR(__xludf.DUMMYFUNCTION("""COMPUTED_VALUE"""),"Illegal Activity")</f>
        <v>Illegal Activity</v>
      </c>
      <c r="X1077" s="1" t="str">
        <f ca="1">IFERROR(__xludf.DUMMYFUNCTION("""COMPUTED_VALUE"""),"Victims Targeted")</f>
        <v>Victims Targeted</v>
      </c>
      <c r="Y1077" s="1" t="str">
        <f ca="1">IFERROR(__xludf.DUMMYFUNCTION("""COMPUTED_VALUE"""),"No")</f>
        <v>No</v>
      </c>
      <c r="Z1077" s="1"/>
      <c r="AA1077" s="1" t="str">
        <f ca="1">IFERROR(__xludf.DUMMYFUNCTION("""COMPUTED_VALUE"""),"No")</f>
        <v>No</v>
      </c>
      <c r="AB1077" s="1" t="str">
        <f ca="1">IFERROR(__xludf.DUMMYFUNCTION("""COMPUTED_VALUE"""),"No")</f>
        <v>No</v>
      </c>
      <c r="AC1077" s="1" t="str">
        <f ca="1">IFERROR(__xludf.DUMMYFUNCTION("""COMPUTED_VALUE"""),"No")</f>
        <v>No</v>
      </c>
      <c r="AD1077" s="1" t="str">
        <f ca="1">IFERROR(__xludf.DUMMYFUNCTION("""COMPUTED_VALUE"""),"No")</f>
        <v>No</v>
      </c>
      <c r="AE1077" s="1" t="str">
        <f ca="1">IFERROR(__xludf.DUMMYFUNCTION("""COMPUTED_VALUE"""),"No")</f>
        <v>No</v>
      </c>
      <c r="AF1077" s="1" t="str">
        <f ca="1">IFERROR(__xludf.DUMMYFUNCTION("""COMPUTED_VALUE"""),"No")</f>
        <v>No</v>
      </c>
      <c r="AG1077" s="1" t="str">
        <f ca="1">IFERROR(__xludf.DUMMYFUNCTION("""COMPUTED_VALUE"""),"No")</f>
        <v>No</v>
      </c>
      <c r="AH1077" s="1"/>
    </row>
    <row r="1078" spans="1:34" ht="12.5">
      <c r="A1078" s="1" t="str">
        <f ca="1">IFERROR(__xludf.DUMMYFUNCTION("""COMPUTED_VALUE"""),"20200413NEMOO")</f>
        <v>20200413NEMOO</v>
      </c>
      <c r="B1078" s="1">
        <f ca="1">IFERROR(__xludf.DUMMYFUNCTION("""COMPUTED_VALUE"""),4)</f>
        <v>4</v>
      </c>
      <c r="C1078" s="1">
        <f ca="1">IFERROR(__xludf.DUMMYFUNCTION("""COMPUTED_VALUE"""),13)</f>
        <v>13</v>
      </c>
      <c r="D1078" s="1">
        <f ca="1">IFERROR(__xludf.DUMMYFUNCTION("""COMPUTED_VALUE"""),2020)</f>
        <v>2020</v>
      </c>
      <c r="E1078" s="4">
        <f ca="1">IFERROR(__xludf.DUMMYFUNCTION("""COMPUTED_VALUE"""),43934)</f>
        <v>43934</v>
      </c>
      <c r="F1078" s="1" t="str">
        <f ca="1">IFERROR(__xludf.DUMMYFUNCTION("""COMPUTED_VALUE"""),"Morton Middle School")</f>
        <v>Morton Middle School</v>
      </c>
      <c r="G1078" s="1">
        <f ca="1">IFERROR(__xludf.DUMMYFUNCTION("""COMPUTED_VALUE"""),0)</f>
        <v>0</v>
      </c>
      <c r="H1078" s="1">
        <f ca="1">IFERROR(__xludf.DUMMYFUNCTION("""COMPUTED_VALUE"""),1)</f>
        <v>1</v>
      </c>
      <c r="I1078" s="1">
        <f ca="1">IFERROR(__xludf.DUMMYFUNCTION("""COMPUTED_VALUE"""),1)</f>
        <v>1</v>
      </c>
      <c r="J1078" s="1">
        <f ca="1">IFERROR(__xludf.DUMMYFUNCTION("""COMPUTED_VALUE"""),0)</f>
        <v>0</v>
      </c>
      <c r="K1078" s="1" t="str">
        <f ca="1">IFERROR(__xludf.DUMMYFUNCTION("""COMPUTED_VALUE"""),"Spring")</f>
        <v>Spring</v>
      </c>
      <c r="L1078" s="1" t="str">
        <f ca="1">IFERROR(__xludf.DUMMYFUNCTION("""COMPUTED_VALUE"""),"Omaha")</f>
        <v>Omaha</v>
      </c>
      <c r="M1078" s="1" t="str">
        <f ca="1">IFERROR(__xludf.DUMMYFUNCTION("""COMPUTED_VALUE"""),"NE")</f>
        <v>NE</v>
      </c>
      <c r="N1078" s="1" t="str">
        <f ca="1">IFERROR(__xludf.DUMMYFUNCTION("""COMPUTED_VALUE"""),"Middle")</f>
        <v>Middle</v>
      </c>
      <c r="O1078" s="1" t="str">
        <f ca="1">IFERROR(__xludf.DUMMYFUNCTION("""COMPUTED_VALUE"""),"Parking Lot")</f>
        <v>Parking Lot</v>
      </c>
      <c r="P1078" s="1" t="str">
        <f ca="1">IFERROR(__xludf.DUMMYFUNCTION("""COMPUTED_VALUE"""),"Outside on School Property")</f>
        <v>Outside on School Property</v>
      </c>
      <c r="Q1078" s="1" t="str">
        <f ca="1">IFERROR(__xludf.DUMMYFUNCTION("""COMPUTED_VALUE"""),"No")</f>
        <v>No</v>
      </c>
      <c r="R1078" s="1" t="str">
        <f ca="1">IFERROR(__xludf.DUMMYFUNCTION("""COMPUTED_VALUE"""),"Not a School Day")</f>
        <v>Not a School Day</v>
      </c>
      <c r="S1078" s="5">
        <f ca="1">IFERROR(__xludf.DUMMYFUNCTION("""COMPUTED_VALUE"""),0.427083333333333)</f>
        <v>0.42708333333333298</v>
      </c>
      <c r="T1078" s="1">
        <f ca="1">IFERROR(__xludf.DUMMYFUNCTION("""COMPUTED_VALUE"""),1)</f>
        <v>1</v>
      </c>
      <c r="U1078" s="1" t="str">
        <f ca="1">IFERROR(__xludf.DUMMYFUNCTION("""COMPUTED_VALUE"""),"18YOM shot during fight in school parking lot")</f>
        <v>18YOM shot during fight in school parking lot</v>
      </c>
      <c r="V1078" s="1" t="str">
        <f ca="1">IFERROR(__xludf.DUMMYFUNCTION("""COMPUTED_VALUE"""),"An 18 year-old male was shot during argument that escalated into shooting in the school parking lot. Driven to the hospital and notified police of the shooting from the hospital. School was closed due to COVID-19.")</f>
        <v>An 18 year-old male was shot during argument that escalated into shooting in the school parking lot. Driven to the hospital and notified police of the shooting from the hospital. School was closed due to COVID-19.</v>
      </c>
      <c r="W1078" s="1" t="str">
        <f ca="1">IFERROR(__xludf.DUMMYFUNCTION("""COMPUTED_VALUE"""),"Escalation of Dispute")</f>
        <v>Escalation of Dispute</v>
      </c>
      <c r="X1078" s="1"/>
      <c r="Y1078" s="1"/>
      <c r="Z1078" s="1" t="str">
        <f ca="1">IFERROR(__xludf.DUMMYFUNCTION("""COMPUTED_VALUE"""),"Group")</f>
        <v>Group</v>
      </c>
      <c r="AA1078" s="1" t="str">
        <f ca="1">IFERROR(__xludf.DUMMYFUNCTION("""COMPUTED_VALUE"""),"No")</f>
        <v>No</v>
      </c>
      <c r="AB1078" s="1" t="str">
        <f ca="1">IFERROR(__xludf.DUMMYFUNCTION("""COMPUTED_VALUE"""),"No")</f>
        <v>No</v>
      </c>
      <c r="AC1078" s="1" t="str">
        <f ca="1">IFERROR(__xludf.DUMMYFUNCTION("""COMPUTED_VALUE"""),"No")</f>
        <v>No</v>
      </c>
      <c r="AD1078" s="1" t="str">
        <f ca="1">IFERROR(__xludf.DUMMYFUNCTION("""COMPUTED_VALUE"""),"No")</f>
        <v>No</v>
      </c>
      <c r="AE1078" s="1" t="str">
        <f ca="1">IFERROR(__xludf.DUMMYFUNCTION("""COMPUTED_VALUE"""),"No")</f>
        <v>No</v>
      </c>
      <c r="AF1078" s="1" t="str">
        <f ca="1">IFERROR(__xludf.DUMMYFUNCTION("""COMPUTED_VALUE"""),"No")</f>
        <v>No</v>
      </c>
      <c r="AG1078" s="1" t="str">
        <f ca="1">IFERROR(__xludf.DUMMYFUNCTION("""COMPUTED_VALUE"""),"No")</f>
        <v>No</v>
      </c>
      <c r="AH1078" s="1"/>
    </row>
    <row r="1079" spans="1:34" ht="12.5">
      <c r="A1079" s="1" t="str">
        <f ca="1">IFERROR(__xludf.DUMMYFUNCTION("""COMPUTED_VALUE"""),"20200330GANAS")</f>
        <v>20200330GANAS</v>
      </c>
      <c r="B1079" s="1">
        <f ca="1">IFERROR(__xludf.DUMMYFUNCTION("""COMPUTED_VALUE"""),3)</f>
        <v>3</v>
      </c>
      <c r="C1079" s="1">
        <f ca="1">IFERROR(__xludf.DUMMYFUNCTION("""COMPUTED_VALUE"""),30)</f>
        <v>30</v>
      </c>
      <c r="D1079" s="1">
        <f ca="1">IFERROR(__xludf.DUMMYFUNCTION("""COMPUTED_VALUE"""),2020)</f>
        <v>2020</v>
      </c>
      <c r="E1079" s="4">
        <f ca="1">IFERROR(__xludf.DUMMYFUNCTION("""COMPUTED_VALUE"""),43920)</f>
        <v>43920</v>
      </c>
      <c r="F1079" s="1" t="str">
        <f ca="1">IFERROR(__xludf.DUMMYFUNCTION("""COMPUTED_VALUE"""),"Narvie J. Harris Elementary School")</f>
        <v>Narvie J. Harris Elementary School</v>
      </c>
      <c r="G1079" s="1">
        <f ca="1">IFERROR(__xludf.DUMMYFUNCTION("""COMPUTED_VALUE"""),0)</f>
        <v>0</v>
      </c>
      <c r="H1079" s="1">
        <f ca="1">IFERROR(__xludf.DUMMYFUNCTION("""COMPUTED_VALUE"""),3)</f>
        <v>3</v>
      </c>
      <c r="I1079" s="1">
        <f ca="1">IFERROR(__xludf.DUMMYFUNCTION("""COMPUTED_VALUE"""),3)</f>
        <v>3</v>
      </c>
      <c r="J1079" s="1">
        <f ca="1">IFERROR(__xludf.DUMMYFUNCTION("""COMPUTED_VALUE"""),0)</f>
        <v>0</v>
      </c>
      <c r="K1079" s="1" t="str">
        <f ca="1">IFERROR(__xludf.DUMMYFUNCTION("""COMPUTED_VALUE"""),"Spring")</f>
        <v>Spring</v>
      </c>
      <c r="L1079" s="1" t="str">
        <f ca="1">IFERROR(__xludf.DUMMYFUNCTION("""COMPUTED_VALUE"""),"Stonecrest")</f>
        <v>Stonecrest</v>
      </c>
      <c r="M1079" s="1" t="str">
        <f ca="1">IFERROR(__xludf.DUMMYFUNCTION("""COMPUTED_VALUE"""),"GA")</f>
        <v>GA</v>
      </c>
      <c r="N1079" s="1" t="str">
        <f ca="1">IFERROR(__xludf.DUMMYFUNCTION("""COMPUTED_VALUE"""),"Elementary")</f>
        <v>Elementary</v>
      </c>
      <c r="O1079" s="1" t="str">
        <f ca="1">IFERROR(__xludf.DUMMYFUNCTION("""COMPUTED_VALUE"""),"Parking Lot")</f>
        <v>Parking Lot</v>
      </c>
      <c r="P1079" s="1" t="str">
        <f ca="1">IFERROR(__xludf.DUMMYFUNCTION("""COMPUTED_VALUE"""),"Outside on School Property")</f>
        <v>Outside on School Property</v>
      </c>
      <c r="Q1079" s="1" t="str">
        <f ca="1">IFERROR(__xludf.DUMMYFUNCTION("""COMPUTED_VALUE"""),"No")</f>
        <v>No</v>
      </c>
      <c r="R1079" s="1" t="str">
        <f ca="1">IFERROR(__xludf.DUMMYFUNCTION("""COMPUTED_VALUE"""),"Night")</f>
        <v>Night</v>
      </c>
      <c r="S1079" s="5">
        <f ca="1">IFERROR(__xludf.DUMMYFUNCTION("""COMPUTED_VALUE"""),0.902777777777777)</f>
        <v>0.90277777777777701</v>
      </c>
      <c r="T1079" s="1">
        <f ca="1">IFERROR(__xludf.DUMMYFUNCTION("""COMPUTED_VALUE"""),1)</f>
        <v>1</v>
      </c>
      <c r="U1079" s="1" t="str">
        <f ca="1">IFERROR(__xludf.DUMMYFUNCTION("""COMPUTED_VALUE"""),"Three people shot during fight in the school parking lot")</f>
        <v>Three people shot during fight in the school parking lot</v>
      </c>
      <c r="V1079" s="1" t="str">
        <f ca="1">IFERROR(__xludf.DUMMYFUNCTION("""COMPUTED_VALUE"""),"Three people were shot and 2 suspects (names not released) were arrested following a fight in the parking lot of the school. School was closed for COVID-19.")</f>
        <v>Three people were shot and 2 suspects (names not released) were arrested following a fight in the parking lot of the school. School was closed for COVID-19.</v>
      </c>
      <c r="W1079" s="1" t="str">
        <f ca="1">IFERROR(__xludf.DUMMYFUNCTION("""COMPUTED_VALUE"""),"Escalation of Dispute")</f>
        <v>Escalation of Dispute</v>
      </c>
      <c r="X1079" s="1" t="str">
        <f ca="1">IFERROR(__xludf.DUMMYFUNCTION("""COMPUTED_VALUE"""),"Victims Targeted")</f>
        <v>Victims Targeted</v>
      </c>
      <c r="Y1079" s="1" t="str">
        <f ca="1">IFERROR(__xludf.DUMMYFUNCTION("""COMPUTED_VALUE"""),"Yes")</f>
        <v>Yes</v>
      </c>
      <c r="Z1079" s="1" t="str">
        <f ca="1">IFERROR(__xludf.DUMMYFUNCTION("""COMPUTED_VALUE"""),"2 arrrested")</f>
        <v>2 arrrested</v>
      </c>
      <c r="AA1079" s="1" t="str">
        <f ca="1">IFERROR(__xludf.DUMMYFUNCTION("""COMPUTED_VALUE"""),"No")</f>
        <v>No</v>
      </c>
      <c r="AB1079" s="1" t="str">
        <f ca="1">IFERROR(__xludf.DUMMYFUNCTION("""COMPUTED_VALUE"""),"No")</f>
        <v>No</v>
      </c>
      <c r="AC1079" s="1" t="str">
        <f ca="1">IFERROR(__xludf.DUMMYFUNCTION("""COMPUTED_VALUE"""),"No")</f>
        <v>No</v>
      </c>
      <c r="AD1079" s="1" t="str">
        <f ca="1">IFERROR(__xludf.DUMMYFUNCTION("""COMPUTED_VALUE"""),"No")</f>
        <v>No</v>
      </c>
      <c r="AE1079" s="1" t="str">
        <f ca="1">IFERROR(__xludf.DUMMYFUNCTION("""COMPUTED_VALUE"""),"No")</f>
        <v>No</v>
      </c>
      <c r="AF1079" s="1" t="str">
        <f ca="1">IFERROR(__xludf.DUMMYFUNCTION("""COMPUTED_VALUE"""),"No")</f>
        <v>No</v>
      </c>
      <c r="AG1079" s="1" t="str">
        <f ca="1">IFERROR(__xludf.DUMMYFUNCTION("""COMPUTED_VALUE"""),"No")</f>
        <v>No</v>
      </c>
      <c r="AH1079" s="1"/>
    </row>
    <row r="1080" spans="1:34" ht="12.5">
      <c r="A1080" s="1" t="str">
        <f ca="1">IFERROR(__xludf.DUMMYFUNCTION("""COMPUTED_VALUE"""),"20200324LAROM")</f>
        <v>20200324LAROM</v>
      </c>
      <c r="B1080" s="1">
        <f ca="1">IFERROR(__xludf.DUMMYFUNCTION("""COMPUTED_VALUE"""),3)</f>
        <v>3</v>
      </c>
      <c r="C1080" s="1">
        <f ca="1">IFERROR(__xludf.DUMMYFUNCTION("""COMPUTED_VALUE"""),24)</f>
        <v>24</v>
      </c>
      <c r="D1080" s="1">
        <f ca="1">IFERROR(__xludf.DUMMYFUNCTION("""COMPUTED_VALUE"""),2020)</f>
        <v>2020</v>
      </c>
      <c r="E1080" s="4">
        <f ca="1">IFERROR(__xludf.DUMMYFUNCTION("""COMPUTED_VALUE"""),43914)</f>
        <v>43914</v>
      </c>
      <c r="F1080" s="1" t="str">
        <f ca="1">IFERROR(__xludf.DUMMYFUNCTION("""COMPUTED_VALUE"""),"Roy Shelling Elementary School")</f>
        <v>Roy Shelling Elementary School</v>
      </c>
      <c r="G1080" s="1">
        <f ca="1">IFERROR(__xludf.DUMMYFUNCTION("""COMPUTED_VALUE"""),0)</f>
        <v>0</v>
      </c>
      <c r="H1080" s="1">
        <f ca="1">IFERROR(__xludf.DUMMYFUNCTION("""COMPUTED_VALUE"""),1)</f>
        <v>1</v>
      </c>
      <c r="I1080" s="1">
        <f ca="1">IFERROR(__xludf.DUMMYFUNCTION("""COMPUTED_VALUE"""),1)</f>
        <v>1</v>
      </c>
      <c r="J1080" s="1">
        <f ca="1">IFERROR(__xludf.DUMMYFUNCTION("""COMPUTED_VALUE"""),0)</f>
        <v>0</v>
      </c>
      <c r="K1080" s="1" t="str">
        <f ca="1">IFERROR(__xludf.DUMMYFUNCTION("""COMPUTED_VALUE"""),"Spring")</f>
        <v>Spring</v>
      </c>
      <c r="L1080" s="1" t="str">
        <f ca="1">IFERROR(__xludf.DUMMYFUNCTION("""COMPUTED_VALUE"""),"Monroe")</f>
        <v>Monroe</v>
      </c>
      <c r="M1080" s="1" t="str">
        <f ca="1">IFERROR(__xludf.DUMMYFUNCTION("""COMPUTED_VALUE"""),"LA")</f>
        <v>LA</v>
      </c>
      <c r="N1080" s="1" t="str">
        <f ca="1">IFERROR(__xludf.DUMMYFUNCTION("""COMPUTED_VALUE"""),"Elementary")</f>
        <v>Elementary</v>
      </c>
      <c r="O1080" s="1" t="str">
        <f ca="1">IFERROR(__xludf.DUMMYFUNCTION("""COMPUTED_VALUE"""),"Parking Lot")</f>
        <v>Parking Lot</v>
      </c>
      <c r="P1080" s="1" t="str">
        <f ca="1">IFERROR(__xludf.DUMMYFUNCTION("""COMPUTED_VALUE"""),"Outside on School Property")</f>
        <v>Outside on School Property</v>
      </c>
      <c r="Q1080" s="1" t="str">
        <f ca="1">IFERROR(__xludf.DUMMYFUNCTION("""COMPUTED_VALUE"""),"No")</f>
        <v>No</v>
      </c>
      <c r="R1080" s="1" t="str">
        <f ca="1">IFERROR(__xludf.DUMMYFUNCTION("""COMPUTED_VALUE"""),"Not a School Day")</f>
        <v>Not a School Day</v>
      </c>
      <c r="S1080" s="5">
        <f ca="1">IFERROR(__xludf.DUMMYFUNCTION("""COMPUTED_VALUE"""),0.675)</f>
        <v>0.67500000000000004</v>
      </c>
      <c r="T1080" s="1">
        <f ca="1">IFERROR(__xludf.DUMMYFUNCTION("""COMPUTED_VALUE"""),1)</f>
        <v>1</v>
      </c>
      <c r="U1080" s="1" t="str">
        <f ca="1">IFERROR(__xludf.DUMMYFUNCTION("""COMPUTED_VALUE"""),"Male shot during fight between 20 people in school parking lot")</f>
        <v>Male shot during fight between 20 people in school parking lot</v>
      </c>
      <c r="V1080" s="1" t="str">
        <f ca="1">IFERROR(__xludf.DUMMYFUNCTION("""COMPUTED_VALUE"""),"Multiple shots fired during fight between rival rappers and a group of 20 people in parking lot of the elementary school (closed for COVID-19). One male injured and transported to hospital. One person arrested later in connection and police looking for ot"&amp;"her suspects. “At some point during the fight multiple persons retrieve handguns and began shooting,” said Monroe Police Sgt. Charles “Chuck” Johnson. “It was a clear division among groups with persons from both sides firing upon each other.  There were s"&amp;"everal shots fired from both groups.”")</f>
        <v>Multiple shots fired during fight between rival rappers and a group of 20 people in parking lot of the elementary school (closed for COVID-19). One male injured and transported to hospital. One person arrested later in connection and police looking for other suspects. “At some point during the fight multiple persons retrieve handguns and began shooting,” said Monroe Police Sgt. Charles “Chuck” Johnson. “It was a clear division among groups with persons from both sides firing upon each other.  There were several shots fired from both groups.”</v>
      </c>
      <c r="W1080" s="1" t="str">
        <f ca="1">IFERROR(__xludf.DUMMYFUNCTION("""COMPUTED_VALUE"""),"Escalation of Dispute")</f>
        <v>Escalation of Dispute</v>
      </c>
      <c r="X1080" s="1" t="str">
        <f ca="1">IFERROR(__xludf.DUMMYFUNCTION("""COMPUTED_VALUE"""),"Victims Targeted")</f>
        <v>Victims Targeted</v>
      </c>
      <c r="Y1080" s="1" t="str">
        <f ca="1">IFERROR(__xludf.DUMMYFUNCTION("""COMPUTED_VALUE"""),"No")</f>
        <v>No</v>
      </c>
      <c r="Z1080" s="1"/>
      <c r="AA1080" s="1" t="str">
        <f ca="1">IFERROR(__xludf.DUMMYFUNCTION("""COMPUTED_VALUE"""),"No")</f>
        <v>No</v>
      </c>
      <c r="AB1080" s="1" t="str">
        <f ca="1">IFERROR(__xludf.DUMMYFUNCTION("""COMPUTED_VALUE"""),"No")</f>
        <v>No</v>
      </c>
      <c r="AC1080" s="1" t="str">
        <f ca="1">IFERROR(__xludf.DUMMYFUNCTION("""COMPUTED_VALUE"""),"No")</f>
        <v>No</v>
      </c>
      <c r="AD1080" s="1" t="str">
        <f ca="1">IFERROR(__xludf.DUMMYFUNCTION("""COMPUTED_VALUE"""),"No")</f>
        <v>No</v>
      </c>
      <c r="AE1080" s="1" t="str">
        <f ca="1">IFERROR(__xludf.DUMMYFUNCTION("""COMPUTED_VALUE"""),"No")</f>
        <v>No</v>
      </c>
      <c r="AF1080" s="1" t="str">
        <f ca="1">IFERROR(__xludf.DUMMYFUNCTION("""COMPUTED_VALUE"""),"Yes")</f>
        <v>Yes</v>
      </c>
      <c r="AG1080" s="1" t="str">
        <f ca="1">IFERROR(__xludf.DUMMYFUNCTION("""COMPUTED_VALUE"""),"No")</f>
        <v>No</v>
      </c>
      <c r="AH1080" s="1" t="str">
        <f ca="1">IFERROR(__xludf.DUMMYFUNCTION("""COMPUTED_VALUE"""),"&lt;10")</f>
        <v>&lt;10</v>
      </c>
    </row>
    <row r="1081" spans="1:34" ht="12.5">
      <c r="A1081" s="1" t="str">
        <f ca="1">IFERROR(__xludf.DUMMYFUNCTION("""COMPUTED_VALUE"""),"20200318LABOS")</f>
        <v>20200318LABOS</v>
      </c>
      <c r="B1081" s="1">
        <f ca="1">IFERROR(__xludf.DUMMYFUNCTION("""COMPUTED_VALUE"""),3)</f>
        <v>3</v>
      </c>
      <c r="C1081" s="1">
        <f ca="1">IFERROR(__xludf.DUMMYFUNCTION("""COMPUTED_VALUE"""),18)</f>
        <v>18</v>
      </c>
      <c r="D1081" s="1">
        <f ca="1">IFERROR(__xludf.DUMMYFUNCTION("""COMPUTED_VALUE"""),2020)</f>
        <v>2020</v>
      </c>
      <c r="E1081" s="4">
        <f ca="1">IFERROR(__xludf.DUMMYFUNCTION("""COMPUTED_VALUE"""),43908)</f>
        <v>43908</v>
      </c>
      <c r="F1081" s="1" t="str">
        <f ca="1">IFERROR(__xludf.DUMMYFUNCTION("""COMPUTED_VALUE"""),"Booker T. Washington High School")</f>
        <v>Booker T. Washington High School</v>
      </c>
      <c r="G1081" s="1">
        <f ca="1">IFERROR(__xludf.DUMMYFUNCTION("""COMPUTED_VALUE"""),0)</f>
        <v>0</v>
      </c>
      <c r="H1081" s="1">
        <f ca="1">IFERROR(__xludf.DUMMYFUNCTION("""COMPUTED_VALUE"""),1)</f>
        <v>1</v>
      </c>
      <c r="I1081" s="1">
        <f ca="1">IFERROR(__xludf.DUMMYFUNCTION("""COMPUTED_VALUE"""),1)</f>
        <v>1</v>
      </c>
      <c r="J1081" s="1">
        <f ca="1">IFERROR(__xludf.DUMMYFUNCTION("""COMPUTED_VALUE"""),0)</f>
        <v>0</v>
      </c>
      <c r="K1081" s="1" t="str">
        <f ca="1">IFERROR(__xludf.DUMMYFUNCTION("""COMPUTED_VALUE"""),"Spring")</f>
        <v>Spring</v>
      </c>
      <c r="L1081" s="1" t="str">
        <f ca="1">IFERROR(__xludf.DUMMYFUNCTION("""COMPUTED_VALUE"""),"Shreveport")</f>
        <v>Shreveport</v>
      </c>
      <c r="M1081" s="1" t="str">
        <f ca="1">IFERROR(__xludf.DUMMYFUNCTION("""COMPUTED_VALUE"""),"LA")</f>
        <v>LA</v>
      </c>
      <c r="N1081" s="1" t="str">
        <f ca="1">IFERROR(__xludf.DUMMYFUNCTION("""COMPUTED_VALUE"""),"High")</f>
        <v>High</v>
      </c>
      <c r="O1081" s="1" t="str">
        <f ca="1">IFERROR(__xludf.DUMMYFUNCTION("""COMPUTED_VALUE"""),"Parking Lot")</f>
        <v>Parking Lot</v>
      </c>
      <c r="P1081" s="1" t="str">
        <f ca="1">IFERROR(__xludf.DUMMYFUNCTION("""COMPUTED_VALUE"""),"Outside on School Property")</f>
        <v>Outside on School Property</v>
      </c>
      <c r="Q1081" s="1" t="str">
        <f ca="1">IFERROR(__xludf.DUMMYFUNCTION("""COMPUTED_VALUE"""),"No")</f>
        <v>No</v>
      </c>
      <c r="R1081" s="1" t="str">
        <f ca="1">IFERROR(__xludf.DUMMYFUNCTION("""COMPUTED_VALUE"""),"Night")</f>
        <v>Night</v>
      </c>
      <c r="S1081" s="5">
        <f ca="1">IFERROR(__xludf.DUMMYFUNCTION("""COMPUTED_VALUE"""),0.958333333333333)</f>
        <v>0.95833333333333304</v>
      </c>
      <c r="T1081" s="1">
        <f ca="1">IFERROR(__xludf.DUMMYFUNCTION("""COMPUTED_VALUE"""),1)</f>
        <v>1</v>
      </c>
      <c r="U1081" s="1" t="str">
        <f ca="1">IFERROR(__xludf.DUMMYFUNCTION("""COMPUTED_VALUE"""),"Teen shot outside of school during fight")</f>
        <v>Teen shot outside of school during fight</v>
      </c>
      <c r="V1081" s="1" t="str">
        <f ca="1">IFERROR(__xludf.DUMMYFUNCTION("""COMPUTED_VALUE"""),"15YOM shot in the leg during a fight with another teen in the parking lot outside of the school. Shooter fled the scene and was not arrested.")</f>
        <v>15YOM shot in the leg during a fight with another teen in the parking lot outside of the school. Shooter fled the scene and was not arrested.</v>
      </c>
      <c r="W1081" s="1" t="str">
        <f ca="1">IFERROR(__xludf.DUMMYFUNCTION("""COMPUTED_VALUE"""),"Escalation of Dispute")</f>
        <v>Escalation of Dispute</v>
      </c>
      <c r="X1081" s="1" t="str">
        <f ca="1">IFERROR(__xludf.DUMMYFUNCTION("""COMPUTED_VALUE"""),"Victims Targeted")</f>
        <v>Victims Targeted</v>
      </c>
      <c r="Y1081" s="1" t="str">
        <f ca="1">IFERROR(__xludf.DUMMYFUNCTION("""COMPUTED_VALUE"""),"No")</f>
        <v>No</v>
      </c>
      <c r="Z1081" s="1"/>
      <c r="AA1081" s="1" t="str">
        <f ca="1">IFERROR(__xludf.DUMMYFUNCTION("""COMPUTED_VALUE"""),"No")</f>
        <v>No</v>
      </c>
      <c r="AB1081" s="1" t="str">
        <f ca="1">IFERROR(__xludf.DUMMYFUNCTION("""COMPUTED_VALUE"""),"No")</f>
        <v>No</v>
      </c>
      <c r="AC1081" s="1" t="str">
        <f ca="1">IFERROR(__xludf.DUMMYFUNCTION("""COMPUTED_VALUE"""),"No")</f>
        <v>No</v>
      </c>
      <c r="AD1081" s="1" t="str">
        <f ca="1">IFERROR(__xludf.DUMMYFUNCTION("""COMPUTED_VALUE"""),"No")</f>
        <v>No</v>
      </c>
      <c r="AE1081" s="1" t="str">
        <f ca="1">IFERROR(__xludf.DUMMYFUNCTION("""COMPUTED_VALUE"""),"No")</f>
        <v>No</v>
      </c>
      <c r="AF1081" s="1" t="str">
        <f ca="1">IFERROR(__xludf.DUMMYFUNCTION("""COMPUTED_VALUE"""),"No")</f>
        <v>No</v>
      </c>
      <c r="AG1081" s="1" t="str">
        <f ca="1">IFERROR(__xludf.DUMMYFUNCTION("""COMPUTED_VALUE"""),"No")</f>
        <v>No</v>
      </c>
      <c r="AH1081" s="1">
        <f ca="1">IFERROR(__xludf.DUMMYFUNCTION("""COMPUTED_VALUE"""),1)</f>
        <v>1</v>
      </c>
    </row>
    <row r="1082" spans="1:34" ht="12.5">
      <c r="A1082" s="1" t="str">
        <f ca="1">IFERROR(__xludf.DUMMYFUNCTION("""COMPUTED_VALUE"""),"20200315TXATH")</f>
        <v>20200315TXATH</v>
      </c>
      <c r="B1082" s="1">
        <f ca="1">IFERROR(__xludf.DUMMYFUNCTION("""COMPUTED_VALUE"""),3)</f>
        <v>3</v>
      </c>
      <c r="C1082" s="1">
        <f ca="1">IFERROR(__xludf.DUMMYFUNCTION("""COMPUTED_VALUE"""),15)</f>
        <v>15</v>
      </c>
      <c r="D1082" s="1">
        <f ca="1">IFERROR(__xludf.DUMMYFUNCTION("""COMPUTED_VALUE"""),2020)</f>
        <v>2020</v>
      </c>
      <c r="E1082" s="4">
        <f ca="1">IFERROR(__xludf.DUMMYFUNCTION("""COMPUTED_VALUE"""),43905)</f>
        <v>43905</v>
      </c>
      <c r="F1082" s="1" t="str">
        <f ca="1">IFERROR(__xludf.DUMMYFUNCTION("""COMPUTED_VALUE"""),"Atascocita High School")</f>
        <v>Atascocita High School</v>
      </c>
      <c r="G1082" s="1">
        <f ca="1">IFERROR(__xludf.DUMMYFUNCTION("""COMPUTED_VALUE"""),1)</f>
        <v>1</v>
      </c>
      <c r="H1082" s="1">
        <f ca="1">IFERROR(__xludf.DUMMYFUNCTION("""COMPUTED_VALUE"""),0)</f>
        <v>0</v>
      </c>
      <c r="I1082" s="1">
        <f ca="1">IFERROR(__xludf.DUMMYFUNCTION("""COMPUTED_VALUE"""),1)</f>
        <v>1</v>
      </c>
      <c r="J1082" s="1">
        <f ca="1">IFERROR(__xludf.DUMMYFUNCTION("""COMPUTED_VALUE"""),0)</f>
        <v>0</v>
      </c>
      <c r="K1082" s="1" t="str">
        <f ca="1">IFERROR(__xludf.DUMMYFUNCTION("""COMPUTED_VALUE"""),"Spring")</f>
        <v>Spring</v>
      </c>
      <c r="L1082" s="1" t="str">
        <f ca="1">IFERROR(__xludf.DUMMYFUNCTION("""COMPUTED_VALUE"""),"Humble")</f>
        <v>Humble</v>
      </c>
      <c r="M1082" s="1" t="str">
        <f ca="1">IFERROR(__xludf.DUMMYFUNCTION("""COMPUTED_VALUE"""),"TX")</f>
        <v>TX</v>
      </c>
      <c r="N1082" s="1" t="str">
        <f ca="1">IFERROR(__xludf.DUMMYFUNCTION("""COMPUTED_VALUE"""),"High")</f>
        <v>High</v>
      </c>
      <c r="O1082" s="1" t="str">
        <f ca="1">IFERROR(__xludf.DUMMYFUNCTION("""COMPUTED_VALUE"""),"Football Field/Track")</f>
        <v>Football Field/Track</v>
      </c>
      <c r="P1082" s="1" t="str">
        <f ca="1">IFERROR(__xludf.DUMMYFUNCTION("""COMPUTED_VALUE"""),"Outside on School Property")</f>
        <v>Outside on School Property</v>
      </c>
      <c r="Q1082" s="1" t="str">
        <f ca="1">IFERROR(__xludf.DUMMYFUNCTION("""COMPUTED_VALUE"""),"No")</f>
        <v>No</v>
      </c>
      <c r="R1082" s="1" t="str">
        <f ca="1">IFERROR(__xludf.DUMMYFUNCTION("""COMPUTED_VALUE"""),"Not a School Day")</f>
        <v>Not a School Day</v>
      </c>
      <c r="S1082" s="5">
        <f ca="1">IFERROR(__xludf.DUMMYFUNCTION("""COMPUTED_VALUE"""),0.447916666666666)</f>
        <v>0.44791666666666602</v>
      </c>
      <c r="T1082" s="1">
        <f ca="1">IFERROR(__xludf.DUMMYFUNCTION("""COMPUTED_VALUE"""),1)</f>
        <v>1</v>
      </c>
      <c r="U1082" s="1" t="str">
        <f ca="1">IFERROR(__xludf.DUMMYFUNCTION("""COMPUTED_VALUE"""),"19YOM former student shot during fight on school football field")</f>
        <v>19YOM former student shot during fight on school football field</v>
      </c>
      <c r="V1082" s="1" t="str">
        <f ca="1">IFERROR(__xludf.DUMMYFUNCTION("""COMPUTED_VALUE"""),"20YOM (former student) shot another 19YOM (former student) during a fight on the high school football field. Victim was targeted and had prior disputes with shooter. Shooter chased down victim and shot him multiple times. 20-30 men had jumped the fence an"&amp;"d were on the football field during the shooting. Shooter fled the scene and murder warrant was issued.")</f>
        <v>20YOM (former student) shot another 19YOM (former student) during a fight on the high school football field. Victim was targeted and had prior disputes with shooter. Shooter chased down victim and shot him multiple times. 20-30 men had jumped the fence and were on the football field during the shooting. Shooter fled the scene and murder warrant was issued.</v>
      </c>
      <c r="W1082" s="1" t="str">
        <f ca="1">IFERROR(__xludf.DUMMYFUNCTION("""COMPUTED_VALUE"""),"Escalation of Dispute")</f>
        <v>Escalation of Dispute</v>
      </c>
      <c r="X1082" s="1" t="str">
        <f ca="1">IFERROR(__xludf.DUMMYFUNCTION("""COMPUTED_VALUE"""),"Victims Targeted")</f>
        <v>Victims Targeted</v>
      </c>
      <c r="Y1082" s="1"/>
      <c r="Z1082" s="1" t="str">
        <f ca="1">IFERROR(__xludf.DUMMYFUNCTION("""COMPUTED_VALUE"""),"20-30 men on the field during the shooting")</f>
        <v>20-30 men on the field during the shooting</v>
      </c>
      <c r="AA1082" s="1" t="str">
        <f ca="1">IFERROR(__xludf.DUMMYFUNCTION("""COMPUTED_VALUE"""),"No")</f>
        <v>No</v>
      </c>
      <c r="AB1082" s="1" t="str">
        <f ca="1">IFERROR(__xludf.DUMMYFUNCTION("""COMPUTED_VALUE"""),"No")</f>
        <v>No</v>
      </c>
      <c r="AC1082" s="1" t="str">
        <f ca="1">IFERROR(__xludf.DUMMYFUNCTION("""COMPUTED_VALUE"""),"No")</f>
        <v>No</v>
      </c>
      <c r="AD1082" s="1" t="str">
        <f ca="1">IFERROR(__xludf.DUMMYFUNCTION("""COMPUTED_VALUE"""),"No")</f>
        <v>No</v>
      </c>
      <c r="AE1082" s="1" t="str">
        <f ca="1">IFERROR(__xludf.DUMMYFUNCTION("""COMPUTED_VALUE"""),"No")</f>
        <v>No</v>
      </c>
      <c r="AF1082" s="1" t="str">
        <f ca="1">IFERROR(__xludf.DUMMYFUNCTION("""COMPUTED_VALUE"""),"No")</f>
        <v>No</v>
      </c>
      <c r="AG1082" s="1" t="str">
        <f ca="1">IFERROR(__xludf.DUMMYFUNCTION("""COMPUTED_VALUE"""),"No")</f>
        <v>No</v>
      </c>
      <c r="AH1082" s="1" t="str">
        <f ca="1">IFERROR(__xludf.DUMMYFUNCTION("""COMPUTED_VALUE"""),"&lt;10")</f>
        <v>&lt;10</v>
      </c>
    </row>
    <row r="1083" spans="1:34" ht="12.5">
      <c r="A1083" s="1" t="str">
        <f ca="1">IFERROR(__xludf.DUMMYFUNCTION("""COMPUTED_VALUE"""),"20200313TNPIR")</f>
        <v>20200313TNPIR</v>
      </c>
      <c r="B1083" s="1">
        <f ca="1">IFERROR(__xludf.DUMMYFUNCTION("""COMPUTED_VALUE"""),3)</f>
        <v>3</v>
      </c>
      <c r="C1083" s="1">
        <f ca="1">IFERROR(__xludf.DUMMYFUNCTION("""COMPUTED_VALUE"""),13)</f>
        <v>13</v>
      </c>
      <c r="D1083" s="1">
        <f ca="1">IFERROR(__xludf.DUMMYFUNCTION("""COMPUTED_VALUE"""),2020)</f>
        <v>2020</v>
      </c>
      <c r="E1083" s="4">
        <f ca="1">IFERROR(__xludf.DUMMYFUNCTION("""COMPUTED_VALUE"""),43903)</f>
        <v>43903</v>
      </c>
      <c r="F1083" s="1" t="str">
        <f ca="1">IFERROR(__xludf.DUMMYFUNCTION("""COMPUTED_VALUE"""),"Pine View Elementary")</f>
        <v>Pine View Elementary</v>
      </c>
      <c r="G1083" s="1">
        <f ca="1">IFERROR(__xludf.DUMMYFUNCTION("""COMPUTED_VALUE"""),0)</f>
        <v>0</v>
      </c>
      <c r="H1083" s="1">
        <f ca="1">IFERROR(__xludf.DUMMYFUNCTION("""COMPUTED_VALUE"""),0)</f>
        <v>0</v>
      </c>
      <c r="I1083" s="1">
        <f ca="1">IFERROR(__xludf.DUMMYFUNCTION("""COMPUTED_VALUE"""),0)</f>
        <v>0</v>
      </c>
      <c r="J1083" s="1">
        <f ca="1">IFERROR(__xludf.DUMMYFUNCTION("""COMPUTED_VALUE"""),0)</f>
        <v>0</v>
      </c>
      <c r="K1083" s="1" t="str">
        <f ca="1">IFERROR(__xludf.DUMMYFUNCTION("""COMPUTED_VALUE"""),"Spring")</f>
        <v>Spring</v>
      </c>
      <c r="L1083" s="1" t="str">
        <f ca="1">IFERROR(__xludf.DUMMYFUNCTION("""COMPUTED_VALUE"""),"Rockwood")</f>
        <v>Rockwood</v>
      </c>
      <c r="M1083" s="1" t="str">
        <f ca="1">IFERROR(__xludf.DUMMYFUNCTION("""COMPUTED_VALUE"""),"TN")</f>
        <v>TN</v>
      </c>
      <c r="N1083" s="1" t="str">
        <f ca="1">IFERROR(__xludf.DUMMYFUNCTION("""COMPUTED_VALUE"""),"Elementary")</f>
        <v>Elementary</v>
      </c>
      <c r="O1083" s="1" t="str">
        <f ca="1">IFERROR(__xludf.DUMMYFUNCTION("""COMPUTED_VALUE"""),"Office")</f>
        <v>Office</v>
      </c>
      <c r="P1083" s="1" t="str">
        <f ca="1">IFERROR(__xludf.DUMMYFUNCTION("""COMPUTED_VALUE"""),"Inside School Building")</f>
        <v>Inside School Building</v>
      </c>
      <c r="Q1083" s="1" t="str">
        <f ca="1">IFERROR(__xludf.DUMMYFUNCTION("""COMPUTED_VALUE"""),"Yes")</f>
        <v>Yes</v>
      </c>
      <c r="R1083" s="1" t="str">
        <f ca="1">IFERROR(__xludf.DUMMYFUNCTION("""COMPUTED_VALUE"""),"Morning Classes")</f>
        <v>Morning Classes</v>
      </c>
      <c r="S1083" s="1"/>
      <c r="T1083" s="1">
        <f ca="1">IFERROR(__xludf.DUMMYFUNCTION("""COMPUTED_VALUE"""),1)</f>
        <v>1</v>
      </c>
      <c r="U1083" s="1" t="str">
        <f ca="1">IFERROR(__xludf.DUMMYFUNCTION("""COMPUTED_VALUE"""),"SRO discharged firearm inside his office in the school")</f>
        <v>SRO discharged firearm inside his office in the school</v>
      </c>
      <c r="V1083" s="1" t="str">
        <f ca="1">IFERROR(__xludf.DUMMYFUNCTION("""COMPUTED_VALUE"""),"SRO discharged firearm inside his office inside the elementary school. No students were inside the office during the shooting. Officer notified authorities and placed on administrative leave.")</f>
        <v>SRO discharged firearm inside his office inside the elementary school. No students were inside the office during the shooting. Officer notified authorities and placed on administrative leave.</v>
      </c>
      <c r="W1083" s="1" t="str">
        <f ca="1">IFERROR(__xludf.DUMMYFUNCTION("""COMPUTED_VALUE"""),"Accidental")</f>
        <v>Accidental</v>
      </c>
      <c r="X1083" s="1" t="str">
        <f ca="1">IFERROR(__xludf.DUMMYFUNCTION("""COMPUTED_VALUE"""),"Neither")</f>
        <v>Neither</v>
      </c>
      <c r="Y1083" s="1" t="str">
        <f ca="1">IFERROR(__xludf.DUMMYFUNCTION("""COMPUTED_VALUE"""),"No")</f>
        <v>No</v>
      </c>
      <c r="Z1083" s="1"/>
      <c r="AA1083" s="1" t="str">
        <f ca="1">IFERROR(__xludf.DUMMYFUNCTION("""COMPUTED_VALUE"""),"No")</f>
        <v>No</v>
      </c>
      <c r="AB1083" s="1" t="str">
        <f ca="1">IFERROR(__xludf.DUMMYFUNCTION("""COMPUTED_VALUE"""),"No")</f>
        <v>No</v>
      </c>
      <c r="AC1083" s="1" t="str">
        <f ca="1">IFERROR(__xludf.DUMMYFUNCTION("""COMPUTED_VALUE"""),"Yes")</f>
        <v>Yes</v>
      </c>
      <c r="AD1083" s="1" t="str">
        <f ca="1">IFERROR(__xludf.DUMMYFUNCTION("""COMPUTED_VALUE"""),"N/A")</f>
        <v>N/A</v>
      </c>
      <c r="AE1083" s="1" t="str">
        <f ca="1">IFERROR(__xludf.DUMMYFUNCTION("""COMPUTED_VALUE"""),"N/A")</f>
        <v>N/A</v>
      </c>
      <c r="AF1083" s="1" t="str">
        <f ca="1">IFERROR(__xludf.DUMMYFUNCTION("""COMPUTED_VALUE"""),"N/A")</f>
        <v>N/A</v>
      </c>
      <c r="AG1083" s="1" t="str">
        <f ca="1">IFERROR(__xludf.DUMMYFUNCTION("""COMPUTED_VALUE"""),"N/A")</f>
        <v>N/A</v>
      </c>
      <c r="AH1083" s="1">
        <f ca="1">IFERROR(__xludf.DUMMYFUNCTION("""COMPUTED_VALUE"""),1)</f>
        <v>1</v>
      </c>
    </row>
    <row r="1084" spans="1:34" ht="12.5">
      <c r="A1084" s="1" t="str">
        <f ca="1">IFERROR(__xludf.DUMMYFUNCTION("""COMPUTED_VALUE"""),"20200310PASHN")</f>
        <v>20200310PASHN</v>
      </c>
      <c r="B1084" s="1">
        <f ca="1">IFERROR(__xludf.DUMMYFUNCTION("""COMPUTED_VALUE"""),3)</f>
        <v>3</v>
      </c>
      <c r="C1084" s="1">
        <f ca="1">IFERROR(__xludf.DUMMYFUNCTION("""COMPUTED_VALUE"""),10)</f>
        <v>10</v>
      </c>
      <c r="D1084" s="1">
        <f ca="1">IFERROR(__xludf.DUMMYFUNCTION("""COMPUTED_VALUE"""),2020)</f>
        <v>2020</v>
      </c>
      <c r="E1084" s="4">
        <f ca="1">IFERROR(__xludf.DUMMYFUNCTION("""COMPUTED_VALUE"""),43900)</f>
        <v>43900</v>
      </c>
      <c r="F1084" s="1" t="str">
        <f ca="1">IFERROR(__xludf.DUMMYFUNCTION("""COMPUTED_VALUE"""),"Shenango Area Schools (bus)")</f>
        <v>Shenango Area Schools (bus)</v>
      </c>
      <c r="G1084" s="1">
        <f ca="1">IFERROR(__xludf.DUMMYFUNCTION("""COMPUTED_VALUE"""),0)</f>
        <v>0</v>
      </c>
      <c r="H1084" s="1">
        <f ca="1">IFERROR(__xludf.DUMMYFUNCTION("""COMPUTED_VALUE"""),0)</f>
        <v>0</v>
      </c>
      <c r="I1084" s="1">
        <f ca="1">IFERROR(__xludf.DUMMYFUNCTION("""COMPUTED_VALUE"""),0)</f>
        <v>0</v>
      </c>
      <c r="J1084" s="1">
        <f ca="1">IFERROR(__xludf.DUMMYFUNCTION("""COMPUTED_VALUE"""),0)</f>
        <v>0</v>
      </c>
      <c r="K1084" s="1" t="str">
        <f ca="1">IFERROR(__xludf.DUMMYFUNCTION("""COMPUTED_VALUE"""),"Spring")</f>
        <v>Spring</v>
      </c>
      <c r="L1084" s="1" t="str">
        <f ca="1">IFERROR(__xludf.DUMMYFUNCTION("""COMPUTED_VALUE"""),"New Castle")</f>
        <v>New Castle</v>
      </c>
      <c r="M1084" s="1" t="str">
        <f ca="1">IFERROR(__xludf.DUMMYFUNCTION("""COMPUTED_VALUE"""),"PA")</f>
        <v>PA</v>
      </c>
      <c r="N1084" s="1" t="str">
        <f ca="1">IFERROR(__xludf.DUMMYFUNCTION("""COMPUTED_VALUE"""),"Elementary")</f>
        <v>Elementary</v>
      </c>
      <c r="O1084" s="1" t="str">
        <f ca="1">IFERROR(__xludf.DUMMYFUNCTION("""COMPUTED_VALUE"""),"School Bus")</f>
        <v>School Bus</v>
      </c>
      <c r="P1084" s="1" t="str">
        <f ca="1">IFERROR(__xludf.DUMMYFUNCTION("""COMPUTED_VALUE"""),"School Bus")</f>
        <v>School Bus</v>
      </c>
      <c r="Q1084" s="1" t="str">
        <f ca="1">IFERROR(__xludf.DUMMYFUNCTION("""COMPUTED_VALUE"""),"Yes")</f>
        <v>Yes</v>
      </c>
      <c r="R1084" s="1" t="str">
        <f ca="1">IFERROR(__xludf.DUMMYFUNCTION("""COMPUTED_VALUE"""),"School Start")</f>
        <v>School Start</v>
      </c>
      <c r="S1084" s="5">
        <f ca="1">IFERROR(__xludf.DUMMYFUNCTION("""COMPUTED_VALUE"""),0.363194444444444)</f>
        <v>0.36319444444444399</v>
      </c>
      <c r="T1084" s="1">
        <f ca="1">IFERROR(__xludf.DUMMYFUNCTION("""COMPUTED_VALUE"""),1)</f>
        <v>1</v>
      </c>
      <c r="U1084" s="1" t="str">
        <f ca="1">IFERROR(__xludf.DUMMYFUNCTION("""COMPUTED_VALUE"""),"Adult male fired shot breaking two windows of school van with elementary school students abroad")</f>
        <v>Adult male fired shot breaking two windows of school van with elementary school students abroad</v>
      </c>
      <c r="V1084" s="1" t="str">
        <f ca="1">IFERROR(__xludf.DUMMYFUNCTION("""COMPUTED_VALUE"""),"41YOM fired rifle at school van (7 students inside) traveling along highway. Bullet broke window, traveled across van, and broke a second window on the opposite side. 15 bullets struck different parts of the school bus. None of the students were injured. "&amp;"Shooter was arrested by police hiding in a wooded area with a .22 rifle and .22 pistol. Benetas was dressed in a woodland camouflage ghillie suit, commonly used by military personnel for concealment evasion, overalls, gloves, a camo boonie hat, camo facem"&amp;"ask and two tactical magazine pouches. Police said they found .22-caliber long rifle with a suppressor lying on the ground next to him. The rifle had a targeting scope and “bumpfire” buttstock, a device that allows a semiautomatic firearm to fire more tha"&amp;"n one shot with a single pull of the trigger. Officers also found a .22-caliber Walther PPK semi automatic handgun with eight live rounds in the magazine in a shoulder holster on Benetas.")</f>
        <v>41YOM fired rifle at school van (7 students inside) traveling along highway. Bullet broke window, traveled across van, and broke a second window on the opposite side. 15 bullets struck different parts of the school bus. None of the students were injured. Shooter was arrested by police hiding in a wooded area with a .22 rifle and .22 pistol. Benetas was dressed in a woodland camouflage ghillie suit, commonly used by military personnel for concealment evasion, overalls, gloves, a camo boonie hat, camo facemask and two tactical magazine pouches. Police said they found .22-caliber long rifle with a suppressor lying on the ground next to him. The rifle had a targeting scope and “bumpfire” buttstock, a device that allows a semiautomatic firearm to fire more than one shot with a single pull of the trigger. Officers also found a .22-caliber Walther PPK semi automatic handgun with eight live rounds in the magazine in a shoulder holster on Benetas.</v>
      </c>
      <c r="W1084" s="1" t="str">
        <f ca="1">IFERROR(__xludf.DUMMYFUNCTION("""COMPUTED_VALUE"""),"Indiscriminate Shooting")</f>
        <v>Indiscriminate Shooting</v>
      </c>
      <c r="X1084" s="1"/>
      <c r="Y1084" s="1" t="str">
        <f ca="1">IFERROR(__xludf.DUMMYFUNCTION("""COMPUTED_VALUE"""),"No")</f>
        <v>No</v>
      </c>
      <c r="Z1084" s="1"/>
      <c r="AA1084" s="1" t="str">
        <f ca="1">IFERROR(__xludf.DUMMYFUNCTION("""COMPUTED_VALUE"""),"No")</f>
        <v>No</v>
      </c>
      <c r="AB1084" s="1" t="str">
        <f ca="1">IFERROR(__xludf.DUMMYFUNCTION("""COMPUTED_VALUE"""),"No")</f>
        <v>No</v>
      </c>
      <c r="AC1084" s="1" t="str">
        <f ca="1">IFERROR(__xludf.DUMMYFUNCTION("""COMPUTED_VALUE"""),"No")</f>
        <v>No</v>
      </c>
      <c r="AD1084" s="1" t="str">
        <f ca="1">IFERROR(__xludf.DUMMYFUNCTION("""COMPUTED_VALUE"""),"No")</f>
        <v>No</v>
      </c>
      <c r="AE1084" s="1" t="str">
        <f ca="1">IFERROR(__xludf.DUMMYFUNCTION("""COMPUTED_VALUE"""),"No")</f>
        <v>No</v>
      </c>
      <c r="AF1084" s="1" t="str">
        <f ca="1">IFERROR(__xludf.DUMMYFUNCTION("""COMPUTED_VALUE"""),"No")</f>
        <v>No</v>
      </c>
      <c r="AG1084" s="1" t="str">
        <f ca="1">IFERROR(__xludf.DUMMYFUNCTION("""COMPUTED_VALUE"""),"No")</f>
        <v>No</v>
      </c>
      <c r="AH1084" s="1">
        <f ca="1">IFERROR(__xludf.DUMMYFUNCTION("""COMPUTED_VALUE"""),1)</f>
        <v>1</v>
      </c>
    </row>
    <row r="1085" spans="1:34" ht="12.5">
      <c r="A1085" s="1" t="str">
        <f ca="1">IFERROR(__xludf.DUMMYFUNCTION("""COMPUTED_VALUE"""),"20200305FLSAW")</f>
        <v>20200305FLSAW</v>
      </c>
      <c r="B1085" s="1">
        <f ca="1">IFERROR(__xludf.DUMMYFUNCTION("""COMPUTED_VALUE"""),3)</f>
        <v>3</v>
      </c>
      <c r="C1085" s="1">
        <f ca="1">IFERROR(__xludf.DUMMYFUNCTION("""COMPUTED_VALUE"""),5)</f>
        <v>5</v>
      </c>
      <c r="D1085" s="1">
        <f ca="1">IFERROR(__xludf.DUMMYFUNCTION("""COMPUTED_VALUE"""),2020)</f>
        <v>2020</v>
      </c>
      <c r="E1085" s="4">
        <f ca="1">IFERROR(__xludf.DUMMYFUNCTION("""COMPUTED_VALUE"""),43895)</f>
        <v>43895</v>
      </c>
      <c r="F1085" s="1" t="str">
        <f ca="1">IFERROR(__xludf.DUMMYFUNCTION("""COMPUTED_VALUE"""),"Sagemont School")</f>
        <v>Sagemont School</v>
      </c>
      <c r="G1085" s="1">
        <f ca="1">IFERROR(__xludf.DUMMYFUNCTION("""COMPUTED_VALUE"""),0)</f>
        <v>0</v>
      </c>
      <c r="H1085" s="1">
        <f ca="1">IFERROR(__xludf.DUMMYFUNCTION("""COMPUTED_VALUE"""),1)</f>
        <v>1</v>
      </c>
      <c r="I1085" s="1">
        <f ca="1">IFERROR(__xludf.DUMMYFUNCTION("""COMPUTED_VALUE"""),1)</f>
        <v>1</v>
      </c>
      <c r="J1085" s="1">
        <f ca="1">IFERROR(__xludf.DUMMYFUNCTION("""COMPUTED_VALUE"""),0)</f>
        <v>0</v>
      </c>
      <c r="K1085" s="1" t="str">
        <f ca="1">IFERROR(__xludf.DUMMYFUNCTION("""COMPUTED_VALUE"""),"Spring")</f>
        <v>Spring</v>
      </c>
      <c r="L1085" s="1" t="str">
        <f ca="1">IFERROR(__xludf.DUMMYFUNCTION("""COMPUTED_VALUE"""),"Weston")</f>
        <v>Weston</v>
      </c>
      <c r="M1085" s="1" t="str">
        <f ca="1">IFERROR(__xludf.DUMMYFUNCTION("""COMPUTED_VALUE"""),"FL")</f>
        <v>FL</v>
      </c>
      <c r="N1085" s="1" t="str">
        <f ca="1">IFERROR(__xludf.DUMMYFUNCTION("""COMPUTED_VALUE"""),"K-12")</f>
        <v>K-12</v>
      </c>
      <c r="O1085" s="1" t="str">
        <f ca="1">IFERROR(__xludf.DUMMYFUNCTION("""COMPUTED_VALUE"""),"Parking Lot")</f>
        <v>Parking Lot</v>
      </c>
      <c r="P1085" s="1" t="str">
        <f ca="1">IFERROR(__xludf.DUMMYFUNCTION("""COMPUTED_VALUE"""),"Outside on School Property")</f>
        <v>Outside on School Property</v>
      </c>
      <c r="Q1085" s="1" t="str">
        <f ca="1">IFERROR(__xludf.DUMMYFUNCTION("""COMPUTED_VALUE"""),"Yes")</f>
        <v>Yes</v>
      </c>
      <c r="R1085" s="1" t="str">
        <f ca="1">IFERROR(__xludf.DUMMYFUNCTION("""COMPUTED_VALUE"""),"Lunch")</f>
        <v>Lunch</v>
      </c>
      <c r="S1085" s="5">
        <f ca="1">IFERROR(__xludf.DUMMYFUNCTION("""COMPUTED_VALUE"""),0.513888888888888)</f>
        <v>0.51388888888888795</v>
      </c>
      <c r="T1085" s="1">
        <f ca="1">IFERROR(__xludf.DUMMYFUNCTION("""COMPUTED_VALUE"""),1)</f>
        <v>1</v>
      </c>
      <c r="U1085" s="1" t="str">
        <f ca="1">IFERROR(__xludf.DUMMYFUNCTION("""COMPUTED_VALUE"""),"School security officer was showing off gun and accidentally shot another school employee")</f>
        <v>School security officer was showing off gun and accidentally shot another school employee</v>
      </c>
      <c r="V1085" s="1" t="str">
        <f ca="1">IFERROR(__xludf.DUMMYFUNCTION("""COMPUTED_VALUE"""),"55YOM security officer was showing a handgun to a coworker in the school parking lot when he accidentally fired the weapon striking the other employee in the eye. The security officer drove the school employee to a health clinic and then drove home. Arres"&amp;"ted after the health clinic notified police about the injury. The security guard was not authorized to carry the weapon at the school.")</f>
        <v>55YOM security officer was showing a handgun to a coworker in the school parking lot when he accidentally fired the weapon striking the other employee in the eye. The security officer drove the school employee to a health clinic and then drove home. Arrested after the health clinic notified police about the injury. The security guard was not authorized to carry the weapon at the school.</v>
      </c>
      <c r="W1085" s="1" t="str">
        <f ca="1">IFERROR(__xludf.DUMMYFUNCTION("""COMPUTED_VALUE"""),"Accidental")</f>
        <v>Accidental</v>
      </c>
      <c r="X1085" s="1" t="str">
        <f ca="1">IFERROR(__xludf.DUMMYFUNCTION("""COMPUTED_VALUE"""),"Random Shooting")</f>
        <v>Random Shooting</v>
      </c>
      <c r="Y1085" s="1" t="str">
        <f ca="1">IFERROR(__xludf.DUMMYFUNCTION("""COMPUTED_VALUE"""),"No")</f>
        <v>No</v>
      </c>
      <c r="Z1085" s="1"/>
      <c r="AA1085" s="1" t="str">
        <f ca="1">IFERROR(__xludf.DUMMYFUNCTION("""COMPUTED_VALUE"""),"No")</f>
        <v>No</v>
      </c>
      <c r="AB1085" s="1" t="str">
        <f ca="1">IFERROR(__xludf.DUMMYFUNCTION("""COMPUTED_VALUE"""),"No")</f>
        <v>No</v>
      </c>
      <c r="AC1085" s="1" t="str">
        <f ca="1">IFERROR(__xludf.DUMMYFUNCTION("""COMPUTED_VALUE"""),"No")</f>
        <v>No</v>
      </c>
      <c r="AD1085" s="1" t="str">
        <f ca="1">IFERROR(__xludf.DUMMYFUNCTION("""COMPUTED_VALUE"""),"No")</f>
        <v>No</v>
      </c>
      <c r="AE1085" s="1" t="str">
        <f ca="1">IFERROR(__xludf.DUMMYFUNCTION("""COMPUTED_VALUE"""),"No")</f>
        <v>No</v>
      </c>
      <c r="AF1085" s="1" t="str">
        <f ca="1">IFERROR(__xludf.DUMMYFUNCTION("""COMPUTED_VALUE"""),"No")</f>
        <v>No</v>
      </c>
      <c r="AG1085" s="1" t="str">
        <f ca="1">IFERROR(__xludf.DUMMYFUNCTION("""COMPUTED_VALUE"""),"No")</f>
        <v>No</v>
      </c>
      <c r="AH1085" s="1">
        <f ca="1">IFERROR(__xludf.DUMMYFUNCTION("""COMPUTED_VALUE"""),1)</f>
        <v>1</v>
      </c>
    </row>
    <row r="1086" spans="1:34" ht="12.5">
      <c r="A1086" s="1" t="str">
        <f ca="1">IFERROR(__xludf.DUMMYFUNCTION("""COMPUTED_VALUE"""),"20200302TXNOF")</f>
        <v>20200302TXNOF</v>
      </c>
      <c r="B1086" s="1">
        <f ca="1">IFERROR(__xludf.DUMMYFUNCTION("""COMPUTED_VALUE"""),3)</f>
        <v>3</v>
      </c>
      <c r="C1086" s="1">
        <f ca="1">IFERROR(__xludf.DUMMYFUNCTION("""COMPUTED_VALUE"""),2)</f>
        <v>2</v>
      </c>
      <c r="D1086" s="1">
        <f ca="1">IFERROR(__xludf.DUMMYFUNCTION("""COMPUTED_VALUE"""),2020)</f>
        <v>2020</v>
      </c>
      <c r="E1086" s="4">
        <f ca="1">IFERROR(__xludf.DUMMYFUNCTION("""COMPUTED_VALUE"""),43892)</f>
        <v>43892</v>
      </c>
      <c r="F1086" s="1" t="str">
        <f ca="1">IFERROR(__xludf.DUMMYFUNCTION("""COMPUTED_VALUE"""),"North Forney High School")</f>
        <v>North Forney High School</v>
      </c>
      <c r="G1086" s="1">
        <f ca="1">IFERROR(__xludf.DUMMYFUNCTION("""COMPUTED_VALUE"""),0)</f>
        <v>0</v>
      </c>
      <c r="H1086" s="1">
        <f ca="1">IFERROR(__xludf.DUMMYFUNCTION("""COMPUTED_VALUE"""),0)</f>
        <v>0</v>
      </c>
      <c r="I1086" s="1">
        <f ca="1">IFERROR(__xludf.DUMMYFUNCTION("""COMPUTED_VALUE"""),0)</f>
        <v>0</v>
      </c>
      <c r="J1086" s="1">
        <f ca="1">IFERROR(__xludf.DUMMYFUNCTION("""COMPUTED_VALUE"""),0)</f>
        <v>0</v>
      </c>
      <c r="K1086" s="1" t="str">
        <f ca="1">IFERROR(__xludf.DUMMYFUNCTION("""COMPUTED_VALUE"""),"Spring")</f>
        <v>Spring</v>
      </c>
      <c r="L1086" s="1" t="str">
        <f ca="1">IFERROR(__xludf.DUMMYFUNCTION("""COMPUTED_VALUE"""),"Forney")</f>
        <v>Forney</v>
      </c>
      <c r="M1086" s="1" t="str">
        <f ca="1">IFERROR(__xludf.DUMMYFUNCTION("""COMPUTED_VALUE"""),"TX")</f>
        <v>TX</v>
      </c>
      <c r="N1086" s="1" t="str">
        <f ca="1">IFERROR(__xludf.DUMMYFUNCTION("""COMPUTED_VALUE"""),"High")</f>
        <v>High</v>
      </c>
      <c r="O1086" s="1" t="str">
        <f ca="1">IFERROR(__xludf.DUMMYFUNCTION("""COMPUTED_VALUE"""),"Inside School Building")</f>
        <v>Inside School Building</v>
      </c>
      <c r="P1086" s="1" t="str">
        <f ca="1">IFERROR(__xludf.DUMMYFUNCTION("""COMPUTED_VALUE"""),"Inside School Building")</f>
        <v>Inside School Building</v>
      </c>
      <c r="Q1086" s="1" t="str">
        <f ca="1">IFERROR(__xludf.DUMMYFUNCTION("""COMPUTED_VALUE"""),"Yes")</f>
        <v>Yes</v>
      </c>
      <c r="R1086" s="1" t="str">
        <f ca="1">IFERROR(__xludf.DUMMYFUNCTION("""COMPUTED_VALUE"""),"Morning Classes")</f>
        <v>Morning Classes</v>
      </c>
      <c r="S1086" s="5">
        <f ca="1">IFERROR(__xludf.DUMMYFUNCTION("""COMPUTED_VALUE"""),0.458333333333333)</f>
        <v>0.45833333333333298</v>
      </c>
      <c r="T1086" s="1">
        <f ca="1">IFERROR(__xludf.DUMMYFUNCTION("""COMPUTED_VALUE"""),1)</f>
        <v>1</v>
      </c>
      <c r="U1086" s="1" t="str">
        <f ca="1">IFERROR(__xludf.DUMMYFUNCTION("""COMPUTED_VALUE"""),"Accidental discharge showing off gun")</f>
        <v>Accidental discharge showing off gun</v>
      </c>
      <c r="V1086" s="1" t="str">
        <f ca="1">IFERROR(__xludf.DUMMYFUNCTION("""COMPUTED_VALUE"""),"Student accidentally fired handgun inside school. Police said there was no intent to harm or threat made. School locked down and student arrested.")</f>
        <v>Student accidentally fired handgun inside school. Police said there was no intent to harm or threat made. School locked down and student arrested.</v>
      </c>
      <c r="W1086" s="1" t="str">
        <f ca="1">IFERROR(__xludf.DUMMYFUNCTION("""COMPUTED_VALUE"""),"Accidental")</f>
        <v>Accidental</v>
      </c>
      <c r="X1086" s="1" t="str">
        <f ca="1">IFERROR(__xludf.DUMMYFUNCTION("""COMPUTED_VALUE"""),"Neither")</f>
        <v>Neither</v>
      </c>
      <c r="Y1086" s="1" t="str">
        <f ca="1">IFERROR(__xludf.DUMMYFUNCTION("""COMPUTED_VALUE"""),"No")</f>
        <v>No</v>
      </c>
      <c r="Z1086" s="1"/>
      <c r="AA1086" s="1" t="str">
        <f ca="1">IFERROR(__xludf.DUMMYFUNCTION("""COMPUTED_VALUE"""),"No")</f>
        <v>No</v>
      </c>
      <c r="AB1086" s="1" t="str">
        <f ca="1">IFERROR(__xludf.DUMMYFUNCTION("""COMPUTED_VALUE"""),"No")</f>
        <v>No</v>
      </c>
      <c r="AC1086" s="1" t="str">
        <f ca="1">IFERROR(__xludf.DUMMYFUNCTION("""COMPUTED_VALUE"""),"No")</f>
        <v>No</v>
      </c>
      <c r="AD1086" s="1" t="str">
        <f ca="1">IFERROR(__xludf.DUMMYFUNCTION("""COMPUTED_VALUE"""),"No")</f>
        <v>No</v>
      </c>
      <c r="AE1086" s="1" t="str">
        <f ca="1">IFERROR(__xludf.DUMMYFUNCTION("""COMPUTED_VALUE"""),"No")</f>
        <v>No</v>
      </c>
      <c r="AF1086" s="1" t="str">
        <f ca="1">IFERROR(__xludf.DUMMYFUNCTION("""COMPUTED_VALUE"""),"No")</f>
        <v>No</v>
      </c>
      <c r="AG1086" s="1" t="str">
        <f ca="1">IFERROR(__xludf.DUMMYFUNCTION("""COMPUTED_VALUE"""),"No")</f>
        <v>No</v>
      </c>
      <c r="AH1086" s="1">
        <f ca="1">IFERROR(__xludf.DUMMYFUNCTION("""COMPUTED_VALUE"""),1)</f>
        <v>1</v>
      </c>
    </row>
    <row r="1087" spans="1:34" ht="12.5">
      <c r="A1087" s="1" t="str">
        <f ca="1">IFERROR(__xludf.DUMMYFUNCTION("""COMPUTED_VALUE"""),"20200227FLJET")</f>
        <v>20200227FLJET</v>
      </c>
      <c r="B1087" s="1">
        <f ca="1">IFERROR(__xludf.DUMMYFUNCTION("""COMPUTED_VALUE"""),2)</f>
        <v>2</v>
      </c>
      <c r="C1087" s="1">
        <f ca="1">IFERROR(__xludf.DUMMYFUNCTION("""COMPUTED_VALUE"""),27)</f>
        <v>27</v>
      </c>
      <c r="D1087" s="1">
        <f ca="1">IFERROR(__xludf.DUMMYFUNCTION("""COMPUTED_VALUE"""),2020)</f>
        <v>2020</v>
      </c>
      <c r="E1087" s="4">
        <f ca="1">IFERROR(__xludf.DUMMYFUNCTION("""COMPUTED_VALUE"""),43888)</f>
        <v>43888</v>
      </c>
      <c r="F1087" s="1" t="str">
        <f ca="1">IFERROR(__xludf.DUMMYFUNCTION("""COMPUTED_VALUE"""),"Jefferson High School")</f>
        <v>Jefferson High School</v>
      </c>
      <c r="G1087" s="1">
        <f ca="1">IFERROR(__xludf.DUMMYFUNCTION("""COMPUTED_VALUE"""),0)</f>
        <v>0</v>
      </c>
      <c r="H1087" s="1">
        <f ca="1">IFERROR(__xludf.DUMMYFUNCTION("""COMPUTED_VALUE"""),1)</f>
        <v>1</v>
      </c>
      <c r="I1087" s="1">
        <f ca="1">IFERROR(__xludf.DUMMYFUNCTION("""COMPUTED_VALUE"""),1)</f>
        <v>1</v>
      </c>
      <c r="J1087" s="1">
        <f ca="1">IFERROR(__xludf.DUMMYFUNCTION("""COMPUTED_VALUE"""),0)</f>
        <v>0</v>
      </c>
      <c r="K1087" s="1" t="str">
        <f ca="1">IFERROR(__xludf.DUMMYFUNCTION("""COMPUTED_VALUE"""),"Winter")</f>
        <v>Winter</v>
      </c>
      <c r="L1087" s="1" t="str">
        <f ca="1">IFERROR(__xludf.DUMMYFUNCTION("""COMPUTED_VALUE"""),"Tampa")</f>
        <v>Tampa</v>
      </c>
      <c r="M1087" s="1" t="str">
        <f ca="1">IFERROR(__xludf.DUMMYFUNCTION("""COMPUTED_VALUE"""),"FL")</f>
        <v>FL</v>
      </c>
      <c r="N1087" s="1" t="str">
        <f ca="1">IFERROR(__xludf.DUMMYFUNCTION("""COMPUTED_VALUE"""),"High")</f>
        <v>High</v>
      </c>
      <c r="O1087" s="1" t="str">
        <f ca="1">IFERROR(__xludf.DUMMYFUNCTION("""COMPUTED_VALUE"""),"Football Field/Track")</f>
        <v>Football Field/Track</v>
      </c>
      <c r="P1087" s="1" t="str">
        <f ca="1">IFERROR(__xludf.DUMMYFUNCTION("""COMPUTED_VALUE"""),"Outside on School Property")</f>
        <v>Outside on School Property</v>
      </c>
      <c r="Q1087" s="1" t="str">
        <f ca="1">IFERROR(__xludf.DUMMYFUNCTION("""COMPUTED_VALUE"""),"No")</f>
        <v>No</v>
      </c>
      <c r="R1087" s="1" t="str">
        <f ca="1">IFERROR(__xludf.DUMMYFUNCTION("""COMPUTED_VALUE"""),"Sport Event")</f>
        <v>Sport Event</v>
      </c>
      <c r="S1087" s="5">
        <f ca="1">IFERROR(__xludf.DUMMYFUNCTION("""COMPUTED_VALUE"""),0.791666666666666)</f>
        <v>0.79166666666666596</v>
      </c>
      <c r="T1087" s="1">
        <f ca="1">IFERROR(__xludf.DUMMYFUNCTION("""COMPUTED_VALUE"""),1)</f>
        <v>1</v>
      </c>
      <c r="U1087" s="1" t="str">
        <f ca="1">IFERROR(__xludf.DUMMYFUNCTION("""COMPUTED_VALUE"""),"Officer assigned to high school baseball game was shot when his service weapon discharged")</f>
        <v>Officer assigned to high school baseball game was shot when his service weapon discharged</v>
      </c>
      <c r="V1087" s="1" t="str">
        <f ca="1">IFERROR(__xludf.DUMMYFUNCTION("""COMPUTED_VALUE"""),"Officer assigned to high school baseball game was shot when his service weapon discharged")</f>
        <v>Officer assigned to high school baseball game was shot when his service weapon discharged</v>
      </c>
      <c r="W1087" s="1" t="str">
        <f ca="1">IFERROR(__xludf.DUMMYFUNCTION("""COMPUTED_VALUE"""),"Accidental")</f>
        <v>Accidental</v>
      </c>
      <c r="X1087" s="1" t="str">
        <f ca="1">IFERROR(__xludf.DUMMYFUNCTION("""COMPUTED_VALUE"""),"Neither")</f>
        <v>Neither</v>
      </c>
      <c r="Y1087" s="1" t="str">
        <f ca="1">IFERROR(__xludf.DUMMYFUNCTION("""COMPUTED_VALUE"""),"No")</f>
        <v>No</v>
      </c>
      <c r="Z1087" s="1"/>
      <c r="AA1087" s="1" t="str">
        <f ca="1">IFERROR(__xludf.DUMMYFUNCTION("""COMPUTED_VALUE"""),"No")</f>
        <v>No</v>
      </c>
      <c r="AB1087" s="1" t="str">
        <f ca="1">IFERROR(__xludf.DUMMYFUNCTION("""COMPUTED_VALUE"""),"No")</f>
        <v>No</v>
      </c>
      <c r="AC1087" s="1" t="str">
        <f ca="1">IFERROR(__xludf.DUMMYFUNCTION("""COMPUTED_VALUE"""),"Yes")</f>
        <v>Yes</v>
      </c>
      <c r="AD1087" s="1" t="str">
        <f ca="1">IFERROR(__xludf.DUMMYFUNCTION("""COMPUTED_VALUE"""),"No")</f>
        <v>No</v>
      </c>
      <c r="AE1087" s="1" t="str">
        <f ca="1">IFERROR(__xludf.DUMMYFUNCTION("""COMPUTED_VALUE"""),"No")</f>
        <v>No</v>
      </c>
      <c r="AF1087" s="1" t="str">
        <f ca="1">IFERROR(__xludf.DUMMYFUNCTION("""COMPUTED_VALUE"""),"No")</f>
        <v>No</v>
      </c>
      <c r="AG1087" s="1" t="str">
        <f ca="1">IFERROR(__xludf.DUMMYFUNCTION("""COMPUTED_VALUE"""),"No")</f>
        <v>No</v>
      </c>
      <c r="AH1087" s="1">
        <f ca="1">IFERROR(__xludf.DUMMYFUNCTION("""COMPUTED_VALUE"""),1)</f>
        <v>1</v>
      </c>
    </row>
    <row r="1088" spans="1:34" ht="12.5">
      <c r="A1088" s="1" t="str">
        <f ca="1">IFERROR(__xludf.DUMMYFUNCTION("""COMPUTED_VALUE"""),"20200221NMCEA")</f>
        <v>20200221NMCEA</v>
      </c>
      <c r="B1088" s="1">
        <f ca="1">IFERROR(__xludf.DUMMYFUNCTION("""COMPUTED_VALUE"""),2)</f>
        <v>2</v>
      </c>
      <c r="C1088" s="1">
        <f ca="1">IFERROR(__xludf.DUMMYFUNCTION("""COMPUTED_VALUE"""),21)</f>
        <v>21</v>
      </c>
      <c r="D1088" s="1">
        <f ca="1">IFERROR(__xludf.DUMMYFUNCTION("""COMPUTED_VALUE"""),2020)</f>
        <v>2020</v>
      </c>
      <c r="E1088" s="4">
        <f ca="1">IFERROR(__xludf.DUMMYFUNCTION("""COMPUTED_VALUE"""),43882)</f>
        <v>43882</v>
      </c>
      <c r="F1088" s="1" t="str">
        <f ca="1">IFERROR(__xludf.DUMMYFUNCTION("""COMPUTED_VALUE"""),"Cesar Chavez Community School")</f>
        <v>Cesar Chavez Community School</v>
      </c>
      <c r="G1088" s="1">
        <f ca="1">IFERROR(__xludf.DUMMYFUNCTION("""COMPUTED_VALUE"""),0)</f>
        <v>0</v>
      </c>
      <c r="H1088" s="1">
        <f ca="1">IFERROR(__xludf.DUMMYFUNCTION("""COMPUTED_VALUE"""),0)</f>
        <v>0</v>
      </c>
      <c r="I1088" s="1">
        <f ca="1">IFERROR(__xludf.DUMMYFUNCTION("""COMPUTED_VALUE"""),0)</f>
        <v>0</v>
      </c>
      <c r="J1088" s="1">
        <f ca="1">IFERROR(__xludf.DUMMYFUNCTION("""COMPUTED_VALUE"""),0)</f>
        <v>0</v>
      </c>
      <c r="K1088" s="1" t="str">
        <f ca="1">IFERROR(__xludf.DUMMYFUNCTION("""COMPUTED_VALUE"""),"Winter")</f>
        <v>Winter</v>
      </c>
      <c r="L1088" s="1" t="str">
        <f ca="1">IFERROR(__xludf.DUMMYFUNCTION("""COMPUTED_VALUE"""),"Albuquerque")</f>
        <v>Albuquerque</v>
      </c>
      <c r="M1088" s="1" t="str">
        <f ca="1">IFERROR(__xludf.DUMMYFUNCTION("""COMPUTED_VALUE"""),"NM")</f>
        <v>NM</v>
      </c>
      <c r="N1088" s="1" t="str">
        <f ca="1">IFERROR(__xludf.DUMMYFUNCTION("""COMPUTED_VALUE"""),"Other")</f>
        <v>Other</v>
      </c>
      <c r="O1088" s="1" t="str">
        <f ca="1">IFERROR(__xludf.DUMMYFUNCTION("""COMPUTED_VALUE"""),"Front of School")</f>
        <v>Front of School</v>
      </c>
      <c r="P1088" s="1" t="str">
        <f ca="1">IFERROR(__xludf.DUMMYFUNCTION("""COMPUTED_VALUE"""),"Outside on School Property")</f>
        <v>Outside on School Property</v>
      </c>
      <c r="Q1088" s="1" t="str">
        <f ca="1">IFERROR(__xludf.DUMMYFUNCTION("""COMPUTED_VALUE"""),"Yes")</f>
        <v>Yes</v>
      </c>
      <c r="R1088" s="1" t="str">
        <f ca="1">IFERROR(__xludf.DUMMYFUNCTION("""COMPUTED_VALUE"""),"Morning Classes")</f>
        <v>Morning Classes</v>
      </c>
      <c r="S1088" s="5">
        <f ca="1">IFERROR(__xludf.DUMMYFUNCTION("""COMPUTED_VALUE"""),0.472222222222222)</f>
        <v>0.47222222222222199</v>
      </c>
      <c r="T1088" s="1">
        <f ca="1">IFERROR(__xludf.DUMMYFUNCTION("""COMPUTED_VALUE"""),1)</f>
        <v>1</v>
      </c>
      <c r="U1088" s="1" t="str">
        <f ca="1">IFERROR(__xludf.DUMMYFUNCTION("""COMPUTED_VALUE"""),"Shots fired from vehicle struck school damaging screen inside classroom")</f>
        <v>Shots fired from vehicle struck school damaging screen inside classroom</v>
      </c>
      <c r="V1088" s="1" t="str">
        <f ca="1">IFERROR(__xludf.DUMMYFUNCTION("""COMPUTED_VALUE"""),"Multiple shots fired from one vehicle at another vehicle struck the occupied school building. One of the bullets went into a classroom and hit a large video screen, which stopped it, according to an Albuquerque Police Department report. Another bullet wen"&amp;"t into a wall, through an office and stopped inside a water heater closet. No injuries. Shooter fled.")</f>
        <v>Multiple shots fired from one vehicle at another vehicle struck the occupied school building. One of the bullets went into a classroom and hit a large video screen, which stopped it, according to an Albuquerque Police Department report. Another bullet went into a wall, through an office and stopped inside a water heater closet. No injuries. Shooter fled.</v>
      </c>
      <c r="W1088" s="1" t="str">
        <f ca="1">IFERROR(__xludf.DUMMYFUNCTION("""COMPUTED_VALUE"""),"Drive-by Shooting")</f>
        <v>Drive-by Shooting</v>
      </c>
      <c r="X1088" s="1" t="str">
        <f ca="1">IFERROR(__xludf.DUMMYFUNCTION("""COMPUTED_VALUE"""),"Victims Targeted")</f>
        <v>Victims Targeted</v>
      </c>
      <c r="Y1088" s="1"/>
      <c r="Z1088" s="1" t="str">
        <f ca="1">IFERROR(__xludf.DUMMYFUNCTION("""COMPUTED_VALUE"""),"Fired from vehicle")</f>
        <v>Fired from vehicle</v>
      </c>
      <c r="AA1088" s="1" t="str">
        <f ca="1">IFERROR(__xludf.DUMMYFUNCTION("""COMPUTED_VALUE"""),"No")</f>
        <v>No</v>
      </c>
      <c r="AB1088" s="1" t="str">
        <f ca="1">IFERROR(__xludf.DUMMYFUNCTION("""COMPUTED_VALUE"""),"No")</f>
        <v>No</v>
      </c>
      <c r="AC1088" s="1" t="str">
        <f ca="1">IFERROR(__xludf.DUMMYFUNCTION("""COMPUTED_VALUE"""),"No")</f>
        <v>No</v>
      </c>
      <c r="AD1088" s="1" t="str">
        <f ca="1">IFERROR(__xludf.DUMMYFUNCTION("""COMPUTED_VALUE"""),"No")</f>
        <v>No</v>
      </c>
      <c r="AE1088" s="1" t="str">
        <f ca="1">IFERROR(__xludf.DUMMYFUNCTION("""COMPUTED_VALUE"""),"No")</f>
        <v>No</v>
      </c>
      <c r="AF1088" s="1"/>
      <c r="AG1088" s="1" t="str">
        <f ca="1">IFERROR(__xludf.DUMMYFUNCTION("""COMPUTED_VALUE"""),"No")</f>
        <v>No</v>
      </c>
      <c r="AH1088" s="1"/>
    </row>
    <row r="1089" spans="1:34" ht="12.5">
      <c r="A1089" s="1" t="str">
        <f ca="1">IFERROR(__xludf.DUMMYFUNCTION("""COMPUTED_VALUE"""),"20200215DCDUW")</f>
        <v>20200215DCDUW</v>
      </c>
      <c r="B1089" s="1">
        <f ca="1">IFERROR(__xludf.DUMMYFUNCTION("""COMPUTED_VALUE"""),2)</f>
        <v>2</v>
      </c>
      <c r="C1089" s="1">
        <f ca="1">IFERROR(__xludf.DUMMYFUNCTION("""COMPUTED_VALUE"""),15)</f>
        <v>15</v>
      </c>
      <c r="D1089" s="1">
        <f ca="1">IFERROR(__xludf.DUMMYFUNCTION("""COMPUTED_VALUE"""),2020)</f>
        <v>2020</v>
      </c>
      <c r="E1089" s="4">
        <f ca="1">IFERROR(__xludf.DUMMYFUNCTION("""COMPUTED_VALUE"""),43876)</f>
        <v>43876</v>
      </c>
      <c r="F1089" s="1" t="str">
        <f ca="1">IFERROR(__xludf.DUMMYFUNCTION("""COMPUTED_VALUE"""),"Dunbar High School")</f>
        <v>Dunbar High School</v>
      </c>
      <c r="G1089" s="1">
        <f ca="1">IFERROR(__xludf.DUMMYFUNCTION("""COMPUTED_VALUE"""),1)</f>
        <v>1</v>
      </c>
      <c r="H1089" s="1">
        <f ca="1">IFERROR(__xludf.DUMMYFUNCTION("""COMPUTED_VALUE"""),0)</f>
        <v>0</v>
      </c>
      <c r="I1089" s="1">
        <f ca="1">IFERROR(__xludf.DUMMYFUNCTION("""COMPUTED_VALUE"""),1)</f>
        <v>1</v>
      </c>
      <c r="J1089" s="1">
        <f ca="1">IFERROR(__xludf.DUMMYFUNCTION("""COMPUTED_VALUE"""),0)</f>
        <v>0</v>
      </c>
      <c r="K1089" s="1" t="str">
        <f ca="1">IFERROR(__xludf.DUMMYFUNCTION("""COMPUTED_VALUE"""),"Winter")</f>
        <v>Winter</v>
      </c>
      <c r="L1089" s="1" t="str">
        <f ca="1">IFERROR(__xludf.DUMMYFUNCTION("""COMPUTED_VALUE"""),"Washington")</f>
        <v>Washington</v>
      </c>
      <c r="M1089" s="1" t="str">
        <f ca="1">IFERROR(__xludf.DUMMYFUNCTION("""COMPUTED_VALUE"""),"DC")</f>
        <v>DC</v>
      </c>
      <c r="N1089" s="1" t="str">
        <f ca="1">IFERROR(__xludf.DUMMYFUNCTION("""COMPUTED_VALUE"""),"High")</f>
        <v>High</v>
      </c>
      <c r="O1089" s="1" t="str">
        <f ca="1">IFERROR(__xludf.DUMMYFUNCTION("""COMPUTED_VALUE"""),"Front of School")</f>
        <v>Front of School</v>
      </c>
      <c r="P1089" s="1" t="str">
        <f ca="1">IFERROR(__xludf.DUMMYFUNCTION("""COMPUTED_VALUE"""),"Outside on School Property")</f>
        <v>Outside on School Property</v>
      </c>
      <c r="Q1089" s="1" t="str">
        <f ca="1">IFERROR(__xludf.DUMMYFUNCTION("""COMPUTED_VALUE"""),"No")</f>
        <v>No</v>
      </c>
      <c r="R1089" s="1" t="str">
        <f ca="1">IFERROR(__xludf.DUMMYFUNCTION("""COMPUTED_VALUE"""),"Sport Event")</f>
        <v>Sport Event</v>
      </c>
      <c r="S1089" s="5">
        <f ca="1">IFERROR(__xludf.DUMMYFUNCTION("""COMPUTED_VALUE"""),0.75)</f>
        <v>0.75</v>
      </c>
      <c r="T1089" s="1">
        <f ca="1">IFERROR(__xludf.DUMMYFUNCTION("""COMPUTED_VALUE"""),1)</f>
        <v>1</v>
      </c>
      <c r="U1089" s="1" t="str">
        <f ca="1">IFERROR(__xludf.DUMMYFUNCTION("""COMPUTED_VALUE"""),"Adult male shot and killed in front of school during basketball game")</f>
        <v>Adult male shot and killed in front of school during basketball game</v>
      </c>
      <c r="V1089" s="1" t="str">
        <f ca="1">IFERROR(__xludf.DUMMYFUNCTION("""COMPUTED_VALUE"""),"34YOM shot and killed by front doors of high school during high school basketball game. Shots were fired from dark SUV that fled the scene. No suspect identified.")</f>
        <v>34YOM shot and killed by front doors of high school during high school basketball game. Shots were fired from dark SUV that fled the scene. No suspect identified.</v>
      </c>
      <c r="W1089" s="1" t="str">
        <f ca="1">IFERROR(__xludf.DUMMYFUNCTION("""COMPUTED_VALUE"""),"Drive-by Shooting")</f>
        <v>Drive-by Shooting</v>
      </c>
      <c r="X1089" s="1"/>
      <c r="Y1089" s="1"/>
      <c r="Z1089" s="1" t="str">
        <f ca="1">IFERROR(__xludf.DUMMYFUNCTION("""COMPUTED_VALUE"""),"Shots fired from vehicle")</f>
        <v>Shots fired from vehicle</v>
      </c>
      <c r="AA1089" s="1" t="str">
        <f ca="1">IFERROR(__xludf.DUMMYFUNCTION("""COMPUTED_VALUE"""),"No")</f>
        <v>No</v>
      </c>
      <c r="AB1089" s="1" t="str">
        <f ca="1">IFERROR(__xludf.DUMMYFUNCTION("""COMPUTED_VALUE"""),"No")</f>
        <v>No</v>
      </c>
      <c r="AC1089" s="1" t="str">
        <f ca="1">IFERROR(__xludf.DUMMYFUNCTION("""COMPUTED_VALUE"""),"No")</f>
        <v>No</v>
      </c>
      <c r="AD1089" s="1" t="str">
        <f ca="1">IFERROR(__xludf.DUMMYFUNCTION("""COMPUTED_VALUE"""),"No")</f>
        <v>No</v>
      </c>
      <c r="AE1089" s="1" t="str">
        <f ca="1">IFERROR(__xludf.DUMMYFUNCTION("""COMPUTED_VALUE"""),"No")</f>
        <v>No</v>
      </c>
      <c r="AF1089" s="1"/>
      <c r="AG1089" s="1" t="str">
        <f ca="1">IFERROR(__xludf.DUMMYFUNCTION("""COMPUTED_VALUE"""),"No")</f>
        <v>No</v>
      </c>
      <c r="AH1089" s="1"/>
    </row>
    <row r="1090" spans="1:34" ht="12.5">
      <c r="A1090" s="1" t="str">
        <f ca="1">IFERROR(__xludf.DUMMYFUNCTION("""COMPUTED_VALUE"""),"20200213UTWES")</f>
        <v>20200213UTWES</v>
      </c>
      <c r="B1090" s="1">
        <f ca="1">IFERROR(__xludf.DUMMYFUNCTION("""COMPUTED_VALUE"""),2)</f>
        <v>2</v>
      </c>
      <c r="C1090" s="1">
        <f ca="1">IFERROR(__xludf.DUMMYFUNCTION("""COMPUTED_VALUE"""),13)</f>
        <v>13</v>
      </c>
      <c r="D1090" s="1">
        <f ca="1">IFERROR(__xludf.DUMMYFUNCTION("""COMPUTED_VALUE"""),2020)</f>
        <v>2020</v>
      </c>
      <c r="E1090" s="4">
        <f ca="1">IFERROR(__xludf.DUMMYFUNCTION("""COMPUTED_VALUE"""),43874)</f>
        <v>43874</v>
      </c>
      <c r="F1090" s="1" t="str">
        <f ca="1">IFERROR(__xludf.DUMMYFUNCTION("""COMPUTED_VALUE"""),"West High School")</f>
        <v>West High School</v>
      </c>
      <c r="G1090" s="1">
        <f ca="1">IFERROR(__xludf.DUMMYFUNCTION("""COMPUTED_VALUE"""),0)</f>
        <v>0</v>
      </c>
      <c r="H1090" s="1">
        <f ca="1">IFERROR(__xludf.DUMMYFUNCTION("""COMPUTED_VALUE"""),0)</f>
        <v>0</v>
      </c>
      <c r="I1090" s="1">
        <f ca="1">IFERROR(__xludf.DUMMYFUNCTION("""COMPUTED_VALUE"""),0)</f>
        <v>0</v>
      </c>
      <c r="J1090" s="1">
        <f ca="1">IFERROR(__xludf.DUMMYFUNCTION("""COMPUTED_VALUE"""),0)</f>
        <v>0</v>
      </c>
      <c r="K1090" s="1" t="str">
        <f ca="1">IFERROR(__xludf.DUMMYFUNCTION("""COMPUTED_VALUE"""),"Winter")</f>
        <v>Winter</v>
      </c>
      <c r="L1090" s="1" t="str">
        <f ca="1">IFERROR(__xludf.DUMMYFUNCTION("""COMPUTED_VALUE"""),"Salt Lake City")</f>
        <v>Salt Lake City</v>
      </c>
      <c r="M1090" s="1" t="str">
        <f ca="1">IFERROR(__xludf.DUMMYFUNCTION("""COMPUTED_VALUE"""),"UT")</f>
        <v>UT</v>
      </c>
      <c r="N1090" s="1" t="str">
        <f ca="1">IFERROR(__xludf.DUMMYFUNCTION("""COMPUTED_VALUE"""),"High")</f>
        <v>High</v>
      </c>
      <c r="O1090" s="1" t="str">
        <f ca="1">IFERROR(__xludf.DUMMYFUNCTION("""COMPUTED_VALUE"""),"Outside on School Property")</f>
        <v>Outside on School Property</v>
      </c>
      <c r="P1090" s="1" t="str">
        <f ca="1">IFERROR(__xludf.DUMMYFUNCTION("""COMPUTED_VALUE"""),"Outside on School Property")</f>
        <v>Outside on School Property</v>
      </c>
      <c r="Q1090" s="1" t="str">
        <f ca="1">IFERROR(__xludf.DUMMYFUNCTION("""COMPUTED_VALUE"""),"Yes")</f>
        <v>Yes</v>
      </c>
      <c r="R1090" s="1" t="str">
        <f ca="1">IFERROR(__xludf.DUMMYFUNCTION("""COMPUTED_VALUE"""),"Dismissal")</f>
        <v>Dismissal</v>
      </c>
      <c r="S1090" s="5">
        <f ca="1">IFERROR(__xludf.DUMMYFUNCTION("""COMPUTED_VALUE"""),0.625)</f>
        <v>0.625</v>
      </c>
      <c r="T1090" s="1">
        <f ca="1">IFERROR(__xludf.DUMMYFUNCTION("""COMPUTED_VALUE"""),1)</f>
        <v>1</v>
      </c>
      <c r="U1090" s="1" t="str">
        <f ca="1">IFERROR(__xludf.DUMMYFUNCTION("""COMPUTED_VALUE"""),"Student fired shot during fight at dismissal")</f>
        <v>Student fired shot during fight at dismissal</v>
      </c>
      <c r="V1090" s="1" t="str">
        <f ca="1">IFERROR(__xludf.DUMMYFUNCTION("""COMPUTED_VALUE"""),"Student fired a shot during a fight at dismissal. Same student was recorded on school CCTV system pulling a gun but not firing the gun the prior week (2/7/2020). Arrested one month later.")</f>
        <v>Student fired a shot during a fight at dismissal. Same student was recorded on school CCTV system pulling a gun but not firing the gun the prior week (2/7/2020). Arrested one month later.</v>
      </c>
      <c r="W1090" s="1" t="str">
        <f ca="1">IFERROR(__xludf.DUMMYFUNCTION("""COMPUTED_VALUE"""),"Escalation of Dispute")</f>
        <v>Escalation of Dispute</v>
      </c>
      <c r="X1090" s="1" t="str">
        <f ca="1">IFERROR(__xludf.DUMMYFUNCTION("""COMPUTED_VALUE"""),"Victims Targeted")</f>
        <v>Victims Targeted</v>
      </c>
      <c r="Y1090" s="1" t="str">
        <f ca="1">IFERROR(__xludf.DUMMYFUNCTION("""COMPUTED_VALUE"""),"No")</f>
        <v>No</v>
      </c>
      <c r="Z1090" s="1"/>
      <c r="AA1090" s="1" t="str">
        <f ca="1">IFERROR(__xludf.DUMMYFUNCTION("""COMPUTED_VALUE"""),"No")</f>
        <v>No</v>
      </c>
      <c r="AB1090" s="1" t="str">
        <f ca="1">IFERROR(__xludf.DUMMYFUNCTION("""COMPUTED_VALUE"""),"No")</f>
        <v>No</v>
      </c>
      <c r="AC1090" s="1" t="str">
        <f ca="1">IFERROR(__xludf.DUMMYFUNCTION("""COMPUTED_VALUE"""),"No")</f>
        <v>No</v>
      </c>
      <c r="AD1090" s="1" t="str">
        <f ca="1">IFERROR(__xludf.DUMMYFUNCTION("""COMPUTED_VALUE"""),"No")</f>
        <v>No</v>
      </c>
      <c r="AE1090" s="1" t="str">
        <f ca="1">IFERROR(__xludf.DUMMYFUNCTION("""COMPUTED_VALUE"""),"No")</f>
        <v>No</v>
      </c>
      <c r="AF1090" s="1" t="str">
        <f ca="1">IFERROR(__xludf.DUMMYFUNCTION("""COMPUTED_VALUE"""),"No")</f>
        <v>No</v>
      </c>
      <c r="AG1090" s="1" t="str">
        <f ca="1">IFERROR(__xludf.DUMMYFUNCTION("""COMPUTED_VALUE"""),"No")</f>
        <v>No</v>
      </c>
      <c r="AH1090" s="1">
        <f ca="1">IFERROR(__xludf.DUMMYFUNCTION("""COMPUTED_VALUE"""),1)</f>
        <v>1</v>
      </c>
    </row>
    <row r="1091" spans="1:34" ht="12.5">
      <c r="A1091" s="1" t="str">
        <f ca="1">IFERROR(__xludf.DUMMYFUNCTION("""COMPUTED_VALUE"""),"20200212MOJOF")</f>
        <v>20200212MOJOF</v>
      </c>
      <c r="B1091" s="1">
        <f ca="1">IFERROR(__xludf.DUMMYFUNCTION("""COMPUTED_VALUE"""),2)</f>
        <v>2</v>
      </c>
      <c r="C1091" s="1">
        <f ca="1">IFERROR(__xludf.DUMMYFUNCTION("""COMPUTED_VALUE"""),12)</f>
        <v>12</v>
      </c>
      <c r="D1091" s="1">
        <f ca="1">IFERROR(__xludf.DUMMYFUNCTION("""COMPUTED_VALUE"""),2020)</f>
        <v>2020</v>
      </c>
      <c r="E1091" s="4">
        <f ca="1">IFERROR(__xludf.DUMMYFUNCTION("""COMPUTED_VALUE"""),43873)</f>
        <v>43873</v>
      </c>
      <c r="F1091" s="1" t="str">
        <f ca="1">IFERROR(__xludf.DUMMYFUNCTION("""COMPUTED_VALUE"""),"Johnson-Wabash Elementary School")</f>
        <v>Johnson-Wabash Elementary School</v>
      </c>
      <c r="G1091" s="1">
        <f ca="1">IFERROR(__xludf.DUMMYFUNCTION("""COMPUTED_VALUE"""),0)</f>
        <v>0</v>
      </c>
      <c r="H1091" s="1">
        <f ca="1">IFERROR(__xludf.DUMMYFUNCTION("""COMPUTED_VALUE"""),0)</f>
        <v>0</v>
      </c>
      <c r="I1091" s="1">
        <f ca="1">IFERROR(__xludf.DUMMYFUNCTION("""COMPUTED_VALUE"""),0)</f>
        <v>0</v>
      </c>
      <c r="J1091" s="1">
        <f ca="1">IFERROR(__xludf.DUMMYFUNCTION("""COMPUTED_VALUE"""),0)</f>
        <v>0</v>
      </c>
      <c r="K1091" s="1" t="str">
        <f ca="1">IFERROR(__xludf.DUMMYFUNCTION("""COMPUTED_VALUE"""),"Winter")</f>
        <v>Winter</v>
      </c>
      <c r="L1091" s="1" t="str">
        <f ca="1">IFERROR(__xludf.DUMMYFUNCTION("""COMPUTED_VALUE"""),"Ferguson")</f>
        <v>Ferguson</v>
      </c>
      <c r="M1091" s="1" t="str">
        <f ca="1">IFERROR(__xludf.DUMMYFUNCTION("""COMPUTED_VALUE"""),"MO")</f>
        <v>MO</v>
      </c>
      <c r="N1091" s="1" t="str">
        <f ca="1">IFERROR(__xludf.DUMMYFUNCTION("""COMPUTED_VALUE"""),"Elementary")</f>
        <v>Elementary</v>
      </c>
      <c r="O1091" s="1" t="str">
        <f ca="1">IFERROR(__xludf.DUMMYFUNCTION("""COMPUTED_VALUE"""),"School Bus")</f>
        <v>School Bus</v>
      </c>
      <c r="P1091" s="1" t="str">
        <f ca="1">IFERROR(__xludf.DUMMYFUNCTION("""COMPUTED_VALUE"""),"School Bus")</f>
        <v>School Bus</v>
      </c>
      <c r="Q1091" s="1" t="str">
        <f ca="1">IFERROR(__xludf.DUMMYFUNCTION("""COMPUTED_VALUE"""),"Yes")</f>
        <v>Yes</v>
      </c>
      <c r="R1091" s="1" t="str">
        <f ca="1">IFERROR(__xludf.DUMMYFUNCTION("""COMPUTED_VALUE"""),"School Start")</f>
        <v>School Start</v>
      </c>
      <c r="S1091" s="5">
        <f ca="1">IFERROR(__xludf.DUMMYFUNCTION("""COMPUTED_VALUE"""),0.333333333333333)</f>
        <v>0.33333333333333298</v>
      </c>
      <c r="T1091" s="1">
        <f ca="1">IFERROR(__xludf.DUMMYFUNCTION("""COMPUTED_VALUE"""),1)</f>
        <v>1</v>
      </c>
      <c r="U1091" s="1" t="str">
        <f ca="1">IFERROR(__xludf.DUMMYFUNCTION("""COMPUTED_VALUE"""),"Father pointed gun at students on school bus following fight between students")</f>
        <v>Father pointed gun at students on school bus following fight between students</v>
      </c>
      <c r="V1091" s="1"/>
      <c r="W1091" s="1" t="str">
        <f ca="1">IFERROR(__xludf.DUMMYFUNCTION("""COMPUTED_VALUE"""),"Escalation of Dispute")</f>
        <v>Escalation of Dispute</v>
      </c>
      <c r="X1091" s="1" t="str">
        <f ca="1">IFERROR(__xludf.DUMMYFUNCTION("""COMPUTED_VALUE"""),"Victims Targeted")</f>
        <v>Victims Targeted</v>
      </c>
      <c r="Y1091" s="1" t="str">
        <f ca="1">IFERROR(__xludf.DUMMYFUNCTION("""COMPUTED_VALUE"""),"No")</f>
        <v>No</v>
      </c>
      <c r="Z1091" s="1"/>
      <c r="AA1091" s="1" t="str">
        <f ca="1">IFERROR(__xludf.DUMMYFUNCTION("""COMPUTED_VALUE"""),"No")</f>
        <v>No</v>
      </c>
      <c r="AB1091" s="1" t="str">
        <f ca="1">IFERROR(__xludf.DUMMYFUNCTION("""COMPUTED_VALUE"""),"No")</f>
        <v>No</v>
      </c>
      <c r="AC1091" s="1" t="str">
        <f ca="1">IFERROR(__xludf.DUMMYFUNCTION("""COMPUTED_VALUE"""),"No")</f>
        <v>No</v>
      </c>
      <c r="AD1091" s="1"/>
      <c r="AE1091" s="1" t="str">
        <f ca="1">IFERROR(__xludf.DUMMYFUNCTION("""COMPUTED_VALUE"""),"No")</f>
        <v>No</v>
      </c>
      <c r="AF1091" s="1" t="str">
        <f ca="1">IFERROR(__xludf.DUMMYFUNCTION("""COMPUTED_VALUE"""),"No")</f>
        <v>No</v>
      </c>
      <c r="AG1091" s="1" t="str">
        <f ca="1">IFERROR(__xludf.DUMMYFUNCTION("""COMPUTED_VALUE"""),"No")</f>
        <v>No</v>
      </c>
      <c r="AH1091" s="1">
        <f ca="1">IFERROR(__xludf.DUMMYFUNCTION("""COMPUTED_VALUE"""),0)</f>
        <v>0</v>
      </c>
    </row>
    <row r="1092" spans="1:34" ht="12.5">
      <c r="A1092" s="1" t="str">
        <f ca="1">IFERROR(__xludf.DUMMYFUNCTION("""COMPUTED_VALUE"""),"20200205NHSEC")</f>
        <v>20200205NHSEC</v>
      </c>
      <c r="B1092" s="1">
        <f ca="1">IFERROR(__xludf.DUMMYFUNCTION("""COMPUTED_VALUE"""),2)</f>
        <v>2</v>
      </c>
      <c r="C1092" s="1">
        <f ca="1">IFERROR(__xludf.DUMMYFUNCTION("""COMPUTED_VALUE"""),5)</f>
        <v>5</v>
      </c>
      <c r="D1092" s="1">
        <f ca="1">IFERROR(__xludf.DUMMYFUNCTION("""COMPUTED_VALUE"""),2020)</f>
        <v>2020</v>
      </c>
      <c r="E1092" s="4">
        <f ca="1">IFERROR(__xludf.DUMMYFUNCTION("""COMPUTED_VALUE"""),43866)</f>
        <v>43866</v>
      </c>
      <c r="F1092" s="1" t="str">
        <f ca="1">IFERROR(__xludf.DUMMYFUNCTION("""COMPUTED_VALUE"""),"Second Start Alternative High School")</f>
        <v>Second Start Alternative High School</v>
      </c>
      <c r="G1092" s="1">
        <f ca="1">IFERROR(__xludf.DUMMYFUNCTION("""COMPUTED_VALUE"""),0)</f>
        <v>0</v>
      </c>
      <c r="H1092" s="1">
        <f ca="1">IFERROR(__xludf.DUMMYFUNCTION("""COMPUTED_VALUE"""),0)</f>
        <v>0</v>
      </c>
      <c r="I1092" s="1">
        <f ca="1">IFERROR(__xludf.DUMMYFUNCTION("""COMPUTED_VALUE"""),0)</f>
        <v>0</v>
      </c>
      <c r="J1092" s="1">
        <f ca="1">IFERROR(__xludf.DUMMYFUNCTION("""COMPUTED_VALUE"""),1)</f>
        <v>1</v>
      </c>
      <c r="K1092" s="1" t="str">
        <f ca="1">IFERROR(__xludf.DUMMYFUNCTION("""COMPUTED_VALUE"""),"Winter")</f>
        <v>Winter</v>
      </c>
      <c r="L1092" s="1" t="str">
        <f ca="1">IFERROR(__xludf.DUMMYFUNCTION("""COMPUTED_VALUE"""),"Concord")</f>
        <v>Concord</v>
      </c>
      <c r="M1092" s="1" t="str">
        <f ca="1">IFERROR(__xludf.DUMMYFUNCTION("""COMPUTED_VALUE"""),"NH")</f>
        <v>NH</v>
      </c>
      <c r="N1092" s="1" t="str">
        <f ca="1">IFERROR(__xludf.DUMMYFUNCTION("""COMPUTED_VALUE"""),"High")</f>
        <v>High</v>
      </c>
      <c r="O1092" s="1" t="str">
        <f ca="1">IFERROR(__xludf.DUMMYFUNCTION("""COMPUTED_VALUE"""),"Classroom")</f>
        <v>Classroom</v>
      </c>
      <c r="P1092" s="1" t="str">
        <f ca="1">IFERROR(__xludf.DUMMYFUNCTION("""COMPUTED_VALUE"""),"Inside School Building")</f>
        <v>Inside School Building</v>
      </c>
      <c r="Q1092" s="1" t="str">
        <f ca="1">IFERROR(__xludf.DUMMYFUNCTION("""COMPUTED_VALUE"""),"Yes")</f>
        <v>Yes</v>
      </c>
      <c r="R1092" s="1" t="str">
        <f ca="1">IFERROR(__xludf.DUMMYFUNCTION("""COMPUTED_VALUE"""),"Morning Classes")</f>
        <v>Morning Classes</v>
      </c>
      <c r="S1092" s="5">
        <f ca="1">IFERROR(__xludf.DUMMYFUNCTION("""COMPUTED_VALUE"""),0.416666666666666)</f>
        <v>0.41666666666666602</v>
      </c>
      <c r="T1092" s="1">
        <f ca="1">IFERROR(__xludf.DUMMYFUNCTION("""COMPUTED_VALUE"""),1)</f>
        <v>1</v>
      </c>
      <c r="U1092" s="1" t="str">
        <f ca="1">IFERROR(__xludf.DUMMYFUNCTION("""COMPUTED_VALUE"""),"Student fired shot at school employee then killed self")</f>
        <v>Student fired shot at school employee then killed self</v>
      </c>
      <c r="V1092" s="1" t="str">
        <f ca="1">IFERROR(__xludf.DUMMYFUNCTION("""COMPUTED_VALUE"""),"A 17 year-old male student shot at a school employee, shot missed, and then he killed himself inside a classroom. He was alone at the time and no one else was injured. A group of students and staff were then led out of the building and moved to a nearby b"&amp;"uilding. Many of these students have been identified as having learning and/or emotional handicaps that have interfered with their functioning effectively in a previous educational setting.")</f>
        <v>A 17 year-old male student shot at a school employee, shot missed, and then he killed himself inside a classroom. He was alone at the time and no one else was injured. A group of students and staff were then led out of the building and moved to a nearby building. Many of these students have been identified as having learning and/or emotional handicaps that have interfered with their functioning effectively in a previous educational setting.</v>
      </c>
      <c r="W1092" s="1" t="str">
        <f ca="1">IFERROR(__xludf.DUMMYFUNCTION("""COMPUTED_VALUE"""),"Suicide/Attempted")</f>
        <v>Suicide/Attempted</v>
      </c>
      <c r="X1092" s="1" t="str">
        <f ca="1">IFERROR(__xludf.DUMMYFUNCTION("""COMPUTED_VALUE"""),"Victims Targeted")</f>
        <v>Victims Targeted</v>
      </c>
      <c r="Y1092" s="1" t="str">
        <f ca="1">IFERROR(__xludf.DUMMYFUNCTION("""COMPUTED_VALUE"""),"No")</f>
        <v>No</v>
      </c>
      <c r="Z1092" s="1"/>
      <c r="AA1092" s="1" t="str">
        <f ca="1">IFERROR(__xludf.DUMMYFUNCTION("""COMPUTED_VALUE"""),"No")</f>
        <v>No</v>
      </c>
      <c r="AB1092" s="1" t="str">
        <f ca="1">IFERROR(__xludf.DUMMYFUNCTION("""COMPUTED_VALUE"""),"No")</f>
        <v>No</v>
      </c>
      <c r="AC1092" s="1" t="str">
        <f ca="1">IFERROR(__xludf.DUMMYFUNCTION("""COMPUTED_VALUE"""),"No")</f>
        <v>No</v>
      </c>
      <c r="AD1092" s="1"/>
      <c r="AE1092" s="1" t="str">
        <f ca="1">IFERROR(__xludf.DUMMYFUNCTION("""COMPUTED_VALUE"""),"No")</f>
        <v>No</v>
      </c>
      <c r="AF1092" s="1" t="str">
        <f ca="1">IFERROR(__xludf.DUMMYFUNCTION("""COMPUTED_VALUE"""),"No")</f>
        <v>No</v>
      </c>
      <c r="AG1092" s="1" t="str">
        <f ca="1">IFERROR(__xludf.DUMMYFUNCTION("""COMPUTED_VALUE"""),"No")</f>
        <v>No</v>
      </c>
      <c r="AH1092" s="1">
        <f ca="1">IFERROR(__xludf.DUMMYFUNCTION("""COMPUTED_VALUE"""),1)</f>
        <v>1</v>
      </c>
    </row>
    <row r="1093" spans="1:34" ht="12.5">
      <c r="A1093" s="1" t="str">
        <f ca="1">IFERROR(__xludf.DUMMYFUNCTION("""COMPUTED_VALUE"""),"20200204LABEA")</f>
        <v>20200204LABEA</v>
      </c>
      <c r="B1093" s="1">
        <f ca="1">IFERROR(__xludf.DUMMYFUNCTION("""COMPUTED_VALUE"""),2)</f>
        <v>2</v>
      </c>
      <c r="C1093" s="1">
        <f ca="1">IFERROR(__xludf.DUMMYFUNCTION("""COMPUTED_VALUE"""),4)</f>
        <v>4</v>
      </c>
      <c r="D1093" s="1">
        <f ca="1">IFERROR(__xludf.DUMMYFUNCTION("""COMPUTED_VALUE"""),2020)</f>
        <v>2020</v>
      </c>
      <c r="E1093" s="4">
        <f ca="1">IFERROR(__xludf.DUMMYFUNCTION("""COMPUTED_VALUE"""),43865)</f>
        <v>43865</v>
      </c>
      <c r="F1093" s="1" t="str">
        <f ca="1">IFERROR(__xludf.DUMMYFUNCTION("""COMPUTED_VALUE"""),"Beau Chene High School")</f>
        <v>Beau Chene High School</v>
      </c>
      <c r="G1093" s="1">
        <f ca="1">IFERROR(__xludf.DUMMYFUNCTION("""COMPUTED_VALUE"""),0)</f>
        <v>0</v>
      </c>
      <c r="H1093" s="1">
        <f ca="1">IFERROR(__xludf.DUMMYFUNCTION("""COMPUTED_VALUE"""),0)</f>
        <v>0</v>
      </c>
      <c r="I1093" s="1">
        <f ca="1">IFERROR(__xludf.DUMMYFUNCTION("""COMPUTED_VALUE"""),0)</f>
        <v>0</v>
      </c>
      <c r="J1093" s="1">
        <f ca="1">IFERROR(__xludf.DUMMYFUNCTION("""COMPUTED_VALUE"""),0)</f>
        <v>0</v>
      </c>
      <c r="K1093" s="1" t="str">
        <f ca="1">IFERROR(__xludf.DUMMYFUNCTION("""COMPUTED_VALUE"""),"Winter")</f>
        <v>Winter</v>
      </c>
      <c r="L1093" s="1" t="str">
        <f ca="1">IFERROR(__xludf.DUMMYFUNCTION("""COMPUTED_VALUE"""),"Arnaudville")</f>
        <v>Arnaudville</v>
      </c>
      <c r="M1093" s="1" t="str">
        <f ca="1">IFERROR(__xludf.DUMMYFUNCTION("""COMPUTED_VALUE"""),"LA")</f>
        <v>LA</v>
      </c>
      <c r="N1093" s="1" t="str">
        <f ca="1">IFERROR(__xludf.DUMMYFUNCTION("""COMPUTED_VALUE"""),"High")</f>
        <v>High</v>
      </c>
      <c r="O1093" s="1" t="str">
        <f ca="1">IFERROR(__xludf.DUMMYFUNCTION("""COMPUTED_VALUE"""),"Parking Lot")</f>
        <v>Parking Lot</v>
      </c>
      <c r="P1093" s="1" t="str">
        <f ca="1">IFERROR(__xludf.DUMMYFUNCTION("""COMPUTED_VALUE"""),"Outside on School Property")</f>
        <v>Outside on School Property</v>
      </c>
      <c r="Q1093" s="1" t="str">
        <f ca="1">IFERROR(__xludf.DUMMYFUNCTION("""COMPUTED_VALUE"""),"No")</f>
        <v>No</v>
      </c>
      <c r="R1093" s="1" t="str">
        <f ca="1">IFERROR(__xludf.DUMMYFUNCTION("""COMPUTED_VALUE"""),"Sport Event")</f>
        <v>Sport Event</v>
      </c>
      <c r="S1093" s="5">
        <f ca="1">IFERROR(__xludf.DUMMYFUNCTION("""COMPUTED_VALUE"""),0.75)</f>
        <v>0.75</v>
      </c>
      <c r="T1093" s="1">
        <f ca="1">IFERROR(__xludf.DUMMYFUNCTION("""COMPUTED_VALUE"""),1)</f>
        <v>1</v>
      </c>
      <c r="U1093" s="1" t="str">
        <f ca="1">IFERROR(__xludf.DUMMYFUNCTION("""COMPUTED_VALUE"""),"17YOM pointed rifle at people in school parking lot during soccer game, arrested by SRO")</f>
        <v>17YOM pointed rifle at people in school parking lot during soccer game, arrested by SRO</v>
      </c>
      <c r="V1093" s="1" t="str">
        <f ca="1">IFERROR(__xludf.DUMMYFUNCTION("""COMPUTED_VALUE"""),"17YOM took rifle out of vehicle in school parking lot and pointed it at people in the parking lot. Student reported this to SRO who arrested the shooter. Brother was also arrested. Neither were students. Police said they both had gang involvement.")</f>
        <v>17YOM took rifle out of vehicle in school parking lot and pointed it at people in the parking lot. Student reported this to SRO who arrested the shooter. Brother was also arrested. Neither were students. Police said they both had gang involvement.</v>
      </c>
      <c r="W1093" s="1" t="str">
        <f ca="1">IFERROR(__xludf.DUMMYFUNCTION("""COMPUTED_VALUE"""),"Escalation of Dispute")</f>
        <v>Escalation of Dispute</v>
      </c>
      <c r="X1093" s="1" t="str">
        <f ca="1">IFERROR(__xludf.DUMMYFUNCTION("""COMPUTED_VALUE"""),"Neither")</f>
        <v>Neither</v>
      </c>
      <c r="Y1093" s="1" t="str">
        <f ca="1">IFERROR(__xludf.DUMMYFUNCTION("""COMPUTED_VALUE"""),"Yes")</f>
        <v>Yes</v>
      </c>
      <c r="Z1093" s="1" t="str">
        <f ca="1">IFERROR(__xludf.DUMMYFUNCTION("""COMPUTED_VALUE"""),"18YOM brother arrested")</f>
        <v>18YOM brother arrested</v>
      </c>
      <c r="AA1093" s="1" t="str">
        <f ca="1">IFERROR(__xludf.DUMMYFUNCTION("""COMPUTED_VALUE"""),"No")</f>
        <v>No</v>
      </c>
      <c r="AB1093" s="1" t="str">
        <f ca="1">IFERROR(__xludf.DUMMYFUNCTION("""COMPUTED_VALUE"""),"No")</f>
        <v>No</v>
      </c>
      <c r="AC1093" s="1" t="str">
        <f ca="1">IFERROR(__xludf.DUMMYFUNCTION("""COMPUTED_VALUE"""),"No")</f>
        <v>No</v>
      </c>
      <c r="AD1093" s="1" t="str">
        <f ca="1">IFERROR(__xludf.DUMMYFUNCTION("""COMPUTED_VALUE"""),"No")</f>
        <v>No</v>
      </c>
      <c r="AE1093" s="1" t="str">
        <f ca="1">IFERROR(__xludf.DUMMYFUNCTION("""COMPUTED_VALUE"""),"No")</f>
        <v>No</v>
      </c>
      <c r="AF1093" s="1" t="str">
        <f ca="1">IFERROR(__xludf.DUMMYFUNCTION("""COMPUTED_VALUE"""),"Yes")</f>
        <v>Yes</v>
      </c>
      <c r="AG1093" s="1" t="str">
        <f ca="1">IFERROR(__xludf.DUMMYFUNCTION("""COMPUTED_VALUE"""),"No")</f>
        <v>No</v>
      </c>
      <c r="AH1093" s="1">
        <f ca="1">IFERROR(__xludf.DUMMYFUNCTION("""COMPUTED_VALUE"""),1)</f>
        <v>1</v>
      </c>
    </row>
    <row r="1094" spans="1:34" ht="12.5">
      <c r="A1094" s="1" t="str">
        <f ca="1">IFERROR(__xludf.DUMMYFUNCTION("""COMPUTED_VALUE"""),"20200203FLGEJ")</f>
        <v>20200203FLGEJ</v>
      </c>
      <c r="B1094" s="1">
        <f ca="1">IFERROR(__xludf.DUMMYFUNCTION("""COMPUTED_VALUE"""),2)</f>
        <v>2</v>
      </c>
      <c r="C1094" s="1">
        <f ca="1">IFERROR(__xludf.DUMMYFUNCTION("""COMPUTED_VALUE"""),3)</f>
        <v>3</v>
      </c>
      <c r="D1094" s="1">
        <f ca="1">IFERROR(__xludf.DUMMYFUNCTION("""COMPUTED_VALUE"""),2020)</f>
        <v>2020</v>
      </c>
      <c r="E1094" s="4">
        <f ca="1">IFERROR(__xludf.DUMMYFUNCTION("""COMPUTED_VALUE"""),43864)</f>
        <v>43864</v>
      </c>
      <c r="F1094" s="1" t="str">
        <f ca="1">IFERROR(__xludf.DUMMYFUNCTION("""COMPUTED_VALUE"""),"George Washington Carver Elementary School")</f>
        <v>George Washington Carver Elementary School</v>
      </c>
      <c r="G1094" s="1">
        <f ca="1">IFERROR(__xludf.DUMMYFUNCTION("""COMPUTED_VALUE"""),0)</f>
        <v>0</v>
      </c>
      <c r="H1094" s="1">
        <f ca="1">IFERROR(__xludf.DUMMYFUNCTION("""COMPUTED_VALUE"""),1)</f>
        <v>1</v>
      </c>
      <c r="I1094" s="1">
        <f ca="1">IFERROR(__xludf.DUMMYFUNCTION("""COMPUTED_VALUE"""),1)</f>
        <v>1</v>
      </c>
      <c r="J1094" s="1">
        <f ca="1">IFERROR(__xludf.DUMMYFUNCTION("""COMPUTED_VALUE"""),0)</f>
        <v>0</v>
      </c>
      <c r="K1094" s="1" t="str">
        <f ca="1">IFERROR(__xludf.DUMMYFUNCTION("""COMPUTED_VALUE"""),"Winter")</f>
        <v>Winter</v>
      </c>
      <c r="L1094" s="1" t="str">
        <f ca="1">IFERROR(__xludf.DUMMYFUNCTION("""COMPUTED_VALUE"""),"Jacksonville")</f>
        <v>Jacksonville</v>
      </c>
      <c r="M1094" s="1" t="str">
        <f ca="1">IFERROR(__xludf.DUMMYFUNCTION("""COMPUTED_VALUE"""),"FL")</f>
        <v>FL</v>
      </c>
      <c r="N1094" s="1" t="str">
        <f ca="1">IFERROR(__xludf.DUMMYFUNCTION("""COMPUTED_VALUE"""),"Elementary")</f>
        <v>Elementary</v>
      </c>
      <c r="O1094" s="1" t="str">
        <f ca="1">IFERROR(__xludf.DUMMYFUNCTION("""COMPUTED_VALUE"""),"Parking Lot")</f>
        <v>Parking Lot</v>
      </c>
      <c r="P1094" s="1" t="str">
        <f ca="1">IFERROR(__xludf.DUMMYFUNCTION("""COMPUTED_VALUE"""),"Outside on School Property")</f>
        <v>Outside on School Property</v>
      </c>
      <c r="Q1094" s="1" t="str">
        <f ca="1">IFERROR(__xludf.DUMMYFUNCTION("""COMPUTED_VALUE"""),"No")</f>
        <v>No</v>
      </c>
      <c r="R1094" s="1" t="str">
        <f ca="1">IFERROR(__xludf.DUMMYFUNCTION("""COMPUTED_VALUE"""),"Evening")</f>
        <v>Evening</v>
      </c>
      <c r="S1094" s="5">
        <f ca="1">IFERROR(__xludf.DUMMYFUNCTION("""COMPUTED_VALUE"""),0.729166666666666)</f>
        <v>0.72916666666666596</v>
      </c>
      <c r="T1094" s="1">
        <f ca="1">IFERROR(__xludf.DUMMYFUNCTION("""COMPUTED_VALUE"""),1)</f>
        <v>1</v>
      </c>
      <c r="U1094" s="1" t="str">
        <f ca="1">IFERROR(__xludf.DUMMYFUNCTION("""COMPUTED_VALUE"""),"Drive-by shooting in school parking lot")</f>
        <v>Drive-by shooting in school parking lot</v>
      </c>
      <c r="V1094" s="1" t="str">
        <f ca="1">IFERROR(__xludf.DUMMYFUNCTION("""COMPUTED_VALUE"""),"Adult male was shot during drive-by shooting in school parking lot. Group of adult males ran from the shooting across the school playground. Vehicles in the school parking lot and the building were struck by bullets. School was placed on lockdown for 45 m"&amp;"inutes. Victim attempted to gain entry to school but was denied access.")</f>
        <v>Adult male was shot during drive-by shooting in school parking lot. Group of adult males ran from the shooting across the school playground. Vehicles in the school parking lot and the building were struck by bullets. School was placed on lockdown for 45 minutes. Victim attempted to gain entry to school but was denied access.</v>
      </c>
      <c r="W1094" s="1" t="str">
        <f ca="1">IFERROR(__xludf.DUMMYFUNCTION("""COMPUTED_VALUE"""),"Drive-by Shooting")</f>
        <v>Drive-by Shooting</v>
      </c>
      <c r="X1094" s="1"/>
      <c r="Y1094" s="1" t="str">
        <f ca="1">IFERROR(__xludf.DUMMYFUNCTION("""COMPUTED_VALUE"""),"Yes")</f>
        <v>Yes</v>
      </c>
      <c r="Z1094" s="1" t="str">
        <f ca="1">IFERROR(__xludf.DUMMYFUNCTION("""COMPUTED_VALUE"""),"Drive-by, multiple in car")</f>
        <v>Drive-by, multiple in car</v>
      </c>
      <c r="AA1094" s="1" t="str">
        <f ca="1">IFERROR(__xludf.DUMMYFUNCTION("""COMPUTED_VALUE"""),"No")</f>
        <v>No</v>
      </c>
      <c r="AB1094" s="1" t="str">
        <f ca="1">IFERROR(__xludf.DUMMYFUNCTION("""COMPUTED_VALUE"""),"No")</f>
        <v>No</v>
      </c>
      <c r="AC1094" s="1" t="str">
        <f ca="1">IFERROR(__xludf.DUMMYFUNCTION("""COMPUTED_VALUE"""),"No")</f>
        <v>No</v>
      </c>
      <c r="AD1094" s="1" t="str">
        <f ca="1">IFERROR(__xludf.DUMMYFUNCTION("""COMPUTED_VALUE"""),"No")</f>
        <v>No</v>
      </c>
      <c r="AE1094" s="1" t="str">
        <f ca="1">IFERROR(__xludf.DUMMYFUNCTION("""COMPUTED_VALUE"""),"No")</f>
        <v>No</v>
      </c>
      <c r="AF1094" s="1"/>
      <c r="AG1094" s="1" t="str">
        <f ca="1">IFERROR(__xludf.DUMMYFUNCTION("""COMPUTED_VALUE"""),"No")</f>
        <v>No</v>
      </c>
      <c r="AH1094" s="1">
        <f ca="1">IFERROR(__xludf.DUMMYFUNCTION("""COMPUTED_VALUE"""),10)</f>
        <v>10</v>
      </c>
    </row>
    <row r="1095" spans="1:34" ht="12.5">
      <c r="A1095" s="1" t="str">
        <f ca="1">IFERROR(__xludf.DUMMYFUNCTION("""COMPUTED_VALUE"""),"20200201TXHIH")</f>
        <v>20200201TXHIH</v>
      </c>
      <c r="B1095" s="1">
        <f ca="1">IFERROR(__xludf.DUMMYFUNCTION("""COMPUTED_VALUE"""),2)</f>
        <v>2</v>
      </c>
      <c r="C1095" s="1">
        <f ca="1">IFERROR(__xludf.DUMMYFUNCTION("""COMPUTED_VALUE"""),1)</f>
        <v>1</v>
      </c>
      <c r="D1095" s="1">
        <f ca="1">IFERROR(__xludf.DUMMYFUNCTION("""COMPUTED_VALUE"""),2020)</f>
        <v>2020</v>
      </c>
      <c r="E1095" s="4">
        <f ca="1">IFERROR(__xludf.DUMMYFUNCTION("""COMPUTED_VALUE"""),43862)</f>
        <v>43862</v>
      </c>
      <c r="F1095" s="1" t="str">
        <f ca="1">IFERROR(__xludf.DUMMYFUNCTION("""COMPUTED_VALUE"""),"Hicks Elementary School")</f>
        <v>Hicks Elementary School</v>
      </c>
      <c r="G1095" s="1">
        <f ca="1">IFERROR(__xludf.DUMMYFUNCTION("""COMPUTED_VALUE"""),0)</f>
        <v>0</v>
      </c>
      <c r="H1095" s="1">
        <f ca="1">IFERROR(__xludf.DUMMYFUNCTION("""COMPUTED_VALUE"""),1)</f>
        <v>1</v>
      </c>
      <c r="I1095" s="1">
        <f ca="1">IFERROR(__xludf.DUMMYFUNCTION("""COMPUTED_VALUE"""),1)</f>
        <v>1</v>
      </c>
      <c r="J1095" s="1">
        <f ca="1">IFERROR(__xludf.DUMMYFUNCTION("""COMPUTED_VALUE"""),0)</f>
        <v>0</v>
      </c>
      <c r="K1095" s="1" t="str">
        <f ca="1">IFERROR(__xludf.DUMMYFUNCTION("""COMPUTED_VALUE"""),"Winter")</f>
        <v>Winter</v>
      </c>
      <c r="L1095" s="1" t="str">
        <f ca="1">IFERROR(__xludf.DUMMYFUNCTION("""COMPUTED_VALUE"""),"Houston")</f>
        <v>Houston</v>
      </c>
      <c r="M1095" s="1" t="str">
        <f ca="1">IFERROR(__xludf.DUMMYFUNCTION("""COMPUTED_VALUE"""),"TX")</f>
        <v>TX</v>
      </c>
      <c r="N1095" s="1" t="str">
        <f ca="1">IFERROR(__xludf.DUMMYFUNCTION("""COMPUTED_VALUE"""),"Elementary")</f>
        <v>Elementary</v>
      </c>
      <c r="O1095" s="1" t="str">
        <f ca="1">IFERROR(__xludf.DUMMYFUNCTION("""COMPUTED_VALUE"""),"Outside on School Property")</f>
        <v>Outside on School Property</v>
      </c>
      <c r="P1095" s="1" t="str">
        <f ca="1">IFERROR(__xludf.DUMMYFUNCTION("""COMPUTED_VALUE"""),"Outside on School Property")</f>
        <v>Outside on School Property</v>
      </c>
      <c r="Q1095" s="1" t="str">
        <f ca="1">IFERROR(__xludf.DUMMYFUNCTION("""COMPUTED_VALUE"""),"No")</f>
        <v>No</v>
      </c>
      <c r="R1095" s="1" t="str">
        <f ca="1">IFERROR(__xludf.DUMMYFUNCTION("""COMPUTED_VALUE"""),"Not a School Day")</f>
        <v>Not a School Day</v>
      </c>
      <c r="S1095" s="1"/>
      <c r="T1095" s="1">
        <f ca="1">IFERROR(__xludf.DUMMYFUNCTION("""COMPUTED_VALUE"""),1)</f>
        <v>1</v>
      </c>
      <c r="U1095" s="1" t="str">
        <f ca="1">IFERROR(__xludf.DUMMYFUNCTION("""COMPUTED_VALUE"""),"Adult male shot during robbery at the school")</f>
        <v>Adult male shot during robbery at the school</v>
      </c>
      <c r="V1095" s="1" t="str">
        <f ca="1">IFERROR(__xludf.DUMMYFUNCTION("""COMPUTED_VALUE"""),"Adult male shot during robbery at the school. He was meeting the shooter to sell a pair of shoes. Shooter fled the area.")</f>
        <v>Adult male shot during robbery at the school. He was meeting the shooter to sell a pair of shoes. Shooter fled the area.</v>
      </c>
      <c r="W1095" s="1" t="str">
        <f ca="1">IFERROR(__xludf.DUMMYFUNCTION("""COMPUTED_VALUE"""),"Illegal Activity")</f>
        <v>Illegal Activity</v>
      </c>
      <c r="X1095" s="1" t="str">
        <f ca="1">IFERROR(__xludf.DUMMYFUNCTION("""COMPUTED_VALUE"""),"Victims Targeted")</f>
        <v>Victims Targeted</v>
      </c>
      <c r="Y1095" s="1"/>
      <c r="Z1095" s="1"/>
      <c r="AA1095" s="1" t="str">
        <f ca="1">IFERROR(__xludf.DUMMYFUNCTION("""COMPUTED_VALUE"""),"No")</f>
        <v>No</v>
      </c>
      <c r="AB1095" s="1" t="str">
        <f ca="1">IFERROR(__xludf.DUMMYFUNCTION("""COMPUTED_VALUE"""),"No")</f>
        <v>No</v>
      </c>
      <c r="AC1095" s="1" t="str">
        <f ca="1">IFERROR(__xludf.DUMMYFUNCTION("""COMPUTED_VALUE"""),"No")</f>
        <v>No</v>
      </c>
      <c r="AD1095" s="1" t="str">
        <f ca="1">IFERROR(__xludf.DUMMYFUNCTION("""COMPUTED_VALUE"""),"No")</f>
        <v>No</v>
      </c>
      <c r="AE1095" s="1" t="str">
        <f ca="1">IFERROR(__xludf.DUMMYFUNCTION("""COMPUTED_VALUE"""),"No")</f>
        <v>No</v>
      </c>
      <c r="AF1095" s="1" t="str">
        <f ca="1">IFERROR(__xludf.DUMMYFUNCTION("""COMPUTED_VALUE"""),"No")</f>
        <v>No</v>
      </c>
      <c r="AG1095" s="1" t="str">
        <f ca="1">IFERROR(__xludf.DUMMYFUNCTION("""COMPUTED_VALUE"""),"No")</f>
        <v>No</v>
      </c>
      <c r="AH1095" s="1">
        <f ca="1">IFERROR(__xludf.DUMMYFUNCTION("""COMPUTED_VALUE"""),1)</f>
        <v>1</v>
      </c>
    </row>
    <row r="1096" spans="1:34" ht="12.5">
      <c r="A1096" s="1" t="str">
        <f ca="1">IFERROR(__xludf.DUMMYFUNCTION("""COMPUTED_VALUE"""),"20200131CADEA")</f>
        <v>20200131CADEA</v>
      </c>
      <c r="B1096" s="1">
        <f ca="1">IFERROR(__xludf.DUMMYFUNCTION("""COMPUTED_VALUE"""),1)</f>
        <v>1</v>
      </c>
      <c r="C1096" s="1">
        <f ca="1">IFERROR(__xludf.DUMMYFUNCTION("""COMPUTED_VALUE"""),31)</f>
        <v>31</v>
      </c>
      <c r="D1096" s="1">
        <f ca="1">IFERROR(__xludf.DUMMYFUNCTION("""COMPUTED_VALUE"""),2020)</f>
        <v>2020</v>
      </c>
      <c r="E1096" s="4">
        <f ca="1">IFERROR(__xludf.DUMMYFUNCTION("""COMPUTED_VALUE"""),43861)</f>
        <v>43861</v>
      </c>
      <c r="F1096" s="1" t="str">
        <f ca="1">IFERROR(__xludf.DUMMYFUNCTION("""COMPUTED_VALUE"""),"Deer Valley High School")</f>
        <v>Deer Valley High School</v>
      </c>
      <c r="G1096" s="1">
        <f ca="1">IFERROR(__xludf.DUMMYFUNCTION("""COMPUTED_VALUE"""),1)</f>
        <v>1</v>
      </c>
      <c r="H1096" s="1">
        <f ca="1">IFERROR(__xludf.DUMMYFUNCTION("""COMPUTED_VALUE"""),0)</f>
        <v>0</v>
      </c>
      <c r="I1096" s="1">
        <f ca="1">IFERROR(__xludf.DUMMYFUNCTION("""COMPUTED_VALUE"""),1)</f>
        <v>1</v>
      </c>
      <c r="J1096" s="1">
        <f ca="1">IFERROR(__xludf.DUMMYFUNCTION("""COMPUTED_VALUE"""),0)</f>
        <v>0</v>
      </c>
      <c r="K1096" s="1" t="str">
        <f ca="1">IFERROR(__xludf.DUMMYFUNCTION("""COMPUTED_VALUE"""),"Winter")</f>
        <v>Winter</v>
      </c>
      <c r="L1096" s="1" t="str">
        <f ca="1">IFERROR(__xludf.DUMMYFUNCTION("""COMPUTED_VALUE"""),"Antioch")</f>
        <v>Antioch</v>
      </c>
      <c r="M1096" s="1" t="str">
        <f ca="1">IFERROR(__xludf.DUMMYFUNCTION("""COMPUTED_VALUE"""),"CA")</f>
        <v>CA</v>
      </c>
      <c r="N1096" s="1" t="str">
        <f ca="1">IFERROR(__xludf.DUMMYFUNCTION("""COMPUTED_VALUE"""),"High")</f>
        <v>High</v>
      </c>
      <c r="O1096" s="1" t="str">
        <f ca="1">IFERROR(__xludf.DUMMYFUNCTION("""COMPUTED_VALUE"""),"Parking Lot")</f>
        <v>Parking Lot</v>
      </c>
      <c r="P1096" s="1" t="str">
        <f ca="1">IFERROR(__xludf.DUMMYFUNCTION("""COMPUTED_VALUE"""),"Outside on School Property")</f>
        <v>Outside on School Property</v>
      </c>
      <c r="Q1096" s="1" t="str">
        <f ca="1">IFERROR(__xludf.DUMMYFUNCTION("""COMPUTED_VALUE"""),"No")</f>
        <v>No</v>
      </c>
      <c r="R1096" s="1" t="str">
        <f ca="1">IFERROR(__xludf.DUMMYFUNCTION("""COMPUTED_VALUE"""),"Sport Event")</f>
        <v>Sport Event</v>
      </c>
      <c r="S1096" s="5">
        <f ca="1">IFERROR(__xludf.DUMMYFUNCTION("""COMPUTED_VALUE"""),0.864583333333333)</f>
        <v>0.86458333333333304</v>
      </c>
      <c r="T1096" s="1">
        <f ca="1">IFERROR(__xludf.DUMMYFUNCTION("""COMPUTED_VALUE"""),1)</f>
        <v>1</v>
      </c>
      <c r="U1096" s="1" t="str">
        <f ca="1">IFERROR(__xludf.DUMMYFUNCTION("""COMPUTED_VALUE"""),"16YOM student shot during fight outside of school during basketball game")</f>
        <v>16YOM student shot during fight outside of school during basketball game</v>
      </c>
      <c r="V1096" s="1" t="str">
        <f ca="1">IFERROR(__xludf.DUMMYFUNCTION("""COMPUTED_VALUE"""),"16YOM student shot 3 times and killed during a fight outside of a high school in the parking lot during a basketball game. Police said the fight was not related to the rivalry. Shooter fled the area.")</f>
        <v>16YOM student shot 3 times and killed during a fight outside of a high school in the parking lot during a basketball game. Police said the fight was not related to the rivalry. Shooter fled the area.</v>
      </c>
      <c r="W1096" s="1" t="str">
        <f ca="1">IFERROR(__xludf.DUMMYFUNCTION("""COMPUTED_VALUE"""),"Escalation of Dispute")</f>
        <v>Escalation of Dispute</v>
      </c>
      <c r="X1096" s="1"/>
      <c r="Y1096" s="1"/>
      <c r="Z1096" s="1"/>
      <c r="AA1096" s="1" t="str">
        <f ca="1">IFERROR(__xludf.DUMMYFUNCTION("""COMPUTED_VALUE"""),"No")</f>
        <v>No</v>
      </c>
      <c r="AB1096" s="1" t="str">
        <f ca="1">IFERROR(__xludf.DUMMYFUNCTION("""COMPUTED_VALUE"""),"No")</f>
        <v>No</v>
      </c>
      <c r="AC1096" s="1" t="str">
        <f ca="1">IFERROR(__xludf.DUMMYFUNCTION("""COMPUTED_VALUE"""),"No")</f>
        <v>No</v>
      </c>
      <c r="AD1096" s="1" t="str">
        <f ca="1">IFERROR(__xludf.DUMMYFUNCTION("""COMPUTED_VALUE"""),"No")</f>
        <v>No</v>
      </c>
      <c r="AE1096" s="1" t="str">
        <f ca="1">IFERROR(__xludf.DUMMYFUNCTION("""COMPUTED_VALUE"""),"No")</f>
        <v>No</v>
      </c>
      <c r="AF1096" s="1" t="str">
        <f ca="1">IFERROR(__xludf.DUMMYFUNCTION("""COMPUTED_VALUE"""),"No")</f>
        <v>No</v>
      </c>
      <c r="AG1096" s="1" t="str">
        <f ca="1">IFERROR(__xludf.DUMMYFUNCTION("""COMPUTED_VALUE"""),"No")</f>
        <v>No</v>
      </c>
      <c r="AH1096" s="1"/>
    </row>
    <row r="1097" spans="1:34" ht="12.5">
      <c r="A1097" s="1" t="str">
        <f ca="1">IFERROR(__xludf.DUMMYFUNCTION("""COMPUTED_VALUE"""),"20200128TXLUL")</f>
        <v>20200128TXLUL</v>
      </c>
      <c r="B1097" s="1">
        <f ca="1">IFERROR(__xludf.DUMMYFUNCTION("""COMPUTED_VALUE"""),1)</f>
        <v>1</v>
      </c>
      <c r="C1097" s="1">
        <f ca="1">IFERROR(__xludf.DUMMYFUNCTION("""COMPUTED_VALUE"""),28)</f>
        <v>28</v>
      </c>
      <c r="D1097" s="1">
        <f ca="1">IFERROR(__xludf.DUMMYFUNCTION("""COMPUTED_VALUE"""),2020)</f>
        <v>2020</v>
      </c>
      <c r="E1097" s="4">
        <f ca="1">IFERROR(__xludf.DUMMYFUNCTION("""COMPUTED_VALUE"""),43858)</f>
        <v>43858</v>
      </c>
      <c r="F1097" s="1" t="str">
        <f ca="1">IFERROR(__xludf.DUMMYFUNCTION("""COMPUTED_VALUE"""),"Lufkin Middle School")</f>
        <v>Lufkin Middle School</v>
      </c>
      <c r="G1097" s="1">
        <f ca="1">IFERROR(__xludf.DUMMYFUNCTION("""COMPUTED_VALUE"""),0)</f>
        <v>0</v>
      </c>
      <c r="H1097" s="1">
        <f ca="1">IFERROR(__xludf.DUMMYFUNCTION("""COMPUTED_VALUE"""),1)</f>
        <v>1</v>
      </c>
      <c r="I1097" s="1">
        <f ca="1">IFERROR(__xludf.DUMMYFUNCTION("""COMPUTED_VALUE"""),1)</f>
        <v>1</v>
      </c>
      <c r="J1097" s="1">
        <f ca="1">IFERROR(__xludf.DUMMYFUNCTION("""COMPUTED_VALUE"""),0)</f>
        <v>0</v>
      </c>
      <c r="K1097" s="1" t="str">
        <f ca="1">IFERROR(__xludf.DUMMYFUNCTION("""COMPUTED_VALUE"""),"Winter")</f>
        <v>Winter</v>
      </c>
      <c r="L1097" s="1" t="str">
        <f ca="1">IFERROR(__xludf.DUMMYFUNCTION("""COMPUTED_VALUE"""),"Lufkin")</f>
        <v>Lufkin</v>
      </c>
      <c r="M1097" s="1" t="str">
        <f ca="1">IFERROR(__xludf.DUMMYFUNCTION("""COMPUTED_VALUE"""),"TX")</f>
        <v>TX</v>
      </c>
      <c r="N1097" s="1" t="str">
        <f ca="1">IFERROR(__xludf.DUMMYFUNCTION("""COMPUTED_VALUE"""),"High")</f>
        <v>High</v>
      </c>
      <c r="O1097" s="1" t="str">
        <f ca="1">IFERROR(__xludf.DUMMYFUNCTION("""COMPUTED_VALUE"""),"Front of School")</f>
        <v>Front of School</v>
      </c>
      <c r="P1097" s="1" t="str">
        <f ca="1">IFERROR(__xludf.DUMMYFUNCTION("""COMPUTED_VALUE"""),"Outside on School Property")</f>
        <v>Outside on School Property</v>
      </c>
      <c r="Q1097" s="1" t="str">
        <f ca="1">IFERROR(__xludf.DUMMYFUNCTION("""COMPUTED_VALUE"""),"No")</f>
        <v>No</v>
      </c>
      <c r="R1097" s="1" t="str">
        <f ca="1">IFERROR(__xludf.DUMMYFUNCTION("""COMPUTED_VALUE"""),"Sport Event")</f>
        <v>Sport Event</v>
      </c>
      <c r="S1097" s="5">
        <f ca="1">IFERROR(__xludf.DUMMYFUNCTION("""COMPUTED_VALUE"""),0.854166666666666)</f>
        <v>0.85416666666666596</v>
      </c>
      <c r="T1097" s="1">
        <f ca="1">IFERROR(__xludf.DUMMYFUNCTION("""COMPUTED_VALUE"""),1)</f>
        <v>1</v>
      </c>
      <c r="U1097" s="1" t="str">
        <f ca="1">IFERROR(__xludf.DUMMYFUNCTION("""COMPUTED_VALUE"""),"17YOM student shot by two suspects in front of school during basketball game")</f>
        <v>17YOM student shot by two suspects in front of school during basketball game</v>
      </c>
      <c r="V1097" s="1" t="str">
        <f ca="1">IFERROR(__xludf.DUMMYFUNCTION("""COMPUTED_VALUE"""),"Police officers assigned to the high school basketball game heard gunshots and found a 17YOM student shot in front of the school. Victim was seen talking to 2 unidentified males prior to the shooting who fled the area. Police said the shooting was not rel"&amp;"ated to the rivalry basketball game. Shooter and victim were members of rival gang. Agreed to meet in front of school for fight when the shooting occured.")</f>
        <v>Police officers assigned to the high school basketball game heard gunshots and found a 17YOM student shot in front of the school. Victim was seen talking to 2 unidentified males prior to the shooting who fled the area. Police said the shooting was not related to the rivalry basketball game. Shooter and victim were members of rival gang. Agreed to meet in front of school for fight when the shooting occured.</v>
      </c>
      <c r="W1097" s="1" t="str">
        <f ca="1">IFERROR(__xludf.DUMMYFUNCTION("""COMPUTED_VALUE"""),"Escalation of Dispute")</f>
        <v>Escalation of Dispute</v>
      </c>
      <c r="X1097" s="1" t="str">
        <f ca="1">IFERROR(__xludf.DUMMYFUNCTION("""COMPUTED_VALUE"""),"Victims Targeted")</f>
        <v>Victims Targeted</v>
      </c>
      <c r="Y1097" s="1" t="str">
        <f ca="1">IFERROR(__xludf.DUMMYFUNCTION("""COMPUTED_VALUE"""),"Yes")</f>
        <v>Yes</v>
      </c>
      <c r="Z1097" s="1" t="str">
        <f ca="1">IFERROR(__xludf.DUMMYFUNCTION("""COMPUTED_VALUE"""),"2 men fled area")</f>
        <v>2 men fled area</v>
      </c>
      <c r="AA1097" s="1" t="str">
        <f ca="1">IFERROR(__xludf.DUMMYFUNCTION("""COMPUTED_VALUE"""),"No")</f>
        <v>No</v>
      </c>
      <c r="AB1097" s="1" t="str">
        <f ca="1">IFERROR(__xludf.DUMMYFUNCTION("""COMPUTED_VALUE"""),"No")</f>
        <v>No</v>
      </c>
      <c r="AC1097" s="1" t="str">
        <f ca="1">IFERROR(__xludf.DUMMYFUNCTION("""COMPUTED_VALUE"""),"No")</f>
        <v>No</v>
      </c>
      <c r="AD1097" s="1" t="str">
        <f ca="1">IFERROR(__xludf.DUMMYFUNCTION("""COMPUTED_VALUE"""),"No")</f>
        <v>No</v>
      </c>
      <c r="AE1097" s="1" t="str">
        <f ca="1">IFERROR(__xludf.DUMMYFUNCTION("""COMPUTED_VALUE"""),"No")</f>
        <v>No</v>
      </c>
      <c r="AF1097" s="1" t="str">
        <f ca="1">IFERROR(__xludf.DUMMYFUNCTION("""COMPUTED_VALUE"""),"Yes")</f>
        <v>Yes</v>
      </c>
      <c r="AG1097" s="1" t="str">
        <f ca="1">IFERROR(__xludf.DUMMYFUNCTION("""COMPUTED_VALUE"""),"No")</f>
        <v>No</v>
      </c>
      <c r="AH1097" s="1" t="str">
        <f ca="1">IFERROR(__xludf.DUMMYFUNCTION("""COMPUTED_VALUE"""),"&lt;10")</f>
        <v>&lt;10</v>
      </c>
    </row>
    <row r="1098" spans="1:34" ht="12.5">
      <c r="A1098" s="1" t="str">
        <f ca="1">IFERROR(__xludf.DUMMYFUNCTION("""COMPUTED_VALUE"""),"20200128TNWHM")</f>
        <v>20200128TNWHM</v>
      </c>
      <c r="B1098" s="1">
        <f ca="1">IFERROR(__xludf.DUMMYFUNCTION("""COMPUTED_VALUE"""),1)</f>
        <v>1</v>
      </c>
      <c r="C1098" s="1">
        <f ca="1">IFERROR(__xludf.DUMMYFUNCTION("""COMPUTED_VALUE"""),28)</f>
        <v>28</v>
      </c>
      <c r="D1098" s="1">
        <f ca="1">IFERROR(__xludf.DUMMYFUNCTION("""COMPUTED_VALUE"""),2020)</f>
        <v>2020</v>
      </c>
      <c r="E1098" s="4">
        <f ca="1">IFERROR(__xludf.DUMMYFUNCTION("""COMPUTED_VALUE"""),43858)</f>
        <v>43858</v>
      </c>
      <c r="F1098" s="1" t="str">
        <f ca="1">IFERROR(__xludf.DUMMYFUNCTION("""COMPUTED_VALUE"""),"White Station High School")</f>
        <v>White Station High School</v>
      </c>
      <c r="G1098" s="1">
        <f ca="1">IFERROR(__xludf.DUMMYFUNCTION("""COMPUTED_VALUE"""),0)</f>
        <v>0</v>
      </c>
      <c r="H1098" s="1">
        <f ca="1">IFERROR(__xludf.DUMMYFUNCTION("""COMPUTED_VALUE"""),1)</f>
        <v>1</v>
      </c>
      <c r="I1098" s="1">
        <f ca="1">IFERROR(__xludf.DUMMYFUNCTION("""COMPUTED_VALUE"""),1)</f>
        <v>1</v>
      </c>
      <c r="J1098" s="1">
        <f ca="1">IFERROR(__xludf.DUMMYFUNCTION("""COMPUTED_VALUE"""),0)</f>
        <v>0</v>
      </c>
      <c r="K1098" s="1" t="str">
        <f ca="1">IFERROR(__xludf.DUMMYFUNCTION("""COMPUTED_VALUE"""),"Winter")</f>
        <v>Winter</v>
      </c>
      <c r="L1098" s="1" t="str">
        <f ca="1">IFERROR(__xludf.DUMMYFUNCTION("""COMPUTED_VALUE"""),"Memphis")</f>
        <v>Memphis</v>
      </c>
      <c r="M1098" s="1" t="str">
        <f ca="1">IFERROR(__xludf.DUMMYFUNCTION("""COMPUTED_VALUE"""),"TN")</f>
        <v>TN</v>
      </c>
      <c r="N1098" s="1" t="str">
        <f ca="1">IFERROR(__xludf.DUMMYFUNCTION("""COMPUTED_VALUE"""),"High")</f>
        <v>High</v>
      </c>
      <c r="O1098" s="1" t="str">
        <f ca="1">IFERROR(__xludf.DUMMYFUNCTION("""COMPUTED_VALUE"""),"Parking Lot")</f>
        <v>Parking Lot</v>
      </c>
      <c r="P1098" s="1" t="str">
        <f ca="1">IFERROR(__xludf.DUMMYFUNCTION("""COMPUTED_VALUE"""),"Outside on School Property")</f>
        <v>Outside on School Property</v>
      </c>
      <c r="Q1098" s="1" t="str">
        <f ca="1">IFERROR(__xludf.DUMMYFUNCTION("""COMPUTED_VALUE"""),"No")</f>
        <v>No</v>
      </c>
      <c r="R1098" s="1" t="str">
        <f ca="1">IFERROR(__xludf.DUMMYFUNCTION("""COMPUTED_VALUE"""),"Evening")</f>
        <v>Evening</v>
      </c>
      <c r="S1098" s="1"/>
      <c r="T1098" s="1">
        <f ca="1">IFERROR(__xludf.DUMMYFUNCTION("""COMPUTED_VALUE"""),1)</f>
        <v>1</v>
      </c>
      <c r="U1098" s="1" t="str">
        <f ca="1">IFERROR(__xludf.DUMMYFUNCTION("""COMPUTED_VALUE"""),"18YPM fired shots from vehicle following argument in school parking lot")</f>
        <v>18YPM fired shots from vehicle following argument in school parking lot</v>
      </c>
      <c r="V1098" s="1" t="str">
        <f ca="1">IFERROR(__xludf.DUMMYFUNCTION("""COMPUTED_VALUE"""),"18YOM fired 5 shots from vehicle following an argument in the school parking lot. Shots struck 2 other vehicles and an adult male victim was cut by broken glass. Police have not identified the 18YOM shooter who fled the scene in a vehicle.")</f>
        <v>18YOM fired 5 shots from vehicle following an argument in the school parking lot. Shots struck 2 other vehicles and an adult male victim was cut by broken glass. Police have not identified the 18YOM shooter who fled the scene in a vehicle.</v>
      </c>
      <c r="W1098" s="1" t="str">
        <f ca="1">IFERROR(__xludf.DUMMYFUNCTION("""COMPUTED_VALUE"""),"Drive-by Shooting")</f>
        <v>Drive-by Shooting</v>
      </c>
      <c r="X1098" s="1" t="str">
        <f ca="1">IFERROR(__xludf.DUMMYFUNCTION("""COMPUTED_VALUE"""),"Both")</f>
        <v>Both</v>
      </c>
      <c r="Y1098" s="1"/>
      <c r="Z1098" s="1" t="str">
        <f ca="1">IFERROR(__xludf.DUMMYFUNCTION("""COMPUTED_VALUE"""),"1 female in vehicle with shooter")</f>
        <v>1 female in vehicle with shooter</v>
      </c>
      <c r="AA1098" s="1" t="str">
        <f ca="1">IFERROR(__xludf.DUMMYFUNCTION("""COMPUTED_VALUE"""),"No")</f>
        <v>No</v>
      </c>
      <c r="AB1098" s="1" t="str">
        <f ca="1">IFERROR(__xludf.DUMMYFUNCTION("""COMPUTED_VALUE"""),"No")</f>
        <v>No</v>
      </c>
      <c r="AC1098" s="1" t="str">
        <f ca="1">IFERROR(__xludf.DUMMYFUNCTION("""COMPUTED_VALUE"""),"No")</f>
        <v>No</v>
      </c>
      <c r="AD1098" s="1" t="str">
        <f ca="1">IFERROR(__xludf.DUMMYFUNCTION("""COMPUTED_VALUE"""),"No")</f>
        <v>No</v>
      </c>
      <c r="AE1098" s="1" t="str">
        <f ca="1">IFERROR(__xludf.DUMMYFUNCTION("""COMPUTED_VALUE"""),"No")</f>
        <v>No</v>
      </c>
      <c r="AF1098" s="1" t="str">
        <f ca="1">IFERROR(__xludf.DUMMYFUNCTION("""COMPUTED_VALUE"""),"No")</f>
        <v>No</v>
      </c>
      <c r="AG1098" s="1" t="str">
        <f ca="1">IFERROR(__xludf.DUMMYFUNCTION("""COMPUTED_VALUE"""),"No")</f>
        <v>No</v>
      </c>
      <c r="AH1098" s="1">
        <f ca="1">IFERROR(__xludf.DUMMYFUNCTION("""COMPUTED_VALUE"""),5)</f>
        <v>5</v>
      </c>
    </row>
    <row r="1099" spans="1:34" ht="12.5">
      <c r="A1099" s="1" t="str">
        <f ca="1">IFERROR(__xludf.DUMMYFUNCTION("""COMPUTED_VALUE"""),"20200128NYMAQ")</f>
        <v>20200128NYMAQ</v>
      </c>
      <c r="B1099" s="1">
        <f ca="1">IFERROR(__xludf.DUMMYFUNCTION("""COMPUTED_VALUE"""),1)</f>
        <v>1</v>
      </c>
      <c r="C1099" s="1">
        <f ca="1">IFERROR(__xludf.DUMMYFUNCTION("""COMPUTED_VALUE"""),28)</f>
        <v>28</v>
      </c>
      <c r="D1099" s="1">
        <f ca="1">IFERROR(__xludf.DUMMYFUNCTION("""COMPUTED_VALUE"""),2020)</f>
        <v>2020</v>
      </c>
      <c r="E1099" s="4">
        <f ca="1">IFERROR(__xludf.DUMMYFUNCTION("""COMPUTED_VALUE"""),43858)</f>
        <v>43858</v>
      </c>
      <c r="F1099" s="1" t="str">
        <f ca="1">IFERROR(__xludf.DUMMYFUNCTION("""COMPUTED_VALUE"""),"Martin Van Buren High School")</f>
        <v>Martin Van Buren High School</v>
      </c>
      <c r="G1099" s="1">
        <f ca="1">IFERROR(__xludf.DUMMYFUNCTION("""COMPUTED_VALUE"""),0)</f>
        <v>0</v>
      </c>
      <c r="H1099" s="1">
        <f ca="1">IFERROR(__xludf.DUMMYFUNCTION("""COMPUTED_VALUE"""),0)</f>
        <v>0</v>
      </c>
      <c r="I1099" s="1">
        <f ca="1">IFERROR(__xludf.DUMMYFUNCTION("""COMPUTED_VALUE"""),0)</f>
        <v>0</v>
      </c>
      <c r="J1099" s="1">
        <f ca="1">IFERROR(__xludf.DUMMYFUNCTION("""COMPUTED_VALUE"""),0)</f>
        <v>0</v>
      </c>
      <c r="K1099" s="1" t="str">
        <f ca="1">IFERROR(__xludf.DUMMYFUNCTION("""COMPUTED_VALUE"""),"Winter")</f>
        <v>Winter</v>
      </c>
      <c r="L1099" s="1" t="str">
        <f ca="1">IFERROR(__xludf.DUMMYFUNCTION("""COMPUTED_VALUE"""),"Queens")</f>
        <v>Queens</v>
      </c>
      <c r="M1099" s="1" t="str">
        <f ca="1">IFERROR(__xludf.DUMMYFUNCTION("""COMPUTED_VALUE"""),"NY")</f>
        <v>NY</v>
      </c>
      <c r="N1099" s="1" t="str">
        <f ca="1">IFERROR(__xludf.DUMMYFUNCTION("""COMPUTED_VALUE"""),"High")</f>
        <v>High</v>
      </c>
      <c r="O1099" s="1" t="str">
        <f ca="1">IFERROR(__xludf.DUMMYFUNCTION("""COMPUTED_VALUE"""),"Beside Building")</f>
        <v>Beside Building</v>
      </c>
      <c r="P1099" s="1" t="str">
        <f ca="1">IFERROR(__xludf.DUMMYFUNCTION("""COMPUTED_VALUE"""),"Outside on School Property")</f>
        <v>Outside on School Property</v>
      </c>
      <c r="Q1099" s="1" t="str">
        <f ca="1">IFERROR(__xludf.DUMMYFUNCTION("""COMPUTED_VALUE"""),"Yes")</f>
        <v>Yes</v>
      </c>
      <c r="R1099" s="1" t="str">
        <f ca="1">IFERROR(__xludf.DUMMYFUNCTION("""COMPUTED_VALUE"""),"Dismissal")</f>
        <v>Dismissal</v>
      </c>
      <c r="S1099" s="5">
        <f ca="1">IFERROR(__xludf.DUMMYFUNCTION("""COMPUTED_VALUE"""),0.614583333333333)</f>
        <v>0.61458333333333304</v>
      </c>
      <c r="T1099" s="1">
        <f ca="1">IFERROR(__xludf.DUMMYFUNCTION("""COMPUTED_VALUE"""),1)</f>
        <v>1</v>
      </c>
      <c r="U1099" s="1" t="str">
        <f ca="1">IFERROR(__xludf.DUMMYFUNCTION("""COMPUTED_VALUE"""),"Student accidentally shot self during fight outside of school")</f>
        <v>Student accidentally shot self during fight outside of school</v>
      </c>
      <c r="V1099" s="1" t="str">
        <f ca="1">IFERROR(__xludf.DUMMYFUNCTION("""COMPUTED_VALUE"""),"16YOM student accidentally shot himself in the leg during a fight outside of the school. Other students involved in the fight fled the area. Student was taken to the hospital. School locked down.")</f>
        <v>16YOM student accidentally shot himself in the leg during a fight outside of the school. Other students involved in the fight fled the area. Student was taken to the hospital. School locked down.</v>
      </c>
      <c r="W1099" s="1" t="str">
        <f ca="1">IFERROR(__xludf.DUMMYFUNCTION("""COMPUTED_VALUE"""),"Escalation of Dispute")</f>
        <v>Escalation of Dispute</v>
      </c>
      <c r="X1099" s="1"/>
      <c r="Y1099" s="1" t="str">
        <f ca="1">IFERROR(__xludf.DUMMYFUNCTION("""COMPUTED_VALUE"""),"No")</f>
        <v>No</v>
      </c>
      <c r="Z1099" s="1"/>
      <c r="AA1099" s="1" t="str">
        <f ca="1">IFERROR(__xludf.DUMMYFUNCTION("""COMPUTED_VALUE"""),"No")</f>
        <v>No</v>
      </c>
      <c r="AB1099" s="1" t="str">
        <f ca="1">IFERROR(__xludf.DUMMYFUNCTION("""COMPUTED_VALUE"""),"No")</f>
        <v>No</v>
      </c>
      <c r="AC1099" s="1" t="str">
        <f ca="1">IFERROR(__xludf.DUMMYFUNCTION("""COMPUTED_VALUE"""),"No")</f>
        <v>No</v>
      </c>
      <c r="AD1099" s="1" t="str">
        <f ca="1">IFERROR(__xludf.DUMMYFUNCTION("""COMPUTED_VALUE"""),"No")</f>
        <v>No</v>
      </c>
      <c r="AE1099" s="1" t="str">
        <f ca="1">IFERROR(__xludf.DUMMYFUNCTION("""COMPUTED_VALUE"""),"No")</f>
        <v>No</v>
      </c>
      <c r="AF1099" s="1" t="str">
        <f ca="1">IFERROR(__xludf.DUMMYFUNCTION("""COMPUTED_VALUE"""),"No")</f>
        <v>No</v>
      </c>
      <c r="AG1099" s="1" t="str">
        <f ca="1">IFERROR(__xludf.DUMMYFUNCTION("""COMPUTED_VALUE"""),"No")</f>
        <v>No</v>
      </c>
      <c r="AH1099" s="1">
        <f ca="1">IFERROR(__xludf.DUMMYFUNCTION("""COMPUTED_VALUE"""),1)</f>
        <v>1</v>
      </c>
    </row>
    <row r="1100" spans="1:34" ht="12.5">
      <c r="A1100" s="1" t="str">
        <f ca="1">IFERROR(__xludf.DUMMYFUNCTION("""COMPUTED_VALUE"""),"20200127WAROY")</f>
        <v>20200127WAROY</v>
      </c>
      <c r="B1100" s="1">
        <f ca="1">IFERROR(__xludf.DUMMYFUNCTION("""COMPUTED_VALUE"""),1)</f>
        <v>1</v>
      </c>
      <c r="C1100" s="1">
        <f ca="1">IFERROR(__xludf.DUMMYFUNCTION("""COMPUTED_VALUE"""),27)</f>
        <v>27</v>
      </c>
      <c r="D1100" s="1">
        <f ca="1">IFERROR(__xludf.DUMMYFUNCTION("""COMPUTED_VALUE"""),2020)</f>
        <v>2020</v>
      </c>
      <c r="E1100" s="4">
        <f ca="1">IFERROR(__xludf.DUMMYFUNCTION("""COMPUTED_VALUE"""),43857)</f>
        <v>43857</v>
      </c>
      <c r="F1100" s="1" t="str">
        <f ca="1">IFERROR(__xludf.DUMMYFUNCTION("""COMPUTED_VALUE"""),"Robertson Elementary School")</f>
        <v>Robertson Elementary School</v>
      </c>
      <c r="G1100" s="1">
        <f ca="1">IFERROR(__xludf.DUMMYFUNCTION("""COMPUTED_VALUE"""),0)</f>
        <v>0</v>
      </c>
      <c r="H1100" s="1">
        <f ca="1">IFERROR(__xludf.DUMMYFUNCTION("""COMPUTED_VALUE"""),0)</f>
        <v>0</v>
      </c>
      <c r="I1100" s="1">
        <f ca="1">IFERROR(__xludf.DUMMYFUNCTION("""COMPUTED_VALUE"""),0)</f>
        <v>0</v>
      </c>
      <c r="J1100" s="1">
        <f ca="1">IFERROR(__xludf.DUMMYFUNCTION("""COMPUTED_VALUE"""),0)</f>
        <v>0</v>
      </c>
      <c r="K1100" s="1" t="str">
        <f ca="1">IFERROR(__xludf.DUMMYFUNCTION("""COMPUTED_VALUE"""),"Winter")</f>
        <v>Winter</v>
      </c>
      <c r="L1100" s="1" t="str">
        <f ca="1">IFERROR(__xludf.DUMMYFUNCTION("""COMPUTED_VALUE"""),"Yakima")</f>
        <v>Yakima</v>
      </c>
      <c r="M1100" s="1" t="str">
        <f ca="1">IFERROR(__xludf.DUMMYFUNCTION("""COMPUTED_VALUE"""),"WA")</f>
        <v>WA</v>
      </c>
      <c r="N1100" s="1" t="str">
        <f ca="1">IFERROR(__xludf.DUMMYFUNCTION("""COMPUTED_VALUE"""),"Elementary")</f>
        <v>Elementary</v>
      </c>
      <c r="O1100" s="1" t="str">
        <f ca="1">IFERROR(__xludf.DUMMYFUNCTION("""COMPUTED_VALUE"""),"Playground")</f>
        <v>Playground</v>
      </c>
      <c r="P1100" s="1" t="str">
        <f ca="1">IFERROR(__xludf.DUMMYFUNCTION("""COMPUTED_VALUE"""),"Outside on School Property")</f>
        <v>Outside on School Property</v>
      </c>
      <c r="Q1100" s="1" t="str">
        <f ca="1">IFERROR(__xludf.DUMMYFUNCTION("""COMPUTED_VALUE"""),"No")</f>
        <v>No</v>
      </c>
      <c r="R1100" s="1" t="str">
        <f ca="1">IFERROR(__xludf.DUMMYFUNCTION("""COMPUTED_VALUE"""),"After School")</f>
        <v>After School</v>
      </c>
      <c r="S1100" s="5">
        <f ca="1">IFERROR(__xludf.DUMMYFUNCTION("""COMPUTED_VALUE"""),0.645833333333333)</f>
        <v>0.64583333333333304</v>
      </c>
      <c r="T1100" s="1">
        <f ca="1">IFERROR(__xludf.DUMMYFUNCTION("""COMPUTED_VALUE"""),1)</f>
        <v>1</v>
      </c>
      <c r="U1100" s="1" t="str">
        <f ca="1">IFERROR(__xludf.DUMMYFUNCTION("""COMPUTED_VALUE"""),"18YOM pointed gun at multiple students and parents on school playground then fled the area in a vehicle")</f>
        <v>18YOM pointed gun at multiple students and parents on school playground then fled the area in a vehicle</v>
      </c>
      <c r="V1100" s="1" t="str">
        <f ca="1">IFERROR(__xludf.DUMMYFUNCTION("""COMPUTED_VALUE"""),"18YOM approached juvenile on school playground and asked him if he ""banged"". Shooter then pulled out a handgun and pointed it at the juvenile, pointed it at another juvenile film with her cell phone, and then a parent in a vehicle in the parking lot. Ac"&amp;"cording to court documents, the man then noticed the woman turned his attention away from the girl recording on her phone, pointed a gun at the woman calling 911, and then ran to a car with 4 other people inside and was then driven away.")</f>
        <v>18YOM approached juvenile on school playground and asked him if he "banged". Shooter then pulled out a handgun and pointed it at the juvenile, pointed it at another juvenile film with her cell phone, and then a parent in a vehicle in the parking lot. According to court documents, the man then noticed the woman turned his attention away from the girl recording on her phone, pointed a gun at the woman calling 911, and then ran to a car with 4 other people inside and was then driven away.</v>
      </c>
      <c r="W1100" s="1" t="str">
        <f ca="1">IFERROR(__xludf.DUMMYFUNCTION("""COMPUTED_VALUE"""),"Illegal Activity")</f>
        <v>Illegal Activity</v>
      </c>
      <c r="X1100" s="1" t="str">
        <f ca="1">IFERROR(__xludf.DUMMYFUNCTION("""COMPUTED_VALUE"""),"Victims Targeted")</f>
        <v>Victims Targeted</v>
      </c>
      <c r="Y1100" s="1" t="str">
        <f ca="1">IFERROR(__xludf.DUMMYFUNCTION("""COMPUTED_VALUE"""),"Yes")</f>
        <v>Yes</v>
      </c>
      <c r="Z1100" s="1" t="str">
        <f ca="1">IFERROR(__xludf.DUMMYFUNCTION("""COMPUTED_VALUE"""),"4 men in vehicle")</f>
        <v>4 men in vehicle</v>
      </c>
      <c r="AA1100" s="1" t="str">
        <f ca="1">IFERROR(__xludf.DUMMYFUNCTION("""COMPUTED_VALUE"""),"No")</f>
        <v>No</v>
      </c>
      <c r="AB1100" s="1" t="str">
        <f ca="1">IFERROR(__xludf.DUMMYFUNCTION("""COMPUTED_VALUE"""),"No")</f>
        <v>No</v>
      </c>
      <c r="AC1100" s="1" t="str">
        <f ca="1">IFERROR(__xludf.DUMMYFUNCTION("""COMPUTED_VALUE"""),"No")</f>
        <v>No</v>
      </c>
      <c r="AD1100" s="1" t="str">
        <f ca="1">IFERROR(__xludf.DUMMYFUNCTION("""COMPUTED_VALUE"""),"No")</f>
        <v>No</v>
      </c>
      <c r="AE1100" s="1" t="str">
        <f ca="1">IFERROR(__xludf.DUMMYFUNCTION("""COMPUTED_VALUE"""),"No")</f>
        <v>No</v>
      </c>
      <c r="AF1100" s="1" t="str">
        <f ca="1">IFERROR(__xludf.DUMMYFUNCTION("""COMPUTED_VALUE"""),"Yes")</f>
        <v>Yes</v>
      </c>
      <c r="AG1100" s="1" t="str">
        <f ca="1">IFERROR(__xludf.DUMMYFUNCTION("""COMPUTED_VALUE"""),"No")</f>
        <v>No</v>
      </c>
      <c r="AH1100" s="1">
        <f ca="1">IFERROR(__xludf.DUMMYFUNCTION("""COMPUTED_VALUE"""),0)</f>
        <v>0</v>
      </c>
    </row>
    <row r="1101" spans="1:34" ht="12.5">
      <c r="A1101" s="1" t="str">
        <f ca="1">IFERROR(__xludf.DUMMYFUNCTION("""COMPUTED_VALUE"""),"20200123CAOXO")</f>
        <v>20200123CAOXO</v>
      </c>
      <c r="B1101" s="1">
        <f ca="1">IFERROR(__xludf.DUMMYFUNCTION("""COMPUTED_VALUE"""),1)</f>
        <v>1</v>
      </c>
      <c r="C1101" s="1">
        <f ca="1">IFERROR(__xludf.DUMMYFUNCTION("""COMPUTED_VALUE"""),23)</f>
        <v>23</v>
      </c>
      <c r="D1101" s="1">
        <f ca="1">IFERROR(__xludf.DUMMYFUNCTION("""COMPUTED_VALUE"""),2020)</f>
        <v>2020</v>
      </c>
      <c r="E1101" s="4">
        <f ca="1">IFERROR(__xludf.DUMMYFUNCTION("""COMPUTED_VALUE"""),43853)</f>
        <v>43853</v>
      </c>
      <c r="F1101" s="1" t="str">
        <f ca="1">IFERROR(__xludf.DUMMYFUNCTION("""COMPUTED_VALUE"""),"Oxnard's Christa McAuliffe Elementary School")</f>
        <v>Oxnard's Christa McAuliffe Elementary School</v>
      </c>
      <c r="G1101" s="1">
        <f ca="1">IFERROR(__xludf.DUMMYFUNCTION("""COMPUTED_VALUE"""),0)</f>
        <v>0</v>
      </c>
      <c r="H1101" s="1">
        <f ca="1">IFERROR(__xludf.DUMMYFUNCTION("""COMPUTED_VALUE"""),1)</f>
        <v>1</v>
      </c>
      <c r="I1101" s="1">
        <f ca="1">IFERROR(__xludf.DUMMYFUNCTION("""COMPUTED_VALUE"""),1)</f>
        <v>1</v>
      </c>
      <c r="J1101" s="1">
        <f ca="1">IFERROR(__xludf.DUMMYFUNCTION("""COMPUTED_VALUE"""),0)</f>
        <v>0</v>
      </c>
      <c r="K1101" s="1" t="str">
        <f ca="1">IFERROR(__xludf.DUMMYFUNCTION("""COMPUTED_VALUE"""),"Winter")</f>
        <v>Winter</v>
      </c>
      <c r="L1101" s="1" t="str">
        <f ca="1">IFERROR(__xludf.DUMMYFUNCTION("""COMPUTED_VALUE"""),"Oxnard")</f>
        <v>Oxnard</v>
      </c>
      <c r="M1101" s="1" t="str">
        <f ca="1">IFERROR(__xludf.DUMMYFUNCTION("""COMPUTED_VALUE"""),"CA")</f>
        <v>CA</v>
      </c>
      <c r="N1101" s="1" t="str">
        <f ca="1">IFERROR(__xludf.DUMMYFUNCTION("""COMPUTED_VALUE"""),"Elementary")</f>
        <v>Elementary</v>
      </c>
      <c r="O1101" s="1" t="str">
        <f ca="1">IFERROR(__xludf.DUMMYFUNCTION("""COMPUTED_VALUE"""),"Playground")</f>
        <v>Playground</v>
      </c>
      <c r="P1101" s="1" t="str">
        <f ca="1">IFERROR(__xludf.DUMMYFUNCTION("""COMPUTED_VALUE"""),"Outside on School Property")</f>
        <v>Outside on School Property</v>
      </c>
      <c r="Q1101" s="1" t="str">
        <f ca="1">IFERROR(__xludf.DUMMYFUNCTION("""COMPUTED_VALUE"""),"Yes")</f>
        <v>Yes</v>
      </c>
      <c r="R1101" s="1" t="str">
        <f ca="1">IFERROR(__xludf.DUMMYFUNCTION("""COMPUTED_VALUE"""),"Lunch")</f>
        <v>Lunch</v>
      </c>
      <c r="S1101" s="5">
        <f ca="1">IFERROR(__xludf.DUMMYFUNCTION("""COMPUTED_VALUE"""),0.479166666666666)</f>
        <v>0.47916666666666602</v>
      </c>
      <c r="T1101" s="1">
        <f ca="1">IFERROR(__xludf.DUMMYFUNCTION("""COMPUTED_VALUE"""),1)</f>
        <v>1</v>
      </c>
      <c r="U1101" s="1" t="str">
        <f ca="1">IFERROR(__xludf.DUMMYFUNCTION("""COMPUTED_VALUE"""),"Car-to-car shooting, a student was struck on the playground")</f>
        <v>Car-to-car shooting, a student was struck on the playground</v>
      </c>
      <c r="V1101" s="1" t="str">
        <f ca="1">IFERROR(__xludf.DUMMYFUNCTION("""COMPUTED_VALUE"""),"A 9 year-old girl at an Oxnard elementary school was hospitalized after she was struck by a stray bullet from a nearby car-to-car shooting as she was playing on the playground. Victim was sent to the hospital with a wound in the lower extremities.")</f>
        <v>A 9 year-old girl at an Oxnard elementary school was hospitalized after she was struck by a stray bullet from a nearby car-to-car shooting as she was playing on the playground. Victim was sent to the hospital with a wound in the lower extremities.</v>
      </c>
      <c r="W1101" s="1" t="str">
        <f ca="1">IFERROR(__xludf.DUMMYFUNCTION("""COMPUTED_VALUE"""),"Drive-by Shooting")</f>
        <v>Drive-by Shooting</v>
      </c>
      <c r="X1101" s="1" t="str">
        <f ca="1">IFERROR(__xludf.DUMMYFUNCTION("""COMPUTED_VALUE"""),"Random Shooting")</f>
        <v>Random Shooting</v>
      </c>
      <c r="Y1101" s="1"/>
      <c r="Z1101" s="1"/>
      <c r="AA1101" s="1" t="str">
        <f ca="1">IFERROR(__xludf.DUMMYFUNCTION("""COMPUTED_VALUE"""),"No")</f>
        <v>No</v>
      </c>
      <c r="AB1101" s="1" t="str">
        <f ca="1">IFERROR(__xludf.DUMMYFUNCTION("""COMPUTED_VALUE"""),"No")</f>
        <v>No</v>
      </c>
      <c r="AC1101" s="1" t="str">
        <f ca="1">IFERROR(__xludf.DUMMYFUNCTION("""COMPUTED_VALUE"""),"No")</f>
        <v>No</v>
      </c>
      <c r="AD1101" s="1" t="str">
        <f ca="1">IFERROR(__xludf.DUMMYFUNCTION("""COMPUTED_VALUE"""),"N/A")</f>
        <v>N/A</v>
      </c>
      <c r="AE1101" s="1"/>
      <c r="AF1101" s="1" t="str">
        <f ca="1">IFERROR(__xludf.DUMMYFUNCTION("""COMPUTED_VALUE"""),"Yes")</f>
        <v>Yes</v>
      </c>
      <c r="AG1101" s="1" t="str">
        <f ca="1">IFERROR(__xludf.DUMMYFUNCTION("""COMPUTED_VALUE"""),"No")</f>
        <v>No</v>
      </c>
      <c r="AH1101" s="1"/>
    </row>
    <row r="1102" spans="1:34" ht="12.5">
      <c r="A1102" s="1" t="str">
        <f ca="1">IFERROR(__xludf.DUMMYFUNCTION("""COMPUTED_VALUE"""),"20200121NEPAL")</f>
        <v>20200121NEPAL</v>
      </c>
      <c r="B1102" s="1">
        <f ca="1">IFERROR(__xludf.DUMMYFUNCTION("""COMPUTED_VALUE"""),1)</f>
        <v>1</v>
      </c>
      <c r="C1102" s="1">
        <f ca="1">IFERROR(__xludf.DUMMYFUNCTION("""COMPUTED_VALUE"""),21)</f>
        <v>21</v>
      </c>
      <c r="D1102" s="1">
        <f ca="1">IFERROR(__xludf.DUMMYFUNCTION("""COMPUTED_VALUE"""),2020)</f>
        <v>2020</v>
      </c>
      <c r="E1102" s="4">
        <f ca="1">IFERROR(__xludf.DUMMYFUNCTION("""COMPUTED_VALUE"""),43851)</f>
        <v>43851</v>
      </c>
      <c r="F1102" s="1" t="str">
        <f ca="1">IFERROR(__xludf.DUMMYFUNCTION("""COMPUTED_VALUE"""),"Park Middle School")</f>
        <v>Park Middle School</v>
      </c>
      <c r="G1102" s="1">
        <f ca="1">IFERROR(__xludf.DUMMYFUNCTION("""COMPUTED_VALUE"""),0)</f>
        <v>0</v>
      </c>
      <c r="H1102" s="1">
        <f ca="1">IFERROR(__xludf.DUMMYFUNCTION("""COMPUTED_VALUE"""),0)</f>
        <v>0</v>
      </c>
      <c r="I1102" s="1">
        <f ca="1">IFERROR(__xludf.DUMMYFUNCTION("""COMPUTED_VALUE"""),0)</f>
        <v>0</v>
      </c>
      <c r="J1102" s="1">
        <f ca="1">IFERROR(__xludf.DUMMYFUNCTION("""COMPUTED_VALUE"""),0)</f>
        <v>0</v>
      </c>
      <c r="K1102" s="1" t="str">
        <f ca="1">IFERROR(__xludf.DUMMYFUNCTION("""COMPUTED_VALUE"""),"Winter")</f>
        <v>Winter</v>
      </c>
      <c r="L1102" s="1" t="str">
        <f ca="1">IFERROR(__xludf.DUMMYFUNCTION("""COMPUTED_VALUE"""),"Lincoln")</f>
        <v>Lincoln</v>
      </c>
      <c r="M1102" s="1" t="str">
        <f ca="1">IFERROR(__xludf.DUMMYFUNCTION("""COMPUTED_VALUE"""),"NE")</f>
        <v>NE</v>
      </c>
      <c r="N1102" s="1" t="str">
        <f ca="1">IFERROR(__xludf.DUMMYFUNCTION("""COMPUTED_VALUE"""),"Middle")</f>
        <v>Middle</v>
      </c>
      <c r="O1102" s="1" t="str">
        <f ca="1">IFERROR(__xludf.DUMMYFUNCTION("""COMPUTED_VALUE"""),"Parking Lot")</f>
        <v>Parking Lot</v>
      </c>
      <c r="P1102" s="1" t="str">
        <f ca="1">IFERROR(__xludf.DUMMYFUNCTION("""COMPUTED_VALUE"""),"Outside on School Property")</f>
        <v>Outside on School Property</v>
      </c>
      <c r="Q1102" s="1" t="str">
        <f ca="1">IFERROR(__xludf.DUMMYFUNCTION("""COMPUTED_VALUE"""),"No")</f>
        <v>No</v>
      </c>
      <c r="R1102" s="1" t="str">
        <f ca="1">IFERROR(__xludf.DUMMYFUNCTION("""COMPUTED_VALUE"""),"Evening")</f>
        <v>Evening</v>
      </c>
      <c r="S1102" s="5">
        <f ca="1">IFERROR(__xludf.DUMMYFUNCTION("""COMPUTED_VALUE"""),0.739583333333333)</f>
        <v>0.73958333333333304</v>
      </c>
      <c r="T1102" s="1"/>
      <c r="U1102" s="1" t="str">
        <f ca="1">IFERROR(__xludf.DUMMYFUNCTION("""COMPUTED_VALUE"""),"Shot vehicle windows in school parking lot during break-in")</f>
        <v>Shot vehicle windows in school parking lot during break-in</v>
      </c>
      <c r="V1102" s="1" t="str">
        <f ca="1">IFERROR(__xludf.DUMMYFUNCTION("""COMPUTED_VALUE"""),"Multiple vehicle windows shot with BB gun during vehicle break-ins in school parking lot")</f>
        <v>Multiple vehicle windows shot with BB gun during vehicle break-ins in school parking lot</v>
      </c>
      <c r="W1102" s="1" t="str">
        <f ca="1">IFERROR(__xludf.DUMMYFUNCTION("""COMPUTED_VALUE"""),"Intentional Property Damage")</f>
        <v>Intentional Property Damage</v>
      </c>
      <c r="X1102" s="1" t="str">
        <f ca="1">IFERROR(__xludf.DUMMYFUNCTION("""COMPUTED_VALUE"""),"Neither")</f>
        <v>Neither</v>
      </c>
      <c r="Y1102" s="1"/>
      <c r="Z1102" s="1"/>
      <c r="AA1102" s="1" t="str">
        <f ca="1">IFERROR(__xludf.DUMMYFUNCTION("""COMPUTED_VALUE"""),"No")</f>
        <v>No</v>
      </c>
      <c r="AB1102" s="1" t="str">
        <f ca="1">IFERROR(__xludf.DUMMYFUNCTION("""COMPUTED_VALUE"""),"No")</f>
        <v>No</v>
      </c>
      <c r="AC1102" s="1" t="str">
        <f ca="1">IFERROR(__xludf.DUMMYFUNCTION("""COMPUTED_VALUE"""),"No")</f>
        <v>No</v>
      </c>
      <c r="AD1102" s="1" t="str">
        <f ca="1">IFERROR(__xludf.DUMMYFUNCTION("""COMPUTED_VALUE"""),"No")</f>
        <v>No</v>
      </c>
      <c r="AE1102" s="1" t="str">
        <f ca="1">IFERROR(__xludf.DUMMYFUNCTION("""COMPUTED_VALUE"""),"No")</f>
        <v>No</v>
      </c>
      <c r="AF1102" s="1" t="str">
        <f ca="1">IFERROR(__xludf.DUMMYFUNCTION("""COMPUTED_VALUE"""),"No")</f>
        <v>No</v>
      </c>
      <c r="AG1102" s="1" t="str">
        <f ca="1">IFERROR(__xludf.DUMMYFUNCTION("""COMPUTED_VALUE"""),"No")</f>
        <v>No</v>
      </c>
      <c r="AH1102" s="1"/>
    </row>
    <row r="1103" spans="1:34" ht="12.5">
      <c r="A1103" s="1" t="str">
        <f ca="1">IFERROR(__xludf.DUMMYFUNCTION("""COMPUTED_VALUE"""),"20200121ILLIC")</f>
        <v>20200121ILLIC</v>
      </c>
      <c r="B1103" s="1">
        <f ca="1">IFERROR(__xludf.DUMMYFUNCTION("""COMPUTED_VALUE"""),1)</f>
        <v>1</v>
      </c>
      <c r="C1103" s="1">
        <f ca="1">IFERROR(__xludf.DUMMYFUNCTION("""COMPUTED_VALUE"""),21)</f>
        <v>21</v>
      </c>
      <c r="D1103" s="1">
        <f ca="1">IFERROR(__xludf.DUMMYFUNCTION("""COMPUTED_VALUE"""),2020)</f>
        <v>2020</v>
      </c>
      <c r="E1103" s="4">
        <f ca="1">IFERROR(__xludf.DUMMYFUNCTION("""COMPUTED_VALUE"""),43851)</f>
        <v>43851</v>
      </c>
      <c r="F1103" s="1" t="str">
        <f ca="1">IFERROR(__xludf.DUMMYFUNCTION("""COMPUTED_VALUE"""),"Lindblom Math &amp; Science Academy High School")</f>
        <v>Lindblom Math &amp; Science Academy High School</v>
      </c>
      <c r="G1103" s="1">
        <f ca="1">IFERROR(__xludf.DUMMYFUNCTION("""COMPUTED_VALUE"""),0)</f>
        <v>0</v>
      </c>
      <c r="H1103" s="1">
        <f ca="1">IFERROR(__xludf.DUMMYFUNCTION("""COMPUTED_VALUE"""),1)</f>
        <v>1</v>
      </c>
      <c r="I1103" s="1">
        <f ca="1">IFERROR(__xludf.DUMMYFUNCTION("""COMPUTED_VALUE"""),1)</f>
        <v>1</v>
      </c>
      <c r="J1103" s="1">
        <f ca="1">IFERROR(__xludf.DUMMYFUNCTION("""COMPUTED_VALUE"""),0)</f>
        <v>0</v>
      </c>
      <c r="K1103" s="1" t="str">
        <f ca="1">IFERROR(__xludf.DUMMYFUNCTION("""COMPUTED_VALUE"""),"Winter")</f>
        <v>Winter</v>
      </c>
      <c r="L1103" s="1" t="str">
        <f ca="1">IFERROR(__xludf.DUMMYFUNCTION("""COMPUTED_VALUE"""),"Chicago")</f>
        <v>Chicago</v>
      </c>
      <c r="M1103" s="1" t="str">
        <f ca="1">IFERROR(__xludf.DUMMYFUNCTION("""COMPUTED_VALUE"""),"IL")</f>
        <v>IL</v>
      </c>
      <c r="N1103" s="1" t="str">
        <f ca="1">IFERROR(__xludf.DUMMYFUNCTION("""COMPUTED_VALUE"""),"High")</f>
        <v>High</v>
      </c>
      <c r="O1103" s="1" t="str">
        <f ca="1">IFERROR(__xludf.DUMMYFUNCTION("""COMPUTED_VALUE"""),"Front of School")</f>
        <v>Front of School</v>
      </c>
      <c r="P1103" s="1" t="str">
        <f ca="1">IFERROR(__xludf.DUMMYFUNCTION("""COMPUTED_VALUE"""),"Outside on School Property")</f>
        <v>Outside on School Property</v>
      </c>
      <c r="Q1103" s="1" t="str">
        <f ca="1">IFERROR(__xludf.DUMMYFUNCTION("""COMPUTED_VALUE"""),"No")</f>
        <v>No</v>
      </c>
      <c r="R1103" s="1" t="str">
        <f ca="1">IFERROR(__xludf.DUMMYFUNCTION("""COMPUTED_VALUE"""),"Sport Event")</f>
        <v>Sport Event</v>
      </c>
      <c r="S1103" s="5">
        <f ca="1">IFERROR(__xludf.DUMMYFUNCTION("""COMPUTED_VALUE"""),0.770833333333333)</f>
        <v>0.77083333333333304</v>
      </c>
      <c r="T1103" s="1">
        <f ca="1">IFERROR(__xludf.DUMMYFUNCTION("""COMPUTED_VALUE"""),1)</f>
        <v>1</v>
      </c>
      <c r="U1103" s="1" t="str">
        <f ca="1">IFERROR(__xludf.DUMMYFUNCTION("""COMPUTED_VALUE"""),"Student shot during robbery after leaving swim meet at school")</f>
        <v>Student shot during robbery after leaving swim meet at school</v>
      </c>
      <c r="V1103" s="1" t="str">
        <f ca="1">IFERROR(__xludf.DUMMYFUNCTION("""COMPUTED_VALUE"""),"Two students (15YOM 17YOM) were leaving the school after a swim meet. Car pulled up in front of school and occupant demanded their property. Students ran from the vehicle and the 17YOM student was shot in the chest in front of the school. Shooter fled the"&amp;" area.")</f>
        <v>Two students (15YOM 17YOM) were leaving the school after a swim meet. Car pulled up in front of school and occupant demanded their property. Students ran from the vehicle and the 17YOM student was shot in the chest in front of the school. Shooter fled the area.</v>
      </c>
      <c r="W1103" s="1" t="str">
        <f ca="1">IFERROR(__xludf.DUMMYFUNCTION("""COMPUTED_VALUE"""),"Illegal Activity")</f>
        <v>Illegal Activity</v>
      </c>
      <c r="X1103" s="1" t="str">
        <f ca="1">IFERROR(__xludf.DUMMYFUNCTION("""COMPUTED_VALUE"""),"Victims Targeted")</f>
        <v>Victims Targeted</v>
      </c>
      <c r="Y1103" s="1" t="str">
        <f ca="1">IFERROR(__xludf.DUMMYFUNCTION("""COMPUTED_VALUE"""),"Yes")</f>
        <v>Yes</v>
      </c>
      <c r="Z1103" s="1" t="str">
        <f ca="1">IFERROR(__xludf.DUMMYFUNCTION("""COMPUTED_VALUE"""),"2 in vehicle")</f>
        <v>2 in vehicle</v>
      </c>
      <c r="AA1103" s="1" t="str">
        <f ca="1">IFERROR(__xludf.DUMMYFUNCTION("""COMPUTED_VALUE"""),"No")</f>
        <v>No</v>
      </c>
      <c r="AB1103" s="1" t="str">
        <f ca="1">IFERROR(__xludf.DUMMYFUNCTION("""COMPUTED_VALUE"""),"No")</f>
        <v>No</v>
      </c>
      <c r="AC1103" s="1" t="str">
        <f ca="1">IFERROR(__xludf.DUMMYFUNCTION("""COMPUTED_VALUE"""),"No")</f>
        <v>No</v>
      </c>
      <c r="AD1103" s="1" t="str">
        <f ca="1">IFERROR(__xludf.DUMMYFUNCTION("""COMPUTED_VALUE"""),"No")</f>
        <v>No</v>
      </c>
      <c r="AE1103" s="1" t="str">
        <f ca="1">IFERROR(__xludf.DUMMYFUNCTION("""COMPUTED_VALUE"""),"No")</f>
        <v>No</v>
      </c>
      <c r="AF1103" s="1" t="str">
        <f ca="1">IFERROR(__xludf.DUMMYFUNCTION("""COMPUTED_VALUE"""),"No")</f>
        <v>No</v>
      </c>
      <c r="AG1103" s="1" t="str">
        <f ca="1">IFERROR(__xludf.DUMMYFUNCTION("""COMPUTED_VALUE"""),"No")</f>
        <v>No</v>
      </c>
      <c r="AH1103" s="1"/>
    </row>
    <row r="1104" spans="1:34" ht="12.5">
      <c r="A1104" s="1" t="str">
        <f ca="1">IFERROR(__xludf.DUMMYFUNCTION("""COMPUTED_VALUE"""),"20200119TXNOF")</f>
        <v>20200119TXNOF</v>
      </c>
      <c r="B1104" s="1">
        <f ca="1">IFERROR(__xludf.DUMMYFUNCTION("""COMPUTED_VALUE"""),1)</f>
        <v>1</v>
      </c>
      <c r="C1104" s="1">
        <f ca="1">IFERROR(__xludf.DUMMYFUNCTION("""COMPUTED_VALUE"""),19)</f>
        <v>19</v>
      </c>
      <c r="D1104" s="1">
        <f ca="1">IFERROR(__xludf.DUMMYFUNCTION("""COMPUTED_VALUE"""),2020)</f>
        <v>2020</v>
      </c>
      <c r="E1104" s="4">
        <f ca="1">IFERROR(__xludf.DUMMYFUNCTION("""COMPUTED_VALUE"""),43849)</f>
        <v>43849</v>
      </c>
      <c r="F1104" s="1" t="str">
        <f ca="1">IFERROR(__xludf.DUMMYFUNCTION("""COMPUTED_VALUE"""),"North Crowley Ninth Grade Campus")</f>
        <v>North Crowley Ninth Grade Campus</v>
      </c>
      <c r="G1104" s="1">
        <f ca="1">IFERROR(__xludf.DUMMYFUNCTION("""COMPUTED_VALUE"""),0)</f>
        <v>0</v>
      </c>
      <c r="H1104" s="1">
        <f ca="1">IFERROR(__xludf.DUMMYFUNCTION("""COMPUTED_VALUE"""),2)</f>
        <v>2</v>
      </c>
      <c r="I1104" s="1">
        <f ca="1">IFERROR(__xludf.DUMMYFUNCTION("""COMPUTED_VALUE"""),2)</f>
        <v>2</v>
      </c>
      <c r="J1104" s="1">
        <f ca="1">IFERROR(__xludf.DUMMYFUNCTION("""COMPUTED_VALUE"""),0)</f>
        <v>0</v>
      </c>
      <c r="K1104" s="1" t="str">
        <f ca="1">IFERROR(__xludf.DUMMYFUNCTION("""COMPUTED_VALUE"""),"Winter")</f>
        <v>Winter</v>
      </c>
      <c r="L1104" s="1" t="str">
        <f ca="1">IFERROR(__xludf.DUMMYFUNCTION("""COMPUTED_VALUE"""),"Fort Worth")</f>
        <v>Fort Worth</v>
      </c>
      <c r="M1104" s="1" t="str">
        <f ca="1">IFERROR(__xludf.DUMMYFUNCTION("""COMPUTED_VALUE"""),"TX")</f>
        <v>TX</v>
      </c>
      <c r="N1104" s="1" t="str">
        <f ca="1">IFERROR(__xludf.DUMMYFUNCTION("""COMPUTED_VALUE"""),"High")</f>
        <v>High</v>
      </c>
      <c r="O1104" s="1" t="str">
        <f ca="1">IFERROR(__xludf.DUMMYFUNCTION("""COMPUTED_VALUE"""),"Parking Lot")</f>
        <v>Parking Lot</v>
      </c>
      <c r="P1104" s="1" t="str">
        <f ca="1">IFERROR(__xludf.DUMMYFUNCTION("""COMPUTED_VALUE"""),"Outside on School Property")</f>
        <v>Outside on School Property</v>
      </c>
      <c r="Q1104" s="1" t="str">
        <f ca="1">IFERROR(__xludf.DUMMYFUNCTION("""COMPUTED_VALUE"""),"No")</f>
        <v>No</v>
      </c>
      <c r="R1104" s="1" t="str">
        <f ca="1">IFERROR(__xludf.DUMMYFUNCTION("""COMPUTED_VALUE"""),"Sport Event")</f>
        <v>Sport Event</v>
      </c>
      <c r="S1104" s="5">
        <f ca="1">IFERROR(__xludf.DUMMYFUNCTION("""COMPUTED_VALUE"""),0.791666666666666)</f>
        <v>0.79166666666666596</v>
      </c>
      <c r="T1104" s="1">
        <f ca="1">IFERROR(__xludf.DUMMYFUNCTION("""COMPUTED_VALUE"""),1)</f>
        <v>1</v>
      </c>
      <c r="U1104" s="1" t="str">
        <f ca="1">IFERROR(__xludf.DUMMYFUNCTION("""COMPUTED_VALUE"""),"Targeted shooting of adult male in school parking lot, child was also struck")</f>
        <v>Targeted shooting of adult male in school parking lot, child was also struck</v>
      </c>
      <c r="V1104" s="1" t="str">
        <f ca="1">IFERROR(__xludf.DUMMYFUNCTION("""COMPUTED_VALUE"""),"Adult male confronted person who was damaging vehicles in the parking lot. Shooters fired at the adult victim and also struck a child. Police believe there were two shooters because 2 types of shell casings were found and the shooters may have been waitin"&amp;"g for the victim. The school was being rented out for a basketball game. Armed security is provided for all school events but not 3rd party rentals. Armed security will be present at all future events. Shooter fled the scene.")</f>
        <v>Adult male confronted person who was damaging vehicles in the parking lot. Shooters fired at the adult victim and also struck a child. Police believe there were two shooters because 2 types of shell casings were found and the shooters may have been waiting for the victim. The school was being rented out for a basketball game. Armed security is provided for all school events but not 3rd party rentals. Armed security will be present at all future events. Shooter fled the scene.</v>
      </c>
      <c r="W1104" s="1" t="str">
        <f ca="1">IFERROR(__xludf.DUMMYFUNCTION("""COMPUTED_VALUE"""),"Escalation of Dispute")</f>
        <v>Escalation of Dispute</v>
      </c>
      <c r="X1104" s="1" t="str">
        <f ca="1">IFERROR(__xludf.DUMMYFUNCTION("""COMPUTED_VALUE"""),"Both")</f>
        <v>Both</v>
      </c>
      <c r="Y1104" s="1" t="str">
        <f ca="1">IFERROR(__xludf.DUMMYFUNCTION("""COMPUTED_VALUE"""),"Yes")</f>
        <v>Yes</v>
      </c>
      <c r="Z1104" s="1" t="str">
        <f ca="1">IFERROR(__xludf.DUMMYFUNCTION("""COMPUTED_VALUE"""),"2 calibers of shells found")</f>
        <v>2 calibers of shells found</v>
      </c>
      <c r="AA1104" s="1" t="str">
        <f ca="1">IFERROR(__xludf.DUMMYFUNCTION("""COMPUTED_VALUE"""),"No")</f>
        <v>No</v>
      </c>
      <c r="AB1104" s="1" t="str">
        <f ca="1">IFERROR(__xludf.DUMMYFUNCTION("""COMPUTED_VALUE"""),"No")</f>
        <v>No</v>
      </c>
      <c r="AC1104" s="1" t="str">
        <f ca="1">IFERROR(__xludf.DUMMYFUNCTION("""COMPUTED_VALUE"""),"No")</f>
        <v>No</v>
      </c>
      <c r="AD1104" s="1" t="str">
        <f ca="1">IFERROR(__xludf.DUMMYFUNCTION("""COMPUTED_VALUE"""),"No")</f>
        <v>No</v>
      </c>
      <c r="AE1104" s="1" t="str">
        <f ca="1">IFERROR(__xludf.DUMMYFUNCTION("""COMPUTED_VALUE"""),"No")</f>
        <v>No</v>
      </c>
      <c r="AF1104" s="1" t="str">
        <f ca="1">IFERROR(__xludf.DUMMYFUNCTION("""COMPUTED_VALUE"""),"No")</f>
        <v>No</v>
      </c>
      <c r="AG1104" s="1" t="str">
        <f ca="1">IFERROR(__xludf.DUMMYFUNCTION("""COMPUTED_VALUE"""),"No")</f>
        <v>No</v>
      </c>
      <c r="AH1104" s="1"/>
    </row>
    <row r="1105" spans="1:34" ht="12.5">
      <c r="A1105" s="1" t="str">
        <f ca="1">IFERROR(__xludf.DUMMYFUNCTION("""COMPUTED_VALUE"""),"20200117SCCAS")</f>
        <v>20200117SCCAS</v>
      </c>
      <c r="B1105" s="1">
        <f ca="1">IFERROR(__xludf.DUMMYFUNCTION("""COMPUTED_VALUE"""),1)</f>
        <v>1</v>
      </c>
      <c r="C1105" s="1">
        <f ca="1">IFERROR(__xludf.DUMMYFUNCTION("""COMPUTED_VALUE"""),17)</f>
        <v>17</v>
      </c>
      <c r="D1105" s="1">
        <f ca="1">IFERROR(__xludf.DUMMYFUNCTION("""COMPUTED_VALUE"""),2020)</f>
        <v>2020</v>
      </c>
      <c r="E1105" s="4">
        <f ca="1">IFERROR(__xludf.DUMMYFUNCTION("""COMPUTED_VALUE"""),43847)</f>
        <v>43847</v>
      </c>
      <c r="F1105" s="1" t="str">
        <f ca="1">IFERROR(__xludf.DUMMYFUNCTION("""COMPUTED_VALUE"""),"Cane Bay High School")</f>
        <v>Cane Bay High School</v>
      </c>
      <c r="G1105" s="1">
        <f ca="1">IFERROR(__xludf.DUMMYFUNCTION("""COMPUTED_VALUE"""),0)</f>
        <v>0</v>
      </c>
      <c r="H1105" s="1">
        <f ca="1">IFERROR(__xludf.DUMMYFUNCTION("""COMPUTED_VALUE"""),0)</f>
        <v>0</v>
      </c>
      <c r="I1105" s="1">
        <f ca="1">IFERROR(__xludf.DUMMYFUNCTION("""COMPUTED_VALUE"""),0)</f>
        <v>0</v>
      </c>
      <c r="J1105" s="1">
        <f ca="1">IFERROR(__xludf.DUMMYFUNCTION("""COMPUTED_VALUE"""),1)</f>
        <v>1</v>
      </c>
      <c r="K1105" s="1" t="str">
        <f ca="1">IFERROR(__xludf.DUMMYFUNCTION("""COMPUTED_VALUE"""),"Winter")</f>
        <v>Winter</v>
      </c>
      <c r="L1105" s="1" t="str">
        <f ca="1">IFERROR(__xludf.DUMMYFUNCTION("""COMPUTED_VALUE"""),"Summerville")</f>
        <v>Summerville</v>
      </c>
      <c r="M1105" s="1" t="str">
        <f ca="1">IFERROR(__xludf.DUMMYFUNCTION("""COMPUTED_VALUE"""),"SC")</f>
        <v>SC</v>
      </c>
      <c r="N1105" s="1" t="str">
        <f ca="1">IFERROR(__xludf.DUMMYFUNCTION("""COMPUTED_VALUE"""),"High")</f>
        <v>High</v>
      </c>
      <c r="O1105" s="1" t="str">
        <f ca="1">IFERROR(__xludf.DUMMYFUNCTION("""COMPUTED_VALUE"""),"Parking Lot")</f>
        <v>Parking Lot</v>
      </c>
      <c r="P1105" s="1" t="str">
        <f ca="1">IFERROR(__xludf.DUMMYFUNCTION("""COMPUTED_VALUE"""),"Outside on School Property")</f>
        <v>Outside on School Property</v>
      </c>
      <c r="Q1105" s="1" t="str">
        <f ca="1">IFERROR(__xludf.DUMMYFUNCTION("""COMPUTED_VALUE"""),"Yes")</f>
        <v>Yes</v>
      </c>
      <c r="R1105" s="1" t="str">
        <f ca="1">IFERROR(__xludf.DUMMYFUNCTION("""COMPUTED_VALUE"""),"Morning Classes")</f>
        <v>Morning Classes</v>
      </c>
      <c r="S1105" s="5">
        <f ca="1">IFERROR(__xludf.DUMMYFUNCTION("""COMPUTED_VALUE"""),0.458333333333333)</f>
        <v>0.45833333333333298</v>
      </c>
      <c r="T1105" s="1">
        <f ca="1">IFERROR(__xludf.DUMMYFUNCTION("""COMPUTED_VALUE"""),1)</f>
        <v>1</v>
      </c>
      <c r="U1105" s="1" t="str">
        <f ca="1">IFERROR(__xludf.DUMMYFUNCTION("""COMPUTED_VALUE"""),"16YOM found dead in vehicle in school parking lot, school locked down")</f>
        <v>16YOM found dead in vehicle in school parking lot, school locked down</v>
      </c>
      <c r="V1105" s="1" t="str">
        <f ca="1">IFERROR(__xludf.DUMMYFUNCTION("""COMPUTED_VALUE"""),"16YOM student found dead in vehicle in school parking lot. School was locked down and police reported that there was not an active shooter while they were conducting an investigation in the parking lot. Shooting has not yet been confirmed by law enforceme"&amp;"nt or school officials.")</f>
        <v>16YOM student found dead in vehicle in school parking lot. School was locked down and police reported that there was not an active shooter while they were conducting an investigation in the parking lot. Shooting has not yet been confirmed by law enforcement or school officials.</v>
      </c>
      <c r="W1105" s="1" t="str">
        <f ca="1">IFERROR(__xludf.DUMMYFUNCTION("""COMPUTED_VALUE"""),"Suicide/Attempted")</f>
        <v>Suicide/Attempted</v>
      </c>
      <c r="X1105" s="1" t="str">
        <f ca="1">IFERROR(__xludf.DUMMYFUNCTION("""COMPUTED_VALUE"""),"Victims Targeted")</f>
        <v>Victims Targeted</v>
      </c>
      <c r="Y1105" s="1" t="str">
        <f ca="1">IFERROR(__xludf.DUMMYFUNCTION("""COMPUTED_VALUE"""),"No")</f>
        <v>No</v>
      </c>
      <c r="Z1105" s="1"/>
      <c r="AA1105" s="1" t="str">
        <f ca="1">IFERROR(__xludf.DUMMYFUNCTION("""COMPUTED_VALUE"""),"No")</f>
        <v>No</v>
      </c>
      <c r="AB1105" s="1" t="str">
        <f ca="1">IFERROR(__xludf.DUMMYFUNCTION("""COMPUTED_VALUE"""),"No")</f>
        <v>No</v>
      </c>
      <c r="AC1105" s="1" t="str">
        <f ca="1">IFERROR(__xludf.DUMMYFUNCTION("""COMPUTED_VALUE"""),"No")</f>
        <v>No</v>
      </c>
      <c r="AD1105" s="1"/>
      <c r="AE1105" s="1" t="str">
        <f ca="1">IFERROR(__xludf.DUMMYFUNCTION("""COMPUTED_VALUE"""),"No")</f>
        <v>No</v>
      </c>
      <c r="AF1105" s="1" t="str">
        <f ca="1">IFERROR(__xludf.DUMMYFUNCTION("""COMPUTED_VALUE"""),"No")</f>
        <v>No</v>
      </c>
      <c r="AG1105" s="1" t="str">
        <f ca="1">IFERROR(__xludf.DUMMYFUNCTION("""COMPUTED_VALUE"""),"No")</f>
        <v>No</v>
      </c>
      <c r="AH1105" s="1">
        <f ca="1">IFERROR(__xludf.DUMMYFUNCTION("""COMPUTED_VALUE"""),1)</f>
        <v>1</v>
      </c>
    </row>
    <row r="1106" spans="1:34" ht="12.5">
      <c r="A1106" s="1" t="str">
        <f ca="1">IFERROR(__xludf.DUMMYFUNCTION("""COMPUTED_VALUE"""),"20200117MITHH")</f>
        <v>20200117MITHH</v>
      </c>
      <c r="B1106" s="1">
        <f ca="1">IFERROR(__xludf.DUMMYFUNCTION("""COMPUTED_VALUE"""),1)</f>
        <v>1</v>
      </c>
      <c r="C1106" s="1">
        <f ca="1">IFERROR(__xludf.DUMMYFUNCTION("""COMPUTED_VALUE"""),17)</f>
        <v>17</v>
      </c>
      <c r="D1106" s="1">
        <f ca="1">IFERROR(__xludf.DUMMYFUNCTION("""COMPUTED_VALUE"""),2020)</f>
        <v>2020</v>
      </c>
      <c r="E1106" s="4">
        <f ca="1">IFERROR(__xludf.DUMMYFUNCTION("""COMPUTED_VALUE"""),43847)</f>
        <v>43847</v>
      </c>
      <c r="F1106" s="1" t="str">
        <f ca="1">IFERROR(__xludf.DUMMYFUNCTION("""COMPUTED_VALUE"""),"Three Fires Elementary School")</f>
        <v>Three Fires Elementary School</v>
      </c>
      <c r="G1106" s="1">
        <f ca="1">IFERROR(__xludf.DUMMYFUNCTION("""COMPUTED_VALUE"""),0)</f>
        <v>0</v>
      </c>
      <c r="H1106" s="1">
        <f ca="1">IFERROR(__xludf.DUMMYFUNCTION("""COMPUTED_VALUE"""),1)</f>
        <v>1</v>
      </c>
      <c r="I1106" s="1">
        <f ca="1">IFERROR(__xludf.DUMMYFUNCTION("""COMPUTED_VALUE"""),1)</f>
        <v>1</v>
      </c>
      <c r="J1106" s="1">
        <f ca="1">IFERROR(__xludf.DUMMYFUNCTION("""COMPUTED_VALUE"""),0)</f>
        <v>0</v>
      </c>
      <c r="K1106" s="1" t="str">
        <f ca="1">IFERROR(__xludf.DUMMYFUNCTION("""COMPUTED_VALUE"""),"Winter")</f>
        <v>Winter</v>
      </c>
      <c r="L1106" s="1" t="str">
        <f ca="1">IFERROR(__xludf.DUMMYFUNCTION("""COMPUTED_VALUE"""),"Howell")</f>
        <v>Howell</v>
      </c>
      <c r="M1106" s="1" t="str">
        <f ca="1">IFERROR(__xludf.DUMMYFUNCTION("""COMPUTED_VALUE"""),"MI")</f>
        <v>MI</v>
      </c>
      <c r="N1106" s="1" t="str">
        <f ca="1">IFERROR(__xludf.DUMMYFUNCTION("""COMPUTED_VALUE"""),"Elementary")</f>
        <v>Elementary</v>
      </c>
      <c r="O1106" s="1" t="str">
        <f ca="1">IFERROR(__xludf.DUMMYFUNCTION("""COMPUTED_VALUE"""),"Parking Lot")</f>
        <v>Parking Lot</v>
      </c>
      <c r="P1106" s="1" t="str">
        <f ca="1">IFERROR(__xludf.DUMMYFUNCTION("""COMPUTED_VALUE"""),"Outside on School Property")</f>
        <v>Outside on School Property</v>
      </c>
      <c r="Q1106" s="1" t="str">
        <f ca="1">IFERROR(__xludf.DUMMYFUNCTION("""COMPUTED_VALUE"""),"Yes")</f>
        <v>Yes</v>
      </c>
      <c r="R1106" s="1" t="str">
        <f ca="1">IFERROR(__xludf.DUMMYFUNCTION("""COMPUTED_VALUE"""),"Dismissal")</f>
        <v>Dismissal</v>
      </c>
      <c r="S1106" s="5">
        <f ca="1">IFERROR(__xludf.DUMMYFUNCTION("""COMPUTED_VALUE"""),0.635416666666666)</f>
        <v>0.63541666666666596</v>
      </c>
      <c r="T1106" s="1">
        <f ca="1">IFERROR(__xludf.DUMMYFUNCTION("""COMPUTED_VALUE"""),1)</f>
        <v>1</v>
      </c>
      <c r="U1106" s="1" t="str">
        <f ca="1">IFERROR(__xludf.DUMMYFUNCTION("""COMPUTED_VALUE"""),"Parent shot self while adjusting gun in vehicle while waiting to pick up child")</f>
        <v>Parent shot self while adjusting gun in vehicle while waiting to pick up child</v>
      </c>
      <c r="V1106" s="1" t="str">
        <f ca="1">IFERROR(__xludf.DUMMYFUNCTION("""COMPUTED_VALUE"""),"Parent was waiting in vehicle in the school parking lot for child. Adjusted gun and shot himself in the leg. School went on lockdown. Transported in critical condition. Victim did not have a weapons permit and may face charges.")</f>
        <v>Parent was waiting in vehicle in the school parking lot for child. Adjusted gun and shot himself in the leg. School went on lockdown. Transported in critical condition. Victim did not have a weapons permit and may face charges.</v>
      </c>
      <c r="W1106" s="1" t="str">
        <f ca="1">IFERROR(__xludf.DUMMYFUNCTION("""COMPUTED_VALUE"""),"Accidental")</f>
        <v>Accidental</v>
      </c>
      <c r="X1106" s="1" t="str">
        <f ca="1">IFERROR(__xludf.DUMMYFUNCTION("""COMPUTED_VALUE"""),"Neither")</f>
        <v>Neither</v>
      </c>
      <c r="Y1106" s="1" t="str">
        <f ca="1">IFERROR(__xludf.DUMMYFUNCTION("""COMPUTED_VALUE"""),"No")</f>
        <v>No</v>
      </c>
      <c r="Z1106" s="1"/>
      <c r="AA1106" s="1" t="str">
        <f ca="1">IFERROR(__xludf.DUMMYFUNCTION("""COMPUTED_VALUE"""),"No")</f>
        <v>No</v>
      </c>
      <c r="AB1106" s="1" t="str">
        <f ca="1">IFERROR(__xludf.DUMMYFUNCTION("""COMPUTED_VALUE"""),"No")</f>
        <v>No</v>
      </c>
      <c r="AC1106" s="1" t="str">
        <f ca="1">IFERROR(__xludf.DUMMYFUNCTION("""COMPUTED_VALUE"""),"No")</f>
        <v>No</v>
      </c>
      <c r="AD1106" s="1" t="str">
        <f ca="1">IFERROR(__xludf.DUMMYFUNCTION("""COMPUTED_VALUE"""),"No")</f>
        <v>No</v>
      </c>
      <c r="AE1106" s="1" t="str">
        <f ca="1">IFERROR(__xludf.DUMMYFUNCTION("""COMPUTED_VALUE"""),"No")</f>
        <v>No</v>
      </c>
      <c r="AF1106" s="1" t="str">
        <f ca="1">IFERROR(__xludf.DUMMYFUNCTION("""COMPUTED_VALUE"""),"No")</f>
        <v>No</v>
      </c>
      <c r="AG1106" s="1" t="str">
        <f ca="1">IFERROR(__xludf.DUMMYFUNCTION("""COMPUTED_VALUE"""),"No")</f>
        <v>No</v>
      </c>
      <c r="AH1106" s="1">
        <f ca="1">IFERROR(__xludf.DUMMYFUNCTION("""COMPUTED_VALUE"""),1)</f>
        <v>1</v>
      </c>
    </row>
    <row r="1107" spans="1:34" ht="12.5">
      <c r="A1107" s="1" t="str">
        <f ca="1">IFERROR(__xludf.DUMMYFUNCTION("""COMPUTED_VALUE"""),"20200114TXPOM")</f>
        <v>20200114TXPOM</v>
      </c>
      <c r="B1107" s="1">
        <f ca="1">IFERROR(__xludf.DUMMYFUNCTION("""COMPUTED_VALUE"""),1)</f>
        <v>1</v>
      </c>
      <c r="C1107" s="1">
        <f ca="1">IFERROR(__xludf.DUMMYFUNCTION("""COMPUTED_VALUE"""),14)</f>
        <v>14</v>
      </c>
      <c r="D1107" s="1">
        <f ca="1">IFERROR(__xludf.DUMMYFUNCTION("""COMPUTED_VALUE"""),2020)</f>
        <v>2020</v>
      </c>
      <c r="E1107" s="4">
        <f ca="1">IFERROR(__xludf.DUMMYFUNCTION("""COMPUTED_VALUE"""),43844)</f>
        <v>43844</v>
      </c>
      <c r="F1107" s="1" t="str">
        <f ca="1">IFERROR(__xludf.DUMMYFUNCTION("""COMPUTED_VALUE"""),"Poteet High School")</f>
        <v>Poteet High School</v>
      </c>
      <c r="G1107" s="1">
        <f ca="1">IFERROR(__xludf.DUMMYFUNCTION("""COMPUTED_VALUE"""),0)</f>
        <v>0</v>
      </c>
      <c r="H1107" s="1">
        <f ca="1">IFERROR(__xludf.DUMMYFUNCTION("""COMPUTED_VALUE"""),0)</f>
        <v>0</v>
      </c>
      <c r="I1107" s="1">
        <f ca="1">IFERROR(__xludf.DUMMYFUNCTION("""COMPUTED_VALUE"""),0)</f>
        <v>0</v>
      </c>
      <c r="J1107" s="1">
        <f ca="1">IFERROR(__xludf.DUMMYFUNCTION("""COMPUTED_VALUE"""),0)</f>
        <v>0</v>
      </c>
      <c r="K1107" s="1" t="str">
        <f ca="1">IFERROR(__xludf.DUMMYFUNCTION("""COMPUTED_VALUE"""),"Winter")</f>
        <v>Winter</v>
      </c>
      <c r="L1107" s="1" t="str">
        <f ca="1">IFERROR(__xludf.DUMMYFUNCTION("""COMPUTED_VALUE"""),"Mesquite")</f>
        <v>Mesquite</v>
      </c>
      <c r="M1107" s="1" t="str">
        <f ca="1">IFERROR(__xludf.DUMMYFUNCTION("""COMPUTED_VALUE"""),"TX")</f>
        <v>TX</v>
      </c>
      <c r="N1107" s="1" t="str">
        <f ca="1">IFERROR(__xludf.DUMMYFUNCTION("""COMPUTED_VALUE"""),"High")</f>
        <v>High</v>
      </c>
      <c r="O1107" s="1" t="str">
        <f ca="1">IFERROR(__xludf.DUMMYFUNCTION("""COMPUTED_VALUE"""),"Parking Lot")</f>
        <v>Parking Lot</v>
      </c>
      <c r="P1107" s="1" t="str">
        <f ca="1">IFERROR(__xludf.DUMMYFUNCTION("""COMPUTED_VALUE"""),"Outside on School Property")</f>
        <v>Outside on School Property</v>
      </c>
      <c r="Q1107" s="1" t="str">
        <f ca="1">IFERROR(__xludf.DUMMYFUNCTION("""COMPUTED_VALUE"""),"No")</f>
        <v>No</v>
      </c>
      <c r="R1107" s="1" t="str">
        <f ca="1">IFERROR(__xludf.DUMMYFUNCTION("""COMPUTED_VALUE"""),"Sport Event")</f>
        <v>Sport Event</v>
      </c>
      <c r="S1107" s="5">
        <f ca="1">IFERROR(__xludf.DUMMYFUNCTION("""COMPUTED_VALUE"""),0.847222222222222)</f>
        <v>0.84722222222222199</v>
      </c>
      <c r="T1107" s="1">
        <f ca="1">IFERROR(__xludf.DUMMYFUNCTION("""COMPUTED_VALUE"""),1)</f>
        <v>1</v>
      </c>
      <c r="U1107" s="1" t="str">
        <f ca="1">IFERROR(__xludf.DUMMYFUNCTION("""COMPUTED_VALUE"""),"Two non-student teens fired shots in the school parking lot following an altercation at a basketball game")</f>
        <v>Two non-student teens fired shots in the school parking lot following an altercation at a basketball game</v>
      </c>
      <c r="V1107" s="1" t="str">
        <f ca="1">IFERROR(__xludf.DUMMYFUNCTION("""COMPUTED_VALUE"""),"Two 17YOM non-students fired shots at a group in the school parking lot following an altercation at the basketball game. School resources officers assigned to the game heard the shots. Suspects fled and were later arrested. No injuries.")</f>
        <v>Two 17YOM non-students fired shots at a group in the school parking lot following an altercation at the basketball game. School resources officers assigned to the game heard the shots. Suspects fled and were later arrested. No injuries.</v>
      </c>
      <c r="W1107" s="1" t="str">
        <f ca="1">IFERROR(__xludf.DUMMYFUNCTION("""COMPUTED_VALUE"""),"Escalation of Dispute")</f>
        <v>Escalation of Dispute</v>
      </c>
      <c r="X1107" s="1" t="str">
        <f ca="1">IFERROR(__xludf.DUMMYFUNCTION("""COMPUTED_VALUE"""),"Victims Targeted")</f>
        <v>Victims Targeted</v>
      </c>
      <c r="Y1107" s="1" t="str">
        <f ca="1">IFERROR(__xludf.DUMMYFUNCTION("""COMPUTED_VALUE"""),"Yes")</f>
        <v>Yes</v>
      </c>
      <c r="Z1107" s="1" t="str">
        <f ca="1">IFERROR(__xludf.DUMMYFUNCTION("""COMPUTED_VALUE"""),"Two arrested")</f>
        <v>Two arrested</v>
      </c>
      <c r="AA1107" s="1" t="str">
        <f ca="1">IFERROR(__xludf.DUMMYFUNCTION("""COMPUTED_VALUE"""),"No")</f>
        <v>No</v>
      </c>
      <c r="AB1107" s="1" t="str">
        <f ca="1">IFERROR(__xludf.DUMMYFUNCTION("""COMPUTED_VALUE"""),"No")</f>
        <v>No</v>
      </c>
      <c r="AC1107" s="1" t="str">
        <f ca="1">IFERROR(__xludf.DUMMYFUNCTION("""COMPUTED_VALUE"""),"No")</f>
        <v>No</v>
      </c>
      <c r="AD1107" s="1" t="str">
        <f ca="1">IFERROR(__xludf.DUMMYFUNCTION("""COMPUTED_VALUE"""),"No")</f>
        <v>No</v>
      </c>
      <c r="AE1107" s="1" t="str">
        <f ca="1">IFERROR(__xludf.DUMMYFUNCTION("""COMPUTED_VALUE"""),"No")</f>
        <v>No</v>
      </c>
      <c r="AF1107" s="1" t="str">
        <f ca="1">IFERROR(__xludf.DUMMYFUNCTION("""COMPUTED_VALUE"""),"No")</f>
        <v>No</v>
      </c>
      <c r="AG1107" s="1" t="str">
        <f ca="1">IFERROR(__xludf.DUMMYFUNCTION("""COMPUTED_VALUE"""),"No")</f>
        <v>No</v>
      </c>
      <c r="AH1107" s="1"/>
    </row>
    <row r="1108" spans="1:34" ht="12.5">
      <c r="A1108" s="1" t="str">
        <f ca="1">IFERROR(__xludf.DUMMYFUNCTION("""COMPUTED_VALUE"""),"20200114TXBEH")</f>
        <v>20200114TXBEH</v>
      </c>
      <c r="B1108" s="1">
        <f ca="1">IFERROR(__xludf.DUMMYFUNCTION("""COMPUTED_VALUE"""),1)</f>
        <v>1</v>
      </c>
      <c r="C1108" s="1">
        <f ca="1">IFERROR(__xludf.DUMMYFUNCTION("""COMPUTED_VALUE"""),14)</f>
        <v>14</v>
      </c>
      <c r="D1108" s="1">
        <f ca="1">IFERROR(__xludf.DUMMYFUNCTION("""COMPUTED_VALUE"""),2020)</f>
        <v>2020</v>
      </c>
      <c r="E1108" s="4">
        <f ca="1">IFERROR(__xludf.DUMMYFUNCTION("""COMPUTED_VALUE"""),43844)</f>
        <v>43844</v>
      </c>
      <c r="F1108" s="1" t="str">
        <f ca="1">IFERROR(__xludf.DUMMYFUNCTION("""COMPUTED_VALUE"""),"Bellaire High School")</f>
        <v>Bellaire High School</v>
      </c>
      <c r="G1108" s="1">
        <f ca="1">IFERROR(__xludf.DUMMYFUNCTION("""COMPUTED_VALUE"""),1)</f>
        <v>1</v>
      </c>
      <c r="H1108" s="1">
        <f ca="1">IFERROR(__xludf.DUMMYFUNCTION("""COMPUTED_VALUE"""),0)</f>
        <v>0</v>
      </c>
      <c r="I1108" s="1">
        <f ca="1">IFERROR(__xludf.DUMMYFUNCTION("""COMPUTED_VALUE"""),1)</f>
        <v>1</v>
      </c>
      <c r="J1108" s="1">
        <f ca="1">IFERROR(__xludf.DUMMYFUNCTION("""COMPUTED_VALUE"""),0)</f>
        <v>0</v>
      </c>
      <c r="K1108" s="1" t="str">
        <f ca="1">IFERROR(__xludf.DUMMYFUNCTION("""COMPUTED_VALUE"""),"Winter")</f>
        <v>Winter</v>
      </c>
      <c r="L1108" s="1" t="str">
        <f ca="1">IFERROR(__xludf.DUMMYFUNCTION("""COMPUTED_VALUE"""),"Houston")</f>
        <v>Houston</v>
      </c>
      <c r="M1108" s="1" t="str">
        <f ca="1">IFERROR(__xludf.DUMMYFUNCTION("""COMPUTED_VALUE"""),"TX")</f>
        <v>TX</v>
      </c>
      <c r="N1108" s="1" t="str">
        <f ca="1">IFERROR(__xludf.DUMMYFUNCTION("""COMPUTED_VALUE"""),"High")</f>
        <v>High</v>
      </c>
      <c r="O1108" s="1" t="str">
        <f ca="1">IFERROR(__xludf.DUMMYFUNCTION("""COMPUTED_VALUE"""),"Classroom")</f>
        <v>Classroom</v>
      </c>
      <c r="P1108" s="1" t="str">
        <f ca="1">IFERROR(__xludf.DUMMYFUNCTION("""COMPUTED_VALUE"""),"Inside School Building")</f>
        <v>Inside School Building</v>
      </c>
      <c r="Q1108" s="1" t="str">
        <f ca="1">IFERROR(__xludf.DUMMYFUNCTION("""COMPUTED_VALUE"""),"Yes")</f>
        <v>Yes</v>
      </c>
      <c r="R1108" s="1" t="str">
        <f ca="1">IFERROR(__xludf.DUMMYFUNCTION("""COMPUTED_VALUE"""),"Dismissal")</f>
        <v>Dismissal</v>
      </c>
      <c r="S1108" s="5">
        <f ca="1">IFERROR(__xludf.DUMMYFUNCTION("""COMPUTED_VALUE"""),0.666666666666666)</f>
        <v>0.66666666666666596</v>
      </c>
      <c r="T1108" s="1">
        <f ca="1">IFERROR(__xludf.DUMMYFUNCTION("""COMPUTED_VALUE"""),1)</f>
        <v>1</v>
      </c>
      <c r="U1108" s="1" t="str">
        <f ca="1">IFERROR(__xludf.DUMMYFUNCTION("""COMPUTED_VALUE"""),"16YOM student shot 19YON student inside the school and then fled")</f>
        <v>16YOM student shot 19YON student inside the school and then fled</v>
      </c>
      <c r="V1108" s="1" t="str">
        <f ca="1">IFERROR(__xludf.DUMMYFUNCTION("""COMPUTED_VALUE"""),"16YOM student shot 19YOM student in the chest inside the school then fled the area. 4 students were inside a room when the shooting occurred. The school was locked down. 3.5 hours later, the shooter and another student were found by police behind a dumpst"&amp;"er in a shopping center parking lot. Students reported that both the shooter and victim were friends and members of the ROTC program. District Attorney stated the shooting was not intentional. Other students saw the shooter with the gun prior to the shoot"&amp;"ing but did not report it to school officials.")</f>
        <v>16YOM student shot 19YOM student in the chest inside the school then fled the area. 4 students were inside a room when the shooting occurred. The school was locked down. 3.5 hours later, the shooter and another student were found by police behind a dumpster in a shopping center parking lot. Students reported that both the shooter and victim were friends and members of the ROTC program. District Attorney stated the shooting was not intentional. Other students saw the shooter with the gun prior to the shooting but did not report it to school officials.</v>
      </c>
      <c r="W1108" s="1" t="str">
        <f ca="1">IFERROR(__xludf.DUMMYFUNCTION("""COMPUTED_VALUE"""),"Accidental")</f>
        <v>Accidental</v>
      </c>
      <c r="X1108" s="1" t="str">
        <f ca="1">IFERROR(__xludf.DUMMYFUNCTION("""COMPUTED_VALUE"""),"Neither")</f>
        <v>Neither</v>
      </c>
      <c r="Y1108" s="1" t="str">
        <f ca="1">IFERROR(__xludf.DUMMYFUNCTION("""COMPUTED_VALUE"""),"Yes")</f>
        <v>Yes</v>
      </c>
      <c r="Z1108" s="1" t="str">
        <f ca="1">IFERROR(__xludf.DUMMYFUNCTION("""COMPUTED_VALUE"""),"2 arrested")</f>
        <v>2 arrested</v>
      </c>
      <c r="AA1108" s="1" t="str">
        <f ca="1">IFERROR(__xludf.DUMMYFUNCTION("""COMPUTED_VALUE"""),"No")</f>
        <v>No</v>
      </c>
      <c r="AB1108" s="1" t="str">
        <f ca="1">IFERROR(__xludf.DUMMYFUNCTION("""COMPUTED_VALUE"""),"No")</f>
        <v>No</v>
      </c>
      <c r="AC1108" s="1" t="str">
        <f ca="1">IFERROR(__xludf.DUMMYFUNCTION("""COMPUTED_VALUE"""),"No")</f>
        <v>No</v>
      </c>
      <c r="AD1108" s="1" t="str">
        <f ca="1">IFERROR(__xludf.DUMMYFUNCTION("""COMPUTED_VALUE"""),"No")</f>
        <v>No</v>
      </c>
      <c r="AE1108" s="1" t="str">
        <f ca="1">IFERROR(__xludf.DUMMYFUNCTION("""COMPUTED_VALUE"""),"No")</f>
        <v>No</v>
      </c>
      <c r="AF1108" s="1" t="str">
        <f ca="1">IFERROR(__xludf.DUMMYFUNCTION("""COMPUTED_VALUE"""),"No")</f>
        <v>No</v>
      </c>
      <c r="AG1108" s="1" t="str">
        <f ca="1">IFERROR(__xludf.DUMMYFUNCTION("""COMPUTED_VALUE"""),"No")</f>
        <v>No</v>
      </c>
      <c r="AH1108" s="1">
        <f ca="1">IFERROR(__xludf.DUMMYFUNCTION("""COMPUTED_VALUE"""),1)</f>
        <v>1</v>
      </c>
    </row>
    <row r="1109" spans="1:34" ht="12.5">
      <c r="A1109" s="1" t="str">
        <f ca="1">IFERROR(__xludf.DUMMYFUNCTION("""COMPUTED_VALUE"""),"20200111TXELD")</f>
        <v>20200111TXELD</v>
      </c>
      <c r="B1109" s="1">
        <f ca="1">IFERROR(__xludf.DUMMYFUNCTION("""COMPUTED_VALUE"""),1)</f>
        <v>1</v>
      </c>
      <c r="C1109" s="1">
        <f ca="1">IFERROR(__xludf.DUMMYFUNCTION("""COMPUTED_VALUE"""),11)</f>
        <v>11</v>
      </c>
      <c r="D1109" s="1">
        <f ca="1">IFERROR(__xludf.DUMMYFUNCTION("""COMPUTED_VALUE"""),2020)</f>
        <v>2020</v>
      </c>
      <c r="E1109" s="4">
        <f ca="1">IFERROR(__xludf.DUMMYFUNCTION("""COMPUTED_VALUE"""),43841)</f>
        <v>43841</v>
      </c>
      <c r="F1109" s="1" t="str">
        <f ca="1">IFERROR(__xludf.DUMMYFUNCTION("""COMPUTED_VALUE"""),"Ellis Davis Field House")</f>
        <v>Ellis Davis Field House</v>
      </c>
      <c r="G1109" s="1">
        <f ca="1">IFERROR(__xludf.DUMMYFUNCTION("""COMPUTED_VALUE"""),1)</f>
        <v>1</v>
      </c>
      <c r="H1109" s="1">
        <f ca="1">IFERROR(__xludf.DUMMYFUNCTION("""COMPUTED_VALUE"""),1)</f>
        <v>1</v>
      </c>
      <c r="I1109" s="1">
        <f ca="1">IFERROR(__xludf.DUMMYFUNCTION("""COMPUTED_VALUE"""),2)</f>
        <v>2</v>
      </c>
      <c r="J1109" s="1">
        <f ca="1">IFERROR(__xludf.DUMMYFUNCTION("""COMPUTED_VALUE"""),0)</f>
        <v>0</v>
      </c>
      <c r="K1109" s="1" t="str">
        <f ca="1">IFERROR(__xludf.DUMMYFUNCTION("""COMPUTED_VALUE"""),"Winter")</f>
        <v>Winter</v>
      </c>
      <c r="L1109" s="1" t="str">
        <f ca="1">IFERROR(__xludf.DUMMYFUNCTION("""COMPUTED_VALUE"""),"Dallas")</f>
        <v>Dallas</v>
      </c>
      <c r="M1109" s="1" t="str">
        <f ca="1">IFERROR(__xludf.DUMMYFUNCTION("""COMPUTED_VALUE"""),"TX")</f>
        <v>TX</v>
      </c>
      <c r="N1109" s="1" t="str">
        <f ca="1">IFERROR(__xludf.DUMMYFUNCTION("""COMPUTED_VALUE"""),"High")</f>
        <v>High</v>
      </c>
      <c r="O1109" s="1" t="str">
        <f ca="1">IFERROR(__xludf.DUMMYFUNCTION("""COMPUTED_VALUE"""),"Gym")</f>
        <v>Gym</v>
      </c>
      <c r="P1109" s="1" t="str">
        <f ca="1">IFERROR(__xludf.DUMMYFUNCTION("""COMPUTED_VALUE"""),"Inside School Building")</f>
        <v>Inside School Building</v>
      </c>
      <c r="Q1109" s="1" t="str">
        <f ca="1">IFERROR(__xludf.DUMMYFUNCTION("""COMPUTED_VALUE"""),"No")</f>
        <v>No</v>
      </c>
      <c r="R1109" s="1" t="str">
        <f ca="1">IFERROR(__xludf.DUMMYFUNCTION("""COMPUTED_VALUE"""),"Sport Event")</f>
        <v>Sport Event</v>
      </c>
      <c r="S1109" s="5">
        <f ca="1">IFERROR(__xludf.DUMMYFUNCTION("""COMPUTED_VALUE"""),0.881944444444444)</f>
        <v>0.88194444444444398</v>
      </c>
      <c r="T1109" s="1">
        <f ca="1">IFERROR(__xludf.DUMMYFUNCTION("""COMPUTED_VALUE"""),1)</f>
        <v>1</v>
      </c>
      <c r="U1109" s="1" t="str">
        <f ca="1">IFERROR(__xludf.DUMMYFUNCTION("""COMPUTED_VALUE"""),"18YOM and officer shot during fight at basketball game")</f>
        <v>18YOM and officer shot during fight at basketball game</v>
      </c>
      <c r="V1109" s="1" t="str">
        <f ca="1">IFERROR(__xludf.DUMMYFUNCTION("""COMPUTED_VALUE"""),"18YOM former student and ISD police officer were shot during a fight at a high school basketball game. The shooter fled the scene with 2 other persons of interest. Players and fans took cover in the stands and some evacuated the area. The basketball game "&amp;"was part of a ribbon-cutting ceremony for the new facility. 15 YOM shooter turned himself in to police the following day.")</f>
        <v>18YOM former student and ISD police officer were shot during a fight at a high school basketball game. The shooter fled the scene with 2 other persons of interest. Players and fans took cover in the stands and some evacuated the area. The basketball game was part of a ribbon-cutting ceremony for the new facility. 15 YOM shooter turned himself in to police the following day.</v>
      </c>
      <c r="W1109" s="1" t="str">
        <f ca="1">IFERROR(__xludf.DUMMYFUNCTION("""COMPUTED_VALUE"""),"Escalation of Dispute")</f>
        <v>Escalation of Dispute</v>
      </c>
      <c r="X1109" s="1" t="str">
        <f ca="1">IFERROR(__xludf.DUMMYFUNCTION("""COMPUTED_VALUE"""),"Both")</f>
        <v>Both</v>
      </c>
      <c r="Y1109" s="1" t="str">
        <f ca="1">IFERROR(__xludf.DUMMYFUNCTION("""COMPUTED_VALUE"""),"Yes")</f>
        <v>Yes</v>
      </c>
      <c r="Z1109" s="1" t="str">
        <f ca="1">IFERROR(__xludf.DUMMYFUNCTION("""COMPUTED_VALUE"""),"3 persons of interest on CCTV")</f>
        <v>3 persons of interest on CCTV</v>
      </c>
      <c r="AA1109" s="1" t="str">
        <f ca="1">IFERROR(__xludf.DUMMYFUNCTION("""COMPUTED_VALUE"""),"No")</f>
        <v>No</v>
      </c>
      <c r="AB1109" s="1" t="str">
        <f ca="1">IFERROR(__xludf.DUMMYFUNCTION("""COMPUTED_VALUE"""),"No")</f>
        <v>No</v>
      </c>
      <c r="AC1109" s="1" t="str">
        <f ca="1">IFERROR(__xludf.DUMMYFUNCTION("""COMPUTED_VALUE"""),"No")</f>
        <v>No</v>
      </c>
      <c r="AD1109" s="1" t="str">
        <f ca="1">IFERROR(__xludf.DUMMYFUNCTION("""COMPUTED_VALUE"""),"No")</f>
        <v>No</v>
      </c>
      <c r="AE1109" s="1" t="str">
        <f ca="1">IFERROR(__xludf.DUMMYFUNCTION("""COMPUTED_VALUE"""),"No")</f>
        <v>No</v>
      </c>
      <c r="AF1109" s="1" t="str">
        <f ca="1">IFERROR(__xludf.DUMMYFUNCTION("""COMPUTED_VALUE"""),"No")</f>
        <v>No</v>
      </c>
      <c r="AG1109" s="1" t="str">
        <f ca="1">IFERROR(__xludf.DUMMYFUNCTION("""COMPUTED_VALUE"""),"No")</f>
        <v>No</v>
      </c>
      <c r="AH1109" s="1"/>
    </row>
    <row r="1110" spans="1:34" ht="12.5">
      <c r="A1110" s="1" t="str">
        <f ca="1">IFERROR(__xludf.DUMMYFUNCTION("""COMPUTED_VALUE"""),"20200110MSMCJ")</f>
        <v>20200110MSMCJ</v>
      </c>
      <c r="B1110" s="1">
        <f ca="1">IFERROR(__xludf.DUMMYFUNCTION("""COMPUTED_VALUE"""),1)</f>
        <v>1</v>
      </c>
      <c r="C1110" s="1">
        <f ca="1">IFERROR(__xludf.DUMMYFUNCTION("""COMPUTED_VALUE"""),10)</f>
        <v>10</v>
      </c>
      <c r="D1110" s="1">
        <f ca="1">IFERROR(__xludf.DUMMYFUNCTION("""COMPUTED_VALUE"""),2020)</f>
        <v>2020</v>
      </c>
      <c r="E1110" s="4">
        <f ca="1">IFERROR(__xludf.DUMMYFUNCTION("""COMPUTED_VALUE"""),43840)</f>
        <v>43840</v>
      </c>
      <c r="F1110" s="1" t="str">
        <f ca="1">IFERROR(__xludf.DUMMYFUNCTION("""COMPUTED_VALUE"""),"McWillie Elementary School")</f>
        <v>McWillie Elementary School</v>
      </c>
      <c r="G1110" s="1">
        <f ca="1">IFERROR(__xludf.DUMMYFUNCTION("""COMPUTED_VALUE"""),0)</f>
        <v>0</v>
      </c>
      <c r="H1110" s="1">
        <f ca="1">IFERROR(__xludf.DUMMYFUNCTION("""COMPUTED_VALUE"""),1)</f>
        <v>1</v>
      </c>
      <c r="I1110" s="1">
        <f ca="1">IFERROR(__xludf.DUMMYFUNCTION("""COMPUTED_VALUE"""),1)</f>
        <v>1</v>
      </c>
      <c r="J1110" s="1">
        <f ca="1">IFERROR(__xludf.DUMMYFUNCTION("""COMPUTED_VALUE"""),0)</f>
        <v>0</v>
      </c>
      <c r="K1110" s="1" t="str">
        <f ca="1">IFERROR(__xludf.DUMMYFUNCTION("""COMPUTED_VALUE"""),"Winter")</f>
        <v>Winter</v>
      </c>
      <c r="L1110" s="1" t="str">
        <f ca="1">IFERROR(__xludf.DUMMYFUNCTION("""COMPUTED_VALUE"""),"Jackson")</f>
        <v>Jackson</v>
      </c>
      <c r="M1110" s="1" t="str">
        <f ca="1">IFERROR(__xludf.DUMMYFUNCTION("""COMPUTED_VALUE"""),"MS")</f>
        <v>MS</v>
      </c>
      <c r="N1110" s="1" t="str">
        <f ca="1">IFERROR(__xludf.DUMMYFUNCTION("""COMPUTED_VALUE"""),"Middle")</f>
        <v>Middle</v>
      </c>
      <c r="O1110" s="1" t="str">
        <f ca="1">IFERROR(__xludf.DUMMYFUNCTION("""COMPUTED_VALUE"""),"School Bus")</f>
        <v>School Bus</v>
      </c>
      <c r="P1110" s="1" t="str">
        <f ca="1">IFERROR(__xludf.DUMMYFUNCTION("""COMPUTED_VALUE"""),"School Bus")</f>
        <v>School Bus</v>
      </c>
      <c r="Q1110" s="1" t="str">
        <f ca="1">IFERROR(__xludf.DUMMYFUNCTION("""COMPUTED_VALUE"""),"Yes")</f>
        <v>Yes</v>
      </c>
      <c r="R1110" s="1" t="str">
        <f ca="1">IFERROR(__xludf.DUMMYFUNCTION("""COMPUTED_VALUE"""),"School Start")</f>
        <v>School Start</v>
      </c>
      <c r="S1110" s="5">
        <f ca="1">IFERROR(__xludf.DUMMYFUNCTION("""COMPUTED_VALUE"""),0.291666666666666)</f>
        <v>0.29166666666666602</v>
      </c>
      <c r="T1110" s="1">
        <f ca="1">IFERROR(__xludf.DUMMYFUNCTION("""COMPUTED_VALUE"""),1)</f>
        <v>1</v>
      </c>
      <c r="U1110" s="1" t="str">
        <f ca="1">IFERROR(__xludf.DUMMYFUNCTION("""COMPUTED_VALUE"""),"Student struck by BB and bus window shattered")</f>
        <v>Student struck by BB and bus window shattered</v>
      </c>
      <c r="V1110" s="1" t="str">
        <f ca="1">IFERROR(__xludf.DUMMYFUNCTION("""COMPUTED_VALUE"""),"13YOM student fired BB at student waiting to get on bus and the school bus window shattering it. 7 students on the bus were evaluated for injuries and then taken to school on a different bus. 13YOM was arrested.")</f>
        <v>13YOM student fired BB at student waiting to get on bus and the school bus window shattering it. 7 students on the bus were evaluated for injuries and then taken to school on a different bus. 13YOM was arrested.</v>
      </c>
      <c r="W1110" s="1" t="str">
        <f ca="1">IFERROR(__xludf.DUMMYFUNCTION("""COMPUTED_VALUE"""),"Unknown")</f>
        <v>Unknown</v>
      </c>
      <c r="X1110" s="1"/>
      <c r="Y1110" s="1" t="str">
        <f ca="1">IFERROR(__xludf.DUMMYFUNCTION("""COMPUTED_VALUE"""),"No")</f>
        <v>No</v>
      </c>
      <c r="Z1110" s="1"/>
      <c r="AA1110" s="1" t="str">
        <f ca="1">IFERROR(__xludf.DUMMYFUNCTION("""COMPUTED_VALUE"""),"No")</f>
        <v>No</v>
      </c>
      <c r="AB1110" s="1" t="str">
        <f ca="1">IFERROR(__xludf.DUMMYFUNCTION("""COMPUTED_VALUE"""),"No")</f>
        <v>No</v>
      </c>
      <c r="AC1110" s="1" t="str">
        <f ca="1">IFERROR(__xludf.DUMMYFUNCTION("""COMPUTED_VALUE"""),"No")</f>
        <v>No</v>
      </c>
      <c r="AD1110" s="1" t="str">
        <f ca="1">IFERROR(__xludf.DUMMYFUNCTION("""COMPUTED_VALUE"""),"No")</f>
        <v>No</v>
      </c>
      <c r="AE1110" s="1" t="str">
        <f ca="1">IFERROR(__xludf.DUMMYFUNCTION("""COMPUTED_VALUE"""),"No")</f>
        <v>No</v>
      </c>
      <c r="AF1110" s="1" t="str">
        <f ca="1">IFERROR(__xludf.DUMMYFUNCTION("""COMPUTED_VALUE"""),"No")</f>
        <v>No</v>
      </c>
      <c r="AG1110" s="1" t="str">
        <f ca="1">IFERROR(__xludf.DUMMYFUNCTION("""COMPUTED_VALUE"""),"No")</f>
        <v>No</v>
      </c>
      <c r="AH1110" s="1"/>
    </row>
    <row r="1111" spans="1:34" ht="12.5">
      <c r="A1111" s="1" t="str">
        <f ca="1">IFERROR(__xludf.DUMMYFUNCTION("""COMPUTED_VALUE"""),"20200108FLGLB")</f>
        <v>20200108FLGLB</v>
      </c>
      <c r="B1111" s="1">
        <f ca="1">IFERROR(__xludf.DUMMYFUNCTION("""COMPUTED_VALUE"""),1)</f>
        <v>1</v>
      </c>
      <c r="C1111" s="1">
        <f ca="1">IFERROR(__xludf.DUMMYFUNCTION("""COMPUTED_VALUE"""),8)</f>
        <v>8</v>
      </c>
      <c r="D1111" s="1">
        <f ca="1">IFERROR(__xludf.DUMMYFUNCTION("""COMPUTED_VALUE"""),2020)</f>
        <v>2020</v>
      </c>
      <c r="E1111" s="4">
        <f ca="1">IFERROR(__xludf.DUMMYFUNCTION("""COMPUTED_VALUE"""),43838)</f>
        <v>43838</v>
      </c>
      <c r="F1111" s="1" t="str">
        <f ca="1">IFERROR(__xludf.DUMMYFUNCTION("""COMPUTED_VALUE"""),"Glades Central Community High School")</f>
        <v>Glades Central Community High School</v>
      </c>
      <c r="G1111" s="1">
        <f ca="1">IFERROR(__xludf.DUMMYFUNCTION("""COMPUTED_VALUE"""),0)</f>
        <v>0</v>
      </c>
      <c r="H1111" s="1">
        <f ca="1">IFERROR(__xludf.DUMMYFUNCTION("""COMPUTED_VALUE"""),0)</f>
        <v>0</v>
      </c>
      <c r="I1111" s="1">
        <f ca="1">IFERROR(__xludf.DUMMYFUNCTION("""COMPUTED_VALUE"""),0)</f>
        <v>0</v>
      </c>
      <c r="J1111" s="1">
        <f ca="1">IFERROR(__xludf.DUMMYFUNCTION("""COMPUTED_VALUE"""),0)</f>
        <v>0</v>
      </c>
      <c r="K1111" s="1" t="str">
        <f ca="1">IFERROR(__xludf.DUMMYFUNCTION("""COMPUTED_VALUE"""),"Winter")</f>
        <v>Winter</v>
      </c>
      <c r="L1111" s="1" t="str">
        <f ca="1">IFERROR(__xludf.DUMMYFUNCTION("""COMPUTED_VALUE"""),"Belle Glade")</f>
        <v>Belle Glade</v>
      </c>
      <c r="M1111" s="1" t="str">
        <f ca="1">IFERROR(__xludf.DUMMYFUNCTION("""COMPUTED_VALUE"""),"FL")</f>
        <v>FL</v>
      </c>
      <c r="N1111" s="1" t="str">
        <f ca="1">IFERROR(__xludf.DUMMYFUNCTION("""COMPUTED_VALUE"""),"High")</f>
        <v>High</v>
      </c>
      <c r="O1111" s="1" t="str">
        <f ca="1">IFERROR(__xludf.DUMMYFUNCTION("""COMPUTED_VALUE"""),"Parking Lot")</f>
        <v>Parking Lot</v>
      </c>
      <c r="P1111" s="1" t="str">
        <f ca="1">IFERROR(__xludf.DUMMYFUNCTION("""COMPUTED_VALUE"""),"Outside on School Property")</f>
        <v>Outside on School Property</v>
      </c>
      <c r="Q1111" s="1" t="str">
        <f ca="1">IFERROR(__xludf.DUMMYFUNCTION("""COMPUTED_VALUE"""),"Yes")</f>
        <v>Yes</v>
      </c>
      <c r="R1111" s="1" t="str">
        <f ca="1">IFERROR(__xludf.DUMMYFUNCTION("""COMPUTED_VALUE"""),"Afternoon Classes")</f>
        <v>Afternoon Classes</v>
      </c>
      <c r="S1111" s="5">
        <f ca="1">IFERROR(__xludf.DUMMYFUNCTION("""COMPUTED_VALUE"""),0.541666666666666)</f>
        <v>0.54166666666666596</v>
      </c>
      <c r="T1111" s="1">
        <f ca="1">IFERROR(__xludf.DUMMYFUNCTION("""COMPUTED_VALUE"""),1)</f>
        <v>1</v>
      </c>
      <c r="U1111" s="1" t="str">
        <f ca="1">IFERROR(__xludf.DUMMYFUNCTION("""COMPUTED_VALUE"""),"Unidentified person shot themselves in the leg in the school parking lot")</f>
        <v>Unidentified person shot themselves in the leg in the school parking lot</v>
      </c>
      <c r="V1111" s="1" t="str">
        <f ca="1">IFERROR(__xludf.DUMMYFUNCTION("""COMPUTED_VALUE"""),"Unidentified person accidentally shot themselves in the leg in the school parking lot. Victim was transported to a trauma center. School was locked down for 2 hours and dismissal was delayed.")</f>
        <v>Unidentified person accidentally shot themselves in the leg in the school parking lot. Victim was transported to a trauma center. School was locked down for 2 hours and dismissal was delayed.</v>
      </c>
      <c r="W1111" s="1" t="str">
        <f ca="1">IFERROR(__xludf.DUMMYFUNCTION("""COMPUTED_VALUE"""),"Accidental")</f>
        <v>Accidental</v>
      </c>
      <c r="X1111" s="1" t="str">
        <f ca="1">IFERROR(__xludf.DUMMYFUNCTION("""COMPUTED_VALUE"""),"Neither")</f>
        <v>Neither</v>
      </c>
      <c r="Y1111" s="1" t="str">
        <f ca="1">IFERROR(__xludf.DUMMYFUNCTION("""COMPUTED_VALUE"""),"No")</f>
        <v>No</v>
      </c>
      <c r="Z1111" s="1"/>
      <c r="AA1111" s="1" t="str">
        <f ca="1">IFERROR(__xludf.DUMMYFUNCTION("""COMPUTED_VALUE"""),"No")</f>
        <v>No</v>
      </c>
      <c r="AB1111" s="1" t="str">
        <f ca="1">IFERROR(__xludf.DUMMYFUNCTION("""COMPUTED_VALUE"""),"No")</f>
        <v>No</v>
      </c>
      <c r="AC1111" s="1" t="str">
        <f ca="1">IFERROR(__xludf.DUMMYFUNCTION("""COMPUTED_VALUE"""),"No")</f>
        <v>No</v>
      </c>
      <c r="AD1111" s="1" t="str">
        <f ca="1">IFERROR(__xludf.DUMMYFUNCTION("""COMPUTED_VALUE"""),"No")</f>
        <v>No</v>
      </c>
      <c r="AE1111" s="1" t="str">
        <f ca="1">IFERROR(__xludf.DUMMYFUNCTION("""COMPUTED_VALUE"""),"No")</f>
        <v>No</v>
      </c>
      <c r="AF1111" s="1" t="str">
        <f ca="1">IFERROR(__xludf.DUMMYFUNCTION("""COMPUTED_VALUE"""),"No")</f>
        <v>No</v>
      </c>
      <c r="AG1111" s="1" t="str">
        <f ca="1">IFERROR(__xludf.DUMMYFUNCTION("""COMPUTED_VALUE"""),"No")</f>
        <v>No</v>
      </c>
      <c r="AH1111" s="1">
        <f ca="1">IFERROR(__xludf.DUMMYFUNCTION("""COMPUTED_VALUE"""),1)</f>
        <v>1</v>
      </c>
    </row>
    <row r="1112" spans="1:34" ht="12.5">
      <c r="A1112" s="1" t="str">
        <f ca="1">IFERROR(__xludf.DUMMYFUNCTION("""COMPUTED_VALUE"""),"20200107WASOK")</f>
        <v>20200107WASOK</v>
      </c>
      <c r="B1112" s="1">
        <f ca="1">IFERROR(__xludf.DUMMYFUNCTION("""COMPUTED_VALUE"""),1)</f>
        <v>1</v>
      </c>
      <c r="C1112" s="1">
        <f ca="1">IFERROR(__xludf.DUMMYFUNCTION("""COMPUTED_VALUE"""),7)</f>
        <v>7</v>
      </c>
      <c r="D1112" s="1">
        <f ca="1">IFERROR(__xludf.DUMMYFUNCTION("""COMPUTED_VALUE"""),2020)</f>
        <v>2020</v>
      </c>
      <c r="E1112" s="4">
        <f ca="1">IFERROR(__xludf.DUMMYFUNCTION("""COMPUTED_VALUE"""),43837)</f>
        <v>43837</v>
      </c>
      <c r="F1112" s="1" t="str">
        <f ca="1">IFERROR(__xludf.DUMMYFUNCTION("""COMPUTED_VALUE"""),"Southridge High School")</f>
        <v>Southridge High School</v>
      </c>
      <c r="G1112" s="1">
        <f ca="1">IFERROR(__xludf.DUMMYFUNCTION("""COMPUTED_VALUE"""),0)</f>
        <v>0</v>
      </c>
      <c r="H1112" s="1">
        <f ca="1">IFERROR(__xludf.DUMMYFUNCTION("""COMPUTED_VALUE"""),0)</f>
        <v>0</v>
      </c>
      <c r="I1112" s="1">
        <f ca="1">IFERROR(__xludf.DUMMYFUNCTION("""COMPUTED_VALUE"""),0)</f>
        <v>0</v>
      </c>
      <c r="J1112" s="1">
        <f ca="1">IFERROR(__xludf.DUMMYFUNCTION("""COMPUTED_VALUE"""),0)</f>
        <v>0</v>
      </c>
      <c r="K1112" s="1" t="str">
        <f ca="1">IFERROR(__xludf.DUMMYFUNCTION("""COMPUTED_VALUE"""),"Winter")</f>
        <v>Winter</v>
      </c>
      <c r="L1112" s="1" t="str">
        <f ca="1">IFERROR(__xludf.DUMMYFUNCTION("""COMPUTED_VALUE"""),"Kennewick")</f>
        <v>Kennewick</v>
      </c>
      <c r="M1112" s="1" t="str">
        <f ca="1">IFERROR(__xludf.DUMMYFUNCTION("""COMPUTED_VALUE"""),"WA")</f>
        <v>WA</v>
      </c>
      <c r="N1112" s="1" t="str">
        <f ca="1">IFERROR(__xludf.DUMMYFUNCTION("""COMPUTED_VALUE"""),"High")</f>
        <v>High</v>
      </c>
      <c r="O1112" s="1" t="str">
        <f ca="1">IFERROR(__xludf.DUMMYFUNCTION("""COMPUTED_VALUE"""),"Beside Building")</f>
        <v>Beside Building</v>
      </c>
      <c r="P1112" s="1" t="str">
        <f ca="1">IFERROR(__xludf.DUMMYFUNCTION("""COMPUTED_VALUE"""),"Outside on School Property")</f>
        <v>Outside on School Property</v>
      </c>
      <c r="Q1112" s="1" t="str">
        <f ca="1">IFERROR(__xludf.DUMMYFUNCTION("""COMPUTED_VALUE"""),"No")</f>
        <v>No</v>
      </c>
      <c r="R1112" s="1" t="str">
        <f ca="1">IFERROR(__xludf.DUMMYFUNCTION("""COMPUTED_VALUE"""),"Night")</f>
        <v>Night</v>
      </c>
      <c r="S1112" s="1"/>
      <c r="T1112" s="1"/>
      <c r="U1112" s="1" t="str">
        <f ca="1">IFERROR(__xludf.DUMMYFUNCTION("""COMPUTED_VALUE"""),"Two 16YOM shot more than 60 windows at homes and the high school")</f>
        <v>Two 16YOM shot more than 60 windows at homes and the high school</v>
      </c>
      <c r="V1112" s="1" t="str">
        <f ca="1">IFERROR(__xludf.DUMMYFUNCTION("""COMPUTED_VALUE"""),"Two 16YOM arrested for shooting more than 60 windows with BB guns at their high school and homes in the neighborhood.")</f>
        <v>Two 16YOM arrested for shooting more than 60 windows with BB guns at their high school and homes in the neighborhood.</v>
      </c>
      <c r="W1112" s="1" t="str">
        <f ca="1">IFERROR(__xludf.DUMMYFUNCTION("""COMPUTED_VALUE"""),"Intentional Property Damage")</f>
        <v>Intentional Property Damage</v>
      </c>
      <c r="X1112" s="1" t="str">
        <f ca="1">IFERROR(__xludf.DUMMYFUNCTION("""COMPUTED_VALUE"""),"Neither")</f>
        <v>Neither</v>
      </c>
      <c r="Y1112" s="1" t="str">
        <f ca="1">IFERROR(__xludf.DUMMYFUNCTION("""COMPUTED_VALUE"""),"Yes")</f>
        <v>Yes</v>
      </c>
      <c r="Z1112" s="1" t="str">
        <f ca="1">IFERROR(__xludf.DUMMYFUNCTION("""COMPUTED_VALUE"""),"2 arrested")</f>
        <v>2 arrested</v>
      </c>
      <c r="AA1112" s="1" t="str">
        <f ca="1">IFERROR(__xludf.DUMMYFUNCTION("""COMPUTED_VALUE"""),"No")</f>
        <v>No</v>
      </c>
      <c r="AB1112" s="1" t="str">
        <f ca="1">IFERROR(__xludf.DUMMYFUNCTION("""COMPUTED_VALUE"""),"No")</f>
        <v>No</v>
      </c>
      <c r="AC1112" s="1" t="str">
        <f ca="1">IFERROR(__xludf.DUMMYFUNCTION("""COMPUTED_VALUE"""),"No")</f>
        <v>No</v>
      </c>
      <c r="AD1112" s="1" t="str">
        <f ca="1">IFERROR(__xludf.DUMMYFUNCTION("""COMPUTED_VALUE"""),"No")</f>
        <v>No</v>
      </c>
      <c r="AE1112" s="1" t="str">
        <f ca="1">IFERROR(__xludf.DUMMYFUNCTION("""COMPUTED_VALUE"""),"No")</f>
        <v>No</v>
      </c>
      <c r="AF1112" s="1" t="str">
        <f ca="1">IFERROR(__xludf.DUMMYFUNCTION("""COMPUTED_VALUE"""),"No")</f>
        <v>No</v>
      </c>
      <c r="AG1112" s="1" t="str">
        <f ca="1">IFERROR(__xludf.DUMMYFUNCTION("""COMPUTED_VALUE"""),"No")</f>
        <v>No</v>
      </c>
      <c r="AH1112" s="1"/>
    </row>
    <row r="1113" spans="1:34" ht="12.5">
      <c r="A1113" s="1" t="str">
        <f ca="1">IFERROR(__xludf.DUMMYFUNCTION("""COMPUTED_VALUE"""),"20191228MOMAS")</f>
        <v>20191228MOMAS</v>
      </c>
      <c r="B1113" s="1">
        <f ca="1">IFERROR(__xludf.DUMMYFUNCTION("""COMPUTED_VALUE"""),12)</f>
        <v>12</v>
      </c>
      <c r="C1113" s="1">
        <f ca="1">IFERROR(__xludf.DUMMYFUNCTION("""COMPUTED_VALUE"""),28)</f>
        <v>28</v>
      </c>
      <c r="D1113" s="1">
        <f ca="1">IFERROR(__xludf.DUMMYFUNCTION("""COMPUTED_VALUE"""),2019)</f>
        <v>2019</v>
      </c>
      <c r="E1113" s="4">
        <f ca="1">IFERROR(__xludf.DUMMYFUNCTION("""COMPUTED_VALUE"""),43827)</f>
        <v>43827</v>
      </c>
      <c r="F1113" s="1" t="str">
        <f ca="1">IFERROR(__xludf.DUMMYFUNCTION("""COMPUTED_VALUE"""),"Mason-Clark Middle School")</f>
        <v>Mason-Clark Middle School</v>
      </c>
      <c r="G1113" s="1">
        <f ca="1">IFERROR(__xludf.DUMMYFUNCTION("""COMPUTED_VALUE"""),1)</f>
        <v>1</v>
      </c>
      <c r="H1113" s="1">
        <f ca="1">IFERROR(__xludf.DUMMYFUNCTION("""COMPUTED_VALUE"""),0)</f>
        <v>0</v>
      </c>
      <c r="I1113" s="1">
        <f ca="1">IFERROR(__xludf.DUMMYFUNCTION("""COMPUTED_VALUE"""),1)</f>
        <v>1</v>
      </c>
      <c r="J1113" s="1">
        <f ca="1">IFERROR(__xludf.DUMMYFUNCTION("""COMPUTED_VALUE"""),0)</f>
        <v>0</v>
      </c>
      <c r="K1113" s="1" t="str">
        <f ca="1">IFERROR(__xludf.DUMMYFUNCTION("""COMPUTED_VALUE"""),"Winter")</f>
        <v>Winter</v>
      </c>
      <c r="L1113" s="1" t="str">
        <f ca="1">IFERROR(__xludf.DUMMYFUNCTION("""COMPUTED_VALUE"""),"East St. Louis")</f>
        <v>East St. Louis</v>
      </c>
      <c r="M1113" s="1" t="str">
        <f ca="1">IFERROR(__xludf.DUMMYFUNCTION("""COMPUTED_VALUE"""),"IL")</f>
        <v>IL</v>
      </c>
      <c r="N1113" s="1" t="str">
        <f ca="1">IFERROR(__xludf.DUMMYFUNCTION("""COMPUTED_VALUE"""),"Middle")</f>
        <v>Middle</v>
      </c>
      <c r="O1113" s="1" t="str">
        <f ca="1">IFERROR(__xludf.DUMMYFUNCTION("""COMPUTED_VALUE"""),"Parking Lot")</f>
        <v>Parking Lot</v>
      </c>
      <c r="P1113" s="1" t="str">
        <f ca="1">IFERROR(__xludf.DUMMYFUNCTION("""COMPUTED_VALUE"""),"Outside on School Property")</f>
        <v>Outside on School Property</v>
      </c>
      <c r="Q1113" s="1" t="str">
        <f ca="1">IFERROR(__xludf.DUMMYFUNCTION("""COMPUTED_VALUE"""),"No")</f>
        <v>No</v>
      </c>
      <c r="R1113" s="1" t="str">
        <f ca="1">IFERROR(__xludf.DUMMYFUNCTION("""COMPUTED_VALUE"""),"Evening")</f>
        <v>Evening</v>
      </c>
      <c r="S1113" s="5">
        <f ca="1">IFERROR(__xludf.DUMMYFUNCTION("""COMPUTED_VALUE"""),0.833333333333333)</f>
        <v>0.83333333333333304</v>
      </c>
      <c r="T1113" s="1">
        <f ca="1">IFERROR(__xludf.DUMMYFUNCTION("""COMPUTED_VALUE"""),1)</f>
        <v>1</v>
      </c>
      <c r="U1113" s="1" t="str">
        <f ca="1">IFERROR(__xludf.DUMMYFUNCTION("""COMPUTED_VALUE"""),"13YOM shot in the street and found dead in school parking lot the next morning")</f>
        <v>13YOM shot in the street and found dead in school parking lot the next morning</v>
      </c>
      <c r="V1113" s="1" t="str">
        <f ca="1">IFERROR(__xludf.DUMMYFUNCTION("""COMPUTED_VALUE"""),"Body of 13YOM found the morning after the shooting in the parking lot of the school. Bookbag found in a ditch nearby. Police reported the shooting took place in the street by the school at 8pm and the victim's body was found in the school parking lot at 8"&amp;"am the next morning. 17YOM arrested and charged with 1st degree murder. Police reported the victim was targeted.")</f>
        <v>Body of 13YOM found the morning after the shooting in the parking lot of the school. Bookbag found in a ditch nearby. Police reported the shooting took place in the street by the school at 8pm and the victim's body was found in the school parking lot at 8am the next morning. 17YOM arrested and charged with 1st degree murder. Police reported the victim was targeted.</v>
      </c>
      <c r="W1113" s="1" t="str">
        <f ca="1">IFERROR(__xludf.DUMMYFUNCTION("""COMPUTED_VALUE"""),"Unknown")</f>
        <v>Unknown</v>
      </c>
      <c r="X1113" s="1" t="str">
        <f ca="1">IFERROR(__xludf.DUMMYFUNCTION("""COMPUTED_VALUE"""),"Victims Targeted")</f>
        <v>Victims Targeted</v>
      </c>
      <c r="Y1113" s="1"/>
      <c r="Z1113" s="1"/>
      <c r="AA1113" s="1" t="str">
        <f ca="1">IFERROR(__xludf.DUMMYFUNCTION("""COMPUTED_VALUE"""),"No")</f>
        <v>No</v>
      </c>
      <c r="AB1113" s="1" t="str">
        <f ca="1">IFERROR(__xludf.DUMMYFUNCTION("""COMPUTED_VALUE"""),"No")</f>
        <v>No</v>
      </c>
      <c r="AC1113" s="1" t="str">
        <f ca="1">IFERROR(__xludf.DUMMYFUNCTION("""COMPUTED_VALUE"""),"No")</f>
        <v>No</v>
      </c>
      <c r="AD1113" s="1" t="str">
        <f ca="1">IFERROR(__xludf.DUMMYFUNCTION("""COMPUTED_VALUE"""),"No")</f>
        <v>No</v>
      </c>
      <c r="AE1113" s="1" t="str">
        <f ca="1">IFERROR(__xludf.DUMMYFUNCTION("""COMPUTED_VALUE"""),"No")</f>
        <v>No</v>
      </c>
      <c r="AF1113" s="1"/>
      <c r="AG1113" s="1" t="str">
        <f ca="1">IFERROR(__xludf.DUMMYFUNCTION("""COMPUTED_VALUE"""),"No")</f>
        <v>No</v>
      </c>
      <c r="AH1113" s="1"/>
    </row>
    <row r="1114" spans="1:34" ht="12.5">
      <c r="A1114" s="1" t="str">
        <f ca="1">IFERROR(__xludf.DUMMYFUNCTION("""COMPUTED_VALUE"""),"20191221LAWES")</f>
        <v>20191221LAWES</v>
      </c>
      <c r="B1114" s="1">
        <f ca="1">IFERROR(__xludf.DUMMYFUNCTION("""COMPUTED_VALUE"""),12)</f>
        <v>12</v>
      </c>
      <c r="C1114" s="1">
        <f ca="1">IFERROR(__xludf.DUMMYFUNCTION("""COMPUTED_VALUE"""),21)</f>
        <v>21</v>
      </c>
      <c r="D1114" s="1">
        <f ca="1">IFERROR(__xludf.DUMMYFUNCTION("""COMPUTED_VALUE"""),2019)</f>
        <v>2019</v>
      </c>
      <c r="E1114" s="4">
        <f ca="1">IFERROR(__xludf.DUMMYFUNCTION("""COMPUTED_VALUE"""),43820)</f>
        <v>43820</v>
      </c>
      <c r="F1114" s="1" t="str">
        <f ca="1">IFERROR(__xludf.DUMMYFUNCTION("""COMPUTED_VALUE"""),"West St. John Elementary School")</f>
        <v>West St. John Elementary School</v>
      </c>
      <c r="G1114" s="1">
        <f ca="1">IFERROR(__xludf.DUMMYFUNCTION("""COMPUTED_VALUE"""),0)</f>
        <v>0</v>
      </c>
      <c r="H1114" s="1">
        <f ca="1">IFERROR(__xludf.DUMMYFUNCTION("""COMPUTED_VALUE"""),4)</f>
        <v>4</v>
      </c>
      <c r="I1114" s="1">
        <f ca="1">IFERROR(__xludf.DUMMYFUNCTION("""COMPUTED_VALUE"""),4)</f>
        <v>4</v>
      </c>
      <c r="J1114" s="1">
        <f ca="1">IFERROR(__xludf.DUMMYFUNCTION("""COMPUTED_VALUE"""),0)</f>
        <v>0</v>
      </c>
      <c r="K1114" s="1" t="str">
        <f ca="1">IFERROR(__xludf.DUMMYFUNCTION("""COMPUTED_VALUE"""),"Winter")</f>
        <v>Winter</v>
      </c>
      <c r="L1114" s="1" t="str">
        <f ca="1">IFERROR(__xludf.DUMMYFUNCTION("""COMPUTED_VALUE"""),"St. John the Baptist Parish")</f>
        <v>St. John the Baptist Parish</v>
      </c>
      <c r="M1114" s="1" t="str">
        <f ca="1">IFERROR(__xludf.DUMMYFUNCTION("""COMPUTED_VALUE"""),"LA")</f>
        <v>LA</v>
      </c>
      <c r="N1114" s="1" t="str">
        <f ca="1">IFERROR(__xludf.DUMMYFUNCTION("""COMPUTED_VALUE"""),"Elementary")</f>
        <v>Elementary</v>
      </c>
      <c r="O1114" s="1" t="str">
        <f ca="1">IFERROR(__xludf.DUMMYFUNCTION("""COMPUTED_VALUE"""),"Parking Lot")</f>
        <v>Parking Lot</v>
      </c>
      <c r="P1114" s="1" t="str">
        <f ca="1">IFERROR(__xludf.DUMMYFUNCTION("""COMPUTED_VALUE"""),"Outside on School Property")</f>
        <v>Outside on School Property</v>
      </c>
      <c r="Q1114" s="1" t="str">
        <f ca="1">IFERROR(__xludf.DUMMYFUNCTION("""COMPUTED_VALUE"""),"No")</f>
        <v>No</v>
      </c>
      <c r="R1114" s="1" t="str">
        <f ca="1">IFERROR(__xludf.DUMMYFUNCTION("""COMPUTED_VALUE"""),"Night")</f>
        <v>Night</v>
      </c>
      <c r="S1114" s="5">
        <f ca="1">IFERROR(__xludf.DUMMYFUNCTION("""COMPUTED_VALUE"""),0.979166666666666)</f>
        <v>0.97916666666666596</v>
      </c>
      <c r="T1114" s="1">
        <f ca="1">IFERROR(__xludf.DUMMYFUNCTION("""COMPUTED_VALUE"""),1)</f>
        <v>1</v>
      </c>
      <c r="U1114" s="1" t="str">
        <f ca="1">IFERROR(__xludf.DUMMYFUNCTION("""COMPUTED_VALUE"""),"4 people shot outside of school after party (rented school for event)")</f>
        <v>4 people shot outside of school after party (rented school for event)</v>
      </c>
      <c r="V1114" s="1" t="str">
        <f ca="1">IFERROR(__xludf.DUMMYFUNCTION("""COMPUTED_VALUE"""),"School was rented for private party. Following an argument, 4 people were shot in the school parking lot. 2 suspects fled and a 34YOM was later arrested. 5 vehicles in the parking lot were stuck by bullets. No students in the school during the event.")</f>
        <v>School was rented for private party. Following an argument, 4 people were shot in the school parking lot. 2 suspects fled and a 34YOM was later arrested. 5 vehicles in the parking lot were stuck by bullets. No students in the school during the event.</v>
      </c>
      <c r="W1114" s="1" t="str">
        <f ca="1">IFERROR(__xludf.DUMMYFUNCTION("""COMPUTED_VALUE"""),"Escalation of Dispute")</f>
        <v>Escalation of Dispute</v>
      </c>
      <c r="X1114" s="1"/>
      <c r="Y1114" s="1" t="str">
        <f ca="1">IFERROR(__xludf.DUMMYFUNCTION("""COMPUTED_VALUE"""),"Yes")</f>
        <v>Yes</v>
      </c>
      <c r="Z1114" s="1" t="str">
        <f ca="1">IFERROR(__xludf.DUMMYFUNCTION("""COMPUTED_VALUE"""),"2 suspects fled")</f>
        <v>2 suspects fled</v>
      </c>
      <c r="AA1114" s="1" t="str">
        <f ca="1">IFERROR(__xludf.DUMMYFUNCTION("""COMPUTED_VALUE"""),"No")</f>
        <v>No</v>
      </c>
      <c r="AB1114" s="1" t="str">
        <f ca="1">IFERROR(__xludf.DUMMYFUNCTION("""COMPUTED_VALUE"""),"No")</f>
        <v>No</v>
      </c>
      <c r="AC1114" s="1" t="str">
        <f ca="1">IFERROR(__xludf.DUMMYFUNCTION("""COMPUTED_VALUE"""),"No")</f>
        <v>No</v>
      </c>
      <c r="AD1114" s="1" t="str">
        <f ca="1">IFERROR(__xludf.DUMMYFUNCTION("""COMPUTED_VALUE"""),"No")</f>
        <v>No</v>
      </c>
      <c r="AE1114" s="1" t="str">
        <f ca="1">IFERROR(__xludf.DUMMYFUNCTION("""COMPUTED_VALUE"""),"No")</f>
        <v>No</v>
      </c>
      <c r="AF1114" s="1" t="str">
        <f ca="1">IFERROR(__xludf.DUMMYFUNCTION("""COMPUTED_VALUE"""),"No")</f>
        <v>No</v>
      </c>
      <c r="AG1114" s="1" t="str">
        <f ca="1">IFERROR(__xludf.DUMMYFUNCTION("""COMPUTED_VALUE"""),"No")</f>
        <v>No</v>
      </c>
      <c r="AH1114" s="1"/>
    </row>
    <row r="1115" spans="1:34" ht="12.5">
      <c r="A1115" s="1" t="str">
        <f ca="1">IFERROR(__xludf.DUMMYFUNCTION("""COMPUTED_VALUE"""),"20191219FLLEN")</f>
        <v>20191219FLLEN</v>
      </c>
      <c r="B1115" s="1">
        <f ca="1">IFERROR(__xludf.DUMMYFUNCTION("""COMPUTED_VALUE"""),12)</f>
        <v>12</v>
      </c>
      <c r="C1115" s="1">
        <f ca="1">IFERROR(__xludf.DUMMYFUNCTION("""COMPUTED_VALUE"""),19)</f>
        <v>19</v>
      </c>
      <c r="D1115" s="1">
        <f ca="1">IFERROR(__xludf.DUMMYFUNCTION("""COMPUTED_VALUE"""),2019)</f>
        <v>2019</v>
      </c>
      <c r="E1115" s="4">
        <f ca="1">IFERROR(__xludf.DUMMYFUNCTION("""COMPUTED_VALUE"""),43818)</f>
        <v>43818</v>
      </c>
      <c r="F1115" s="1" t="str">
        <f ca="1">IFERROR(__xludf.DUMMYFUNCTION("""COMPUTED_VALUE"""),"Lely High School")</f>
        <v>Lely High School</v>
      </c>
      <c r="G1115" s="1">
        <f ca="1">IFERROR(__xludf.DUMMYFUNCTION("""COMPUTED_VALUE"""),1)</f>
        <v>1</v>
      </c>
      <c r="H1115" s="1">
        <f ca="1">IFERROR(__xludf.DUMMYFUNCTION("""COMPUTED_VALUE"""),0)</f>
        <v>0</v>
      </c>
      <c r="I1115" s="1">
        <f ca="1">IFERROR(__xludf.DUMMYFUNCTION("""COMPUTED_VALUE"""),1)</f>
        <v>1</v>
      </c>
      <c r="J1115" s="1">
        <f ca="1">IFERROR(__xludf.DUMMYFUNCTION("""COMPUTED_VALUE"""),0)</f>
        <v>0</v>
      </c>
      <c r="K1115" s="1" t="str">
        <f ca="1">IFERROR(__xludf.DUMMYFUNCTION("""COMPUTED_VALUE"""),"Winter")</f>
        <v>Winter</v>
      </c>
      <c r="L1115" s="1" t="str">
        <f ca="1">IFERROR(__xludf.DUMMYFUNCTION("""COMPUTED_VALUE"""),"Naples")</f>
        <v>Naples</v>
      </c>
      <c r="M1115" s="1" t="str">
        <f ca="1">IFERROR(__xludf.DUMMYFUNCTION("""COMPUTED_VALUE"""),"FL")</f>
        <v>FL</v>
      </c>
      <c r="N1115" s="1" t="str">
        <f ca="1">IFERROR(__xludf.DUMMYFUNCTION("""COMPUTED_VALUE"""),"High")</f>
        <v>High</v>
      </c>
      <c r="O1115" s="1" t="str">
        <f ca="1">IFERROR(__xludf.DUMMYFUNCTION("""COMPUTED_VALUE"""),"Parking Lot")</f>
        <v>Parking Lot</v>
      </c>
      <c r="P1115" s="1" t="str">
        <f ca="1">IFERROR(__xludf.DUMMYFUNCTION("""COMPUTED_VALUE"""),"Outside on School Property")</f>
        <v>Outside on School Property</v>
      </c>
      <c r="Q1115" s="1" t="str">
        <f ca="1">IFERROR(__xludf.DUMMYFUNCTION("""COMPUTED_VALUE"""),"No")</f>
        <v>No</v>
      </c>
      <c r="R1115" s="1" t="str">
        <f ca="1">IFERROR(__xludf.DUMMYFUNCTION("""COMPUTED_VALUE"""),"Evening")</f>
        <v>Evening</v>
      </c>
      <c r="S1115" s="5">
        <f ca="1">IFERROR(__xludf.DUMMYFUNCTION("""COMPUTED_VALUE"""),0.853472222222222)</f>
        <v>0.85347222222222197</v>
      </c>
      <c r="T1115" s="1">
        <f ca="1">IFERROR(__xludf.DUMMYFUNCTION("""COMPUTED_VALUE"""),1)</f>
        <v>1</v>
      </c>
      <c r="U1115" s="1" t="str">
        <f ca="1">IFERROR(__xludf.DUMMYFUNCTION("""COMPUTED_VALUE"""),"Adult male shot adult female night school students in parking lot")</f>
        <v>Adult male shot adult female night school students in parking lot</v>
      </c>
      <c r="V1115" s="1" t="str">
        <f ca="1">IFERROR(__xludf.DUMMYFUNCTION("""COMPUTED_VALUE"""),"Female adult night school student was shot and killed in school parking lot. 50YOM fled the scene and was later arrested. Targeted shooting. Domestic violence. Principle made statement about the shooting and school opened on schedule the following day.")</f>
        <v>Female adult night school student was shot and killed in school parking lot. 50YOM fled the scene and was later arrested. Targeted shooting. Domestic violence. Principle made statement about the shooting and school opened on schedule the following day.</v>
      </c>
      <c r="W1115" s="1" t="str">
        <f ca="1">IFERROR(__xludf.DUMMYFUNCTION("""COMPUTED_VALUE"""),"Domestic w/ Targeted Victim")</f>
        <v>Domestic w/ Targeted Victim</v>
      </c>
      <c r="X1115" s="1" t="str">
        <f ca="1">IFERROR(__xludf.DUMMYFUNCTION("""COMPUTED_VALUE"""),"Victims Targeted")</f>
        <v>Victims Targeted</v>
      </c>
      <c r="Y1115" s="1" t="str">
        <f ca="1">IFERROR(__xludf.DUMMYFUNCTION("""COMPUTED_VALUE"""),"No")</f>
        <v>No</v>
      </c>
      <c r="Z1115" s="1"/>
      <c r="AA1115" s="1" t="str">
        <f ca="1">IFERROR(__xludf.DUMMYFUNCTION("""COMPUTED_VALUE"""),"No")</f>
        <v>No</v>
      </c>
      <c r="AB1115" s="1" t="str">
        <f ca="1">IFERROR(__xludf.DUMMYFUNCTION("""COMPUTED_VALUE"""),"No")</f>
        <v>No</v>
      </c>
      <c r="AC1115" s="1" t="str">
        <f ca="1">IFERROR(__xludf.DUMMYFUNCTION("""COMPUTED_VALUE"""),"No")</f>
        <v>No</v>
      </c>
      <c r="AD1115" s="1" t="str">
        <f ca="1">IFERROR(__xludf.DUMMYFUNCTION("""COMPUTED_VALUE"""),"No")</f>
        <v>No</v>
      </c>
      <c r="AE1115" s="1" t="str">
        <f ca="1">IFERROR(__xludf.DUMMYFUNCTION("""COMPUTED_VALUE"""),"Yes")</f>
        <v>Yes</v>
      </c>
      <c r="AF1115" s="1" t="str">
        <f ca="1">IFERROR(__xludf.DUMMYFUNCTION("""COMPUTED_VALUE"""),"No")</f>
        <v>No</v>
      </c>
      <c r="AG1115" s="1" t="str">
        <f ca="1">IFERROR(__xludf.DUMMYFUNCTION("""COMPUTED_VALUE"""),"No")</f>
        <v>No</v>
      </c>
      <c r="AH1115" s="1"/>
    </row>
    <row r="1116" spans="1:34" ht="12.5">
      <c r="A1116" s="1" t="str">
        <f ca="1">IFERROR(__xludf.DUMMYFUNCTION("""COMPUTED_VALUE"""),"20191216CTCAN")</f>
        <v>20191216CTCAN</v>
      </c>
      <c r="B1116" s="1">
        <f ca="1">IFERROR(__xludf.DUMMYFUNCTION("""COMPUTED_VALUE"""),12)</f>
        <v>12</v>
      </c>
      <c r="C1116" s="1">
        <f ca="1">IFERROR(__xludf.DUMMYFUNCTION("""COMPUTED_VALUE"""),16)</f>
        <v>16</v>
      </c>
      <c r="D1116" s="1">
        <f ca="1">IFERROR(__xludf.DUMMYFUNCTION("""COMPUTED_VALUE"""),2019)</f>
        <v>2019</v>
      </c>
      <c r="E1116" s="4">
        <f ca="1">IFERROR(__xludf.DUMMYFUNCTION("""COMPUTED_VALUE"""),43815)</f>
        <v>43815</v>
      </c>
      <c r="F1116" s="1" t="str">
        <f ca="1">IFERROR(__xludf.DUMMYFUNCTION("""COMPUTED_VALUE"""),"Catholic Academy of New Haven")</f>
        <v>Catholic Academy of New Haven</v>
      </c>
      <c r="G1116" s="1">
        <f ca="1">IFERROR(__xludf.DUMMYFUNCTION("""COMPUTED_VALUE"""),0)</f>
        <v>0</v>
      </c>
      <c r="H1116" s="1">
        <f ca="1">IFERROR(__xludf.DUMMYFUNCTION("""COMPUTED_VALUE"""),1)</f>
        <v>1</v>
      </c>
      <c r="I1116" s="1">
        <f ca="1">IFERROR(__xludf.DUMMYFUNCTION("""COMPUTED_VALUE"""),1)</f>
        <v>1</v>
      </c>
      <c r="J1116" s="1">
        <f ca="1">IFERROR(__xludf.DUMMYFUNCTION("""COMPUTED_VALUE"""),0)</f>
        <v>0</v>
      </c>
      <c r="K1116" s="1" t="str">
        <f ca="1">IFERROR(__xludf.DUMMYFUNCTION("""COMPUTED_VALUE"""),"Winter")</f>
        <v>Winter</v>
      </c>
      <c r="L1116" s="1" t="str">
        <f ca="1">IFERROR(__xludf.DUMMYFUNCTION("""COMPUTED_VALUE"""),"New Haven")</f>
        <v>New Haven</v>
      </c>
      <c r="M1116" s="1" t="str">
        <f ca="1">IFERROR(__xludf.DUMMYFUNCTION("""COMPUTED_VALUE"""),"CT")</f>
        <v>CT</v>
      </c>
      <c r="N1116" s="1" t="str">
        <f ca="1">IFERROR(__xludf.DUMMYFUNCTION("""COMPUTED_VALUE"""),"K-8")</f>
        <v>K-8</v>
      </c>
      <c r="O1116" s="1" t="str">
        <f ca="1">IFERROR(__xludf.DUMMYFUNCTION("""COMPUTED_VALUE"""),"Beside Building")</f>
        <v>Beside Building</v>
      </c>
      <c r="P1116" s="1" t="str">
        <f ca="1">IFERROR(__xludf.DUMMYFUNCTION("""COMPUTED_VALUE"""),"Outside on School Property")</f>
        <v>Outside on School Property</v>
      </c>
      <c r="Q1116" s="1" t="str">
        <f ca="1">IFERROR(__xludf.DUMMYFUNCTION("""COMPUTED_VALUE"""),"Yes")</f>
        <v>Yes</v>
      </c>
      <c r="R1116" s="1" t="str">
        <f ca="1">IFERROR(__xludf.DUMMYFUNCTION("""COMPUTED_VALUE"""),"School Start")</f>
        <v>School Start</v>
      </c>
      <c r="S1116" s="5">
        <f ca="1">IFERROR(__xludf.DUMMYFUNCTION("""COMPUTED_VALUE"""),0.375)</f>
        <v>0.375</v>
      </c>
      <c r="T1116" s="1">
        <f ca="1">IFERROR(__xludf.DUMMYFUNCTION("""COMPUTED_VALUE"""),1)</f>
        <v>1</v>
      </c>
      <c r="U1116" s="1" t="str">
        <f ca="1">IFERROR(__xludf.DUMMYFUNCTION("""COMPUTED_VALUE"""),"Adult dropping child off shot in targeted shooting, 7 bullets hit school building")</f>
        <v>Adult dropping child off shot in targeted shooting, 7 bullets hit school building</v>
      </c>
      <c r="V1116" s="1" t="str">
        <f ca="1">IFERROR(__xludf.DUMMYFUNCTION("""COMPUTED_VALUE"""),"Adult caregiver was shot multiple times while dropping child off at school. 10 shots fired. 7 hit school building and 1 entered occupied classroom with students inside. Caregiver had been recently released from prison and had gang affiliation. Unknown sho"&amp;"oter fled the area. School placed on lockdown and additional police patrol assigned.")</f>
        <v>Adult caregiver was shot multiple times while dropping child off at school. 10 shots fired. 7 hit school building and 1 entered occupied classroom with students inside. Caregiver had been recently released from prison and had gang affiliation. Unknown shooter fled the area. School placed on lockdown and additional police patrol assigned.</v>
      </c>
      <c r="W1116" s="1" t="str">
        <f ca="1">IFERROR(__xludf.DUMMYFUNCTION("""COMPUTED_VALUE"""),"Drive-by Shooting")</f>
        <v>Drive-by Shooting</v>
      </c>
      <c r="X1116" s="1" t="str">
        <f ca="1">IFERROR(__xludf.DUMMYFUNCTION("""COMPUTED_VALUE"""),"Victims Targeted")</f>
        <v>Victims Targeted</v>
      </c>
      <c r="Y1116" s="1" t="str">
        <f ca="1">IFERROR(__xludf.DUMMYFUNCTION("""COMPUTED_VALUE"""),"No")</f>
        <v>No</v>
      </c>
      <c r="Z1116" s="1"/>
      <c r="AA1116" s="1" t="str">
        <f ca="1">IFERROR(__xludf.DUMMYFUNCTION("""COMPUTED_VALUE"""),"No")</f>
        <v>No</v>
      </c>
      <c r="AB1116" s="1" t="str">
        <f ca="1">IFERROR(__xludf.DUMMYFUNCTION("""COMPUTED_VALUE"""),"No")</f>
        <v>No</v>
      </c>
      <c r="AC1116" s="1" t="str">
        <f ca="1">IFERROR(__xludf.DUMMYFUNCTION("""COMPUTED_VALUE"""),"No")</f>
        <v>No</v>
      </c>
      <c r="AD1116" s="1" t="str">
        <f ca="1">IFERROR(__xludf.DUMMYFUNCTION("""COMPUTED_VALUE"""),"No")</f>
        <v>No</v>
      </c>
      <c r="AE1116" s="1" t="str">
        <f ca="1">IFERROR(__xludf.DUMMYFUNCTION("""COMPUTED_VALUE"""),"No")</f>
        <v>No</v>
      </c>
      <c r="AF1116" s="1" t="str">
        <f ca="1">IFERROR(__xludf.DUMMYFUNCTION("""COMPUTED_VALUE"""),"Yes")</f>
        <v>Yes</v>
      </c>
      <c r="AG1116" s="1" t="str">
        <f ca="1">IFERROR(__xludf.DUMMYFUNCTION("""COMPUTED_VALUE"""),"No")</f>
        <v>No</v>
      </c>
      <c r="AH1116" s="1">
        <f ca="1">IFERROR(__xludf.DUMMYFUNCTION("""COMPUTED_VALUE"""),10)</f>
        <v>10</v>
      </c>
    </row>
    <row r="1117" spans="1:34" ht="12.5">
      <c r="A1117" s="1" t="str">
        <f ca="1">IFERROR(__xludf.DUMMYFUNCTION("""COMPUTED_VALUE"""),"20191213VAMAN")</f>
        <v>20191213VAMAN</v>
      </c>
      <c r="B1117" s="1">
        <f ca="1">IFERROR(__xludf.DUMMYFUNCTION("""COMPUTED_VALUE"""),12)</f>
        <v>12</v>
      </c>
      <c r="C1117" s="1">
        <f ca="1">IFERROR(__xludf.DUMMYFUNCTION("""COMPUTED_VALUE"""),13)</f>
        <v>13</v>
      </c>
      <c r="D1117" s="1">
        <f ca="1">IFERROR(__xludf.DUMMYFUNCTION("""COMPUTED_VALUE"""),2019)</f>
        <v>2019</v>
      </c>
      <c r="E1117" s="4">
        <f ca="1">IFERROR(__xludf.DUMMYFUNCTION("""COMPUTED_VALUE"""),43812)</f>
        <v>43812</v>
      </c>
      <c r="F1117" s="1" t="str">
        <f ca="1">IFERROR(__xludf.DUMMYFUNCTION("""COMPUTED_VALUE"""),"Maury High School")</f>
        <v>Maury High School</v>
      </c>
      <c r="G1117" s="1">
        <f ca="1">IFERROR(__xludf.DUMMYFUNCTION("""COMPUTED_VALUE"""),0)</f>
        <v>0</v>
      </c>
      <c r="H1117" s="1">
        <f ca="1">IFERROR(__xludf.DUMMYFUNCTION("""COMPUTED_VALUE"""),0)</f>
        <v>0</v>
      </c>
      <c r="I1117" s="1">
        <f ca="1">IFERROR(__xludf.DUMMYFUNCTION("""COMPUTED_VALUE"""),0)</f>
        <v>0</v>
      </c>
      <c r="J1117" s="1">
        <f ca="1">IFERROR(__xludf.DUMMYFUNCTION("""COMPUTED_VALUE"""),0)</f>
        <v>0</v>
      </c>
      <c r="K1117" s="1" t="str">
        <f ca="1">IFERROR(__xludf.DUMMYFUNCTION("""COMPUTED_VALUE"""),"Winter")</f>
        <v>Winter</v>
      </c>
      <c r="L1117" s="1" t="str">
        <f ca="1">IFERROR(__xludf.DUMMYFUNCTION("""COMPUTED_VALUE"""),"Norfolk")</f>
        <v>Norfolk</v>
      </c>
      <c r="M1117" s="1" t="str">
        <f ca="1">IFERROR(__xludf.DUMMYFUNCTION("""COMPUTED_VALUE"""),"VA")</f>
        <v>VA</v>
      </c>
      <c r="N1117" s="1" t="str">
        <f ca="1">IFERROR(__xludf.DUMMYFUNCTION("""COMPUTED_VALUE"""),"High")</f>
        <v>High</v>
      </c>
      <c r="O1117" s="1" t="str">
        <f ca="1">IFERROR(__xludf.DUMMYFUNCTION("""COMPUTED_VALUE"""),"Classroom")</f>
        <v>Classroom</v>
      </c>
      <c r="P1117" s="1" t="str">
        <f ca="1">IFERROR(__xludf.DUMMYFUNCTION("""COMPUTED_VALUE"""),"Inside School Building")</f>
        <v>Inside School Building</v>
      </c>
      <c r="Q1117" s="1" t="str">
        <f ca="1">IFERROR(__xludf.DUMMYFUNCTION("""COMPUTED_VALUE"""),"Yes")</f>
        <v>Yes</v>
      </c>
      <c r="R1117" s="1" t="str">
        <f ca="1">IFERROR(__xludf.DUMMYFUNCTION("""COMPUTED_VALUE"""),"Afternoon Classes")</f>
        <v>Afternoon Classes</v>
      </c>
      <c r="S1117" s="5">
        <f ca="1">IFERROR(__xludf.DUMMYFUNCTION("""COMPUTED_VALUE"""),0.510416666666666)</f>
        <v>0.51041666666666596</v>
      </c>
      <c r="T1117" s="1">
        <f ca="1">IFERROR(__xludf.DUMMYFUNCTION("""COMPUTED_VALUE"""),1)</f>
        <v>1</v>
      </c>
      <c r="U1117" s="1" t="str">
        <f ca="1">IFERROR(__xludf.DUMMYFUNCTION("""COMPUTED_VALUE"""),"Student shot self in hand in classroom")</f>
        <v>Student shot self in hand in classroom</v>
      </c>
      <c r="V1117" s="1" t="str">
        <f ca="1">IFERROR(__xludf.DUMMYFUNCTION("""COMPUTED_VALUE"""),"17YOM student shot self in hand while playing with handgun during class. Second student took possession of the handgun after the shooting and was later arrested. School was locked down for 3 hours, searched, and then dismissed. Injured student was taken t"&amp;"o the hospital. Charges pending.")</f>
        <v>17YOM student shot self in hand while playing with handgun during class. Second student took possession of the handgun after the shooting and was later arrested. School was locked down for 3 hours, searched, and then dismissed. Injured student was taken to the hospital. Charges pending.</v>
      </c>
      <c r="W1117" s="1" t="str">
        <f ca="1">IFERROR(__xludf.DUMMYFUNCTION("""COMPUTED_VALUE"""),"Accidental")</f>
        <v>Accidental</v>
      </c>
      <c r="X1117" s="1" t="str">
        <f ca="1">IFERROR(__xludf.DUMMYFUNCTION("""COMPUTED_VALUE"""),"Neither")</f>
        <v>Neither</v>
      </c>
      <c r="Y1117" s="1" t="str">
        <f ca="1">IFERROR(__xludf.DUMMYFUNCTION("""COMPUTED_VALUE"""),"Yes")</f>
        <v>Yes</v>
      </c>
      <c r="Z1117" s="1" t="str">
        <f ca="1">IFERROR(__xludf.DUMMYFUNCTION("""COMPUTED_VALUE"""),"Second student took handgun following shooting")</f>
        <v>Second student took handgun following shooting</v>
      </c>
      <c r="AA1117" s="1" t="str">
        <f ca="1">IFERROR(__xludf.DUMMYFUNCTION("""COMPUTED_VALUE"""),"No")</f>
        <v>No</v>
      </c>
      <c r="AB1117" s="1" t="str">
        <f ca="1">IFERROR(__xludf.DUMMYFUNCTION("""COMPUTED_VALUE"""),"No")</f>
        <v>No</v>
      </c>
      <c r="AC1117" s="1" t="str">
        <f ca="1">IFERROR(__xludf.DUMMYFUNCTION("""COMPUTED_VALUE"""),"No")</f>
        <v>No</v>
      </c>
      <c r="AD1117" s="1" t="str">
        <f ca="1">IFERROR(__xludf.DUMMYFUNCTION("""COMPUTED_VALUE"""),"No")</f>
        <v>No</v>
      </c>
      <c r="AE1117" s="1" t="str">
        <f ca="1">IFERROR(__xludf.DUMMYFUNCTION("""COMPUTED_VALUE"""),"No")</f>
        <v>No</v>
      </c>
      <c r="AF1117" s="1" t="str">
        <f ca="1">IFERROR(__xludf.DUMMYFUNCTION("""COMPUTED_VALUE"""),"No")</f>
        <v>No</v>
      </c>
      <c r="AG1117" s="1" t="str">
        <f ca="1">IFERROR(__xludf.DUMMYFUNCTION("""COMPUTED_VALUE"""),"No")</f>
        <v>No</v>
      </c>
      <c r="AH1117" s="1">
        <f ca="1">IFERROR(__xludf.DUMMYFUNCTION("""COMPUTED_VALUE"""),1)</f>
        <v>1</v>
      </c>
    </row>
    <row r="1118" spans="1:34" ht="12.5">
      <c r="A1118" s="1" t="str">
        <f ca="1">IFERROR(__xludf.DUMMYFUNCTION("""COMPUTED_VALUE"""),"20191211KSCHT")</f>
        <v>20191211KSCHT</v>
      </c>
      <c r="B1118" s="1">
        <f ca="1">IFERROR(__xludf.DUMMYFUNCTION("""COMPUTED_VALUE"""),12)</f>
        <v>12</v>
      </c>
      <c r="C1118" s="1">
        <f ca="1">IFERROR(__xludf.DUMMYFUNCTION("""COMPUTED_VALUE"""),11)</f>
        <v>11</v>
      </c>
      <c r="D1118" s="1">
        <f ca="1">IFERROR(__xludf.DUMMYFUNCTION("""COMPUTED_VALUE"""),2019)</f>
        <v>2019</v>
      </c>
      <c r="E1118" s="4">
        <f ca="1">IFERROR(__xludf.DUMMYFUNCTION("""COMPUTED_VALUE"""),43810)</f>
        <v>43810</v>
      </c>
      <c r="F1118" s="1" t="str">
        <f ca="1">IFERROR(__xludf.DUMMYFUNCTION("""COMPUTED_VALUE"""),"Chase Middle School")</f>
        <v>Chase Middle School</v>
      </c>
      <c r="G1118" s="1">
        <f ca="1">IFERROR(__xludf.DUMMYFUNCTION("""COMPUTED_VALUE"""),0)</f>
        <v>0</v>
      </c>
      <c r="H1118" s="1">
        <f ca="1">IFERROR(__xludf.DUMMYFUNCTION("""COMPUTED_VALUE"""),0)</f>
        <v>0</v>
      </c>
      <c r="I1118" s="1">
        <f ca="1">IFERROR(__xludf.DUMMYFUNCTION("""COMPUTED_VALUE"""),0)</f>
        <v>0</v>
      </c>
      <c r="J1118" s="1">
        <f ca="1">IFERROR(__xludf.DUMMYFUNCTION("""COMPUTED_VALUE"""),0)</f>
        <v>0</v>
      </c>
      <c r="K1118" s="1" t="str">
        <f ca="1">IFERROR(__xludf.DUMMYFUNCTION("""COMPUTED_VALUE"""),"Winter")</f>
        <v>Winter</v>
      </c>
      <c r="L1118" s="1" t="str">
        <f ca="1">IFERROR(__xludf.DUMMYFUNCTION("""COMPUTED_VALUE"""),"Topeka")</f>
        <v>Topeka</v>
      </c>
      <c r="M1118" s="1" t="str">
        <f ca="1">IFERROR(__xludf.DUMMYFUNCTION("""COMPUTED_VALUE"""),"KS")</f>
        <v>KS</v>
      </c>
      <c r="N1118" s="1" t="str">
        <f ca="1">IFERROR(__xludf.DUMMYFUNCTION("""COMPUTED_VALUE"""),"Middle")</f>
        <v>Middle</v>
      </c>
      <c r="O1118" s="1" t="str">
        <f ca="1">IFERROR(__xludf.DUMMYFUNCTION("""COMPUTED_VALUE"""),"School Bus")</f>
        <v>School Bus</v>
      </c>
      <c r="P1118" s="1" t="str">
        <f ca="1">IFERROR(__xludf.DUMMYFUNCTION("""COMPUTED_VALUE"""),"School Bus")</f>
        <v>School Bus</v>
      </c>
      <c r="Q1118" s="1" t="str">
        <f ca="1">IFERROR(__xludf.DUMMYFUNCTION("""COMPUTED_VALUE"""),"Yes")</f>
        <v>Yes</v>
      </c>
      <c r="R1118" s="1" t="str">
        <f ca="1">IFERROR(__xludf.DUMMYFUNCTION("""COMPUTED_VALUE"""),"Dismissal")</f>
        <v>Dismissal</v>
      </c>
      <c r="S1118" s="5">
        <f ca="1">IFERROR(__xludf.DUMMYFUNCTION("""COMPUTED_VALUE"""),0.635416666666666)</f>
        <v>0.63541666666666596</v>
      </c>
      <c r="T1118" s="1">
        <f ca="1">IFERROR(__xludf.DUMMYFUNCTION("""COMPUTED_VALUE"""),1)</f>
        <v>1</v>
      </c>
      <c r="U1118" s="1" t="str">
        <f ca="1">IFERROR(__xludf.DUMMYFUNCTION("""COMPUTED_VALUE"""),"Bus shot with multiple BBs with students onboard")</f>
        <v>Bus shot with multiple BBs with students onboard</v>
      </c>
      <c r="V1118" s="1" t="str">
        <f ca="1">IFERROR(__xludf.DUMMYFUNCTION("""COMPUTED_VALUE"""),"School bus with 33 students onboard was shot multiple times with BBs. Bus drive drove to the police station for assistance. No injuries. Unnamed suspect arrested.")</f>
        <v>School bus with 33 students onboard was shot multiple times with BBs. Bus drive drove to the police station for assistance. No injuries. Unnamed suspect arrested.</v>
      </c>
      <c r="W1118" s="1" t="str">
        <f ca="1">IFERROR(__xludf.DUMMYFUNCTION("""COMPUTED_VALUE"""),"Unknown")</f>
        <v>Unknown</v>
      </c>
      <c r="X1118" s="1"/>
      <c r="Y1118" s="1" t="str">
        <f ca="1">IFERROR(__xludf.DUMMYFUNCTION("""COMPUTED_VALUE"""),"No")</f>
        <v>No</v>
      </c>
      <c r="Z1118" s="1"/>
      <c r="AA1118" s="1" t="str">
        <f ca="1">IFERROR(__xludf.DUMMYFUNCTION("""COMPUTED_VALUE"""),"No")</f>
        <v>No</v>
      </c>
      <c r="AB1118" s="1" t="str">
        <f ca="1">IFERROR(__xludf.DUMMYFUNCTION("""COMPUTED_VALUE"""),"No")</f>
        <v>No</v>
      </c>
      <c r="AC1118" s="1" t="str">
        <f ca="1">IFERROR(__xludf.DUMMYFUNCTION("""COMPUTED_VALUE"""),"No")</f>
        <v>No</v>
      </c>
      <c r="AD1118" s="1" t="str">
        <f ca="1">IFERROR(__xludf.DUMMYFUNCTION("""COMPUTED_VALUE"""),"No")</f>
        <v>No</v>
      </c>
      <c r="AE1118" s="1" t="str">
        <f ca="1">IFERROR(__xludf.DUMMYFUNCTION("""COMPUTED_VALUE"""),"No")</f>
        <v>No</v>
      </c>
      <c r="AF1118" s="1" t="str">
        <f ca="1">IFERROR(__xludf.DUMMYFUNCTION("""COMPUTED_VALUE"""),"No")</f>
        <v>No</v>
      </c>
      <c r="AG1118" s="1" t="str">
        <f ca="1">IFERROR(__xludf.DUMMYFUNCTION("""COMPUTED_VALUE"""),"No")</f>
        <v>No</v>
      </c>
      <c r="AH1118" s="1" t="str">
        <f ca="1">IFERROR(__xludf.DUMMYFUNCTION("""COMPUTED_VALUE"""),"&lt;10")</f>
        <v>&lt;10</v>
      </c>
    </row>
    <row r="1119" spans="1:34" ht="12.5">
      <c r="A1119" s="1" t="str">
        <f ca="1">IFERROR(__xludf.DUMMYFUNCTION("""COMPUTED_VALUE"""),"20191211INEVE")</f>
        <v>20191211INEVE</v>
      </c>
      <c r="B1119" s="1">
        <f ca="1">IFERROR(__xludf.DUMMYFUNCTION("""COMPUTED_VALUE"""),12)</f>
        <v>12</v>
      </c>
      <c r="C1119" s="1">
        <f ca="1">IFERROR(__xludf.DUMMYFUNCTION("""COMPUTED_VALUE"""),11)</f>
        <v>11</v>
      </c>
      <c r="D1119" s="1">
        <f ca="1">IFERROR(__xludf.DUMMYFUNCTION("""COMPUTED_VALUE"""),2019)</f>
        <v>2019</v>
      </c>
      <c r="E1119" s="4">
        <f ca="1">IFERROR(__xludf.DUMMYFUNCTION("""COMPUTED_VALUE"""),43810)</f>
        <v>43810</v>
      </c>
      <c r="F1119" s="1" t="str">
        <f ca="1">IFERROR(__xludf.DUMMYFUNCTION("""COMPUTED_VALUE"""),"Evans Elementary School")</f>
        <v>Evans Elementary School</v>
      </c>
      <c r="G1119" s="1">
        <f ca="1">IFERROR(__xludf.DUMMYFUNCTION("""COMPUTED_VALUE"""),0)</f>
        <v>0</v>
      </c>
      <c r="H1119" s="1">
        <f ca="1">IFERROR(__xludf.DUMMYFUNCTION("""COMPUTED_VALUE"""),0)</f>
        <v>0</v>
      </c>
      <c r="I1119" s="1">
        <f ca="1">IFERROR(__xludf.DUMMYFUNCTION("""COMPUTED_VALUE"""),0)</f>
        <v>0</v>
      </c>
      <c r="J1119" s="1">
        <f ca="1">IFERROR(__xludf.DUMMYFUNCTION("""COMPUTED_VALUE"""),0)</f>
        <v>0</v>
      </c>
      <c r="K1119" s="1" t="str">
        <f ca="1">IFERROR(__xludf.DUMMYFUNCTION("""COMPUTED_VALUE"""),"Winter")</f>
        <v>Winter</v>
      </c>
      <c r="L1119" s="1" t="str">
        <f ca="1">IFERROR(__xludf.DUMMYFUNCTION("""COMPUTED_VALUE"""),"Evansville")</f>
        <v>Evansville</v>
      </c>
      <c r="M1119" s="1" t="str">
        <f ca="1">IFERROR(__xludf.DUMMYFUNCTION("""COMPUTED_VALUE"""),"IN")</f>
        <v>IN</v>
      </c>
      <c r="N1119" s="1" t="str">
        <f ca="1">IFERROR(__xludf.DUMMYFUNCTION("""COMPUTED_VALUE"""),"Elementary")</f>
        <v>Elementary</v>
      </c>
      <c r="O1119" s="1" t="str">
        <f ca="1">IFERROR(__xludf.DUMMYFUNCTION("""COMPUTED_VALUE"""),"School Bus")</f>
        <v>School Bus</v>
      </c>
      <c r="P1119" s="1" t="str">
        <f ca="1">IFERROR(__xludf.DUMMYFUNCTION("""COMPUTED_VALUE"""),"School Bus")</f>
        <v>School Bus</v>
      </c>
      <c r="Q1119" s="1" t="str">
        <f ca="1">IFERROR(__xludf.DUMMYFUNCTION("""COMPUTED_VALUE"""),"No")</f>
        <v>No</v>
      </c>
      <c r="R1119" s="1" t="str">
        <f ca="1">IFERROR(__xludf.DUMMYFUNCTION("""COMPUTED_VALUE"""),"After School")</f>
        <v>After School</v>
      </c>
      <c r="S1119" s="5">
        <f ca="1">IFERROR(__xludf.DUMMYFUNCTION("""COMPUTED_VALUE"""),0.625)</f>
        <v>0.625</v>
      </c>
      <c r="T1119" s="1">
        <f ca="1">IFERROR(__xludf.DUMMYFUNCTION("""COMPUTED_VALUE"""),1)</f>
        <v>1</v>
      </c>
      <c r="U1119" s="1" t="str">
        <f ca="1">IFERROR(__xludf.DUMMYFUNCTION("""COMPUTED_VALUE"""),"BB shattered school bus window while driving")</f>
        <v>BB shattered school bus window while driving</v>
      </c>
      <c r="V1119" s="1" t="str">
        <f ca="1">IFERROR(__xludf.DUMMYFUNCTION("""COMPUTED_VALUE"""),"Bus driver reported that BB shattered school bus window while driving. No students on the bus when the incident occured.")</f>
        <v>Bus driver reported that BB shattered school bus window while driving. No students on the bus when the incident occured.</v>
      </c>
      <c r="W1119" s="1" t="str">
        <f ca="1">IFERROR(__xludf.DUMMYFUNCTION("""COMPUTED_VALUE"""),"Unknown")</f>
        <v>Unknown</v>
      </c>
      <c r="X1119" s="1"/>
      <c r="Y1119" s="1" t="str">
        <f ca="1">IFERROR(__xludf.DUMMYFUNCTION("""COMPUTED_VALUE"""),"No")</f>
        <v>No</v>
      </c>
      <c r="Z1119" s="1"/>
      <c r="AA1119" s="1" t="str">
        <f ca="1">IFERROR(__xludf.DUMMYFUNCTION("""COMPUTED_VALUE"""),"No")</f>
        <v>No</v>
      </c>
      <c r="AB1119" s="1" t="str">
        <f ca="1">IFERROR(__xludf.DUMMYFUNCTION("""COMPUTED_VALUE"""),"No")</f>
        <v>No</v>
      </c>
      <c r="AC1119" s="1" t="str">
        <f ca="1">IFERROR(__xludf.DUMMYFUNCTION("""COMPUTED_VALUE"""),"No")</f>
        <v>No</v>
      </c>
      <c r="AD1119" s="1" t="str">
        <f ca="1">IFERROR(__xludf.DUMMYFUNCTION("""COMPUTED_VALUE"""),"No")</f>
        <v>No</v>
      </c>
      <c r="AE1119" s="1" t="str">
        <f ca="1">IFERROR(__xludf.DUMMYFUNCTION("""COMPUTED_VALUE"""),"No")</f>
        <v>No</v>
      </c>
      <c r="AF1119" s="1" t="str">
        <f ca="1">IFERROR(__xludf.DUMMYFUNCTION("""COMPUTED_VALUE"""),"No")</f>
        <v>No</v>
      </c>
      <c r="AG1119" s="1" t="str">
        <f ca="1">IFERROR(__xludf.DUMMYFUNCTION("""COMPUTED_VALUE"""),"No")</f>
        <v>No</v>
      </c>
      <c r="AH1119" s="1"/>
    </row>
    <row r="1120" spans="1:34" ht="12.5">
      <c r="A1120" s="1" t="str">
        <f ca="1">IFERROR(__xludf.DUMMYFUNCTION("""COMPUTED_VALUE"""),"20191210NJSAJ")</f>
        <v>20191210NJSAJ</v>
      </c>
      <c r="B1120" s="1">
        <f ca="1">IFERROR(__xludf.DUMMYFUNCTION("""COMPUTED_VALUE"""),12)</f>
        <v>12</v>
      </c>
      <c r="C1120" s="1">
        <f ca="1">IFERROR(__xludf.DUMMYFUNCTION("""COMPUTED_VALUE"""),10)</f>
        <v>10</v>
      </c>
      <c r="D1120" s="1">
        <f ca="1">IFERROR(__xludf.DUMMYFUNCTION("""COMPUTED_VALUE"""),2019)</f>
        <v>2019</v>
      </c>
      <c r="E1120" s="4">
        <f ca="1">IFERROR(__xludf.DUMMYFUNCTION("""COMPUTED_VALUE"""),43809)</f>
        <v>43809</v>
      </c>
      <c r="F1120" s="1" t="str">
        <f ca="1">IFERROR(__xludf.DUMMYFUNCTION("""COMPUTED_VALUE"""),"Sacred Heart School")</f>
        <v>Sacred Heart School</v>
      </c>
      <c r="G1120" s="1">
        <f ca="1">IFERROR(__xludf.DUMMYFUNCTION("""COMPUTED_VALUE"""),0)</f>
        <v>0</v>
      </c>
      <c r="H1120" s="1">
        <f ca="1">IFERROR(__xludf.DUMMYFUNCTION("""COMPUTED_VALUE"""),0)</f>
        <v>0</v>
      </c>
      <c r="I1120" s="1">
        <f ca="1">IFERROR(__xludf.DUMMYFUNCTION("""COMPUTED_VALUE"""),0)</f>
        <v>0</v>
      </c>
      <c r="J1120" s="1">
        <f ca="1">IFERROR(__xludf.DUMMYFUNCTION("""COMPUTED_VALUE"""),0)</f>
        <v>0</v>
      </c>
      <c r="K1120" s="1" t="str">
        <f ca="1">IFERROR(__xludf.DUMMYFUNCTION("""COMPUTED_VALUE"""),"Winter")</f>
        <v>Winter</v>
      </c>
      <c r="L1120" s="1" t="str">
        <f ca="1">IFERROR(__xludf.DUMMYFUNCTION("""COMPUTED_VALUE"""),"Jersey City")</f>
        <v>Jersey City</v>
      </c>
      <c r="M1120" s="1" t="str">
        <f ca="1">IFERROR(__xludf.DUMMYFUNCTION("""COMPUTED_VALUE"""),"NJ")</f>
        <v>NJ</v>
      </c>
      <c r="N1120" s="1" t="str">
        <f ca="1">IFERROR(__xludf.DUMMYFUNCTION("""COMPUTED_VALUE"""),"K-8")</f>
        <v>K-8</v>
      </c>
      <c r="O1120" s="1" t="str">
        <f ca="1">IFERROR(__xludf.DUMMYFUNCTION("""COMPUTED_VALUE"""),"Off School Property")</f>
        <v>Off School Property</v>
      </c>
      <c r="P1120" s="1" t="str">
        <f ca="1">IFERROR(__xludf.DUMMYFUNCTION("""COMPUTED_VALUE"""),"Off School Property")</f>
        <v>Off School Property</v>
      </c>
      <c r="Q1120" s="1" t="str">
        <f ca="1">IFERROR(__xludf.DUMMYFUNCTION("""COMPUTED_VALUE"""),"Yes")</f>
        <v>Yes</v>
      </c>
      <c r="R1120" s="1" t="str">
        <f ca="1">IFERROR(__xludf.DUMMYFUNCTION("""COMPUTED_VALUE"""),"Afternoon Classes")</f>
        <v>Afternoon Classes</v>
      </c>
      <c r="S1120" s="5">
        <f ca="1">IFERROR(__xludf.DUMMYFUNCTION("""COMPUTED_VALUE"""),0.520833333333333)</f>
        <v>0.52083333333333304</v>
      </c>
      <c r="T1120" s="1">
        <f ca="1">IFERROR(__xludf.DUMMYFUNCTION("""COMPUTED_VALUE"""),60)</f>
        <v>60</v>
      </c>
      <c r="U1120" s="1" t="str">
        <f ca="1">IFERROR(__xludf.DUMMYFUNCTION("""COMPUTED_VALUE"""),"Attack on Jewish Grocery Store across the street from school, multiple shots struck school building")</f>
        <v>Attack on Jewish Grocery Store across the street from school, multiple shots struck school building</v>
      </c>
      <c r="V1120" s="1" t="str">
        <f ca="1">IFERROR(__xludf.DUMMYFUNCTION("""COMPUTED_VALUE"""),"Police officer attempted to stop two murder suspects 1 mile from the school. The suspects shot and killed him. The 2 suspects with multiple weapons fled the area and then attacked a Jewish Grocery Store across the street from the school killing the owner "&amp;"and 2 customers. Possible terrorism nexus/hate-crime. Suspects barricaded themselves inside the store for 1 hour during gun battle with police. During shootout with police, multiple shots struck the school building breaking windows. School was locked down"&amp;" during the shooting and closed the following day. 200 students were inside the school.")</f>
        <v>Police officer attempted to stop two murder suspects 1 mile from the school. The suspects shot and killed him. The 2 suspects with multiple weapons fled the area and then attacked a Jewish Grocery Store across the street from the school killing the owner and 2 customers. Possible terrorism nexus/hate-crime. Suspects barricaded themselves inside the store for 1 hour during gun battle with police. During shootout with police, multiple shots struck the school building breaking windows. School was locked down during the shooting and closed the following day. 200 students were inside the school.</v>
      </c>
      <c r="W1120" s="1" t="str">
        <f ca="1">IFERROR(__xludf.DUMMYFUNCTION("""COMPUTED_VALUE"""),"Indiscriminate Shooting")</f>
        <v>Indiscriminate Shooting</v>
      </c>
      <c r="X1120" s="1" t="str">
        <f ca="1">IFERROR(__xludf.DUMMYFUNCTION("""COMPUTED_VALUE"""),"Neither")</f>
        <v>Neither</v>
      </c>
      <c r="Y1120" s="1" t="str">
        <f ca="1">IFERROR(__xludf.DUMMYFUNCTION("""COMPUTED_VALUE"""),"Yes")</f>
        <v>Yes</v>
      </c>
      <c r="Z1120" s="1" t="str">
        <f ca="1">IFERROR(__xludf.DUMMYFUNCTION("""COMPUTED_VALUE"""),"Husband and wife")</f>
        <v>Husband and wife</v>
      </c>
      <c r="AA1120" s="1" t="str">
        <f ca="1">IFERROR(__xludf.DUMMYFUNCTION("""COMPUTED_VALUE"""),"No")</f>
        <v>No</v>
      </c>
      <c r="AB1120" s="1" t="str">
        <f ca="1">IFERROR(__xludf.DUMMYFUNCTION("""COMPUTED_VALUE"""),"Yes")</f>
        <v>Yes</v>
      </c>
      <c r="AC1120" s="1" t="str">
        <f ca="1">IFERROR(__xludf.DUMMYFUNCTION("""COMPUTED_VALUE"""),"No")</f>
        <v>No</v>
      </c>
      <c r="AD1120" s="1" t="str">
        <f ca="1">IFERROR(__xludf.DUMMYFUNCTION("""COMPUTED_VALUE"""),"No")</f>
        <v>No</v>
      </c>
      <c r="AE1120" s="1" t="str">
        <f ca="1">IFERROR(__xludf.DUMMYFUNCTION("""COMPUTED_VALUE"""),"No")</f>
        <v>No</v>
      </c>
      <c r="AF1120" s="1" t="str">
        <f ca="1">IFERROR(__xludf.DUMMYFUNCTION("""COMPUTED_VALUE"""),"No")</f>
        <v>No</v>
      </c>
      <c r="AG1120" s="1" t="str">
        <f ca="1">IFERROR(__xludf.DUMMYFUNCTION("""COMPUTED_VALUE"""),"Yes")</f>
        <v>Yes</v>
      </c>
      <c r="AH1120" s="1" t="str">
        <f ca="1">IFERROR(__xludf.DUMMYFUNCTION("""COMPUTED_VALUE"""),"&gt;100")</f>
        <v>&gt;100</v>
      </c>
    </row>
    <row r="1121" spans="1:34" ht="12.5">
      <c r="A1121" s="1" t="str">
        <f ca="1">IFERROR(__xludf.DUMMYFUNCTION("""COMPUTED_VALUE"""),"20191210KSJCK")</f>
        <v>20191210KSJCK</v>
      </c>
      <c r="B1121" s="1">
        <f ca="1">IFERROR(__xludf.DUMMYFUNCTION("""COMPUTED_VALUE"""),12)</f>
        <v>12</v>
      </c>
      <c r="C1121" s="1">
        <f ca="1">IFERROR(__xludf.DUMMYFUNCTION("""COMPUTED_VALUE"""),10)</f>
        <v>10</v>
      </c>
      <c r="D1121" s="1">
        <f ca="1">IFERROR(__xludf.DUMMYFUNCTION("""COMPUTED_VALUE"""),2019)</f>
        <v>2019</v>
      </c>
      <c r="E1121" s="4">
        <f ca="1">IFERROR(__xludf.DUMMYFUNCTION("""COMPUTED_VALUE"""),43809)</f>
        <v>43809</v>
      </c>
      <c r="F1121" s="1" t="str">
        <f ca="1">IFERROR(__xludf.DUMMYFUNCTION("""COMPUTED_VALUE"""),"J C Harmon High School")</f>
        <v>J C Harmon High School</v>
      </c>
      <c r="G1121" s="1">
        <f ca="1">IFERROR(__xludf.DUMMYFUNCTION("""COMPUTED_VALUE"""),0)</f>
        <v>0</v>
      </c>
      <c r="H1121" s="1">
        <f ca="1">IFERROR(__xludf.DUMMYFUNCTION("""COMPUTED_VALUE"""),0)</f>
        <v>0</v>
      </c>
      <c r="I1121" s="1">
        <f ca="1">IFERROR(__xludf.DUMMYFUNCTION("""COMPUTED_VALUE"""),0)</f>
        <v>0</v>
      </c>
      <c r="J1121" s="1">
        <f ca="1">IFERROR(__xludf.DUMMYFUNCTION("""COMPUTED_VALUE"""),0)</f>
        <v>0</v>
      </c>
      <c r="K1121" s="1" t="str">
        <f ca="1">IFERROR(__xludf.DUMMYFUNCTION("""COMPUTED_VALUE"""),"Winter")</f>
        <v>Winter</v>
      </c>
      <c r="L1121" s="1" t="str">
        <f ca="1">IFERROR(__xludf.DUMMYFUNCTION("""COMPUTED_VALUE"""),"Kansas City")</f>
        <v>Kansas City</v>
      </c>
      <c r="M1121" s="1" t="str">
        <f ca="1">IFERROR(__xludf.DUMMYFUNCTION("""COMPUTED_VALUE"""),"KS")</f>
        <v>KS</v>
      </c>
      <c r="N1121" s="1" t="str">
        <f ca="1">IFERROR(__xludf.DUMMYFUNCTION("""COMPUTED_VALUE"""),"High")</f>
        <v>High</v>
      </c>
      <c r="O1121" s="1" t="str">
        <f ca="1">IFERROR(__xludf.DUMMYFUNCTION("""COMPUTED_VALUE"""),"Parking Lot (Bus)")</f>
        <v>Parking Lot (Bus)</v>
      </c>
      <c r="P1121" s="1" t="str">
        <f ca="1">IFERROR(__xludf.DUMMYFUNCTION("""COMPUTED_VALUE"""),"Off School Property")</f>
        <v>Off School Property</v>
      </c>
      <c r="Q1121" s="1" t="str">
        <f ca="1">IFERROR(__xludf.DUMMYFUNCTION("""COMPUTED_VALUE"""),"Yes")</f>
        <v>Yes</v>
      </c>
      <c r="R1121" s="1" t="str">
        <f ca="1">IFERROR(__xludf.DUMMYFUNCTION("""COMPUTED_VALUE"""),"Dismissal")</f>
        <v>Dismissal</v>
      </c>
      <c r="S1121" s="5">
        <f ca="1">IFERROR(__xludf.DUMMYFUNCTION("""COMPUTED_VALUE"""),0.583333333333333)</f>
        <v>0.58333333333333304</v>
      </c>
      <c r="T1121" s="1">
        <f ca="1">IFERROR(__xludf.DUMMYFUNCTION("""COMPUTED_VALUE"""),1)</f>
        <v>1</v>
      </c>
      <c r="U1121" s="1" t="str">
        <f ca="1">IFERROR(__xludf.DUMMYFUNCTION("""COMPUTED_VALUE"""),"School bus hit in school parking lot during drive by shooting")</f>
        <v>School bus hit in school parking lot during drive by shooting</v>
      </c>
      <c r="V1121" s="1" t="str">
        <f ca="1">IFERROR(__xludf.DUMMYFUNCTION("""COMPUTED_VALUE"""),"10 shots fired during drive by shooting outside of high school. School bus was struck one time. A student and teacher were on the bus during the shooting. Shooter fled the area. No injuries. School locked down.")</f>
        <v>10 shots fired during drive by shooting outside of high school. School bus was struck one time. A student and teacher were on the bus during the shooting. Shooter fled the area. No injuries. School locked down.</v>
      </c>
      <c r="W1121" s="1" t="str">
        <f ca="1">IFERROR(__xludf.DUMMYFUNCTION("""COMPUTED_VALUE"""),"Drive-by Shooting")</f>
        <v>Drive-by Shooting</v>
      </c>
      <c r="X1121" s="1"/>
      <c r="Y1121" s="1"/>
      <c r="Z1121" s="1"/>
      <c r="AA1121" s="1" t="str">
        <f ca="1">IFERROR(__xludf.DUMMYFUNCTION("""COMPUTED_VALUE"""),"No")</f>
        <v>No</v>
      </c>
      <c r="AB1121" s="1" t="str">
        <f ca="1">IFERROR(__xludf.DUMMYFUNCTION("""COMPUTED_VALUE"""),"No")</f>
        <v>No</v>
      </c>
      <c r="AC1121" s="1" t="str">
        <f ca="1">IFERROR(__xludf.DUMMYFUNCTION("""COMPUTED_VALUE"""),"No")</f>
        <v>No</v>
      </c>
      <c r="AD1121" s="1" t="str">
        <f ca="1">IFERROR(__xludf.DUMMYFUNCTION("""COMPUTED_VALUE"""),"No")</f>
        <v>No</v>
      </c>
      <c r="AE1121" s="1" t="str">
        <f ca="1">IFERROR(__xludf.DUMMYFUNCTION("""COMPUTED_VALUE"""),"No")</f>
        <v>No</v>
      </c>
      <c r="AF1121" s="1"/>
      <c r="AG1121" s="1" t="str">
        <f ca="1">IFERROR(__xludf.DUMMYFUNCTION("""COMPUTED_VALUE"""),"No")</f>
        <v>No</v>
      </c>
      <c r="AH1121" s="1">
        <f ca="1">IFERROR(__xludf.DUMMYFUNCTION("""COMPUTED_VALUE"""),10)</f>
        <v>10</v>
      </c>
    </row>
    <row r="1122" spans="1:34" ht="12.5">
      <c r="A1122" s="1" t="str">
        <f ca="1">IFERROR(__xludf.DUMMYFUNCTION("""COMPUTED_VALUE"""),"20191210ALDED")</f>
        <v>20191210ALDED</v>
      </c>
      <c r="B1122" s="1">
        <f ca="1">IFERROR(__xludf.DUMMYFUNCTION("""COMPUTED_VALUE"""),12)</f>
        <v>12</v>
      </c>
      <c r="C1122" s="1">
        <f ca="1">IFERROR(__xludf.DUMMYFUNCTION("""COMPUTED_VALUE"""),10)</f>
        <v>10</v>
      </c>
      <c r="D1122" s="1">
        <f ca="1">IFERROR(__xludf.DUMMYFUNCTION("""COMPUTED_VALUE"""),2019)</f>
        <v>2019</v>
      </c>
      <c r="E1122" s="4">
        <f ca="1">IFERROR(__xludf.DUMMYFUNCTION("""COMPUTED_VALUE"""),43809)</f>
        <v>43809</v>
      </c>
      <c r="F1122" s="1" t="str">
        <f ca="1">IFERROR(__xludf.DUMMYFUNCTION("""COMPUTED_VALUE"""),"Decatur High School")</f>
        <v>Decatur High School</v>
      </c>
      <c r="G1122" s="1">
        <f ca="1">IFERROR(__xludf.DUMMYFUNCTION("""COMPUTED_VALUE"""),0)</f>
        <v>0</v>
      </c>
      <c r="H1122" s="1">
        <f ca="1">IFERROR(__xludf.DUMMYFUNCTION("""COMPUTED_VALUE"""),0)</f>
        <v>0</v>
      </c>
      <c r="I1122" s="1">
        <f ca="1">IFERROR(__xludf.DUMMYFUNCTION("""COMPUTED_VALUE"""),0)</f>
        <v>0</v>
      </c>
      <c r="J1122" s="1">
        <f ca="1">IFERROR(__xludf.DUMMYFUNCTION("""COMPUTED_VALUE"""),0)</f>
        <v>0</v>
      </c>
      <c r="K1122" s="1" t="str">
        <f ca="1">IFERROR(__xludf.DUMMYFUNCTION("""COMPUTED_VALUE"""),"Winter")</f>
        <v>Winter</v>
      </c>
      <c r="L1122" s="1" t="str">
        <f ca="1">IFERROR(__xludf.DUMMYFUNCTION("""COMPUTED_VALUE"""),"Decatur")</f>
        <v>Decatur</v>
      </c>
      <c r="M1122" s="1" t="str">
        <f ca="1">IFERROR(__xludf.DUMMYFUNCTION("""COMPUTED_VALUE"""),"AL")</f>
        <v>AL</v>
      </c>
      <c r="N1122" s="1" t="str">
        <f ca="1">IFERROR(__xludf.DUMMYFUNCTION("""COMPUTED_VALUE"""),"High")</f>
        <v>High</v>
      </c>
      <c r="O1122" s="1" t="str">
        <f ca="1">IFERROR(__xludf.DUMMYFUNCTION("""COMPUTED_VALUE"""),"Parking Lot")</f>
        <v>Parking Lot</v>
      </c>
      <c r="P1122" s="1" t="str">
        <f ca="1">IFERROR(__xludf.DUMMYFUNCTION("""COMPUTED_VALUE"""),"Outside on School Property")</f>
        <v>Outside on School Property</v>
      </c>
      <c r="Q1122" s="1" t="str">
        <f ca="1">IFERROR(__xludf.DUMMYFUNCTION("""COMPUTED_VALUE"""),"Yes")</f>
        <v>Yes</v>
      </c>
      <c r="R1122" s="1" t="str">
        <f ca="1">IFERROR(__xludf.DUMMYFUNCTION("""COMPUTED_VALUE"""),"School Start")</f>
        <v>School Start</v>
      </c>
      <c r="S1122" s="5">
        <f ca="1">IFERROR(__xludf.DUMMYFUNCTION("""COMPUTED_VALUE"""),0.347222222222222)</f>
        <v>0.34722222222222199</v>
      </c>
      <c r="T1122" s="1">
        <f ca="1">IFERROR(__xludf.DUMMYFUNCTION("""COMPUTED_VALUE"""),1)</f>
        <v>1</v>
      </c>
      <c r="U1122" s="1" t="str">
        <f ca="1">IFERROR(__xludf.DUMMYFUNCTION("""COMPUTED_VALUE"""),"Man fired shots into the air in the school parking lot following dispute with girlfriend")</f>
        <v>Man fired shots into the air in the school parking lot following dispute with girlfriend</v>
      </c>
      <c r="V1122" s="1" t="str">
        <f ca="1">IFERROR(__xludf.DUMMYFUNCTION("""COMPUTED_VALUE"""),"20YOM fired multiple shots into the air during a dispute with his ex-girlfriend (current student) then fled the campus.")</f>
        <v>20YOM fired multiple shots into the air during a dispute with his ex-girlfriend (current student) then fled the campus.</v>
      </c>
      <c r="W1122" s="1" t="str">
        <f ca="1">IFERROR(__xludf.DUMMYFUNCTION("""COMPUTED_VALUE"""),"Domestic w/ Targeted Victim")</f>
        <v>Domestic w/ Targeted Victim</v>
      </c>
      <c r="X1122" s="1" t="str">
        <f ca="1">IFERROR(__xludf.DUMMYFUNCTION("""COMPUTED_VALUE"""),"Victims Targeted")</f>
        <v>Victims Targeted</v>
      </c>
      <c r="Y1122" s="1" t="str">
        <f ca="1">IFERROR(__xludf.DUMMYFUNCTION("""COMPUTED_VALUE"""),"No")</f>
        <v>No</v>
      </c>
      <c r="Z1122" s="1"/>
      <c r="AA1122" s="1" t="str">
        <f ca="1">IFERROR(__xludf.DUMMYFUNCTION("""COMPUTED_VALUE"""),"No")</f>
        <v>No</v>
      </c>
      <c r="AB1122" s="1" t="str">
        <f ca="1">IFERROR(__xludf.DUMMYFUNCTION("""COMPUTED_VALUE"""),"No")</f>
        <v>No</v>
      </c>
      <c r="AC1122" s="1" t="str">
        <f ca="1">IFERROR(__xludf.DUMMYFUNCTION("""COMPUTED_VALUE"""),"No")</f>
        <v>No</v>
      </c>
      <c r="AD1122" s="1" t="str">
        <f ca="1">IFERROR(__xludf.DUMMYFUNCTION("""COMPUTED_VALUE"""),"No")</f>
        <v>No</v>
      </c>
      <c r="AE1122" s="1" t="str">
        <f ca="1">IFERROR(__xludf.DUMMYFUNCTION("""COMPUTED_VALUE"""),"Yes")</f>
        <v>Yes</v>
      </c>
      <c r="AF1122" s="1" t="str">
        <f ca="1">IFERROR(__xludf.DUMMYFUNCTION("""COMPUTED_VALUE"""),"No")</f>
        <v>No</v>
      </c>
      <c r="AG1122" s="1" t="str">
        <f ca="1">IFERROR(__xludf.DUMMYFUNCTION("""COMPUTED_VALUE"""),"No")</f>
        <v>No</v>
      </c>
      <c r="AH1122" s="1" t="str">
        <f ca="1">IFERROR(__xludf.DUMMYFUNCTION("""COMPUTED_VALUE"""),"&lt;10")</f>
        <v>&lt;10</v>
      </c>
    </row>
    <row r="1123" spans="1:34" ht="12.5">
      <c r="A1123" s="1" t="str">
        <f ca="1">IFERROR(__xludf.DUMMYFUNCTION("""COMPUTED_VALUE"""),"20191204NMPIL")</f>
        <v>20191204NMPIL</v>
      </c>
      <c r="B1123" s="1">
        <f ca="1">IFERROR(__xludf.DUMMYFUNCTION("""COMPUTED_VALUE"""),12)</f>
        <v>12</v>
      </c>
      <c r="C1123" s="1">
        <f ca="1">IFERROR(__xludf.DUMMYFUNCTION("""COMPUTED_VALUE"""),4)</f>
        <v>4</v>
      </c>
      <c r="D1123" s="1">
        <f ca="1">IFERROR(__xludf.DUMMYFUNCTION("""COMPUTED_VALUE"""),2019)</f>
        <v>2019</v>
      </c>
      <c r="E1123" s="4">
        <f ca="1">IFERROR(__xludf.DUMMYFUNCTION("""COMPUTED_VALUE"""),43803)</f>
        <v>43803</v>
      </c>
      <c r="F1123" s="1" t="str">
        <f ca="1">IFERROR(__xludf.DUMMYFUNCTION("""COMPUTED_VALUE"""),"Picacho Middle School")</f>
        <v>Picacho Middle School</v>
      </c>
      <c r="G1123" s="1">
        <f ca="1">IFERROR(__xludf.DUMMYFUNCTION("""COMPUTED_VALUE"""),0)</f>
        <v>0</v>
      </c>
      <c r="H1123" s="1">
        <f ca="1">IFERROR(__xludf.DUMMYFUNCTION("""COMPUTED_VALUE"""),0)</f>
        <v>0</v>
      </c>
      <c r="I1123" s="1">
        <f ca="1">IFERROR(__xludf.DUMMYFUNCTION("""COMPUTED_VALUE"""),0)</f>
        <v>0</v>
      </c>
      <c r="J1123" s="1">
        <f ca="1">IFERROR(__xludf.DUMMYFUNCTION("""COMPUTED_VALUE"""),0)</f>
        <v>0</v>
      </c>
      <c r="K1123" s="1" t="str">
        <f ca="1">IFERROR(__xludf.DUMMYFUNCTION("""COMPUTED_VALUE"""),"Winter")</f>
        <v>Winter</v>
      </c>
      <c r="L1123" s="1" t="str">
        <f ca="1">IFERROR(__xludf.DUMMYFUNCTION("""COMPUTED_VALUE"""),"Las Cruces")</f>
        <v>Las Cruces</v>
      </c>
      <c r="M1123" s="1" t="str">
        <f ca="1">IFERROR(__xludf.DUMMYFUNCTION("""COMPUTED_VALUE"""),"NM")</f>
        <v>NM</v>
      </c>
      <c r="N1123" s="1" t="str">
        <f ca="1">IFERROR(__xludf.DUMMYFUNCTION("""COMPUTED_VALUE"""),"High")</f>
        <v>High</v>
      </c>
      <c r="O1123" s="1" t="str">
        <f ca="1">IFERROR(__xludf.DUMMYFUNCTION("""COMPUTED_VALUE"""),"Office")</f>
        <v>Office</v>
      </c>
      <c r="P1123" s="1" t="str">
        <f ca="1">IFERROR(__xludf.DUMMYFUNCTION("""COMPUTED_VALUE"""),"Inside School Building")</f>
        <v>Inside School Building</v>
      </c>
      <c r="Q1123" s="1" t="str">
        <f ca="1">IFERROR(__xludf.DUMMYFUNCTION("""COMPUTED_VALUE"""),"Yes")</f>
        <v>Yes</v>
      </c>
      <c r="R1123" s="1" t="str">
        <f ca="1">IFERROR(__xludf.DUMMYFUNCTION("""COMPUTED_VALUE"""),"Afternoon Classes")</f>
        <v>Afternoon Classes</v>
      </c>
      <c r="S1123" s="5">
        <f ca="1">IFERROR(__xludf.DUMMYFUNCTION("""COMPUTED_VALUE"""),0.567361111111111)</f>
        <v>0.56736111111111098</v>
      </c>
      <c r="T1123" s="1">
        <f ca="1">IFERROR(__xludf.DUMMYFUNCTION("""COMPUTED_VALUE"""),1)</f>
        <v>1</v>
      </c>
      <c r="U1123" s="1" t="str">
        <f ca="1">IFERROR(__xludf.DUMMYFUNCTION("""COMPUTED_VALUE"""),"SRO fired weapon inside office with student present")</f>
        <v>SRO fired weapon inside office with student present</v>
      </c>
      <c r="V1123" s="1" t="str">
        <f ca="1">IFERROR(__xludf.DUMMYFUNCTION("""COMPUTED_VALUE"""),"SRO fired service weapon inside his office while questioning student. Bullet went through wall and across school hallway. Charged with prohibited use of a firearm.")</f>
        <v>SRO fired service weapon inside his office while questioning student. Bullet went through wall and across school hallway. Charged with prohibited use of a firearm.</v>
      </c>
      <c r="W1123" s="1" t="str">
        <f ca="1">IFERROR(__xludf.DUMMYFUNCTION("""COMPUTED_VALUE"""),"Accidental")</f>
        <v>Accidental</v>
      </c>
      <c r="X1123" s="1" t="str">
        <f ca="1">IFERROR(__xludf.DUMMYFUNCTION("""COMPUTED_VALUE"""),"Neither")</f>
        <v>Neither</v>
      </c>
      <c r="Y1123" s="1" t="str">
        <f ca="1">IFERROR(__xludf.DUMMYFUNCTION("""COMPUTED_VALUE"""),"No")</f>
        <v>No</v>
      </c>
      <c r="Z1123" s="1"/>
      <c r="AA1123" s="1" t="str">
        <f ca="1">IFERROR(__xludf.DUMMYFUNCTION("""COMPUTED_VALUE"""),"No")</f>
        <v>No</v>
      </c>
      <c r="AB1123" s="1" t="str">
        <f ca="1">IFERROR(__xludf.DUMMYFUNCTION("""COMPUTED_VALUE"""),"No")</f>
        <v>No</v>
      </c>
      <c r="AC1123" s="1" t="str">
        <f ca="1">IFERROR(__xludf.DUMMYFUNCTION("""COMPUTED_VALUE"""),"No")</f>
        <v>No</v>
      </c>
      <c r="AD1123" s="1" t="str">
        <f ca="1">IFERROR(__xludf.DUMMYFUNCTION("""COMPUTED_VALUE"""),"No")</f>
        <v>No</v>
      </c>
      <c r="AE1123" s="1" t="str">
        <f ca="1">IFERROR(__xludf.DUMMYFUNCTION("""COMPUTED_VALUE"""),"No")</f>
        <v>No</v>
      </c>
      <c r="AF1123" s="1" t="str">
        <f ca="1">IFERROR(__xludf.DUMMYFUNCTION("""COMPUTED_VALUE"""),"No")</f>
        <v>No</v>
      </c>
      <c r="AG1123" s="1" t="str">
        <f ca="1">IFERROR(__xludf.DUMMYFUNCTION("""COMPUTED_VALUE"""),"No")</f>
        <v>No</v>
      </c>
      <c r="AH1123" s="1">
        <f ca="1">IFERROR(__xludf.DUMMYFUNCTION("""COMPUTED_VALUE"""),1)</f>
        <v>1</v>
      </c>
    </row>
    <row r="1124" spans="1:34" ht="12.5">
      <c r="A1124" s="1" t="str">
        <f ca="1">IFERROR(__xludf.DUMMYFUNCTION("""COMPUTED_VALUE"""),"20191203WITHM")</f>
        <v>20191203WITHM</v>
      </c>
      <c r="B1124" s="1">
        <f ca="1">IFERROR(__xludf.DUMMYFUNCTION("""COMPUTED_VALUE"""),12)</f>
        <v>12</v>
      </c>
      <c r="C1124" s="1">
        <f ca="1">IFERROR(__xludf.DUMMYFUNCTION("""COMPUTED_VALUE"""),3)</f>
        <v>3</v>
      </c>
      <c r="D1124" s="1">
        <f ca="1">IFERROR(__xludf.DUMMYFUNCTION("""COMPUTED_VALUE"""),2019)</f>
        <v>2019</v>
      </c>
      <c r="E1124" s="4">
        <f ca="1">IFERROR(__xludf.DUMMYFUNCTION("""COMPUTED_VALUE"""),43802)</f>
        <v>43802</v>
      </c>
      <c r="F1124" s="1" t="str">
        <f ca="1">IFERROR(__xludf.DUMMYFUNCTION("""COMPUTED_VALUE"""),"Thomas Jefferson Middle School")</f>
        <v>Thomas Jefferson Middle School</v>
      </c>
      <c r="G1124" s="1">
        <f ca="1">IFERROR(__xludf.DUMMYFUNCTION("""COMPUTED_VALUE"""),0)</f>
        <v>0</v>
      </c>
      <c r="H1124" s="1">
        <f ca="1">IFERROR(__xludf.DUMMYFUNCTION("""COMPUTED_VALUE"""),2)</f>
        <v>2</v>
      </c>
      <c r="I1124" s="1">
        <f ca="1">IFERROR(__xludf.DUMMYFUNCTION("""COMPUTED_VALUE"""),2)</f>
        <v>2</v>
      </c>
      <c r="J1124" s="1">
        <f ca="1">IFERROR(__xludf.DUMMYFUNCTION("""COMPUTED_VALUE"""),0)</f>
        <v>0</v>
      </c>
      <c r="K1124" s="1" t="str">
        <f ca="1">IFERROR(__xludf.DUMMYFUNCTION("""COMPUTED_VALUE"""),"Winter")</f>
        <v>Winter</v>
      </c>
      <c r="L1124" s="1" t="str">
        <f ca="1">IFERROR(__xludf.DUMMYFUNCTION("""COMPUTED_VALUE"""),"Madison")</f>
        <v>Madison</v>
      </c>
      <c r="M1124" s="1" t="str">
        <f ca="1">IFERROR(__xludf.DUMMYFUNCTION("""COMPUTED_VALUE"""),"WI")</f>
        <v>WI</v>
      </c>
      <c r="N1124" s="1" t="str">
        <f ca="1">IFERROR(__xludf.DUMMYFUNCTION("""COMPUTED_VALUE"""),"Middle")</f>
        <v>Middle</v>
      </c>
      <c r="O1124" s="1" t="str">
        <f ca="1">IFERROR(__xludf.DUMMYFUNCTION("""COMPUTED_VALUE"""),"School Bus")</f>
        <v>School Bus</v>
      </c>
      <c r="P1124" s="1" t="str">
        <f ca="1">IFERROR(__xludf.DUMMYFUNCTION("""COMPUTED_VALUE"""),"School Bus")</f>
        <v>School Bus</v>
      </c>
      <c r="Q1124" s="1" t="str">
        <f ca="1">IFERROR(__xludf.DUMMYFUNCTION("""COMPUTED_VALUE"""),"Yes")</f>
        <v>Yes</v>
      </c>
      <c r="R1124" s="1" t="str">
        <f ca="1">IFERROR(__xludf.DUMMYFUNCTION("""COMPUTED_VALUE"""),"Dismissal")</f>
        <v>Dismissal</v>
      </c>
      <c r="S1124" s="5">
        <f ca="1">IFERROR(__xludf.DUMMYFUNCTION("""COMPUTED_VALUE"""),0.645833333333333)</f>
        <v>0.64583333333333304</v>
      </c>
      <c r="T1124" s="1">
        <f ca="1">IFERROR(__xludf.DUMMYFUNCTION("""COMPUTED_VALUE"""),1)</f>
        <v>1</v>
      </c>
      <c r="U1124" s="1" t="str">
        <f ca="1">IFERROR(__xludf.DUMMYFUNCTION("""COMPUTED_VALUE"""),"Student fired pellet gun from school bus at female student getting off the bus")</f>
        <v>Student fired pellet gun from school bus at female student getting off the bus</v>
      </c>
      <c r="V1124" s="1" t="str">
        <f ca="1">IFERROR(__xludf.DUMMYFUNCTION("""COMPUTED_VALUE"""),"Two 13YOM students arrested for having pellet gun at school. One of the students fired the pellet gun from the window of the school bus at a female student who had just exited the bus. Student arrested the next morning and charged with possessing a weapon"&amp;" on school grounds.")</f>
        <v>Two 13YOM students arrested for having pellet gun at school. One of the students fired the pellet gun from the window of the school bus at a female student who had just exited the bus. Student arrested the next morning and charged with possessing a weapon on school grounds.</v>
      </c>
      <c r="W1124" s="1" t="str">
        <f ca="1">IFERROR(__xludf.DUMMYFUNCTION("""COMPUTED_VALUE"""),"Unknown")</f>
        <v>Unknown</v>
      </c>
      <c r="X1124" s="1" t="str">
        <f ca="1">IFERROR(__xludf.DUMMYFUNCTION("""COMPUTED_VALUE"""),"Victims Targeted")</f>
        <v>Victims Targeted</v>
      </c>
      <c r="Y1124" s="1" t="str">
        <f ca="1">IFERROR(__xludf.DUMMYFUNCTION("""COMPUTED_VALUE"""),"Yes")</f>
        <v>Yes</v>
      </c>
      <c r="Z1124" s="1" t="str">
        <f ca="1">IFERROR(__xludf.DUMMYFUNCTION("""COMPUTED_VALUE"""),"2 13YOM students arrested")</f>
        <v>2 13YOM students arrested</v>
      </c>
      <c r="AA1124" s="1" t="str">
        <f ca="1">IFERROR(__xludf.DUMMYFUNCTION("""COMPUTED_VALUE"""),"No")</f>
        <v>No</v>
      </c>
      <c r="AB1124" s="1" t="str">
        <f ca="1">IFERROR(__xludf.DUMMYFUNCTION("""COMPUTED_VALUE"""),"No")</f>
        <v>No</v>
      </c>
      <c r="AC1124" s="1" t="str">
        <f ca="1">IFERROR(__xludf.DUMMYFUNCTION("""COMPUTED_VALUE"""),"No")</f>
        <v>No</v>
      </c>
      <c r="AD1124" s="1" t="str">
        <f ca="1">IFERROR(__xludf.DUMMYFUNCTION("""COMPUTED_VALUE"""),"No")</f>
        <v>No</v>
      </c>
      <c r="AE1124" s="1" t="str">
        <f ca="1">IFERROR(__xludf.DUMMYFUNCTION("""COMPUTED_VALUE"""),"No")</f>
        <v>No</v>
      </c>
      <c r="AF1124" s="1" t="str">
        <f ca="1">IFERROR(__xludf.DUMMYFUNCTION("""COMPUTED_VALUE"""),"No")</f>
        <v>No</v>
      </c>
      <c r="AG1124" s="1" t="str">
        <f ca="1">IFERROR(__xludf.DUMMYFUNCTION("""COMPUTED_VALUE"""),"No")</f>
        <v>No</v>
      </c>
      <c r="AH1124" s="1">
        <f ca="1">IFERROR(__xludf.DUMMYFUNCTION("""COMPUTED_VALUE"""),1)</f>
        <v>1</v>
      </c>
    </row>
    <row r="1125" spans="1:34" ht="12.5">
      <c r="A1125" s="1" t="str">
        <f ca="1">IFERROR(__xludf.DUMMYFUNCTION("""COMPUTED_VALUE"""),"20191203WIOSO")</f>
        <v>20191203WIOSO</v>
      </c>
      <c r="B1125" s="1">
        <f ca="1">IFERROR(__xludf.DUMMYFUNCTION("""COMPUTED_VALUE"""),12)</f>
        <v>12</v>
      </c>
      <c r="C1125" s="1">
        <f ca="1">IFERROR(__xludf.DUMMYFUNCTION("""COMPUTED_VALUE"""),3)</f>
        <v>3</v>
      </c>
      <c r="D1125" s="1">
        <f ca="1">IFERROR(__xludf.DUMMYFUNCTION("""COMPUTED_VALUE"""),2019)</f>
        <v>2019</v>
      </c>
      <c r="E1125" s="4">
        <f ca="1">IFERROR(__xludf.DUMMYFUNCTION("""COMPUTED_VALUE"""),43802)</f>
        <v>43802</v>
      </c>
      <c r="F1125" s="1" t="str">
        <f ca="1">IFERROR(__xludf.DUMMYFUNCTION("""COMPUTED_VALUE"""),"Oshkosh West High School")</f>
        <v>Oshkosh West High School</v>
      </c>
      <c r="G1125" s="1">
        <f ca="1">IFERROR(__xludf.DUMMYFUNCTION("""COMPUTED_VALUE"""),0)</f>
        <v>0</v>
      </c>
      <c r="H1125" s="1">
        <f ca="1">IFERROR(__xludf.DUMMYFUNCTION("""COMPUTED_VALUE"""),1)</f>
        <v>1</v>
      </c>
      <c r="I1125" s="1">
        <f ca="1">IFERROR(__xludf.DUMMYFUNCTION("""COMPUTED_VALUE"""),1)</f>
        <v>1</v>
      </c>
      <c r="J1125" s="1">
        <f ca="1">IFERROR(__xludf.DUMMYFUNCTION("""COMPUTED_VALUE"""),0)</f>
        <v>0</v>
      </c>
      <c r="K1125" s="1" t="str">
        <f ca="1">IFERROR(__xludf.DUMMYFUNCTION("""COMPUTED_VALUE"""),"Winter")</f>
        <v>Winter</v>
      </c>
      <c r="L1125" s="1" t="str">
        <f ca="1">IFERROR(__xludf.DUMMYFUNCTION("""COMPUTED_VALUE"""),"Oshkosh")</f>
        <v>Oshkosh</v>
      </c>
      <c r="M1125" s="1" t="str">
        <f ca="1">IFERROR(__xludf.DUMMYFUNCTION("""COMPUTED_VALUE"""),"WI")</f>
        <v>WI</v>
      </c>
      <c r="N1125" s="1" t="str">
        <f ca="1">IFERROR(__xludf.DUMMYFUNCTION("""COMPUTED_VALUE"""),"High")</f>
        <v>High</v>
      </c>
      <c r="O1125" s="1" t="str">
        <f ca="1">IFERROR(__xludf.DUMMYFUNCTION("""COMPUTED_VALUE"""),"Hallway")</f>
        <v>Hallway</v>
      </c>
      <c r="P1125" s="1" t="str">
        <f ca="1">IFERROR(__xludf.DUMMYFUNCTION("""COMPUTED_VALUE"""),"Inside School Building")</f>
        <v>Inside School Building</v>
      </c>
      <c r="Q1125" s="1" t="str">
        <f ca="1">IFERROR(__xludf.DUMMYFUNCTION("""COMPUTED_VALUE"""),"Yes")</f>
        <v>Yes</v>
      </c>
      <c r="R1125" s="1" t="str">
        <f ca="1">IFERROR(__xludf.DUMMYFUNCTION("""COMPUTED_VALUE"""),"Morning Classes")</f>
        <v>Morning Classes</v>
      </c>
      <c r="S1125" s="5">
        <f ca="1">IFERROR(__xludf.DUMMYFUNCTION("""COMPUTED_VALUE"""),0.383333333333333)</f>
        <v>0.38333333333333303</v>
      </c>
      <c r="T1125" s="1">
        <f ca="1">IFERROR(__xludf.DUMMYFUNCTION("""COMPUTED_VALUE"""),1)</f>
        <v>1</v>
      </c>
      <c r="U1125" s="1" t="str">
        <f ca="1">IFERROR(__xludf.DUMMYFUNCTION("""COMPUTED_VALUE"""),"SRO fired at student who stabbed him with edged weapon")</f>
        <v>SRO fired at student who stabbed him with edged weapon</v>
      </c>
      <c r="V1125" s="1" t="str">
        <f ca="1">IFERROR(__xludf.DUMMYFUNCTION("""COMPUTED_VALUE"""),"SRO fired one shot at 16YOM student who stabbed him with edged weapon. Student was injured and transported to hospital. School locked down. Prosecutors cleared the school liaison officer of any criminal wrongdoing. County Assistant District Attorney said "&amp;"a state determined that SROs decision to use deadly force was reasonable and justified. According to court documents, student entered SRO's office at Oshkosh West High School on Dec. 3 and stabbed SRO multiple times with a barbecue fork. SRO couldn't reac"&amp;"h his stun gun so he shot the student. Student had texted a friend to bet that he would not go to SRO's office and stab him with a pencil, take SRO's gun out of his holster and either shoot himself or the officer. The friend did not report student's comme"&amp;"nts.")</f>
        <v>SRO fired one shot at 16YOM student who stabbed him with edged weapon. Student was injured and transported to hospital. School locked down. Prosecutors cleared the school liaison officer of any criminal wrongdoing. County Assistant District Attorney said a state determined that SROs decision to use deadly force was reasonable and justified. According to court documents, student entered SRO's office at Oshkosh West High School on Dec. 3 and stabbed SRO multiple times with a barbecue fork. SRO couldn't reach his stun gun so he shot the student. Student had texted a friend to bet that he would not go to SRO's office and stab him with a pencil, take SRO's gun out of his holster and either shoot himself or the officer. The friend did not report student's comments.</v>
      </c>
      <c r="W1125" s="1" t="str">
        <f ca="1">IFERROR(__xludf.DUMMYFUNCTION("""COMPUTED_VALUE"""),"Officer-Involved Shooting")</f>
        <v>Officer-Involved Shooting</v>
      </c>
      <c r="X1125" s="1" t="str">
        <f ca="1">IFERROR(__xludf.DUMMYFUNCTION("""COMPUTED_VALUE"""),"NA")</f>
        <v>NA</v>
      </c>
      <c r="Y1125" s="1" t="str">
        <f ca="1">IFERROR(__xludf.DUMMYFUNCTION("""COMPUTED_VALUE"""),"No")</f>
        <v>No</v>
      </c>
      <c r="Z1125" s="1"/>
      <c r="AA1125" s="1" t="str">
        <f ca="1">IFERROR(__xludf.DUMMYFUNCTION("""COMPUTED_VALUE"""),"No")</f>
        <v>No</v>
      </c>
      <c r="AB1125" s="1" t="str">
        <f ca="1">IFERROR(__xludf.DUMMYFUNCTION("""COMPUTED_VALUE"""),"No")</f>
        <v>No</v>
      </c>
      <c r="AC1125" s="1" t="str">
        <f ca="1">IFERROR(__xludf.DUMMYFUNCTION("""COMPUTED_VALUE"""),"Yes")</f>
        <v>Yes</v>
      </c>
      <c r="AD1125" s="1"/>
      <c r="AE1125" s="1"/>
      <c r="AF1125" s="1"/>
      <c r="AG1125" s="1"/>
      <c r="AH1125" s="1">
        <f ca="1">IFERROR(__xludf.DUMMYFUNCTION("""COMPUTED_VALUE"""),1)</f>
        <v>1</v>
      </c>
    </row>
    <row r="1126" spans="1:34" ht="12.5">
      <c r="A1126" s="1" t="str">
        <f ca="1">IFERROR(__xludf.DUMMYFUNCTION("""COMPUTED_VALUE"""),"20191202WIWAW")</f>
        <v>20191202WIWAW</v>
      </c>
      <c r="B1126" s="1">
        <f ca="1">IFERROR(__xludf.DUMMYFUNCTION("""COMPUTED_VALUE"""),12)</f>
        <v>12</v>
      </c>
      <c r="C1126" s="1">
        <f ca="1">IFERROR(__xludf.DUMMYFUNCTION("""COMPUTED_VALUE"""),2)</f>
        <v>2</v>
      </c>
      <c r="D1126" s="1">
        <f ca="1">IFERROR(__xludf.DUMMYFUNCTION("""COMPUTED_VALUE"""),2019)</f>
        <v>2019</v>
      </c>
      <c r="E1126" s="4">
        <f ca="1">IFERROR(__xludf.DUMMYFUNCTION("""COMPUTED_VALUE"""),43801)</f>
        <v>43801</v>
      </c>
      <c r="F1126" s="1" t="str">
        <f ca="1">IFERROR(__xludf.DUMMYFUNCTION("""COMPUTED_VALUE"""),"Waukesha South High School")</f>
        <v>Waukesha South High School</v>
      </c>
      <c r="G1126" s="1">
        <f ca="1">IFERROR(__xludf.DUMMYFUNCTION("""COMPUTED_VALUE"""),0)</f>
        <v>0</v>
      </c>
      <c r="H1126" s="1">
        <f ca="1">IFERROR(__xludf.DUMMYFUNCTION("""COMPUTED_VALUE"""),0)</f>
        <v>0</v>
      </c>
      <c r="I1126" s="1">
        <f ca="1">IFERROR(__xludf.DUMMYFUNCTION("""COMPUTED_VALUE"""),0)</f>
        <v>0</v>
      </c>
      <c r="J1126" s="1">
        <f ca="1">IFERROR(__xludf.DUMMYFUNCTION("""COMPUTED_VALUE"""),0)</f>
        <v>0</v>
      </c>
      <c r="K1126" s="1" t="str">
        <f ca="1">IFERROR(__xludf.DUMMYFUNCTION("""COMPUTED_VALUE"""),"Winter")</f>
        <v>Winter</v>
      </c>
      <c r="L1126" s="1" t="str">
        <f ca="1">IFERROR(__xludf.DUMMYFUNCTION("""COMPUTED_VALUE"""),"Waukesha")</f>
        <v>Waukesha</v>
      </c>
      <c r="M1126" s="1" t="str">
        <f ca="1">IFERROR(__xludf.DUMMYFUNCTION("""COMPUTED_VALUE"""),"WI")</f>
        <v>WI</v>
      </c>
      <c r="N1126" s="1" t="str">
        <f ca="1">IFERROR(__xludf.DUMMYFUNCTION("""COMPUTED_VALUE"""),"High")</f>
        <v>High</v>
      </c>
      <c r="O1126" s="1" t="str">
        <f ca="1">IFERROR(__xludf.DUMMYFUNCTION("""COMPUTED_VALUE"""),"Classroom")</f>
        <v>Classroom</v>
      </c>
      <c r="P1126" s="1" t="str">
        <f ca="1">IFERROR(__xludf.DUMMYFUNCTION("""COMPUTED_VALUE"""),"Inside School Building")</f>
        <v>Inside School Building</v>
      </c>
      <c r="Q1126" s="1" t="str">
        <f ca="1">IFERROR(__xludf.DUMMYFUNCTION("""COMPUTED_VALUE"""),"Yes")</f>
        <v>Yes</v>
      </c>
      <c r="R1126" s="1" t="str">
        <f ca="1">IFERROR(__xludf.DUMMYFUNCTION("""COMPUTED_VALUE"""),"Morning Classes")</f>
        <v>Morning Classes</v>
      </c>
      <c r="S1126" s="5">
        <f ca="1">IFERROR(__xludf.DUMMYFUNCTION("""COMPUTED_VALUE"""),0.421527777777777)</f>
        <v>0.421527777777777</v>
      </c>
      <c r="T1126" s="1"/>
      <c r="U1126" s="1" t="str">
        <f ca="1">IFERROR(__xludf.DUMMYFUNCTION("""COMPUTED_VALUE"""),"Armed student shot by police officer in classroom during attempted negotiation")</f>
        <v>Armed student shot by police officer in classroom during attempted negotiation</v>
      </c>
      <c r="V1126" s="1" t="str">
        <f ca="1">IFERROR(__xludf.DUMMYFUNCTION("""COMPUTED_VALUE"""),"17YOM student was armed with realistic BB gun that looked like a real handgun. Other students reported the gun to SRO. SRO confronted student in classroom and notified other officers. During standoff/negotiation, armed student pointed the gun at officers "&amp;"who fired and injured him. Unknown if other students were inside the classroom. Student was treated, taken to hospital, and in custody. Student told police he carried the pellet gun because of bullying and wanting to scare other students with it.")</f>
        <v>17YOM student was armed with realistic BB gun that looked like a real handgun. Other students reported the gun to SRO. SRO confronted student in classroom and notified other officers. During standoff/negotiation, armed student pointed the gun at officers who fired and injured him. Unknown if other students were inside the classroom. Student was treated, taken to hospital, and in custody. Student told police he carried the pellet gun because of bullying and wanting to scare other students with it.</v>
      </c>
      <c r="W1126" s="1" t="str">
        <f ca="1">IFERROR(__xludf.DUMMYFUNCTION("""COMPUTED_VALUE"""),"Bullying")</f>
        <v>Bullying</v>
      </c>
      <c r="X1126" s="1"/>
      <c r="Y1126" s="1" t="str">
        <f ca="1">IFERROR(__xludf.DUMMYFUNCTION("""COMPUTED_VALUE"""),"No")</f>
        <v>No</v>
      </c>
      <c r="Z1126" s="1"/>
      <c r="AA1126" s="1" t="str">
        <f ca="1">IFERROR(__xludf.DUMMYFUNCTION("""COMPUTED_VALUE"""),"No")</f>
        <v>No</v>
      </c>
      <c r="AB1126" s="1" t="str">
        <f ca="1">IFERROR(__xludf.DUMMYFUNCTION("""COMPUTED_VALUE"""),"No")</f>
        <v>No</v>
      </c>
      <c r="AC1126" s="1" t="str">
        <f ca="1">IFERROR(__xludf.DUMMYFUNCTION("""COMPUTED_VALUE"""),"No")</f>
        <v>No</v>
      </c>
      <c r="AD1126" s="1"/>
      <c r="AE1126" s="1" t="str">
        <f ca="1">IFERROR(__xludf.DUMMYFUNCTION("""COMPUTED_VALUE"""),"No")</f>
        <v>No</v>
      </c>
      <c r="AF1126" s="1" t="str">
        <f ca="1">IFERROR(__xludf.DUMMYFUNCTION("""COMPUTED_VALUE"""),"No")</f>
        <v>No</v>
      </c>
      <c r="AG1126" s="1" t="str">
        <f ca="1">IFERROR(__xludf.DUMMYFUNCTION("""COMPUTED_VALUE"""),"No")</f>
        <v>No</v>
      </c>
      <c r="AH1126" s="1"/>
    </row>
    <row r="1127" spans="1:34" ht="12.5">
      <c r="A1127" s="1" t="str">
        <f ca="1">IFERROR(__xludf.DUMMYFUNCTION("""COMPUTED_VALUE"""),"20191201ALMOM")</f>
        <v>20191201ALMOM</v>
      </c>
      <c r="B1127" s="1">
        <f ca="1">IFERROR(__xludf.DUMMYFUNCTION("""COMPUTED_VALUE"""),12)</f>
        <v>12</v>
      </c>
      <c r="C1127" s="1">
        <f ca="1">IFERROR(__xludf.DUMMYFUNCTION("""COMPUTED_VALUE"""),1)</f>
        <v>1</v>
      </c>
      <c r="D1127" s="1">
        <f ca="1">IFERROR(__xludf.DUMMYFUNCTION("""COMPUTED_VALUE"""),2019)</f>
        <v>2019</v>
      </c>
      <c r="E1127" s="4">
        <f ca="1">IFERROR(__xludf.DUMMYFUNCTION("""COMPUTED_VALUE"""),43800)</f>
        <v>43800</v>
      </c>
      <c r="F1127" s="1" t="str">
        <f ca="1">IFERROR(__xludf.DUMMYFUNCTION("""COMPUTED_VALUE"""),"Mountain Brook High School")</f>
        <v>Mountain Brook High School</v>
      </c>
      <c r="G1127" s="1">
        <f ca="1">IFERROR(__xludf.DUMMYFUNCTION("""COMPUTED_VALUE"""),1)</f>
        <v>1</v>
      </c>
      <c r="H1127" s="1">
        <f ca="1">IFERROR(__xludf.DUMMYFUNCTION("""COMPUTED_VALUE"""),0)</f>
        <v>0</v>
      </c>
      <c r="I1127" s="1">
        <f ca="1">IFERROR(__xludf.DUMMYFUNCTION("""COMPUTED_VALUE"""),1)</f>
        <v>1</v>
      </c>
      <c r="J1127" s="1">
        <f ca="1">IFERROR(__xludf.DUMMYFUNCTION("""COMPUTED_VALUE"""),0)</f>
        <v>0</v>
      </c>
      <c r="K1127" s="1" t="str">
        <f ca="1">IFERROR(__xludf.DUMMYFUNCTION("""COMPUTED_VALUE"""),"Winter")</f>
        <v>Winter</v>
      </c>
      <c r="L1127" s="1" t="str">
        <f ca="1">IFERROR(__xludf.DUMMYFUNCTION("""COMPUTED_VALUE"""),"Mountain Brook")</f>
        <v>Mountain Brook</v>
      </c>
      <c r="M1127" s="1" t="str">
        <f ca="1">IFERROR(__xludf.DUMMYFUNCTION("""COMPUTED_VALUE"""),"AL")</f>
        <v>AL</v>
      </c>
      <c r="N1127" s="1" t="str">
        <f ca="1">IFERROR(__xludf.DUMMYFUNCTION("""COMPUTED_VALUE"""),"High")</f>
        <v>High</v>
      </c>
      <c r="O1127" s="1" t="str">
        <f ca="1">IFERROR(__xludf.DUMMYFUNCTION("""COMPUTED_VALUE"""),"Parking Lot")</f>
        <v>Parking Lot</v>
      </c>
      <c r="P1127" s="1" t="str">
        <f ca="1">IFERROR(__xludf.DUMMYFUNCTION("""COMPUTED_VALUE"""),"Outside on School Property")</f>
        <v>Outside on School Property</v>
      </c>
      <c r="Q1127" s="1" t="str">
        <f ca="1">IFERROR(__xludf.DUMMYFUNCTION("""COMPUTED_VALUE"""),"No")</f>
        <v>No</v>
      </c>
      <c r="R1127" s="1" t="str">
        <f ca="1">IFERROR(__xludf.DUMMYFUNCTION("""COMPUTED_VALUE"""),"Night")</f>
        <v>Night</v>
      </c>
      <c r="S1127" s="5">
        <f ca="1">IFERROR(__xludf.DUMMYFUNCTION("""COMPUTED_VALUE"""),0.166666666666666)</f>
        <v>0.16666666666666599</v>
      </c>
      <c r="T1127" s="1">
        <f ca="1">IFERROR(__xludf.DUMMYFUNCTION("""COMPUTED_VALUE"""),1)</f>
        <v>1</v>
      </c>
      <c r="U1127" s="1" t="str">
        <f ca="1">IFERROR(__xludf.DUMMYFUNCTION("""COMPUTED_VALUE"""),"Woman killed during domestic dispute in parking lot")</f>
        <v>Woman killed during domestic dispute in parking lot</v>
      </c>
      <c r="V1127" s="1" t="str">
        <f ca="1">IFERROR(__xludf.DUMMYFUNCTION("""COMPUTED_VALUE"""),"31YOF killed by ex-husband in school parking lot overnight. Body was found the next day. No students involved. Shooter had prior arrest for domestic violence and restraining order (police officer prior to domestic violence charges).")</f>
        <v>31YOF killed by ex-husband in school parking lot overnight. Body was found the next day. No students involved. Shooter had prior arrest for domestic violence and restraining order (police officer prior to domestic violence charges).</v>
      </c>
      <c r="W1127" s="1" t="str">
        <f ca="1">IFERROR(__xludf.DUMMYFUNCTION("""COMPUTED_VALUE"""),"Domestic w/ Targeted Victim")</f>
        <v>Domestic w/ Targeted Victim</v>
      </c>
      <c r="X1127" s="1" t="str">
        <f ca="1">IFERROR(__xludf.DUMMYFUNCTION("""COMPUTED_VALUE"""),"Victims Targeted")</f>
        <v>Victims Targeted</v>
      </c>
      <c r="Y1127" s="1" t="str">
        <f ca="1">IFERROR(__xludf.DUMMYFUNCTION("""COMPUTED_VALUE"""),"No")</f>
        <v>No</v>
      </c>
      <c r="Z1127" s="1"/>
      <c r="AA1127" s="1" t="str">
        <f ca="1">IFERROR(__xludf.DUMMYFUNCTION("""COMPUTED_VALUE"""),"No")</f>
        <v>No</v>
      </c>
      <c r="AB1127" s="1" t="str">
        <f ca="1">IFERROR(__xludf.DUMMYFUNCTION("""COMPUTED_VALUE"""),"No")</f>
        <v>No</v>
      </c>
      <c r="AC1127" s="1" t="str">
        <f ca="1">IFERROR(__xludf.DUMMYFUNCTION("""COMPUTED_VALUE"""),"No")</f>
        <v>No</v>
      </c>
      <c r="AD1127" s="1" t="str">
        <f ca="1">IFERROR(__xludf.DUMMYFUNCTION("""COMPUTED_VALUE"""),"No")</f>
        <v>No</v>
      </c>
      <c r="AE1127" s="1" t="str">
        <f ca="1">IFERROR(__xludf.DUMMYFUNCTION("""COMPUTED_VALUE"""),"Yes")</f>
        <v>Yes</v>
      </c>
      <c r="AF1127" s="1" t="str">
        <f ca="1">IFERROR(__xludf.DUMMYFUNCTION("""COMPUTED_VALUE"""),"No")</f>
        <v>No</v>
      </c>
      <c r="AG1127" s="1" t="str">
        <f ca="1">IFERROR(__xludf.DUMMYFUNCTION("""COMPUTED_VALUE"""),"No")</f>
        <v>No</v>
      </c>
      <c r="AH1127" s="1"/>
    </row>
    <row r="1128" spans="1:34" ht="12.5">
      <c r="A1128" s="1" t="str">
        <f ca="1">IFERROR(__xludf.DUMMYFUNCTION("""COMPUTED_VALUE"""),"20191126WASAV")</f>
        <v>20191126WASAV</v>
      </c>
      <c r="B1128" s="1">
        <f ca="1">IFERROR(__xludf.DUMMYFUNCTION("""COMPUTED_VALUE"""),11)</f>
        <v>11</v>
      </c>
      <c r="C1128" s="1">
        <f ca="1">IFERROR(__xludf.DUMMYFUNCTION("""COMPUTED_VALUE"""),26)</f>
        <v>26</v>
      </c>
      <c r="D1128" s="1">
        <f ca="1">IFERROR(__xludf.DUMMYFUNCTION("""COMPUTED_VALUE"""),2019)</f>
        <v>2019</v>
      </c>
      <c r="E1128" s="4">
        <f ca="1">IFERROR(__xludf.DUMMYFUNCTION("""COMPUTED_VALUE"""),43795)</f>
        <v>43795</v>
      </c>
      <c r="F1128" s="1" t="str">
        <f ca="1">IFERROR(__xludf.DUMMYFUNCTION("""COMPUTED_VALUE"""),"Sarah J. Anderson Elementary School")</f>
        <v>Sarah J. Anderson Elementary School</v>
      </c>
      <c r="G1128" s="1">
        <f ca="1">IFERROR(__xludf.DUMMYFUNCTION("""COMPUTED_VALUE"""),0)</f>
        <v>0</v>
      </c>
      <c r="H1128" s="1">
        <f ca="1">IFERROR(__xludf.DUMMYFUNCTION("""COMPUTED_VALUE"""),2)</f>
        <v>2</v>
      </c>
      <c r="I1128" s="1">
        <f ca="1">IFERROR(__xludf.DUMMYFUNCTION("""COMPUTED_VALUE"""),2)</f>
        <v>2</v>
      </c>
      <c r="J1128" s="1">
        <f ca="1">IFERROR(__xludf.DUMMYFUNCTION("""COMPUTED_VALUE"""),1)</f>
        <v>1</v>
      </c>
      <c r="K1128" s="1" t="str">
        <f ca="1">IFERROR(__xludf.DUMMYFUNCTION("""COMPUTED_VALUE"""),"Fall")</f>
        <v>Fall</v>
      </c>
      <c r="L1128" s="1" t="str">
        <f ca="1">IFERROR(__xludf.DUMMYFUNCTION("""COMPUTED_VALUE"""),"Vancouver")</f>
        <v>Vancouver</v>
      </c>
      <c r="M1128" s="1" t="str">
        <f ca="1">IFERROR(__xludf.DUMMYFUNCTION("""COMPUTED_VALUE"""),"WA")</f>
        <v>WA</v>
      </c>
      <c r="N1128" s="1" t="str">
        <f ca="1">IFERROR(__xludf.DUMMYFUNCTION("""COMPUTED_VALUE"""),"Elementary")</f>
        <v>Elementary</v>
      </c>
      <c r="O1128" s="1" t="str">
        <f ca="1">IFERROR(__xludf.DUMMYFUNCTION("""COMPUTED_VALUE"""),"Parking Lot")</f>
        <v>Parking Lot</v>
      </c>
      <c r="P1128" s="1" t="str">
        <f ca="1">IFERROR(__xludf.DUMMYFUNCTION("""COMPUTED_VALUE"""),"Outside on School Property")</f>
        <v>Outside on School Property</v>
      </c>
      <c r="Q1128" s="1" t="str">
        <f ca="1">IFERROR(__xludf.DUMMYFUNCTION("""COMPUTED_VALUE"""),"Yes")</f>
        <v>Yes</v>
      </c>
      <c r="R1128" s="1" t="str">
        <f ca="1">IFERROR(__xludf.DUMMYFUNCTION("""COMPUTED_VALUE"""),"Dismissal")</f>
        <v>Dismissal</v>
      </c>
      <c r="S1128" s="5">
        <f ca="1">IFERROR(__xludf.DUMMYFUNCTION("""COMPUTED_VALUE"""),0.638888888888888)</f>
        <v>0.63888888888888795</v>
      </c>
      <c r="T1128" s="1">
        <f ca="1">IFERROR(__xludf.DUMMYFUNCTION("""COMPUTED_VALUE"""),1)</f>
        <v>1</v>
      </c>
      <c r="U1128" s="1" t="str">
        <f ca="1">IFERROR(__xludf.DUMMYFUNCTION("""COMPUTED_VALUE"""),"Father shot ex-wife and her mother in vehicle in the school parking lot (3 kids inside the car)")</f>
        <v>Father shot ex-wife and her mother in vehicle in the school parking lot (3 kids inside the car)</v>
      </c>
      <c r="V1128" s="1" t="str">
        <f ca="1">IFERROR(__xludf.DUMMYFUNCTION("""COMPUTED_VALUE"""),"Father shot ex-wife and her mother in the school parking lot during dismissal. Shooter had recently been released from jail, stalked and threatened the mother, and had a restraining order against him. 3 children were inside the car during the shooting. Sc"&amp;"hool was placed on lockdown until 5pm. Shooter fled the school, was involved with police pursuit, and fatally shot himself (not at the school). No students were injured. Court papers associated with the restraining order show an extensive history of abuse"&amp;" and violence, with shooter repeatedly violating the restraining order.")</f>
        <v>Father shot ex-wife and her mother in the school parking lot during dismissal. Shooter had recently been released from jail, stalked and threatened the mother, and had a restraining order against him. 3 children were inside the car during the shooting. School was placed on lockdown until 5pm. Shooter fled the school, was involved with police pursuit, and fatally shot himself (not at the school). No students were injured. Court papers associated with the restraining order show an extensive history of abuse and violence, with shooter repeatedly violating the restraining order.</v>
      </c>
      <c r="W1128" s="1" t="str">
        <f ca="1">IFERROR(__xludf.DUMMYFUNCTION("""COMPUTED_VALUE"""),"Domestic w/ Targeted Victim")</f>
        <v>Domestic w/ Targeted Victim</v>
      </c>
      <c r="X1128" s="1" t="str">
        <f ca="1">IFERROR(__xludf.DUMMYFUNCTION("""COMPUTED_VALUE"""),"Victims Targeted")</f>
        <v>Victims Targeted</v>
      </c>
      <c r="Y1128" s="1" t="str">
        <f ca="1">IFERROR(__xludf.DUMMYFUNCTION("""COMPUTED_VALUE"""),"No")</f>
        <v>No</v>
      </c>
      <c r="Z1128" s="1"/>
      <c r="AA1128" s="1" t="str">
        <f ca="1">IFERROR(__xludf.DUMMYFUNCTION("""COMPUTED_VALUE"""),"No")</f>
        <v>No</v>
      </c>
      <c r="AB1128" s="1" t="str">
        <f ca="1">IFERROR(__xludf.DUMMYFUNCTION("""COMPUTED_VALUE"""),"No")</f>
        <v>No</v>
      </c>
      <c r="AC1128" s="1" t="str">
        <f ca="1">IFERROR(__xludf.DUMMYFUNCTION("""COMPUTED_VALUE"""),"No")</f>
        <v>No</v>
      </c>
      <c r="AD1128" s="1" t="str">
        <f ca="1">IFERROR(__xludf.DUMMYFUNCTION("""COMPUTED_VALUE"""),"No")</f>
        <v>No</v>
      </c>
      <c r="AE1128" s="1" t="str">
        <f ca="1">IFERROR(__xludf.DUMMYFUNCTION("""COMPUTED_VALUE"""),"Yes")</f>
        <v>Yes</v>
      </c>
      <c r="AF1128" s="1" t="str">
        <f ca="1">IFERROR(__xludf.DUMMYFUNCTION("""COMPUTED_VALUE"""),"No")</f>
        <v>No</v>
      </c>
      <c r="AG1128" s="1" t="str">
        <f ca="1">IFERROR(__xludf.DUMMYFUNCTION("""COMPUTED_VALUE"""),"No")</f>
        <v>No</v>
      </c>
      <c r="AH1128" s="1" t="str">
        <f ca="1">IFERROR(__xludf.DUMMYFUNCTION("""COMPUTED_VALUE"""),"&lt;10")</f>
        <v>&lt;10</v>
      </c>
    </row>
    <row r="1129" spans="1:34" ht="12.5">
      <c r="A1129" s="1" t="str">
        <f ca="1">IFERROR(__xludf.DUMMYFUNCTION("""COMPUTED_VALUE"""),"20191125ILCAC")</f>
        <v>20191125ILCAC</v>
      </c>
      <c r="B1129" s="1">
        <f ca="1">IFERROR(__xludf.DUMMYFUNCTION("""COMPUTED_VALUE"""),11)</f>
        <v>11</v>
      </c>
      <c r="C1129" s="1">
        <f ca="1">IFERROR(__xludf.DUMMYFUNCTION("""COMPUTED_VALUE"""),25)</f>
        <v>25</v>
      </c>
      <c r="D1129" s="1">
        <f ca="1">IFERROR(__xludf.DUMMYFUNCTION("""COMPUTED_VALUE"""),2019)</f>
        <v>2019</v>
      </c>
      <c r="E1129" s="4">
        <f ca="1">IFERROR(__xludf.DUMMYFUNCTION("""COMPUTED_VALUE"""),43794)</f>
        <v>43794</v>
      </c>
      <c r="F1129" s="1" t="str">
        <f ca="1">IFERROR(__xludf.DUMMYFUNCTION("""COMPUTED_VALUE"""),"Catalyst Circle Rock Charter School")</f>
        <v>Catalyst Circle Rock Charter School</v>
      </c>
      <c r="G1129" s="1">
        <f ca="1">IFERROR(__xludf.DUMMYFUNCTION("""COMPUTED_VALUE"""),0)</f>
        <v>0</v>
      </c>
      <c r="H1129" s="1">
        <f ca="1">IFERROR(__xludf.DUMMYFUNCTION("""COMPUTED_VALUE"""),1)</f>
        <v>1</v>
      </c>
      <c r="I1129" s="1">
        <f ca="1">IFERROR(__xludf.DUMMYFUNCTION("""COMPUTED_VALUE"""),1)</f>
        <v>1</v>
      </c>
      <c r="J1129" s="1">
        <f ca="1">IFERROR(__xludf.DUMMYFUNCTION("""COMPUTED_VALUE"""),0)</f>
        <v>0</v>
      </c>
      <c r="K1129" s="1" t="str">
        <f ca="1">IFERROR(__xludf.DUMMYFUNCTION("""COMPUTED_VALUE"""),"Fall")</f>
        <v>Fall</v>
      </c>
      <c r="L1129" s="1" t="str">
        <f ca="1">IFERROR(__xludf.DUMMYFUNCTION("""COMPUTED_VALUE"""),"Chicago")</f>
        <v>Chicago</v>
      </c>
      <c r="M1129" s="1" t="str">
        <f ca="1">IFERROR(__xludf.DUMMYFUNCTION("""COMPUTED_VALUE"""),"IL")</f>
        <v>IL</v>
      </c>
      <c r="N1129" s="1" t="str">
        <f ca="1">IFERROR(__xludf.DUMMYFUNCTION("""COMPUTED_VALUE"""),"Elementary")</f>
        <v>Elementary</v>
      </c>
      <c r="O1129" s="1" t="str">
        <f ca="1">IFERROR(__xludf.DUMMYFUNCTION("""COMPUTED_VALUE"""),"Front of School")</f>
        <v>Front of School</v>
      </c>
      <c r="P1129" s="1" t="str">
        <f ca="1">IFERROR(__xludf.DUMMYFUNCTION("""COMPUTED_VALUE"""),"Both Inside/Outside")</f>
        <v>Both Inside/Outside</v>
      </c>
      <c r="Q1129" s="1" t="str">
        <f ca="1">IFERROR(__xludf.DUMMYFUNCTION("""COMPUTED_VALUE"""),"Yes")</f>
        <v>Yes</v>
      </c>
      <c r="R1129" s="1" t="str">
        <f ca="1">IFERROR(__xludf.DUMMYFUNCTION("""COMPUTED_VALUE"""),"School Start")</f>
        <v>School Start</v>
      </c>
      <c r="S1129" s="5">
        <f ca="1">IFERROR(__xludf.DUMMYFUNCTION("""COMPUTED_VALUE"""),0.333333333333333)</f>
        <v>0.33333333333333298</v>
      </c>
      <c r="T1129" s="1">
        <f ca="1">IFERROR(__xludf.DUMMYFUNCTION("""COMPUTED_VALUE"""),1)</f>
        <v>1</v>
      </c>
      <c r="U1129" s="1" t="str">
        <f ca="1">IFERROR(__xludf.DUMMYFUNCTION("""COMPUTED_VALUE"""),"37 YOM shot outside of school while students were outside, went into school for assistance")</f>
        <v>37 YOM shot outside of school while students were outside, went into school for assistance</v>
      </c>
      <c r="V1129" s="1" t="str">
        <f ca="1">IFERROR(__xludf.DUMMYFUNCTION("""COMPUTED_VALUE"""),"37YOM in vehicle was shot outside of school while students were arriving. Students and teachers took cover. School was locked down. Shooting victim went into school for assistance. Shooter fled in vehicle.")</f>
        <v>37YOM in vehicle was shot outside of school while students were arriving. Students and teachers took cover. School was locked down. Shooting victim went into school for assistance. Shooter fled in vehicle.</v>
      </c>
      <c r="W1129" s="1" t="str">
        <f ca="1">IFERROR(__xludf.DUMMYFUNCTION("""COMPUTED_VALUE"""),"Unknown")</f>
        <v>Unknown</v>
      </c>
      <c r="X1129" s="1" t="str">
        <f ca="1">IFERROR(__xludf.DUMMYFUNCTION("""COMPUTED_VALUE"""),"Victims Targeted")</f>
        <v>Victims Targeted</v>
      </c>
      <c r="Y1129" s="1"/>
      <c r="Z1129" s="1"/>
      <c r="AA1129" s="1" t="str">
        <f ca="1">IFERROR(__xludf.DUMMYFUNCTION("""COMPUTED_VALUE"""),"No")</f>
        <v>No</v>
      </c>
      <c r="AB1129" s="1" t="str">
        <f ca="1">IFERROR(__xludf.DUMMYFUNCTION("""COMPUTED_VALUE"""),"No")</f>
        <v>No</v>
      </c>
      <c r="AC1129" s="1" t="str">
        <f ca="1">IFERROR(__xludf.DUMMYFUNCTION("""COMPUTED_VALUE"""),"No")</f>
        <v>No</v>
      </c>
      <c r="AD1129" s="1" t="str">
        <f ca="1">IFERROR(__xludf.DUMMYFUNCTION("""COMPUTED_VALUE"""),"No")</f>
        <v>No</v>
      </c>
      <c r="AE1129" s="1" t="str">
        <f ca="1">IFERROR(__xludf.DUMMYFUNCTION("""COMPUTED_VALUE"""),"No")</f>
        <v>No</v>
      </c>
      <c r="AF1129" s="1"/>
      <c r="AG1129" s="1" t="str">
        <f ca="1">IFERROR(__xludf.DUMMYFUNCTION("""COMPUTED_VALUE"""),"No")</f>
        <v>No</v>
      </c>
      <c r="AH1129" s="1">
        <f ca="1">IFERROR(__xludf.DUMMYFUNCTION("""COMPUTED_VALUE"""),6)</f>
        <v>6</v>
      </c>
    </row>
    <row r="1130" spans="1:34" ht="12.5">
      <c r="A1130" s="1" t="str">
        <f ca="1">IFERROR(__xludf.DUMMYFUNCTION("""COMPUTED_VALUE"""),"20191124CASEU")</f>
        <v>20191124CASEU</v>
      </c>
      <c r="B1130" s="1">
        <f ca="1">IFERROR(__xludf.DUMMYFUNCTION("""COMPUTED_VALUE"""),11)</f>
        <v>11</v>
      </c>
      <c r="C1130" s="1">
        <f ca="1">IFERROR(__xludf.DUMMYFUNCTION("""COMPUTED_VALUE"""),24)</f>
        <v>24</v>
      </c>
      <c r="D1130" s="1">
        <f ca="1">IFERROR(__xludf.DUMMYFUNCTION("""COMPUTED_VALUE"""),2019)</f>
        <v>2019</v>
      </c>
      <c r="E1130" s="4">
        <f ca="1">IFERROR(__xludf.DUMMYFUNCTION("""COMPUTED_VALUE"""),43793)</f>
        <v>43793</v>
      </c>
      <c r="F1130" s="1" t="str">
        <f ca="1">IFERROR(__xludf.DUMMYFUNCTION("""COMPUTED_VALUE"""),"Searles Elementary School")</f>
        <v>Searles Elementary School</v>
      </c>
      <c r="G1130" s="1">
        <f ca="1">IFERROR(__xludf.DUMMYFUNCTION("""COMPUTED_VALUE"""),2)</f>
        <v>2</v>
      </c>
      <c r="H1130" s="1">
        <f ca="1">IFERROR(__xludf.DUMMYFUNCTION("""COMPUTED_VALUE"""),0)</f>
        <v>0</v>
      </c>
      <c r="I1130" s="1">
        <f ca="1">IFERROR(__xludf.DUMMYFUNCTION("""COMPUTED_VALUE"""),2)</f>
        <v>2</v>
      </c>
      <c r="J1130" s="1">
        <f ca="1">IFERROR(__xludf.DUMMYFUNCTION("""COMPUTED_VALUE"""),0)</f>
        <v>0</v>
      </c>
      <c r="K1130" s="1" t="str">
        <f ca="1">IFERROR(__xludf.DUMMYFUNCTION("""COMPUTED_VALUE"""),"Fall")</f>
        <v>Fall</v>
      </c>
      <c r="L1130" s="1" t="str">
        <f ca="1">IFERROR(__xludf.DUMMYFUNCTION("""COMPUTED_VALUE"""),"Union City")</f>
        <v>Union City</v>
      </c>
      <c r="M1130" s="1" t="str">
        <f ca="1">IFERROR(__xludf.DUMMYFUNCTION("""COMPUTED_VALUE"""),"CA")</f>
        <v>CA</v>
      </c>
      <c r="N1130" s="1" t="str">
        <f ca="1">IFERROR(__xludf.DUMMYFUNCTION("""COMPUTED_VALUE"""),"Elementary")</f>
        <v>Elementary</v>
      </c>
      <c r="O1130" s="1" t="str">
        <f ca="1">IFERROR(__xludf.DUMMYFUNCTION("""COMPUTED_VALUE"""),"Parking Lot")</f>
        <v>Parking Lot</v>
      </c>
      <c r="P1130" s="1" t="str">
        <f ca="1">IFERROR(__xludf.DUMMYFUNCTION("""COMPUTED_VALUE"""),"Outside on School Property")</f>
        <v>Outside on School Property</v>
      </c>
      <c r="Q1130" s="1" t="str">
        <f ca="1">IFERROR(__xludf.DUMMYFUNCTION("""COMPUTED_VALUE"""),"No")</f>
        <v>No</v>
      </c>
      <c r="R1130" s="1" t="str">
        <f ca="1">IFERROR(__xludf.DUMMYFUNCTION("""COMPUTED_VALUE"""),"Night")</f>
        <v>Night</v>
      </c>
      <c r="S1130" s="5">
        <f ca="1">IFERROR(__xludf.DUMMYFUNCTION("""COMPUTED_VALUE"""),0.0597222222222222)</f>
        <v>5.9722222222222197E-2</v>
      </c>
      <c r="T1130" s="1">
        <f ca="1">IFERROR(__xludf.DUMMYFUNCTION("""COMPUTED_VALUE"""),1)</f>
        <v>1</v>
      </c>
      <c r="U1130" s="1" t="str">
        <f ca="1">IFERROR(__xludf.DUMMYFUNCTION("""COMPUTED_VALUE"""),"2 boys sitting inside van were shot and killed in school parking lot")</f>
        <v>2 boys sitting inside van were shot and killed in school parking lot</v>
      </c>
      <c r="V1130" s="1" t="str">
        <f ca="1">IFERROR(__xludf.DUMMYFUNCTION("""COMPUTED_VALUE"""),"14YOM wounded and 11YOM killed in overnight shooting in parking lot of elementary school. Neither were students at the school. Motive unknown. 2 teens (17 and 18) arrested 2.5 months later. Both have connections to gangs. Drugs and multiple weapons recove"&amp;"red during search warrant. Third man, 20YOM, arrested in December 2020 on gang related and illegal firearms charges. Shooting is now described as part of a longstanding dispute between rival gangs.")</f>
        <v>14YOM wounded and 11YOM killed in overnight shooting in parking lot of elementary school. Neither were students at the school. Motive unknown. 2 teens (17 and 18) arrested 2.5 months later. Both have connections to gangs. Drugs and multiple weapons recovered during search warrant. Third man, 20YOM, arrested in December 2020 on gang related and illegal firearms charges. Shooting is now described as part of a longstanding dispute between rival gangs.</v>
      </c>
      <c r="W1130" s="1" t="str">
        <f ca="1">IFERROR(__xludf.DUMMYFUNCTION("""COMPUTED_VALUE"""),"Illegal Activity")</f>
        <v>Illegal Activity</v>
      </c>
      <c r="X1130" s="1" t="str">
        <f ca="1">IFERROR(__xludf.DUMMYFUNCTION("""COMPUTED_VALUE"""),"Random Shooting")</f>
        <v>Random Shooting</v>
      </c>
      <c r="Y1130" s="1" t="str">
        <f ca="1">IFERROR(__xludf.DUMMYFUNCTION("""COMPUTED_VALUE"""),"Yes")</f>
        <v>Yes</v>
      </c>
      <c r="Z1130" s="1" t="str">
        <f ca="1">IFERROR(__xludf.DUMMYFUNCTION("""COMPUTED_VALUE"""),"3 arrested and charged with murder")</f>
        <v>3 arrested and charged with murder</v>
      </c>
      <c r="AA1130" s="1" t="str">
        <f ca="1">IFERROR(__xludf.DUMMYFUNCTION("""COMPUTED_VALUE"""),"No")</f>
        <v>No</v>
      </c>
      <c r="AB1130" s="1" t="str">
        <f ca="1">IFERROR(__xludf.DUMMYFUNCTION("""COMPUTED_VALUE"""),"No")</f>
        <v>No</v>
      </c>
      <c r="AC1130" s="1" t="str">
        <f ca="1">IFERROR(__xludf.DUMMYFUNCTION("""COMPUTED_VALUE"""),"No")</f>
        <v>No</v>
      </c>
      <c r="AD1130" s="1" t="str">
        <f ca="1">IFERROR(__xludf.DUMMYFUNCTION("""COMPUTED_VALUE"""),"No")</f>
        <v>No</v>
      </c>
      <c r="AE1130" s="1" t="str">
        <f ca="1">IFERROR(__xludf.DUMMYFUNCTION("""COMPUTED_VALUE"""),"No")</f>
        <v>No</v>
      </c>
      <c r="AF1130" s="1" t="str">
        <f ca="1">IFERROR(__xludf.DUMMYFUNCTION("""COMPUTED_VALUE"""),"Yes")</f>
        <v>Yes</v>
      </c>
      <c r="AG1130" s="1" t="str">
        <f ca="1">IFERROR(__xludf.DUMMYFUNCTION("""COMPUTED_VALUE"""),"No")</f>
        <v>No</v>
      </c>
      <c r="AH1130" s="1"/>
    </row>
    <row r="1131" spans="1:34" ht="12.5">
      <c r="A1131" s="1" t="str">
        <f ca="1">IFERROR(__xludf.DUMMYFUNCTION("""COMPUTED_VALUE"""),"20191121ILRIO")</f>
        <v>20191121ILRIO</v>
      </c>
      <c r="B1131" s="1">
        <f ca="1">IFERROR(__xludf.DUMMYFUNCTION("""COMPUTED_VALUE"""),11)</f>
        <v>11</v>
      </c>
      <c r="C1131" s="1">
        <f ca="1">IFERROR(__xludf.DUMMYFUNCTION("""COMPUTED_VALUE"""),21)</f>
        <v>21</v>
      </c>
      <c r="D1131" s="1">
        <f ca="1">IFERROR(__xludf.DUMMYFUNCTION("""COMPUTED_VALUE"""),2019)</f>
        <v>2019</v>
      </c>
      <c r="E1131" s="4">
        <f ca="1">IFERROR(__xludf.DUMMYFUNCTION("""COMPUTED_VALUE"""),43790)</f>
        <v>43790</v>
      </c>
      <c r="F1131" s="1" t="str">
        <f ca="1">IFERROR(__xludf.DUMMYFUNCTION("""COMPUTED_VALUE"""),"Rich Central High School")</f>
        <v>Rich Central High School</v>
      </c>
      <c r="G1131" s="1">
        <f ca="1">IFERROR(__xludf.DUMMYFUNCTION("""COMPUTED_VALUE"""),0)</f>
        <v>0</v>
      </c>
      <c r="H1131" s="1">
        <f ca="1">IFERROR(__xludf.DUMMYFUNCTION("""COMPUTED_VALUE"""),1)</f>
        <v>1</v>
      </c>
      <c r="I1131" s="1">
        <f ca="1">IFERROR(__xludf.DUMMYFUNCTION("""COMPUTED_VALUE"""),1)</f>
        <v>1</v>
      </c>
      <c r="J1131" s="1">
        <f ca="1">IFERROR(__xludf.DUMMYFUNCTION("""COMPUTED_VALUE"""),0)</f>
        <v>0</v>
      </c>
      <c r="K1131" s="1" t="str">
        <f ca="1">IFERROR(__xludf.DUMMYFUNCTION("""COMPUTED_VALUE"""),"Fall")</f>
        <v>Fall</v>
      </c>
      <c r="L1131" s="1" t="str">
        <f ca="1">IFERROR(__xludf.DUMMYFUNCTION("""COMPUTED_VALUE"""),"Olympia Fields")</f>
        <v>Olympia Fields</v>
      </c>
      <c r="M1131" s="1" t="str">
        <f ca="1">IFERROR(__xludf.DUMMYFUNCTION("""COMPUTED_VALUE"""),"IL")</f>
        <v>IL</v>
      </c>
      <c r="N1131" s="1" t="str">
        <f ca="1">IFERROR(__xludf.DUMMYFUNCTION("""COMPUTED_VALUE"""),"High")</f>
        <v>High</v>
      </c>
      <c r="O1131" s="1" t="str">
        <f ca="1">IFERROR(__xludf.DUMMYFUNCTION("""COMPUTED_VALUE"""),"Parking Lot (Bus)")</f>
        <v>Parking Lot (Bus)</v>
      </c>
      <c r="P1131" s="1" t="str">
        <f ca="1">IFERROR(__xludf.DUMMYFUNCTION("""COMPUTED_VALUE"""),"Outside on School Property")</f>
        <v>Outside on School Property</v>
      </c>
      <c r="Q1131" s="1" t="str">
        <f ca="1">IFERROR(__xludf.DUMMYFUNCTION("""COMPUTED_VALUE"""),"Yes")</f>
        <v>Yes</v>
      </c>
      <c r="R1131" s="1" t="str">
        <f ca="1">IFERROR(__xludf.DUMMYFUNCTION("""COMPUTED_VALUE"""),"Dismissal")</f>
        <v>Dismissal</v>
      </c>
      <c r="S1131" s="5">
        <f ca="1">IFERROR(__xludf.DUMMYFUNCTION("""COMPUTED_VALUE"""),0.625)</f>
        <v>0.625</v>
      </c>
      <c r="T1131" s="1">
        <f ca="1">IFERROR(__xludf.DUMMYFUNCTION("""COMPUTED_VALUE"""),1)</f>
        <v>1</v>
      </c>
      <c r="U1131" s="1" t="str">
        <f ca="1">IFERROR(__xludf.DUMMYFUNCTION("""COMPUTED_VALUE"""),"Student fired pellet gun at bus window injuring student inside")</f>
        <v>Student fired pellet gun at bus window injuring student inside</v>
      </c>
      <c r="V1131" s="1" t="str">
        <f ca="1">IFERROR(__xludf.DUMMYFUNCTION("""COMPUTED_VALUE"""),"19YOM student fired a pellet gun at a bus window during dismissal. The pellet shattered the glass and cut the face of a 14YO student on the bus.")</f>
        <v>19YOM student fired a pellet gun at a bus window during dismissal. The pellet shattered the glass and cut the face of a 14YO student on the bus.</v>
      </c>
      <c r="W1131" s="1" t="str">
        <f ca="1">IFERROR(__xludf.DUMMYFUNCTION("""COMPUTED_VALUE"""),"Intentional Property Damage")</f>
        <v>Intentional Property Damage</v>
      </c>
      <c r="X1131" s="1" t="str">
        <f ca="1">IFERROR(__xludf.DUMMYFUNCTION("""COMPUTED_VALUE"""),"Random Shooting")</f>
        <v>Random Shooting</v>
      </c>
      <c r="Y1131" s="1" t="str">
        <f ca="1">IFERROR(__xludf.DUMMYFUNCTION("""COMPUTED_VALUE"""),"No")</f>
        <v>No</v>
      </c>
      <c r="Z1131" s="1"/>
      <c r="AA1131" s="1" t="str">
        <f ca="1">IFERROR(__xludf.DUMMYFUNCTION("""COMPUTED_VALUE"""),"No")</f>
        <v>No</v>
      </c>
      <c r="AB1131" s="1" t="str">
        <f ca="1">IFERROR(__xludf.DUMMYFUNCTION("""COMPUTED_VALUE"""),"No")</f>
        <v>No</v>
      </c>
      <c r="AC1131" s="1" t="str">
        <f ca="1">IFERROR(__xludf.DUMMYFUNCTION("""COMPUTED_VALUE"""),"No")</f>
        <v>No</v>
      </c>
      <c r="AD1131" s="1" t="str">
        <f ca="1">IFERROR(__xludf.DUMMYFUNCTION("""COMPUTED_VALUE"""),"No")</f>
        <v>No</v>
      </c>
      <c r="AE1131" s="1" t="str">
        <f ca="1">IFERROR(__xludf.DUMMYFUNCTION("""COMPUTED_VALUE"""),"No")</f>
        <v>No</v>
      </c>
      <c r="AF1131" s="1" t="str">
        <f ca="1">IFERROR(__xludf.DUMMYFUNCTION("""COMPUTED_VALUE"""),"No")</f>
        <v>No</v>
      </c>
      <c r="AG1131" s="1" t="str">
        <f ca="1">IFERROR(__xludf.DUMMYFUNCTION("""COMPUTED_VALUE"""),"No")</f>
        <v>No</v>
      </c>
      <c r="AH1131" s="1">
        <f ca="1">IFERROR(__xludf.DUMMYFUNCTION("""COMPUTED_VALUE"""),1)</f>
        <v>1</v>
      </c>
    </row>
    <row r="1132" spans="1:34" ht="12.5">
      <c r="A1132" s="1" t="str">
        <f ca="1">IFERROR(__xludf.DUMMYFUNCTION("""COMPUTED_VALUE"""),"20191115NJPLP")</f>
        <v>20191115NJPLP</v>
      </c>
      <c r="B1132" s="1">
        <f ca="1">IFERROR(__xludf.DUMMYFUNCTION("""COMPUTED_VALUE"""),11)</f>
        <v>11</v>
      </c>
      <c r="C1132" s="1">
        <f ca="1">IFERROR(__xludf.DUMMYFUNCTION("""COMPUTED_VALUE"""),15)</f>
        <v>15</v>
      </c>
      <c r="D1132" s="1">
        <f ca="1">IFERROR(__xludf.DUMMYFUNCTION("""COMPUTED_VALUE"""),2019)</f>
        <v>2019</v>
      </c>
      <c r="E1132" s="4">
        <f ca="1">IFERROR(__xludf.DUMMYFUNCTION("""COMPUTED_VALUE"""),43784)</f>
        <v>43784</v>
      </c>
      <c r="F1132" s="1" t="str">
        <f ca="1">IFERROR(__xludf.DUMMYFUNCTION("""COMPUTED_VALUE"""),"Pleasantville High School")</f>
        <v>Pleasantville High School</v>
      </c>
      <c r="G1132" s="1">
        <f ca="1">IFERROR(__xludf.DUMMYFUNCTION("""COMPUTED_VALUE"""),1)</f>
        <v>1</v>
      </c>
      <c r="H1132" s="1">
        <f ca="1">IFERROR(__xludf.DUMMYFUNCTION("""COMPUTED_VALUE"""),2)</f>
        <v>2</v>
      </c>
      <c r="I1132" s="1">
        <f ca="1">IFERROR(__xludf.DUMMYFUNCTION("""COMPUTED_VALUE"""),3)</f>
        <v>3</v>
      </c>
      <c r="J1132" s="1">
        <f ca="1">IFERROR(__xludf.DUMMYFUNCTION("""COMPUTED_VALUE"""),0)</f>
        <v>0</v>
      </c>
      <c r="K1132" s="1" t="str">
        <f ca="1">IFERROR(__xludf.DUMMYFUNCTION("""COMPUTED_VALUE"""),"Fall")</f>
        <v>Fall</v>
      </c>
      <c r="L1132" s="1" t="str">
        <f ca="1">IFERROR(__xludf.DUMMYFUNCTION("""COMPUTED_VALUE"""),"Pleasantville")</f>
        <v>Pleasantville</v>
      </c>
      <c r="M1132" s="1" t="str">
        <f ca="1">IFERROR(__xludf.DUMMYFUNCTION("""COMPUTED_VALUE"""),"NJ")</f>
        <v>NJ</v>
      </c>
      <c r="N1132" s="1" t="str">
        <f ca="1">IFERROR(__xludf.DUMMYFUNCTION("""COMPUTED_VALUE"""),"High")</f>
        <v>High</v>
      </c>
      <c r="O1132" s="1" t="str">
        <f ca="1">IFERROR(__xludf.DUMMYFUNCTION("""COMPUTED_VALUE"""),"Football Field/Track")</f>
        <v>Football Field/Track</v>
      </c>
      <c r="P1132" s="1" t="str">
        <f ca="1">IFERROR(__xludf.DUMMYFUNCTION("""COMPUTED_VALUE"""),"Outside on School Property")</f>
        <v>Outside on School Property</v>
      </c>
      <c r="Q1132" s="1" t="str">
        <f ca="1">IFERROR(__xludf.DUMMYFUNCTION("""COMPUTED_VALUE"""),"No")</f>
        <v>No</v>
      </c>
      <c r="R1132" s="1" t="str">
        <f ca="1">IFERROR(__xludf.DUMMYFUNCTION("""COMPUTED_VALUE"""),"Sport Event")</f>
        <v>Sport Event</v>
      </c>
      <c r="S1132" s="5">
        <f ca="1">IFERROR(__xludf.DUMMYFUNCTION("""COMPUTED_VALUE"""),0.895833333333333)</f>
        <v>0.89583333333333304</v>
      </c>
      <c r="T1132" s="1">
        <f ca="1">IFERROR(__xludf.DUMMYFUNCTION("""COMPUTED_VALUE"""),1)</f>
        <v>1</v>
      </c>
      <c r="U1132" s="1" t="str">
        <f ca="1">IFERROR(__xludf.DUMMYFUNCTION("""COMPUTED_VALUE"""),"Targeted shooting at football game, missed target and stuck 3 bystanders in the stands")</f>
        <v>Targeted shooting at football game, missed target and stuck 3 bystanders in the stands</v>
      </c>
      <c r="V1132" s="1" t="str">
        <f ca="1">IFERROR(__xludf.DUMMYFUNCTION("""COMPUTED_VALUE"""),"31YOM fired 6 shots at specific target during high school football game in the stands. All of the shots missed and 3 bystanders (10YOM, 15YOM, and 27YOM) were hit. Fans in the stands heard the shots and ran from the stadium. Game was suspended. 10YOM in c"&amp;"ritical condition. Shooter and 5 other males fled the scene in a car. Observed by police throwing handgun over bridge and later arrested. 10YOM victim died 5 days after the shooting.")</f>
        <v>31YOM fired 6 shots at specific target during high school football game in the stands. All of the shots missed and 3 bystanders (10YOM, 15YOM, and 27YOM) were hit. Fans in the stands heard the shots and ran from the stadium. Game was suspended. 10YOM in critical condition. Shooter and 5 other males fled the scene in a car. Observed by police throwing handgun over bridge and later arrested. 10YOM victim died 5 days after the shooting.</v>
      </c>
      <c r="W1132" s="1" t="str">
        <f ca="1">IFERROR(__xludf.DUMMYFUNCTION("""COMPUTED_VALUE"""),"Unknown")</f>
        <v>Unknown</v>
      </c>
      <c r="X1132" s="1" t="str">
        <f ca="1">IFERROR(__xludf.DUMMYFUNCTION("""COMPUTED_VALUE"""),"Both")</f>
        <v>Both</v>
      </c>
      <c r="Y1132" s="1" t="str">
        <f ca="1">IFERROR(__xludf.DUMMYFUNCTION("""COMPUTED_VALUE"""),"Yes")</f>
        <v>Yes</v>
      </c>
      <c r="Z1132" s="1" t="str">
        <f ca="1">IFERROR(__xludf.DUMMYFUNCTION("""COMPUTED_VALUE"""),"5 other males arrested and charged, multiple in car with shooter fleeing the stadium. Tyrell Dorn (28M) charged to weapons possession, guilty 7 years in prison")</f>
        <v>5 other males arrested and charged, multiple in car with shooter fleeing the stadium. Tyrell Dorn (28M) charged to weapons possession, guilty 7 years in prison</v>
      </c>
      <c r="AA1132" s="1" t="str">
        <f ca="1">IFERROR(__xludf.DUMMYFUNCTION("""COMPUTED_VALUE"""),"No")</f>
        <v>No</v>
      </c>
      <c r="AB1132" s="1" t="str">
        <f ca="1">IFERROR(__xludf.DUMMYFUNCTION("""COMPUTED_VALUE"""),"No")</f>
        <v>No</v>
      </c>
      <c r="AC1132" s="1" t="str">
        <f ca="1">IFERROR(__xludf.DUMMYFUNCTION("""COMPUTED_VALUE"""),"No")</f>
        <v>No</v>
      </c>
      <c r="AD1132" s="1" t="str">
        <f ca="1">IFERROR(__xludf.DUMMYFUNCTION("""COMPUTED_VALUE"""),"No")</f>
        <v>No</v>
      </c>
      <c r="AE1132" s="1" t="str">
        <f ca="1">IFERROR(__xludf.DUMMYFUNCTION("""COMPUTED_VALUE"""),"No")</f>
        <v>No</v>
      </c>
      <c r="AF1132" s="1"/>
      <c r="AG1132" s="1" t="str">
        <f ca="1">IFERROR(__xludf.DUMMYFUNCTION("""COMPUTED_VALUE"""),"No")</f>
        <v>No</v>
      </c>
      <c r="AH1132" s="1">
        <f ca="1">IFERROR(__xludf.DUMMYFUNCTION("""COMPUTED_VALUE"""),6)</f>
        <v>6</v>
      </c>
    </row>
    <row r="1133" spans="1:34" ht="12.5">
      <c r="A1133" s="1" t="str">
        <f ca="1">IFERROR(__xludf.DUMMYFUNCTION("""COMPUTED_VALUE"""),"20191114CASAS")</f>
        <v>20191114CASAS</v>
      </c>
      <c r="B1133" s="1">
        <f ca="1">IFERROR(__xludf.DUMMYFUNCTION("""COMPUTED_VALUE"""),11)</f>
        <v>11</v>
      </c>
      <c r="C1133" s="1">
        <f ca="1">IFERROR(__xludf.DUMMYFUNCTION("""COMPUTED_VALUE"""),14)</f>
        <v>14</v>
      </c>
      <c r="D1133" s="1">
        <f ca="1">IFERROR(__xludf.DUMMYFUNCTION("""COMPUTED_VALUE"""),2019)</f>
        <v>2019</v>
      </c>
      <c r="E1133" s="4">
        <f ca="1">IFERROR(__xludf.DUMMYFUNCTION("""COMPUTED_VALUE"""),43783)</f>
        <v>43783</v>
      </c>
      <c r="F1133" s="1" t="str">
        <f ca="1">IFERROR(__xludf.DUMMYFUNCTION("""COMPUTED_VALUE"""),"Saugus High School")</f>
        <v>Saugus High School</v>
      </c>
      <c r="G1133" s="1">
        <f ca="1">IFERROR(__xludf.DUMMYFUNCTION("""COMPUTED_VALUE"""),2)</f>
        <v>2</v>
      </c>
      <c r="H1133" s="1">
        <f ca="1">IFERROR(__xludf.DUMMYFUNCTION("""COMPUTED_VALUE"""),3)</f>
        <v>3</v>
      </c>
      <c r="I1133" s="1">
        <f ca="1">IFERROR(__xludf.DUMMYFUNCTION("""COMPUTED_VALUE"""),5)</f>
        <v>5</v>
      </c>
      <c r="J1133" s="1">
        <f ca="1">IFERROR(__xludf.DUMMYFUNCTION("""COMPUTED_VALUE"""),1)</f>
        <v>1</v>
      </c>
      <c r="K1133" s="1" t="str">
        <f ca="1">IFERROR(__xludf.DUMMYFUNCTION("""COMPUTED_VALUE"""),"Fall")</f>
        <v>Fall</v>
      </c>
      <c r="L1133" s="1" t="str">
        <f ca="1">IFERROR(__xludf.DUMMYFUNCTION("""COMPUTED_VALUE"""),"Santa Clarita")</f>
        <v>Santa Clarita</v>
      </c>
      <c r="M1133" s="1" t="str">
        <f ca="1">IFERROR(__xludf.DUMMYFUNCTION("""COMPUTED_VALUE"""),"CA")</f>
        <v>CA</v>
      </c>
      <c r="N1133" s="1" t="str">
        <f ca="1">IFERROR(__xludf.DUMMYFUNCTION("""COMPUTED_VALUE"""),"High")</f>
        <v>High</v>
      </c>
      <c r="O1133" s="1" t="str">
        <f ca="1">IFERROR(__xludf.DUMMYFUNCTION("""COMPUTED_VALUE"""),"Courtyard")</f>
        <v>Courtyard</v>
      </c>
      <c r="P1133" s="1" t="str">
        <f ca="1">IFERROR(__xludf.DUMMYFUNCTION("""COMPUTED_VALUE"""),"Outside on School Property")</f>
        <v>Outside on School Property</v>
      </c>
      <c r="Q1133" s="1" t="str">
        <f ca="1">IFERROR(__xludf.DUMMYFUNCTION("""COMPUTED_VALUE"""),"Yes")</f>
        <v>Yes</v>
      </c>
      <c r="R1133" s="1" t="str">
        <f ca="1">IFERROR(__xludf.DUMMYFUNCTION("""COMPUTED_VALUE"""),"School Start")</f>
        <v>School Start</v>
      </c>
      <c r="S1133" s="5">
        <f ca="1">IFERROR(__xludf.DUMMYFUNCTION("""COMPUTED_VALUE"""),0.318055555555555)</f>
        <v>0.31805555555555498</v>
      </c>
      <c r="T1133" s="1">
        <f ca="1">IFERROR(__xludf.DUMMYFUNCTION("""COMPUTED_VALUE"""),1)</f>
        <v>1</v>
      </c>
      <c r="U1133" s="1" t="str">
        <f ca="1">IFERROR(__xludf.DUMMYFUNCTION("""COMPUTED_VALUE"""),"Student fired at multiple students in school courtyard then commit suicide")</f>
        <v>Student fired at multiple students in school courtyard then commit suicide</v>
      </c>
      <c r="V1133" s="1" t="str">
        <f ca="1">IFERROR(__xludf.DUMMYFUNCTION("""COMPUTED_VALUE"""),"Student fired at multiple students in school courtyard then commit suicide. 6 shots were fired in 16 seconds.")</f>
        <v>Student fired at multiple students in school courtyard then commit suicide. 6 shots were fired in 16 seconds.</v>
      </c>
      <c r="W1133" s="1" t="str">
        <f ca="1">IFERROR(__xludf.DUMMYFUNCTION("""COMPUTED_VALUE"""),"Indiscriminate Shooting")</f>
        <v>Indiscriminate Shooting</v>
      </c>
      <c r="X1133" s="1" t="str">
        <f ca="1">IFERROR(__xludf.DUMMYFUNCTION("""COMPUTED_VALUE"""),"Random Shooting")</f>
        <v>Random Shooting</v>
      </c>
      <c r="Y1133" s="1" t="str">
        <f ca="1">IFERROR(__xludf.DUMMYFUNCTION("""COMPUTED_VALUE"""),"No")</f>
        <v>No</v>
      </c>
      <c r="Z1133" s="1"/>
      <c r="AA1133" s="1" t="str">
        <f ca="1">IFERROR(__xludf.DUMMYFUNCTION("""COMPUTED_VALUE"""),"No")</f>
        <v>No</v>
      </c>
      <c r="AB1133" s="1" t="str">
        <f ca="1">IFERROR(__xludf.DUMMYFUNCTION("""COMPUTED_VALUE"""),"No")</f>
        <v>No</v>
      </c>
      <c r="AC1133" s="1" t="str">
        <f ca="1">IFERROR(__xludf.DUMMYFUNCTION("""COMPUTED_VALUE"""),"No")</f>
        <v>No</v>
      </c>
      <c r="AD1133" s="1" t="str">
        <f ca="1">IFERROR(__xludf.DUMMYFUNCTION("""COMPUTED_VALUE"""),"No")</f>
        <v>No</v>
      </c>
      <c r="AE1133" s="1" t="str">
        <f ca="1">IFERROR(__xludf.DUMMYFUNCTION("""COMPUTED_VALUE"""),"No")</f>
        <v>No</v>
      </c>
      <c r="AF1133" s="1" t="str">
        <f ca="1">IFERROR(__xludf.DUMMYFUNCTION("""COMPUTED_VALUE"""),"No")</f>
        <v>No</v>
      </c>
      <c r="AG1133" s="1" t="str">
        <f ca="1">IFERROR(__xludf.DUMMYFUNCTION("""COMPUTED_VALUE"""),"Yes")</f>
        <v>Yes</v>
      </c>
      <c r="AH1133" s="1">
        <f ca="1">IFERROR(__xludf.DUMMYFUNCTION("""COMPUTED_VALUE"""),6)</f>
        <v>6</v>
      </c>
    </row>
    <row r="1134" spans="1:34" ht="12.5">
      <c r="A1134" s="1" t="str">
        <f ca="1">IFERROR(__xludf.DUMMYFUNCTION("""COMPUTED_VALUE"""),"20191113CAESL")</f>
        <v>20191113CAESL</v>
      </c>
      <c r="B1134" s="1">
        <f ca="1">IFERROR(__xludf.DUMMYFUNCTION("""COMPUTED_VALUE"""),11)</f>
        <v>11</v>
      </c>
      <c r="C1134" s="1">
        <f ca="1">IFERROR(__xludf.DUMMYFUNCTION("""COMPUTED_VALUE"""),13)</f>
        <v>13</v>
      </c>
      <c r="D1134" s="1">
        <f ca="1">IFERROR(__xludf.DUMMYFUNCTION("""COMPUTED_VALUE"""),2019)</f>
        <v>2019</v>
      </c>
      <c r="E1134" s="4">
        <f ca="1">IFERROR(__xludf.DUMMYFUNCTION("""COMPUTED_VALUE"""),43782)</f>
        <v>43782</v>
      </c>
      <c r="F1134" s="1" t="str">
        <f ca="1">IFERROR(__xludf.DUMMYFUNCTION("""COMPUTED_VALUE"""),"Esteban Torres High School")</f>
        <v>Esteban Torres High School</v>
      </c>
      <c r="G1134" s="1">
        <f ca="1">IFERROR(__xludf.DUMMYFUNCTION("""COMPUTED_VALUE"""),1)</f>
        <v>1</v>
      </c>
      <c r="H1134" s="1">
        <f ca="1">IFERROR(__xludf.DUMMYFUNCTION("""COMPUTED_VALUE"""),0)</f>
        <v>0</v>
      </c>
      <c r="I1134" s="1">
        <f ca="1">IFERROR(__xludf.DUMMYFUNCTION("""COMPUTED_VALUE"""),1)</f>
        <v>1</v>
      </c>
      <c r="J1134" s="1">
        <f ca="1">IFERROR(__xludf.DUMMYFUNCTION("""COMPUTED_VALUE"""),0)</f>
        <v>0</v>
      </c>
      <c r="K1134" s="1" t="str">
        <f ca="1">IFERROR(__xludf.DUMMYFUNCTION("""COMPUTED_VALUE"""),"Fall")</f>
        <v>Fall</v>
      </c>
      <c r="L1134" s="1" t="str">
        <f ca="1">IFERROR(__xludf.DUMMYFUNCTION("""COMPUTED_VALUE"""),"Los Angeles")</f>
        <v>Los Angeles</v>
      </c>
      <c r="M1134" s="1" t="str">
        <f ca="1">IFERROR(__xludf.DUMMYFUNCTION("""COMPUTED_VALUE"""),"CA")</f>
        <v>CA</v>
      </c>
      <c r="N1134" s="1" t="str">
        <f ca="1">IFERROR(__xludf.DUMMYFUNCTION("""COMPUTED_VALUE"""),"High")</f>
        <v>High</v>
      </c>
      <c r="O1134" s="1" t="str">
        <f ca="1">IFERROR(__xludf.DUMMYFUNCTION("""COMPUTED_VALUE"""),"Courtyard")</f>
        <v>Courtyard</v>
      </c>
      <c r="P1134" s="1" t="str">
        <f ca="1">IFERROR(__xludf.DUMMYFUNCTION("""COMPUTED_VALUE"""),"Outside on School Property")</f>
        <v>Outside on School Property</v>
      </c>
      <c r="Q1134" s="1" t="str">
        <f ca="1">IFERROR(__xludf.DUMMYFUNCTION("""COMPUTED_VALUE"""),"Yes")</f>
        <v>Yes</v>
      </c>
      <c r="R1134" s="1" t="str">
        <f ca="1">IFERROR(__xludf.DUMMYFUNCTION("""COMPUTED_VALUE"""),"Morning Classes")</f>
        <v>Morning Classes</v>
      </c>
      <c r="S1134" s="5">
        <f ca="1">IFERROR(__xludf.DUMMYFUNCTION("""COMPUTED_VALUE"""),0.375)</f>
        <v>0.375</v>
      </c>
      <c r="T1134" s="1">
        <f ca="1">IFERROR(__xludf.DUMMYFUNCTION("""COMPUTED_VALUE"""),1)</f>
        <v>1</v>
      </c>
      <c r="U1134" s="1" t="str">
        <f ca="1">IFERROR(__xludf.DUMMYFUNCTION("""COMPUTED_VALUE"""),"Officer shot and killed suspect with sword in outdoor lunch area of school campus")</f>
        <v>Officer shot and killed suspect with sword in outdoor lunch area of school campus</v>
      </c>
      <c r="V1134" s="1" t="str">
        <f ca="1">IFERROR(__xludf.DUMMYFUNCTION("""COMPUTED_VALUE"""),"Suspect with sword was involved with domestic dispute at residence 1 mile away from the school. Suspect ran from the residence and ended up on the school campus in an outdoor lunch area. Suspect threatened police officers with a 3 foot sword and was shot/"&amp;"killed by officers. School was locked down. Students inside heard gunshots and called parents to tell them about a shooting in the school. No students or school staff injured.")</f>
        <v>Suspect with sword was involved with domestic dispute at residence 1 mile away from the school. Suspect ran from the residence and ended up on the school campus in an outdoor lunch area. Suspect threatened police officers with a 3 foot sword and was shot/killed by officers. School was locked down. Students inside heard gunshots and called parents to tell them about a shooting in the school. No students or school staff injured.</v>
      </c>
      <c r="W1134" s="1" t="str">
        <f ca="1">IFERROR(__xludf.DUMMYFUNCTION("""COMPUTED_VALUE"""),"Officer-Involved Shooting")</f>
        <v>Officer-Involved Shooting</v>
      </c>
      <c r="X1134" s="1" t="str">
        <f ca="1">IFERROR(__xludf.DUMMYFUNCTION("""COMPUTED_VALUE"""),"NA")</f>
        <v>NA</v>
      </c>
      <c r="Y1134" s="1" t="str">
        <f ca="1">IFERROR(__xludf.DUMMYFUNCTION("""COMPUTED_VALUE"""),"No")</f>
        <v>No</v>
      </c>
      <c r="Z1134" s="1"/>
      <c r="AA1134" s="1" t="str">
        <f ca="1">IFERROR(__xludf.DUMMYFUNCTION("""COMPUTED_VALUE"""),"No")</f>
        <v>No</v>
      </c>
      <c r="AB1134" s="1" t="str">
        <f ca="1">IFERROR(__xludf.DUMMYFUNCTION("""COMPUTED_VALUE"""),"N/A")</f>
        <v>N/A</v>
      </c>
      <c r="AC1134" s="1" t="str">
        <f ca="1">IFERROR(__xludf.DUMMYFUNCTION("""COMPUTED_VALUE"""),"Yes")</f>
        <v>Yes</v>
      </c>
      <c r="AD1134" s="1" t="str">
        <f ca="1">IFERROR(__xludf.DUMMYFUNCTION("""COMPUTED_VALUE"""),"N/A")</f>
        <v>N/A</v>
      </c>
      <c r="AE1134" s="1" t="str">
        <f ca="1">IFERROR(__xludf.DUMMYFUNCTION("""COMPUTED_VALUE"""),"N/A")</f>
        <v>N/A</v>
      </c>
      <c r="AF1134" s="1" t="str">
        <f ca="1">IFERROR(__xludf.DUMMYFUNCTION("""COMPUTED_VALUE"""),"N/A")</f>
        <v>N/A</v>
      </c>
      <c r="AG1134" s="1" t="str">
        <f ca="1">IFERROR(__xludf.DUMMYFUNCTION("""COMPUTED_VALUE"""),"N/A")</f>
        <v>N/A</v>
      </c>
      <c r="AH1134" s="1"/>
    </row>
    <row r="1135" spans="1:34" ht="12.5">
      <c r="A1135" s="1" t="str">
        <f ca="1">IFERROR(__xludf.DUMMYFUNCTION("""COMPUTED_VALUE"""),"20191111MDACB")</f>
        <v>20191111MDACB</v>
      </c>
      <c r="B1135" s="1">
        <f ca="1">IFERROR(__xludf.DUMMYFUNCTION("""COMPUTED_VALUE"""),11)</f>
        <v>11</v>
      </c>
      <c r="C1135" s="1">
        <f ca="1">IFERROR(__xludf.DUMMYFUNCTION("""COMPUTED_VALUE"""),11)</f>
        <v>11</v>
      </c>
      <c r="D1135" s="1">
        <f ca="1">IFERROR(__xludf.DUMMYFUNCTION("""COMPUTED_VALUE"""),2019)</f>
        <v>2019</v>
      </c>
      <c r="E1135" s="4">
        <f ca="1">IFERROR(__xludf.DUMMYFUNCTION("""COMPUTED_VALUE"""),43780)</f>
        <v>43780</v>
      </c>
      <c r="F1135" s="1" t="str">
        <f ca="1">IFERROR(__xludf.DUMMYFUNCTION("""COMPUTED_VALUE"""),"Achievement Academy")</f>
        <v>Achievement Academy</v>
      </c>
      <c r="G1135" s="1">
        <f ca="1">IFERROR(__xludf.DUMMYFUNCTION("""COMPUTED_VALUE"""),0)</f>
        <v>0</v>
      </c>
      <c r="H1135" s="1">
        <f ca="1">IFERROR(__xludf.DUMMYFUNCTION("""COMPUTED_VALUE"""),1)</f>
        <v>1</v>
      </c>
      <c r="I1135" s="1">
        <f ca="1">IFERROR(__xludf.DUMMYFUNCTION("""COMPUTED_VALUE"""),1)</f>
        <v>1</v>
      </c>
      <c r="J1135" s="1">
        <f ca="1">IFERROR(__xludf.DUMMYFUNCTION("""COMPUTED_VALUE"""),0)</f>
        <v>0</v>
      </c>
      <c r="K1135" s="1" t="str">
        <f ca="1">IFERROR(__xludf.DUMMYFUNCTION("""COMPUTED_VALUE"""),"Fall")</f>
        <v>Fall</v>
      </c>
      <c r="L1135" s="1" t="str">
        <f ca="1">IFERROR(__xludf.DUMMYFUNCTION("""COMPUTED_VALUE"""),"Baltimore")</f>
        <v>Baltimore</v>
      </c>
      <c r="M1135" s="1" t="str">
        <f ca="1">IFERROR(__xludf.DUMMYFUNCTION("""COMPUTED_VALUE"""),"MD")</f>
        <v>MD</v>
      </c>
      <c r="N1135" s="1" t="str">
        <f ca="1">IFERROR(__xludf.DUMMYFUNCTION("""COMPUTED_VALUE"""),"High")</f>
        <v>High</v>
      </c>
      <c r="O1135" s="1" t="str">
        <f ca="1">IFERROR(__xludf.DUMMYFUNCTION("""COMPUTED_VALUE"""),"Parking Lot")</f>
        <v>Parking Lot</v>
      </c>
      <c r="P1135" s="1" t="str">
        <f ca="1">IFERROR(__xludf.DUMMYFUNCTION("""COMPUTED_VALUE"""),"Outside on School Property")</f>
        <v>Outside on School Property</v>
      </c>
      <c r="Q1135" s="1" t="str">
        <f ca="1">IFERROR(__xludf.DUMMYFUNCTION("""COMPUTED_VALUE"""),"Yes")</f>
        <v>Yes</v>
      </c>
      <c r="R1135" s="1" t="str">
        <f ca="1">IFERROR(__xludf.DUMMYFUNCTION("""COMPUTED_VALUE"""),"Afternoon Classes")</f>
        <v>Afternoon Classes</v>
      </c>
      <c r="S1135" s="5">
        <f ca="1">IFERROR(__xludf.DUMMYFUNCTION("""COMPUTED_VALUE"""),0.583333333333333)</f>
        <v>0.58333333333333304</v>
      </c>
      <c r="T1135" s="1">
        <f ca="1">IFERROR(__xludf.DUMMYFUNCTION("""COMPUTED_VALUE"""),1)</f>
        <v>1</v>
      </c>
      <c r="U1135" s="1" t="str">
        <f ca="1">IFERROR(__xludf.DUMMYFUNCTION("""COMPUTED_VALUE"""),"19YOM student shot outside of school then ran into school for assistance")</f>
        <v>19YOM student shot outside of school then ran into school for assistance</v>
      </c>
      <c r="V1135" s="1" t="str">
        <f ca="1">IFERROR(__xludf.DUMMYFUNCTION("""COMPUTED_VALUE"""),"19YOM student shot while getting out of vehicle outside of the school by a masked gunman. Police said the shooting was targeted and not a robbery. Police said there was a prior altercation. Three schools, Achievement Academy, Reginald F. Lewis High School"&amp;" and Success Academy share the campus.")</f>
        <v>19YOM student shot while getting out of vehicle outside of the school by a masked gunman. Police said the shooting was targeted and not a robbery. Police said there was a prior altercation. Three schools, Achievement Academy, Reginald F. Lewis High School and Success Academy share the campus.</v>
      </c>
      <c r="W1135" s="1" t="str">
        <f ca="1">IFERROR(__xludf.DUMMYFUNCTION("""COMPUTED_VALUE"""),"Escalation of Dispute")</f>
        <v>Escalation of Dispute</v>
      </c>
      <c r="X1135" s="1" t="str">
        <f ca="1">IFERROR(__xludf.DUMMYFUNCTION("""COMPUTED_VALUE"""),"Victims Targeted")</f>
        <v>Victims Targeted</v>
      </c>
      <c r="Y1135" s="1"/>
      <c r="Z1135" s="1"/>
      <c r="AA1135" s="1" t="str">
        <f ca="1">IFERROR(__xludf.DUMMYFUNCTION("""COMPUTED_VALUE"""),"No")</f>
        <v>No</v>
      </c>
      <c r="AB1135" s="1" t="str">
        <f ca="1">IFERROR(__xludf.DUMMYFUNCTION("""COMPUTED_VALUE"""),"No")</f>
        <v>No</v>
      </c>
      <c r="AC1135" s="1" t="str">
        <f ca="1">IFERROR(__xludf.DUMMYFUNCTION("""COMPUTED_VALUE"""),"No")</f>
        <v>No</v>
      </c>
      <c r="AD1135" s="1" t="str">
        <f ca="1">IFERROR(__xludf.DUMMYFUNCTION("""COMPUTED_VALUE"""),"No")</f>
        <v>No</v>
      </c>
      <c r="AE1135" s="1" t="str">
        <f ca="1">IFERROR(__xludf.DUMMYFUNCTION("""COMPUTED_VALUE"""),"No")</f>
        <v>No</v>
      </c>
      <c r="AF1135" s="1" t="str">
        <f ca="1">IFERROR(__xludf.DUMMYFUNCTION("""COMPUTED_VALUE"""),"No")</f>
        <v>No</v>
      </c>
      <c r="AG1135" s="1" t="str">
        <f ca="1">IFERROR(__xludf.DUMMYFUNCTION("""COMPUTED_VALUE"""),"No")</f>
        <v>No</v>
      </c>
      <c r="AH1135" s="1" t="str">
        <f ca="1">IFERROR(__xludf.DUMMYFUNCTION("""COMPUTED_VALUE"""),"&lt;10")</f>
        <v>&lt;10</v>
      </c>
    </row>
    <row r="1136" spans="1:34" ht="12.5">
      <c r="A1136" s="1" t="str">
        <f ca="1">IFERROR(__xludf.DUMMYFUNCTION("""COMPUTED_VALUE"""),"20191108TXROD")</f>
        <v>20191108TXROD</v>
      </c>
      <c r="B1136" s="1">
        <f ca="1">IFERROR(__xludf.DUMMYFUNCTION("""COMPUTED_VALUE"""),11)</f>
        <v>11</v>
      </c>
      <c r="C1136" s="1">
        <f ca="1">IFERROR(__xludf.DUMMYFUNCTION("""COMPUTED_VALUE"""),8)</f>
        <v>8</v>
      </c>
      <c r="D1136" s="1">
        <f ca="1">IFERROR(__xludf.DUMMYFUNCTION("""COMPUTED_VALUE"""),2019)</f>
        <v>2019</v>
      </c>
      <c r="E1136" s="4">
        <f ca="1">IFERROR(__xludf.DUMMYFUNCTION("""COMPUTED_VALUE"""),43777)</f>
        <v>43777</v>
      </c>
      <c r="F1136" s="1" t="str">
        <f ca="1">IFERROR(__xludf.DUMMYFUNCTION("""COMPUTED_VALUE"""),"Robert L. Thornton Elementary School")</f>
        <v>Robert L. Thornton Elementary School</v>
      </c>
      <c r="G1136" s="1">
        <f ca="1">IFERROR(__xludf.DUMMYFUNCTION("""COMPUTED_VALUE"""),1)</f>
        <v>1</v>
      </c>
      <c r="H1136" s="1">
        <f ca="1">IFERROR(__xludf.DUMMYFUNCTION("""COMPUTED_VALUE"""),0)</f>
        <v>0</v>
      </c>
      <c r="I1136" s="1">
        <f ca="1">IFERROR(__xludf.DUMMYFUNCTION("""COMPUTED_VALUE"""),1)</f>
        <v>1</v>
      </c>
      <c r="J1136" s="1">
        <f ca="1">IFERROR(__xludf.DUMMYFUNCTION("""COMPUTED_VALUE"""),0)</f>
        <v>0</v>
      </c>
      <c r="K1136" s="1" t="str">
        <f ca="1">IFERROR(__xludf.DUMMYFUNCTION("""COMPUTED_VALUE"""),"Fall")</f>
        <v>Fall</v>
      </c>
      <c r="L1136" s="1" t="str">
        <f ca="1">IFERROR(__xludf.DUMMYFUNCTION("""COMPUTED_VALUE"""),"Dallas")</f>
        <v>Dallas</v>
      </c>
      <c r="M1136" s="1" t="str">
        <f ca="1">IFERROR(__xludf.DUMMYFUNCTION("""COMPUTED_VALUE"""),"TX")</f>
        <v>TX</v>
      </c>
      <c r="N1136" s="1" t="str">
        <f ca="1">IFERROR(__xludf.DUMMYFUNCTION("""COMPUTED_VALUE"""),"Elementary")</f>
        <v>Elementary</v>
      </c>
      <c r="O1136" s="1" t="str">
        <f ca="1">IFERROR(__xludf.DUMMYFUNCTION("""COMPUTED_VALUE"""),"Basketball Court")</f>
        <v>Basketball Court</v>
      </c>
      <c r="P1136" s="1" t="str">
        <f ca="1">IFERROR(__xludf.DUMMYFUNCTION("""COMPUTED_VALUE"""),"Outside on School Property")</f>
        <v>Outside on School Property</v>
      </c>
      <c r="Q1136" s="1" t="str">
        <f ca="1">IFERROR(__xludf.DUMMYFUNCTION("""COMPUTED_VALUE"""),"No")</f>
        <v>No</v>
      </c>
      <c r="R1136" s="1" t="str">
        <f ca="1">IFERROR(__xludf.DUMMYFUNCTION("""COMPUTED_VALUE"""),"Evening")</f>
        <v>Evening</v>
      </c>
      <c r="S1136" s="5">
        <f ca="1">IFERROR(__xludf.DUMMYFUNCTION("""COMPUTED_VALUE"""),0.833333333333333)</f>
        <v>0.83333333333333304</v>
      </c>
      <c r="T1136" s="1">
        <f ca="1">IFERROR(__xludf.DUMMYFUNCTION("""COMPUTED_VALUE"""),1)</f>
        <v>1</v>
      </c>
      <c r="U1136" s="1" t="str">
        <f ca="1">IFERROR(__xludf.DUMMYFUNCTION("""COMPUTED_VALUE"""),"15YOM shot on school basketball court. Specific target and received prior threats.")</f>
        <v>15YOM shot on school basketball court. Specific target and received prior threats.</v>
      </c>
      <c r="V1136" s="1" t="str">
        <f ca="1">IFERROR(__xludf.DUMMYFUNCTION("""COMPUTED_VALUE"""),"15YOM shot and killed (30 shots fired) on elementary school basketball court on Friday night. Mother stated that victim had been threatened and was targeted by group of suspects. No students involved.")</f>
        <v>15YOM shot and killed (30 shots fired) on elementary school basketball court on Friday night. Mother stated that victim had been threatened and was targeted by group of suspects. No students involved.</v>
      </c>
      <c r="W1136" s="1" t="str">
        <f ca="1">IFERROR(__xludf.DUMMYFUNCTION("""COMPUTED_VALUE"""),"Escalation of Dispute")</f>
        <v>Escalation of Dispute</v>
      </c>
      <c r="X1136" s="1" t="str">
        <f ca="1">IFERROR(__xludf.DUMMYFUNCTION("""COMPUTED_VALUE"""),"Victims Targeted")</f>
        <v>Victims Targeted</v>
      </c>
      <c r="Y1136" s="1" t="str">
        <f ca="1">IFERROR(__xludf.DUMMYFUNCTION("""COMPUTED_VALUE"""),"Yes")</f>
        <v>Yes</v>
      </c>
      <c r="Z1136" s="1" t="str">
        <f ca="1">IFERROR(__xludf.DUMMYFUNCTION("""COMPUTED_VALUE"""),"Group of suspects")</f>
        <v>Group of suspects</v>
      </c>
      <c r="AA1136" s="1" t="str">
        <f ca="1">IFERROR(__xludf.DUMMYFUNCTION("""COMPUTED_VALUE"""),"No")</f>
        <v>No</v>
      </c>
      <c r="AB1136" s="1" t="str">
        <f ca="1">IFERROR(__xludf.DUMMYFUNCTION("""COMPUTED_VALUE"""),"No")</f>
        <v>No</v>
      </c>
      <c r="AC1136" s="1" t="str">
        <f ca="1">IFERROR(__xludf.DUMMYFUNCTION("""COMPUTED_VALUE"""),"No")</f>
        <v>No</v>
      </c>
      <c r="AD1136" s="1" t="str">
        <f ca="1">IFERROR(__xludf.DUMMYFUNCTION("""COMPUTED_VALUE"""),"No")</f>
        <v>No</v>
      </c>
      <c r="AE1136" s="1" t="str">
        <f ca="1">IFERROR(__xludf.DUMMYFUNCTION("""COMPUTED_VALUE"""),"No")</f>
        <v>No</v>
      </c>
      <c r="AF1136" s="1" t="str">
        <f ca="1">IFERROR(__xludf.DUMMYFUNCTION("""COMPUTED_VALUE"""),"No")</f>
        <v>No</v>
      </c>
      <c r="AG1136" s="1" t="str">
        <f ca="1">IFERROR(__xludf.DUMMYFUNCTION("""COMPUTED_VALUE"""),"No")</f>
        <v>No</v>
      </c>
      <c r="AH1136" s="1">
        <f ca="1">IFERROR(__xludf.DUMMYFUNCTION("""COMPUTED_VALUE"""),30)</f>
        <v>30</v>
      </c>
    </row>
    <row r="1137" spans="1:34" ht="12.5">
      <c r="A1137" s="1" t="str">
        <f ca="1">IFERROR(__xludf.DUMMYFUNCTION("""COMPUTED_VALUE"""),"20191108CAEDS")</f>
        <v>20191108CAEDS</v>
      </c>
      <c r="B1137" s="1">
        <f ca="1">IFERROR(__xludf.DUMMYFUNCTION("""COMPUTED_VALUE"""),11)</f>
        <v>11</v>
      </c>
      <c r="C1137" s="1">
        <f ca="1">IFERROR(__xludf.DUMMYFUNCTION("""COMPUTED_VALUE"""),8)</f>
        <v>8</v>
      </c>
      <c r="D1137" s="1">
        <f ca="1">IFERROR(__xludf.DUMMYFUNCTION("""COMPUTED_VALUE"""),2019)</f>
        <v>2019</v>
      </c>
      <c r="E1137" s="4">
        <f ca="1">IFERROR(__xludf.DUMMYFUNCTION("""COMPUTED_VALUE"""),43777)</f>
        <v>43777</v>
      </c>
      <c r="F1137" s="1" t="str">
        <f ca="1">IFERROR(__xludf.DUMMYFUNCTION("""COMPUTED_VALUE"""),"Edison High School")</f>
        <v>Edison High School</v>
      </c>
      <c r="G1137" s="1">
        <f ca="1">IFERROR(__xludf.DUMMYFUNCTION("""COMPUTED_VALUE"""),0)</f>
        <v>0</v>
      </c>
      <c r="H1137" s="1">
        <f ca="1">IFERROR(__xludf.DUMMYFUNCTION("""COMPUTED_VALUE"""),0)</f>
        <v>0</v>
      </c>
      <c r="I1137" s="1">
        <f ca="1">IFERROR(__xludf.DUMMYFUNCTION("""COMPUTED_VALUE"""),0)</f>
        <v>0</v>
      </c>
      <c r="J1137" s="1">
        <f ca="1">IFERROR(__xludf.DUMMYFUNCTION("""COMPUTED_VALUE"""),0)</f>
        <v>0</v>
      </c>
      <c r="K1137" s="1" t="str">
        <f ca="1">IFERROR(__xludf.DUMMYFUNCTION("""COMPUTED_VALUE"""),"Fall")</f>
        <v>Fall</v>
      </c>
      <c r="L1137" s="1" t="str">
        <f ca="1">IFERROR(__xludf.DUMMYFUNCTION("""COMPUTED_VALUE"""),"Stockton")</f>
        <v>Stockton</v>
      </c>
      <c r="M1137" s="1" t="str">
        <f ca="1">IFERROR(__xludf.DUMMYFUNCTION("""COMPUTED_VALUE"""),"CA")</f>
        <v>CA</v>
      </c>
      <c r="N1137" s="1" t="str">
        <f ca="1">IFERROR(__xludf.DUMMYFUNCTION("""COMPUTED_VALUE"""),"High")</f>
        <v>High</v>
      </c>
      <c r="O1137" s="1" t="str">
        <f ca="1">IFERROR(__xludf.DUMMYFUNCTION("""COMPUTED_VALUE"""),"Football Field/Track")</f>
        <v>Football Field/Track</v>
      </c>
      <c r="P1137" s="1" t="str">
        <f ca="1">IFERROR(__xludf.DUMMYFUNCTION("""COMPUTED_VALUE"""),"Outside on School Property")</f>
        <v>Outside on School Property</v>
      </c>
      <c r="Q1137" s="1" t="str">
        <f ca="1">IFERROR(__xludf.DUMMYFUNCTION("""COMPUTED_VALUE"""),"No")</f>
        <v>No</v>
      </c>
      <c r="R1137" s="1" t="str">
        <f ca="1">IFERROR(__xludf.DUMMYFUNCTION("""COMPUTED_VALUE"""),"Sport Event")</f>
        <v>Sport Event</v>
      </c>
      <c r="S1137" s="5">
        <f ca="1">IFERROR(__xludf.DUMMYFUNCTION("""COMPUTED_VALUE"""),0.90625)</f>
        <v>0.90625</v>
      </c>
      <c r="T1137" s="1">
        <f ca="1">IFERROR(__xludf.DUMMYFUNCTION("""COMPUTED_VALUE"""),1)</f>
        <v>1</v>
      </c>
      <c r="U1137" s="1" t="str">
        <f ca="1">IFERROR(__xludf.DUMMYFUNCTION("""COMPUTED_VALUE"""),"Shots fired in parking lot during football game, stadium locked down")</f>
        <v>Shots fired in parking lot during football game, stadium locked down</v>
      </c>
      <c r="V1137" s="1" t="str">
        <f ca="1">IFERROR(__xludf.DUMMYFUNCTION("""COMPUTED_VALUE"""),"More than 10 shots were fired in the school parking lot during a football game. Attendees in the stands heard the shots and many fled the stadium. Game was suspended and the stadium was locked down. Game resumed after police determined there was no threat"&amp;". Shell casing and bullet holes in cars were found in the school parking lot. No injuries")</f>
        <v>More than 10 shots were fired in the school parking lot during a football game. Attendees in the stands heard the shots and many fled the stadium. Game was suspended and the stadium was locked down. Game resumed after police determined there was no threat. Shell casing and bullet holes in cars were found in the school parking lot. No injuries</v>
      </c>
      <c r="W1137" s="1" t="str">
        <f ca="1">IFERROR(__xludf.DUMMYFUNCTION("""COMPUTED_VALUE"""),"Escalation of Dispute")</f>
        <v>Escalation of Dispute</v>
      </c>
      <c r="X1137" s="1"/>
      <c r="Y1137" s="1"/>
      <c r="Z1137" s="1"/>
      <c r="AA1137" s="1" t="str">
        <f ca="1">IFERROR(__xludf.DUMMYFUNCTION("""COMPUTED_VALUE"""),"No")</f>
        <v>No</v>
      </c>
      <c r="AB1137" s="1" t="str">
        <f ca="1">IFERROR(__xludf.DUMMYFUNCTION("""COMPUTED_VALUE"""),"No")</f>
        <v>No</v>
      </c>
      <c r="AC1137" s="1" t="str">
        <f ca="1">IFERROR(__xludf.DUMMYFUNCTION("""COMPUTED_VALUE"""),"No")</f>
        <v>No</v>
      </c>
      <c r="AD1137" s="1" t="str">
        <f ca="1">IFERROR(__xludf.DUMMYFUNCTION("""COMPUTED_VALUE"""),"No")</f>
        <v>No</v>
      </c>
      <c r="AE1137" s="1" t="str">
        <f ca="1">IFERROR(__xludf.DUMMYFUNCTION("""COMPUTED_VALUE"""),"No")</f>
        <v>No</v>
      </c>
      <c r="AF1137" s="1"/>
      <c r="AG1137" s="1" t="str">
        <f ca="1">IFERROR(__xludf.DUMMYFUNCTION("""COMPUTED_VALUE"""),"No")</f>
        <v>No</v>
      </c>
      <c r="AH1137" s="1" t="str">
        <f ca="1">IFERROR(__xludf.DUMMYFUNCTION("""COMPUTED_VALUE"""),"&gt;10")</f>
        <v>&gt;10</v>
      </c>
    </row>
    <row r="1138" spans="1:34" ht="12.5">
      <c r="A1138" s="1" t="str">
        <f ca="1">IFERROR(__xludf.DUMMYFUNCTION("""COMPUTED_VALUE"""),"20191029NYNEN")</f>
        <v>20191029NYNEN</v>
      </c>
      <c r="B1138" s="1">
        <f ca="1">IFERROR(__xludf.DUMMYFUNCTION("""COMPUTED_VALUE"""),10)</f>
        <v>10</v>
      </c>
      <c r="C1138" s="1">
        <f ca="1">IFERROR(__xludf.DUMMYFUNCTION("""COMPUTED_VALUE"""),29)</f>
        <v>29</v>
      </c>
      <c r="D1138" s="1">
        <f ca="1">IFERROR(__xludf.DUMMYFUNCTION("""COMPUTED_VALUE"""),2019)</f>
        <v>2019</v>
      </c>
      <c r="E1138" s="4">
        <f ca="1">IFERROR(__xludf.DUMMYFUNCTION("""COMPUTED_VALUE"""),43767)</f>
        <v>43767</v>
      </c>
      <c r="F1138" s="1" t="str">
        <f ca="1">IFERROR(__xludf.DUMMYFUNCTION("""COMPUTED_VALUE"""),"New Dawn Charter High School")</f>
        <v>New Dawn Charter High School</v>
      </c>
      <c r="G1138" s="1">
        <f ca="1">IFERROR(__xludf.DUMMYFUNCTION("""COMPUTED_VALUE"""),0)</f>
        <v>0</v>
      </c>
      <c r="H1138" s="1">
        <f ca="1">IFERROR(__xludf.DUMMYFUNCTION("""COMPUTED_VALUE"""),1)</f>
        <v>1</v>
      </c>
      <c r="I1138" s="1">
        <f ca="1">IFERROR(__xludf.DUMMYFUNCTION("""COMPUTED_VALUE"""),1)</f>
        <v>1</v>
      </c>
      <c r="J1138" s="1">
        <f ca="1">IFERROR(__xludf.DUMMYFUNCTION("""COMPUTED_VALUE"""),0)</f>
        <v>0</v>
      </c>
      <c r="K1138" s="1" t="str">
        <f ca="1">IFERROR(__xludf.DUMMYFUNCTION("""COMPUTED_VALUE"""),"Fall")</f>
        <v>Fall</v>
      </c>
      <c r="L1138" s="1" t="str">
        <f ca="1">IFERROR(__xludf.DUMMYFUNCTION("""COMPUTED_VALUE"""),"New York")</f>
        <v>New York</v>
      </c>
      <c r="M1138" s="1" t="str">
        <f ca="1">IFERROR(__xludf.DUMMYFUNCTION("""COMPUTED_VALUE"""),"NY")</f>
        <v>NY</v>
      </c>
      <c r="N1138" s="1" t="str">
        <f ca="1">IFERROR(__xludf.DUMMYFUNCTION("""COMPUTED_VALUE"""),"High")</f>
        <v>High</v>
      </c>
      <c r="O1138" s="1" t="str">
        <f ca="1">IFERROR(__xludf.DUMMYFUNCTION("""COMPUTED_VALUE"""),"Front of School")</f>
        <v>Front of School</v>
      </c>
      <c r="P1138" s="1" t="str">
        <f ca="1">IFERROR(__xludf.DUMMYFUNCTION("""COMPUTED_VALUE"""),"Outside on School Property")</f>
        <v>Outside on School Property</v>
      </c>
      <c r="Q1138" s="1" t="str">
        <f ca="1">IFERROR(__xludf.DUMMYFUNCTION("""COMPUTED_VALUE"""),"Yes")</f>
        <v>Yes</v>
      </c>
      <c r="R1138" s="1" t="str">
        <f ca="1">IFERROR(__xludf.DUMMYFUNCTION("""COMPUTED_VALUE"""),"Dismissal")</f>
        <v>Dismissal</v>
      </c>
      <c r="S1138" s="5">
        <f ca="1">IFERROR(__xludf.DUMMYFUNCTION("""COMPUTED_VALUE"""),0.666666666666666)</f>
        <v>0.66666666666666596</v>
      </c>
      <c r="T1138" s="1">
        <f ca="1">IFERROR(__xludf.DUMMYFUNCTION("""COMPUTED_VALUE"""),1)</f>
        <v>1</v>
      </c>
      <c r="U1138" s="1" t="str">
        <f ca="1">IFERROR(__xludf.DUMMYFUNCTION("""COMPUTED_VALUE"""),"Female student bystander shot during fight after school")</f>
        <v>Female student bystander shot during fight after school</v>
      </c>
      <c r="V1138" s="1" t="str">
        <f ca="1">IFERROR(__xludf.DUMMYFUNCTION("""COMPUTED_VALUE"""),"Shots fired during fight outside of school at dismissal. 16YOF stuck by stray shot. Not intended target. Shooter fled. Police searching for 3 suspects.")</f>
        <v>Shots fired during fight outside of school at dismissal. 16YOF stuck by stray shot. Not intended target. Shooter fled. Police searching for 3 suspects.</v>
      </c>
      <c r="W1138" s="1" t="str">
        <f ca="1">IFERROR(__xludf.DUMMYFUNCTION("""COMPUTED_VALUE"""),"Escalation of Dispute")</f>
        <v>Escalation of Dispute</v>
      </c>
      <c r="X1138" s="1" t="str">
        <f ca="1">IFERROR(__xludf.DUMMYFUNCTION("""COMPUTED_VALUE"""),"Both")</f>
        <v>Both</v>
      </c>
      <c r="Y1138" s="1" t="str">
        <f ca="1">IFERROR(__xludf.DUMMYFUNCTION("""COMPUTED_VALUE"""),"Yes")</f>
        <v>Yes</v>
      </c>
      <c r="Z1138" s="1" t="str">
        <f ca="1">IFERROR(__xludf.DUMMYFUNCTION("""COMPUTED_VALUE"""),"Police looking for 3 suspects")</f>
        <v>Police looking for 3 suspects</v>
      </c>
      <c r="AA1138" s="1" t="str">
        <f ca="1">IFERROR(__xludf.DUMMYFUNCTION("""COMPUTED_VALUE"""),"No")</f>
        <v>No</v>
      </c>
      <c r="AB1138" s="1" t="str">
        <f ca="1">IFERROR(__xludf.DUMMYFUNCTION("""COMPUTED_VALUE"""),"No")</f>
        <v>No</v>
      </c>
      <c r="AC1138" s="1" t="str">
        <f ca="1">IFERROR(__xludf.DUMMYFUNCTION("""COMPUTED_VALUE"""),"No")</f>
        <v>No</v>
      </c>
      <c r="AD1138" s="1"/>
      <c r="AE1138" s="1" t="str">
        <f ca="1">IFERROR(__xludf.DUMMYFUNCTION("""COMPUTED_VALUE"""),"No")</f>
        <v>No</v>
      </c>
      <c r="AF1138" s="1" t="str">
        <f ca="1">IFERROR(__xludf.DUMMYFUNCTION("""COMPUTED_VALUE"""),"No")</f>
        <v>No</v>
      </c>
      <c r="AG1138" s="1" t="str">
        <f ca="1">IFERROR(__xludf.DUMMYFUNCTION("""COMPUTED_VALUE"""),"No")</f>
        <v>No</v>
      </c>
      <c r="AH1138" s="1">
        <f ca="1">IFERROR(__xludf.DUMMYFUNCTION("""COMPUTED_VALUE"""),4)</f>
        <v>4</v>
      </c>
    </row>
    <row r="1139" spans="1:34" ht="12.5">
      <c r="A1139" s="1" t="str">
        <f ca="1">IFERROR(__xludf.DUMMYFUNCTION("""COMPUTED_VALUE"""),"20191027MDLAL")</f>
        <v>20191027MDLAL</v>
      </c>
      <c r="B1139" s="1">
        <f ca="1">IFERROR(__xludf.DUMMYFUNCTION("""COMPUTED_VALUE"""),10)</f>
        <v>10</v>
      </c>
      <c r="C1139" s="1">
        <f ca="1">IFERROR(__xludf.DUMMYFUNCTION("""COMPUTED_VALUE"""),27)</f>
        <v>27</v>
      </c>
      <c r="D1139" s="1">
        <f ca="1">IFERROR(__xludf.DUMMYFUNCTION("""COMPUTED_VALUE"""),2019)</f>
        <v>2019</v>
      </c>
      <c r="E1139" s="4">
        <f ca="1">IFERROR(__xludf.DUMMYFUNCTION("""COMPUTED_VALUE"""),43765)</f>
        <v>43765</v>
      </c>
      <c r="F1139" s="1" t="str">
        <f ca="1">IFERROR(__xludf.DUMMYFUNCTION("""COMPUTED_VALUE"""),"Laurel Woods Elementary School")</f>
        <v>Laurel Woods Elementary School</v>
      </c>
      <c r="G1139" s="1">
        <f ca="1">IFERROR(__xludf.DUMMYFUNCTION("""COMPUTED_VALUE"""),0)</f>
        <v>0</v>
      </c>
      <c r="H1139" s="1">
        <f ca="1">IFERROR(__xludf.DUMMYFUNCTION("""COMPUTED_VALUE"""),1)</f>
        <v>1</v>
      </c>
      <c r="I1139" s="1">
        <f ca="1">IFERROR(__xludf.DUMMYFUNCTION("""COMPUTED_VALUE"""),1)</f>
        <v>1</v>
      </c>
      <c r="J1139" s="1">
        <f ca="1">IFERROR(__xludf.DUMMYFUNCTION("""COMPUTED_VALUE"""),0)</f>
        <v>0</v>
      </c>
      <c r="K1139" s="1" t="str">
        <f ca="1">IFERROR(__xludf.DUMMYFUNCTION("""COMPUTED_VALUE"""),"Fall")</f>
        <v>Fall</v>
      </c>
      <c r="L1139" s="1" t="str">
        <f ca="1">IFERROR(__xludf.DUMMYFUNCTION("""COMPUTED_VALUE"""),"Laurel")</f>
        <v>Laurel</v>
      </c>
      <c r="M1139" s="1" t="str">
        <f ca="1">IFERROR(__xludf.DUMMYFUNCTION("""COMPUTED_VALUE"""),"MD")</f>
        <v>MD</v>
      </c>
      <c r="N1139" s="1" t="str">
        <f ca="1">IFERROR(__xludf.DUMMYFUNCTION("""COMPUTED_VALUE"""),"Elementary")</f>
        <v>Elementary</v>
      </c>
      <c r="O1139" s="1" t="str">
        <f ca="1">IFERROR(__xludf.DUMMYFUNCTION("""COMPUTED_VALUE"""),"Parking Lot")</f>
        <v>Parking Lot</v>
      </c>
      <c r="P1139" s="1" t="str">
        <f ca="1">IFERROR(__xludf.DUMMYFUNCTION("""COMPUTED_VALUE"""),"Outside on School Property")</f>
        <v>Outside on School Property</v>
      </c>
      <c r="Q1139" s="1" t="str">
        <f ca="1">IFERROR(__xludf.DUMMYFUNCTION("""COMPUTED_VALUE"""),"No")</f>
        <v>No</v>
      </c>
      <c r="R1139" s="1" t="str">
        <f ca="1">IFERROR(__xludf.DUMMYFUNCTION("""COMPUTED_VALUE"""),"Not a School Day")</f>
        <v>Not a School Day</v>
      </c>
      <c r="S1139" s="5">
        <f ca="1">IFERROR(__xludf.DUMMYFUNCTION("""COMPUTED_VALUE"""),0.820833333333333)</f>
        <v>0.82083333333333297</v>
      </c>
      <c r="T1139" s="1">
        <f ca="1">IFERROR(__xludf.DUMMYFUNCTION("""COMPUTED_VALUE"""),1)</f>
        <v>1</v>
      </c>
      <c r="U1139" s="1" t="str">
        <f ca="1">IFERROR(__xludf.DUMMYFUNCTION("""COMPUTED_VALUE"""),"Adult female shot in parking lot of school following memorial service unrelated to the school")</f>
        <v>Adult female shot in parking lot of school following memorial service unrelated to the school</v>
      </c>
      <c r="V1139" s="1" t="str">
        <f ca="1">IFERROR(__xludf.DUMMYFUNCTION("""COMPUTED_VALUE"""),"Adult female was shot in the school parking lot following a memorial service at the school (unrelated to the school). Motive unknown. 34YOM fled and was arrested the following day.")</f>
        <v>Adult female was shot in the school parking lot following a memorial service at the school (unrelated to the school). Motive unknown. 34YOM fled and was arrested the following day.</v>
      </c>
      <c r="W1139" s="1" t="str">
        <f ca="1">IFERROR(__xludf.DUMMYFUNCTION("""COMPUTED_VALUE"""),"Escalation of Dispute")</f>
        <v>Escalation of Dispute</v>
      </c>
      <c r="X1139" s="1" t="str">
        <f ca="1">IFERROR(__xludf.DUMMYFUNCTION("""COMPUTED_VALUE"""),"Both")</f>
        <v>Both</v>
      </c>
      <c r="Y1139" s="1"/>
      <c r="Z1139" s="1"/>
      <c r="AA1139" s="1" t="str">
        <f ca="1">IFERROR(__xludf.DUMMYFUNCTION("""COMPUTED_VALUE"""),"No")</f>
        <v>No</v>
      </c>
      <c r="AB1139" s="1" t="str">
        <f ca="1">IFERROR(__xludf.DUMMYFUNCTION("""COMPUTED_VALUE"""),"No")</f>
        <v>No</v>
      </c>
      <c r="AC1139" s="1" t="str">
        <f ca="1">IFERROR(__xludf.DUMMYFUNCTION("""COMPUTED_VALUE"""),"No")</f>
        <v>No</v>
      </c>
      <c r="AD1139" s="1" t="str">
        <f ca="1">IFERROR(__xludf.DUMMYFUNCTION("""COMPUTED_VALUE"""),"No")</f>
        <v>No</v>
      </c>
      <c r="AE1139" s="1" t="str">
        <f ca="1">IFERROR(__xludf.DUMMYFUNCTION("""COMPUTED_VALUE"""),"No")</f>
        <v>No</v>
      </c>
      <c r="AF1139" s="1"/>
      <c r="AG1139" s="1" t="str">
        <f ca="1">IFERROR(__xludf.DUMMYFUNCTION("""COMPUTED_VALUE"""),"No")</f>
        <v>No</v>
      </c>
      <c r="AH1139" s="1" t="str">
        <f ca="1">IFERROR(__xludf.DUMMYFUNCTION("""COMPUTED_VALUE"""),"&lt;10")</f>
        <v>&lt;10</v>
      </c>
    </row>
    <row r="1140" spans="1:34" ht="12.5">
      <c r="A1140" s="1" t="str">
        <f ca="1">IFERROR(__xludf.DUMMYFUNCTION("""COMPUTED_VALUE"""),"20191022NJBRB")</f>
        <v>20191022NJBRB</v>
      </c>
      <c r="B1140" s="1">
        <f ca="1">IFERROR(__xludf.DUMMYFUNCTION("""COMPUTED_VALUE"""),10)</f>
        <v>10</v>
      </c>
      <c r="C1140" s="1">
        <f ca="1">IFERROR(__xludf.DUMMYFUNCTION("""COMPUTED_VALUE"""),22)</f>
        <v>22</v>
      </c>
      <c r="D1140" s="1">
        <f ca="1">IFERROR(__xludf.DUMMYFUNCTION("""COMPUTED_VALUE"""),2019)</f>
        <v>2019</v>
      </c>
      <c r="E1140" s="4">
        <f ca="1">IFERROR(__xludf.DUMMYFUNCTION("""COMPUTED_VALUE"""),43760)</f>
        <v>43760</v>
      </c>
      <c r="F1140" s="1" t="str">
        <f ca="1">IFERROR(__xludf.DUMMYFUNCTION("""COMPUTED_VALUE"""),"Brick Memorial High School")</f>
        <v>Brick Memorial High School</v>
      </c>
      <c r="G1140" s="1">
        <f ca="1">IFERROR(__xludf.DUMMYFUNCTION("""COMPUTED_VALUE"""),0)</f>
        <v>0</v>
      </c>
      <c r="H1140" s="1">
        <f ca="1">IFERROR(__xludf.DUMMYFUNCTION("""COMPUTED_VALUE"""),1)</f>
        <v>1</v>
      </c>
      <c r="I1140" s="1">
        <f ca="1">IFERROR(__xludf.DUMMYFUNCTION("""COMPUTED_VALUE"""),1)</f>
        <v>1</v>
      </c>
      <c r="J1140" s="1">
        <f ca="1">IFERROR(__xludf.DUMMYFUNCTION("""COMPUTED_VALUE"""),0)</f>
        <v>0</v>
      </c>
      <c r="K1140" s="1" t="str">
        <f ca="1">IFERROR(__xludf.DUMMYFUNCTION("""COMPUTED_VALUE"""),"Fall")</f>
        <v>Fall</v>
      </c>
      <c r="L1140" s="1" t="str">
        <f ca="1">IFERROR(__xludf.DUMMYFUNCTION("""COMPUTED_VALUE"""),"Brick Township")</f>
        <v>Brick Township</v>
      </c>
      <c r="M1140" s="1" t="str">
        <f ca="1">IFERROR(__xludf.DUMMYFUNCTION("""COMPUTED_VALUE"""),"NJ")</f>
        <v>NJ</v>
      </c>
      <c r="N1140" s="1" t="str">
        <f ca="1">IFERROR(__xludf.DUMMYFUNCTION("""COMPUTED_VALUE"""),"High")</f>
        <v>High</v>
      </c>
      <c r="O1140" s="1" t="str">
        <f ca="1">IFERROR(__xludf.DUMMYFUNCTION("""COMPUTED_VALUE"""),"Off School Property")</f>
        <v>Off School Property</v>
      </c>
      <c r="P1140" s="1" t="str">
        <f ca="1">IFERROR(__xludf.DUMMYFUNCTION("""COMPUTED_VALUE"""),"Off School Property")</f>
        <v>Off School Property</v>
      </c>
      <c r="Q1140" s="1" t="str">
        <f ca="1">IFERROR(__xludf.DUMMYFUNCTION("""COMPUTED_VALUE"""),"Yes")</f>
        <v>Yes</v>
      </c>
      <c r="R1140" s="1" t="str">
        <f ca="1">IFERROR(__xludf.DUMMYFUNCTION("""COMPUTED_VALUE"""),"Afternoon Classes")</f>
        <v>Afternoon Classes</v>
      </c>
      <c r="S1140" s="5">
        <f ca="1">IFERROR(__xludf.DUMMYFUNCTION("""COMPUTED_VALUE"""),0.572916666666666)</f>
        <v>0.57291666666666596</v>
      </c>
      <c r="T1140" s="1">
        <f ca="1">IFERROR(__xludf.DUMMYFUNCTION("""COMPUTED_VALUE"""),1)</f>
        <v>1</v>
      </c>
      <c r="U1140" s="1" t="str">
        <f ca="1">IFERROR(__xludf.DUMMYFUNCTION("""COMPUTED_VALUE"""),"Teen shot near school by another teen, ran back to school for help")</f>
        <v>Teen shot near school by another teen, ran back to school for help</v>
      </c>
      <c r="V1140" s="1" t="str">
        <f ca="1">IFERROR(__xludf.DUMMYFUNCTION("""COMPUTED_VALUE"""),"Teen student and three other teen students were walking home 1/4 mile from the school. The victim was shot by another teen and the victim ran back to the school for assistance. The school and neighboring schools were locked down. Video footage identified "&amp;"the suspect (17YOM) who was later arrested and charged as an adult. Second teen seen on video with the shooter was also charged.")</f>
        <v>Teen student and three other teen students were walking home 1/4 mile from the school. The victim was shot by another teen and the victim ran back to the school for assistance. The school and neighboring schools were locked down. Video footage identified the suspect (17YOM) who was later arrested and charged as an adult. Second teen seen on video with the shooter was also charged.</v>
      </c>
      <c r="W1140" s="1"/>
      <c r="X1140" s="1" t="str">
        <f ca="1">IFERROR(__xludf.DUMMYFUNCTION("""COMPUTED_VALUE"""),"Victims Targeted")</f>
        <v>Victims Targeted</v>
      </c>
      <c r="Y1140" s="1" t="str">
        <f ca="1">IFERROR(__xludf.DUMMYFUNCTION("""COMPUTED_VALUE"""),"Yes")</f>
        <v>Yes</v>
      </c>
      <c r="Z1140" s="1" t="str">
        <f ca="1">IFERROR(__xludf.DUMMYFUNCTION("""COMPUTED_VALUE"""),"Second teen charged with conspiracy to commit aggravated assault")</f>
        <v>Second teen charged with conspiracy to commit aggravated assault</v>
      </c>
      <c r="AA1140" s="1" t="str">
        <f ca="1">IFERROR(__xludf.DUMMYFUNCTION("""COMPUTED_VALUE"""),"No")</f>
        <v>No</v>
      </c>
      <c r="AB1140" s="1" t="str">
        <f ca="1">IFERROR(__xludf.DUMMYFUNCTION("""COMPUTED_VALUE"""),"No")</f>
        <v>No</v>
      </c>
      <c r="AC1140" s="1" t="str">
        <f ca="1">IFERROR(__xludf.DUMMYFUNCTION("""COMPUTED_VALUE"""),"No")</f>
        <v>No</v>
      </c>
      <c r="AD1140" s="1"/>
      <c r="AE1140" s="1" t="str">
        <f ca="1">IFERROR(__xludf.DUMMYFUNCTION("""COMPUTED_VALUE"""),"No")</f>
        <v>No</v>
      </c>
      <c r="AF1140" s="1"/>
      <c r="AG1140" s="1" t="str">
        <f ca="1">IFERROR(__xludf.DUMMYFUNCTION("""COMPUTED_VALUE"""),"No")</f>
        <v>No</v>
      </c>
      <c r="AH1140" s="1"/>
    </row>
    <row r="1141" spans="1:34" ht="12.5">
      <c r="A1141" s="1" t="str">
        <f ca="1">IFERROR(__xludf.DUMMYFUNCTION("""COMPUTED_VALUE"""),"20191022CARIS")</f>
        <v>20191022CARIS</v>
      </c>
      <c r="B1141" s="1">
        <f ca="1">IFERROR(__xludf.DUMMYFUNCTION("""COMPUTED_VALUE"""),10)</f>
        <v>10</v>
      </c>
      <c r="C1141" s="1">
        <f ca="1">IFERROR(__xludf.DUMMYFUNCTION("""COMPUTED_VALUE"""),22)</f>
        <v>22</v>
      </c>
      <c r="D1141" s="1">
        <f ca="1">IFERROR(__xludf.DUMMYFUNCTION("""COMPUTED_VALUE"""),2019)</f>
        <v>2019</v>
      </c>
      <c r="E1141" s="4">
        <f ca="1">IFERROR(__xludf.DUMMYFUNCTION("""COMPUTED_VALUE"""),43760)</f>
        <v>43760</v>
      </c>
      <c r="F1141" s="1" t="str">
        <f ca="1">IFERROR(__xludf.DUMMYFUNCTION("""COMPUTED_VALUE"""),"Ridgway High School")</f>
        <v>Ridgway High School</v>
      </c>
      <c r="G1141" s="1">
        <f ca="1">IFERROR(__xludf.DUMMYFUNCTION("""COMPUTED_VALUE"""),0)</f>
        <v>0</v>
      </c>
      <c r="H1141" s="1">
        <f ca="1">IFERROR(__xludf.DUMMYFUNCTION("""COMPUTED_VALUE"""),1)</f>
        <v>1</v>
      </c>
      <c r="I1141" s="1">
        <f ca="1">IFERROR(__xludf.DUMMYFUNCTION("""COMPUTED_VALUE"""),1)</f>
        <v>1</v>
      </c>
      <c r="J1141" s="1">
        <f ca="1">IFERROR(__xludf.DUMMYFUNCTION("""COMPUTED_VALUE"""),0)</f>
        <v>0</v>
      </c>
      <c r="K1141" s="1" t="str">
        <f ca="1">IFERROR(__xludf.DUMMYFUNCTION("""COMPUTED_VALUE"""),"Fall")</f>
        <v>Fall</v>
      </c>
      <c r="L1141" s="1" t="str">
        <f ca="1">IFERROR(__xludf.DUMMYFUNCTION("""COMPUTED_VALUE"""),"Santa Rosa")</f>
        <v>Santa Rosa</v>
      </c>
      <c r="M1141" s="1" t="str">
        <f ca="1">IFERROR(__xludf.DUMMYFUNCTION("""COMPUTED_VALUE"""),"CA")</f>
        <v>CA</v>
      </c>
      <c r="N1141" s="1" t="str">
        <f ca="1">IFERROR(__xludf.DUMMYFUNCTION("""COMPUTED_VALUE"""),"High")</f>
        <v>High</v>
      </c>
      <c r="O1141" s="1" t="str">
        <f ca="1">IFERROR(__xludf.DUMMYFUNCTION("""COMPUTED_VALUE"""),"Beside Building")</f>
        <v>Beside Building</v>
      </c>
      <c r="P1141" s="1" t="str">
        <f ca="1">IFERROR(__xludf.DUMMYFUNCTION("""COMPUTED_VALUE"""),"Outside on School Property")</f>
        <v>Outside on School Property</v>
      </c>
      <c r="Q1141" s="1" t="str">
        <f ca="1">IFERROR(__xludf.DUMMYFUNCTION("""COMPUTED_VALUE"""),"Yes")</f>
        <v>Yes</v>
      </c>
      <c r="R1141" s="1" t="str">
        <f ca="1">IFERROR(__xludf.DUMMYFUNCTION("""COMPUTED_VALUE"""),"Morning Classes")</f>
        <v>Morning Classes</v>
      </c>
      <c r="S1141" s="5">
        <f ca="1">IFERROR(__xludf.DUMMYFUNCTION("""COMPUTED_VALUE"""),0.372222222222222)</f>
        <v>0.37222222222222201</v>
      </c>
      <c r="T1141" s="1">
        <f ca="1">IFERROR(__xludf.DUMMYFUNCTION("""COMPUTED_VALUE"""),1)</f>
        <v>1</v>
      </c>
      <c r="U1141" s="1" t="str">
        <f ca="1">IFERROR(__xludf.DUMMYFUNCTION("""COMPUTED_VALUE"""),"Student shot another student following argument outside of school building, gave gun to driver in a car, and then returned to class in the school building")</f>
        <v>Student shot another student following argument outside of school building, gave gun to driver in a car, and then returned to class in the school building</v>
      </c>
      <c r="V1141" s="1" t="str">
        <f ca="1">IFERROR(__xludf.DUMMYFUNCTION("""COMPUTED_VALUE"""),"Student shot another student following argument outside of school building, gave gun to driver in a car, and then returned to class in the school building")</f>
        <v>Student shot another student following argument outside of school building, gave gun to driver in a car, and then returned to class in the school building</v>
      </c>
      <c r="W1141" s="1" t="str">
        <f ca="1">IFERROR(__xludf.DUMMYFUNCTION("""COMPUTED_VALUE"""),"Escalation of Dispute")</f>
        <v>Escalation of Dispute</v>
      </c>
      <c r="X1141" s="1" t="str">
        <f ca="1">IFERROR(__xludf.DUMMYFUNCTION("""COMPUTED_VALUE"""),"Victims Targeted")</f>
        <v>Victims Targeted</v>
      </c>
      <c r="Y1141" s="1" t="str">
        <f ca="1">IFERROR(__xludf.DUMMYFUNCTION("""COMPUTED_VALUE"""),"Yes")</f>
        <v>Yes</v>
      </c>
      <c r="Z1141" s="1" t="str">
        <f ca="1">IFERROR(__xludf.DUMMYFUNCTION("""COMPUTED_VALUE"""),"Handed gun off to unknown person in parking lot who drove away from the scene")</f>
        <v>Handed gun off to unknown person in parking lot who drove away from the scene</v>
      </c>
      <c r="AA1141" s="1" t="str">
        <f ca="1">IFERROR(__xludf.DUMMYFUNCTION("""COMPUTED_VALUE"""),"No")</f>
        <v>No</v>
      </c>
      <c r="AB1141" s="1" t="str">
        <f ca="1">IFERROR(__xludf.DUMMYFUNCTION("""COMPUTED_VALUE"""),"No")</f>
        <v>No</v>
      </c>
      <c r="AC1141" s="1" t="str">
        <f ca="1">IFERROR(__xludf.DUMMYFUNCTION("""COMPUTED_VALUE"""),"No")</f>
        <v>No</v>
      </c>
      <c r="AD1141" s="1" t="str">
        <f ca="1">IFERROR(__xludf.DUMMYFUNCTION("""COMPUTED_VALUE"""),"No")</f>
        <v>No</v>
      </c>
      <c r="AE1141" s="1" t="str">
        <f ca="1">IFERROR(__xludf.DUMMYFUNCTION("""COMPUTED_VALUE"""),"No")</f>
        <v>No</v>
      </c>
      <c r="AF1141" s="1" t="str">
        <f ca="1">IFERROR(__xludf.DUMMYFUNCTION("""COMPUTED_VALUE"""),"Yes")</f>
        <v>Yes</v>
      </c>
      <c r="AG1141" s="1" t="str">
        <f ca="1">IFERROR(__xludf.DUMMYFUNCTION("""COMPUTED_VALUE"""),"No")</f>
        <v>No</v>
      </c>
      <c r="AH1141" s="1">
        <f ca="1">IFERROR(__xludf.DUMMYFUNCTION("""COMPUTED_VALUE"""),4)</f>
        <v>4</v>
      </c>
    </row>
    <row r="1142" spans="1:34" ht="12.5">
      <c r="A1142" s="1" t="str">
        <f ca="1">IFERROR(__xludf.DUMMYFUNCTION("""COMPUTED_VALUE"""),"20191022MIPOH")</f>
        <v>20191022MIPOH</v>
      </c>
      <c r="B1142" s="1">
        <f ca="1">IFERROR(__xludf.DUMMYFUNCTION("""COMPUTED_VALUE"""),10)</f>
        <v>10</v>
      </c>
      <c r="C1142" s="1">
        <f ca="1">IFERROR(__xludf.DUMMYFUNCTION("""COMPUTED_VALUE"""),22)</f>
        <v>22</v>
      </c>
      <c r="D1142" s="1">
        <f ca="1">IFERROR(__xludf.DUMMYFUNCTION("""COMPUTED_VALUE"""),2019)</f>
        <v>2019</v>
      </c>
      <c r="E1142" s="4">
        <f ca="1">IFERROR(__xludf.DUMMYFUNCTION("""COMPUTED_VALUE"""),43760)</f>
        <v>43760</v>
      </c>
      <c r="F1142" s="1" t="str">
        <f ca="1">IFERROR(__xludf.DUMMYFUNCTION("""COMPUTED_VALUE"""),"Poupard Elementary School")</f>
        <v>Poupard Elementary School</v>
      </c>
      <c r="G1142" s="1">
        <f ca="1">IFERROR(__xludf.DUMMYFUNCTION("""COMPUTED_VALUE"""),0)</f>
        <v>0</v>
      </c>
      <c r="H1142" s="1">
        <f ca="1">IFERROR(__xludf.DUMMYFUNCTION("""COMPUTED_VALUE"""),1)</f>
        <v>1</v>
      </c>
      <c r="I1142" s="1">
        <f ca="1">IFERROR(__xludf.DUMMYFUNCTION("""COMPUTED_VALUE"""),1)</f>
        <v>1</v>
      </c>
      <c r="J1142" s="1">
        <f ca="1">IFERROR(__xludf.DUMMYFUNCTION("""COMPUTED_VALUE"""),0)</f>
        <v>0</v>
      </c>
      <c r="K1142" s="1" t="str">
        <f ca="1">IFERROR(__xludf.DUMMYFUNCTION("""COMPUTED_VALUE"""),"Fall")</f>
        <v>Fall</v>
      </c>
      <c r="L1142" s="1" t="str">
        <f ca="1">IFERROR(__xludf.DUMMYFUNCTION("""COMPUTED_VALUE"""),"Harper Woods")</f>
        <v>Harper Woods</v>
      </c>
      <c r="M1142" s="1" t="str">
        <f ca="1">IFERROR(__xludf.DUMMYFUNCTION("""COMPUTED_VALUE"""),"MI")</f>
        <v>MI</v>
      </c>
      <c r="N1142" s="1" t="str">
        <f ca="1">IFERROR(__xludf.DUMMYFUNCTION("""COMPUTED_VALUE"""),"Elementary")</f>
        <v>Elementary</v>
      </c>
      <c r="O1142" s="1" t="str">
        <f ca="1">IFERROR(__xludf.DUMMYFUNCTION("""COMPUTED_VALUE"""),"Playground")</f>
        <v>Playground</v>
      </c>
      <c r="P1142" s="1" t="str">
        <f ca="1">IFERROR(__xludf.DUMMYFUNCTION("""COMPUTED_VALUE"""),"Outside on School Property")</f>
        <v>Outside on School Property</v>
      </c>
      <c r="Q1142" s="1" t="str">
        <f ca="1">IFERROR(__xludf.DUMMYFUNCTION("""COMPUTED_VALUE"""),"No")</f>
        <v>No</v>
      </c>
      <c r="R1142" s="1" t="str">
        <f ca="1">IFERROR(__xludf.DUMMYFUNCTION("""COMPUTED_VALUE"""),"Evening")</f>
        <v>Evening</v>
      </c>
      <c r="S1142" s="5">
        <f ca="1">IFERROR(__xludf.DUMMYFUNCTION("""COMPUTED_VALUE"""),0.833333333333333)</f>
        <v>0.83333333333333304</v>
      </c>
      <c r="T1142" s="1">
        <f ca="1">IFERROR(__xludf.DUMMYFUNCTION("""COMPUTED_VALUE"""),1)</f>
        <v>1</v>
      </c>
      <c r="U1142" s="1" t="str">
        <f ca="1">IFERROR(__xludf.DUMMYFUNCTION("""COMPUTED_VALUE"""),"Man shot during altercation on school playground")</f>
        <v>Man shot during altercation on school playground</v>
      </c>
      <c r="V1142" s="1" t="str">
        <f ca="1">IFERROR(__xludf.DUMMYFUNCTION("""COMPUTED_VALUE"""),"Man shot during altercation on school playground")</f>
        <v>Man shot during altercation on school playground</v>
      </c>
      <c r="W1142" s="1" t="str">
        <f ca="1">IFERROR(__xludf.DUMMYFUNCTION("""COMPUTED_VALUE"""),"Escalation of Dispute")</f>
        <v>Escalation of Dispute</v>
      </c>
      <c r="X1142" s="1" t="str">
        <f ca="1">IFERROR(__xludf.DUMMYFUNCTION("""COMPUTED_VALUE"""),"Victims Targeted")</f>
        <v>Victims Targeted</v>
      </c>
      <c r="Y1142" s="1" t="str">
        <f ca="1">IFERROR(__xludf.DUMMYFUNCTION("""COMPUTED_VALUE"""),"No")</f>
        <v>No</v>
      </c>
      <c r="Z1142" s="1"/>
      <c r="AA1142" s="1" t="str">
        <f ca="1">IFERROR(__xludf.DUMMYFUNCTION("""COMPUTED_VALUE"""),"No")</f>
        <v>No</v>
      </c>
      <c r="AB1142" s="1" t="str">
        <f ca="1">IFERROR(__xludf.DUMMYFUNCTION("""COMPUTED_VALUE"""),"No")</f>
        <v>No</v>
      </c>
      <c r="AC1142" s="1" t="str">
        <f ca="1">IFERROR(__xludf.DUMMYFUNCTION("""COMPUTED_VALUE"""),"No")</f>
        <v>No</v>
      </c>
      <c r="AD1142" s="1" t="str">
        <f ca="1">IFERROR(__xludf.DUMMYFUNCTION("""COMPUTED_VALUE"""),"No")</f>
        <v>No</v>
      </c>
      <c r="AE1142" s="1" t="str">
        <f ca="1">IFERROR(__xludf.DUMMYFUNCTION("""COMPUTED_VALUE"""),"No")</f>
        <v>No</v>
      </c>
      <c r="AF1142" s="1"/>
      <c r="AG1142" s="1" t="str">
        <f ca="1">IFERROR(__xludf.DUMMYFUNCTION("""COMPUTED_VALUE"""),"No")</f>
        <v>No</v>
      </c>
      <c r="AH1142" s="1">
        <f ca="1">IFERROR(__xludf.DUMMYFUNCTION("""COMPUTED_VALUE"""),99)</f>
        <v>99</v>
      </c>
    </row>
    <row r="1143" spans="1:34" ht="12.5">
      <c r="A1143" s="1" t="str">
        <f ca="1">IFERROR(__xludf.DUMMYFUNCTION("""COMPUTED_VALUE"""),"20191018OHWOT")</f>
        <v>20191018OHWOT</v>
      </c>
      <c r="B1143" s="1">
        <f ca="1">IFERROR(__xludf.DUMMYFUNCTION("""COMPUTED_VALUE"""),10)</f>
        <v>10</v>
      </c>
      <c r="C1143" s="1">
        <f ca="1">IFERROR(__xludf.DUMMYFUNCTION("""COMPUTED_VALUE"""),18)</f>
        <v>18</v>
      </c>
      <c r="D1143" s="1">
        <f ca="1">IFERROR(__xludf.DUMMYFUNCTION("""COMPUTED_VALUE"""),2019)</f>
        <v>2019</v>
      </c>
      <c r="E1143" s="4">
        <f ca="1">IFERROR(__xludf.DUMMYFUNCTION("""COMPUTED_VALUE"""),43756)</f>
        <v>43756</v>
      </c>
      <c r="F1143" s="1" t="str">
        <f ca="1">IFERROR(__xludf.DUMMYFUNCTION("""COMPUTED_VALUE"""),"Woodward High School")</f>
        <v>Woodward High School</v>
      </c>
      <c r="G1143" s="1">
        <f ca="1">IFERROR(__xludf.DUMMYFUNCTION("""COMPUTED_VALUE"""),0)</f>
        <v>0</v>
      </c>
      <c r="H1143" s="1">
        <f ca="1">IFERROR(__xludf.DUMMYFUNCTION("""COMPUTED_VALUE"""),0)</f>
        <v>0</v>
      </c>
      <c r="I1143" s="1">
        <f ca="1">IFERROR(__xludf.DUMMYFUNCTION("""COMPUTED_VALUE"""),0)</f>
        <v>0</v>
      </c>
      <c r="J1143" s="1">
        <f ca="1">IFERROR(__xludf.DUMMYFUNCTION("""COMPUTED_VALUE"""),0)</f>
        <v>0</v>
      </c>
      <c r="K1143" s="1" t="str">
        <f ca="1">IFERROR(__xludf.DUMMYFUNCTION("""COMPUTED_VALUE"""),"Fall")</f>
        <v>Fall</v>
      </c>
      <c r="L1143" s="1" t="str">
        <f ca="1">IFERROR(__xludf.DUMMYFUNCTION("""COMPUTED_VALUE"""),"Toledo")</f>
        <v>Toledo</v>
      </c>
      <c r="M1143" s="1" t="str">
        <f ca="1">IFERROR(__xludf.DUMMYFUNCTION("""COMPUTED_VALUE"""),"OH")</f>
        <v>OH</v>
      </c>
      <c r="N1143" s="1" t="str">
        <f ca="1">IFERROR(__xludf.DUMMYFUNCTION("""COMPUTED_VALUE"""),"High")</f>
        <v>High</v>
      </c>
      <c r="O1143" s="1" t="str">
        <f ca="1">IFERROR(__xludf.DUMMYFUNCTION("""COMPUTED_VALUE"""),"Football Field/Track")</f>
        <v>Football Field/Track</v>
      </c>
      <c r="P1143" s="1" t="str">
        <f ca="1">IFERROR(__xludf.DUMMYFUNCTION("""COMPUTED_VALUE"""),"Outside on School Property")</f>
        <v>Outside on School Property</v>
      </c>
      <c r="Q1143" s="1" t="str">
        <f ca="1">IFERROR(__xludf.DUMMYFUNCTION("""COMPUTED_VALUE"""),"No")</f>
        <v>No</v>
      </c>
      <c r="R1143" s="1" t="str">
        <f ca="1">IFERROR(__xludf.DUMMYFUNCTION("""COMPUTED_VALUE"""),"Sport Event")</f>
        <v>Sport Event</v>
      </c>
      <c r="S1143" s="5">
        <f ca="1">IFERROR(__xludf.DUMMYFUNCTION("""COMPUTED_VALUE"""),0.877777777777777)</f>
        <v>0.87777777777777699</v>
      </c>
      <c r="T1143" s="1">
        <f ca="1">IFERROR(__xludf.DUMMYFUNCTION("""COMPUTED_VALUE"""),1)</f>
        <v>1</v>
      </c>
      <c r="U1143" s="1" t="str">
        <f ca="1">IFERROR(__xludf.DUMMYFUNCTION("""COMPUTED_VALUE"""),"Shots fired during football game, stadium evacuated")</f>
        <v>Shots fired during football game, stadium evacuated</v>
      </c>
      <c r="V1143" s="1" t="str">
        <f ca="1">IFERROR(__xludf.DUMMYFUNCTION("""COMPUTED_VALUE"""),"Shots fired during high school football game. Stadium was evacuated and fans sheltered inside school for 30 minutes. Police searched area and found evidence of shots fired on school property but did not identify a suspect. Police officers were assigned to"&amp;" the school during the game.")</f>
        <v>Shots fired during high school football game. Stadium was evacuated and fans sheltered inside school for 30 minutes. Police searched area and found evidence of shots fired on school property but did not identify a suspect. Police officers were assigned to the school during the game.</v>
      </c>
      <c r="W1143" s="1" t="str">
        <f ca="1">IFERROR(__xludf.DUMMYFUNCTION("""COMPUTED_VALUE"""),"Escalation of Dispute")</f>
        <v>Escalation of Dispute</v>
      </c>
      <c r="X1143" s="1"/>
      <c r="Y1143" s="1"/>
      <c r="Z1143" s="1"/>
      <c r="AA1143" s="1" t="str">
        <f ca="1">IFERROR(__xludf.DUMMYFUNCTION("""COMPUTED_VALUE"""),"No")</f>
        <v>No</v>
      </c>
      <c r="AB1143" s="1" t="str">
        <f ca="1">IFERROR(__xludf.DUMMYFUNCTION("""COMPUTED_VALUE"""),"No")</f>
        <v>No</v>
      </c>
      <c r="AC1143" s="1" t="str">
        <f ca="1">IFERROR(__xludf.DUMMYFUNCTION("""COMPUTED_VALUE"""),"No")</f>
        <v>No</v>
      </c>
      <c r="AD1143" s="1" t="str">
        <f ca="1">IFERROR(__xludf.DUMMYFUNCTION("""COMPUTED_VALUE"""),"No")</f>
        <v>No</v>
      </c>
      <c r="AE1143" s="1" t="str">
        <f ca="1">IFERROR(__xludf.DUMMYFUNCTION("""COMPUTED_VALUE"""),"No")</f>
        <v>No</v>
      </c>
      <c r="AF1143" s="1"/>
      <c r="AG1143" s="1" t="str">
        <f ca="1">IFERROR(__xludf.DUMMYFUNCTION("""COMPUTED_VALUE"""),"No")</f>
        <v>No</v>
      </c>
      <c r="AH1143" s="1"/>
    </row>
    <row r="1144" spans="1:34" ht="12.5">
      <c r="A1144" s="1" t="str">
        <f ca="1">IFERROR(__xludf.DUMMYFUNCTION("""COMPUTED_VALUE"""),"20191018GACRS")</f>
        <v>20191018GACRS</v>
      </c>
      <c r="B1144" s="1">
        <f ca="1">IFERROR(__xludf.DUMMYFUNCTION("""COMPUTED_VALUE"""),10)</f>
        <v>10</v>
      </c>
      <c r="C1144" s="1">
        <f ca="1">IFERROR(__xludf.DUMMYFUNCTION("""COMPUTED_VALUE"""),18)</f>
        <v>18</v>
      </c>
      <c r="D1144" s="1">
        <f ca="1">IFERROR(__xludf.DUMMYFUNCTION("""COMPUTED_VALUE"""),2019)</f>
        <v>2019</v>
      </c>
      <c r="E1144" s="4">
        <f ca="1">IFERROR(__xludf.DUMMYFUNCTION("""COMPUTED_VALUE"""),43756)</f>
        <v>43756</v>
      </c>
      <c r="F1144" s="1" t="str">
        <f ca="1">IFERROR(__xludf.DUMMYFUNCTION("""COMPUTED_VALUE"""),"Creekside High School")</f>
        <v>Creekside High School</v>
      </c>
      <c r="G1144" s="1">
        <f ca="1">IFERROR(__xludf.DUMMYFUNCTION("""COMPUTED_VALUE"""),0)</f>
        <v>0</v>
      </c>
      <c r="H1144" s="1">
        <f ca="1">IFERROR(__xludf.DUMMYFUNCTION("""COMPUTED_VALUE"""),1)</f>
        <v>1</v>
      </c>
      <c r="I1144" s="1">
        <f ca="1">IFERROR(__xludf.DUMMYFUNCTION("""COMPUTED_VALUE"""),1)</f>
        <v>1</v>
      </c>
      <c r="J1144" s="1">
        <f ca="1">IFERROR(__xludf.DUMMYFUNCTION("""COMPUTED_VALUE"""),0)</f>
        <v>0</v>
      </c>
      <c r="K1144" s="1" t="str">
        <f ca="1">IFERROR(__xludf.DUMMYFUNCTION("""COMPUTED_VALUE"""),"Fall")</f>
        <v>Fall</v>
      </c>
      <c r="L1144" s="1" t="str">
        <f ca="1">IFERROR(__xludf.DUMMYFUNCTION("""COMPUTED_VALUE"""),"South Fulton")</f>
        <v>South Fulton</v>
      </c>
      <c r="M1144" s="1" t="str">
        <f ca="1">IFERROR(__xludf.DUMMYFUNCTION("""COMPUTED_VALUE"""),"GA")</f>
        <v>GA</v>
      </c>
      <c r="N1144" s="1" t="str">
        <f ca="1">IFERROR(__xludf.DUMMYFUNCTION("""COMPUTED_VALUE"""),"High")</f>
        <v>High</v>
      </c>
      <c r="O1144" s="1" t="str">
        <f ca="1">IFERROR(__xludf.DUMMYFUNCTION("""COMPUTED_VALUE"""),"Beside Building")</f>
        <v>Beside Building</v>
      </c>
      <c r="P1144" s="1" t="str">
        <f ca="1">IFERROR(__xludf.DUMMYFUNCTION("""COMPUTED_VALUE"""),"Outside on School Property")</f>
        <v>Outside on School Property</v>
      </c>
      <c r="Q1144" s="1" t="str">
        <f ca="1">IFERROR(__xludf.DUMMYFUNCTION("""COMPUTED_VALUE"""),"No")</f>
        <v>No</v>
      </c>
      <c r="R1144" s="1" t="str">
        <f ca="1">IFERROR(__xludf.DUMMYFUNCTION("""COMPUTED_VALUE"""),"Sport Event")</f>
        <v>Sport Event</v>
      </c>
      <c r="S1144" s="5">
        <f ca="1">IFERROR(__xludf.DUMMYFUNCTION("""COMPUTED_VALUE"""),0.916666666666666)</f>
        <v>0.91666666666666596</v>
      </c>
      <c r="T1144" s="1">
        <f ca="1">IFERROR(__xludf.DUMMYFUNCTION("""COMPUTED_VALUE"""),1)</f>
        <v>1</v>
      </c>
      <c r="U1144" s="1" t="str">
        <f ca="1">IFERROR(__xludf.DUMMYFUNCTION("""COMPUTED_VALUE"""),"Unidentified male shot behind school during football game")</f>
        <v>Unidentified male shot behind school during football game</v>
      </c>
      <c r="V1144" s="1" t="str">
        <f ca="1">IFERROR(__xludf.DUMMYFUNCTION("""COMPUTED_VALUE"""),"Unidentified man was shot behind the school during a football game. People in the stands heard multiple shots. Police did not identify the victim, suspect, or motive.")</f>
        <v>Unidentified man was shot behind the school during a football game. People in the stands heard multiple shots. Police did not identify the victim, suspect, or motive.</v>
      </c>
      <c r="W1144" s="1" t="str">
        <f ca="1">IFERROR(__xludf.DUMMYFUNCTION("""COMPUTED_VALUE"""),"Unknown")</f>
        <v>Unknown</v>
      </c>
      <c r="X1144" s="1"/>
      <c r="Y1144" s="1"/>
      <c r="Z1144" s="1"/>
      <c r="AA1144" s="1" t="str">
        <f ca="1">IFERROR(__xludf.DUMMYFUNCTION("""COMPUTED_VALUE"""),"No")</f>
        <v>No</v>
      </c>
      <c r="AB1144" s="1" t="str">
        <f ca="1">IFERROR(__xludf.DUMMYFUNCTION("""COMPUTED_VALUE"""),"No")</f>
        <v>No</v>
      </c>
      <c r="AC1144" s="1" t="str">
        <f ca="1">IFERROR(__xludf.DUMMYFUNCTION("""COMPUTED_VALUE"""),"No")</f>
        <v>No</v>
      </c>
      <c r="AD1144" s="1"/>
      <c r="AE1144" s="1"/>
      <c r="AF1144" s="1"/>
      <c r="AG1144" s="1" t="str">
        <f ca="1">IFERROR(__xludf.DUMMYFUNCTION("""COMPUTED_VALUE"""),"No")</f>
        <v>No</v>
      </c>
      <c r="AH1144" s="1" t="str">
        <f ca="1">IFERROR(__xludf.DUMMYFUNCTION("""COMPUTED_VALUE"""),"&lt;10")</f>
        <v>&lt;10</v>
      </c>
    </row>
    <row r="1145" spans="1:34" ht="12.5">
      <c r="A1145" s="1" t="str">
        <f ca="1">IFERROR(__xludf.DUMMYFUNCTION("""COMPUTED_VALUE"""),"20191015LAGEN")</f>
        <v>20191015LAGEN</v>
      </c>
      <c r="B1145" s="1">
        <f ca="1">IFERROR(__xludf.DUMMYFUNCTION("""COMPUTED_VALUE"""),10)</f>
        <v>10</v>
      </c>
      <c r="C1145" s="1">
        <f ca="1">IFERROR(__xludf.DUMMYFUNCTION("""COMPUTED_VALUE"""),15)</f>
        <v>15</v>
      </c>
      <c r="D1145" s="1">
        <f ca="1">IFERROR(__xludf.DUMMYFUNCTION("""COMPUTED_VALUE"""),2019)</f>
        <v>2019</v>
      </c>
      <c r="E1145" s="4">
        <f ca="1">IFERROR(__xludf.DUMMYFUNCTION("""COMPUTED_VALUE"""),43753)</f>
        <v>43753</v>
      </c>
      <c r="F1145" s="1" t="str">
        <f ca="1">IFERROR(__xludf.DUMMYFUNCTION("""COMPUTED_VALUE"""),"George Washington Carver High School")</f>
        <v>George Washington Carver High School</v>
      </c>
      <c r="G1145" s="1">
        <f ca="1">IFERROR(__xludf.DUMMYFUNCTION("""COMPUTED_VALUE"""),0)</f>
        <v>0</v>
      </c>
      <c r="H1145" s="1">
        <f ca="1">IFERROR(__xludf.DUMMYFUNCTION("""COMPUTED_VALUE"""),1)</f>
        <v>1</v>
      </c>
      <c r="I1145" s="1">
        <f ca="1">IFERROR(__xludf.DUMMYFUNCTION("""COMPUTED_VALUE"""),1)</f>
        <v>1</v>
      </c>
      <c r="J1145" s="1">
        <f ca="1">IFERROR(__xludf.DUMMYFUNCTION("""COMPUTED_VALUE"""),0)</f>
        <v>0</v>
      </c>
      <c r="K1145" s="1" t="str">
        <f ca="1">IFERROR(__xludf.DUMMYFUNCTION("""COMPUTED_VALUE"""),"Fall")</f>
        <v>Fall</v>
      </c>
      <c r="L1145" s="1" t="str">
        <f ca="1">IFERROR(__xludf.DUMMYFUNCTION("""COMPUTED_VALUE"""),"New Orleans")</f>
        <v>New Orleans</v>
      </c>
      <c r="M1145" s="1" t="str">
        <f ca="1">IFERROR(__xludf.DUMMYFUNCTION("""COMPUTED_VALUE"""),"LA")</f>
        <v>LA</v>
      </c>
      <c r="N1145" s="1" t="str">
        <f ca="1">IFERROR(__xludf.DUMMYFUNCTION("""COMPUTED_VALUE"""),"High")</f>
        <v>High</v>
      </c>
      <c r="O1145" s="1" t="str">
        <f ca="1">IFERROR(__xludf.DUMMYFUNCTION("""COMPUTED_VALUE"""),"Off School Property")</f>
        <v>Off School Property</v>
      </c>
      <c r="P1145" s="1" t="str">
        <f ca="1">IFERROR(__xludf.DUMMYFUNCTION("""COMPUTED_VALUE"""),"Off School Property")</f>
        <v>Off School Property</v>
      </c>
      <c r="Q1145" s="1" t="str">
        <f ca="1">IFERROR(__xludf.DUMMYFUNCTION("""COMPUTED_VALUE"""),"Yes")</f>
        <v>Yes</v>
      </c>
      <c r="R1145" s="1" t="str">
        <f ca="1">IFERROR(__xludf.DUMMYFUNCTION("""COMPUTED_VALUE"""),"Morning Classes")</f>
        <v>Morning Classes</v>
      </c>
      <c r="S1145" s="5">
        <f ca="1">IFERROR(__xludf.DUMMYFUNCTION("""COMPUTED_VALUE"""),0.402777777777777)</f>
        <v>0.40277777777777701</v>
      </c>
      <c r="T1145" s="1">
        <f ca="1">IFERROR(__xludf.DUMMYFUNCTION("""COMPUTED_VALUE"""),1)</f>
        <v>1</v>
      </c>
      <c r="U1145" s="1" t="str">
        <f ca="1">IFERROR(__xludf.DUMMYFUNCTION("""COMPUTED_VALUE"""),"Student shot near school, ran inside school for assistance, school locked down then dismissed")</f>
        <v>Student shot near school, ran inside school for assistance, school locked down then dismissed</v>
      </c>
      <c r="V1145" s="1" t="str">
        <f ca="1">IFERROR(__xludf.DUMMYFUNCTION("""COMPUTED_VALUE"""),"17YOM student was shot near the school and ran back inside of the school for assistance. There was an initial report of an active shooter and the school was locked down. Police determined it was an isolated incident, student was transported to hospital, a"&amp;"nd school was dismissed. No motive released. 3 students at the school have been killed by gun violence in the neighborhood so far this school year.")</f>
        <v>17YOM student was shot near the school and ran back inside of the school for assistance. There was an initial report of an active shooter and the school was locked down. Police determined it was an isolated incident, student was transported to hospital, and school was dismissed. No motive released. 3 students at the school have been killed by gun violence in the neighborhood so far this school year.</v>
      </c>
      <c r="W1145" s="1" t="str">
        <f ca="1">IFERROR(__xludf.DUMMYFUNCTION("""COMPUTED_VALUE"""),"Escalation of Dispute")</f>
        <v>Escalation of Dispute</v>
      </c>
      <c r="X1145" s="1"/>
      <c r="Y1145" s="1"/>
      <c r="Z1145" s="1"/>
      <c r="AA1145" s="1" t="str">
        <f ca="1">IFERROR(__xludf.DUMMYFUNCTION("""COMPUTED_VALUE"""),"No")</f>
        <v>No</v>
      </c>
      <c r="AB1145" s="1" t="str">
        <f ca="1">IFERROR(__xludf.DUMMYFUNCTION("""COMPUTED_VALUE"""),"No")</f>
        <v>No</v>
      </c>
      <c r="AC1145" s="1" t="str">
        <f ca="1">IFERROR(__xludf.DUMMYFUNCTION("""COMPUTED_VALUE"""),"No")</f>
        <v>No</v>
      </c>
      <c r="AD1145" s="1" t="str">
        <f ca="1">IFERROR(__xludf.DUMMYFUNCTION("""COMPUTED_VALUE"""),"No")</f>
        <v>No</v>
      </c>
      <c r="AE1145" s="1" t="str">
        <f ca="1">IFERROR(__xludf.DUMMYFUNCTION("""COMPUTED_VALUE"""),"No")</f>
        <v>No</v>
      </c>
      <c r="AF1145" s="1"/>
      <c r="AG1145" s="1" t="str">
        <f ca="1">IFERROR(__xludf.DUMMYFUNCTION("""COMPUTED_VALUE"""),"No")</f>
        <v>No</v>
      </c>
      <c r="AH1145" s="1"/>
    </row>
    <row r="1146" spans="1:34" ht="12.5">
      <c r="A1146" s="1" t="str">
        <f ca="1">IFERROR(__xludf.DUMMYFUNCTION("""COMPUTED_VALUE"""),"20191011LARAR")</f>
        <v>20191011LARAR</v>
      </c>
      <c r="B1146" s="1">
        <f ca="1">IFERROR(__xludf.DUMMYFUNCTION("""COMPUTED_VALUE"""),10)</f>
        <v>10</v>
      </c>
      <c r="C1146" s="1">
        <f ca="1">IFERROR(__xludf.DUMMYFUNCTION("""COMPUTED_VALUE"""),11)</f>
        <v>11</v>
      </c>
      <c r="D1146" s="1">
        <f ca="1">IFERROR(__xludf.DUMMYFUNCTION("""COMPUTED_VALUE"""),2019)</f>
        <v>2019</v>
      </c>
      <c r="E1146" s="4">
        <f ca="1">IFERROR(__xludf.DUMMYFUNCTION("""COMPUTED_VALUE"""),43749)</f>
        <v>43749</v>
      </c>
      <c r="F1146" s="1" t="str">
        <f ca="1">IFERROR(__xludf.DUMMYFUNCTION("""COMPUTED_VALUE"""),"Rayne High School")</f>
        <v>Rayne High School</v>
      </c>
      <c r="G1146" s="1">
        <f ca="1">IFERROR(__xludf.DUMMYFUNCTION("""COMPUTED_VALUE"""),0)</f>
        <v>0</v>
      </c>
      <c r="H1146" s="1">
        <f ca="1">IFERROR(__xludf.DUMMYFUNCTION("""COMPUTED_VALUE"""),0)</f>
        <v>0</v>
      </c>
      <c r="I1146" s="1">
        <f ca="1">IFERROR(__xludf.DUMMYFUNCTION("""COMPUTED_VALUE"""),0)</f>
        <v>0</v>
      </c>
      <c r="J1146" s="1">
        <f ca="1">IFERROR(__xludf.DUMMYFUNCTION("""COMPUTED_VALUE"""),0)</f>
        <v>0</v>
      </c>
      <c r="K1146" s="1" t="str">
        <f ca="1">IFERROR(__xludf.DUMMYFUNCTION("""COMPUTED_VALUE"""),"Fall")</f>
        <v>Fall</v>
      </c>
      <c r="L1146" s="1" t="str">
        <f ca="1">IFERROR(__xludf.DUMMYFUNCTION("""COMPUTED_VALUE"""),"Rayne")</f>
        <v>Rayne</v>
      </c>
      <c r="M1146" s="1" t="str">
        <f ca="1">IFERROR(__xludf.DUMMYFUNCTION("""COMPUTED_VALUE"""),"LA")</f>
        <v>LA</v>
      </c>
      <c r="N1146" s="1" t="str">
        <f ca="1">IFERROR(__xludf.DUMMYFUNCTION("""COMPUTED_VALUE"""),"High")</f>
        <v>High</v>
      </c>
      <c r="O1146" s="1" t="str">
        <f ca="1">IFERROR(__xludf.DUMMYFUNCTION("""COMPUTED_VALUE"""),"Parking Lot")</f>
        <v>Parking Lot</v>
      </c>
      <c r="P1146" s="1" t="str">
        <f ca="1">IFERROR(__xludf.DUMMYFUNCTION("""COMPUTED_VALUE"""),"Outside on School Property")</f>
        <v>Outside on School Property</v>
      </c>
      <c r="Q1146" s="1" t="str">
        <f ca="1">IFERROR(__xludf.DUMMYFUNCTION("""COMPUTED_VALUE"""),"No")</f>
        <v>No</v>
      </c>
      <c r="R1146" s="1" t="str">
        <f ca="1">IFERROR(__xludf.DUMMYFUNCTION("""COMPUTED_VALUE"""),"Sport Event")</f>
        <v>Sport Event</v>
      </c>
      <c r="S1146" s="5">
        <f ca="1">IFERROR(__xludf.DUMMYFUNCTION("""COMPUTED_VALUE"""),0.875)</f>
        <v>0.875</v>
      </c>
      <c r="T1146" s="1">
        <f ca="1">IFERROR(__xludf.DUMMYFUNCTION("""COMPUTED_VALUE"""),1)</f>
        <v>1</v>
      </c>
      <c r="U1146" s="1" t="str">
        <f ca="1">IFERROR(__xludf.DUMMYFUNCTION("""COMPUTED_VALUE"""),"20 shots fired in parking lot after football game")</f>
        <v>20 shots fired in parking lot after football game</v>
      </c>
      <c r="V1146" s="1" t="str">
        <f ca="1">IFERROR(__xludf.DUMMYFUNCTION("""COMPUTED_VALUE"""),"15YOM fired 20 shots in the school parking lot following a high school football game. Two other suspects arrested for involvement.")</f>
        <v>15YOM fired 20 shots in the school parking lot following a high school football game. Two other suspects arrested for involvement.</v>
      </c>
      <c r="W1146" s="1" t="str">
        <f ca="1">IFERROR(__xludf.DUMMYFUNCTION("""COMPUTED_VALUE"""),"Indiscriminate Shooting")</f>
        <v>Indiscriminate Shooting</v>
      </c>
      <c r="X1146" s="1" t="str">
        <f ca="1">IFERROR(__xludf.DUMMYFUNCTION("""COMPUTED_VALUE"""),"Victims Targeted")</f>
        <v>Victims Targeted</v>
      </c>
      <c r="Y1146" s="1" t="str">
        <f ca="1">IFERROR(__xludf.DUMMYFUNCTION("""COMPUTED_VALUE"""),"Yes")</f>
        <v>Yes</v>
      </c>
      <c r="Z1146" s="1" t="str">
        <f ca="1">IFERROR(__xludf.DUMMYFUNCTION("""COMPUTED_VALUE"""),"3 arrested and charged")</f>
        <v>3 arrested and charged</v>
      </c>
      <c r="AA1146" s="1" t="str">
        <f ca="1">IFERROR(__xludf.DUMMYFUNCTION("""COMPUTED_VALUE"""),"No")</f>
        <v>No</v>
      </c>
      <c r="AB1146" s="1" t="str">
        <f ca="1">IFERROR(__xludf.DUMMYFUNCTION("""COMPUTED_VALUE"""),"No")</f>
        <v>No</v>
      </c>
      <c r="AC1146" s="1" t="str">
        <f ca="1">IFERROR(__xludf.DUMMYFUNCTION("""COMPUTED_VALUE"""),"No")</f>
        <v>No</v>
      </c>
      <c r="AD1146" s="1" t="str">
        <f ca="1">IFERROR(__xludf.DUMMYFUNCTION("""COMPUTED_VALUE"""),"No")</f>
        <v>No</v>
      </c>
      <c r="AE1146" s="1" t="str">
        <f ca="1">IFERROR(__xludf.DUMMYFUNCTION("""COMPUTED_VALUE"""),"No")</f>
        <v>No</v>
      </c>
      <c r="AF1146" s="1" t="str">
        <f ca="1">IFERROR(__xludf.DUMMYFUNCTION("""COMPUTED_VALUE"""),"No")</f>
        <v>No</v>
      </c>
      <c r="AG1146" s="1" t="str">
        <f ca="1">IFERROR(__xludf.DUMMYFUNCTION("""COMPUTED_VALUE"""),"No")</f>
        <v>No</v>
      </c>
      <c r="AH1146" s="1">
        <f ca="1">IFERROR(__xludf.DUMMYFUNCTION("""COMPUTED_VALUE"""),20)</f>
        <v>20</v>
      </c>
    </row>
    <row r="1147" spans="1:34" ht="12.5">
      <c r="A1147" s="1" t="str">
        <f ca="1">IFERROR(__xludf.DUMMYFUNCTION("""COMPUTED_VALUE"""),"20191009MAGRL")</f>
        <v>20191009MAGRL</v>
      </c>
      <c r="B1147" s="1">
        <f ca="1">IFERROR(__xludf.DUMMYFUNCTION("""COMPUTED_VALUE"""),10)</f>
        <v>10</v>
      </c>
      <c r="C1147" s="1">
        <f ca="1">IFERROR(__xludf.DUMMYFUNCTION("""COMPUTED_VALUE"""),9)</f>
        <v>9</v>
      </c>
      <c r="D1147" s="1">
        <f ca="1">IFERROR(__xludf.DUMMYFUNCTION("""COMPUTED_VALUE"""),2019)</f>
        <v>2019</v>
      </c>
      <c r="E1147" s="4">
        <f ca="1">IFERROR(__xludf.DUMMYFUNCTION("""COMPUTED_VALUE"""),43747)</f>
        <v>43747</v>
      </c>
      <c r="F1147" s="1" t="str">
        <f ca="1">IFERROR(__xludf.DUMMYFUNCTION("""COMPUTED_VALUE"""),"Greenhalge Elementary School")</f>
        <v>Greenhalge Elementary School</v>
      </c>
      <c r="G1147" s="1">
        <f ca="1">IFERROR(__xludf.DUMMYFUNCTION("""COMPUTED_VALUE"""),0)</f>
        <v>0</v>
      </c>
      <c r="H1147" s="1">
        <f ca="1">IFERROR(__xludf.DUMMYFUNCTION("""COMPUTED_VALUE"""),5)</f>
        <v>5</v>
      </c>
      <c r="I1147" s="1">
        <f ca="1">IFERROR(__xludf.DUMMYFUNCTION("""COMPUTED_VALUE"""),5)</f>
        <v>5</v>
      </c>
      <c r="J1147" s="1">
        <f ca="1">IFERROR(__xludf.DUMMYFUNCTION("""COMPUTED_VALUE"""),0)</f>
        <v>0</v>
      </c>
      <c r="K1147" s="1" t="str">
        <f ca="1">IFERROR(__xludf.DUMMYFUNCTION("""COMPUTED_VALUE"""),"Fall")</f>
        <v>Fall</v>
      </c>
      <c r="L1147" s="1" t="str">
        <f ca="1">IFERROR(__xludf.DUMMYFUNCTION("""COMPUTED_VALUE"""),"Lowell")</f>
        <v>Lowell</v>
      </c>
      <c r="M1147" s="1" t="str">
        <f ca="1">IFERROR(__xludf.DUMMYFUNCTION("""COMPUTED_VALUE"""),"MA")</f>
        <v>MA</v>
      </c>
      <c r="N1147" s="1" t="str">
        <f ca="1">IFERROR(__xludf.DUMMYFUNCTION("""COMPUTED_VALUE"""),"Elementary")</f>
        <v>Elementary</v>
      </c>
      <c r="O1147" s="1" t="str">
        <f ca="1">IFERROR(__xludf.DUMMYFUNCTION("""COMPUTED_VALUE"""),"Playground")</f>
        <v>Playground</v>
      </c>
      <c r="P1147" s="1" t="str">
        <f ca="1">IFERROR(__xludf.DUMMYFUNCTION("""COMPUTED_VALUE"""),"Outside on School Property")</f>
        <v>Outside on School Property</v>
      </c>
      <c r="Q1147" s="1" t="str">
        <f ca="1">IFERROR(__xludf.DUMMYFUNCTION("""COMPUTED_VALUE"""),"No")</f>
        <v>No</v>
      </c>
      <c r="R1147" s="1" t="str">
        <f ca="1">IFERROR(__xludf.DUMMYFUNCTION("""COMPUTED_VALUE"""),"After School")</f>
        <v>After School</v>
      </c>
      <c r="S1147" s="5">
        <f ca="1">IFERROR(__xludf.DUMMYFUNCTION("""COMPUTED_VALUE"""),0.565277777777777)</f>
        <v>0.56527777777777699</v>
      </c>
      <c r="T1147" s="1"/>
      <c r="U1147" s="1" t="str">
        <f ca="1">IFERROR(__xludf.DUMMYFUNCTION("""COMPUTED_VALUE"""),"Three teens on bicycles fired bb guns at the students on the playground.")</f>
        <v>Three teens on bicycles fired bb guns at the students on the playground.</v>
      </c>
      <c r="V1147" s="1" t="str">
        <f ca="1">IFERROR(__xludf.DUMMYFUNCTION("""COMPUTED_VALUE"""),"12YOM and two 11YOM students on bicycles fired BB guns indiscriminately at the students on the school playground. 5 students were injured and 2 were taken by ambulance to the hospital. 12YOM was arrested, 11YOMs cannot be charged with a crime under state "&amp;"law. Details and motive of the shooting unknown.")</f>
        <v>12YOM and two 11YOM students on bicycles fired BB guns indiscriminately at the students on the school playground. 5 students were injured and 2 were taken by ambulance to the hospital. 12YOM was arrested, 11YOMs cannot be charged with a crime under state law. Details and motive of the shooting unknown.</v>
      </c>
      <c r="W1147" s="1" t="str">
        <f ca="1">IFERROR(__xludf.DUMMYFUNCTION("""COMPUTED_VALUE"""),"Indiscriminate Shooting")</f>
        <v>Indiscriminate Shooting</v>
      </c>
      <c r="X1147" s="1" t="str">
        <f ca="1">IFERROR(__xludf.DUMMYFUNCTION("""COMPUTED_VALUE"""),"Random Shooting")</f>
        <v>Random Shooting</v>
      </c>
      <c r="Y1147" s="1" t="str">
        <f ca="1">IFERROR(__xludf.DUMMYFUNCTION("""COMPUTED_VALUE"""),"Yes")</f>
        <v>Yes</v>
      </c>
      <c r="Z1147" s="1" t="str">
        <f ca="1">IFERROR(__xludf.DUMMYFUNCTION("""COMPUTED_VALUE"""),"3 teens involved, 2 had bb guns")</f>
        <v>3 teens involved, 2 had bb guns</v>
      </c>
      <c r="AA1147" s="1" t="str">
        <f ca="1">IFERROR(__xludf.DUMMYFUNCTION("""COMPUTED_VALUE"""),"No")</f>
        <v>No</v>
      </c>
      <c r="AB1147" s="1" t="str">
        <f ca="1">IFERROR(__xludf.DUMMYFUNCTION("""COMPUTED_VALUE"""),"No")</f>
        <v>No</v>
      </c>
      <c r="AC1147" s="1" t="str">
        <f ca="1">IFERROR(__xludf.DUMMYFUNCTION("""COMPUTED_VALUE"""),"No")</f>
        <v>No</v>
      </c>
      <c r="AD1147" s="1"/>
      <c r="AE1147" s="1" t="str">
        <f ca="1">IFERROR(__xludf.DUMMYFUNCTION("""COMPUTED_VALUE"""),"No")</f>
        <v>No</v>
      </c>
      <c r="AF1147" s="1" t="str">
        <f ca="1">IFERROR(__xludf.DUMMYFUNCTION("""COMPUTED_VALUE"""),"No")</f>
        <v>No</v>
      </c>
      <c r="AG1147" s="1" t="str">
        <f ca="1">IFERROR(__xludf.DUMMYFUNCTION("""COMPUTED_VALUE"""),"No")</f>
        <v>No</v>
      </c>
      <c r="AH1147" s="1"/>
    </row>
    <row r="1148" spans="1:34" ht="12.5">
      <c r="A1148" s="1" t="str">
        <f ca="1">IFERROR(__xludf.DUMMYFUNCTION("""COMPUTED_VALUE"""),"20191008TXWEH")</f>
        <v>20191008TXWEH</v>
      </c>
      <c r="B1148" s="1">
        <f ca="1">IFERROR(__xludf.DUMMYFUNCTION("""COMPUTED_VALUE"""),10)</f>
        <v>10</v>
      </c>
      <c r="C1148" s="1">
        <f ca="1">IFERROR(__xludf.DUMMYFUNCTION("""COMPUTED_VALUE"""),8)</f>
        <v>8</v>
      </c>
      <c r="D1148" s="1">
        <f ca="1">IFERROR(__xludf.DUMMYFUNCTION("""COMPUTED_VALUE"""),2019)</f>
        <v>2019</v>
      </c>
      <c r="E1148" s="4">
        <f ca="1">IFERROR(__xludf.DUMMYFUNCTION("""COMPUTED_VALUE"""),43746)</f>
        <v>43746</v>
      </c>
      <c r="F1148" s="1" t="str">
        <f ca="1">IFERROR(__xludf.DUMMYFUNCTION("""COMPUTED_VALUE"""),"Westbury High School")</f>
        <v>Westbury High School</v>
      </c>
      <c r="G1148" s="1">
        <f ca="1">IFERROR(__xludf.DUMMYFUNCTION("""COMPUTED_VALUE"""),0)</f>
        <v>0</v>
      </c>
      <c r="H1148" s="1">
        <f ca="1">IFERROR(__xludf.DUMMYFUNCTION("""COMPUTED_VALUE"""),1)</f>
        <v>1</v>
      </c>
      <c r="I1148" s="1">
        <f ca="1">IFERROR(__xludf.DUMMYFUNCTION("""COMPUTED_VALUE"""),1)</f>
        <v>1</v>
      </c>
      <c r="J1148" s="1">
        <f ca="1">IFERROR(__xludf.DUMMYFUNCTION("""COMPUTED_VALUE"""),0)</f>
        <v>0</v>
      </c>
      <c r="K1148" s="1" t="str">
        <f ca="1">IFERROR(__xludf.DUMMYFUNCTION("""COMPUTED_VALUE"""),"Fall")</f>
        <v>Fall</v>
      </c>
      <c r="L1148" s="1" t="str">
        <f ca="1">IFERROR(__xludf.DUMMYFUNCTION("""COMPUTED_VALUE"""),"Houston")</f>
        <v>Houston</v>
      </c>
      <c r="M1148" s="1" t="str">
        <f ca="1">IFERROR(__xludf.DUMMYFUNCTION("""COMPUTED_VALUE"""),"TX")</f>
        <v>TX</v>
      </c>
      <c r="N1148" s="1" t="str">
        <f ca="1">IFERROR(__xludf.DUMMYFUNCTION("""COMPUTED_VALUE"""),"High")</f>
        <v>High</v>
      </c>
      <c r="O1148" s="1" t="str">
        <f ca="1">IFERROR(__xludf.DUMMYFUNCTION("""COMPUTED_VALUE"""),"Beside Building")</f>
        <v>Beside Building</v>
      </c>
      <c r="P1148" s="1"/>
      <c r="Q1148" s="1" t="str">
        <f ca="1">IFERROR(__xludf.DUMMYFUNCTION("""COMPUTED_VALUE"""),"No")</f>
        <v>No</v>
      </c>
      <c r="R1148" s="1" t="str">
        <f ca="1">IFERROR(__xludf.DUMMYFUNCTION("""COMPUTED_VALUE"""),"After School")</f>
        <v>After School</v>
      </c>
      <c r="S1148" s="1"/>
      <c r="T1148" s="1"/>
      <c r="U1148" s="1" t="str">
        <f ca="1">IFERROR(__xludf.DUMMYFUNCTION("""COMPUTED_VALUE"""),"Student shot in school, no details released")</f>
        <v>Student shot in school, no details released</v>
      </c>
      <c r="V1148" s="1" t="str">
        <f ca="1">IFERROR(__xludf.DUMMYFUNCTION("""COMPUTED_VALUE"""),"Unidentified student shot after school dismissed. No other details released.")</f>
        <v>Unidentified student shot after school dismissed. No other details released.</v>
      </c>
      <c r="W1148" s="1" t="str">
        <f ca="1">IFERROR(__xludf.DUMMYFUNCTION("""COMPUTED_VALUE"""),"Unknown")</f>
        <v>Unknown</v>
      </c>
      <c r="X1148" s="1"/>
      <c r="Y1148" s="1" t="str">
        <f ca="1">IFERROR(__xludf.DUMMYFUNCTION("""COMPUTED_VALUE"""),"No")</f>
        <v>No</v>
      </c>
      <c r="Z1148" s="1"/>
      <c r="AA1148" s="1" t="str">
        <f ca="1">IFERROR(__xludf.DUMMYFUNCTION("""COMPUTED_VALUE"""),"No")</f>
        <v>No</v>
      </c>
      <c r="AB1148" s="1" t="str">
        <f ca="1">IFERROR(__xludf.DUMMYFUNCTION("""COMPUTED_VALUE"""),"No")</f>
        <v>No</v>
      </c>
      <c r="AC1148" s="1" t="str">
        <f ca="1">IFERROR(__xludf.DUMMYFUNCTION("""COMPUTED_VALUE"""),"No")</f>
        <v>No</v>
      </c>
      <c r="AD1148" s="1"/>
      <c r="AE1148" s="1"/>
      <c r="AF1148" s="1"/>
      <c r="AG1148" s="1" t="str">
        <f ca="1">IFERROR(__xludf.DUMMYFUNCTION("""COMPUTED_VALUE"""),"No")</f>
        <v>No</v>
      </c>
      <c r="AH1148" s="1"/>
    </row>
    <row r="1149" spans="1:34" ht="12.5">
      <c r="A1149" s="1" t="str">
        <f ca="1">IFERROR(__xludf.DUMMYFUNCTION("""COMPUTED_VALUE"""),"20191008COSHS")</f>
        <v>20191008COSHS</v>
      </c>
      <c r="B1149" s="1">
        <f ca="1">IFERROR(__xludf.DUMMYFUNCTION("""COMPUTED_VALUE"""),10)</f>
        <v>10</v>
      </c>
      <c r="C1149" s="1">
        <f ca="1">IFERROR(__xludf.DUMMYFUNCTION("""COMPUTED_VALUE"""),8)</f>
        <v>8</v>
      </c>
      <c r="D1149" s="1">
        <f ca="1">IFERROR(__xludf.DUMMYFUNCTION("""COMPUTED_VALUE"""),2019)</f>
        <v>2019</v>
      </c>
      <c r="E1149" s="4">
        <f ca="1">IFERROR(__xludf.DUMMYFUNCTION("""COMPUTED_VALUE"""),43746)</f>
        <v>43746</v>
      </c>
      <c r="F1149" s="1" t="str">
        <f ca="1">IFERROR(__xludf.DUMMYFUNCTION("""COMPUTED_VALUE"""),"Sheridan High School")</f>
        <v>Sheridan High School</v>
      </c>
      <c r="G1149" s="1">
        <f ca="1">IFERROR(__xludf.DUMMYFUNCTION("""COMPUTED_VALUE"""),0)</f>
        <v>0</v>
      </c>
      <c r="H1149" s="1">
        <f ca="1">IFERROR(__xludf.DUMMYFUNCTION("""COMPUTED_VALUE"""),1)</f>
        <v>1</v>
      </c>
      <c r="I1149" s="1">
        <f ca="1">IFERROR(__xludf.DUMMYFUNCTION("""COMPUTED_VALUE"""),1)</f>
        <v>1</v>
      </c>
      <c r="J1149" s="1">
        <f ca="1">IFERROR(__xludf.DUMMYFUNCTION("""COMPUTED_VALUE"""),0)</f>
        <v>0</v>
      </c>
      <c r="K1149" s="1" t="str">
        <f ca="1">IFERROR(__xludf.DUMMYFUNCTION("""COMPUTED_VALUE"""),"Fall")</f>
        <v>Fall</v>
      </c>
      <c r="L1149" s="1" t="str">
        <f ca="1">IFERROR(__xludf.DUMMYFUNCTION("""COMPUTED_VALUE"""),"Sheridan")</f>
        <v>Sheridan</v>
      </c>
      <c r="M1149" s="1" t="str">
        <f ca="1">IFERROR(__xludf.DUMMYFUNCTION("""COMPUTED_VALUE"""),"CO")</f>
        <v>CO</v>
      </c>
      <c r="N1149" s="1" t="str">
        <f ca="1">IFERROR(__xludf.DUMMYFUNCTION("""COMPUTED_VALUE"""),"High")</f>
        <v>High</v>
      </c>
      <c r="O1149" s="1" t="str">
        <f ca="1">IFERROR(__xludf.DUMMYFUNCTION("""COMPUTED_VALUE"""),"Beside Building")</f>
        <v>Beside Building</v>
      </c>
      <c r="P1149" s="1" t="str">
        <f ca="1">IFERROR(__xludf.DUMMYFUNCTION("""COMPUTED_VALUE"""),"Outside on School Property")</f>
        <v>Outside on School Property</v>
      </c>
      <c r="Q1149" s="1" t="str">
        <f ca="1">IFERROR(__xludf.DUMMYFUNCTION("""COMPUTED_VALUE"""),"No")</f>
        <v>No</v>
      </c>
      <c r="R1149" s="1" t="str">
        <f ca="1">IFERROR(__xludf.DUMMYFUNCTION("""COMPUTED_VALUE"""),"Sport Event")</f>
        <v>Sport Event</v>
      </c>
      <c r="S1149" s="5">
        <f ca="1">IFERROR(__xludf.DUMMYFUNCTION("""COMPUTED_VALUE"""),0.822916666666666)</f>
        <v>0.82291666666666596</v>
      </c>
      <c r="T1149" s="1">
        <f ca="1">IFERROR(__xludf.DUMMYFUNCTION("""COMPUTED_VALUE"""),1)</f>
        <v>1</v>
      </c>
      <c r="U1149" s="1" t="str">
        <f ca="1">IFERROR(__xludf.DUMMYFUNCTION("""COMPUTED_VALUE"""),"Teen shot during fight outside of school during volleyball game")</f>
        <v>Teen shot during fight outside of school during volleyball game</v>
      </c>
      <c r="V1149" s="1" t="str">
        <f ca="1">IFERROR(__xludf.DUMMYFUNCTION("""COMPUTED_VALUE"""),"Teen (student from another school) was shot by another teen following a fight outside of the school during a evening volleyball game. School was locked down. Shooter fled the area. School systems closed the school the following day because shooter had not"&amp;" yet been arrested. No other students were injured.")</f>
        <v>Teen (student from another school) was shot by another teen following a fight outside of the school during a evening volleyball game. School was locked down. Shooter fled the area. School systems closed the school the following day because shooter had not yet been arrested. No other students were injured.</v>
      </c>
      <c r="W1149" s="1" t="str">
        <f ca="1">IFERROR(__xludf.DUMMYFUNCTION("""COMPUTED_VALUE"""),"Escalation of Dispute")</f>
        <v>Escalation of Dispute</v>
      </c>
      <c r="X1149" s="1" t="str">
        <f ca="1">IFERROR(__xludf.DUMMYFUNCTION("""COMPUTED_VALUE"""),"Victims Targeted")</f>
        <v>Victims Targeted</v>
      </c>
      <c r="Y1149" s="1" t="str">
        <f ca="1">IFERROR(__xludf.DUMMYFUNCTION("""COMPUTED_VALUE"""),"No")</f>
        <v>No</v>
      </c>
      <c r="Z1149" s="1"/>
      <c r="AA1149" s="1" t="str">
        <f ca="1">IFERROR(__xludf.DUMMYFUNCTION("""COMPUTED_VALUE"""),"No")</f>
        <v>No</v>
      </c>
      <c r="AB1149" s="1" t="str">
        <f ca="1">IFERROR(__xludf.DUMMYFUNCTION("""COMPUTED_VALUE"""),"No")</f>
        <v>No</v>
      </c>
      <c r="AC1149" s="1" t="str">
        <f ca="1">IFERROR(__xludf.DUMMYFUNCTION("""COMPUTED_VALUE"""),"No")</f>
        <v>No</v>
      </c>
      <c r="AD1149" s="1" t="str">
        <f ca="1">IFERROR(__xludf.DUMMYFUNCTION("""COMPUTED_VALUE"""),"No")</f>
        <v>No</v>
      </c>
      <c r="AE1149" s="1" t="str">
        <f ca="1">IFERROR(__xludf.DUMMYFUNCTION("""COMPUTED_VALUE"""),"No")</f>
        <v>No</v>
      </c>
      <c r="AF1149" s="1" t="str">
        <f ca="1">IFERROR(__xludf.DUMMYFUNCTION("""COMPUTED_VALUE"""),"No")</f>
        <v>No</v>
      </c>
      <c r="AG1149" s="1" t="str">
        <f ca="1">IFERROR(__xludf.DUMMYFUNCTION("""COMPUTED_VALUE"""),"No")</f>
        <v>No</v>
      </c>
      <c r="AH1149" s="1"/>
    </row>
    <row r="1150" spans="1:34" ht="12.5">
      <c r="A1150" s="1" t="str">
        <f ca="1">IFERROR(__xludf.DUMMYFUNCTION("""COMPUTED_VALUE"""),"20191002GASOA")</f>
        <v>20191002GASOA</v>
      </c>
      <c r="B1150" s="1">
        <f ca="1">IFERROR(__xludf.DUMMYFUNCTION("""COMPUTED_VALUE"""),10)</f>
        <v>10</v>
      </c>
      <c r="C1150" s="1">
        <f ca="1">IFERROR(__xludf.DUMMYFUNCTION("""COMPUTED_VALUE"""),2)</f>
        <v>2</v>
      </c>
      <c r="D1150" s="1">
        <f ca="1">IFERROR(__xludf.DUMMYFUNCTION("""COMPUTED_VALUE"""),2019)</f>
        <v>2019</v>
      </c>
      <c r="E1150" s="4">
        <f ca="1">IFERROR(__xludf.DUMMYFUNCTION("""COMPUTED_VALUE"""),43740)</f>
        <v>43740</v>
      </c>
      <c r="F1150" s="1" t="str">
        <f ca="1">IFERROR(__xludf.DUMMYFUNCTION("""COMPUTED_VALUE"""),"South Atlanta High School")</f>
        <v>South Atlanta High School</v>
      </c>
      <c r="G1150" s="1">
        <f ca="1">IFERROR(__xludf.DUMMYFUNCTION("""COMPUTED_VALUE"""),0)</f>
        <v>0</v>
      </c>
      <c r="H1150" s="1">
        <f ca="1">IFERROR(__xludf.DUMMYFUNCTION("""COMPUTED_VALUE"""),0)</f>
        <v>0</v>
      </c>
      <c r="I1150" s="1">
        <f ca="1">IFERROR(__xludf.DUMMYFUNCTION("""COMPUTED_VALUE"""),0)</f>
        <v>0</v>
      </c>
      <c r="J1150" s="1">
        <f ca="1">IFERROR(__xludf.DUMMYFUNCTION("""COMPUTED_VALUE"""),0)</f>
        <v>0</v>
      </c>
      <c r="K1150" s="1" t="str">
        <f ca="1">IFERROR(__xludf.DUMMYFUNCTION("""COMPUTED_VALUE"""),"Fall")</f>
        <v>Fall</v>
      </c>
      <c r="L1150" s="1" t="str">
        <f ca="1">IFERROR(__xludf.DUMMYFUNCTION("""COMPUTED_VALUE"""),"Atlanta")</f>
        <v>Atlanta</v>
      </c>
      <c r="M1150" s="1" t="str">
        <f ca="1">IFERROR(__xludf.DUMMYFUNCTION("""COMPUTED_VALUE"""),"GA")</f>
        <v>GA</v>
      </c>
      <c r="N1150" s="1" t="str">
        <f ca="1">IFERROR(__xludf.DUMMYFUNCTION("""COMPUTED_VALUE"""),"High")</f>
        <v>High</v>
      </c>
      <c r="O1150" s="1" t="str">
        <f ca="1">IFERROR(__xludf.DUMMYFUNCTION("""COMPUTED_VALUE"""),"Field (General)")</f>
        <v>Field (General)</v>
      </c>
      <c r="P1150" s="1" t="str">
        <f ca="1">IFERROR(__xludf.DUMMYFUNCTION("""COMPUTED_VALUE"""),"Outside on School Property")</f>
        <v>Outside on School Property</v>
      </c>
      <c r="Q1150" s="1" t="str">
        <f ca="1">IFERROR(__xludf.DUMMYFUNCTION("""COMPUTED_VALUE"""),"No")</f>
        <v>No</v>
      </c>
      <c r="R1150" s="1" t="str">
        <f ca="1">IFERROR(__xludf.DUMMYFUNCTION("""COMPUTED_VALUE"""),"Sport Event")</f>
        <v>Sport Event</v>
      </c>
      <c r="S1150" s="5">
        <f ca="1">IFERROR(__xludf.DUMMYFUNCTION("""COMPUTED_VALUE"""),0.854166666666666)</f>
        <v>0.85416666666666596</v>
      </c>
      <c r="T1150" s="1">
        <f ca="1">IFERROR(__xludf.DUMMYFUNCTION("""COMPUTED_VALUE"""),1)</f>
        <v>1</v>
      </c>
      <c r="U1150" s="1" t="str">
        <f ca="1">IFERROR(__xludf.DUMMYFUNCTION("""COMPUTED_VALUE"""),"Adult fired shot into air during fight at high school softball game")</f>
        <v>Adult fired shot into air during fight at high school softball game</v>
      </c>
      <c r="V1150" s="1" t="str">
        <f ca="1">IFERROR(__xludf.DUMMYFUNCTION("""COMPUTED_VALUE"""),"Adult fired shot into the air during large fight involving 50+ parents and students at high school softball game. Police officer assigned to the school attempted to break up the fight and subdued the shooter.")</f>
        <v>Adult fired shot into the air during large fight involving 50+ parents and students at high school softball game. Police officer assigned to the school attempted to break up the fight and subdued the shooter.</v>
      </c>
      <c r="W1150" s="1" t="str">
        <f ca="1">IFERROR(__xludf.DUMMYFUNCTION("""COMPUTED_VALUE"""),"Escalation of Dispute")</f>
        <v>Escalation of Dispute</v>
      </c>
      <c r="X1150" s="1" t="str">
        <f ca="1">IFERROR(__xludf.DUMMYFUNCTION("""COMPUTED_VALUE"""),"Neither")</f>
        <v>Neither</v>
      </c>
      <c r="Y1150" s="1" t="str">
        <f ca="1">IFERROR(__xludf.DUMMYFUNCTION("""COMPUTED_VALUE"""),"No")</f>
        <v>No</v>
      </c>
      <c r="Z1150" s="1"/>
      <c r="AA1150" s="1" t="str">
        <f ca="1">IFERROR(__xludf.DUMMYFUNCTION("""COMPUTED_VALUE"""),"No")</f>
        <v>No</v>
      </c>
      <c r="AB1150" s="1" t="str">
        <f ca="1">IFERROR(__xludf.DUMMYFUNCTION("""COMPUTED_VALUE"""),"No")</f>
        <v>No</v>
      </c>
      <c r="AC1150" s="1" t="str">
        <f ca="1">IFERROR(__xludf.DUMMYFUNCTION("""COMPUTED_VALUE"""),"No")</f>
        <v>No</v>
      </c>
      <c r="AD1150" s="1" t="str">
        <f ca="1">IFERROR(__xludf.DUMMYFUNCTION("""COMPUTED_VALUE"""),"No")</f>
        <v>No</v>
      </c>
      <c r="AE1150" s="1" t="str">
        <f ca="1">IFERROR(__xludf.DUMMYFUNCTION("""COMPUTED_VALUE"""),"No")</f>
        <v>No</v>
      </c>
      <c r="AF1150" s="1" t="str">
        <f ca="1">IFERROR(__xludf.DUMMYFUNCTION("""COMPUTED_VALUE"""),"No")</f>
        <v>No</v>
      </c>
      <c r="AG1150" s="1" t="str">
        <f ca="1">IFERROR(__xludf.DUMMYFUNCTION("""COMPUTED_VALUE"""),"No")</f>
        <v>No</v>
      </c>
      <c r="AH1150" s="1">
        <f ca="1">IFERROR(__xludf.DUMMYFUNCTION("""COMPUTED_VALUE"""),1)</f>
        <v>1</v>
      </c>
    </row>
    <row r="1151" spans="1:34" ht="12.5">
      <c r="A1151" s="1" t="str">
        <f ca="1">IFERROR(__xludf.DUMMYFUNCTION("""COMPUTED_VALUE"""),"20190927NCZEC")</f>
        <v>20190927NCZEC</v>
      </c>
      <c r="B1151" s="1">
        <f ca="1">IFERROR(__xludf.DUMMYFUNCTION("""COMPUTED_VALUE"""),9)</f>
        <v>9</v>
      </c>
      <c r="C1151" s="1">
        <f ca="1">IFERROR(__xludf.DUMMYFUNCTION("""COMPUTED_VALUE"""),27)</f>
        <v>27</v>
      </c>
      <c r="D1151" s="1">
        <f ca="1">IFERROR(__xludf.DUMMYFUNCTION("""COMPUTED_VALUE"""),2019)</f>
        <v>2019</v>
      </c>
      <c r="E1151" s="4">
        <f ca="1">IFERROR(__xludf.DUMMYFUNCTION("""COMPUTED_VALUE"""),43735)</f>
        <v>43735</v>
      </c>
      <c r="F1151" s="1" t="str">
        <f ca="1">IFERROR(__xludf.DUMMYFUNCTION("""COMPUTED_VALUE"""),"Zebulon B. Vance High School")</f>
        <v>Zebulon B. Vance High School</v>
      </c>
      <c r="G1151" s="1">
        <f ca="1">IFERROR(__xludf.DUMMYFUNCTION("""COMPUTED_VALUE"""),0)</f>
        <v>0</v>
      </c>
      <c r="H1151" s="1">
        <f ca="1">IFERROR(__xludf.DUMMYFUNCTION("""COMPUTED_VALUE"""),0)</f>
        <v>0</v>
      </c>
      <c r="I1151" s="1">
        <f ca="1">IFERROR(__xludf.DUMMYFUNCTION("""COMPUTED_VALUE"""),0)</f>
        <v>0</v>
      </c>
      <c r="J1151" s="1">
        <f ca="1">IFERROR(__xludf.DUMMYFUNCTION("""COMPUTED_VALUE"""),0)</f>
        <v>0</v>
      </c>
      <c r="K1151" s="1" t="str">
        <f ca="1">IFERROR(__xludf.DUMMYFUNCTION("""COMPUTED_VALUE"""),"Fall")</f>
        <v>Fall</v>
      </c>
      <c r="L1151" s="1" t="str">
        <f ca="1">IFERROR(__xludf.DUMMYFUNCTION("""COMPUTED_VALUE"""),"Charlotte")</f>
        <v>Charlotte</v>
      </c>
      <c r="M1151" s="1" t="str">
        <f ca="1">IFERROR(__xludf.DUMMYFUNCTION("""COMPUTED_VALUE"""),"NC")</f>
        <v>NC</v>
      </c>
      <c r="N1151" s="1" t="str">
        <f ca="1">IFERROR(__xludf.DUMMYFUNCTION("""COMPUTED_VALUE"""),"High")</f>
        <v>High</v>
      </c>
      <c r="O1151" s="1" t="str">
        <f ca="1">IFERROR(__xludf.DUMMYFUNCTION("""COMPUTED_VALUE"""),"Parking Lot")</f>
        <v>Parking Lot</v>
      </c>
      <c r="P1151" s="1" t="str">
        <f ca="1">IFERROR(__xludf.DUMMYFUNCTION("""COMPUTED_VALUE"""),"Outside on School Property")</f>
        <v>Outside on School Property</v>
      </c>
      <c r="Q1151" s="1" t="str">
        <f ca="1">IFERROR(__xludf.DUMMYFUNCTION("""COMPUTED_VALUE"""),"No")</f>
        <v>No</v>
      </c>
      <c r="R1151" s="1" t="str">
        <f ca="1">IFERROR(__xludf.DUMMYFUNCTION("""COMPUTED_VALUE"""),"Sport Event")</f>
        <v>Sport Event</v>
      </c>
      <c r="S1151" s="5">
        <f ca="1">IFERROR(__xludf.DUMMYFUNCTION("""COMPUTED_VALUE"""),0.854166666666666)</f>
        <v>0.85416666666666596</v>
      </c>
      <c r="T1151" s="1">
        <f ca="1">IFERROR(__xludf.DUMMYFUNCTION("""COMPUTED_VALUE"""),1)</f>
        <v>1</v>
      </c>
      <c r="U1151" s="1" t="str">
        <f ca="1">IFERROR(__xludf.DUMMYFUNCTION("""COMPUTED_VALUE"""),"Shots fired during fight in the parking lot during football game")</f>
        <v>Shots fired during fight in the parking lot during football game</v>
      </c>
      <c r="V1151" s="1" t="str">
        <f ca="1">IFERROR(__xludf.DUMMYFUNCTION("""COMPUTED_VALUE"""),"Shots fired in the school parking lot during a football game. Multiple fights occurred during the game. No injuries from the shooting. Shooter not identified and fled the scene. 3 arrested for fighting but not for the shooting.")</f>
        <v>Shots fired in the school parking lot during a football game. Multiple fights occurred during the game. No injuries from the shooting. Shooter not identified and fled the scene. 3 arrested for fighting but not for the shooting.</v>
      </c>
      <c r="W1151" s="1" t="str">
        <f ca="1">IFERROR(__xludf.DUMMYFUNCTION("""COMPUTED_VALUE"""),"Escalation of Dispute")</f>
        <v>Escalation of Dispute</v>
      </c>
      <c r="X1151" s="1"/>
      <c r="Y1151" s="1"/>
      <c r="Z1151" s="1"/>
      <c r="AA1151" s="1" t="str">
        <f ca="1">IFERROR(__xludf.DUMMYFUNCTION("""COMPUTED_VALUE"""),"No")</f>
        <v>No</v>
      </c>
      <c r="AB1151" s="1" t="str">
        <f ca="1">IFERROR(__xludf.DUMMYFUNCTION("""COMPUTED_VALUE"""),"No")</f>
        <v>No</v>
      </c>
      <c r="AC1151" s="1" t="str">
        <f ca="1">IFERROR(__xludf.DUMMYFUNCTION("""COMPUTED_VALUE"""),"No")</f>
        <v>No</v>
      </c>
      <c r="AD1151" s="1" t="str">
        <f ca="1">IFERROR(__xludf.DUMMYFUNCTION("""COMPUTED_VALUE"""),"No")</f>
        <v>No</v>
      </c>
      <c r="AE1151" s="1" t="str">
        <f ca="1">IFERROR(__xludf.DUMMYFUNCTION("""COMPUTED_VALUE"""),"No")</f>
        <v>No</v>
      </c>
      <c r="AF1151" s="1" t="str">
        <f ca="1">IFERROR(__xludf.DUMMYFUNCTION("""COMPUTED_VALUE"""),"No")</f>
        <v>No</v>
      </c>
      <c r="AG1151" s="1" t="str">
        <f ca="1">IFERROR(__xludf.DUMMYFUNCTION("""COMPUTED_VALUE"""),"No")</f>
        <v>No</v>
      </c>
      <c r="AH1151" s="1" t="str">
        <f ca="1">IFERROR(__xludf.DUMMYFUNCTION("""COMPUTED_VALUE"""),"&lt;10")</f>
        <v>&lt;10</v>
      </c>
    </row>
    <row r="1152" spans="1:34" ht="12.5">
      <c r="A1152" s="1" t="str">
        <f ca="1">IFERROR(__xludf.DUMMYFUNCTION("""COMPUTED_VALUE"""),"20190927CADER")</f>
        <v>20190927CADER</v>
      </c>
      <c r="B1152" s="1">
        <f ca="1">IFERROR(__xludf.DUMMYFUNCTION("""COMPUTED_VALUE"""),9)</f>
        <v>9</v>
      </c>
      <c r="C1152" s="1">
        <f ca="1">IFERROR(__xludf.DUMMYFUNCTION("""COMPUTED_VALUE"""),27)</f>
        <v>27</v>
      </c>
      <c r="D1152" s="1">
        <f ca="1">IFERROR(__xludf.DUMMYFUNCTION("""COMPUTED_VALUE"""),2019)</f>
        <v>2019</v>
      </c>
      <c r="E1152" s="4">
        <f ca="1">IFERROR(__xludf.DUMMYFUNCTION("""COMPUTED_VALUE"""),43735)</f>
        <v>43735</v>
      </c>
      <c r="F1152" s="1" t="str">
        <f ca="1">IFERROR(__xludf.DUMMYFUNCTION("""COMPUTED_VALUE"""),"De Anza High School")</f>
        <v>De Anza High School</v>
      </c>
      <c r="G1152" s="1">
        <f ca="1">IFERROR(__xludf.DUMMYFUNCTION("""COMPUTED_VALUE"""),0)</f>
        <v>0</v>
      </c>
      <c r="H1152" s="1">
        <f ca="1">IFERROR(__xludf.DUMMYFUNCTION("""COMPUTED_VALUE"""),3)</f>
        <v>3</v>
      </c>
      <c r="I1152" s="1">
        <f ca="1">IFERROR(__xludf.DUMMYFUNCTION("""COMPUTED_VALUE"""),3)</f>
        <v>3</v>
      </c>
      <c r="J1152" s="1">
        <f ca="1">IFERROR(__xludf.DUMMYFUNCTION("""COMPUTED_VALUE"""),0)</f>
        <v>0</v>
      </c>
      <c r="K1152" s="1" t="str">
        <f ca="1">IFERROR(__xludf.DUMMYFUNCTION("""COMPUTED_VALUE"""),"Fall")</f>
        <v>Fall</v>
      </c>
      <c r="L1152" s="1" t="str">
        <f ca="1">IFERROR(__xludf.DUMMYFUNCTION("""COMPUTED_VALUE"""),"Richmond")</f>
        <v>Richmond</v>
      </c>
      <c r="M1152" s="1" t="str">
        <f ca="1">IFERROR(__xludf.DUMMYFUNCTION("""COMPUTED_VALUE"""),"CA")</f>
        <v>CA</v>
      </c>
      <c r="N1152" s="1" t="str">
        <f ca="1">IFERROR(__xludf.DUMMYFUNCTION("""COMPUTED_VALUE"""),"High")</f>
        <v>High</v>
      </c>
      <c r="O1152" s="1" t="str">
        <f ca="1">IFERROR(__xludf.DUMMYFUNCTION("""COMPUTED_VALUE"""),"Off School Property")</f>
        <v>Off School Property</v>
      </c>
      <c r="P1152" s="1" t="str">
        <f ca="1">IFERROR(__xludf.DUMMYFUNCTION("""COMPUTED_VALUE"""),"Off School Property")</f>
        <v>Off School Property</v>
      </c>
      <c r="Q1152" s="1" t="str">
        <f ca="1">IFERROR(__xludf.DUMMYFUNCTION("""COMPUTED_VALUE"""),"No")</f>
        <v>No</v>
      </c>
      <c r="R1152" s="1" t="str">
        <f ca="1">IFERROR(__xludf.DUMMYFUNCTION("""COMPUTED_VALUE"""),"Sport Event")</f>
        <v>Sport Event</v>
      </c>
      <c r="S1152" s="5">
        <f ca="1">IFERROR(__xludf.DUMMYFUNCTION("""COMPUTED_VALUE"""),0.875)</f>
        <v>0.875</v>
      </c>
      <c r="T1152" s="1">
        <f ca="1">IFERROR(__xludf.DUMMYFUNCTION("""COMPUTED_VALUE"""),1)</f>
        <v>1</v>
      </c>
      <c r="U1152" s="1" t="str">
        <f ca="1">IFERROR(__xludf.DUMMYFUNCTION("""COMPUTED_VALUE"""),"Three teen students shot leaving football game")</f>
        <v>Three teen students shot leaving football game</v>
      </c>
      <c r="V1152" s="1" t="str">
        <f ca="1">IFERROR(__xludf.DUMMYFUNCTION("""COMPUTED_VALUE"""),"A large fight occurred after the end of a rivalry football game at the high school. The fight started outside of the football field and continued on to Morningside Drive. Shots were fired during the fight striking three teens who were leaving the game. A "&amp;"16 year-old female student was struck in the spine and paralyzed. Three teens were arrested the following week after investigation lead by SROs.")</f>
        <v>A large fight occurred after the end of a rivalry football game at the high school. The fight started outside of the football field and continued on to Morningside Drive. Shots were fired during the fight striking three teens who were leaving the game. A 16 year-old female student was struck in the spine and paralyzed. Three teens were arrested the following week after investigation lead by SROs.</v>
      </c>
      <c r="W1152" s="1" t="str">
        <f ca="1">IFERROR(__xludf.DUMMYFUNCTION("""COMPUTED_VALUE"""),"Escalation of Dispute")</f>
        <v>Escalation of Dispute</v>
      </c>
      <c r="X1152" s="1" t="str">
        <f ca="1">IFERROR(__xludf.DUMMYFUNCTION("""COMPUTED_VALUE"""),"Both")</f>
        <v>Both</v>
      </c>
      <c r="Y1152" s="1" t="str">
        <f ca="1">IFERROR(__xludf.DUMMYFUNCTION("""COMPUTED_VALUE"""),"Yes")</f>
        <v>Yes</v>
      </c>
      <c r="Z1152" s="1" t="str">
        <f ca="1">IFERROR(__xludf.DUMMYFUNCTION("""COMPUTED_VALUE"""),"Three teens arrested")</f>
        <v>Three teens arrested</v>
      </c>
      <c r="AA1152" s="1" t="str">
        <f ca="1">IFERROR(__xludf.DUMMYFUNCTION("""COMPUTED_VALUE"""),"No")</f>
        <v>No</v>
      </c>
      <c r="AB1152" s="1" t="str">
        <f ca="1">IFERROR(__xludf.DUMMYFUNCTION("""COMPUTED_VALUE"""),"No")</f>
        <v>No</v>
      </c>
      <c r="AC1152" s="1" t="str">
        <f ca="1">IFERROR(__xludf.DUMMYFUNCTION("""COMPUTED_VALUE"""),"No")</f>
        <v>No</v>
      </c>
      <c r="AD1152" s="1" t="str">
        <f ca="1">IFERROR(__xludf.DUMMYFUNCTION("""COMPUTED_VALUE"""),"No")</f>
        <v>No</v>
      </c>
      <c r="AE1152" s="1" t="str">
        <f ca="1">IFERROR(__xludf.DUMMYFUNCTION("""COMPUTED_VALUE"""),"No")</f>
        <v>No</v>
      </c>
      <c r="AF1152" s="1" t="str">
        <f ca="1">IFERROR(__xludf.DUMMYFUNCTION("""COMPUTED_VALUE"""),"Yes")</f>
        <v>Yes</v>
      </c>
      <c r="AG1152" s="1" t="str">
        <f ca="1">IFERROR(__xludf.DUMMYFUNCTION("""COMPUTED_VALUE"""),"No")</f>
        <v>No</v>
      </c>
      <c r="AH1152" s="1"/>
    </row>
    <row r="1153" spans="1:34" ht="12.5">
      <c r="A1153" s="1" t="str">
        <f ca="1">IFERROR(__xludf.DUMMYFUNCTION("""COMPUTED_VALUE"""),"20190925DCAIW")</f>
        <v>20190925DCAIW</v>
      </c>
      <c r="B1153" s="1">
        <f ca="1">IFERROR(__xludf.DUMMYFUNCTION("""COMPUTED_VALUE"""),9)</f>
        <v>9</v>
      </c>
      <c r="C1153" s="1">
        <f ca="1">IFERROR(__xludf.DUMMYFUNCTION("""COMPUTED_VALUE"""),25)</f>
        <v>25</v>
      </c>
      <c r="D1153" s="1">
        <f ca="1">IFERROR(__xludf.DUMMYFUNCTION("""COMPUTED_VALUE"""),2019)</f>
        <v>2019</v>
      </c>
      <c r="E1153" s="4">
        <f ca="1">IFERROR(__xludf.DUMMYFUNCTION("""COMPUTED_VALUE"""),43733)</f>
        <v>43733</v>
      </c>
      <c r="F1153" s="1" t="str">
        <f ca="1">IFERROR(__xludf.DUMMYFUNCTION("""COMPUTED_VALUE"""),"Aiton Elementary School")</f>
        <v>Aiton Elementary School</v>
      </c>
      <c r="G1153" s="1">
        <f ca="1">IFERROR(__xludf.DUMMYFUNCTION("""COMPUTED_VALUE"""),0)</f>
        <v>0</v>
      </c>
      <c r="H1153" s="1">
        <f ca="1">IFERROR(__xludf.DUMMYFUNCTION("""COMPUTED_VALUE"""),0)</f>
        <v>0</v>
      </c>
      <c r="I1153" s="1">
        <f ca="1">IFERROR(__xludf.DUMMYFUNCTION("""COMPUTED_VALUE"""),0)</f>
        <v>0</v>
      </c>
      <c r="J1153" s="1">
        <f ca="1">IFERROR(__xludf.DUMMYFUNCTION("""COMPUTED_VALUE"""),0)</f>
        <v>0</v>
      </c>
      <c r="K1153" s="1" t="str">
        <f ca="1">IFERROR(__xludf.DUMMYFUNCTION("""COMPUTED_VALUE"""),"Fall")</f>
        <v>Fall</v>
      </c>
      <c r="L1153" s="1" t="str">
        <f ca="1">IFERROR(__xludf.DUMMYFUNCTION("""COMPUTED_VALUE"""),"Washington")</f>
        <v>Washington</v>
      </c>
      <c r="M1153" s="1" t="str">
        <f ca="1">IFERROR(__xludf.DUMMYFUNCTION("""COMPUTED_VALUE"""),"DC")</f>
        <v>DC</v>
      </c>
      <c r="N1153" s="1" t="str">
        <f ca="1">IFERROR(__xludf.DUMMYFUNCTION("""COMPUTED_VALUE"""),"Elementary")</f>
        <v>Elementary</v>
      </c>
      <c r="O1153" s="1" t="str">
        <f ca="1">IFERROR(__xludf.DUMMYFUNCTION("""COMPUTED_VALUE"""),"Classroom")</f>
        <v>Classroom</v>
      </c>
      <c r="P1153" s="1" t="str">
        <f ca="1">IFERROR(__xludf.DUMMYFUNCTION("""COMPUTED_VALUE"""),"Both Inside/Outside")</f>
        <v>Both Inside/Outside</v>
      </c>
      <c r="Q1153" s="1" t="str">
        <f ca="1">IFERROR(__xludf.DUMMYFUNCTION("""COMPUTED_VALUE"""),"No")</f>
        <v>No</v>
      </c>
      <c r="R1153" s="1" t="str">
        <f ca="1">IFERROR(__xludf.DUMMYFUNCTION("""COMPUTED_VALUE"""),"Night")</f>
        <v>Night</v>
      </c>
      <c r="S1153" s="5">
        <f ca="1">IFERROR(__xludf.DUMMYFUNCTION("""COMPUTED_VALUE"""),0.895833333333333)</f>
        <v>0.89583333333333304</v>
      </c>
      <c r="T1153" s="1">
        <f ca="1">IFERROR(__xludf.DUMMYFUNCTION("""COMPUTED_VALUE"""),1)</f>
        <v>1</v>
      </c>
      <c r="U1153" s="1" t="str">
        <f ca="1">IFERROR(__xludf.DUMMYFUNCTION("""COMPUTED_VALUE"""),"Shot fired from vehicle broke classroom window")</f>
        <v>Shot fired from vehicle broke classroom window</v>
      </c>
      <c r="V1153" s="1" t="str">
        <f ca="1">IFERROR(__xludf.DUMMYFUNCTION("""COMPUTED_VALUE"""),"A bullet flew through the classroom window of a D.C. elementary school on Wednesday. A car police believe was involved in the shooting then took down a power pole, leaving a Northeast neighborhood without power. D.C. police said two vehicles were travelin"&amp;"g on 49th Street NE near Aiton Elementary School and were shooting at each other when one bullet struck a window of an empty classroom.")</f>
        <v>A bullet flew through the classroom window of a D.C. elementary school on Wednesday. A car police believe was involved in the shooting then took down a power pole, leaving a Northeast neighborhood without power. D.C. police said two vehicles were traveling on 49th Street NE near Aiton Elementary School and were shooting at each other when one bullet struck a window of an empty classroom.</v>
      </c>
      <c r="W1153" s="1" t="str">
        <f ca="1">IFERROR(__xludf.DUMMYFUNCTION("""COMPUTED_VALUE"""),"Drive-by Shooting")</f>
        <v>Drive-by Shooting</v>
      </c>
      <c r="X1153" s="1" t="str">
        <f ca="1">IFERROR(__xludf.DUMMYFUNCTION("""COMPUTED_VALUE"""),"Random Shooting")</f>
        <v>Random Shooting</v>
      </c>
      <c r="Y1153" s="1" t="str">
        <f ca="1">IFERROR(__xludf.DUMMYFUNCTION("""COMPUTED_VALUE"""),"No")</f>
        <v>No</v>
      </c>
      <c r="Z1153" s="1"/>
      <c r="AA1153" s="1" t="str">
        <f ca="1">IFERROR(__xludf.DUMMYFUNCTION("""COMPUTED_VALUE"""),"No")</f>
        <v>No</v>
      </c>
      <c r="AB1153" s="1" t="str">
        <f ca="1">IFERROR(__xludf.DUMMYFUNCTION("""COMPUTED_VALUE"""),"No")</f>
        <v>No</v>
      </c>
      <c r="AC1153" s="1" t="str">
        <f ca="1">IFERROR(__xludf.DUMMYFUNCTION("""COMPUTED_VALUE"""),"No")</f>
        <v>No</v>
      </c>
      <c r="AD1153" s="1" t="str">
        <f ca="1">IFERROR(__xludf.DUMMYFUNCTION("""COMPUTED_VALUE"""),"No")</f>
        <v>No</v>
      </c>
      <c r="AE1153" s="1" t="str">
        <f ca="1">IFERROR(__xludf.DUMMYFUNCTION("""COMPUTED_VALUE"""),"No")</f>
        <v>No</v>
      </c>
      <c r="AF1153" s="1"/>
      <c r="AG1153" s="1" t="str">
        <f ca="1">IFERROR(__xludf.DUMMYFUNCTION("""COMPUTED_VALUE"""),"No")</f>
        <v>No</v>
      </c>
      <c r="AH1153" s="1">
        <f ca="1">IFERROR(__xludf.DUMMYFUNCTION("""COMPUTED_VALUE"""),99)</f>
        <v>99</v>
      </c>
    </row>
    <row r="1154" spans="1:34" ht="12.5">
      <c r="A1154" s="1" t="str">
        <f ca="1">IFERROR(__xludf.DUMMYFUNCTION("""COMPUTED_VALUE"""),"20190920PASIP")</f>
        <v>20190920PASIP</v>
      </c>
      <c r="B1154" s="1">
        <f ca="1">IFERROR(__xludf.DUMMYFUNCTION("""COMPUTED_VALUE"""),9)</f>
        <v>9</v>
      </c>
      <c r="C1154" s="1">
        <f ca="1">IFERROR(__xludf.DUMMYFUNCTION("""COMPUTED_VALUE"""),20)</f>
        <v>20</v>
      </c>
      <c r="D1154" s="1">
        <f ca="1">IFERROR(__xludf.DUMMYFUNCTION("""COMPUTED_VALUE"""),2019)</f>
        <v>2019</v>
      </c>
      <c r="E1154" s="4">
        <f ca="1">IFERROR(__xludf.DUMMYFUNCTION("""COMPUTED_VALUE"""),43728)</f>
        <v>43728</v>
      </c>
      <c r="F1154" s="1" t="str">
        <f ca="1">IFERROR(__xludf.DUMMYFUNCTION("""COMPUTED_VALUE"""),"Simon Gratz High School Mastery Charter")</f>
        <v>Simon Gratz High School Mastery Charter</v>
      </c>
      <c r="G1154" s="1">
        <f ca="1">IFERROR(__xludf.DUMMYFUNCTION("""COMPUTED_VALUE"""),0)</f>
        <v>0</v>
      </c>
      <c r="H1154" s="1">
        <f ca="1">IFERROR(__xludf.DUMMYFUNCTION("""COMPUTED_VALUE"""),2)</f>
        <v>2</v>
      </c>
      <c r="I1154" s="1">
        <f ca="1">IFERROR(__xludf.DUMMYFUNCTION("""COMPUTED_VALUE"""),2)</f>
        <v>2</v>
      </c>
      <c r="J1154" s="1">
        <f ca="1">IFERROR(__xludf.DUMMYFUNCTION("""COMPUTED_VALUE"""),0)</f>
        <v>0</v>
      </c>
      <c r="K1154" s="1" t="str">
        <f ca="1">IFERROR(__xludf.DUMMYFUNCTION("""COMPUTED_VALUE"""),"Fall")</f>
        <v>Fall</v>
      </c>
      <c r="L1154" s="1" t="str">
        <f ca="1">IFERROR(__xludf.DUMMYFUNCTION("""COMPUTED_VALUE"""),"Philadelphia")</f>
        <v>Philadelphia</v>
      </c>
      <c r="M1154" s="1" t="str">
        <f ca="1">IFERROR(__xludf.DUMMYFUNCTION("""COMPUTED_VALUE"""),"PA")</f>
        <v>PA</v>
      </c>
      <c r="N1154" s="1" t="str">
        <f ca="1">IFERROR(__xludf.DUMMYFUNCTION("""COMPUTED_VALUE"""),"High")</f>
        <v>High</v>
      </c>
      <c r="O1154" s="1" t="str">
        <f ca="1">IFERROR(__xludf.DUMMYFUNCTION("""COMPUTED_VALUE"""),"Football Field/Track")</f>
        <v>Football Field/Track</v>
      </c>
      <c r="P1154" s="1" t="str">
        <f ca="1">IFERROR(__xludf.DUMMYFUNCTION("""COMPUTED_VALUE"""),"Outside on School Property")</f>
        <v>Outside on School Property</v>
      </c>
      <c r="Q1154" s="1" t="str">
        <f ca="1">IFERROR(__xludf.DUMMYFUNCTION("""COMPUTED_VALUE"""),"No")</f>
        <v>No</v>
      </c>
      <c r="R1154" s="1" t="str">
        <f ca="1">IFERROR(__xludf.DUMMYFUNCTION("""COMPUTED_VALUE"""),"Sport Event")</f>
        <v>Sport Event</v>
      </c>
      <c r="S1154" s="5">
        <f ca="1">IFERROR(__xludf.DUMMYFUNCTION("""COMPUTED_VALUE"""),0.8125)</f>
        <v>0.8125</v>
      </c>
      <c r="T1154" s="1">
        <f ca="1">IFERROR(__xludf.DUMMYFUNCTION("""COMPUTED_VALUE"""),1)</f>
        <v>1</v>
      </c>
      <c r="U1154" s="1" t="str">
        <f ca="1">IFERROR(__xludf.DUMMYFUNCTION("""COMPUTED_VALUE"""),"Two teens shot at football game, stadium evacuated")</f>
        <v>Two teens shot at football game, stadium evacuated</v>
      </c>
      <c r="V1154" s="1" t="str">
        <f ca="1">IFERROR(__xludf.DUMMYFUNCTION("""COMPUTED_VALUE"""),"14YOM and 15YOM shot during high school football game. Shooter fled the area. Stadium was evacuated. Crowd in the bleachers ran across the football field when shots were heard. Motive and relation of victims/shooter to school unknown.")</f>
        <v>14YOM and 15YOM shot during high school football game. Shooter fled the area. Stadium was evacuated. Crowd in the bleachers ran across the football field when shots were heard. Motive and relation of victims/shooter to school unknown.</v>
      </c>
      <c r="W1154" s="1" t="str">
        <f ca="1">IFERROR(__xludf.DUMMYFUNCTION("""COMPUTED_VALUE"""),"Escalation of Dispute")</f>
        <v>Escalation of Dispute</v>
      </c>
      <c r="X1154" s="1"/>
      <c r="Y1154" s="1"/>
      <c r="Z1154" s="1"/>
      <c r="AA1154" s="1" t="str">
        <f ca="1">IFERROR(__xludf.DUMMYFUNCTION("""COMPUTED_VALUE"""),"No")</f>
        <v>No</v>
      </c>
      <c r="AB1154" s="1" t="str">
        <f ca="1">IFERROR(__xludf.DUMMYFUNCTION("""COMPUTED_VALUE"""),"No")</f>
        <v>No</v>
      </c>
      <c r="AC1154" s="1" t="str">
        <f ca="1">IFERROR(__xludf.DUMMYFUNCTION("""COMPUTED_VALUE"""),"No")</f>
        <v>No</v>
      </c>
      <c r="AD1154" s="1"/>
      <c r="AE1154" s="1" t="str">
        <f ca="1">IFERROR(__xludf.DUMMYFUNCTION("""COMPUTED_VALUE"""),"No")</f>
        <v>No</v>
      </c>
      <c r="AF1154" s="1"/>
      <c r="AG1154" s="1" t="str">
        <f ca="1">IFERROR(__xludf.DUMMYFUNCTION("""COMPUTED_VALUE"""),"No")</f>
        <v>No</v>
      </c>
      <c r="AH1154" s="1"/>
    </row>
    <row r="1155" spans="1:34" ht="12.5">
      <c r="A1155" s="1" t="str">
        <f ca="1">IFERROR(__xludf.DUMMYFUNCTION("""COMPUTED_VALUE"""),"20190918MNFOC")</f>
        <v>20190918MNFOC</v>
      </c>
      <c r="B1155" s="1">
        <f ca="1">IFERROR(__xludf.DUMMYFUNCTION("""COMPUTED_VALUE"""),10)</f>
        <v>10</v>
      </c>
      <c r="C1155" s="1">
        <f ca="1">IFERROR(__xludf.DUMMYFUNCTION("""COMPUTED_VALUE"""),18)</f>
        <v>18</v>
      </c>
      <c r="D1155" s="1">
        <f ca="1">IFERROR(__xludf.DUMMYFUNCTION("""COMPUTED_VALUE"""),2019)</f>
        <v>2019</v>
      </c>
      <c r="E1155" s="4">
        <f ca="1">IFERROR(__xludf.DUMMYFUNCTION("""COMPUTED_VALUE"""),43756)</f>
        <v>43756</v>
      </c>
      <c r="F1155" s="1" t="str">
        <f ca="1">IFERROR(__xludf.DUMMYFUNCTION("""COMPUTED_VALUE"""),"Fond Du Lac Ojibwe High School")</f>
        <v>Fond Du Lac Ojibwe High School</v>
      </c>
      <c r="G1155" s="1">
        <f ca="1">IFERROR(__xludf.DUMMYFUNCTION("""COMPUTED_VALUE"""),0)</f>
        <v>0</v>
      </c>
      <c r="H1155" s="1">
        <f ca="1">IFERROR(__xludf.DUMMYFUNCTION("""COMPUTED_VALUE"""),1)</f>
        <v>1</v>
      </c>
      <c r="I1155" s="1">
        <f ca="1">IFERROR(__xludf.DUMMYFUNCTION("""COMPUTED_VALUE"""),1)</f>
        <v>1</v>
      </c>
      <c r="J1155" s="1">
        <f ca="1">IFERROR(__xludf.DUMMYFUNCTION("""COMPUTED_VALUE"""),0)</f>
        <v>0</v>
      </c>
      <c r="K1155" s="1" t="str">
        <f ca="1">IFERROR(__xludf.DUMMYFUNCTION("""COMPUTED_VALUE"""),"Fall")</f>
        <v>Fall</v>
      </c>
      <c r="L1155" s="1" t="str">
        <f ca="1">IFERROR(__xludf.DUMMYFUNCTION("""COMPUTED_VALUE"""),"Cloquet")</f>
        <v>Cloquet</v>
      </c>
      <c r="M1155" s="1" t="str">
        <f ca="1">IFERROR(__xludf.DUMMYFUNCTION("""COMPUTED_VALUE"""),"MN")</f>
        <v>MN</v>
      </c>
      <c r="N1155" s="1" t="str">
        <f ca="1">IFERROR(__xludf.DUMMYFUNCTION("""COMPUTED_VALUE"""),"High")</f>
        <v>High</v>
      </c>
      <c r="O1155" s="1" t="str">
        <f ca="1">IFERROR(__xludf.DUMMYFUNCTION("""COMPUTED_VALUE"""),"Outside on School Property")</f>
        <v>Outside on School Property</v>
      </c>
      <c r="P1155" s="1" t="str">
        <f ca="1">IFERROR(__xludf.DUMMYFUNCTION("""COMPUTED_VALUE"""),"Outside on School Property")</f>
        <v>Outside on School Property</v>
      </c>
      <c r="Q1155" s="1" t="str">
        <f ca="1">IFERROR(__xludf.DUMMYFUNCTION("""COMPUTED_VALUE"""),"Yes")</f>
        <v>Yes</v>
      </c>
      <c r="R1155" s="1"/>
      <c r="S1155" s="5">
        <f ca="1">IFERROR(__xludf.DUMMYFUNCTION("""COMPUTED_VALUE"""),0.416666666666666)</f>
        <v>0.41666666666666602</v>
      </c>
      <c r="T1155" s="1">
        <f ca="1">IFERROR(__xludf.DUMMYFUNCTION("""COMPUTED_VALUE"""),1)</f>
        <v>1</v>
      </c>
      <c r="U1155" s="1" t="str">
        <f ca="1">IFERROR(__xludf.DUMMYFUNCTION("""COMPUTED_VALUE"""),"Man shot his sister's boyfriend in the head")</f>
        <v>Man shot his sister's boyfriend in the head</v>
      </c>
      <c r="V1155" s="1" t="str">
        <f ca="1">IFERROR(__xludf.DUMMYFUNCTION("""COMPUTED_VALUE"""),"Following a funeral being held in one of the school buildings, a 28 year-old male fired one shot at his sister's boyfriend striking him in the head. School was not in session due to an administrative break day but students were present for other activitie"&amp;"s on the campus. The school was locked down for 2 hours. The shooter was arrested at the scene.")</f>
        <v>Following a funeral being held in one of the school buildings, a 28 year-old male fired one shot at his sister's boyfriend striking him in the head. School was not in session due to an administrative break day but students were present for other activities on the campus. The school was locked down for 2 hours. The shooter was arrested at the scene.</v>
      </c>
      <c r="W1155" s="1" t="str">
        <f ca="1">IFERROR(__xludf.DUMMYFUNCTION("""COMPUTED_VALUE"""),"Domestic w/ Targeted Victim")</f>
        <v>Domestic w/ Targeted Victim</v>
      </c>
      <c r="X1155" s="1" t="str">
        <f ca="1">IFERROR(__xludf.DUMMYFUNCTION("""COMPUTED_VALUE"""),"Victims Targeted")</f>
        <v>Victims Targeted</v>
      </c>
      <c r="Y1155" s="1" t="str">
        <f ca="1">IFERROR(__xludf.DUMMYFUNCTION("""COMPUTED_VALUE"""),"No")</f>
        <v>No</v>
      </c>
      <c r="Z1155" s="1"/>
      <c r="AA1155" s="1" t="str">
        <f ca="1">IFERROR(__xludf.DUMMYFUNCTION("""COMPUTED_VALUE"""),"No")</f>
        <v>No</v>
      </c>
      <c r="AB1155" s="1" t="str">
        <f ca="1">IFERROR(__xludf.DUMMYFUNCTION("""COMPUTED_VALUE"""),"No")</f>
        <v>No</v>
      </c>
      <c r="AC1155" s="1" t="str">
        <f ca="1">IFERROR(__xludf.DUMMYFUNCTION("""COMPUTED_VALUE"""),"No")</f>
        <v>No</v>
      </c>
      <c r="AD1155" s="1" t="str">
        <f ca="1">IFERROR(__xludf.DUMMYFUNCTION("""COMPUTED_VALUE"""),"No")</f>
        <v>No</v>
      </c>
      <c r="AE1155" s="1" t="str">
        <f ca="1">IFERROR(__xludf.DUMMYFUNCTION("""COMPUTED_VALUE"""),"Yes")</f>
        <v>Yes</v>
      </c>
      <c r="AF1155" s="1" t="str">
        <f ca="1">IFERROR(__xludf.DUMMYFUNCTION("""COMPUTED_VALUE"""),"No")</f>
        <v>No</v>
      </c>
      <c r="AG1155" s="1" t="str">
        <f ca="1">IFERROR(__xludf.DUMMYFUNCTION("""COMPUTED_VALUE"""),"No")</f>
        <v>No</v>
      </c>
      <c r="AH1155" s="1">
        <f ca="1">IFERROR(__xludf.DUMMYFUNCTION("""COMPUTED_VALUE"""),1)</f>
        <v>1</v>
      </c>
    </row>
    <row r="1156" spans="1:34" ht="12.5">
      <c r="A1156" s="1" t="str">
        <f ca="1">IFERROR(__xludf.DUMMYFUNCTION("""COMPUTED_VALUE"""),"20190916VAPHH")</f>
        <v>20190916VAPHH</v>
      </c>
      <c r="B1156" s="1">
        <f ca="1">IFERROR(__xludf.DUMMYFUNCTION("""COMPUTED_VALUE"""),9)</f>
        <v>9</v>
      </c>
      <c r="C1156" s="1">
        <f ca="1">IFERROR(__xludf.DUMMYFUNCTION("""COMPUTED_VALUE"""),16)</f>
        <v>16</v>
      </c>
      <c r="D1156" s="1">
        <f ca="1">IFERROR(__xludf.DUMMYFUNCTION("""COMPUTED_VALUE"""),2019)</f>
        <v>2019</v>
      </c>
      <c r="E1156" s="4">
        <f ca="1">IFERROR(__xludf.DUMMYFUNCTION("""COMPUTED_VALUE"""),43724)</f>
        <v>43724</v>
      </c>
      <c r="F1156" s="1" t="str">
        <f ca="1">IFERROR(__xludf.DUMMYFUNCTION("""COMPUTED_VALUE"""),"Phoebus High School")</f>
        <v>Phoebus High School</v>
      </c>
      <c r="G1156" s="1">
        <f ca="1">IFERROR(__xludf.DUMMYFUNCTION("""COMPUTED_VALUE"""),1)</f>
        <v>1</v>
      </c>
      <c r="H1156" s="1">
        <f ca="1">IFERROR(__xludf.DUMMYFUNCTION("""COMPUTED_VALUE"""),0)</f>
        <v>0</v>
      </c>
      <c r="I1156" s="1">
        <f ca="1">IFERROR(__xludf.DUMMYFUNCTION("""COMPUTED_VALUE"""),1)</f>
        <v>1</v>
      </c>
      <c r="J1156" s="1">
        <f ca="1">IFERROR(__xludf.DUMMYFUNCTION("""COMPUTED_VALUE"""),0)</f>
        <v>0</v>
      </c>
      <c r="K1156" s="1" t="str">
        <f ca="1">IFERROR(__xludf.DUMMYFUNCTION("""COMPUTED_VALUE"""),"Fall")</f>
        <v>Fall</v>
      </c>
      <c r="L1156" s="1" t="str">
        <f ca="1">IFERROR(__xludf.DUMMYFUNCTION("""COMPUTED_VALUE"""),"Hampton")</f>
        <v>Hampton</v>
      </c>
      <c r="M1156" s="1" t="str">
        <f ca="1">IFERROR(__xludf.DUMMYFUNCTION("""COMPUTED_VALUE"""),"VA")</f>
        <v>VA</v>
      </c>
      <c r="N1156" s="1" t="str">
        <f ca="1">IFERROR(__xludf.DUMMYFUNCTION("""COMPUTED_VALUE"""),"High")</f>
        <v>High</v>
      </c>
      <c r="O1156" s="1" t="str">
        <f ca="1">IFERROR(__xludf.DUMMYFUNCTION("""COMPUTED_VALUE"""),"Parking Lot")</f>
        <v>Parking Lot</v>
      </c>
      <c r="P1156" s="1" t="str">
        <f ca="1">IFERROR(__xludf.DUMMYFUNCTION("""COMPUTED_VALUE"""),"Off School Property")</f>
        <v>Off School Property</v>
      </c>
      <c r="Q1156" s="1" t="str">
        <f ca="1">IFERROR(__xludf.DUMMYFUNCTION("""COMPUTED_VALUE"""),"Yes")</f>
        <v>Yes</v>
      </c>
      <c r="R1156" s="1" t="str">
        <f ca="1">IFERROR(__xludf.DUMMYFUNCTION("""COMPUTED_VALUE"""),"Morning Classes")</f>
        <v>Morning Classes</v>
      </c>
      <c r="S1156" s="5">
        <f ca="1">IFERROR(__xludf.DUMMYFUNCTION("""COMPUTED_VALUE"""),0.496527777777777)</f>
        <v>0.49652777777777701</v>
      </c>
      <c r="T1156" s="1">
        <f ca="1">IFERROR(__xludf.DUMMYFUNCTION("""COMPUTED_VALUE"""),1)</f>
        <v>1</v>
      </c>
      <c r="U1156" s="1" t="str">
        <f ca="1">IFERROR(__xludf.DUMMYFUNCTION("""COMPUTED_VALUE"""),"Man shot across the street from the school and died in school parking lot during classes")</f>
        <v>Man shot across the street from the school and died in school parking lot during classes</v>
      </c>
      <c r="V1156" s="1" t="str">
        <f ca="1">IFERROR(__xludf.DUMMYFUNCTION("""COMPUTED_VALUE"""),"38YOM shot by unidentified shooter (arrested) in vehicle across the street from the school. Victim walked across street after being shot and collapsed in school parking lot. Neighbors heard shots and attempted to assist shooting victim. Shooting occurred "&amp;"at noon and school was placed on lockdown until 3pm. After school activities were canceled.")</f>
        <v>38YOM shot by unidentified shooter (arrested) in vehicle across the street from the school. Victim walked across street after being shot and collapsed in school parking lot. Neighbors heard shots and attempted to assist shooting victim. Shooting occurred at noon and school was placed on lockdown until 3pm. After school activities were canceled.</v>
      </c>
      <c r="W1156" s="1" t="str">
        <f ca="1">IFERROR(__xludf.DUMMYFUNCTION("""COMPUTED_VALUE"""),"Unknown")</f>
        <v>Unknown</v>
      </c>
      <c r="X1156" s="1" t="str">
        <f ca="1">IFERROR(__xludf.DUMMYFUNCTION("""COMPUTED_VALUE"""),"Victims Targeted")</f>
        <v>Victims Targeted</v>
      </c>
      <c r="Y1156" s="1" t="str">
        <f ca="1">IFERROR(__xludf.DUMMYFUNCTION("""COMPUTED_VALUE"""),"No")</f>
        <v>No</v>
      </c>
      <c r="Z1156" s="1"/>
      <c r="AA1156" s="1" t="str">
        <f ca="1">IFERROR(__xludf.DUMMYFUNCTION("""COMPUTED_VALUE"""),"No")</f>
        <v>No</v>
      </c>
      <c r="AB1156" s="1" t="str">
        <f ca="1">IFERROR(__xludf.DUMMYFUNCTION("""COMPUTED_VALUE"""),"No")</f>
        <v>No</v>
      </c>
      <c r="AC1156" s="1" t="str">
        <f ca="1">IFERROR(__xludf.DUMMYFUNCTION("""COMPUTED_VALUE"""),"No")</f>
        <v>No</v>
      </c>
      <c r="AD1156" s="1" t="str">
        <f ca="1">IFERROR(__xludf.DUMMYFUNCTION("""COMPUTED_VALUE"""),"No")</f>
        <v>No</v>
      </c>
      <c r="AE1156" s="1" t="str">
        <f ca="1">IFERROR(__xludf.DUMMYFUNCTION("""COMPUTED_VALUE"""),"No")</f>
        <v>No</v>
      </c>
      <c r="AF1156" s="1"/>
      <c r="AG1156" s="1" t="str">
        <f ca="1">IFERROR(__xludf.DUMMYFUNCTION("""COMPUTED_VALUE"""),"No")</f>
        <v>No</v>
      </c>
      <c r="AH1156" s="1" t="str">
        <f ca="1">IFERROR(__xludf.DUMMYFUNCTION("""COMPUTED_VALUE"""),"&lt;10")</f>
        <v>&lt;10</v>
      </c>
    </row>
    <row r="1157" spans="1:34" ht="12.5">
      <c r="A1157" s="1" t="str">
        <f ca="1">IFERROR(__xludf.DUMMYFUNCTION("""COMPUTED_VALUE"""),"20190916ILILK")</f>
        <v>20190916ILILK</v>
      </c>
      <c r="B1157" s="1">
        <f ca="1">IFERROR(__xludf.DUMMYFUNCTION("""COMPUTED_VALUE"""),9)</f>
        <v>9</v>
      </c>
      <c r="C1157" s="1">
        <f ca="1">IFERROR(__xludf.DUMMYFUNCTION("""COMPUTED_VALUE"""),16)</f>
        <v>16</v>
      </c>
      <c r="D1157" s="1">
        <f ca="1">IFERROR(__xludf.DUMMYFUNCTION("""COMPUTED_VALUE"""),2019)</f>
        <v>2019</v>
      </c>
      <c r="E1157" s="4">
        <f ca="1">IFERROR(__xludf.DUMMYFUNCTION("""COMPUTED_VALUE"""),43724)</f>
        <v>43724</v>
      </c>
      <c r="F1157" s="1" t="str">
        <f ca="1">IFERROR(__xludf.DUMMYFUNCTION("""COMPUTED_VALUE"""),"Illinois Central School Bus")</f>
        <v>Illinois Central School Bus</v>
      </c>
      <c r="G1157" s="1">
        <f ca="1">IFERROR(__xludf.DUMMYFUNCTION("""COMPUTED_VALUE"""),0)</f>
        <v>0</v>
      </c>
      <c r="H1157" s="1">
        <f ca="1">IFERROR(__xludf.DUMMYFUNCTION("""COMPUTED_VALUE"""),0)</f>
        <v>0</v>
      </c>
      <c r="I1157" s="1">
        <f ca="1">IFERROR(__xludf.DUMMYFUNCTION("""COMPUTED_VALUE"""),0)</f>
        <v>0</v>
      </c>
      <c r="J1157" s="1">
        <f ca="1">IFERROR(__xludf.DUMMYFUNCTION("""COMPUTED_VALUE"""),0)</f>
        <v>0</v>
      </c>
      <c r="K1157" s="1" t="str">
        <f ca="1">IFERROR(__xludf.DUMMYFUNCTION("""COMPUTED_VALUE"""),"Fall")</f>
        <v>Fall</v>
      </c>
      <c r="L1157" s="1" t="str">
        <f ca="1">IFERROR(__xludf.DUMMYFUNCTION("""COMPUTED_VALUE"""),"Kankakee")</f>
        <v>Kankakee</v>
      </c>
      <c r="M1157" s="1" t="str">
        <f ca="1">IFERROR(__xludf.DUMMYFUNCTION("""COMPUTED_VALUE"""),"IL")</f>
        <v>IL</v>
      </c>
      <c r="N1157" s="1"/>
      <c r="O1157" s="1" t="str">
        <f ca="1">IFERROR(__xludf.DUMMYFUNCTION("""COMPUTED_VALUE"""),"School Bus")</f>
        <v>School Bus</v>
      </c>
      <c r="P1157" s="1" t="str">
        <f ca="1">IFERROR(__xludf.DUMMYFUNCTION("""COMPUTED_VALUE"""),"School Bus")</f>
        <v>School Bus</v>
      </c>
      <c r="Q1157" s="1" t="str">
        <f ca="1">IFERROR(__xludf.DUMMYFUNCTION("""COMPUTED_VALUE"""),"Yes")</f>
        <v>Yes</v>
      </c>
      <c r="R1157" s="1" t="str">
        <f ca="1">IFERROR(__xludf.DUMMYFUNCTION("""COMPUTED_VALUE"""),"Dismissal")</f>
        <v>Dismissal</v>
      </c>
      <c r="S1157" s="5">
        <f ca="1">IFERROR(__xludf.DUMMYFUNCTION("""COMPUTED_VALUE"""),0.638888888888888)</f>
        <v>0.63888888888888795</v>
      </c>
      <c r="T1157" s="1">
        <f ca="1">IFERROR(__xludf.DUMMYFUNCTION("""COMPUTED_VALUE"""),1)</f>
        <v>1</v>
      </c>
      <c r="U1157" s="1" t="str">
        <f ca="1">IFERROR(__xludf.DUMMYFUNCTION("""COMPUTED_VALUE"""),"Occupied school bus struck by gunfire during gang fight")</f>
        <v>Occupied school bus struck by gunfire during gang fight</v>
      </c>
      <c r="V1157" s="1" t="str">
        <f ca="1">IFERROR(__xludf.DUMMYFUNCTION("""COMPUTED_VALUE"""),"School bus with students struck by bullet on neighborhood street. Area is known for gang activity. No injuries.")</f>
        <v>School bus with students struck by bullet on neighborhood street. Area is known for gang activity. No injuries.</v>
      </c>
      <c r="W1157" s="1" t="str">
        <f ca="1">IFERROR(__xludf.DUMMYFUNCTION("""COMPUTED_VALUE"""),"Unknown")</f>
        <v>Unknown</v>
      </c>
      <c r="X1157" s="1" t="str">
        <f ca="1">IFERROR(__xludf.DUMMYFUNCTION("""COMPUTED_VALUE"""),"Victims Targeted")</f>
        <v>Victims Targeted</v>
      </c>
      <c r="Y1157" s="1"/>
      <c r="Z1157" s="1"/>
      <c r="AA1157" s="1" t="str">
        <f ca="1">IFERROR(__xludf.DUMMYFUNCTION("""COMPUTED_VALUE"""),"No")</f>
        <v>No</v>
      </c>
      <c r="AB1157" s="1" t="str">
        <f ca="1">IFERROR(__xludf.DUMMYFUNCTION("""COMPUTED_VALUE"""),"No")</f>
        <v>No</v>
      </c>
      <c r="AC1157" s="1" t="str">
        <f ca="1">IFERROR(__xludf.DUMMYFUNCTION("""COMPUTED_VALUE"""),"No")</f>
        <v>No</v>
      </c>
      <c r="AD1157" s="1" t="str">
        <f ca="1">IFERROR(__xludf.DUMMYFUNCTION("""COMPUTED_VALUE"""),"No")</f>
        <v>No</v>
      </c>
      <c r="AE1157" s="1" t="str">
        <f ca="1">IFERROR(__xludf.DUMMYFUNCTION("""COMPUTED_VALUE"""),"No")</f>
        <v>No</v>
      </c>
      <c r="AF1157" s="1" t="str">
        <f ca="1">IFERROR(__xludf.DUMMYFUNCTION("""COMPUTED_VALUE"""),"Yes")</f>
        <v>Yes</v>
      </c>
      <c r="AG1157" s="1" t="str">
        <f ca="1">IFERROR(__xludf.DUMMYFUNCTION("""COMPUTED_VALUE"""),"No")</f>
        <v>No</v>
      </c>
      <c r="AH1157" s="1"/>
    </row>
    <row r="1158" spans="1:34" ht="12.5">
      <c r="A1158" s="1" t="str">
        <f ca="1">IFERROR(__xludf.DUMMYFUNCTION("""COMPUTED_VALUE"""),"20190914TXEAF")</f>
        <v>20190914TXEAF</v>
      </c>
      <c r="B1158" s="1">
        <f ca="1">IFERROR(__xludf.DUMMYFUNCTION("""COMPUTED_VALUE"""),9)</f>
        <v>9</v>
      </c>
      <c r="C1158" s="1">
        <f ca="1">IFERROR(__xludf.DUMMYFUNCTION("""COMPUTED_VALUE"""),14)</f>
        <v>14</v>
      </c>
      <c r="D1158" s="1">
        <f ca="1">IFERROR(__xludf.DUMMYFUNCTION("""COMPUTED_VALUE"""),2019)</f>
        <v>2019</v>
      </c>
      <c r="E1158" s="4">
        <f ca="1">IFERROR(__xludf.DUMMYFUNCTION("""COMPUTED_VALUE"""),43722)</f>
        <v>43722</v>
      </c>
      <c r="F1158" s="1" t="str">
        <f ca="1">IFERROR(__xludf.DUMMYFUNCTION("""COMPUTED_VALUE"""),"Eastern Hills High School")</f>
        <v>Eastern Hills High School</v>
      </c>
      <c r="G1158" s="1">
        <f ca="1">IFERROR(__xludf.DUMMYFUNCTION("""COMPUTED_VALUE"""),0)</f>
        <v>0</v>
      </c>
      <c r="H1158" s="1">
        <f ca="1">IFERROR(__xludf.DUMMYFUNCTION("""COMPUTED_VALUE"""),2)</f>
        <v>2</v>
      </c>
      <c r="I1158" s="1">
        <f ca="1">IFERROR(__xludf.DUMMYFUNCTION("""COMPUTED_VALUE"""),2)</f>
        <v>2</v>
      </c>
      <c r="J1158" s="1">
        <f ca="1">IFERROR(__xludf.DUMMYFUNCTION("""COMPUTED_VALUE"""),0)</f>
        <v>0</v>
      </c>
      <c r="K1158" s="1" t="str">
        <f ca="1">IFERROR(__xludf.DUMMYFUNCTION("""COMPUTED_VALUE"""),"Fall")</f>
        <v>Fall</v>
      </c>
      <c r="L1158" s="1" t="str">
        <f ca="1">IFERROR(__xludf.DUMMYFUNCTION("""COMPUTED_VALUE"""),"Fort Worth")</f>
        <v>Fort Worth</v>
      </c>
      <c r="M1158" s="1" t="str">
        <f ca="1">IFERROR(__xludf.DUMMYFUNCTION("""COMPUTED_VALUE"""),"TX")</f>
        <v>TX</v>
      </c>
      <c r="N1158" s="1" t="str">
        <f ca="1">IFERROR(__xludf.DUMMYFUNCTION("""COMPUTED_VALUE"""),"High")</f>
        <v>High</v>
      </c>
      <c r="O1158" s="1" t="str">
        <f ca="1">IFERROR(__xludf.DUMMYFUNCTION("""COMPUTED_VALUE"""),"Football Field/Track")</f>
        <v>Football Field/Track</v>
      </c>
      <c r="P1158" s="1" t="str">
        <f ca="1">IFERROR(__xludf.DUMMYFUNCTION("""COMPUTED_VALUE"""),"Outside on School Property")</f>
        <v>Outside on School Property</v>
      </c>
      <c r="Q1158" s="1" t="str">
        <f ca="1">IFERROR(__xludf.DUMMYFUNCTION("""COMPUTED_VALUE"""),"No")</f>
        <v>No</v>
      </c>
      <c r="R1158" s="1" t="str">
        <f ca="1">IFERROR(__xludf.DUMMYFUNCTION("""COMPUTED_VALUE"""),"Sport Event")</f>
        <v>Sport Event</v>
      </c>
      <c r="S1158" s="5">
        <f ca="1">IFERROR(__xludf.DUMMYFUNCTION("""COMPUTED_VALUE"""),0.65625)</f>
        <v>0.65625</v>
      </c>
      <c r="T1158" s="1">
        <f ca="1">IFERROR(__xludf.DUMMYFUNCTION("""COMPUTED_VALUE"""),1)</f>
        <v>1</v>
      </c>
      <c r="U1158" s="1" t="str">
        <f ca="1">IFERROR(__xludf.DUMMYFUNCTION("""COMPUTED_VALUE"""),"Shots fired during fight between parents at youth football game")</f>
        <v>Shots fired during fight between parents at youth football game</v>
      </c>
      <c r="V1158" s="1" t="str">
        <f ca="1">IFERROR(__xludf.DUMMYFUNCTION("""COMPUTED_VALUE"""),"Shots fired following fight between parents at private youth league football game on the school property. Mother involved in the fight called son who arrived at football field and fired between 10-30 shots at the fans on the opposite sideline. Adult femal"&amp;"e was shot in the leg and 12YOF was injured (not GSW). Shooter fled the scene.")</f>
        <v>Shots fired following fight between parents at private youth league football game on the school property. Mother involved in the fight called son who arrived at football field and fired between 10-30 shots at the fans on the opposite sideline. Adult female was shot in the leg and 12YOF was injured (not GSW). Shooter fled the scene.</v>
      </c>
      <c r="W1158" s="1" t="str">
        <f ca="1">IFERROR(__xludf.DUMMYFUNCTION("""COMPUTED_VALUE"""),"Escalation of Dispute")</f>
        <v>Escalation of Dispute</v>
      </c>
      <c r="X1158" s="1" t="str">
        <f ca="1">IFERROR(__xludf.DUMMYFUNCTION("""COMPUTED_VALUE"""),"Both")</f>
        <v>Both</v>
      </c>
      <c r="Y1158" s="1" t="str">
        <f ca="1">IFERROR(__xludf.DUMMYFUNCTION("""COMPUTED_VALUE"""),"Yes")</f>
        <v>Yes</v>
      </c>
      <c r="Z1158" s="1" t="str">
        <f ca="1">IFERROR(__xludf.DUMMYFUNCTION("""COMPUTED_VALUE"""),"Mother called son following fight")</f>
        <v>Mother called son following fight</v>
      </c>
      <c r="AA1158" s="1" t="str">
        <f ca="1">IFERROR(__xludf.DUMMYFUNCTION("""COMPUTED_VALUE"""),"No")</f>
        <v>No</v>
      </c>
      <c r="AB1158" s="1" t="str">
        <f ca="1">IFERROR(__xludf.DUMMYFUNCTION("""COMPUTED_VALUE"""),"No")</f>
        <v>No</v>
      </c>
      <c r="AC1158" s="1" t="str">
        <f ca="1">IFERROR(__xludf.DUMMYFUNCTION("""COMPUTED_VALUE"""),"No")</f>
        <v>No</v>
      </c>
      <c r="AD1158" s="1" t="str">
        <f ca="1">IFERROR(__xludf.DUMMYFUNCTION("""COMPUTED_VALUE"""),"No")</f>
        <v>No</v>
      </c>
      <c r="AE1158" s="1" t="str">
        <f ca="1">IFERROR(__xludf.DUMMYFUNCTION("""COMPUTED_VALUE"""),"No")</f>
        <v>No</v>
      </c>
      <c r="AF1158" s="1" t="str">
        <f ca="1">IFERROR(__xludf.DUMMYFUNCTION("""COMPUTED_VALUE"""),"No")</f>
        <v>No</v>
      </c>
      <c r="AG1158" s="1" t="str">
        <f ca="1">IFERROR(__xludf.DUMMYFUNCTION("""COMPUTED_VALUE"""),"No")</f>
        <v>No</v>
      </c>
      <c r="AH1158" s="6">
        <f ca="1">IFERROR(__xludf.DUMMYFUNCTION("""COMPUTED_VALUE"""),44864)</f>
        <v>44864</v>
      </c>
    </row>
    <row r="1159" spans="1:34" ht="12.5">
      <c r="A1159" s="1" t="str">
        <f ca="1">IFERROR(__xludf.DUMMYFUNCTION("""COMPUTED_VALUE"""),"20190913VAETN")</f>
        <v>20190913VAETN</v>
      </c>
      <c r="B1159" s="1">
        <f ca="1">IFERROR(__xludf.DUMMYFUNCTION("""COMPUTED_VALUE"""),9)</f>
        <v>9</v>
      </c>
      <c r="C1159" s="1">
        <f ca="1">IFERROR(__xludf.DUMMYFUNCTION("""COMPUTED_VALUE"""),13)</f>
        <v>13</v>
      </c>
      <c r="D1159" s="1">
        <f ca="1">IFERROR(__xludf.DUMMYFUNCTION("""COMPUTED_VALUE"""),2019)</f>
        <v>2019</v>
      </c>
      <c r="E1159" s="4">
        <f ca="1">IFERROR(__xludf.DUMMYFUNCTION("""COMPUTED_VALUE"""),43721)</f>
        <v>43721</v>
      </c>
      <c r="F1159" s="1" t="str">
        <f ca="1">IFERROR(__xludf.DUMMYFUNCTION("""COMPUTED_VALUE"""),"Ethel M. Gildersleeve Middle School")</f>
        <v>Ethel M. Gildersleeve Middle School</v>
      </c>
      <c r="G1159" s="1">
        <f ca="1">IFERROR(__xludf.DUMMYFUNCTION("""COMPUTED_VALUE"""),0)</f>
        <v>0</v>
      </c>
      <c r="H1159" s="1">
        <f ca="1">IFERROR(__xludf.DUMMYFUNCTION("""COMPUTED_VALUE"""),3)</f>
        <v>3</v>
      </c>
      <c r="I1159" s="1">
        <f ca="1">IFERROR(__xludf.DUMMYFUNCTION("""COMPUTED_VALUE"""),3)</f>
        <v>3</v>
      </c>
      <c r="J1159" s="1">
        <f ca="1">IFERROR(__xludf.DUMMYFUNCTION("""COMPUTED_VALUE"""),0)</f>
        <v>0</v>
      </c>
      <c r="K1159" s="1" t="str">
        <f ca="1">IFERROR(__xludf.DUMMYFUNCTION("""COMPUTED_VALUE"""),"Fall")</f>
        <v>Fall</v>
      </c>
      <c r="L1159" s="1" t="str">
        <f ca="1">IFERROR(__xludf.DUMMYFUNCTION("""COMPUTED_VALUE"""),"Newport News")</f>
        <v>Newport News</v>
      </c>
      <c r="M1159" s="1" t="str">
        <f ca="1">IFERROR(__xludf.DUMMYFUNCTION("""COMPUTED_VALUE"""),"VA")</f>
        <v>VA</v>
      </c>
      <c r="N1159" s="1" t="str">
        <f ca="1">IFERROR(__xludf.DUMMYFUNCTION("""COMPUTED_VALUE"""),"Middle")</f>
        <v>Middle</v>
      </c>
      <c r="O1159" s="1" t="str">
        <f ca="1">IFERROR(__xludf.DUMMYFUNCTION("""COMPUTED_VALUE"""),"Football Field/Track")</f>
        <v>Football Field/Track</v>
      </c>
      <c r="P1159" s="1" t="str">
        <f ca="1">IFERROR(__xludf.DUMMYFUNCTION("""COMPUTED_VALUE"""),"Outside on School Property")</f>
        <v>Outside on School Property</v>
      </c>
      <c r="Q1159" s="1" t="str">
        <f ca="1">IFERROR(__xludf.DUMMYFUNCTION("""COMPUTED_VALUE"""),"No")</f>
        <v>No</v>
      </c>
      <c r="R1159" s="1" t="str">
        <f ca="1">IFERROR(__xludf.DUMMYFUNCTION("""COMPUTED_VALUE"""),"Sport Event")</f>
        <v>Sport Event</v>
      </c>
      <c r="S1159" s="5">
        <f ca="1">IFERROR(__xludf.DUMMYFUNCTION("""COMPUTED_VALUE"""),0.898611111111111)</f>
        <v>0.89861111111111103</v>
      </c>
      <c r="T1159" s="1">
        <f ca="1">IFERROR(__xludf.DUMMYFUNCTION("""COMPUTED_VALUE"""),1)</f>
        <v>1</v>
      </c>
      <c r="U1159" s="1" t="str">
        <f ca="1">IFERROR(__xludf.DUMMYFUNCTION("""COMPUTED_VALUE"""),"Shots fired in parking lot after football game")</f>
        <v>Shots fired in parking lot after football game</v>
      </c>
      <c r="V1159" s="1" t="str">
        <f ca="1">IFERROR(__xludf.DUMMYFUNCTION("""COMPUTED_VALUE"""),"3 injured after shots were fired in the crowded parking lot at the end of a high school football game.")</f>
        <v>3 injured after shots were fired in the crowded parking lot at the end of a high school football game.</v>
      </c>
      <c r="W1159" s="1" t="str">
        <f ca="1">IFERROR(__xludf.DUMMYFUNCTION("""COMPUTED_VALUE"""),"Escalation of Dispute")</f>
        <v>Escalation of Dispute</v>
      </c>
      <c r="X1159" s="1"/>
      <c r="Y1159" s="1"/>
      <c r="Z1159" s="1"/>
      <c r="AA1159" s="1" t="str">
        <f ca="1">IFERROR(__xludf.DUMMYFUNCTION("""COMPUTED_VALUE"""),"No")</f>
        <v>No</v>
      </c>
      <c r="AB1159" s="1" t="str">
        <f ca="1">IFERROR(__xludf.DUMMYFUNCTION("""COMPUTED_VALUE"""),"No")</f>
        <v>No</v>
      </c>
      <c r="AC1159" s="1" t="str">
        <f ca="1">IFERROR(__xludf.DUMMYFUNCTION("""COMPUTED_VALUE"""),"No")</f>
        <v>No</v>
      </c>
      <c r="AD1159" s="1" t="str">
        <f ca="1">IFERROR(__xludf.DUMMYFUNCTION("""COMPUTED_VALUE"""),"No")</f>
        <v>No</v>
      </c>
      <c r="AE1159" s="1" t="str">
        <f ca="1">IFERROR(__xludf.DUMMYFUNCTION("""COMPUTED_VALUE"""),"No")</f>
        <v>No</v>
      </c>
      <c r="AF1159" s="1"/>
      <c r="AG1159" s="1" t="str">
        <f ca="1">IFERROR(__xludf.DUMMYFUNCTION("""COMPUTED_VALUE"""),"No")</f>
        <v>No</v>
      </c>
      <c r="AH1159" s="1"/>
    </row>
    <row r="1160" spans="1:34" ht="12.5">
      <c r="A1160" s="1" t="str">
        <f ca="1">IFERROR(__xludf.DUMMYFUNCTION("""COMPUTED_VALUE"""),"20190913UTGRW")</f>
        <v>20190913UTGRW</v>
      </c>
      <c r="B1160" s="1">
        <f ca="1">IFERROR(__xludf.DUMMYFUNCTION("""COMPUTED_VALUE"""),9)</f>
        <v>9</v>
      </c>
      <c r="C1160" s="1">
        <f ca="1">IFERROR(__xludf.DUMMYFUNCTION("""COMPUTED_VALUE"""),13)</f>
        <v>13</v>
      </c>
      <c r="D1160" s="1">
        <f ca="1">IFERROR(__xludf.DUMMYFUNCTION("""COMPUTED_VALUE"""),2019)</f>
        <v>2019</v>
      </c>
      <c r="E1160" s="4">
        <f ca="1">IFERROR(__xludf.DUMMYFUNCTION("""COMPUTED_VALUE"""),43721)</f>
        <v>43721</v>
      </c>
      <c r="F1160" s="1" t="str">
        <f ca="1">IFERROR(__xludf.DUMMYFUNCTION("""COMPUTED_VALUE"""),"Granger High School")</f>
        <v>Granger High School</v>
      </c>
      <c r="G1160" s="1">
        <f ca="1">IFERROR(__xludf.DUMMYFUNCTION("""COMPUTED_VALUE"""),0)</f>
        <v>0</v>
      </c>
      <c r="H1160" s="1">
        <f ca="1">IFERROR(__xludf.DUMMYFUNCTION("""COMPUTED_VALUE"""),0)</f>
        <v>0</v>
      </c>
      <c r="I1160" s="1">
        <f ca="1">IFERROR(__xludf.DUMMYFUNCTION("""COMPUTED_VALUE"""),0)</f>
        <v>0</v>
      </c>
      <c r="J1160" s="1">
        <f ca="1">IFERROR(__xludf.DUMMYFUNCTION("""COMPUTED_VALUE"""),0)</f>
        <v>0</v>
      </c>
      <c r="K1160" s="1" t="str">
        <f ca="1">IFERROR(__xludf.DUMMYFUNCTION("""COMPUTED_VALUE"""),"Fall")</f>
        <v>Fall</v>
      </c>
      <c r="L1160" s="1" t="str">
        <f ca="1">IFERROR(__xludf.DUMMYFUNCTION("""COMPUTED_VALUE"""),"West Valley City")</f>
        <v>West Valley City</v>
      </c>
      <c r="M1160" s="1" t="str">
        <f ca="1">IFERROR(__xludf.DUMMYFUNCTION("""COMPUTED_VALUE"""),"UT")</f>
        <v>UT</v>
      </c>
      <c r="N1160" s="1" t="str">
        <f ca="1">IFERROR(__xludf.DUMMYFUNCTION("""COMPUTED_VALUE"""),"High")</f>
        <v>High</v>
      </c>
      <c r="O1160" s="1" t="str">
        <f ca="1">IFERROR(__xludf.DUMMYFUNCTION("""COMPUTED_VALUE"""),"Football Field/Track")</f>
        <v>Football Field/Track</v>
      </c>
      <c r="P1160" s="1" t="str">
        <f ca="1">IFERROR(__xludf.DUMMYFUNCTION("""COMPUTED_VALUE"""),"Outside on School Property")</f>
        <v>Outside on School Property</v>
      </c>
      <c r="Q1160" s="1" t="str">
        <f ca="1">IFERROR(__xludf.DUMMYFUNCTION("""COMPUTED_VALUE"""),"No")</f>
        <v>No</v>
      </c>
      <c r="R1160" s="1" t="str">
        <f ca="1">IFERROR(__xludf.DUMMYFUNCTION("""COMPUTED_VALUE"""),"Sport Event")</f>
        <v>Sport Event</v>
      </c>
      <c r="S1160" s="5">
        <f ca="1">IFERROR(__xludf.DUMMYFUNCTION("""COMPUTED_VALUE"""),0.854166666666666)</f>
        <v>0.85416666666666596</v>
      </c>
      <c r="T1160" s="1">
        <f ca="1">IFERROR(__xludf.DUMMYFUNCTION("""COMPUTED_VALUE"""),1)</f>
        <v>1</v>
      </c>
      <c r="U1160" s="1" t="str">
        <f ca="1">IFERROR(__xludf.DUMMYFUNCTION("""COMPUTED_VALUE"""),"Shots fired into air during gang related altercation at football game")</f>
        <v>Shots fired into air during gang related altercation at football game</v>
      </c>
      <c r="V1160" s="1" t="str">
        <f ca="1">IFERROR(__xludf.DUMMYFUNCTION("""COMPUTED_VALUE"""),"2 shots were fired into the ground during a gang related fight outside of the football stadium during the homecoming game. Eight non-students arrested. Police said the people involved in the fight had no relationship with the school. 4 police officers wer"&amp;"e assigned to the school for the game and were 20 yards away when the shots were fired. Stadium was no locked down and attendees were not notified of the shooting.")</f>
        <v>2 shots were fired into the ground during a gang related fight outside of the football stadium during the homecoming game. Eight non-students arrested. Police said the people involved in the fight had no relationship with the school. 4 police officers were assigned to the school for the game and were 20 yards away when the shots were fired. Stadium was no locked down and attendees were not notified of the shooting.</v>
      </c>
      <c r="W1160" s="1" t="str">
        <f ca="1">IFERROR(__xludf.DUMMYFUNCTION("""COMPUTED_VALUE"""),"Escalation of Dispute")</f>
        <v>Escalation of Dispute</v>
      </c>
      <c r="X1160" s="1" t="str">
        <f ca="1">IFERROR(__xludf.DUMMYFUNCTION("""COMPUTED_VALUE"""),"Neither")</f>
        <v>Neither</v>
      </c>
      <c r="Y1160" s="1" t="str">
        <f ca="1">IFERROR(__xludf.DUMMYFUNCTION("""COMPUTED_VALUE"""),"Yes")</f>
        <v>Yes</v>
      </c>
      <c r="Z1160" s="1" t="str">
        <f ca="1">IFERROR(__xludf.DUMMYFUNCTION("""COMPUTED_VALUE"""),"8 arrested")</f>
        <v>8 arrested</v>
      </c>
      <c r="AA1160" s="1" t="str">
        <f ca="1">IFERROR(__xludf.DUMMYFUNCTION("""COMPUTED_VALUE"""),"No")</f>
        <v>No</v>
      </c>
      <c r="AB1160" s="1" t="str">
        <f ca="1">IFERROR(__xludf.DUMMYFUNCTION("""COMPUTED_VALUE"""),"No")</f>
        <v>No</v>
      </c>
      <c r="AC1160" s="1" t="str">
        <f ca="1">IFERROR(__xludf.DUMMYFUNCTION("""COMPUTED_VALUE"""),"No")</f>
        <v>No</v>
      </c>
      <c r="AD1160" s="1" t="str">
        <f ca="1">IFERROR(__xludf.DUMMYFUNCTION("""COMPUTED_VALUE"""),"No")</f>
        <v>No</v>
      </c>
      <c r="AE1160" s="1" t="str">
        <f ca="1">IFERROR(__xludf.DUMMYFUNCTION("""COMPUTED_VALUE"""),"No")</f>
        <v>No</v>
      </c>
      <c r="AF1160" s="1" t="str">
        <f ca="1">IFERROR(__xludf.DUMMYFUNCTION("""COMPUTED_VALUE"""),"Yes")</f>
        <v>Yes</v>
      </c>
      <c r="AG1160" s="1" t="str">
        <f ca="1">IFERROR(__xludf.DUMMYFUNCTION("""COMPUTED_VALUE"""),"No")</f>
        <v>No</v>
      </c>
      <c r="AH1160" s="1">
        <f ca="1">IFERROR(__xludf.DUMMYFUNCTION("""COMPUTED_VALUE"""),2)</f>
        <v>2</v>
      </c>
    </row>
    <row r="1161" spans="1:34" ht="12.5">
      <c r="A1161" s="1" t="str">
        <f ca="1">IFERROR(__xludf.DUMMYFUNCTION("""COMPUTED_VALUE"""),"20190912KSMAM")</f>
        <v>20190912KSMAM</v>
      </c>
      <c r="B1161" s="1">
        <f ca="1">IFERROR(__xludf.DUMMYFUNCTION("""COMPUTED_VALUE"""),9)</f>
        <v>9</v>
      </c>
      <c r="C1161" s="1">
        <f ca="1">IFERROR(__xludf.DUMMYFUNCTION("""COMPUTED_VALUE"""),12)</f>
        <v>12</v>
      </c>
      <c r="D1161" s="1">
        <f ca="1">IFERROR(__xludf.DUMMYFUNCTION("""COMPUTED_VALUE"""),2019)</f>
        <v>2019</v>
      </c>
      <c r="E1161" s="4">
        <f ca="1">IFERROR(__xludf.DUMMYFUNCTION("""COMPUTED_VALUE"""),43720)</f>
        <v>43720</v>
      </c>
      <c r="F1161" s="1" t="str">
        <f ca="1">IFERROR(__xludf.DUMMYFUNCTION("""COMPUTED_VALUE"""),"Manhattan High School")</f>
        <v>Manhattan High School</v>
      </c>
      <c r="G1161" s="1">
        <f ca="1">IFERROR(__xludf.DUMMYFUNCTION("""COMPUTED_VALUE"""),0)</f>
        <v>0</v>
      </c>
      <c r="H1161" s="1">
        <f ca="1">IFERROR(__xludf.DUMMYFUNCTION("""COMPUTED_VALUE"""),0)</f>
        <v>0</v>
      </c>
      <c r="I1161" s="1">
        <f ca="1">IFERROR(__xludf.DUMMYFUNCTION("""COMPUTED_VALUE"""),0)</f>
        <v>0</v>
      </c>
      <c r="J1161" s="1">
        <f ca="1">IFERROR(__xludf.DUMMYFUNCTION("""COMPUTED_VALUE"""),0)</f>
        <v>0</v>
      </c>
      <c r="K1161" s="1" t="str">
        <f ca="1">IFERROR(__xludf.DUMMYFUNCTION("""COMPUTED_VALUE"""),"Fall")</f>
        <v>Fall</v>
      </c>
      <c r="L1161" s="1" t="str">
        <f ca="1">IFERROR(__xludf.DUMMYFUNCTION("""COMPUTED_VALUE"""),"Manhattan")</f>
        <v>Manhattan</v>
      </c>
      <c r="M1161" s="1" t="str">
        <f ca="1">IFERROR(__xludf.DUMMYFUNCTION("""COMPUTED_VALUE"""),"KS")</f>
        <v>KS</v>
      </c>
      <c r="N1161" s="1" t="str">
        <f ca="1">IFERROR(__xludf.DUMMYFUNCTION("""COMPUTED_VALUE"""),"High")</f>
        <v>High</v>
      </c>
      <c r="O1161" s="1" t="str">
        <f ca="1">IFERROR(__xludf.DUMMYFUNCTION("""COMPUTED_VALUE"""),"Parking Lot")</f>
        <v>Parking Lot</v>
      </c>
      <c r="P1161" s="1" t="str">
        <f ca="1">IFERROR(__xludf.DUMMYFUNCTION("""COMPUTED_VALUE"""),"Outside on School Property")</f>
        <v>Outside on School Property</v>
      </c>
      <c r="Q1161" s="1" t="str">
        <f ca="1">IFERROR(__xludf.DUMMYFUNCTION("""COMPUTED_VALUE"""),"No")</f>
        <v>No</v>
      </c>
      <c r="R1161" s="1" t="str">
        <f ca="1">IFERROR(__xludf.DUMMYFUNCTION("""COMPUTED_VALUE"""),"Evening")</f>
        <v>Evening</v>
      </c>
      <c r="S1161" s="5">
        <f ca="1">IFERROR(__xludf.DUMMYFUNCTION("""COMPUTED_VALUE"""),0.78125)</f>
        <v>0.78125</v>
      </c>
      <c r="T1161" s="1">
        <f ca="1">IFERROR(__xludf.DUMMYFUNCTION("""COMPUTED_VALUE"""),1)</f>
        <v>1</v>
      </c>
      <c r="U1161" s="1" t="str">
        <f ca="1">IFERROR(__xludf.DUMMYFUNCTION("""COMPUTED_VALUE"""),"Shots fired in school parking lot.")</f>
        <v>Shots fired in school parking lot.</v>
      </c>
      <c r="V1161" s="1" t="str">
        <f ca="1">IFERROR(__xludf.DUMMYFUNCTION("""COMPUTED_VALUE"""),"Shots fired in school parking lot during meeting between people unrelated to the school in two different cars. Witnesses provided the license plate number to police and one vehicle was stopped after a police pursuit. Police said the individuals involved w"&amp;"ere not associated with the school. 4 shell casing were found in the school parking lot. No students were injured.")</f>
        <v>Shots fired in school parking lot during meeting between people unrelated to the school in two different cars. Witnesses provided the license plate number to police and one vehicle was stopped after a police pursuit. Police said the individuals involved were not associated with the school. 4 shell casing were found in the school parking lot. No students were injured.</v>
      </c>
      <c r="W1161" s="1" t="str">
        <f ca="1">IFERROR(__xludf.DUMMYFUNCTION("""COMPUTED_VALUE"""),"Illegal Activity")</f>
        <v>Illegal Activity</v>
      </c>
      <c r="X1161" s="1"/>
      <c r="Y1161" s="1" t="str">
        <f ca="1">IFERROR(__xludf.DUMMYFUNCTION("""COMPUTED_VALUE"""),"No")</f>
        <v>No</v>
      </c>
      <c r="Z1161" s="1"/>
      <c r="AA1161" s="1" t="str">
        <f ca="1">IFERROR(__xludf.DUMMYFUNCTION("""COMPUTED_VALUE"""),"No")</f>
        <v>No</v>
      </c>
      <c r="AB1161" s="1" t="str">
        <f ca="1">IFERROR(__xludf.DUMMYFUNCTION("""COMPUTED_VALUE"""),"No")</f>
        <v>No</v>
      </c>
      <c r="AC1161" s="1" t="str">
        <f ca="1">IFERROR(__xludf.DUMMYFUNCTION("""COMPUTED_VALUE"""),"No")</f>
        <v>No</v>
      </c>
      <c r="AD1161" s="1" t="str">
        <f ca="1">IFERROR(__xludf.DUMMYFUNCTION("""COMPUTED_VALUE"""),"No")</f>
        <v>No</v>
      </c>
      <c r="AE1161" s="1" t="str">
        <f ca="1">IFERROR(__xludf.DUMMYFUNCTION("""COMPUTED_VALUE"""),"No")</f>
        <v>No</v>
      </c>
      <c r="AF1161" s="1"/>
      <c r="AG1161" s="1" t="str">
        <f ca="1">IFERROR(__xludf.DUMMYFUNCTION("""COMPUTED_VALUE"""),"No")</f>
        <v>No</v>
      </c>
      <c r="AH1161" s="1">
        <f ca="1">IFERROR(__xludf.DUMMYFUNCTION("""COMPUTED_VALUE"""),4)</f>
        <v>4</v>
      </c>
    </row>
    <row r="1162" spans="1:34" ht="12.5">
      <c r="A1162" s="1" t="str">
        <f ca="1">IFERROR(__xludf.DUMMYFUNCTION("""COMPUTED_VALUE"""),"20190910SCSOA")</f>
        <v>20190910SCSOA</v>
      </c>
      <c r="B1162" s="1">
        <f ca="1">IFERROR(__xludf.DUMMYFUNCTION("""COMPUTED_VALUE"""),9)</f>
        <v>9</v>
      </c>
      <c r="C1162" s="1">
        <f ca="1">IFERROR(__xludf.DUMMYFUNCTION("""COMPUTED_VALUE"""),10)</f>
        <v>10</v>
      </c>
      <c r="D1162" s="1">
        <f ca="1">IFERROR(__xludf.DUMMYFUNCTION("""COMPUTED_VALUE"""),2019)</f>
        <v>2019</v>
      </c>
      <c r="E1162" s="4">
        <f ca="1">IFERROR(__xludf.DUMMYFUNCTION("""COMPUTED_VALUE"""),43718)</f>
        <v>43718</v>
      </c>
      <c r="F1162" s="1" t="str">
        <f ca="1">IFERROR(__xludf.DUMMYFUNCTION("""COMPUTED_VALUE"""),"South Aiken High School")</f>
        <v>South Aiken High School</v>
      </c>
      <c r="G1162" s="1">
        <f ca="1">IFERROR(__xludf.DUMMYFUNCTION("""COMPUTED_VALUE"""),0)</f>
        <v>0</v>
      </c>
      <c r="H1162" s="1">
        <f ca="1">IFERROR(__xludf.DUMMYFUNCTION("""COMPUTED_VALUE"""),0)</f>
        <v>0</v>
      </c>
      <c r="I1162" s="1">
        <f ca="1">IFERROR(__xludf.DUMMYFUNCTION("""COMPUTED_VALUE"""),0)</f>
        <v>0</v>
      </c>
      <c r="J1162" s="1">
        <f ca="1">IFERROR(__xludf.DUMMYFUNCTION("""COMPUTED_VALUE"""),0)</f>
        <v>0</v>
      </c>
      <c r="K1162" s="1" t="str">
        <f ca="1">IFERROR(__xludf.DUMMYFUNCTION("""COMPUTED_VALUE"""),"Fall")</f>
        <v>Fall</v>
      </c>
      <c r="L1162" s="1" t="str">
        <f ca="1">IFERROR(__xludf.DUMMYFUNCTION("""COMPUTED_VALUE"""),"Aiken")</f>
        <v>Aiken</v>
      </c>
      <c r="M1162" s="1" t="str">
        <f ca="1">IFERROR(__xludf.DUMMYFUNCTION("""COMPUTED_VALUE"""),"SC")</f>
        <v>SC</v>
      </c>
      <c r="N1162" s="1" t="str">
        <f ca="1">IFERROR(__xludf.DUMMYFUNCTION("""COMPUTED_VALUE"""),"High")</f>
        <v>High</v>
      </c>
      <c r="O1162" s="1" t="str">
        <f ca="1">IFERROR(__xludf.DUMMYFUNCTION("""COMPUTED_VALUE"""),"Parking Lot")</f>
        <v>Parking Lot</v>
      </c>
      <c r="P1162" s="1" t="str">
        <f ca="1">IFERROR(__xludf.DUMMYFUNCTION("""COMPUTED_VALUE"""),"Outside on School Property")</f>
        <v>Outside on School Property</v>
      </c>
      <c r="Q1162" s="1" t="str">
        <f ca="1">IFERROR(__xludf.DUMMYFUNCTION("""COMPUTED_VALUE"""),"No")</f>
        <v>No</v>
      </c>
      <c r="R1162" s="1" t="str">
        <f ca="1">IFERROR(__xludf.DUMMYFUNCTION("""COMPUTED_VALUE"""),"Dismissal")</f>
        <v>Dismissal</v>
      </c>
      <c r="S1162" s="5">
        <f ca="1">IFERROR(__xludf.DUMMYFUNCTION("""COMPUTED_VALUE"""),0.645833333333333)</f>
        <v>0.64583333333333304</v>
      </c>
      <c r="T1162" s="1">
        <f ca="1">IFERROR(__xludf.DUMMYFUNCTION("""COMPUTED_VALUE"""),1)</f>
        <v>1</v>
      </c>
      <c r="U1162" s="1" t="str">
        <f ca="1">IFERROR(__xludf.DUMMYFUNCTION("""COMPUTED_VALUE"""),"Shot fired during altercation in school parking lot")</f>
        <v>Shot fired during altercation in school parking lot</v>
      </c>
      <c r="V1162" s="1" t="str">
        <f ca="1">IFERROR(__xludf.DUMMYFUNCTION("""COMPUTED_VALUE"""),"4 teens were involved with an altercation with a student at the store across from the school. The altercation continued into the school parking lot where one of the teens fired one shot that missed the targeted victim. Shooter and the 3 other teens fled t"&amp;"he area.")</f>
        <v>4 teens were involved with an altercation with a student at the store across from the school. The altercation continued into the school parking lot where one of the teens fired one shot that missed the targeted victim. Shooter and the 3 other teens fled the area.</v>
      </c>
      <c r="W1162" s="1" t="str">
        <f ca="1">IFERROR(__xludf.DUMMYFUNCTION("""COMPUTED_VALUE"""),"Escalation of Dispute")</f>
        <v>Escalation of Dispute</v>
      </c>
      <c r="X1162" s="1" t="str">
        <f ca="1">IFERROR(__xludf.DUMMYFUNCTION("""COMPUTED_VALUE"""),"Victims Targeted")</f>
        <v>Victims Targeted</v>
      </c>
      <c r="Y1162" s="1" t="str">
        <f ca="1">IFERROR(__xludf.DUMMYFUNCTION("""COMPUTED_VALUE"""),"Yes")</f>
        <v>Yes</v>
      </c>
      <c r="Z1162" s="1" t="str">
        <f ca="1">IFERROR(__xludf.DUMMYFUNCTION("""COMPUTED_VALUE"""),"Shooter plus 17YOm, 18YOM, and 20YOM")</f>
        <v>Shooter plus 17YOm, 18YOM, and 20YOM</v>
      </c>
      <c r="AA1162" s="1" t="str">
        <f ca="1">IFERROR(__xludf.DUMMYFUNCTION("""COMPUTED_VALUE"""),"No")</f>
        <v>No</v>
      </c>
      <c r="AB1162" s="1" t="str">
        <f ca="1">IFERROR(__xludf.DUMMYFUNCTION("""COMPUTED_VALUE"""),"No")</f>
        <v>No</v>
      </c>
      <c r="AC1162" s="1" t="str">
        <f ca="1">IFERROR(__xludf.DUMMYFUNCTION("""COMPUTED_VALUE"""),"No")</f>
        <v>No</v>
      </c>
      <c r="AD1162" s="1" t="str">
        <f ca="1">IFERROR(__xludf.DUMMYFUNCTION("""COMPUTED_VALUE"""),"No")</f>
        <v>No</v>
      </c>
      <c r="AE1162" s="1" t="str">
        <f ca="1">IFERROR(__xludf.DUMMYFUNCTION("""COMPUTED_VALUE"""),"No")</f>
        <v>No</v>
      </c>
      <c r="AF1162" s="1" t="str">
        <f ca="1">IFERROR(__xludf.DUMMYFUNCTION("""COMPUTED_VALUE"""),"No")</f>
        <v>No</v>
      </c>
      <c r="AG1162" s="1" t="str">
        <f ca="1">IFERROR(__xludf.DUMMYFUNCTION("""COMPUTED_VALUE"""),"No")</f>
        <v>No</v>
      </c>
      <c r="AH1162" s="1">
        <f ca="1">IFERROR(__xludf.DUMMYFUNCTION("""COMPUTED_VALUE"""),1)</f>
        <v>1</v>
      </c>
    </row>
    <row r="1163" spans="1:34" ht="12.5">
      <c r="A1163" s="1" t="str">
        <f ca="1">IFERROR(__xludf.DUMMYFUNCTION("""COMPUTED_VALUE"""),"20190906PAWEM")</f>
        <v>20190906PAWEM</v>
      </c>
      <c r="B1163" s="1">
        <f ca="1">IFERROR(__xludf.DUMMYFUNCTION("""COMPUTED_VALUE"""),9)</f>
        <v>9</v>
      </c>
      <c r="C1163" s="1">
        <f ca="1">IFERROR(__xludf.DUMMYFUNCTION("""COMPUTED_VALUE"""),6)</f>
        <v>6</v>
      </c>
      <c r="D1163" s="1">
        <f ca="1">IFERROR(__xludf.DUMMYFUNCTION("""COMPUTED_VALUE"""),2019)</f>
        <v>2019</v>
      </c>
      <c r="E1163" s="4">
        <f ca="1">IFERROR(__xludf.DUMMYFUNCTION("""COMPUTED_VALUE"""),43714)</f>
        <v>43714</v>
      </c>
      <c r="F1163" s="1" t="str">
        <f ca="1">IFERROR(__xludf.DUMMYFUNCTION("""COMPUTED_VALUE"""),"West Palmer High School")</f>
        <v>West Palmer High School</v>
      </c>
      <c r="G1163" s="1">
        <f ca="1">IFERROR(__xludf.DUMMYFUNCTION("""COMPUTED_VALUE"""),0)</f>
        <v>0</v>
      </c>
      <c r="H1163" s="1">
        <f ca="1">IFERROR(__xludf.DUMMYFUNCTION("""COMPUTED_VALUE"""),1)</f>
        <v>1</v>
      </c>
      <c r="I1163" s="1">
        <f ca="1">IFERROR(__xludf.DUMMYFUNCTION("""COMPUTED_VALUE"""),1)</f>
        <v>1</v>
      </c>
      <c r="J1163" s="1">
        <f ca="1">IFERROR(__xludf.DUMMYFUNCTION("""COMPUTED_VALUE"""),0)</f>
        <v>0</v>
      </c>
      <c r="K1163" s="1" t="str">
        <f ca="1">IFERROR(__xludf.DUMMYFUNCTION("""COMPUTED_VALUE"""),"Fall")</f>
        <v>Fall</v>
      </c>
      <c r="L1163" s="1" t="str">
        <f ca="1">IFERROR(__xludf.DUMMYFUNCTION("""COMPUTED_VALUE"""),"Morrisville")</f>
        <v>Morrisville</v>
      </c>
      <c r="M1163" s="1" t="str">
        <f ca="1">IFERROR(__xludf.DUMMYFUNCTION("""COMPUTED_VALUE"""),"PA")</f>
        <v>PA</v>
      </c>
      <c r="N1163" s="1" t="str">
        <f ca="1">IFERROR(__xludf.DUMMYFUNCTION("""COMPUTED_VALUE"""),"High")</f>
        <v>High</v>
      </c>
      <c r="O1163" s="1" t="str">
        <f ca="1">IFERROR(__xludf.DUMMYFUNCTION("""COMPUTED_VALUE"""),"Parking Lot")</f>
        <v>Parking Lot</v>
      </c>
      <c r="P1163" s="1" t="str">
        <f ca="1">IFERROR(__xludf.DUMMYFUNCTION("""COMPUTED_VALUE"""),"Outside on School Property")</f>
        <v>Outside on School Property</v>
      </c>
      <c r="Q1163" s="1" t="str">
        <f ca="1">IFERROR(__xludf.DUMMYFUNCTION("""COMPUTED_VALUE"""),"No")</f>
        <v>No</v>
      </c>
      <c r="R1163" s="1" t="str">
        <f ca="1">IFERROR(__xludf.DUMMYFUNCTION("""COMPUTED_VALUE"""),"Sport Event")</f>
        <v>Sport Event</v>
      </c>
      <c r="S1163" s="5">
        <f ca="1">IFERROR(__xludf.DUMMYFUNCTION("""COMPUTED_VALUE"""),0.916666666666666)</f>
        <v>0.91666666666666596</v>
      </c>
      <c r="T1163" s="1">
        <f ca="1">IFERROR(__xludf.DUMMYFUNCTION("""COMPUTED_VALUE"""),1)</f>
        <v>1</v>
      </c>
      <c r="U1163" s="1" t="str">
        <f ca="1">IFERROR(__xludf.DUMMYFUNCTION("""COMPUTED_VALUE"""),"Female student shot in school parking lot following football game")</f>
        <v>Female student shot in school parking lot following football game</v>
      </c>
      <c r="V1163" s="1" t="str">
        <f ca="1">IFERROR(__xludf.DUMMYFUNCTION("""COMPUTED_VALUE"""),"3 shots were fired at students walking in the school parking lot following a football game. Female student was stuck and sustained minor injuries. Unknown suspect fled.")</f>
        <v>3 shots were fired at students walking in the school parking lot following a football game. Female student was stuck and sustained minor injuries. Unknown suspect fled.</v>
      </c>
      <c r="W1163" s="1" t="str">
        <f ca="1">IFERROR(__xludf.DUMMYFUNCTION("""COMPUTED_VALUE"""),"Escalation of Dispute")</f>
        <v>Escalation of Dispute</v>
      </c>
      <c r="X1163" s="1"/>
      <c r="Y1163" s="1"/>
      <c r="Z1163" s="1"/>
      <c r="AA1163" s="1" t="str">
        <f ca="1">IFERROR(__xludf.DUMMYFUNCTION("""COMPUTED_VALUE"""),"No")</f>
        <v>No</v>
      </c>
      <c r="AB1163" s="1" t="str">
        <f ca="1">IFERROR(__xludf.DUMMYFUNCTION("""COMPUTED_VALUE"""),"No")</f>
        <v>No</v>
      </c>
      <c r="AC1163" s="1" t="str">
        <f ca="1">IFERROR(__xludf.DUMMYFUNCTION("""COMPUTED_VALUE"""),"No")</f>
        <v>No</v>
      </c>
      <c r="AD1163" s="1" t="str">
        <f ca="1">IFERROR(__xludf.DUMMYFUNCTION("""COMPUTED_VALUE"""),"No")</f>
        <v>No</v>
      </c>
      <c r="AE1163" s="1" t="str">
        <f ca="1">IFERROR(__xludf.DUMMYFUNCTION("""COMPUTED_VALUE"""),"No")</f>
        <v>No</v>
      </c>
      <c r="AF1163" s="1"/>
      <c r="AG1163" s="1" t="str">
        <f ca="1">IFERROR(__xludf.DUMMYFUNCTION("""COMPUTED_VALUE"""),"No")</f>
        <v>No</v>
      </c>
      <c r="AH1163" s="1">
        <f ca="1">IFERROR(__xludf.DUMMYFUNCTION("""COMPUTED_VALUE"""),3)</f>
        <v>3</v>
      </c>
    </row>
    <row r="1164" spans="1:34" ht="12.5">
      <c r="A1164" s="1" t="str">
        <f ca="1">IFERROR(__xludf.DUMMYFUNCTION("""COMPUTED_VALUE"""),"20190906PAMCJ")</f>
        <v>20190906PAMCJ</v>
      </c>
      <c r="B1164" s="1">
        <f ca="1">IFERROR(__xludf.DUMMYFUNCTION("""COMPUTED_VALUE"""),9)</f>
        <v>9</v>
      </c>
      <c r="C1164" s="1">
        <f ca="1">IFERROR(__xludf.DUMMYFUNCTION("""COMPUTED_VALUE"""),6)</f>
        <v>6</v>
      </c>
      <c r="D1164" s="1">
        <f ca="1">IFERROR(__xludf.DUMMYFUNCTION("""COMPUTED_VALUE"""),2019)</f>
        <v>2019</v>
      </c>
      <c r="E1164" s="4">
        <f ca="1">IFERROR(__xludf.DUMMYFUNCTION("""COMPUTED_VALUE"""),43714)</f>
        <v>43714</v>
      </c>
      <c r="F1164" s="1" t="str">
        <f ca="1">IFERROR(__xludf.DUMMYFUNCTION("""COMPUTED_VALUE"""),"McKee Middle School")</f>
        <v>McKee Middle School</v>
      </c>
      <c r="G1164" s="1">
        <f ca="1">IFERROR(__xludf.DUMMYFUNCTION("""COMPUTED_VALUE"""),1)</f>
        <v>1</v>
      </c>
      <c r="H1164" s="1">
        <f ca="1">IFERROR(__xludf.DUMMYFUNCTION("""COMPUTED_VALUE"""),0)</f>
        <v>0</v>
      </c>
      <c r="I1164" s="1">
        <f ca="1">IFERROR(__xludf.DUMMYFUNCTION("""COMPUTED_VALUE"""),1)</f>
        <v>1</v>
      </c>
      <c r="J1164" s="1">
        <f ca="1">IFERROR(__xludf.DUMMYFUNCTION("""COMPUTED_VALUE"""),0)</f>
        <v>0</v>
      </c>
      <c r="K1164" s="1" t="str">
        <f ca="1">IFERROR(__xludf.DUMMYFUNCTION("""COMPUTED_VALUE"""),"Fall")</f>
        <v>Fall</v>
      </c>
      <c r="L1164" s="1" t="str">
        <f ca="1">IFERROR(__xludf.DUMMYFUNCTION("""COMPUTED_VALUE"""),"Jeannette")</f>
        <v>Jeannette</v>
      </c>
      <c r="M1164" s="1" t="str">
        <f ca="1">IFERROR(__xludf.DUMMYFUNCTION("""COMPUTED_VALUE"""),"PA")</f>
        <v>PA</v>
      </c>
      <c r="N1164" s="1" t="str">
        <f ca="1">IFERROR(__xludf.DUMMYFUNCTION("""COMPUTED_VALUE"""),"Middle")</f>
        <v>Middle</v>
      </c>
      <c r="O1164" s="1" t="str">
        <f ca="1">IFERROR(__xludf.DUMMYFUNCTION("""COMPUTED_VALUE"""),"Football Field/Track")</f>
        <v>Football Field/Track</v>
      </c>
      <c r="P1164" s="1" t="str">
        <f ca="1">IFERROR(__xludf.DUMMYFUNCTION("""COMPUTED_VALUE"""),"Outside on School Property")</f>
        <v>Outside on School Property</v>
      </c>
      <c r="Q1164" s="1" t="str">
        <f ca="1">IFERROR(__xludf.DUMMYFUNCTION("""COMPUTED_VALUE"""),"No")</f>
        <v>No</v>
      </c>
      <c r="R1164" s="1" t="str">
        <f ca="1">IFERROR(__xludf.DUMMYFUNCTION("""COMPUTED_VALUE"""),"Sport Event")</f>
        <v>Sport Event</v>
      </c>
      <c r="S1164" s="5">
        <f ca="1">IFERROR(__xludf.DUMMYFUNCTION("""COMPUTED_VALUE"""),0.888888888888888)</f>
        <v>0.88888888888888795</v>
      </c>
      <c r="T1164" s="1">
        <f ca="1">IFERROR(__xludf.DUMMYFUNCTION("""COMPUTED_VALUE"""),1)</f>
        <v>1</v>
      </c>
      <c r="U1164" s="1" t="str">
        <f ca="1">IFERROR(__xludf.DUMMYFUNCTION("""COMPUTED_VALUE"""),"Adult male shot/killed adult male at gate of football stadium during high school game")</f>
        <v>Adult male shot/killed adult male at gate of football stadium during high school game</v>
      </c>
      <c r="V1164" s="1" t="str">
        <f ca="1">IFERROR(__xludf.DUMMYFUNCTION("""COMPUTED_VALUE"""),"High school football game was being played in the stadium on the middle school campus. 40YOM shot and killed 48YOM at the gate of the stadium following a physical altercation. Police heard gunshots and stadium was locked down. Players were evacuated. Fans"&amp;" were moved from stadium section by section. Remaining 4:00 of game were cancelled. In May 2022, shooter plead guilty to 3rd degree homicide.")</f>
        <v>High school football game was being played in the stadium on the middle school campus. 40YOM shot and killed 48YOM at the gate of the stadium following a physical altercation. Police heard gunshots and stadium was locked down. Players were evacuated. Fans were moved from stadium section by section. Remaining 4:00 of game were cancelled. In May 2022, shooter plead guilty to 3rd degree homicide.</v>
      </c>
      <c r="W1164" s="1" t="str">
        <f ca="1">IFERROR(__xludf.DUMMYFUNCTION("""COMPUTED_VALUE"""),"Escalation of Dispute")</f>
        <v>Escalation of Dispute</v>
      </c>
      <c r="X1164" s="1" t="str">
        <f ca="1">IFERROR(__xludf.DUMMYFUNCTION("""COMPUTED_VALUE"""),"Victims Targeted")</f>
        <v>Victims Targeted</v>
      </c>
      <c r="Y1164" s="1" t="str">
        <f ca="1">IFERROR(__xludf.DUMMYFUNCTION("""COMPUTED_VALUE"""),"No")</f>
        <v>No</v>
      </c>
      <c r="Z1164" s="1"/>
      <c r="AA1164" s="1" t="str">
        <f ca="1">IFERROR(__xludf.DUMMYFUNCTION("""COMPUTED_VALUE"""),"No")</f>
        <v>No</v>
      </c>
      <c r="AB1164" s="1" t="str">
        <f ca="1">IFERROR(__xludf.DUMMYFUNCTION("""COMPUTED_VALUE"""),"No")</f>
        <v>No</v>
      </c>
      <c r="AC1164" s="1" t="str">
        <f ca="1">IFERROR(__xludf.DUMMYFUNCTION("""COMPUTED_VALUE"""),"No")</f>
        <v>No</v>
      </c>
      <c r="AD1164" s="1" t="str">
        <f ca="1">IFERROR(__xludf.DUMMYFUNCTION("""COMPUTED_VALUE"""),"No")</f>
        <v>No</v>
      </c>
      <c r="AE1164" s="1" t="str">
        <f ca="1">IFERROR(__xludf.DUMMYFUNCTION("""COMPUTED_VALUE"""),"No")</f>
        <v>No</v>
      </c>
      <c r="AF1164" s="1" t="str">
        <f ca="1">IFERROR(__xludf.DUMMYFUNCTION("""COMPUTED_VALUE"""),"No")</f>
        <v>No</v>
      </c>
      <c r="AG1164" s="1" t="str">
        <f ca="1">IFERROR(__xludf.DUMMYFUNCTION("""COMPUTED_VALUE"""),"No")</f>
        <v>No</v>
      </c>
      <c r="AH1164" s="1">
        <f ca="1">IFERROR(__xludf.DUMMYFUNCTION("""COMPUTED_VALUE"""),1)</f>
        <v>1</v>
      </c>
    </row>
    <row r="1165" spans="1:34" ht="12.5">
      <c r="A1165" s="1" t="str">
        <f ca="1">IFERROR(__xludf.DUMMYFUNCTION("""COMPUTED_VALUE"""),"20190906ALCEC")</f>
        <v>20190906ALCEC</v>
      </c>
      <c r="B1165" s="1">
        <f ca="1">IFERROR(__xludf.DUMMYFUNCTION("""COMPUTED_VALUE"""),9)</f>
        <v>9</v>
      </c>
      <c r="C1165" s="1">
        <f ca="1">IFERROR(__xludf.DUMMYFUNCTION("""COMPUTED_VALUE"""),6)</f>
        <v>6</v>
      </c>
      <c r="D1165" s="1">
        <f ca="1">IFERROR(__xludf.DUMMYFUNCTION("""COMPUTED_VALUE"""),2019)</f>
        <v>2019</v>
      </c>
      <c r="E1165" s="4">
        <f ca="1">IFERROR(__xludf.DUMMYFUNCTION("""COMPUTED_VALUE"""),43714)</f>
        <v>43714</v>
      </c>
      <c r="F1165" s="1" t="str">
        <f ca="1">IFERROR(__xludf.DUMMYFUNCTION("""COMPUTED_VALUE"""),"Center Point High School")</f>
        <v>Center Point High School</v>
      </c>
      <c r="G1165" s="1">
        <f ca="1">IFERROR(__xludf.DUMMYFUNCTION("""COMPUTED_VALUE"""),0)</f>
        <v>0</v>
      </c>
      <c r="H1165" s="1">
        <f ca="1">IFERROR(__xludf.DUMMYFUNCTION("""COMPUTED_VALUE"""),0)</f>
        <v>0</v>
      </c>
      <c r="I1165" s="1">
        <f ca="1">IFERROR(__xludf.DUMMYFUNCTION("""COMPUTED_VALUE"""),0)</f>
        <v>0</v>
      </c>
      <c r="J1165" s="1">
        <f ca="1">IFERROR(__xludf.DUMMYFUNCTION("""COMPUTED_VALUE"""),0)</f>
        <v>0</v>
      </c>
      <c r="K1165" s="1" t="str">
        <f ca="1">IFERROR(__xludf.DUMMYFUNCTION("""COMPUTED_VALUE"""),"Fall")</f>
        <v>Fall</v>
      </c>
      <c r="L1165" s="1" t="str">
        <f ca="1">IFERROR(__xludf.DUMMYFUNCTION("""COMPUTED_VALUE"""),"Center Point")</f>
        <v>Center Point</v>
      </c>
      <c r="M1165" s="1" t="str">
        <f ca="1">IFERROR(__xludf.DUMMYFUNCTION("""COMPUTED_VALUE"""),"AL")</f>
        <v>AL</v>
      </c>
      <c r="N1165" s="1" t="str">
        <f ca="1">IFERROR(__xludf.DUMMYFUNCTION("""COMPUTED_VALUE"""),"High")</f>
        <v>High</v>
      </c>
      <c r="O1165" s="1" t="str">
        <f ca="1">IFERROR(__xludf.DUMMYFUNCTION("""COMPUTED_VALUE"""),"Football Field/Track")</f>
        <v>Football Field/Track</v>
      </c>
      <c r="P1165" s="1" t="str">
        <f ca="1">IFERROR(__xludf.DUMMYFUNCTION("""COMPUTED_VALUE"""),"Outside on School Property")</f>
        <v>Outside on School Property</v>
      </c>
      <c r="Q1165" s="1" t="str">
        <f ca="1">IFERROR(__xludf.DUMMYFUNCTION("""COMPUTED_VALUE"""),"No")</f>
        <v>No</v>
      </c>
      <c r="R1165" s="1" t="str">
        <f ca="1">IFERROR(__xludf.DUMMYFUNCTION("""COMPUTED_VALUE"""),"Sport Event")</f>
        <v>Sport Event</v>
      </c>
      <c r="S1165" s="5">
        <f ca="1">IFERROR(__xludf.DUMMYFUNCTION("""COMPUTED_VALUE"""),0.875)</f>
        <v>0.875</v>
      </c>
      <c r="T1165" s="1">
        <f ca="1">IFERROR(__xludf.DUMMYFUNCTION("""COMPUTED_VALUE"""),1)</f>
        <v>1</v>
      </c>
      <c r="U1165" s="1" t="str">
        <f ca="1">IFERROR(__xludf.DUMMYFUNCTION("""COMPUTED_VALUE"""),"8-9 shots fired from woods by football stadium during game")</f>
        <v>8-9 shots fired from woods by football stadium during game</v>
      </c>
      <c r="V1165" s="1" t="str">
        <f ca="1">IFERROR(__xludf.DUMMYFUNCTION("""COMPUTED_VALUE"""),"8-9 shots were fired from the woods near the high school football game with 5:00 minutes remaining in the game. Police at the stadium searched the area and the game was suspended for 40 minutes. PA announcer told players and fans to take cover. No shooter"&amp;" was located.")</f>
        <v>8-9 shots were fired from the woods near the high school football game with 5:00 minutes remaining in the game. Police at the stadium searched the area and the game was suspended for 40 minutes. PA announcer told players and fans to take cover. No shooter was located.</v>
      </c>
      <c r="W1165" s="1" t="str">
        <f ca="1">IFERROR(__xludf.DUMMYFUNCTION("""COMPUTED_VALUE"""),"Indiscriminate Shooting")</f>
        <v>Indiscriminate Shooting</v>
      </c>
      <c r="X1165" s="1"/>
      <c r="Y1165" s="1"/>
      <c r="Z1165" s="1"/>
      <c r="AA1165" s="1" t="str">
        <f ca="1">IFERROR(__xludf.DUMMYFUNCTION("""COMPUTED_VALUE"""),"No")</f>
        <v>No</v>
      </c>
      <c r="AB1165" s="1" t="str">
        <f ca="1">IFERROR(__xludf.DUMMYFUNCTION("""COMPUTED_VALUE"""),"No")</f>
        <v>No</v>
      </c>
      <c r="AC1165" s="1" t="str">
        <f ca="1">IFERROR(__xludf.DUMMYFUNCTION("""COMPUTED_VALUE"""),"No")</f>
        <v>No</v>
      </c>
      <c r="AD1165" s="1" t="str">
        <f ca="1">IFERROR(__xludf.DUMMYFUNCTION("""COMPUTED_VALUE"""),"No")</f>
        <v>No</v>
      </c>
      <c r="AE1165" s="1" t="str">
        <f ca="1">IFERROR(__xludf.DUMMYFUNCTION("""COMPUTED_VALUE"""),"No")</f>
        <v>No</v>
      </c>
      <c r="AF1165" s="1"/>
      <c r="AG1165" s="1" t="str">
        <f ca="1">IFERROR(__xludf.DUMMYFUNCTION("""COMPUTED_VALUE"""),"No")</f>
        <v>No</v>
      </c>
      <c r="AH1165" s="1">
        <f ca="1">IFERROR(__xludf.DUMMYFUNCTION("""COMPUTED_VALUE"""),8)</f>
        <v>8</v>
      </c>
    </row>
    <row r="1166" spans="1:34" ht="12.5">
      <c r="A1166" s="1" t="str">
        <f ca="1">IFERROR(__xludf.DUMMYFUNCTION("""COMPUTED_VALUE"""),"20190902MDNOB")</f>
        <v>20190902MDNOB</v>
      </c>
      <c r="B1166" s="1">
        <f ca="1">IFERROR(__xludf.DUMMYFUNCTION("""COMPUTED_VALUE"""),9)</f>
        <v>9</v>
      </c>
      <c r="C1166" s="1">
        <f ca="1">IFERROR(__xludf.DUMMYFUNCTION("""COMPUTED_VALUE"""),2)</f>
        <v>2</v>
      </c>
      <c r="D1166" s="1">
        <f ca="1">IFERROR(__xludf.DUMMYFUNCTION("""COMPUTED_VALUE"""),2019)</f>
        <v>2019</v>
      </c>
      <c r="E1166" s="4">
        <f ca="1">IFERROR(__xludf.DUMMYFUNCTION("""COMPUTED_VALUE"""),43710)</f>
        <v>43710</v>
      </c>
      <c r="F1166" s="1" t="str">
        <f ca="1">IFERROR(__xludf.DUMMYFUNCTION("""COMPUTED_VALUE"""),"Northwood Elementary School")</f>
        <v>Northwood Elementary School</v>
      </c>
      <c r="G1166" s="1">
        <f ca="1">IFERROR(__xludf.DUMMYFUNCTION("""COMPUTED_VALUE"""),1)</f>
        <v>1</v>
      </c>
      <c r="H1166" s="1">
        <f ca="1">IFERROR(__xludf.DUMMYFUNCTION("""COMPUTED_VALUE"""),2)</f>
        <v>2</v>
      </c>
      <c r="I1166" s="1">
        <f ca="1">IFERROR(__xludf.DUMMYFUNCTION("""COMPUTED_VALUE"""),3)</f>
        <v>3</v>
      </c>
      <c r="J1166" s="1">
        <f ca="1">IFERROR(__xludf.DUMMYFUNCTION("""COMPUTED_VALUE"""),0)</f>
        <v>0</v>
      </c>
      <c r="K1166" s="1" t="str">
        <f ca="1">IFERROR(__xludf.DUMMYFUNCTION("""COMPUTED_VALUE"""),"Fall")</f>
        <v>Fall</v>
      </c>
      <c r="L1166" s="1" t="str">
        <f ca="1">IFERROR(__xludf.DUMMYFUNCTION("""COMPUTED_VALUE"""),"Baltimore")</f>
        <v>Baltimore</v>
      </c>
      <c r="M1166" s="1" t="str">
        <f ca="1">IFERROR(__xludf.DUMMYFUNCTION("""COMPUTED_VALUE"""),"MD")</f>
        <v>MD</v>
      </c>
      <c r="N1166" s="1" t="str">
        <f ca="1">IFERROR(__xludf.DUMMYFUNCTION("""COMPUTED_VALUE"""),"Elementary")</f>
        <v>Elementary</v>
      </c>
      <c r="O1166" s="1" t="str">
        <f ca="1">IFERROR(__xludf.DUMMYFUNCTION("""COMPUTED_VALUE"""),"Courtyard")</f>
        <v>Courtyard</v>
      </c>
      <c r="P1166" s="1" t="str">
        <f ca="1">IFERROR(__xludf.DUMMYFUNCTION("""COMPUTED_VALUE"""),"Outside on School Property")</f>
        <v>Outside on School Property</v>
      </c>
      <c r="Q1166" s="1" t="str">
        <f ca="1">IFERROR(__xludf.DUMMYFUNCTION("""COMPUTED_VALUE"""),"No")</f>
        <v>No</v>
      </c>
      <c r="R1166" s="1" t="str">
        <f ca="1">IFERROR(__xludf.DUMMYFUNCTION("""COMPUTED_VALUE"""),"Evening")</f>
        <v>Evening</v>
      </c>
      <c r="S1166" s="5">
        <f ca="1">IFERROR(__xludf.DUMMYFUNCTION("""COMPUTED_VALUE"""),0.833333333333333)</f>
        <v>0.83333333333333304</v>
      </c>
      <c r="T1166" s="1">
        <f ca="1">IFERROR(__xludf.DUMMYFUNCTION("""COMPUTED_VALUE"""),1)</f>
        <v>1</v>
      </c>
      <c r="U1166" s="1" t="str">
        <f ca="1">IFERROR(__xludf.DUMMYFUNCTION("""COMPUTED_VALUE"""),"Adult male killed and two other adult men injured by unknown shooter in school courtyard")</f>
        <v>Adult male killed and two other adult men injured by unknown shooter in school courtyard</v>
      </c>
      <c r="V1166" s="1" t="str">
        <f ca="1">IFERROR(__xludf.DUMMYFUNCTION("""COMPUTED_VALUE"""),"One adult male found unresponsive (killed by gunshot) and two adult males were shot in elementary school courtyard. No further information or motive known. Shooter fled the scene.")</f>
        <v>One adult male found unresponsive (killed by gunshot) and two adult males were shot in elementary school courtyard. No further information or motive known. Shooter fled the scene.</v>
      </c>
      <c r="W1166" s="1" t="str">
        <f ca="1">IFERROR(__xludf.DUMMYFUNCTION("""COMPUTED_VALUE"""),"Escalation of Dispute")</f>
        <v>Escalation of Dispute</v>
      </c>
      <c r="X1166" s="1"/>
      <c r="Y1166" s="1"/>
      <c r="Z1166" s="1"/>
      <c r="AA1166" s="1" t="str">
        <f ca="1">IFERROR(__xludf.DUMMYFUNCTION("""COMPUTED_VALUE"""),"No")</f>
        <v>No</v>
      </c>
      <c r="AB1166" s="1" t="str">
        <f ca="1">IFERROR(__xludf.DUMMYFUNCTION("""COMPUTED_VALUE"""),"No")</f>
        <v>No</v>
      </c>
      <c r="AC1166" s="1" t="str">
        <f ca="1">IFERROR(__xludf.DUMMYFUNCTION("""COMPUTED_VALUE"""),"No")</f>
        <v>No</v>
      </c>
      <c r="AD1166" s="1" t="str">
        <f ca="1">IFERROR(__xludf.DUMMYFUNCTION("""COMPUTED_VALUE"""),"No")</f>
        <v>No</v>
      </c>
      <c r="AE1166" s="1" t="str">
        <f ca="1">IFERROR(__xludf.DUMMYFUNCTION("""COMPUTED_VALUE"""),"No")</f>
        <v>No</v>
      </c>
      <c r="AF1166" s="1"/>
      <c r="AG1166" s="1" t="str">
        <f ca="1">IFERROR(__xludf.DUMMYFUNCTION("""COMPUTED_VALUE"""),"No")</f>
        <v>No</v>
      </c>
      <c r="AH1166" s="1"/>
    </row>
    <row r="1167" spans="1:34" ht="12.5">
      <c r="A1167" s="1" t="str">
        <f ca="1">IFERROR(__xludf.DUMMYFUNCTION("""COMPUTED_VALUE"""),"20190830OHCET")</f>
        <v>20190830OHCET</v>
      </c>
      <c r="B1167" s="1">
        <f ca="1">IFERROR(__xludf.DUMMYFUNCTION("""COMPUTED_VALUE"""),8)</f>
        <v>8</v>
      </c>
      <c r="C1167" s="1">
        <f ca="1">IFERROR(__xludf.DUMMYFUNCTION("""COMPUTED_VALUE"""),30)</f>
        <v>30</v>
      </c>
      <c r="D1167" s="1">
        <f ca="1">IFERROR(__xludf.DUMMYFUNCTION("""COMPUTED_VALUE"""),2019)</f>
        <v>2019</v>
      </c>
      <c r="E1167" s="4">
        <f ca="1">IFERROR(__xludf.DUMMYFUNCTION("""COMPUTED_VALUE"""),43707)</f>
        <v>43707</v>
      </c>
      <c r="F1167" s="1" t="str">
        <f ca="1">IFERROR(__xludf.DUMMYFUNCTION("""COMPUTED_VALUE"""),"Central Catholic High School")</f>
        <v>Central Catholic High School</v>
      </c>
      <c r="G1167" s="1">
        <f ca="1">IFERROR(__xludf.DUMMYFUNCTION("""COMPUTED_VALUE"""),0)</f>
        <v>0</v>
      </c>
      <c r="H1167" s="1">
        <f ca="1">IFERROR(__xludf.DUMMYFUNCTION("""COMPUTED_VALUE"""),1)</f>
        <v>1</v>
      </c>
      <c r="I1167" s="1">
        <f ca="1">IFERROR(__xludf.DUMMYFUNCTION("""COMPUTED_VALUE"""),1)</f>
        <v>1</v>
      </c>
      <c r="J1167" s="1">
        <f ca="1">IFERROR(__xludf.DUMMYFUNCTION("""COMPUTED_VALUE"""),0)</f>
        <v>0</v>
      </c>
      <c r="K1167" s="1" t="str">
        <f ca="1">IFERROR(__xludf.DUMMYFUNCTION("""COMPUTED_VALUE"""),"Summer")</f>
        <v>Summer</v>
      </c>
      <c r="L1167" s="1" t="str">
        <f ca="1">IFERROR(__xludf.DUMMYFUNCTION("""COMPUTED_VALUE"""),"Toledo")</f>
        <v>Toledo</v>
      </c>
      <c r="M1167" s="1" t="str">
        <f ca="1">IFERROR(__xludf.DUMMYFUNCTION("""COMPUTED_VALUE"""),"OH")</f>
        <v>OH</v>
      </c>
      <c r="N1167" s="1" t="str">
        <f ca="1">IFERROR(__xludf.DUMMYFUNCTION("""COMPUTED_VALUE"""),"High")</f>
        <v>High</v>
      </c>
      <c r="O1167" s="1" t="str">
        <f ca="1">IFERROR(__xludf.DUMMYFUNCTION("""COMPUTED_VALUE"""),"Football Field/Track")</f>
        <v>Football Field/Track</v>
      </c>
      <c r="P1167" s="1" t="str">
        <f ca="1">IFERROR(__xludf.DUMMYFUNCTION("""COMPUTED_VALUE"""),"Outside on School Property")</f>
        <v>Outside on School Property</v>
      </c>
      <c r="Q1167" s="1" t="str">
        <f ca="1">IFERROR(__xludf.DUMMYFUNCTION("""COMPUTED_VALUE"""),"No")</f>
        <v>No</v>
      </c>
      <c r="R1167" s="1" t="str">
        <f ca="1">IFERROR(__xludf.DUMMYFUNCTION("""COMPUTED_VALUE"""),"Sport Event")</f>
        <v>Sport Event</v>
      </c>
      <c r="S1167" s="5">
        <f ca="1">IFERROR(__xludf.DUMMYFUNCTION("""COMPUTED_VALUE"""),0.895833333333333)</f>
        <v>0.89583333333333304</v>
      </c>
      <c r="T1167" s="1">
        <f ca="1">IFERROR(__xludf.DUMMYFUNCTION("""COMPUTED_VALUE"""),1)</f>
        <v>1</v>
      </c>
      <c r="U1167" s="1" t="str">
        <f ca="1">IFERROR(__xludf.DUMMYFUNCTION("""COMPUTED_VALUE"""),"16YOM non-student shot when crowd was exiting football game")</f>
        <v>16YOM non-student shot when crowd was exiting football game</v>
      </c>
      <c r="V1167" s="1" t="str">
        <f ca="1">IFERROR(__xludf.DUMMYFUNCTION("""COMPUTED_VALUE"""),"16YOM non-student was shot while crowd was exiting the football field by unknown shooter (police said shooter was not student). Police said the shooting was the result of a fight. Shooter fled the area in a vehicle. School security said that all bags will"&amp;" be searched and additional officers will be assigned to the school for future events. Non-students will not be allowed to enter the stadium after future games begin.")</f>
        <v>16YOM non-student was shot while crowd was exiting the football field by unknown shooter (police said shooter was not student). Police said the shooting was the result of a fight. Shooter fled the area in a vehicle. School security said that all bags will be searched and additional officers will be assigned to the school for future events. Non-students will not be allowed to enter the stadium after future games begin.</v>
      </c>
      <c r="W1167" s="1" t="str">
        <f ca="1">IFERROR(__xludf.DUMMYFUNCTION("""COMPUTED_VALUE"""),"Escalation of Dispute")</f>
        <v>Escalation of Dispute</v>
      </c>
      <c r="X1167" s="1" t="str">
        <f ca="1">IFERROR(__xludf.DUMMYFUNCTION("""COMPUTED_VALUE"""),"Random Shooting")</f>
        <v>Random Shooting</v>
      </c>
      <c r="Y1167" s="1" t="str">
        <f ca="1">IFERROR(__xludf.DUMMYFUNCTION("""COMPUTED_VALUE"""),"No")</f>
        <v>No</v>
      </c>
      <c r="Z1167" s="1"/>
      <c r="AA1167" s="1" t="str">
        <f ca="1">IFERROR(__xludf.DUMMYFUNCTION("""COMPUTED_VALUE"""),"No")</f>
        <v>No</v>
      </c>
      <c r="AB1167" s="1" t="str">
        <f ca="1">IFERROR(__xludf.DUMMYFUNCTION("""COMPUTED_VALUE"""),"No")</f>
        <v>No</v>
      </c>
      <c r="AC1167" s="1" t="str">
        <f ca="1">IFERROR(__xludf.DUMMYFUNCTION("""COMPUTED_VALUE"""),"No")</f>
        <v>No</v>
      </c>
      <c r="AD1167" s="1" t="str">
        <f ca="1">IFERROR(__xludf.DUMMYFUNCTION("""COMPUTED_VALUE"""),"No")</f>
        <v>No</v>
      </c>
      <c r="AE1167" s="1" t="str">
        <f ca="1">IFERROR(__xludf.DUMMYFUNCTION("""COMPUTED_VALUE"""),"No")</f>
        <v>No</v>
      </c>
      <c r="AF1167" s="1" t="str">
        <f ca="1">IFERROR(__xludf.DUMMYFUNCTION("""COMPUTED_VALUE"""),"No")</f>
        <v>No</v>
      </c>
      <c r="AG1167" s="1" t="str">
        <f ca="1">IFERROR(__xludf.DUMMYFUNCTION("""COMPUTED_VALUE"""),"No")</f>
        <v>No</v>
      </c>
      <c r="AH1167" s="1" t="str">
        <f ca="1">IFERROR(__xludf.DUMMYFUNCTION("""COMPUTED_VALUE"""),"&lt;10")</f>
        <v>&lt;10</v>
      </c>
    </row>
    <row r="1168" spans="1:34" ht="12.5">
      <c r="A1168" s="1" t="str">
        <f ca="1">IFERROR(__xludf.DUMMYFUNCTION("""COMPUTED_VALUE"""),"20190830NCKIK")</f>
        <v>20190830NCKIK</v>
      </c>
      <c r="B1168" s="1">
        <f ca="1">IFERROR(__xludf.DUMMYFUNCTION("""COMPUTED_VALUE"""),8)</f>
        <v>8</v>
      </c>
      <c r="C1168" s="1">
        <f ca="1">IFERROR(__xludf.DUMMYFUNCTION("""COMPUTED_VALUE"""),30)</f>
        <v>30</v>
      </c>
      <c r="D1168" s="1">
        <f ca="1">IFERROR(__xludf.DUMMYFUNCTION("""COMPUTED_VALUE"""),2019)</f>
        <v>2019</v>
      </c>
      <c r="E1168" s="4">
        <f ca="1">IFERROR(__xludf.DUMMYFUNCTION("""COMPUTED_VALUE"""),43707)</f>
        <v>43707</v>
      </c>
      <c r="F1168" s="1" t="str">
        <f ca="1">IFERROR(__xludf.DUMMYFUNCTION("""COMPUTED_VALUE"""),"Kinston High School")</f>
        <v>Kinston High School</v>
      </c>
      <c r="G1168" s="1">
        <f ca="1">IFERROR(__xludf.DUMMYFUNCTION("""COMPUTED_VALUE"""),0)</f>
        <v>0</v>
      </c>
      <c r="H1168" s="1">
        <f ca="1">IFERROR(__xludf.DUMMYFUNCTION("""COMPUTED_VALUE"""),0)</f>
        <v>0</v>
      </c>
      <c r="I1168" s="1">
        <f ca="1">IFERROR(__xludf.DUMMYFUNCTION("""COMPUTED_VALUE"""),0)</f>
        <v>0</v>
      </c>
      <c r="J1168" s="1">
        <f ca="1">IFERROR(__xludf.DUMMYFUNCTION("""COMPUTED_VALUE"""),0)</f>
        <v>0</v>
      </c>
      <c r="K1168" s="1" t="str">
        <f ca="1">IFERROR(__xludf.DUMMYFUNCTION("""COMPUTED_VALUE"""),"Summer")</f>
        <v>Summer</v>
      </c>
      <c r="L1168" s="1" t="str">
        <f ca="1">IFERROR(__xludf.DUMMYFUNCTION("""COMPUTED_VALUE"""),"Kingston")</f>
        <v>Kingston</v>
      </c>
      <c r="M1168" s="1" t="str">
        <f ca="1">IFERROR(__xludf.DUMMYFUNCTION("""COMPUTED_VALUE"""),"NC")</f>
        <v>NC</v>
      </c>
      <c r="N1168" s="1" t="str">
        <f ca="1">IFERROR(__xludf.DUMMYFUNCTION("""COMPUTED_VALUE"""),"High")</f>
        <v>High</v>
      </c>
      <c r="O1168" s="1" t="str">
        <f ca="1">IFERROR(__xludf.DUMMYFUNCTION("""COMPUTED_VALUE"""),"Parking Lot")</f>
        <v>Parking Lot</v>
      </c>
      <c r="P1168" s="1" t="str">
        <f ca="1">IFERROR(__xludf.DUMMYFUNCTION("""COMPUTED_VALUE"""),"Outside on School Property")</f>
        <v>Outside on School Property</v>
      </c>
      <c r="Q1168" s="1" t="str">
        <f ca="1">IFERROR(__xludf.DUMMYFUNCTION("""COMPUTED_VALUE"""),"No")</f>
        <v>No</v>
      </c>
      <c r="R1168" s="1" t="str">
        <f ca="1">IFERROR(__xludf.DUMMYFUNCTION("""COMPUTED_VALUE"""),"Sport Event")</f>
        <v>Sport Event</v>
      </c>
      <c r="S1168" s="5">
        <f ca="1">IFERROR(__xludf.DUMMYFUNCTION("""COMPUTED_VALUE"""),0.916666666666666)</f>
        <v>0.91666666666666596</v>
      </c>
      <c r="T1168" s="1">
        <f ca="1">IFERROR(__xludf.DUMMYFUNCTION("""COMPUTED_VALUE"""),1)</f>
        <v>1</v>
      </c>
      <c r="U1168" s="1" t="str">
        <f ca="1">IFERROR(__xludf.DUMMYFUNCTION("""COMPUTED_VALUE"""),"Shots fired into air the parking lot after football game")</f>
        <v>Shots fired into air the parking lot after football game</v>
      </c>
      <c r="V1168" s="1" t="str">
        <f ca="1">IFERROR(__xludf.DUMMYFUNCTION("""COMPUTED_VALUE"""),"Multiple shots were fired into the air in the parking lot following a high school football game. Police stopped a vehicle attempting to flee the area and arrested two teens (17YOM and 19YOM). Neither were students at the school.")</f>
        <v>Multiple shots were fired into the air in the parking lot following a high school football game. Police stopped a vehicle attempting to flee the area and arrested two teens (17YOM and 19YOM). Neither were students at the school.</v>
      </c>
      <c r="W1168" s="1" t="str">
        <f ca="1">IFERROR(__xludf.DUMMYFUNCTION("""COMPUTED_VALUE"""),"Escalation of Dispute")</f>
        <v>Escalation of Dispute</v>
      </c>
      <c r="X1168" s="1" t="str">
        <f ca="1">IFERROR(__xludf.DUMMYFUNCTION("""COMPUTED_VALUE"""),"Neither")</f>
        <v>Neither</v>
      </c>
      <c r="Y1168" s="1" t="str">
        <f ca="1">IFERROR(__xludf.DUMMYFUNCTION("""COMPUTED_VALUE"""),"Yes")</f>
        <v>Yes</v>
      </c>
      <c r="Z1168" s="1" t="str">
        <f ca="1">IFERROR(__xludf.DUMMYFUNCTION("""COMPUTED_VALUE"""),"19YOM in vehicle also arrested")</f>
        <v>19YOM in vehicle also arrested</v>
      </c>
      <c r="AA1168" s="1" t="str">
        <f ca="1">IFERROR(__xludf.DUMMYFUNCTION("""COMPUTED_VALUE"""),"No")</f>
        <v>No</v>
      </c>
      <c r="AB1168" s="1" t="str">
        <f ca="1">IFERROR(__xludf.DUMMYFUNCTION("""COMPUTED_VALUE"""),"No")</f>
        <v>No</v>
      </c>
      <c r="AC1168" s="1" t="str">
        <f ca="1">IFERROR(__xludf.DUMMYFUNCTION("""COMPUTED_VALUE"""),"No")</f>
        <v>No</v>
      </c>
      <c r="AD1168" s="1" t="str">
        <f ca="1">IFERROR(__xludf.DUMMYFUNCTION("""COMPUTED_VALUE"""),"No")</f>
        <v>No</v>
      </c>
      <c r="AE1168" s="1" t="str">
        <f ca="1">IFERROR(__xludf.DUMMYFUNCTION("""COMPUTED_VALUE"""),"No")</f>
        <v>No</v>
      </c>
      <c r="AF1168" s="1"/>
      <c r="AG1168" s="1" t="str">
        <f ca="1">IFERROR(__xludf.DUMMYFUNCTION("""COMPUTED_VALUE"""),"No")</f>
        <v>No</v>
      </c>
      <c r="AH1168" s="1" t="str">
        <f ca="1">IFERROR(__xludf.DUMMYFUNCTION("""COMPUTED_VALUE"""),"&lt;10")</f>
        <v>&lt;10</v>
      </c>
    </row>
    <row r="1169" spans="1:34" ht="12.5">
      <c r="A1169" s="1" t="str">
        <f ca="1">IFERROR(__xludf.DUMMYFUNCTION("""COMPUTED_VALUE"""),"20190830ALLAM")</f>
        <v>20190830ALLAM</v>
      </c>
      <c r="B1169" s="1">
        <f ca="1">IFERROR(__xludf.DUMMYFUNCTION("""COMPUTED_VALUE"""),8)</f>
        <v>8</v>
      </c>
      <c r="C1169" s="1">
        <f ca="1">IFERROR(__xludf.DUMMYFUNCTION("""COMPUTED_VALUE"""),30)</f>
        <v>30</v>
      </c>
      <c r="D1169" s="1">
        <f ca="1">IFERROR(__xludf.DUMMYFUNCTION("""COMPUTED_VALUE"""),2019)</f>
        <v>2019</v>
      </c>
      <c r="E1169" s="4">
        <f ca="1">IFERROR(__xludf.DUMMYFUNCTION("""COMPUTED_VALUE"""),43707)</f>
        <v>43707</v>
      </c>
      <c r="F1169" s="1" t="str">
        <f ca="1">IFERROR(__xludf.DUMMYFUNCTION("""COMPUTED_VALUE"""),"Ladd-Peebles Stadium")</f>
        <v>Ladd-Peebles Stadium</v>
      </c>
      <c r="G1169" s="1">
        <f ca="1">IFERROR(__xludf.DUMMYFUNCTION("""COMPUTED_VALUE"""),0)</f>
        <v>0</v>
      </c>
      <c r="H1169" s="1">
        <f ca="1">IFERROR(__xludf.DUMMYFUNCTION("""COMPUTED_VALUE"""),10)</f>
        <v>10</v>
      </c>
      <c r="I1169" s="1">
        <f ca="1">IFERROR(__xludf.DUMMYFUNCTION("""COMPUTED_VALUE"""),10)</f>
        <v>10</v>
      </c>
      <c r="J1169" s="1">
        <f ca="1">IFERROR(__xludf.DUMMYFUNCTION("""COMPUTED_VALUE"""),0)</f>
        <v>0</v>
      </c>
      <c r="K1169" s="1" t="str">
        <f ca="1">IFERROR(__xludf.DUMMYFUNCTION("""COMPUTED_VALUE"""),"Summer")</f>
        <v>Summer</v>
      </c>
      <c r="L1169" s="1" t="str">
        <f ca="1">IFERROR(__xludf.DUMMYFUNCTION("""COMPUTED_VALUE"""),"Mobile")</f>
        <v>Mobile</v>
      </c>
      <c r="M1169" s="1" t="str">
        <f ca="1">IFERROR(__xludf.DUMMYFUNCTION("""COMPUTED_VALUE"""),"AL")</f>
        <v>AL</v>
      </c>
      <c r="N1169" s="1" t="str">
        <f ca="1">IFERROR(__xludf.DUMMYFUNCTION("""COMPUTED_VALUE"""),"High")</f>
        <v>High</v>
      </c>
      <c r="O1169" s="1" t="str">
        <f ca="1">IFERROR(__xludf.DUMMYFUNCTION("""COMPUTED_VALUE"""),"Off School Property")</f>
        <v>Off School Property</v>
      </c>
      <c r="P1169" s="1" t="str">
        <f ca="1">IFERROR(__xludf.DUMMYFUNCTION("""COMPUTED_VALUE"""),"Off School Property")</f>
        <v>Off School Property</v>
      </c>
      <c r="Q1169" s="1" t="str">
        <f ca="1">IFERROR(__xludf.DUMMYFUNCTION("""COMPUTED_VALUE"""),"No")</f>
        <v>No</v>
      </c>
      <c r="R1169" s="1" t="str">
        <f ca="1">IFERROR(__xludf.DUMMYFUNCTION("""COMPUTED_VALUE"""),"Sport Event")</f>
        <v>Sport Event</v>
      </c>
      <c r="S1169" s="5">
        <f ca="1">IFERROR(__xludf.DUMMYFUNCTION("""COMPUTED_VALUE"""),0.916666666666666)</f>
        <v>0.91666666666666596</v>
      </c>
      <c r="T1169" s="1">
        <f ca="1">IFERROR(__xludf.DUMMYFUNCTION("""COMPUTED_VALUE"""),1)</f>
        <v>1</v>
      </c>
      <c r="U1169" s="1" t="str">
        <f ca="1">IFERROR(__xludf.DUMMYFUNCTION("""COMPUTED_VALUE"""),"10 teens shot after 17YO fired shots into crowd following dispute")</f>
        <v>10 teens shot after 17YO fired shots into crowd following dispute</v>
      </c>
      <c r="V1169" s="1" t="str">
        <f ca="1">IFERROR(__xludf.DUMMYFUNCTION("""COMPUTED_VALUE"""),"10 teens shot after 17YO fired shots into crowd following dispute")</f>
        <v>10 teens shot after 17YO fired shots into crowd following dispute</v>
      </c>
      <c r="W1169" s="1" t="str">
        <f ca="1">IFERROR(__xludf.DUMMYFUNCTION("""COMPUTED_VALUE"""),"Escalation of Dispute")</f>
        <v>Escalation of Dispute</v>
      </c>
      <c r="X1169" s="1" t="str">
        <f ca="1">IFERROR(__xludf.DUMMYFUNCTION("""COMPUTED_VALUE"""),"Both")</f>
        <v>Both</v>
      </c>
      <c r="Y1169" s="1"/>
      <c r="Z1169" s="1" t="str">
        <f ca="1">IFERROR(__xludf.DUMMYFUNCTION("""COMPUTED_VALUE"""),"2 initially arrested")</f>
        <v>2 initially arrested</v>
      </c>
      <c r="AA1169" s="1" t="str">
        <f ca="1">IFERROR(__xludf.DUMMYFUNCTION("""COMPUTED_VALUE"""),"No")</f>
        <v>No</v>
      </c>
      <c r="AB1169" s="1" t="str">
        <f ca="1">IFERROR(__xludf.DUMMYFUNCTION("""COMPUTED_VALUE"""),"No")</f>
        <v>No</v>
      </c>
      <c r="AC1169" s="1" t="str">
        <f ca="1">IFERROR(__xludf.DUMMYFUNCTION("""COMPUTED_VALUE"""),"No")</f>
        <v>No</v>
      </c>
      <c r="AD1169" s="1" t="str">
        <f ca="1">IFERROR(__xludf.DUMMYFUNCTION("""COMPUTED_VALUE"""),"No")</f>
        <v>No</v>
      </c>
      <c r="AE1169" s="1" t="str">
        <f ca="1">IFERROR(__xludf.DUMMYFUNCTION("""COMPUTED_VALUE"""),"No")</f>
        <v>No</v>
      </c>
      <c r="AF1169" s="1" t="str">
        <f ca="1">IFERROR(__xludf.DUMMYFUNCTION("""COMPUTED_VALUE"""),"Yes")</f>
        <v>Yes</v>
      </c>
      <c r="AG1169" s="1" t="str">
        <f ca="1">IFERROR(__xludf.DUMMYFUNCTION("""COMPUTED_VALUE"""),"Yes")</f>
        <v>Yes</v>
      </c>
      <c r="AH1169" s="1"/>
    </row>
    <row r="1170" spans="1:34" ht="12.5">
      <c r="A1170" s="1" t="str">
        <f ca="1">IFERROR(__xludf.DUMMYFUNCTION("""COMPUTED_VALUE"""),"20190827NYROR")</f>
        <v>20190827NYROR</v>
      </c>
      <c r="B1170" s="1">
        <f ca="1">IFERROR(__xludf.DUMMYFUNCTION("""COMPUTED_VALUE"""),8)</f>
        <v>8</v>
      </c>
      <c r="C1170" s="1">
        <f ca="1">IFERROR(__xludf.DUMMYFUNCTION("""COMPUTED_VALUE"""),27)</f>
        <v>27</v>
      </c>
      <c r="D1170" s="1">
        <f ca="1">IFERROR(__xludf.DUMMYFUNCTION("""COMPUTED_VALUE"""),2019)</f>
        <v>2019</v>
      </c>
      <c r="E1170" s="4">
        <f ca="1">IFERROR(__xludf.DUMMYFUNCTION("""COMPUTED_VALUE"""),43704)</f>
        <v>43704</v>
      </c>
      <c r="F1170" s="1" t="str">
        <f ca="1">IFERROR(__xludf.DUMMYFUNCTION("""COMPUTED_VALUE"""),"Roosevelt High School")</f>
        <v>Roosevelt High School</v>
      </c>
      <c r="G1170" s="1">
        <f ca="1">IFERROR(__xludf.DUMMYFUNCTION("""COMPUTED_VALUE"""),0)</f>
        <v>0</v>
      </c>
      <c r="H1170" s="1">
        <f ca="1">IFERROR(__xludf.DUMMYFUNCTION("""COMPUTED_VALUE"""),0)</f>
        <v>0</v>
      </c>
      <c r="I1170" s="1">
        <f ca="1">IFERROR(__xludf.DUMMYFUNCTION("""COMPUTED_VALUE"""),0)</f>
        <v>0</v>
      </c>
      <c r="J1170" s="1">
        <f ca="1">IFERROR(__xludf.DUMMYFUNCTION("""COMPUTED_VALUE"""),0)</f>
        <v>0</v>
      </c>
      <c r="K1170" s="1" t="str">
        <f ca="1">IFERROR(__xludf.DUMMYFUNCTION("""COMPUTED_VALUE"""),"Summer")</f>
        <v>Summer</v>
      </c>
      <c r="L1170" s="1" t="str">
        <f ca="1">IFERROR(__xludf.DUMMYFUNCTION("""COMPUTED_VALUE"""),"Roosevelt")</f>
        <v>Roosevelt</v>
      </c>
      <c r="M1170" s="1" t="str">
        <f ca="1">IFERROR(__xludf.DUMMYFUNCTION("""COMPUTED_VALUE"""),"NY")</f>
        <v>NY</v>
      </c>
      <c r="N1170" s="1" t="str">
        <f ca="1">IFERROR(__xludf.DUMMYFUNCTION("""COMPUTED_VALUE"""),"High")</f>
        <v>High</v>
      </c>
      <c r="O1170" s="1" t="str">
        <f ca="1">IFERROR(__xludf.DUMMYFUNCTION("""COMPUTED_VALUE"""),"Field (General)")</f>
        <v>Field (General)</v>
      </c>
      <c r="P1170" s="1" t="str">
        <f ca="1">IFERROR(__xludf.DUMMYFUNCTION("""COMPUTED_VALUE"""),"Outside on School Property")</f>
        <v>Outside on School Property</v>
      </c>
      <c r="Q1170" s="1" t="str">
        <f ca="1">IFERROR(__xludf.DUMMYFUNCTION("""COMPUTED_VALUE"""),"No")</f>
        <v>No</v>
      </c>
      <c r="R1170" s="1" t="str">
        <f ca="1">IFERROR(__xludf.DUMMYFUNCTION("""COMPUTED_VALUE"""),"Not a School Day")</f>
        <v>Not a School Day</v>
      </c>
      <c r="S1170" s="5">
        <f ca="1">IFERROR(__xludf.DUMMYFUNCTION("""COMPUTED_VALUE"""),0.375)</f>
        <v>0.375</v>
      </c>
      <c r="T1170" s="1">
        <f ca="1">IFERROR(__xludf.DUMMYFUNCTION("""COMPUTED_VALUE"""),1)</f>
        <v>1</v>
      </c>
      <c r="U1170" s="1" t="str">
        <f ca="1">IFERROR(__xludf.DUMMYFUNCTION("""COMPUTED_VALUE"""),"Man fired 3 shots into the ground during dispute the school staff about landscaping")</f>
        <v>Man fired 3 shots into the ground during dispute the school staff about landscaping</v>
      </c>
      <c r="V1170" s="1" t="str">
        <f ca="1">IFERROR(__xludf.DUMMYFUNCTION("""COMPUTED_VALUE"""),"Adult male fired 3 shots into the ground during dispute with school custodial staff about landscaping. Shooter then fled the scene to his nearby home where he was involved with a barricade situation until surrendering to law enforcement. School was not in"&amp;"-session but 100 students and 40 staff were inside the school at the time of the shooting for athletics. School was placed on lockdown following shooting and during barricade.")</f>
        <v>Adult male fired 3 shots into the ground during dispute with school custodial staff about landscaping. Shooter then fled the scene to his nearby home where he was involved with a barricade situation until surrendering to law enforcement. School was not in-session but 100 students and 40 staff were inside the school at the time of the shooting for athletics. School was placed on lockdown following shooting and during barricade.</v>
      </c>
      <c r="W1170" s="1" t="str">
        <f ca="1">IFERROR(__xludf.DUMMYFUNCTION("""COMPUTED_VALUE"""),"Escalation of Dispute")</f>
        <v>Escalation of Dispute</v>
      </c>
      <c r="X1170" s="1" t="str">
        <f ca="1">IFERROR(__xludf.DUMMYFUNCTION("""COMPUTED_VALUE"""),"Victims Targeted")</f>
        <v>Victims Targeted</v>
      </c>
      <c r="Y1170" s="1" t="str">
        <f ca="1">IFERROR(__xludf.DUMMYFUNCTION("""COMPUTED_VALUE"""),"No")</f>
        <v>No</v>
      </c>
      <c r="Z1170" s="1"/>
      <c r="AA1170" s="1" t="str">
        <f ca="1">IFERROR(__xludf.DUMMYFUNCTION("""COMPUTED_VALUE"""),"No")</f>
        <v>No</v>
      </c>
      <c r="AB1170" s="1" t="str">
        <f ca="1">IFERROR(__xludf.DUMMYFUNCTION("""COMPUTED_VALUE"""),"No")</f>
        <v>No</v>
      </c>
      <c r="AC1170" s="1" t="str">
        <f ca="1">IFERROR(__xludf.DUMMYFUNCTION("""COMPUTED_VALUE"""),"No")</f>
        <v>No</v>
      </c>
      <c r="AD1170" s="1" t="str">
        <f ca="1">IFERROR(__xludf.DUMMYFUNCTION("""COMPUTED_VALUE"""),"No")</f>
        <v>No</v>
      </c>
      <c r="AE1170" s="1" t="str">
        <f ca="1">IFERROR(__xludf.DUMMYFUNCTION("""COMPUTED_VALUE"""),"No")</f>
        <v>No</v>
      </c>
      <c r="AF1170" s="1" t="str">
        <f ca="1">IFERROR(__xludf.DUMMYFUNCTION("""COMPUTED_VALUE"""),"No")</f>
        <v>No</v>
      </c>
      <c r="AG1170" s="1" t="str">
        <f ca="1">IFERROR(__xludf.DUMMYFUNCTION("""COMPUTED_VALUE"""),"No")</f>
        <v>No</v>
      </c>
      <c r="AH1170" s="1">
        <f ca="1">IFERROR(__xludf.DUMMYFUNCTION("""COMPUTED_VALUE"""),3)</f>
        <v>3</v>
      </c>
    </row>
    <row r="1171" spans="1:34" ht="12.5">
      <c r="A1171" s="1" t="str">
        <f ca="1">IFERROR(__xludf.DUMMYFUNCTION("""COMPUTED_VALUE"""),"20190827CAHOL")</f>
        <v>20190827CAHOL</v>
      </c>
      <c r="B1171" s="1">
        <f ca="1">IFERROR(__xludf.DUMMYFUNCTION("""COMPUTED_VALUE"""),8)</f>
        <v>8</v>
      </c>
      <c r="C1171" s="1">
        <f ca="1">IFERROR(__xludf.DUMMYFUNCTION("""COMPUTED_VALUE"""),27)</f>
        <v>27</v>
      </c>
      <c r="D1171" s="1">
        <f ca="1">IFERROR(__xludf.DUMMYFUNCTION("""COMPUTED_VALUE"""),2019)</f>
        <v>2019</v>
      </c>
      <c r="E1171" s="4">
        <f ca="1">IFERROR(__xludf.DUMMYFUNCTION("""COMPUTED_VALUE"""),43704)</f>
        <v>43704</v>
      </c>
      <c r="F1171" s="1" t="str">
        <f ca="1">IFERROR(__xludf.DUMMYFUNCTION("""COMPUTED_VALUE"""),"Hollenbeck Middle School")</f>
        <v>Hollenbeck Middle School</v>
      </c>
      <c r="G1171" s="1">
        <f ca="1">IFERROR(__xludf.DUMMYFUNCTION("""COMPUTED_VALUE"""),0)</f>
        <v>0</v>
      </c>
      <c r="H1171" s="1">
        <f ca="1">IFERROR(__xludf.DUMMYFUNCTION("""COMPUTED_VALUE"""),1)</f>
        <v>1</v>
      </c>
      <c r="I1171" s="1">
        <f ca="1">IFERROR(__xludf.DUMMYFUNCTION("""COMPUTED_VALUE"""),1)</f>
        <v>1</v>
      </c>
      <c r="J1171" s="1">
        <f ca="1">IFERROR(__xludf.DUMMYFUNCTION("""COMPUTED_VALUE"""),0)</f>
        <v>0</v>
      </c>
      <c r="K1171" s="1" t="str">
        <f ca="1">IFERROR(__xludf.DUMMYFUNCTION("""COMPUTED_VALUE"""),"Summer")</f>
        <v>Summer</v>
      </c>
      <c r="L1171" s="1" t="str">
        <f ca="1">IFERROR(__xludf.DUMMYFUNCTION("""COMPUTED_VALUE"""),"Los Angeles")</f>
        <v>Los Angeles</v>
      </c>
      <c r="M1171" s="1" t="str">
        <f ca="1">IFERROR(__xludf.DUMMYFUNCTION("""COMPUTED_VALUE"""),"CA")</f>
        <v>CA</v>
      </c>
      <c r="N1171" s="1" t="str">
        <f ca="1">IFERROR(__xludf.DUMMYFUNCTION("""COMPUTED_VALUE"""),"High")</f>
        <v>High</v>
      </c>
      <c r="O1171" s="1" t="str">
        <f ca="1">IFERROR(__xludf.DUMMYFUNCTION("""COMPUTED_VALUE"""),"Cafeteria")</f>
        <v>Cafeteria</v>
      </c>
      <c r="P1171" s="1" t="str">
        <f ca="1">IFERROR(__xludf.DUMMYFUNCTION("""COMPUTED_VALUE"""),"Off School Property")</f>
        <v>Off School Property</v>
      </c>
      <c r="Q1171" s="1" t="str">
        <f ca="1">IFERROR(__xludf.DUMMYFUNCTION("""COMPUTED_VALUE"""),"Yes")</f>
        <v>Yes</v>
      </c>
      <c r="R1171" s="1" t="str">
        <f ca="1">IFERROR(__xludf.DUMMYFUNCTION("""COMPUTED_VALUE"""),"Lunch")</f>
        <v>Lunch</v>
      </c>
      <c r="S1171" s="5">
        <f ca="1">IFERROR(__xludf.DUMMYFUNCTION("""COMPUTED_VALUE"""),0.458333333333333)</f>
        <v>0.45833333333333298</v>
      </c>
      <c r="T1171" s="1">
        <f ca="1">IFERROR(__xludf.DUMMYFUNCTION("""COMPUTED_VALUE"""),1)</f>
        <v>1</v>
      </c>
      <c r="U1171" s="1" t="str">
        <f ca="1">IFERROR(__xludf.DUMMYFUNCTION("""COMPUTED_VALUE"""),"Student hit by bullet in lunch line. Shot fired from off campus.")</f>
        <v>Student hit by bullet in lunch line. Shot fired from off campus.</v>
      </c>
      <c r="V1171" s="1" t="str">
        <f ca="1">IFERROR(__xludf.DUMMYFUNCTION("""COMPUTED_VALUE"""),"Student standing in lunch line felt sharp pain in jaw and went to nurses office. X-ray later showed bullet in students neck. Shot was fired from off campus. No other students were hurt. School did not report shooting to police until 3pm (occurred at 11 AM"&amp;"). Parents were not notified that student was shot until 9/12/2019. No suspect or motive.")</f>
        <v>Student standing in lunch line felt sharp pain in jaw and went to nurses office. X-ray later showed bullet in students neck. Shot was fired from off campus. No other students were hurt. School did not report shooting to police until 3pm (occurred at 11 AM). Parents were not notified that student was shot until 9/12/2019. No suspect or motive.</v>
      </c>
      <c r="W1171" s="1" t="str">
        <f ca="1">IFERROR(__xludf.DUMMYFUNCTION("""COMPUTED_VALUE"""),"Unknown")</f>
        <v>Unknown</v>
      </c>
      <c r="X1171" s="1"/>
      <c r="Y1171" s="1"/>
      <c r="Z1171" s="1"/>
      <c r="AA1171" s="1" t="str">
        <f ca="1">IFERROR(__xludf.DUMMYFUNCTION("""COMPUTED_VALUE"""),"No")</f>
        <v>No</v>
      </c>
      <c r="AB1171" s="1" t="str">
        <f ca="1">IFERROR(__xludf.DUMMYFUNCTION("""COMPUTED_VALUE"""),"No")</f>
        <v>No</v>
      </c>
      <c r="AC1171" s="1" t="str">
        <f ca="1">IFERROR(__xludf.DUMMYFUNCTION("""COMPUTED_VALUE"""),"No")</f>
        <v>No</v>
      </c>
      <c r="AD1171" s="1" t="str">
        <f ca="1">IFERROR(__xludf.DUMMYFUNCTION("""COMPUTED_VALUE"""),"No")</f>
        <v>No</v>
      </c>
      <c r="AE1171" s="1" t="str">
        <f ca="1">IFERROR(__xludf.DUMMYFUNCTION("""COMPUTED_VALUE"""),"No")</f>
        <v>No</v>
      </c>
      <c r="AF1171" s="1"/>
      <c r="AG1171" s="1" t="str">
        <f ca="1">IFERROR(__xludf.DUMMYFUNCTION("""COMPUTED_VALUE"""),"No")</f>
        <v>No</v>
      </c>
      <c r="AH1171" s="1"/>
    </row>
    <row r="1172" spans="1:34" ht="12.5">
      <c r="A1172" s="1" t="str">
        <f ca="1">IFERROR(__xludf.DUMMYFUNCTION("""COMPUTED_VALUE"""),"20190824PAWIP")</f>
        <v>20190824PAWIP</v>
      </c>
      <c r="B1172" s="1">
        <f ca="1">IFERROR(__xludf.DUMMYFUNCTION("""COMPUTED_VALUE"""),8)</f>
        <v>8</v>
      </c>
      <c r="C1172" s="1">
        <f ca="1">IFERROR(__xludf.DUMMYFUNCTION("""COMPUTED_VALUE"""),24)</f>
        <v>24</v>
      </c>
      <c r="D1172" s="1">
        <f ca="1">IFERROR(__xludf.DUMMYFUNCTION("""COMPUTED_VALUE"""),2019)</f>
        <v>2019</v>
      </c>
      <c r="E1172" s="4">
        <f ca="1">IFERROR(__xludf.DUMMYFUNCTION("""COMPUTED_VALUE"""),43701)</f>
        <v>43701</v>
      </c>
      <c r="F1172" s="1" t="str">
        <f ca="1">IFERROR(__xludf.DUMMYFUNCTION("""COMPUTED_VALUE"""),"William C. Longstreth Elementary School")</f>
        <v>William C. Longstreth Elementary School</v>
      </c>
      <c r="G1172" s="1">
        <f ca="1">IFERROR(__xludf.DUMMYFUNCTION("""COMPUTED_VALUE"""),1)</f>
        <v>1</v>
      </c>
      <c r="H1172" s="1">
        <f ca="1">IFERROR(__xludf.DUMMYFUNCTION("""COMPUTED_VALUE"""),0)</f>
        <v>0</v>
      </c>
      <c r="I1172" s="1">
        <f ca="1">IFERROR(__xludf.DUMMYFUNCTION("""COMPUTED_VALUE"""),1)</f>
        <v>1</v>
      </c>
      <c r="J1172" s="1">
        <f ca="1">IFERROR(__xludf.DUMMYFUNCTION("""COMPUTED_VALUE"""),0)</f>
        <v>0</v>
      </c>
      <c r="K1172" s="1" t="str">
        <f ca="1">IFERROR(__xludf.DUMMYFUNCTION("""COMPUTED_VALUE"""),"Summer")</f>
        <v>Summer</v>
      </c>
      <c r="L1172" s="1" t="str">
        <f ca="1">IFERROR(__xludf.DUMMYFUNCTION("""COMPUTED_VALUE"""),"Philadelphia")</f>
        <v>Philadelphia</v>
      </c>
      <c r="M1172" s="1" t="str">
        <f ca="1">IFERROR(__xludf.DUMMYFUNCTION("""COMPUTED_VALUE"""),"PA")</f>
        <v>PA</v>
      </c>
      <c r="N1172" s="1" t="str">
        <f ca="1">IFERROR(__xludf.DUMMYFUNCTION("""COMPUTED_VALUE"""),"Elementary")</f>
        <v>Elementary</v>
      </c>
      <c r="O1172" s="1" t="str">
        <f ca="1">IFERROR(__xludf.DUMMYFUNCTION("""COMPUTED_VALUE"""),"Playground")</f>
        <v>Playground</v>
      </c>
      <c r="P1172" s="1" t="str">
        <f ca="1">IFERROR(__xludf.DUMMYFUNCTION("""COMPUTED_VALUE"""),"Outside on School Property")</f>
        <v>Outside on School Property</v>
      </c>
      <c r="Q1172" s="1" t="str">
        <f ca="1">IFERROR(__xludf.DUMMYFUNCTION("""COMPUTED_VALUE"""),"No")</f>
        <v>No</v>
      </c>
      <c r="R1172" s="1" t="str">
        <f ca="1">IFERROR(__xludf.DUMMYFUNCTION("""COMPUTED_VALUE"""),"Evening")</f>
        <v>Evening</v>
      </c>
      <c r="S1172" s="5">
        <f ca="1">IFERROR(__xludf.DUMMYFUNCTION("""COMPUTED_VALUE"""),0.791666666666666)</f>
        <v>0.79166666666666596</v>
      </c>
      <c r="T1172" s="1">
        <f ca="1">IFERROR(__xludf.DUMMYFUNCTION("""COMPUTED_VALUE"""),1)</f>
        <v>1</v>
      </c>
      <c r="U1172" s="1" t="str">
        <f ca="1">IFERROR(__xludf.DUMMYFUNCTION("""COMPUTED_VALUE"""),"14YOM shot and killed on school playground during argument")</f>
        <v>14YOM shot and killed on school playground during argument</v>
      </c>
      <c r="V1172" s="1" t="str">
        <f ca="1">IFERROR(__xludf.DUMMYFUNCTION("""COMPUTED_VALUE"""),"14YOM shot and killed and school playground. Body was carried out to the street where the victim was found and taken to the hospital. Shot twice, 6 shots fired. Police said the shooting occured after an argument. Not sure if the victim was the intended ta"&amp;"rget. Shooter fled the scene. School was not open during the shooting.")</f>
        <v>14YOM shot and killed and school playground. Body was carried out to the street where the victim was found and taken to the hospital. Shot twice, 6 shots fired. Police said the shooting occured after an argument. Not sure if the victim was the intended target. Shooter fled the scene. School was not open during the shooting.</v>
      </c>
      <c r="W1172" s="1" t="str">
        <f ca="1">IFERROR(__xludf.DUMMYFUNCTION("""COMPUTED_VALUE"""),"Escalation of Dispute")</f>
        <v>Escalation of Dispute</v>
      </c>
      <c r="X1172" s="1" t="str">
        <f ca="1">IFERROR(__xludf.DUMMYFUNCTION("""COMPUTED_VALUE"""),"Victims Targeted")</f>
        <v>Victims Targeted</v>
      </c>
      <c r="Y1172" s="1"/>
      <c r="Z1172" s="1" t="str">
        <f ca="1">IFERROR(__xludf.DUMMYFUNCTION("""COMPUTED_VALUE"""),"Fled in a vehicle")</f>
        <v>Fled in a vehicle</v>
      </c>
      <c r="AA1172" s="1" t="str">
        <f ca="1">IFERROR(__xludf.DUMMYFUNCTION("""COMPUTED_VALUE"""),"No")</f>
        <v>No</v>
      </c>
      <c r="AB1172" s="1" t="str">
        <f ca="1">IFERROR(__xludf.DUMMYFUNCTION("""COMPUTED_VALUE"""),"No")</f>
        <v>No</v>
      </c>
      <c r="AC1172" s="1" t="str">
        <f ca="1">IFERROR(__xludf.DUMMYFUNCTION("""COMPUTED_VALUE"""),"No")</f>
        <v>No</v>
      </c>
      <c r="AD1172" s="1" t="str">
        <f ca="1">IFERROR(__xludf.DUMMYFUNCTION("""COMPUTED_VALUE"""),"No")</f>
        <v>No</v>
      </c>
      <c r="AE1172" s="1" t="str">
        <f ca="1">IFERROR(__xludf.DUMMYFUNCTION("""COMPUTED_VALUE"""),"No")</f>
        <v>No</v>
      </c>
      <c r="AF1172" s="1" t="str">
        <f ca="1">IFERROR(__xludf.DUMMYFUNCTION("""COMPUTED_VALUE"""),"No")</f>
        <v>No</v>
      </c>
      <c r="AG1172" s="1" t="str">
        <f ca="1">IFERROR(__xludf.DUMMYFUNCTION("""COMPUTED_VALUE"""),"No")</f>
        <v>No</v>
      </c>
      <c r="AH1172" s="1">
        <f ca="1">IFERROR(__xludf.DUMMYFUNCTION("""COMPUTED_VALUE"""),6)</f>
        <v>6</v>
      </c>
    </row>
    <row r="1173" spans="1:34" ht="12.5">
      <c r="A1173" s="1" t="str">
        <f ca="1">IFERROR(__xludf.DUMMYFUNCTION("""COMPUTED_VALUE"""),"20190823MOROS")</f>
        <v>20190823MOROS</v>
      </c>
      <c r="B1173" s="1">
        <f ca="1">IFERROR(__xludf.DUMMYFUNCTION("""COMPUTED_VALUE"""),8)</f>
        <v>8</v>
      </c>
      <c r="C1173" s="1">
        <f ca="1">IFERROR(__xludf.DUMMYFUNCTION("""COMPUTED_VALUE"""),23)</f>
        <v>23</v>
      </c>
      <c r="D1173" s="1">
        <f ca="1">IFERROR(__xludf.DUMMYFUNCTION("""COMPUTED_VALUE"""),2019)</f>
        <v>2019</v>
      </c>
      <c r="E1173" s="4">
        <f ca="1">IFERROR(__xludf.DUMMYFUNCTION("""COMPUTED_VALUE"""),43700)</f>
        <v>43700</v>
      </c>
      <c r="F1173" s="1" t="str">
        <f ca="1">IFERROR(__xludf.DUMMYFUNCTION("""COMPUTED_VALUE"""),"Roosevelt High School")</f>
        <v>Roosevelt High School</v>
      </c>
      <c r="G1173" s="1">
        <f ca="1">IFERROR(__xludf.DUMMYFUNCTION("""COMPUTED_VALUE"""),1)</f>
        <v>1</v>
      </c>
      <c r="H1173" s="1">
        <f ca="1">IFERROR(__xludf.DUMMYFUNCTION("""COMPUTED_VALUE"""),0)</f>
        <v>0</v>
      </c>
      <c r="I1173" s="1">
        <f ca="1">IFERROR(__xludf.DUMMYFUNCTION("""COMPUTED_VALUE"""),1)</f>
        <v>1</v>
      </c>
      <c r="J1173" s="1">
        <f ca="1">IFERROR(__xludf.DUMMYFUNCTION("""COMPUTED_VALUE"""),0)</f>
        <v>0</v>
      </c>
      <c r="K1173" s="1" t="str">
        <f ca="1">IFERROR(__xludf.DUMMYFUNCTION("""COMPUTED_VALUE"""),"Summer")</f>
        <v>Summer</v>
      </c>
      <c r="L1173" s="1" t="str">
        <f ca="1">IFERROR(__xludf.DUMMYFUNCTION("""COMPUTED_VALUE"""),"St. Louis")</f>
        <v>St. Louis</v>
      </c>
      <c r="M1173" s="1" t="str">
        <f ca="1">IFERROR(__xludf.DUMMYFUNCTION("""COMPUTED_VALUE"""),"MO")</f>
        <v>MO</v>
      </c>
      <c r="N1173" s="1" t="str">
        <f ca="1">IFERROR(__xludf.DUMMYFUNCTION("""COMPUTED_VALUE"""),"High")</f>
        <v>High</v>
      </c>
      <c r="O1173" s="1" t="str">
        <f ca="1">IFERROR(__xludf.DUMMYFUNCTION("""COMPUTED_VALUE"""),"Parking Lot")</f>
        <v>Parking Lot</v>
      </c>
      <c r="P1173" s="1" t="str">
        <f ca="1">IFERROR(__xludf.DUMMYFUNCTION("""COMPUTED_VALUE"""),"Outside on School Property")</f>
        <v>Outside on School Property</v>
      </c>
      <c r="Q1173" s="1" t="str">
        <f ca="1">IFERROR(__xludf.DUMMYFUNCTION("""COMPUTED_VALUE"""),"No")</f>
        <v>No</v>
      </c>
      <c r="R1173" s="1" t="str">
        <f ca="1">IFERROR(__xludf.DUMMYFUNCTION("""COMPUTED_VALUE"""),"Night")</f>
        <v>Night</v>
      </c>
      <c r="S1173" s="5">
        <f ca="1">IFERROR(__xludf.DUMMYFUNCTION("""COMPUTED_VALUE"""),0.208333333333333)</f>
        <v>0.20833333333333301</v>
      </c>
      <c r="T1173" s="1">
        <f ca="1">IFERROR(__xludf.DUMMYFUNCTION("""COMPUTED_VALUE"""),1)</f>
        <v>1</v>
      </c>
      <c r="U1173" s="1" t="str">
        <f ca="1">IFERROR(__xludf.DUMMYFUNCTION("""COMPUTED_VALUE"""),"16YOF student found dead (multiple shots) behind school")</f>
        <v>16YOF student found dead (multiple shots) behind school</v>
      </c>
      <c r="V1173" s="1" t="str">
        <f ca="1">IFERROR(__xludf.DUMMYFUNCTION("""COMPUTED_VALUE"""),"16YOF found dead in a rear parking lot behind the high school from multiple gun shots. School was not in session. No further information available.")</f>
        <v>16YOF found dead in a rear parking lot behind the high school from multiple gun shots. School was not in session. No further information available.</v>
      </c>
      <c r="W1173" s="1" t="str">
        <f ca="1">IFERROR(__xludf.DUMMYFUNCTION("""COMPUTED_VALUE"""),"Unknown")</f>
        <v>Unknown</v>
      </c>
      <c r="X1173" s="1" t="str">
        <f ca="1">IFERROR(__xludf.DUMMYFUNCTION("""COMPUTED_VALUE"""),"Victims Targeted")</f>
        <v>Victims Targeted</v>
      </c>
      <c r="Y1173" s="1"/>
      <c r="Z1173" s="1"/>
      <c r="AA1173" s="1" t="str">
        <f ca="1">IFERROR(__xludf.DUMMYFUNCTION("""COMPUTED_VALUE"""),"No")</f>
        <v>No</v>
      </c>
      <c r="AB1173" s="1" t="str">
        <f ca="1">IFERROR(__xludf.DUMMYFUNCTION("""COMPUTED_VALUE"""),"No")</f>
        <v>No</v>
      </c>
      <c r="AC1173" s="1" t="str">
        <f ca="1">IFERROR(__xludf.DUMMYFUNCTION("""COMPUTED_VALUE"""),"No")</f>
        <v>No</v>
      </c>
      <c r="AD1173" s="1"/>
      <c r="AE1173" s="1"/>
      <c r="AF1173" s="1"/>
      <c r="AG1173" s="1" t="str">
        <f ca="1">IFERROR(__xludf.DUMMYFUNCTION("""COMPUTED_VALUE"""),"No")</f>
        <v>No</v>
      </c>
      <c r="AH1173" s="1"/>
    </row>
    <row r="1174" spans="1:34" ht="12.5">
      <c r="A1174" s="1" t="str">
        <f ca="1">IFERROR(__xludf.DUMMYFUNCTION("""COMPUTED_VALUE"""),"20190823MOPAS")</f>
        <v>20190823MOPAS</v>
      </c>
      <c r="B1174" s="1">
        <f ca="1">IFERROR(__xludf.DUMMYFUNCTION("""COMPUTED_VALUE"""),8)</f>
        <v>8</v>
      </c>
      <c r="C1174" s="1">
        <f ca="1">IFERROR(__xludf.DUMMYFUNCTION("""COMPUTED_VALUE"""),23)</f>
        <v>23</v>
      </c>
      <c r="D1174" s="1">
        <f ca="1">IFERROR(__xludf.DUMMYFUNCTION("""COMPUTED_VALUE"""),2019)</f>
        <v>2019</v>
      </c>
      <c r="E1174" s="4">
        <f ca="1">IFERROR(__xludf.DUMMYFUNCTION("""COMPUTED_VALUE"""),43700)</f>
        <v>43700</v>
      </c>
      <c r="F1174" s="1" t="str">
        <f ca="1">IFERROR(__xludf.DUMMYFUNCTION("""COMPUTED_VALUE"""),"Parkway North High School")</f>
        <v>Parkway North High School</v>
      </c>
      <c r="G1174" s="1">
        <f ca="1">IFERROR(__xludf.DUMMYFUNCTION("""COMPUTED_VALUE"""),0)</f>
        <v>0</v>
      </c>
      <c r="H1174" s="1">
        <f ca="1">IFERROR(__xludf.DUMMYFUNCTION("""COMPUTED_VALUE"""),0)</f>
        <v>0</v>
      </c>
      <c r="I1174" s="1">
        <f ca="1">IFERROR(__xludf.DUMMYFUNCTION("""COMPUTED_VALUE"""),0)</f>
        <v>0</v>
      </c>
      <c r="J1174" s="1">
        <f ca="1">IFERROR(__xludf.DUMMYFUNCTION("""COMPUTED_VALUE"""),0)</f>
        <v>0</v>
      </c>
      <c r="K1174" s="1" t="str">
        <f ca="1">IFERROR(__xludf.DUMMYFUNCTION("""COMPUTED_VALUE"""),"Summer")</f>
        <v>Summer</v>
      </c>
      <c r="L1174" s="1" t="str">
        <f ca="1">IFERROR(__xludf.DUMMYFUNCTION("""COMPUTED_VALUE"""),"St. Louis")</f>
        <v>St. Louis</v>
      </c>
      <c r="M1174" s="1" t="str">
        <f ca="1">IFERROR(__xludf.DUMMYFUNCTION("""COMPUTED_VALUE"""),"MO")</f>
        <v>MO</v>
      </c>
      <c r="N1174" s="1" t="str">
        <f ca="1">IFERROR(__xludf.DUMMYFUNCTION("""COMPUTED_VALUE"""),"High")</f>
        <v>High</v>
      </c>
      <c r="O1174" s="1" t="str">
        <f ca="1">IFERROR(__xludf.DUMMYFUNCTION("""COMPUTED_VALUE"""),"Football Field/Track")</f>
        <v>Football Field/Track</v>
      </c>
      <c r="P1174" s="1" t="str">
        <f ca="1">IFERROR(__xludf.DUMMYFUNCTION("""COMPUTED_VALUE"""),"Outside on School Property")</f>
        <v>Outside on School Property</v>
      </c>
      <c r="Q1174" s="1" t="str">
        <f ca="1">IFERROR(__xludf.DUMMYFUNCTION("""COMPUTED_VALUE"""),"No")</f>
        <v>No</v>
      </c>
      <c r="R1174" s="1" t="str">
        <f ca="1">IFERROR(__xludf.DUMMYFUNCTION("""COMPUTED_VALUE"""),"Sport Event")</f>
        <v>Sport Event</v>
      </c>
      <c r="S1174" s="5">
        <f ca="1">IFERROR(__xludf.DUMMYFUNCTION("""COMPUTED_VALUE"""),0.84375)</f>
        <v>0.84375</v>
      </c>
      <c r="T1174" s="1">
        <f ca="1">IFERROR(__xludf.DUMMYFUNCTION("""COMPUTED_VALUE"""),1)</f>
        <v>1</v>
      </c>
      <c r="U1174" s="1" t="str">
        <f ca="1">IFERROR(__xludf.DUMMYFUNCTION("""COMPUTED_VALUE"""),"Shots fired during fight at football jamboree")</f>
        <v>Shots fired during fight at football jamboree</v>
      </c>
      <c r="V1174" s="1" t="str">
        <f ca="1">IFERROR(__xludf.DUMMYFUNCTION("""COMPUTED_VALUE"""),"Shots fired during one of multiple fights during the football jamboree. Witnesses reported gunshots and seeing a person with a gun but no one was shot and the shooter fled. The event was shut down following the reported shooting. 3,000 students were at th"&amp;"e event. Mass panic in the stadium as hundreds of people ran after hearing the shots. 12 police officers were assigned to the event.")</f>
        <v>Shots fired during one of multiple fights during the football jamboree. Witnesses reported gunshots and seeing a person with a gun but no one was shot and the shooter fled. The event was shut down following the reported shooting. 3,000 students were at the event. Mass panic in the stadium as hundreds of people ran after hearing the shots. 12 police officers were assigned to the event.</v>
      </c>
      <c r="W1174" s="1" t="str">
        <f ca="1">IFERROR(__xludf.DUMMYFUNCTION("""COMPUTED_VALUE"""),"Escalation of Dispute")</f>
        <v>Escalation of Dispute</v>
      </c>
      <c r="X1174" s="1"/>
      <c r="Y1174" s="1" t="str">
        <f ca="1">IFERROR(__xludf.DUMMYFUNCTION("""COMPUTED_VALUE"""),"No")</f>
        <v>No</v>
      </c>
      <c r="Z1174" s="1"/>
      <c r="AA1174" s="1" t="str">
        <f ca="1">IFERROR(__xludf.DUMMYFUNCTION("""COMPUTED_VALUE"""),"No")</f>
        <v>No</v>
      </c>
      <c r="AB1174" s="1" t="str">
        <f ca="1">IFERROR(__xludf.DUMMYFUNCTION("""COMPUTED_VALUE"""),"No")</f>
        <v>No</v>
      </c>
      <c r="AC1174" s="1" t="str">
        <f ca="1">IFERROR(__xludf.DUMMYFUNCTION("""COMPUTED_VALUE"""),"No")</f>
        <v>No</v>
      </c>
      <c r="AD1174" s="1" t="str">
        <f ca="1">IFERROR(__xludf.DUMMYFUNCTION("""COMPUTED_VALUE"""),"No")</f>
        <v>No</v>
      </c>
      <c r="AE1174" s="1" t="str">
        <f ca="1">IFERROR(__xludf.DUMMYFUNCTION("""COMPUTED_VALUE"""),"No")</f>
        <v>No</v>
      </c>
      <c r="AF1174" s="1" t="str">
        <f ca="1">IFERROR(__xludf.DUMMYFUNCTION("""COMPUTED_VALUE"""),"No")</f>
        <v>No</v>
      </c>
      <c r="AG1174" s="1" t="str">
        <f ca="1">IFERROR(__xludf.DUMMYFUNCTION("""COMPUTED_VALUE"""),"No")</f>
        <v>No</v>
      </c>
      <c r="AH1174" s="1" t="str">
        <f ca="1">IFERROR(__xludf.DUMMYFUNCTION("""COMPUTED_VALUE"""),"&lt;5")</f>
        <v>&lt;5</v>
      </c>
    </row>
    <row r="1175" spans="1:34" ht="12.5">
      <c r="A1175" s="1" t="str">
        <f ca="1">IFERROR(__xludf.DUMMYFUNCTION("""COMPUTED_VALUE"""),"20190823GAPEC")</f>
        <v>20190823GAPEC</v>
      </c>
      <c r="B1175" s="1">
        <f ca="1">IFERROR(__xludf.DUMMYFUNCTION("""COMPUTED_VALUE"""),8)</f>
        <v>8</v>
      </c>
      <c r="C1175" s="1">
        <f ca="1">IFERROR(__xludf.DUMMYFUNCTION("""COMPUTED_VALUE"""),23)</f>
        <v>23</v>
      </c>
      <c r="D1175" s="1">
        <f ca="1">IFERROR(__xludf.DUMMYFUNCTION("""COMPUTED_VALUE"""),2019)</f>
        <v>2019</v>
      </c>
      <c r="E1175" s="4">
        <f ca="1">IFERROR(__xludf.DUMMYFUNCTION("""COMPUTED_VALUE"""),43700)</f>
        <v>43700</v>
      </c>
      <c r="F1175" s="1" t="str">
        <f ca="1">IFERROR(__xludf.DUMMYFUNCTION("""COMPUTED_VALUE"""),"Peek's Chapel Elementary School")</f>
        <v>Peek's Chapel Elementary School</v>
      </c>
      <c r="G1175" s="1">
        <f ca="1">IFERROR(__xludf.DUMMYFUNCTION("""COMPUTED_VALUE"""),0)</f>
        <v>0</v>
      </c>
      <c r="H1175" s="1">
        <f ca="1">IFERROR(__xludf.DUMMYFUNCTION("""COMPUTED_VALUE"""),1)</f>
        <v>1</v>
      </c>
      <c r="I1175" s="1">
        <f ca="1">IFERROR(__xludf.DUMMYFUNCTION("""COMPUTED_VALUE"""),1)</f>
        <v>1</v>
      </c>
      <c r="J1175" s="1">
        <f ca="1">IFERROR(__xludf.DUMMYFUNCTION("""COMPUTED_VALUE"""),0)</f>
        <v>0</v>
      </c>
      <c r="K1175" s="1" t="str">
        <f ca="1">IFERROR(__xludf.DUMMYFUNCTION("""COMPUTED_VALUE"""),"Summer")</f>
        <v>Summer</v>
      </c>
      <c r="L1175" s="1" t="str">
        <f ca="1">IFERROR(__xludf.DUMMYFUNCTION("""COMPUTED_VALUE"""),"Conyers")</f>
        <v>Conyers</v>
      </c>
      <c r="M1175" s="1" t="str">
        <f ca="1">IFERROR(__xludf.DUMMYFUNCTION("""COMPUTED_VALUE"""),"GA")</f>
        <v>GA</v>
      </c>
      <c r="N1175" s="1" t="str">
        <f ca="1">IFERROR(__xludf.DUMMYFUNCTION("""COMPUTED_VALUE"""),"Elementary")</f>
        <v>Elementary</v>
      </c>
      <c r="O1175" s="1" t="str">
        <f ca="1">IFERROR(__xludf.DUMMYFUNCTION("""COMPUTED_VALUE"""),"Outside on School Property")</f>
        <v>Outside on School Property</v>
      </c>
      <c r="P1175" s="1" t="str">
        <f ca="1">IFERROR(__xludf.DUMMYFUNCTION("""COMPUTED_VALUE"""),"Outside on School Property")</f>
        <v>Outside on School Property</v>
      </c>
      <c r="Q1175" s="1" t="str">
        <f ca="1">IFERROR(__xludf.DUMMYFUNCTION("""COMPUTED_VALUE"""),"No")</f>
        <v>No</v>
      </c>
      <c r="R1175" s="1" t="str">
        <f ca="1">IFERROR(__xludf.DUMMYFUNCTION("""COMPUTED_VALUE"""),"Evening")</f>
        <v>Evening</v>
      </c>
      <c r="S1175" s="5">
        <f ca="1">IFERROR(__xludf.DUMMYFUNCTION("""COMPUTED_VALUE"""),0.774305555555555)</f>
        <v>0.77430555555555503</v>
      </c>
      <c r="T1175" s="1">
        <f ca="1">IFERROR(__xludf.DUMMYFUNCTION("""COMPUTED_VALUE"""),1)</f>
        <v>1</v>
      </c>
      <c r="U1175" s="1" t="str">
        <f ca="1">IFERROR(__xludf.DUMMYFUNCTION("""COMPUTED_VALUE"""),"15YOM shot 12YOM outside of elementary school after hours")</f>
        <v>15YOM shot 12YOM outside of elementary school after hours</v>
      </c>
      <c r="V1175" s="1" t="str">
        <f ca="1">IFERROR(__xludf.DUMMYFUNCTION("""COMPUTED_VALUE"""),"15YOM shot 12YOM outside of elementary school after school operating hours. No motive or other information available.")</f>
        <v>15YOM shot 12YOM outside of elementary school after school operating hours. No motive or other information available.</v>
      </c>
      <c r="W1175" s="1" t="str">
        <f ca="1">IFERROR(__xludf.DUMMYFUNCTION("""COMPUTED_VALUE"""),"Unknown")</f>
        <v>Unknown</v>
      </c>
      <c r="X1175" s="1"/>
      <c r="Y1175" s="1" t="str">
        <f ca="1">IFERROR(__xludf.DUMMYFUNCTION("""COMPUTED_VALUE"""),"No")</f>
        <v>No</v>
      </c>
      <c r="Z1175" s="1"/>
      <c r="AA1175" s="1" t="str">
        <f ca="1">IFERROR(__xludf.DUMMYFUNCTION("""COMPUTED_VALUE"""),"No")</f>
        <v>No</v>
      </c>
      <c r="AB1175" s="1" t="str">
        <f ca="1">IFERROR(__xludf.DUMMYFUNCTION("""COMPUTED_VALUE"""),"No")</f>
        <v>No</v>
      </c>
      <c r="AC1175" s="1" t="str">
        <f ca="1">IFERROR(__xludf.DUMMYFUNCTION("""COMPUTED_VALUE"""),"No")</f>
        <v>No</v>
      </c>
      <c r="AD1175" s="1"/>
      <c r="AE1175" s="1" t="str">
        <f ca="1">IFERROR(__xludf.DUMMYFUNCTION("""COMPUTED_VALUE"""),"No")</f>
        <v>No</v>
      </c>
      <c r="AF1175" s="1"/>
      <c r="AG1175" s="1" t="str">
        <f ca="1">IFERROR(__xludf.DUMMYFUNCTION("""COMPUTED_VALUE"""),"No")</f>
        <v>No</v>
      </c>
      <c r="AH1175" s="1"/>
    </row>
    <row r="1176" spans="1:34" ht="12.5">
      <c r="A1176" s="1" t="str">
        <f ca="1">IFERROR(__xludf.DUMMYFUNCTION("""COMPUTED_VALUE"""),"20190820PASAC")</f>
        <v>20190820PASAC</v>
      </c>
      <c r="B1176" s="1">
        <f ca="1">IFERROR(__xludf.DUMMYFUNCTION("""COMPUTED_VALUE"""),8)</f>
        <v>8</v>
      </c>
      <c r="C1176" s="1">
        <f ca="1">IFERROR(__xludf.DUMMYFUNCTION("""COMPUTED_VALUE"""),20)</f>
        <v>20</v>
      </c>
      <c r="D1176" s="1">
        <f ca="1">IFERROR(__xludf.DUMMYFUNCTION("""COMPUTED_VALUE"""),2019)</f>
        <v>2019</v>
      </c>
      <c r="E1176" s="4">
        <f ca="1">IFERROR(__xludf.DUMMYFUNCTION("""COMPUTED_VALUE"""),43697)</f>
        <v>43697</v>
      </c>
      <c r="F1176" s="1" t="str">
        <f ca="1">IFERROR(__xludf.DUMMYFUNCTION("""COMPUTED_VALUE"""),"Saint Patrick School")</f>
        <v>Saint Patrick School</v>
      </c>
      <c r="G1176" s="1">
        <f ca="1">IFERROR(__xludf.DUMMYFUNCTION("""COMPUTED_VALUE"""),0)</f>
        <v>0</v>
      </c>
      <c r="H1176" s="1">
        <f ca="1">IFERROR(__xludf.DUMMYFUNCTION("""COMPUTED_VALUE"""),0)</f>
        <v>0</v>
      </c>
      <c r="I1176" s="1">
        <f ca="1">IFERROR(__xludf.DUMMYFUNCTION("""COMPUTED_VALUE"""),0)</f>
        <v>0</v>
      </c>
      <c r="J1176" s="1">
        <f ca="1">IFERROR(__xludf.DUMMYFUNCTION("""COMPUTED_VALUE"""),0)</f>
        <v>0</v>
      </c>
      <c r="K1176" s="1" t="str">
        <f ca="1">IFERROR(__xludf.DUMMYFUNCTION("""COMPUTED_VALUE"""),"Summer")</f>
        <v>Summer</v>
      </c>
      <c r="L1176" s="1" t="str">
        <f ca="1">IFERROR(__xludf.DUMMYFUNCTION("""COMPUTED_VALUE"""),"Carlisle")</f>
        <v>Carlisle</v>
      </c>
      <c r="M1176" s="1" t="str">
        <f ca="1">IFERROR(__xludf.DUMMYFUNCTION("""COMPUTED_VALUE"""),"PA")</f>
        <v>PA</v>
      </c>
      <c r="N1176" s="1" t="str">
        <f ca="1">IFERROR(__xludf.DUMMYFUNCTION("""COMPUTED_VALUE"""),"High")</f>
        <v>High</v>
      </c>
      <c r="O1176" s="1" t="str">
        <f ca="1">IFERROR(__xludf.DUMMYFUNCTION("""COMPUTED_VALUE"""),"Parking Lot")</f>
        <v>Parking Lot</v>
      </c>
      <c r="P1176" s="1" t="str">
        <f ca="1">IFERROR(__xludf.DUMMYFUNCTION("""COMPUTED_VALUE"""),"Outside on School Property")</f>
        <v>Outside on School Property</v>
      </c>
      <c r="Q1176" s="1" t="str">
        <f ca="1">IFERROR(__xludf.DUMMYFUNCTION("""COMPUTED_VALUE"""),"No")</f>
        <v>No</v>
      </c>
      <c r="R1176" s="1" t="str">
        <f ca="1">IFERROR(__xludf.DUMMYFUNCTION("""COMPUTED_VALUE"""),"School Event")</f>
        <v>School Event</v>
      </c>
      <c r="S1176" s="5">
        <f ca="1">IFERROR(__xludf.DUMMYFUNCTION("""COMPUTED_VALUE"""),0.75)</f>
        <v>0.75</v>
      </c>
      <c r="T1176" s="1">
        <f ca="1">IFERROR(__xludf.DUMMYFUNCTION("""COMPUTED_VALUE"""),1)</f>
        <v>1</v>
      </c>
      <c r="U1176" s="1" t="str">
        <f ca="1">IFERROR(__xludf.DUMMYFUNCTION("""COMPUTED_VALUE"""),"Parent accidentally discharged handgun shooting himself")</f>
        <v>Parent accidentally discharged handgun shooting himself</v>
      </c>
      <c r="V1176" s="1" t="str">
        <f ca="1">IFERROR(__xludf.DUMMYFUNCTION("""COMPUTED_VALUE"""),"Parent at back to school night accidentally discharged handgun striking himself. Parent was correctional officer and handgun was issued to him by prison. No other injuries or threat to students.")</f>
        <v>Parent at back to school night accidentally discharged handgun striking himself. Parent was correctional officer and handgun was issued to him by prison. No other injuries or threat to students.</v>
      </c>
      <c r="W1176" s="1" t="str">
        <f ca="1">IFERROR(__xludf.DUMMYFUNCTION("""COMPUTED_VALUE"""),"Accidental")</f>
        <v>Accidental</v>
      </c>
      <c r="X1176" s="1" t="str">
        <f ca="1">IFERROR(__xludf.DUMMYFUNCTION("""COMPUTED_VALUE"""),"Random Shooting")</f>
        <v>Random Shooting</v>
      </c>
      <c r="Y1176" s="1" t="str">
        <f ca="1">IFERROR(__xludf.DUMMYFUNCTION("""COMPUTED_VALUE"""),"No")</f>
        <v>No</v>
      </c>
      <c r="Z1176" s="1"/>
      <c r="AA1176" s="1" t="str">
        <f ca="1">IFERROR(__xludf.DUMMYFUNCTION("""COMPUTED_VALUE"""),"No")</f>
        <v>No</v>
      </c>
      <c r="AB1176" s="1" t="str">
        <f ca="1">IFERROR(__xludf.DUMMYFUNCTION("""COMPUTED_VALUE"""),"No")</f>
        <v>No</v>
      </c>
      <c r="AC1176" s="1" t="str">
        <f ca="1">IFERROR(__xludf.DUMMYFUNCTION("""COMPUTED_VALUE"""),"No")</f>
        <v>No</v>
      </c>
      <c r="AD1176" s="1" t="str">
        <f ca="1">IFERROR(__xludf.DUMMYFUNCTION("""COMPUTED_VALUE"""),"No")</f>
        <v>No</v>
      </c>
      <c r="AE1176" s="1" t="str">
        <f ca="1">IFERROR(__xludf.DUMMYFUNCTION("""COMPUTED_VALUE"""),"No")</f>
        <v>No</v>
      </c>
      <c r="AF1176" s="1" t="str">
        <f ca="1">IFERROR(__xludf.DUMMYFUNCTION("""COMPUTED_VALUE"""),"No")</f>
        <v>No</v>
      </c>
      <c r="AG1176" s="1" t="str">
        <f ca="1">IFERROR(__xludf.DUMMYFUNCTION("""COMPUTED_VALUE"""),"No")</f>
        <v>No</v>
      </c>
      <c r="AH1176" s="1">
        <f ca="1">IFERROR(__xludf.DUMMYFUNCTION("""COMPUTED_VALUE"""),1)</f>
        <v>1</v>
      </c>
    </row>
    <row r="1177" spans="1:34" ht="12.5">
      <c r="A1177" s="1" t="str">
        <f ca="1">IFERROR(__xludf.DUMMYFUNCTION("""COMPUTED_VALUE"""),"20190817GALAA")</f>
        <v>20190817GALAA</v>
      </c>
      <c r="B1177" s="1">
        <f ca="1">IFERROR(__xludf.DUMMYFUNCTION("""COMPUTED_VALUE"""),8)</f>
        <v>8</v>
      </c>
      <c r="C1177" s="1">
        <f ca="1">IFERROR(__xludf.DUMMYFUNCTION("""COMPUTED_VALUE"""),17)</f>
        <v>17</v>
      </c>
      <c r="D1177" s="1">
        <f ca="1">IFERROR(__xludf.DUMMYFUNCTION("""COMPUTED_VALUE"""),2019)</f>
        <v>2019</v>
      </c>
      <c r="E1177" s="4">
        <f ca="1">IFERROR(__xludf.DUMMYFUNCTION("""COMPUTED_VALUE"""),43694)</f>
        <v>43694</v>
      </c>
      <c r="F1177" s="1" t="str">
        <f ca="1">IFERROR(__xludf.DUMMYFUNCTION("""COMPUTED_VALUE"""),"Lakewood Stadium")</f>
        <v>Lakewood Stadium</v>
      </c>
      <c r="G1177" s="1">
        <f ca="1">IFERROR(__xludf.DUMMYFUNCTION("""COMPUTED_VALUE"""),0)</f>
        <v>0</v>
      </c>
      <c r="H1177" s="1">
        <f ca="1">IFERROR(__xludf.DUMMYFUNCTION("""COMPUTED_VALUE"""),2)</f>
        <v>2</v>
      </c>
      <c r="I1177" s="1">
        <f ca="1">IFERROR(__xludf.DUMMYFUNCTION("""COMPUTED_VALUE"""),2)</f>
        <v>2</v>
      </c>
      <c r="J1177" s="1">
        <f ca="1">IFERROR(__xludf.DUMMYFUNCTION("""COMPUTED_VALUE"""),0)</f>
        <v>0</v>
      </c>
      <c r="K1177" s="1" t="str">
        <f ca="1">IFERROR(__xludf.DUMMYFUNCTION("""COMPUTED_VALUE"""),"Summer")</f>
        <v>Summer</v>
      </c>
      <c r="L1177" s="1" t="str">
        <f ca="1">IFERROR(__xludf.DUMMYFUNCTION("""COMPUTED_VALUE"""),"Atlanta")</f>
        <v>Atlanta</v>
      </c>
      <c r="M1177" s="1" t="str">
        <f ca="1">IFERROR(__xludf.DUMMYFUNCTION("""COMPUTED_VALUE"""),"GA")</f>
        <v>GA</v>
      </c>
      <c r="N1177" s="1" t="str">
        <f ca="1">IFERROR(__xludf.DUMMYFUNCTION("""COMPUTED_VALUE"""),"High")</f>
        <v>High</v>
      </c>
      <c r="O1177" s="1" t="str">
        <f ca="1">IFERROR(__xludf.DUMMYFUNCTION("""COMPUTED_VALUE"""),"Football Field/Track")</f>
        <v>Football Field/Track</v>
      </c>
      <c r="P1177" s="1" t="str">
        <f ca="1">IFERROR(__xludf.DUMMYFUNCTION("""COMPUTED_VALUE"""),"Outside on School Property")</f>
        <v>Outside on School Property</v>
      </c>
      <c r="Q1177" s="1" t="str">
        <f ca="1">IFERROR(__xludf.DUMMYFUNCTION("""COMPUTED_VALUE"""),"No")</f>
        <v>No</v>
      </c>
      <c r="R1177" s="1" t="str">
        <f ca="1">IFERROR(__xludf.DUMMYFUNCTION("""COMPUTED_VALUE"""),"Sport Event")</f>
        <v>Sport Event</v>
      </c>
      <c r="S1177" s="5">
        <f ca="1">IFERROR(__xludf.DUMMYFUNCTION("""COMPUTED_VALUE"""),0.875)</f>
        <v>0.875</v>
      </c>
      <c r="T1177" s="1">
        <f ca="1">IFERROR(__xludf.DUMMYFUNCTION("""COMPUTED_VALUE"""),1)</f>
        <v>1</v>
      </c>
      <c r="U1177" s="1" t="str">
        <f ca="1">IFERROR(__xludf.DUMMYFUNCTION("""COMPUTED_VALUE"""),"Shots fired during fight at football game")</f>
        <v>Shots fired during fight at football game</v>
      </c>
      <c r="V1177" s="1" t="str">
        <f ca="1">IFERROR(__xludf.DUMMYFUNCTION("""COMPUTED_VALUE"""),"Shots fired during rivalry game between Mays High School and Carver High School in Atlanta. 12YOM was shot and paralyzed. 16YOM student was shot (minor injury). Shooter fled the area. Multiple fights reported. Police were assigned to the stadium during th"&amp;"e game. 15YOM arrested. Neither victim was intended target.")</f>
        <v>Shots fired during rivalry game between Mays High School and Carver High School in Atlanta. 12YOM was shot and paralyzed. 16YOM student was shot (minor injury). Shooter fled the area. Multiple fights reported. Police were assigned to the stadium during the game. 15YOM arrested. Neither victim was intended target.</v>
      </c>
      <c r="W1177" s="1" t="str">
        <f ca="1">IFERROR(__xludf.DUMMYFUNCTION("""COMPUTED_VALUE"""),"Escalation of Dispute")</f>
        <v>Escalation of Dispute</v>
      </c>
      <c r="X1177" s="1" t="str">
        <f ca="1">IFERROR(__xludf.DUMMYFUNCTION("""COMPUTED_VALUE"""),"Both")</f>
        <v>Both</v>
      </c>
      <c r="Y1177" s="1"/>
      <c r="Z1177" s="1"/>
      <c r="AA1177" s="1" t="str">
        <f ca="1">IFERROR(__xludf.DUMMYFUNCTION("""COMPUTED_VALUE"""),"No")</f>
        <v>No</v>
      </c>
      <c r="AB1177" s="1" t="str">
        <f ca="1">IFERROR(__xludf.DUMMYFUNCTION("""COMPUTED_VALUE"""),"No")</f>
        <v>No</v>
      </c>
      <c r="AC1177" s="1" t="str">
        <f ca="1">IFERROR(__xludf.DUMMYFUNCTION("""COMPUTED_VALUE"""),"No")</f>
        <v>No</v>
      </c>
      <c r="AD1177" s="1" t="str">
        <f ca="1">IFERROR(__xludf.DUMMYFUNCTION("""COMPUTED_VALUE"""),"No")</f>
        <v>No</v>
      </c>
      <c r="AE1177" s="1" t="str">
        <f ca="1">IFERROR(__xludf.DUMMYFUNCTION("""COMPUTED_VALUE"""),"No")</f>
        <v>No</v>
      </c>
      <c r="AF1177" s="1" t="str">
        <f ca="1">IFERROR(__xludf.DUMMYFUNCTION("""COMPUTED_VALUE"""),"Yes")</f>
        <v>Yes</v>
      </c>
      <c r="AG1177" s="1" t="str">
        <f ca="1">IFERROR(__xludf.DUMMYFUNCTION("""COMPUTED_VALUE"""),"No")</f>
        <v>No</v>
      </c>
      <c r="AH1177" s="1"/>
    </row>
    <row r="1178" spans="1:34" ht="12.5">
      <c r="A1178" s="1" t="str">
        <f ca="1">IFERROR(__xludf.DUMMYFUNCTION("""COMPUTED_VALUE"""),"20190815TNEAN")</f>
        <v>20190815TNEAN</v>
      </c>
      <c r="B1178" s="1">
        <f ca="1">IFERROR(__xludf.DUMMYFUNCTION("""COMPUTED_VALUE"""),8)</f>
        <v>8</v>
      </c>
      <c r="C1178" s="1">
        <f ca="1">IFERROR(__xludf.DUMMYFUNCTION("""COMPUTED_VALUE"""),15)</f>
        <v>15</v>
      </c>
      <c r="D1178" s="1">
        <f ca="1">IFERROR(__xludf.DUMMYFUNCTION("""COMPUTED_VALUE"""),2019)</f>
        <v>2019</v>
      </c>
      <c r="E1178" s="4">
        <f ca="1">IFERROR(__xludf.DUMMYFUNCTION("""COMPUTED_VALUE"""),43692)</f>
        <v>43692</v>
      </c>
      <c r="F1178" s="1" t="str">
        <f ca="1">IFERROR(__xludf.DUMMYFUNCTION("""COMPUTED_VALUE"""),"East Magnet High School")</f>
        <v>East Magnet High School</v>
      </c>
      <c r="G1178" s="1">
        <f ca="1">IFERROR(__xludf.DUMMYFUNCTION("""COMPUTED_VALUE"""),0)</f>
        <v>0</v>
      </c>
      <c r="H1178" s="1">
        <f ca="1">IFERROR(__xludf.DUMMYFUNCTION("""COMPUTED_VALUE"""),0)</f>
        <v>0</v>
      </c>
      <c r="I1178" s="1">
        <f ca="1">IFERROR(__xludf.DUMMYFUNCTION("""COMPUTED_VALUE"""),0)</f>
        <v>0</v>
      </c>
      <c r="J1178" s="1">
        <f ca="1">IFERROR(__xludf.DUMMYFUNCTION("""COMPUTED_VALUE"""),0)</f>
        <v>0</v>
      </c>
      <c r="K1178" s="1" t="str">
        <f ca="1">IFERROR(__xludf.DUMMYFUNCTION("""COMPUTED_VALUE"""),"Summer")</f>
        <v>Summer</v>
      </c>
      <c r="L1178" s="1" t="str">
        <f ca="1">IFERROR(__xludf.DUMMYFUNCTION("""COMPUTED_VALUE"""),"Nashville")</f>
        <v>Nashville</v>
      </c>
      <c r="M1178" s="1" t="str">
        <f ca="1">IFERROR(__xludf.DUMMYFUNCTION("""COMPUTED_VALUE"""),"TN")</f>
        <v>TN</v>
      </c>
      <c r="N1178" s="1" t="str">
        <f ca="1">IFERROR(__xludf.DUMMYFUNCTION("""COMPUTED_VALUE"""),"High")</f>
        <v>High</v>
      </c>
      <c r="O1178" s="1" t="str">
        <f ca="1">IFERROR(__xludf.DUMMYFUNCTION("""COMPUTED_VALUE"""),"Football Field/Track")</f>
        <v>Football Field/Track</v>
      </c>
      <c r="P1178" s="1" t="str">
        <f ca="1">IFERROR(__xludf.DUMMYFUNCTION("""COMPUTED_VALUE"""),"Outside on School Property")</f>
        <v>Outside on School Property</v>
      </c>
      <c r="Q1178" s="1" t="str">
        <f ca="1">IFERROR(__xludf.DUMMYFUNCTION("""COMPUTED_VALUE"""),"No")</f>
        <v>No</v>
      </c>
      <c r="R1178" s="1" t="str">
        <f ca="1">IFERROR(__xludf.DUMMYFUNCTION("""COMPUTED_VALUE"""),"Sport Event")</f>
        <v>Sport Event</v>
      </c>
      <c r="S1178" s="1"/>
      <c r="T1178" s="1">
        <f ca="1">IFERROR(__xludf.DUMMYFUNCTION("""COMPUTED_VALUE"""),1)</f>
        <v>1</v>
      </c>
      <c r="U1178" s="1" t="str">
        <f ca="1">IFERROR(__xludf.DUMMYFUNCTION("""COMPUTED_VALUE"""),"15YOM fired multiple shots during football jamboree")</f>
        <v>15YOM fired multiple shots during football jamboree</v>
      </c>
      <c r="V1178" s="1" t="str">
        <f ca="1">IFERROR(__xludf.DUMMYFUNCTION("""COMPUTED_VALUE"""),"15YOM fired multiple shots during football jamboree. No injuries. Police saw the suspect running from the area with a handgun and recovered the gun in the parking lot. Multiple other fights occurred during the event. Police plan to have metal detectors fo"&amp;"r future events. Police officials said 100 officers could be assigned to the event and it would not stop these incidents.")</f>
        <v>15YOM fired multiple shots during football jamboree. No injuries. Police saw the suspect running from the area with a handgun and recovered the gun in the parking lot. Multiple other fights occurred during the event. Police plan to have metal detectors for future events. Police officials said 100 officers could be assigned to the event and it would not stop these incidents.</v>
      </c>
      <c r="W1178" s="1" t="str">
        <f ca="1">IFERROR(__xludf.DUMMYFUNCTION("""COMPUTED_VALUE"""),"Escalation of Dispute")</f>
        <v>Escalation of Dispute</v>
      </c>
      <c r="X1178" s="1"/>
      <c r="Y1178" s="1" t="str">
        <f ca="1">IFERROR(__xludf.DUMMYFUNCTION("""COMPUTED_VALUE"""),"Yes")</f>
        <v>Yes</v>
      </c>
      <c r="Z1178" s="1" t="str">
        <f ca="1">IFERROR(__xludf.DUMMYFUNCTION("""COMPUTED_VALUE"""),"3 arrested")</f>
        <v>3 arrested</v>
      </c>
      <c r="AA1178" s="1" t="str">
        <f ca="1">IFERROR(__xludf.DUMMYFUNCTION("""COMPUTED_VALUE"""),"No")</f>
        <v>No</v>
      </c>
      <c r="AB1178" s="1" t="str">
        <f ca="1">IFERROR(__xludf.DUMMYFUNCTION("""COMPUTED_VALUE"""),"No")</f>
        <v>No</v>
      </c>
      <c r="AC1178" s="1" t="str">
        <f ca="1">IFERROR(__xludf.DUMMYFUNCTION("""COMPUTED_VALUE"""),"No")</f>
        <v>No</v>
      </c>
      <c r="AD1178" s="1" t="str">
        <f ca="1">IFERROR(__xludf.DUMMYFUNCTION("""COMPUTED_VALUE"""),"No")</f>
        <v>No</v>
      </c>
      <c r="AE1178" s="1" t="str">
        <f ca="1">IFERROR(__xludf.DUMMYFUNCTION("""COMPUTED_VALUE"""),"No")</f>
        <v>No</v>
      </c>
      <c r="AF1178" s="1"/>
      <c r="AG1178" s="1" t="str">
        <f ca="1">IFERROR(__xludf.DUMMYFUNCTION("""COMPUTED_VALUE"""),"No")</f>
        <v>No</v>
      </c>
      <c r="AH1178" s="1" t="str">
        <f ca="1">IFERROR(__xludf.DUMMYFUNCTION("""COMPUTED_VALUE"""),"&lt;10")</f>
        <v>&lt;10</v>
      </c>
    </row>
    <row r="1179" spans="1:34" ht="12.5">
      <c r="A1179" s="1" t="str">
        <f ca="1">IFERROR(__xludf.DUMMYFUNCTION("""COMPUTED_VALUE"""),"20190809NJWEN")</f>
        <v>20190809NJWEN</v>
      </c>
      <c r="B1179" s="1">
        <f ca="1">IFERROR(__xludf.DUMMYFUNCTION("""COMPUTED_VALUE"""),8)</f>
        <v>8</v>
      </c>
      <c r="C1179" s="1">
        <f ca="1">IFERROR(__xludf.DUMMYFUNCTION("""COMPUTED_VALUE"""),9)</f>
        <v>9</v>
      </c>
      <c r="D1179" s="1">
        <f ca="1">IFERROR(__xludf.DUMMYFUNCTION("""COMPUTED_VALUE"""),2019)</f>
        <v>2019</v>
      </c>
      <c r="E1179" s="4">
        <f ca="1">IFERROR(__xludf.DUMMYFUNCTION("""COMPUTED_VALUE"""),43686)</f>
        <v>43686</v>
      </c>
      <c r="F1179" s="1" t="str">
        <f ca="1">IFERROR(__xludf.DUMMYFUNCTION("""COMPUTED_VALUE"""),"West Side High School")</f>
        <v>West Side High School</v>
      </c>
      <c r="G1179" s="1">
        <f ca="1">IFERROR(__xludf.DUMMYFUNCTION("""COMPUTED_VALUE"""),0)</f>
        <v>0</v>
      </c>
      <c r="H1179" s="1">
        <f ca="1">IFERROR(__xludf.DUMMYFUNCTION("""COMPUTED_VALUE"""),2)</f>
        <v>2</v>
      </c>
      <c r="I1179" s="1">
        <f ca="1">IFERROR(__xludf.DUMMYFUNCTION("""COMPUTED_VALUE"""),2)</f>
        <v>2</v>
      </c>
      <c r="J1179" s="1">
        <f ca="1">IFERROR(__xludf.DUMMYFUNCTION("""COMPUTED_VALUE"""),0)</f>
        <v>0</v>
      </c>
      <c r="K1179" s="1" t="str">
        <f ca="1">IFERROR(__xludf.DUMMYFUNCTION("""COMPUTED_VALUE"""),"Fall")</f>
        <v>Fall</v>
      </c>
      <c r="L1179" s="1" t="str">
        <f ca="1">IFERROR(__xludf.DUMMYFUNCTION("""COMPUTED_VALUE"""),"Newark")</f>
        <v>Newark</v>
      </c>
      <c r="M1179" s="1" t="str">
        <f ca="1">IFERROR(__xludf.DUMMYFUNCTION("""COMPUTED_VALUE"""),"NJ")</f>
        <v>NJ</v>
      </c>
      <c r="N1179" s="1" t="str">
        <f ca="1">IFERROR(__xludf.DUMMYFUNCTION("""COMPUTED_VALUE"""),"High")</f>
        <v>High</v>
      </c>
      <c r="O1179" s="1" t="str">
        <f ca="1">IFERROR(__xludf.DUMMYFUNCTION("""COMPUTED_VALUE"""),"Front of School")</f>
        <v>Front of School</v>
      </c>
      <c r="P1179" s="1" t="str">
        <f ca="1">IFERROR(__xludf.DUMMYFUNCTION("""COMPUTED_VALUE"""),"Outside on School Property")</f>
        <v>Outside on School Property</v>
      </c>
      <c r="Q1179" s="1" t="str">
        <f ca="1">IFERROR(__xludf.DUMMYFUNCTION("""COMPUTED_VALUE"""),"No")</f>
        <v>No</v>
      </c>
      <c r="R1179" s="1" t="str">
        <f ca="1">IFERROR(__xludf.DUMMYFUNCTION("""COMPUTED_VALUE"""),"Night")</f>
        <v>Night</v>
      </c>
      <c r="S1179" s="5">
        <f ca="1">IFERROR(__xludf.DUMMYFUNCTION("""COMPUTED_VALUE"""),0.890277777777777)</f>
        <v>0.89027777777777695</v>
      </c>
      <c r="T1179" s="1">
        <f ca="1">IFERROR(__xludf.DUMMYFUNCTION("""COMPUTED_VALUE"""),1)</f>
        <v>1</v>
      </c>
      <c r="U1179" s="1" t="str">
        <f ca="1">IFERROR(__xludf.DUMMYFUNCTION("""COMPUTED_VALUE"""),"Two teens shot in front of the school")</f>
        <v>Two teens shot in front of the school</v>
      </c>
      <c r="V1179" s="1" t="str">
        <f ca="1">IFERROR(__xludf.DUMMYFUNCTION("""COMPUTED_VALUE"""),"A 13-year-old and 18-year-old were shot in front of the school. Shooter fled the scene. 16-year-old shooter was arrested on 8/17/2019 and charged. Shooter was visiting from Connecticut and not a student at the school.")</f>
        <v>A 13-year-old and 18-year-old were shot in front of the school. Shooter fled the scene. 16-year-old shooter was arrested on 8/17/2019 and charged. Shooter was visiting from Connecticut and not a student at the school.</v>
      </c>
      <c r="W1179" s="1"/>
      <c r="X1179" s="1"/>
      <c r="Y1179" s="1" t="str">
        <f ca="1">IFERROR(__xludf.DUMMYFUNCTION("""COMPUTED_VALUE"""),"No")</f>
        <v>No</v>
      </c>
      <c r="Z1179" s="1"/>
      <c r="AA1179" s="1" t="str">
        <f ca="1">IFERROR(__xludf.DUMMYFUNCTION("""COMPUTED_VALUE"""),"No")</f>
        <v>No</v>
      </c>
      <c r="AB1179" s="1" t="str">
        <f ca="1">IFERROR(__xludf.DUMMYFUNCTION("""COMPUTED_VALUE"""),"No")</f>
        <v>No</v>
      </c>
      <c r="AC1179" s="1" t="str">
        <f ca="1">IFERROR(__xludf.DUMMYFUNCTION("""COMPUTED_VALUE"""),"No")</f>
        <v>No</v>
      </c>
      <c r="AD1179" s="1" t="str">
        <f ca="1">IFERROR(__xludf.DUMMYFUNCTION("""COMPUTED_VALUE"""),"No")</f>
        <v>No</v>
      </c>
      <c r="AE1179" s="1" t="str">
        <f ca="1">IFERROR(__xludf.DUMMYFUNCTION("""COMPUTED_VALUE"""),"No")</f>
        <v>No</v>
      </c>
      <c r="AF1179" s="1"/>
      <c r="AG1179" s="1" t="str">
        <f ca="1">IFERROR(__xludf.DUMMYFUNCTION("""COMPUTED_VALUE"""),"No")</f>
        <v>No</v>
      </c>
      <c r="AH1179" s="1"/>
    </row>
    <row r="1180" spans="1:34" ht="12.5">
      <c r="A1180" s="1" t="str">
        <f ca="1">IFERROR(__xludf.DUMMYFUNCTION("""COMPUTED_VALUE"""),"20190808ALBLM")</f>
        <v>20190808ALBLM</v>
      </c>
      <c r="B1180" s="1">
        <f ca="1">IFERROR(__xludf.DUMMYFUNCTION("""COMPUTED_VALUE"""),8)</f>
        <v>8</v>
      </c>
      <c r="C1180" s="1">
        <f ca="1">IFERROR(__xludf.DUMMYFUNCTION("""COMPUTED_VALUE"""),8)</f>
        <v>8</v>
      </c>
      <c r="D1180" s="1">
        <f ca="1">IFERROR(__xludf.DUMMYFUNCTION("""COMPUTED_VALUE"""),2019)</f>
        <v>2019</v>
      </c>
      <c r="E1180" s="4">
        <f ca="1">IFERROR(__xludf.DUMMYFUNCTION("""COMPUTED_VALUE"""),43685)</f>
        <v>43685</v>
      </c>
      <c r="F1180" s="1" t="str">
        <f ca="1">IFERROR(__xludf.DUMMYFUNCTION("""COMPUTED_VALUE"""),"Blount Elementary School")</f>
        <v>Blount Elementary School</v>
      </c>
      <c r="G1180" s="1">
        <f ca="1">IFERROR(__xludf.DUMMYFUNCTION("""COMPUTED_VALUE"""),0)</f>
        <v>0</v>
      </c>
      <c r="H1180" s="1">
        <f ca="1">IFERROR(__xludf.DUMMYFUNCTION("""COMPUTED_VALUE"""),0)</f>
        <v>0</v>
      </c>
      <c r="I1180" s="1">
        <f ca="1">IFERROR(__xludf.DUMMYFUNCTION("""COMPUTED_VALUE"""),0)</f>
        <v>0</v>
      </c>
      <c r="J1180" s="1">
        <f ca="1">IFERROR(__xludf.DUMMYFUNCTION("""COMPUTED_VALUE"""),0)</f>
        <v>0</v>
      </c>
      <c r="K1180" s="1" t="str">
        <f ca="1">IFERROR(__xludf.DUMMYFUNCTION("""COMPUTED_VALUE"""),"Summer")</f>
        <v>Summer</v>
      </c>
      <c r="L1180" s="1" t="str">
        <f ca="1">IFERROR(__xludf.DUMMYFUNCTION("""COMPUTED_VALUE"""),"Montgomery")</f>
        <v>Montgomery</v>
      </c>
      <c r="M1180" s="1" t="str">
        <f ca="1">IFERROR(__xludf.DUMMYFUNCTION("""COMPUTED_VALUE"""),"AL")</f>
        <v>AL</v>
      </c>
      <c r="N1180" s="1" t="str">
        <f ca="1">IFERROR(__xludf.DUMMYFUNCTION("""COMPUTED_VALUE"""),"Elementary")</f>
        <v>Elementary</v>
      </c>
      <c r="O1180" s="1" t="str">
        <f ca="1">IFERROR(__xludf.DUMMYFUNCTION("""COMPUTED_VALUE"""),"Parking Lot")</f>
        <v>Parking Lot</v>
      </c>
      <c r="P1180" s="1" t="str">
        <f ca="1">IFERROR(__xludf.DUMMYFUNCTION("""COMPUTED_VALUE"""),"Outside on School Property")</f>
        <v>Outside on School Property</v>
      </c>
      <c r="Q1180" s="1" t="str">
        <f ca="1">IFERROR(__xludf.DUMMYFUNCTION("""COMPUTED_VALUE"""),"Yes")</f>
        <v>Yes</v>
      </c>
      <c r="R1180" s="1" t="str">
        <f ca="1">IFERROR(__xludf.DUMMYFUNCTION("""COMPUTED_VALUE"""),"School Start")</f>
        <v>School Start</v>
      </c>
      <c r="S1180" s="5">
        <f ca="1">IFERROR(__xludf.DUMMYFUNCTION("""COMPUTED_VALUE"""),0.3125)</f>
        <v>0.3125</v>
      </c>
      <c r="T1180" s="1">
        <f ca="1">IFERROR(__xludf.DUMMYFUNCTION("""COMPUTED_VALUE"""),1)</f>
        <v>1</v>
      </c>
      <c r="U1180" s="1" t="str">
        <f ca="1">IFERROR(__xludf.DUMMYFUNCTION("""COMPUTED_VALUE"""),"Adult male fired shots in school parking lot during road rage incident")</f>
        <v>Adult male fired shots in school parking lot during road rage incident</v>
      </c>
      <c r="V1180" s="1" t="str">
        <f ca="1">IFERROR(__xludf.DUMMYFUNCTION("""COMPUTED_VALUE"""),"38YOM fired shot at another adult male in a vehicle in the school parking lot during a dispute police described as a ""road rage"" incident. Shooter entered the school and surrendered the weapon to school staff members then waited for police to arrive. Sc"&amp;"hool was locked down. Court ordered shooter to attend mental health treatment following incident. Shooter held without bond after trying to escape from the mental health facility.")</f>
        <v>38YOM fired shot at another adult male in a vehicle in the school parking lot during a dispute police described as a "road rage" incident. Shooter entered the school and surrendered the weapon to school staff members then waited for police to arrive. School was locked down. Court ordered shooter to attend mental health treatment following incident. Shooter held without bond after trying to escape from the mental health facility.</v>
      </c>
      <c r="W1180" s="1" t="str">
        <f ca="1">IFERROR(__xludf.DUMMYFUNCTION("""COMPUTED_VALUE"""),"Escalation of Dispute")</f>
        <v>Escalation of Dispute</v>
      </c>
      <c r="X1180" s="1" t="str">
        <f ca="1">IFERROR(__xludf.DUMMYFUNCTION("""COMPUTED_VALUE"""),"Victims Targeted")</f>
        <v>Victims Targeted</v>
      </c>
      <c r="Y1180" s="1" t="str">
        <f ca="1">IFERROR(__xludf.DUMMYFUNCTION("""COMPUTED_VALUE"""),"No")</f>
        <v>No</v>
      </c>
      <c r="Z1180" s="1"/>
      <c r="AA1180" s="1" t="str">
        <f ca="1">IFERROR(__xludf.DUMMYFUNCTION("""COMPUTED_VALUE"""),"No")</f>
        <v>No</v>
      </c>
      <c r="AB1180" s="1" t="str">
        <f ca="1">IFERROR(__xludf.DUMMYFUNCTION("""COMPUTED_VALUE"""),"No")</f>
        <v>No</v>
      </c>
      <c r="AC1180" s="1" t="str">
        <f ca="1">IFERROR(__xludf.DUMMYFUNCTION("""COMPUTED_VALUE"""),"No")</f>
        <v>No</v>
      </c>
      <c r="AD1180" s="1" t="str">
        <f ca="1">IFERROR(__xludf.DUMMYFUNCTION("""COMPUTED_VALUE"""),"No")</f>
        <v>No</v>
      </c>
      <c r="AE1180" s="1" t="str">
        <f ca="1">IFERROR(__xludf.DUMMYFUNCTION("""COMPUTED_VALUE"""),"No")</f>
        <v>No</v>
      </c>
      <c r="AF1180" s="1" t="str">
        <f ca="1">IFERROR(__xludf.DUMMYFUNCTION("""COMPUTED_VALUE"""),"No")</f>
        <v>No</v>
      </c>
      <c r="AG1180" s="1" t="str">
        <f ca="1">IFERROR(__xludf.DUMMYFUNCTION("""COMPUTED_VALUE"""),"No")</f>
        <v>No</v>
      </c>
      <c r="AH1180" s="1" t="str">
        <f ca="1">IFERROR(__xludf.DUMMYFUNCTION("""COMPUTED_VALUE"""),"&lt;10")</f>
        <v>&lt;10</v>
      </c>
    </row>
    <row r="1181" spans="1:34" ht="12.5">
      <c r="A1181" s="1" t="str">
        <f ca="1">IFERROR(__xludf.DUMMYFUNCTION("""COMPUTED_VALUE"""),"20190719CAMOS")</f>
        <v>20190719CAMOS</v>
      </c>
      <c r="B1181" s="1">
        <f ca="1">IFERROR(__xludf.DUMMYFUNCTION("""COMPUTED_VALUE"""),7)</f>
        <v>7</v>
      </c>
      <c r="C1181" s="1">
        <f ca="1">IFERROR(__xludf.DUMMYFUNCTION("""COMPUTED_VALUE"""),19)</f>
        <v>19</v>
      </c>
      <c r="D1181" s="1">
        <f ca="1">IFERROR(__xludf.DUMMYFUNCTION("""COMPUTED_VALUE"""),2019)</f>
        <v>2019</v>
      </c>
      <c r="E1181" s="4">
        <f ca="1">IFERROR(__xludf.DUMMYFUNCTION("""COMPUTED_VALUE"""),43665)</f>
        <v>43665</v>
      </c>
      <c r="F1181" s="1" t="str">
        <f ca="1">IFERROR(__xludf.DUMMYFUNCTION("""COMPUTED_VALUE"""),"Monroe Clark Middle School")</f>
        <v>Monroe Clark Middle School</v>
      </c>
      <c r="G1181" s="1">
        <f ca="1">IFERROR(__xludf.DUMMYFUNCTION("""COMPUTED_VALUE"""),0)</f>
        <v>0</v>
      </c>
      <c r="H1181" s="1">
        <f ca="1">IFERROR(__xludf.DUMMYFUNCTION("""COMPUTED_VALUE"""),0)</f>
        <v>0</v>
      </c>
      <c r="I1181" s="1">
        <f ca="1">IFERROR(__xludf.DUMMYFUNCTION("""COMPUTED_VALUE"""),0)</f>
        <v>0</v>
      </c>
      <c r="J1181" s="1">
        <f ca="1">IFERROR(__xludf.DUMMYFUNCTION("""COMPUTED_VALUE"""),0)</f>
        <v>0</v>
      </c>
      <c r="K1181" s="1" t="str">
        <f ca="1">IFERROR(__xludf.DUMMYFUNCTION("""COMPUTED_VALUE"""),"Summer")</f>
        <v>Summer</v>
      </c>
      <c r="L1181" s="1" t="str">
        <f ca="1">IFERROR(__xludf.DUMMYFUNCTION("""COMPUTED_VALUE"""),"San Diego")</f>
        <v>San Diego</v>
      </c>
      <c r="M1181" s="1" t="str">
        <f ca="1">IFERROR(__xludf.DUMMYFUNCTION("""COMPUTED_VALUE"""),"CA")</f>
        <v>CA</v>
      </c>
      <c r="N1181" s="1" t="str">
        <f ca="1">IFERROR(__xludf.DUMMYFUNCTION("""COMPUTED_VALUE"""),"Middle")</f>
        <v>Middle</v>
      </c>
      <c r="O1181" s="1" t="str">
        <f ca="1">IFERROR(__xludf.DUMMYFUNCTION("""COMPUTED_VALUE"""),"Front of School")</f>
        <v>Front of School</v>
      </c>
      <c r="P1181" s="1" t="str">
        <f ca="1">IFERROR(__xludf.DUMMYFUNCTION("""COMPUTED_VALUE"""),"Outside on School Property")</f>
        <v>Outside on School Property</v>
      </c>
      <c r="Q1181" s="1" t="str">
        <f ca="1">IFERROR(__xludf.DUMMYFUNCTION("""COMPUTED_VALUE"""),"Yes")</f>
        <v>Yes</v>
      </c>
      <c r="R1181" s="1" t="str">
        <f ca="1">IFERROR(__xludf.DUMMYFUNCTION("""COMPUTED_VALUE"""),"Morning Classes")</f>
        <v>Morning Classes</v>
      </c>
      <c r="S1181" s="5">
        <f ca="1">IFERROR(__xludf.DUMMYFUNCTION("""COMPUTED_VALUE"""),0.496527777777777)</f>
        <v>0.49652777777777701</v>
      </c>
      <c r="T1181" s="1">
        <f ca="1">IFERROR(__xludf.DUMMYFUNCTION("""COMPUTED_VALUE"""),1)</f>
        <v>1</v>
      </c>
      <c r="U1181" s="1" t="str">
        <f ca="1">IFERROR(__xludf.DUMMYFUNCTION("""COMPUTED_VALUE"""),"Teen fired BB's at school building then fled")</f>
        <v>Teen fired BB's at school building then fled</v>
      </c>
      <c r="V1181" s="1" t="str">
        <f ca="1">IFERROR(__xludf.DUMMYFUNCTION("""COMPUTED_VALUE"""),"Teen in sweatshirt was seen firing BB's at the school building. School was locked down. Teen fled the area and police were unable to locate a suspect. School was locked down for 1 hour.")</f>
        <v>Teen in sweatshirt was seen firing BB's at the school building. School was locked down. Teen fled the area and police were unable to locate a suspect. School was locked down for 1 hour.</v>
      </c>
      <c r="W1181" s="1" t="str">
        <f ca="1">IFERROR(__xludf.DUMMYFUNCTION("""COMPUTED_VALUE"""),"Intentional Property Damage")</f>
        <v>Intentional Property Damage</v>
      </c>
      <c r="X1181" s="1" t="str">
        <f ca="1">IFERROR(__xludf.DUMMYFUNCTION("""COMPUTED_VALUE"""),"Neither")</f>
        <v>Neither</v>
      </c>
      <c r="Y1181" s="1" t="str">
        <f ca="1">IFERROR(__xludf.DUMMYFUNCTION("""COMPUTED_VALUE"""),"No")</f>
        <v>No</v>
      </c>
      <c r="Z1181" s="1"/>
      <c r="AA1181" s="1" t="str">
        <f ca="1">IFERROR(__xludf.DUMMYFUNCTION("""COMPUTED_VALUE"""),"No")</f>
        <v>No</v>
      </c>
      <c r="AB1181" s="1" t="str">
        <f ca="1">IFERROR(__xludf.DUMMYFUNCTION("""COMPUTED_VALUE"""),"No")</f>
        <v>No</v>
      </c>
      <c r="AC1181" s="1" t="str">
        <f ca="1">IFERROR(__xludf.DUMMYFUNCTION("""COMPUTED_VALUE"""),"No")</f>
        <v>No</v>
      </c>
      <c r="AD1181" s="1" t="str">
        <f ca="1">IFERROR(__xludf.DUMMYFUNCTION("""COMPUTED_VALUE"""),"No")</f>
        <v>No</v>
      </c>
      <c r="AE1181" s="1" t="str">
        <f ca="1">IFERROR(__xludf.DUMMYFUNCTION("""COMPUTED_VALUE"""),"No")</f>
        <v>No</v>
      </c>
      <c r="AF1181" s="1" t="str">
        <f ca="1">IFERROR(__xludf.DUMMYFUNCTION("""COMPUTED_VALUE"""),"No")</f>
        <v>No</v>
      </c>
      <c r="AG1181" s="1" t="str">
        <f ca="1">IFERROR(__xludf.DUMMYFUNCTION("""COMPUTED_VALUE"""),"No")</f>
        <v>No</v>
      </c>
      <c r="AH1181" s="1"/>
    </row>
    <row r="1182" spans="1:34" ht="12.5">
      <c r="A1182" s="1" t="str">
        <f ca="1">IFERROR(__xludf.DUMMYFUNCTION("""COMPUTED_VALUE"""),"20190711CTBUH")</f>
        <v>20190711CTBUH</v>
      </c>
      <c r="B1182" s="1">
        <f ca="1">IFERROR(__xludf.DUMMYFUNCTION("""COMPUTED_VALUE"""),7)</f>
        <v>7</v>
      </c>
      <c r="C1182" s="1">
        <f ca="1">IFERROR(__xludf.DUMMYFUNCTION("""COMPUTED_VALUE"""),11)</f>
        <v>11</v>
      </c>
      <c r="D1182" s="1">
        <f ca="1">IFERROR(__xludf.DUMMYFUNCTION("""COMPUTED_VALUE"""),2019)</f>
        <v>2019</v>
      </c>
      <c r="E1182" s="4">
        <f ca="1">IFERROR(__xludf.DUMMYFUNCTION("""COMPUTED_VALUE"""),43657)</f>
        <v>43657</v>
      </c>
      <c r="F1182" s="1" t="str">
        <f ca="1">IFERROR(__xludf.DUMMYFUNCTION("""COMPUTED_VALUE"""),"Bulkeley High School")</f>
        <v>Bulkeley High School</v>
      </c>
      <c r="G1182" s="1">
        <f ca="1">IFERROR(__xludf.DUMMYFUNCTION("""COMPUTED_VALUE"""),1)</f>
        <v>1</v>
      </c>
      <c r="H1182" s="1">
        <f ca="1">IFERROR(__xludf.DUMMYFUNCTION("""COMPUTED_VALUE"""),0)</f>
        <v>0</v>
      </c>
      <c r="I1182" s="1">
        <f ca="1">IFERROR(__xludf.DUMMYFUNCTION("""COMPUTED_VALUE"""),1)</f>
        <v>1</v>
      </c>
      <c r="J1182" s="1">
        <f ca="1">IFERROR(__xludf.DUMMYFUNCTION("""COMPUTED_VALUE"""),0)</f>
        <v>0</v>
      </c>
      <c r="K1182" s="1" t="str">
        <f ca="1">IFERROR(__xludf.DUMMYFUNCTION("""COMPUTED_VALUE"""),"Summer")</f>
        <v>Summer</v>
      </c>
      <c r="L1182" s="1" t="str">
        <f ca="1">IFERROR(__xludf.DUMMYFUNCTION("""COMPUTED_VALUE"""),"Hartford")</f>
        <v>Hartford</v>
      </c>
      <c r="M1182" s="1" t="str">
        <f ca="1">IFERROR(__xludf.DUMMYFUNCTION("""COMPUTED_VALUE"""),"CT")</f>
        <v>CT</v>
      </c>
      <c r="N1182" s="1" t="str">
        <f ca="1">IFERROR(__xludf.DUMMYFUNCTION("""COMPUTED_VALUE"""),"High")</f>
        <v>High</v>
      </c>
      <c r="O1182" s="1" t="str">
        <f ca="1">IFERROR(__xludf.DUMMYFUNCTION("""COMPUTED_VALUE"""),"Beside Building")</f>
        <v>Beside Building</v>
      </c>
      <c r="P1182" s="1" t="str">
        <f ca="1">IFERROR(__xludf.DUMMYFUNCTION("""COMPUTED_VALUE"""),"Outside on School Property")</f>
        <v>Outside on School Property</v>
      </c>
      <c r="Q1182" s="1" t="str">
        <f ca="1">IFERROR(__xludf.DUMMYFUNCTION("""COMPUTED_VALUE"""),"No")</f>
        <v>No</v>
      </c>
      <c r="R1182" s="1" t="str">
        <f ca="1">IFERROR(__xludf.DUMMYFUNCTION("""COMPUTED_VALUE"""),"Not a School Day")</f>
        <v>Not a School Day</v>
      </c>
      <c r="S1182" s="5">
        <f ca="1">IFERROR(__xludf.DUMMYFUNCTION("""COMPUTED_VALUE"""),0.5)</f>
        <v>0.5</v>
      </c>
      <c r="T1182" s="1">
        <f ca="1">IFERROR(__xludf.DUMMYFUNCTION("""COMPUTED_VALUE"""),1)</f>
        <v>1</v>
      </c>
      <c r="U1182" s="1" t="str">
        <f ca="1">IFERROR(__xludf.DUMMYFUNCTION("""COMPUTED_VALUE"""),"Two women in car chased victim onto school property then shot and killed him")</f>
        <v>Two women in car chased victim onto school property then shot and killed him</v>
      </c>
      <c r="V1182" s="1" t="str">
        <f ca="1">IFERROR(__xludf.DUMMYFUNCTION("""COMPUTED_VALUE"""),"Two adult females in vehicle chased victim on bicycle onto school property where they shot and killed him. Motive not released.")</f>
        <v>Two adult females in vehicle chased victim on bicycle onto school property where they shot and killed him. Motive not released.</v>
      </c>
      <c r="W1182" s="1" t="str">
        <f ca="1">IFERROR(__xludf.DUMMYFUNCTION("""COMPUTED_VALUE"""),"Drive-by Shooting")</f>
        <v>Drive-by Shooting</v>
      </c>
      <c r="X1182" s="1" t="str">
        <f ca="1">IFERROR(__xludf.DUMMYFUNCTION("""COMPUTED_VALUE"""),"Victims Targeted")</f>
        <v>Victims Targeted</v>
      </c>
      <c r="Y1182" s="1" t="str">
        <f ca="1">IFERROR(__xludf.DUMMYFUNCTION("""COMPUTED_VALUE"""),"Yes")</f>
        <v>Yes</v>
      </c>
      <c r="Z1182" s="1" t="str">
        <f ca="1">IFERROR(__xludf.DUMMYFUNCTION("""COMPUTED_VALUE"""),"Taichany Osorio drove vehicle, charged with conspiracy to commit murder")</f>
        <v>Taichany Osorio drove vehicle, charged with conspiracy to commit murder</v>
      </c>
      <c r="AA1182" s="1" t="str">
        <f ca="1">IFERROR(__xludf.DUMMYFUNCTION("""COMPUTED_VALUE"""),"No")</f>
        <v>No</v>
      </c>
      <c r="AB1182" s="1" t="str">
        <f ca="1">IFERROR(__xludf.DUMMYFUNCTION("""COMPUTED_VALUE"""),"No")</f>
        <v>No</v>
      </c>
      <c r="AC1182" s="1" t="str">
        <f ca="1">IFERROR(__xludf.DUMMYFUNCTION("""COMPUTED_VALUE"""),"No")</f>
        <v>No</v>
      </c>
      <c r="AD1182" s="1" t="str">
        <f ca="1">IFERROR(__xludf.DUMMYFUNCTION("""COMPUTED_VALUE"""),"No")</f>
        <v>No</v>
      </c>
      <c r="AE1182" s="1" t="str">
        <f ca="1">IFERROR(__xludf.DUMMYFUNCTION("""COMPUTED_VALUE"""),"No")</f>
        <v>No</v>
      </c>
      <c r="AF1182" s="1"/>
      <c r="AG1182" s="1" t="str">
        <f ca="1">IFERROR(__xludf.DUMMYFUNCTION("""COMPUTED_VALUE"""),"No")</f>
        <v>No</v>
      </c>
      <c r="AH1182" s="1"/>
    </row>
    <row r="1183" spans="1:34" ht="12.5">
      <c r="A1183" s="1" t="str">
        <f ca="1">IFERROR(__xludf.DUMMYFUNCTION("""COMPUTED_VALUE"""),"20190702AKWIA")</f>
        <v>20190702AKWIA</v>
      </c>
      <c r="B1183" s="1">
        <f ca="1">IFERROR(__xludf.DUMMYFUNCTION("""COMPUTED_VALUE"""),7)</f>
        <v>7</v>
      </c>
      <c r="C1183" s="1">
        <f ca="1">IFERROR(__xludf.DUMMYFUNCTION("""COMPUTED_VALUE"""),2)</f>
        <v>2</v>
      </c>
      <c r="D1183" s="1">
        <f ca="1">IFERROR(__xludf.DUMMYFUNCTION("""COMPUTED_VALUE"""),2019)</f>
        <v>2019</v>
      </c>
      <c r="E1183" s="4">
        <f ca="1">IFERROR(__xludf.DUMMYFUNCTION("""COMPUTED_VALUE"""),43648)</f>
        <v>43648</v>
      </c>
      <c r="F1183" s="1" t="str">
        <f ca="1">IFERROR(__xludf.DUMMYFUNCTION("""COMPUTED_VALUE"""),"Williwaw Elementary School")</f>
        <v>Williwaw Elementary School</v>
      </c>
      <c r="G1183" s="1">
        <f ca="1">IFERROR(__xludf.DUMMYFUNCTION("""COMPUTED_VALUE"""),0)</f>
        <v>0</v>
      </c>
      <c r="H1183" s="1">
        <f ca="1">IFERROR(__xludf.DUMMYFUNCTION("""COMPUTED_VALUE"""),1)</f>
        <v>1</v>
      </c>
      <c r="I1183" s="1">
        <f ca="1">IFERROR(__xludf.DUMMYFUNCTION("""COMPUTED_VALUE"""),1)</f>
        <v>1</v>
      </c>
      <c r="J1183" s="1">
        <f ca="1">IFERROR(__xludf.DUMMYFUNCTION("""COMPUTED_VALUE"""),0)</f>
        <v>0</v>
      </c>
      <c r="K1183" s="1" t="str">
        <f ca="1">IFERROR(__xludf.DUMMYFUNCTION("""COMPUTED_VALUE"""),"Summer")</f>
        <v>Summer</v>
      </c>
      <c r="L1183" s="1" t="str">
        <f ca="1">IFERROR(__xludf.DUMMYFUNCTION("""COMPUTED_VALUE"""),"Anchorage")</f>
        <v>Anchorage</v>
      </c>
      <c r="M1183" s="1" t="str">
        <f ca="1">IFERROR(__xludf.DUMMYFUNCTION("""COMPUTED_VALUE"""),"AK")</f>
        <v>AK</v>
      </c>
      <c r="N1183" s="1" t="str">
        <f ca="1">IFERROR(__xludf.DUMMYFUNCTION("""COMPUTED_VALUE"""),"Elementary")</f>
        <v>Elementary</v>
      </c>
      <c r="O1183" s="1" t="str">
        <f ca="1">IFERROR(__xludf.DUMMYFUNCTION("""COMPUTED_VALUE"""),"Basketball Court")</f>
        <v>Basketball Court</v>
      </c>
      <c r="P1183" s="1" t="str">
        <f ca="1">IFERROR(__xludf.DUMMYFUNCTION("""COMPUTED_VALUE"""),"Outside on School Property")</f>
        <v>Outside on School Property</v>
      </c>
      <c r="Q1183" s="1" t="str">
        <f ca="1">IFERROR(__xludf.DUMMYFUNCTION("""COMPUTED_VALUE"""),"No")</f>
        <v>No</v>
      </c>
      <c r="R1183" s="1" t="str">
        <f ca="1">IFERROR(__xludf.DUMMYFUNCTION("""COMPUTED_VALUE"""),"Evening")</f>
        <v>Evening</v>
      </c>
      <c r="S1183" s="5">
        <f ca="1">IFERROR(__xludf.DUMMYFUNCTION("""COMPUTED_VALUE"""),0.782638888888888)</f>
        <v>0.782638888888888</v>
      </c>
      <c r="T1183" s="1">
        <f ca="1">IFERROR(__xludf.DUMMYFUNCTION("""COMPUTED_VALUE"""),1)</f>
        <v>1</v>
      </c>
      <c r="U1183" s="1" t="str">
        <f ca="1">IFERROR(__xludf.DUMMYFUNCTION("""COMPUTED_VALUE"""),"Teen shot on basketball court after altercation")</f>
        <v>Teen shot on basketball court after altercation</v>
      </c>
      <c r="V1183" s="1" t="str">
        <f ca="1">IFERROR(__xludf.DUMMYFUNCTION("""COMPUTED_VALUE"""),"Unnamed teen was shot on basketball court of school after a dispute involving multiple people. Shooter fled the scene.")</f>
        <v>Unnamed teen was shot on basketball court of school after a dispute involving multiple people. Shooter fled the scene.</v>
      </c>
      <c r="W1183" s="1" t="str">
        <f ca="1">IFERROR(__xludf.DUMMYFUNCTION("""COMPUTED_VALUE"""),"Escalation of Dispute")</f>
        <v>Escalation of Dispute</v>
      </c>
      <c r="X1183" s="1"/>
      <c r="Y1183" s="1"/>
      <c r="Z1183" s="1"/>
      <c r="AA1183" s="1" t="str">
        <f ca="1">IFERROR(__xludf.DUMMYFUNCTION("""COMPUTED_VALUE"""),"No")</f>
        <v>No</v>
      </c>
      <c r="AB1183" s="1" t="str">
        <f ca="1">IFERROR(__xludf.DUMMYFUNCTION("""COMPUTED_VALUE"""),"No")</f>
        <v>No</v>
      </c>
      <c r="AC1183" s="1" t="str">
        <f ca="1">IFERROR(__xludf.DUMMYFUNCTION("""COMPUTED_VALUE"""),"No")</f>
        <v>No</v>
      </c>
      <c r="AD1183" s="1" t="str">
        <f ca="1">IFERROR(__xludf.DUMMYFUNCTION("""COMPUTED_VALUE"""),"No")</f>
        <v>No</v>
      </c>
      <c r="AE1183" s="1" t="str">
        <f ca="1">IFERROR(__xludf.DUMMYFUNCTION("""COMPUTED_VALUE"""),"No")</f>
        <v>No</v>
      </c>
      <c r="AF1183" s="1" t="str">
        <f ca="1">IFERROR(__xludf.DUMMYFUNCTION("""COMPUTED_VALUE"""),"No")</f>
        <v>No</v>
      </c>
      <c r="AG1183" s="1" t="str">
        <f ca="1">IFERROR(__xludf.DUMMYFUNCTION("""COMPUTED_VALUE"""),"No")</f>
        <v>No</v>
      </c>
      <c r="AH1183" s="1" t="str">
        <f ca="1">IFERROR(__xludf.DUMMYFUNCTION("""COMPUTED_VALUE"""),"&lt;10")</f>
        <v>&lt;10</v>
      </c>
    </row>
    <row r="1184" spans="1:34" ht="12.5">
      <c r="A1184" s="1" t="str">
        <f ca="1">IFERROR(__xludf.DUMMYFUNCTION("""COMPUTED_VALUE"""),"20190701NYSCN")</f>
        <v>20190701NYSCN</v>
      </c>
      <c r="B1184" s="1">
        <f ca="1">IFERROR(__xludf.DUMMYFUNCTION("""COMPUTED_VALUE"""),7)</f>
        <v>7</v>
      </c>
      <c r="C1184" s="1">
        <f ca="1">IFERROR(__xludf.DUMMYFUNCTION("""COMPUTED_VALUE"""),1)</f>
        <v>1</v>
      </c>
      <c r="D1184" s="1">
        <f ca="1">IFERROR(__xludf.DUMMYFUNCTION("""COMPUTED_VALUE"""),2019)</f>
        <v>2019</v>
      </c>
      <c r="E1184" s="4">
        <f ca="1">IFERROR(__xludf.DUMMYFUNCTION("""COMPUTED_VALUE"""),43647)</f>
        <v>43647</v>
      </c>
      <c r="F1184" s="1" t="str">
        <f ca="1">IFERROR(__xludf.DUMMYFUNCTION("""COMPUTED_VALUE"""),"School of Science and Applied Learning")</f>
        <v>School of Science and Applied Learning</v>
      </c>
      <c r="G1184" s="1">
        <f ca="1">IFERROR(__xludf.DUMMYFUNCTION("""COMPUTED_VALUE"""),0)</f>
        <v>0</v>
      </c>
      <c r="H1184" s="1">
        <f ca="1">IFERROR(__xludf.DUMMYFUNCTION("""COMPUTED_VALUE"""),1)</f>
        <v>1</v>
      </c>
      <c r="I1184" s="1">
        <f ca="1">IFERROR(__xludf.DUMMYFUNCTION("""COMPUTED_VALUE"""),1)</f>
        <v>1</v>
      </c>
      <c r="J1184" s="1">
        <f ca="1">IFERROR(__xludf.DUMMYFUNCTION("""COMPUTED_VALUE"""),0)</f>
        <v>0</v>
      </c>
      <c r="K1184" s="1" t="str">
        <f ca="1">IFERROR(__xludf.DUMMYFUNCTION("""COMPUTED_VALUE"""),"Summer")</f>
        <v>Summer</v>
      </c>
      <c r="L1184" s="1" t="str">
        <f ca="1">IFERROR(__xludf.DUMMYFUNCTION("""COMPUTED_VALUE"""),"New York")</f>
        <v>New York</v>
      </c>
      <c r="M1184" s="1" t="str">
        <f ca="1">IFERROR(__xludf.DUMMYFUNCTION("""COMPUTED_VALUE"""),"NY")</f>
        <v>NY</v>
      </c>
      <c r="N1184" s="1" t="str">
        <f ca="1">IFERROR(__xludf.DUMMYFUNCTION("""COMPUTED_VALUE"""),"Elementary")</f>
        <v>Elementary</v>
      </c>
      <c r="O1184" s="1" t="str">
        <f ca="1">IFERROR(__xludf.DUMMYFUNCTION("""COMPUTED_VALUE"""),"Playground")</f>
        <v>Playground</v>
      </c>
      <c r="P1184" s="1" t="str">
        <f ca="1">IFERROR(__xludf.DUMMYFUNCTION("""COMPUTED_VALUE"""),"Outside on School Property")</f>
        <v>Outside on School Property</v>
      </c>
      <c r="Q1184" s="1" t="str">
        <f ca="1">IFERROR(__xludf.DUMMYFUNCTION("""COMPUTED_VALUE"""),"No")</f>
        <v>No</v>
      </c>
      <c r="R1184" s="1" t="str">
        <f ca="1">IFERROR(__xludf.DUMMYFUNCTION("""COMPUTED_VALUE"""),"Night")</f>
        <v>Night</v>
      </c>
      <c r="S1184" s="5">
        <f ca="1">IFERROR(__xludf.DUMMYFUNCTION("""COMPUTED_VALUE"""),0.930555555555555)</f>
        <v>0.93055555555555503</v>
      </c>
      <c r="T1184" s="1">
        <f ca="1">IFERROR(__xludf.DUMMYFUNCTION("""COMPUTED_VALUE"""),1)</f>
        <v>1</v>
      </c>
      <c r="U1184" s="1" t="str">
        <f ca="1">IFERROR(__xludf.DUMMYFUNCTION("""COMPUTED_VALUE"""),"Cab driver shot 13YOM who had previously robbed him at the school playground")</f>
        <v>Cab driver shot 13YOM who had previously robbed him at the school playground</v>
      </c>
      <c r="V1184" s="1" t="str">
        <f ca="1">IFERROR(__xludf.DUMMYFUNCTION("""COMPUTED_VALUE"""),"Group of teens were involved in multiple robberies of cab driver. A cab driver who had been robbed previously shot at 13YOM involved with the robberies while he was on the school playground. Victim was shot in chest. Shooter fled the area. School had inst"&amp;"alled fences to keep teens from loitering on the school property after hours but the teens climbed over the fence.")</f>
        <v>Group of teens were involved in multiple robberies of cab driver. A cab driver who had been robbed previously shot at 13YOM involved with the robberies while he was on the school playground. Victim was shot in chest. Shooter fled the area. School had installed fences to keep teens from loitering on the school property after hours but the teens climbed over the fence.</v>
      </c>
      <c r="W1184" s="1" t="str">
        <f ca="1">IFERROR(__xludf.DUMMYFUNCTION("""COMPUTED_VALUE"""),"Illegal Activity")</f>
        <v>Illegal Activity</v>
      </c>
      <c r="X1184" s="1" t="str">
        <f ca="1">IFERROR(__xludf.DUMMYFUNCTION("""COMPUTED_VALUE"""),"Victims Targeted")</f>
        <v>Victims Targeted</v>
      </c>
      <c r="Y1184" s="1" t="str">
        <f ca="1">IFERROR(__xludf.DUMMYFUNCTION("""COMPUTED_VALUE"""),"No")</f>
        <v>No</v>
      </c>
      <c r="Z1184" s="1"/>
      <c r="AA1184" s="1" t="str">
        <f ca="1">IFERROR(__xludf.DUMMYFUNCTION("""COMPUTED_VALUE"""),"No")</f>
        <v>No</v>
      </c>
      <c r="AB1184" s="1" t="str">
        <f ca="1">IFERROR(__xludf.DUMMYFUNCTION("""COMPUTED_VALUE"""),"No")</f>
        <v>No</v>
      </c>
      <c r="AC1184" s="1" t="str">
        <f ca="1">IFERROR(__xludf.DUMMYFUNCTION("""COMPUTED_VALUE"""),"No")</f>
        <v>No</v>
      </c>
      <c r="AD1184" s="1" t="str">
        <f ca="1">IFERROR(__xludf.DUMMYFUNCTION("""COMPUTED_VALUE"""),"No")</f>
        <v>No</v>
      </c>
      <c r="AE1184" s="1" t="str">
        <f ca="1">IFERROR(__xludf.DUMMYFUNCTION("""COMPUTED_VALUE"""),"No")</f>
        <v>No</v>
      </c>
      <c r="AF1184" s="1" t="str">
        <f ca="1">IFERROR(__xludf.DUMMYFUNCTION("""COMPUTED_VALUE"""),"No")</f>
        <v>No</v>
      </c>
      <c r="AG1184" s="1" t="str">
        <f ca="1">IFERROR(__xludf.DUMMYFUNCTION("""COMPUTED_VALUE"""),"No")</f>
        <v>No</v>
      </c>
      <c r="AH1184" s="1" t="str">
        <f ca="1">IFERROR(__xludf.DUMMYFUNCTION("""COMPUTED_VALUE"""),"&lt;10")</f>
        <v>&lt;10</v>
      </c>
    </row>
    <row r="1185" spans="1:34" ht="12.5">
      <c r="A1185" s="1" t="str">
        <f ca="1">IFERROR(__xludf.DUMMYFUNCTION("""COMPUTED_VALUE"""),"20190629COJAC")</f>
        <v>20190629COJAC</v>
      </c>
      <c r="B1185" s="1">
        <f ca="1">IFERROR(__xludf.DUMMYFUNCTION("""COMPUTED_VALUE"""),6)</f>
        <v>6</v>
      </c>
      <c r="C1185" s="1">
        <f ca="1">IFERROR(__xludf.DUMMYFUNCTION("""COMPUTED_VALUE"""),29)</f>
        <v>29</v>
      </c>
      <c r="D1185" s="1">
        <f ca="1">IFERROR(__xludf.DUMMYFUNCTION("""COMPUTED_VALUE"""),2019)</f>
        <v>2019</v>
      </c>
      <c r="E1185" s="4">
        <f ca="1">IFERROR(__xludf.DUMMYFUNCTION("""COMPUTED_VALUE"""),43645)</f>
        <v>43645</v>
      </c>
      <c r="F1185" s="1" t="str">
        <f ca="1">IFERROR(__xludf.DUMMYFUNCTION("""COMPUTED_VALUE"""),"Jack Swigert Aerospace Academy")</f>
        <v>Jack Swigert Aerospace Academy</v>
      </c>
      <c r="G1185" s="1">
        <f ca="1">IFERROR(__xludf.DUMMYFUNCTION("""COMPUTED_VALUE"""),2)</f>
        <v>2</v>
      </c>
      <c r="H1185" s="1">
        <f ca="1">IFERROR(__xludf.DUMMYFUNCTION("""COMPUTED_VALUE"""),0)</f>
        <v>0</v>
      </c>
      <c r="I1185" s="1">
        <f ca="1">IFERROR(__xludf.DUMMYFUNCTION("""COMPUTED_VALUE"""),2)</f>
        <v>2</v>
      </c>
      <c r="J1185" s="1">
        <f ca="1">IFERROR(__xludf.DUMMYFUNCTION("""COMPUTED_VALUE"""),0)</f>
        <v>0</v>
      </c>
      <c r="K1185" s="1" t="str">
        <f ca="1">IFERROR(__xludf.DUMMYFUNCTION("""COMPUTED_VALUE"""),"Summer")</f>
        <v>Summer</v>
      </c>
      <c r="L1185" s="1" t="str">
        <f ca="1">IFERROR(__xludf.DUMMYFUNCTION("""COMPUTED_VALUE"""),"Colorado Springs")</f>
        <v>Colorado Springs</v>
      </c>
      <c r="M1185" s="1" t="str">
        <f ca="1">IFERROR(__xludf.DUMMYFUNCTION("""COMPUTED_VALUE"""),"CO")</f>
        <v>CO</v>
      </c>
      <c r="N1185" s="1" t="str">
        <f ca="1">IFERROR(__xludf.DUMMYFUNCTION("""COMPUTED_VALUE"""),"Elementary")</f>
        <v>Elementary</v>
      </c>
      <c r="O1185" s="1" t="str">
        <f ca="1">IFERROR(__xludf.DUMMYFUNCTION("""COMPUTED_VALUE"""),"Football Field/Track")</f>
        <v>Football Field/Track</v>
      </c>
      <c r="P1185" s="1" t="str">
        <f ca="1">IFERROR(__xludf.DUMMYFUNCTION("""COMPUTED_VALUE"""),"Outside on School Property")</f>
        <v>Outside on School Property</v>
      </c>
      <c r="Q1185" s="1" t="str">
        <f ca="1">IFERROR(__xludf.DUMMYFUNCTION("""COMPUTED_VALUE"""),"No")</f>
        <v>No</v>
      </c>
      <c r="R1185" s="1" t="str">
        <f ca="1">IFERROR(__xludf.DUMMYFUNCTION("""COMPUTED_VALUE"""),"Night")</f>
        <v>Night</v>
      </c>
      <c r="S1185" s="5">
        <f ca="1">IFERROR(__xludf.DUMMYFUNCTION("""COMPUTED_VALUE"""),0.166666666666666)</f>
        <v>0.16666666666666599</v>
      </c>
      <c r="T1185" s="1">
        <f ca="1">IFERROR(__xludf.DUMMYFUNCTION("""COMPUTED_VALUE"""),1)</f>
        <v>1</v>
      </c>
      <c r="U1185" s="1" t="str">
        <f ca="1">IFERROR(__xludf.DUMMYFUNCTION("""COMPUTED_VALUE"""),"Two men shot and killed during fight between two groups on school track")</f>
        <v>Two men shot and killed during fight between two groups on school track</v>
      </c>
      <c r="V1185" s="1" t="str">
        <f ca="1">IFERROR(__xludf.DUMMYFUNCTION("""COMPUTED_VALUE"""),"18YOM and 22 YOM shot and killed during altercation between two groups of males on the track of the school. Shooter and others involved fled the scene.")</f>
        <v>18YOM and 22 YOM shot and killed during altercation between two groups of males on the track of the school. Shooter and others involved fled the scene.</v>
      </c>
      <c r="W1185" s="1" t="str">
        <f ca="1">IFERROR(__xludf.DUMMYFUNCTION("""COMPUTED_VALUE"""),"Escalation of Dispute")</f>
        <v>Escalation of Dispute</v>
      </c>
      <c r="X1185" s="1" t="str">
        <f ca="1">IFERROR(__xludf.DUMMYFUNCTION("""COMPUTED_VALUE"""),"Victims Targeted")</f>
        <v>Victims Targeted</v>
      </c>
      <c r="Y1185" s="1" t="str">
        <f ca="1">IFERROR(__xludf.DUMMYFUNCTION("""COMPUTED_VALUE"""),"Yes")</f>
        <v>Yes</v>
      </c>
      <c r="Z1185" s="1" t="str">
        <f ca="1">IFERROR(__xludf.DUMMYFUNCTION("""COMPUTED_VALUE"""),"Group dispute")</f>
        <v>Group dispute</v>
      </c>
      <c r="AA1185" s="1" t="str">
        <f ca="1">IFERROR(__xludf.DUMMYFUNCTION("""COMPUTED_VALUE"""),"No")</f>
        <v>No</v>
      </c>
      <c r="AB1185" s="1" t="str">
        <f ca="1">IFERROR(__xludf.DUMMYFUNCTION("""COMPUTED_VALUE"""),"No")</f>
        <v>No</v>
      </c>
      <c r="AC1185" s="1" t="str">
        <f ca="1">IFERROR(__xludf.DUMMYFUNCTION("""COMPUTED_VALUE"""),"No")</f>
        <v>No</v>
      </c>
      <c r="AD1185" s="1" t="str">
        <f ca="1">IFERROR(__xludf.DUMMYFUNCTION("""COMPUTED_VALUE"""),"No")</f>
        <v>No</v>
      </c>
      <c r="AE1185" s="1" t="str">
        <f ca="1">IFERROR(__xludf.DUMMYFUNCTION("""COMPUTED_VALUE"""),"No")</f>
        <v>No</v>
      </c>
      <c r="AF1185" s="1" t="str">
        <f ca="1">IFERROR(__xludf.DUMMYFUNCTION("""COMPUTED_VALUE"""),"No")</f>
        <v>No</v>
      </c>
      <c r="AG1185" s="1" t="str">
        <f ca="1">IFERROR(__xludf.DUMMYFUNCTION("""COMPUTED_VALUE"""),"No")</f>
        <v>No</v>
      </c>
      <c r="AH1185" s="1"/>
    </row>
    <row r="1186" spans="1:34" ht="12.5">
      <c r="A1186" s="1" t="str">
        <f ca="1">IFERROR(__xludf.DUMMYFUNCTION("""COMPUTED_VALUE"""),"20190621MICAF")</f>
        <v>20190621MICAF</v>
      </c>
      <c r="B1186" s="1">
        <f ca="1">IFERROR(__xludf.DUMMYFUNCTION("""COMPUTED_VALUE"""),6)</f>
        <v>6</v>
      </c>
      <c r="C1186" s="1">
        <f ca="1">IFERROR(__xludf.DUMMYFUNCTION("""COMPUTED_VALUE"""),21)</f>
        <v>21</v>
      </c>
      <c r="D1186" s="1">
        <f ca="1">IFERROR(__xludf.DUMMYFUNCTION("""COMPUTED_VALUE"""),2019)</f>
        <v>2019</v>
      </c>
      <c r="E1186" s="4">
        <f ca="1">IFERROR(__xludf.DUMMYFUNCTION("""COMPUTED_VALUE"""),43637)</f>
        <v>43637</v>
      </c>
      <c r="F1186" s="1" t="str">
        <f ca="1">IFERROR(__xludf.DUMMYFUNCTION("""COMPUTED_VALUE"""),"Carman-Ainsworth High School")</f>
        <v>Carman-Ainsworth High School</v>
      </c>
      <c r="G1186" s="1">
        <f ca="1">IFERROR(__xludf.DUMMYFUNCTION("""COMPUTED_VALUE"""),0)</f>
        <v>0</v>
      </c>
      <c r="H1186" s="1">
        <f ca="1">IFERROR(__xludf.DUMMYFUNCTION("""COMPUTED_VALUE"""),1)</f>
        <v>1</v>
      </c>
      <c r="I1186" s="1">
        <f ca="1">IFERROR(__xludf.DUMMYFUNCTION("""COMPUTED_VALUE"""),1)</f>
        <v>1</v>
      </c>
      <c r="J1186" s="1">
        <f ca="1">IFERROR(__xludf.DUMMYFUNCTION("""COMPUTED_VALUE"""),0)</f>
        <v>0</v>
      </c>
      <c r="K1186" s="1" t="str">
        <f ca="1">IFERROR(__xludf.DUMMYFUNCTION("""COMPUTED_VALUE"""),"Summer")</f>
        <v>Summer</v>
      </c>
      <c r="L1186" s="1" t="str">
        <f ca="1">IFERROR(__xludf.DUMMYFUNCTION("""COMPUTED_VALUE"""),"Flint Township")</f>
        <v>Flint Township</v>
      </c>
      <c r="M1186" s="1" t="str">
        <f ca="1">IFERROR(__xludf.DUMMYFUNCTION("""COMPUTED_VALUE"""),"MI")</f>
        <v>MI</v>
      </c>
      <c r="N1186" s="1" t="str">
        <f ca="1">IFERROR(__xludf.DUMMYFUNCTION("""COMPUTED_VALUE"""),"High")</f>
        <v>High</v>
      </c>
      <c r="O1186" s="1" t="str">
        <f ca="1">IFERROR(__xludf.DUMMYFUNCTION("""COMPUTED_VALUE"""),"Beside Building")</f>
        <v>Beside Building</v>
      </c>
      <c r="P1186" s="1" t="str">
        <f ca="1">IFERROR(__xludf.DUMMYFUNCTION("""COMPUTED_VALUE"""),"Outside on School Property")</f>
        <v>Outside on School Property</v>
      </c>
      <c r="Q1186" s="1" t="str">
        <f ca="1">IFERROR(__xludf.DUMMYFUNCTION("""COMPUTED_VALUE"""),"No")</f>
        <v>No</v>
      </c>
      <c r="R1186" s="1" t="str">
        <f ca="1">IFERROR(__xludf.DUMMYFUNCTION("""COMPUTED_VALUE"""),"Sport Event")</f>
        <v>Sport Event</v>
      </c>
      <c r="S1186" s="5">
        <f ca="1">IFERROR(__xludf.DUMMYFUNCTION("""COMPUTED_VALUE"""),0.814583333333333)</f>
        <v>0.81458333333333299</v>
      </c>
      <c r="T1186" s="1">
        <f ca="1">IFERROR(__xludf.DUMMYFUNCTION("""COMPUTED_VALUE"""),1)</f>
        <v>1</v>
      </c>
      <c r="U1186" s="1" t="str">
        <f ca="1">IFERROR(__xludf.DUMMYFUNCTION("""COMPUTED_VALUE"""),"15YOM male shot during fight involving 50 people at basketball game")</f>
        <v>15YOM male shot during fight involving 50 people at basketball game</v>
      </c>
      <c r="V1186" s="1" t="str">
        <f ca="1">IFERROR(__xludf.DUMMYFUNCTION("""COMPUTED_VALUE"""),"Dispute following basketball game led to fight involving 50 people outside of the gym locker room. Fight continued into school parking lot where 15YOM was shot in the chest and critically injured. Teen who was shot did not appear to be targeted victim. A "&amp;"school play was being performed at the time of the shooting and the auditorium was placed on lockdown.")</f>
        <v>Dispute following basketball game led to fight involving 50 people outside of the gym locker room. Fight continued into school parking lot where 15YOM was shot in the chest and critically injured. Teen who was shot did not appear to be targeted victim. A school play was being performed at the time of the shooting and the auditorium was placed on lockdown.</v>
      </c>
      <c r="W1186" s="1" t="str">
        <f ca="1">IFERROR(__xludf.DUMMYFUNCTION("""COMPUTED_VALUE"""),"Escalation of Dispute")</f>
        <v>Escalation of Dispute</v>
      </c>
      <c r="X1186" s="1"/>
      <c r="Y1186" s="1"/>
      <c r="Z1186" s="1"/>
      <c r="AA1186" s="1" t="str">
        <f ca="1">IFERROR(__xludf.DUMMYFUNCTION("""COMPUTED_VALUE"""),"No")</f>
        <v>No</v>
      </c>
      <c r="AB1186" s="1" t="str">
        <f ca="1">IFERROR(__xludf.DUMMYFUNCTION("""COMPUTED_VALUE"""),"No")</f>
        <v>No</v>
      </c>
      <c r="AC1186" s="1" t="str">
        <f ca="1">IFERROR(__xludf.DUMMYFUNCTION("""COMPUTED_VALUE"""),"No")</f>
        <v>No</v>
      </c>
      <c r="AD1186" s="1" t="str">
        <f ca="1">IFERROR(__xludf.DUMMYFUNCTION("""COMPUTED_VALUE"""),"No")</f>
        <v>No</v>
      </c>
      <c r="AE1186" s="1" t="str">
        <f ca="1">IFERROR(__xludf.DUMMYFUNCTION("""COMPUTED_VALUE"""),"No")</f>
        <v>No</v>
      </c>
      <c r="AF1186" s="1" t="str">
        <f ca="1">IFERROR(__xludf.DUMMYFUNCTION("""COMPUTED_VALUE"""),"No")</f>
        <v>No</v>
      </c>
      <c r="AG1186" s="1" t="str">
        <f ca="1">IFERROR(__xludf.DUMMYFUNCTION("""COMPUTED_VALUE"""),"No")</f>
        <v>No</v>
      </c>
      <c r="AH1186" s="1" t="str">
        <f ca="1">IFERROR(__xludf.DUMMYFUNCTION("""COMPUTED_VALUE"""),"&lt;10")</f>
        <v>&lt;10</v>
      </c>
    </row>
    <row r="1187" spans="1:34" ht="12.5">
      <c r="A1187" s="1" t="str">
        <f ca="1">IFERROR(__xludf.DUMMYFUNCTION("""COMPUTED_VALUE"""),"20190613NJTAW")</f>
        <v>20190613NJTAW</v>
      </c>
      <c r="B1187" s="1">
        <f ca="1">IFERROR(__xludf.DUMMYFUNCTION("""COMPUTED_VALUE"""),6)</f>
        <v>6</v>
      </c>
      <c r="C1187" s="1">
        <f ca="1">IFERROR(__xludf.DUMMYFUNCTION("""COMPUTED_VALUE"""),13)</f>
        <v>13</v>
      </c>
      <c r="D1187" s="1">
        <f ca="1">IFERROR(__xludf.DUMMYFUNCTION("""COMPUTED_VALUE"""),2019)</f>
        <v>2019</v>
      </c>
      <c r="E1187" s="4">
        <f ca="1">IFERROR(__xludf.DUMMYFUNCTION("""COMPUTED_VALUE"""),43629)</f>
        <v>43629</v>
      </c>
      <c r="F1187" s="1" t="str">
        <f ca="1">IFERROR(__xludf.DUMMYFUNCTION("""COMPUTED_VALUE"""),"Tamaques Elementary School")</f>
        <v>Tamaques Elementary School</v>
      </c>
      <c r="G1187" s="1">
        <f ca="1">IFERROR(__xludf.DUMMYFUNCTION("""COMPUTED_VALUE"""),0)</f>
        <v>0</v>
      </c>
      <c r="H1187" s="1">
        <f ca="1">IFERROR(__xludf.DUMMYFUNCTION("""COMPUTED_VALUE"""),0)</f>
        <v>0</v>
      </c>
      <c r="I1187" s="1">
        <f ca="1">IFERROR(__xludf.DUMMYFUNCTION("""COMPUTED_VALUE"""),0)</f>
        <v>0</v>
      </c>
      <c r="J1187" s="1">
        <f ca="1">IFERROR(__xludf.DUMMYFUNCTION("""COMPUTED_VALUE"""),0)</f>
        <v>0</v>
      </c>
      <c r="K1187" s="1" t="str">
        <f ca="1">IFERROR(__xludf.DUMMYFUNCTION("""COMPUTED_VALUE"""),"Summer")</f>
        <v>Summer</v>
      </c>
      <c r="L1187" s="1" t="str">
        <f ca="1">IFERROR(__xludf.DUMMYFUNCTION("""COMPUTED_VALUE"""),"Westfield")</f>
        <v>Westfield</v>
      </c>
      <c r="M1187" s="1" t="str">
        <f ca="1">IFERROR(__xludf.DUMMYFUNCTION("""COMPUTED_VALUE"""),"NJ")</f>
        <v>NJ</v>
      </c>
      <c r="N1187" s="1" t="str">
        <f ca="1">IFERROR(__xludf.DUMMYFUNCTION("""COMPUTED_VALUE"""),"Elementary")</f>
        <v>Elementary</v>
      </c>
      <c r="O1187" s="1" t="str">
        <f ca="1">IFERROR(__xludf.DUMMYFUNCTION("""COMPUTED_VALUE"""),"Parking Lot")</f>
        <v>Parking Lot</v>
      </c>
      <c r="P1187" s="1" t="str">
        <f ca="1">IFERROR(__xludf.DUMMYFUNCTION("""COMPUTED_VALUE"""),"Outside on School Property")</f>
        <v>Outside on School Property</v>
      </c>
      <c r="Q1187" s="1" t="str">
        <f ca="1">IFERROR(__xludf.DUMMYFUNCTION("""COMPUTED_VALUE"""),"No")</f>
        <v>No</v>
      </c>
      <c r="R1187" s="1" t="str">
        <f ca="1">IFERROR(__xludf.DUMMYFUNCTION("""COMPUTED_VALUE"""),"After School")</f>
        <v>After School</v>
      </c>
      <c r="S1187" s="5">
        <f ca="1">IFERROR(__xludf.DUMMYFUNCTION("""COMPUTED_VALUE"""),0.663194444444444)</f>
        <v>0.66319444444444398</v>
      </c>
      <c r="T1187" s="1">
        <f ca="1">IFERROR(__xludf.DUMMYFUNCTION("""COMPUTED_VALUE"""),1)</f>
        <v>1</v>
      </c>
      <c r="U1187" s="1" t="str">
        <f ca="1">IFERROR(__xludf.DUMMYFUNCTION("""COMPUTED_VALUE"""),"Man arrested in school parking lot after tip holding pistol with 130 rounds of ammo")</f>
        <v>Man arrested in school parking lot after tip holding pistol with 130 rounds of ammo</v>
      </c>
      <c r="V1187" s="1" t="str">
        <f ca="1">IFERROR(__xludf.DUMMYFUNCTION("""COMPUTED_VALUE"""),"Police received a tip about a man headed to a school with a gun. Police found a 46YOM in the parking lot holding a handgun with 2 additional magazines and 130 rounds of ammo. The gunman surrendered to police without firing any shots. School had dismissed "&amp;"for day but was locked down. Motive unknown. Suspect lived +110 miles away from the school in Bear, DE. Connection to school unknown.")</f>
        <v>Police received a tip about a man headed to a school with a gun. Police found a 46YOM in the parking lot holding a handgun with 2 additional magazines and 130 rounds of ammo. The gunman surrendered to police without firing any shots. School had dismissed for day but was locked down. Motive unknown. Suspect lived +110 miles away from the school in Bear, DE. Connection to school unknown.</v>
      </c>
      <c r="W1187" s="1" t="str">
        <f ca="1">IFERROR(__xludf.DUMMYFUNCTION("""COMPUTED_VALUE"""),"Indiscriminate Shooting")</f>
        <v>Indiscriminate Shooting</v>
      </c>
      <c r="X1187" s="1"/>
      <c r="Y1187" s="1" t="str">
        <f ca="1">IFERROR(__xludf.DUMMYFUNCTION("""COMPUTED_VALUE"""),"No")</f>
        <v>No</v>
      </c>
      <c r="Z1187" s="1"/>
      <c r="AA1187" s="1" t="str">
        <f ca="1">IFERROR(__xludf.DUMMYFUNCTION("""COMPUTED_VALUE"""),"No")</f>
        <v>No</v>
      </c>
      <c r="AB1187" s="1" t="str">
        <f ca="1">IFERROR(__xludf.DUMMYFUNCTION("""COMPUTED_VALUE"""),"No")</f>
        <v>No</v>
      </c>
      <c r="AC1187" s="1" t="str">
        <f ca="1">IFERROR(__xludf.DUMMYFUNCTION("""COMPUTED_VALUE"""),"No")</f>
        <v>No</v>
      </c>
      <c r="AD1187" s="1" t="str">
        <f ca="1">IFERROR(__xludf.DUMMYFUNCTION("""COMPUTED_VALUE"""),"No")</f>
        <v>No</v>
      </c>
      <c r="AE1187" s="1"/>
      <c r="AF1187" s="1" t="str">
        <f ca="1">IFERROR(__xludf.DUMMYFUNCTION("""COMPUTED_VALUE"""),"No")</f>
        <v>No</v>
      </c>
      <c r="AG1187" s="1" t="str">
        <f ca="1">IFERROR(__xludf.DUMMYFUNCTION("""COMPUTED_VALUE"""),"No")</f>
        <v>No</v>
      </c>
      <c r="AH1187" s="1">
        <f ca="1">IFERROR(__xludf.DUMMYFUNCTION("""COMPUTED_VALUE"""),0)</f>
        <v>0</v>
      </c>
    </row>
    <row r="1188" spans="1:34" ht="12.5">
      <c r="A1188" s="1" t="str">
        <f ca="1">IFERROR(__xludf.DUMMYFUNCTION("""COMPUTED_VALUE"""),"20190612PAJEE")</f>
        <v>20190612PAJEE</v>
      </c>
      <c r="B1188" s="1">
        <f ca="1">IFERROR(__xludf.DUMMYFUNCTION("""COMPUTED_VALUE"""),6)</f>
        <v>6</v>
      </c>
      <c r="C1188" s="1">
        <f ca="1">IFERROR(__xludf.DUMMYFUNCTION("""COMPUTED_VALUE"""),12)</f>
        <v>12</v>
      </c>
      <c r="D1188" s="1">
        <f ca="1">IFERROR(__xludf.DUMMYFUNCTION("""COMPUTED_VALUE"""),2019)</f>
        <v>2019</v>
      </c>
      <c r="E1188" s="4">
        <f ca="1">IFERROR(__xludf.DUMMYFUNCTION("""COMPUTED_VALUE"""),43628)</f>
        <v>43628</v>
      </c>
      <c r="F1188" s="1" t="str">
        <f ca="1">IFERROR(__xludf.DUMMYFUNCTION("""COMPUTED_VALUE"""),"Jefferson Elementary School")</f>
        <v>Jefferson Elementary School</v>
      </c>
      <c r="G1188" s="1">
        <f ca="1">IFERROR(__xludf.DUMMYFUNCTION("""COMPUTED_VALUE"""),0)</f>
        <v>0</v>
      </c>
      <c r="H1188" s="1">
        <f ca="1">IFERROR(__xludf.DUMMYFUNCTION("""COMPUTED_VALUE"""),0)</f>
        <v>0</v>
      </c>
      <c r="I1188" s="1">
        <f ca="1">IFERROR(__xludf.DUMMYFUNCTION("""COMPUTED_VALUE"""),0)</f>
        <v>0</v>
      </c>
      <c r="J1188" s="1">
        <f ca="1">IFERROR(__xludf.DUMMYFUNCTION("""COMPUTED_VALUE"""),0)</f>
        <v>0</v>
      </c>
      <c r="K1188" s="1" t="str">
        <f ca="1">IFERROR(__xludf.DUMMYFUNCTION("""COMPUTED_VALUE"""),"Summer")</f>
        <v>Summer</v>
      </c>
      <c r="L1188" s="1" t="str">
        <f ca="1">IFERROR(__xludf.DUMMYFUNCTION("""COMPUTED_VALUE"""),"Emmaus")</f>
        <v>Emmaus</v>
      </c>
      <c r="M1188" s="1" t="str">
        <f ca="1">IFERROR(__xludf.DUMMYFUNCTION("""COMPUTED_VALUE"""),"PA")</f>
        <v>PA</v>
      </c>
      <c r="N1188" s="1" t="str">
        <f ca="1">IFERROR(__xludf.DUMMYFUNCTION("""COMPUTED_VALUE"""),"Elementary")</f>
        <v>Elementary</v>
      </c>
      <c r="O1188" s="1" t="str">
        <f ca="1">IFERROR(__xludf.DUMMYFUNCTION("""COMPUTED_VALUE"""),"Parking Lot")</f>
        <v>Parking Lot</v>
      </c>
      <c r="P1188" s="1" t="str">
        <f ca="1">IFERROR(__xludf.DUMMYFUNCTION("""COMPUTED_VALUE"""),"Outside on School Property")</f>
        <v>Outside on School Property</v>
      </c>
      <c r="Q1188" s="1" t="str">
        <f ca="1">IFERROR(__xludf.DUMMYFUNCTION("""COMPUTED_VALUE"""),"No")</f>
        <v>No</v>
      </c>
      <c r="R1188" s="1" t="str">
        <f ca="1">IFERROR(__xludf.DUMMYFUNCTION("""COMPUTED_VALUE"""),"Night")</f>
        <v>Night</v>
      </c>
      <c r="S1188" s="5">
        <f ca="1">IFERROR(__xludf.DUMMYFUNCTION("""COMPUTED_VALUE"""),0.95)</f>
        <v>0.95</v>
      </c>
      <c r="T1188" s="1">
        <f ca="1">IFERROR(__xludf.DUMMYFUNCTION("""COMPUTED_VALUE"""),1)</f>
        <v>1</v>
      </c>
      <c r="U1188" s="1" t="str">
        <f ca="1">IFERROR(__xludf.DUMMYFUNCTION("""COMPUTED_VALUE"""),"Targeted domestic shooting in school parking lot")</f>
        <v>Targeted domestic shooting in school parking lot</v>
      </c>
      <c r="V1188" s="1" t="str">
        <f ca="1">IFERROR(__xludf.DUMMYFUNCTION("""COMPUTED_VALUE"""),"18YOF told ex-boyfriend (18YOM) to meet her in school parking lot. While waiting in the vehicle, a 16YOM shot him in a targeted shooting and fled. The intended victim and 2 other males were inside the vehicle but all of the shots missed them. 18YOF and 16"&amp;"YOM charged with murder and conspiracy.")</f>
        <v>18YOF told ex-boyfriend (18YOM) to meet her in school parking lot. While waiting in the vehicle, a 16YOM shot him in a targeted shooting and fled. The intended victim and 2 other males were inside the vehicle but all of the shots missed them. 18YOF and 16YOM charged with murder and conspiracy.</v>
      </c>
      <c r="W1188" s="1" t="str">
        <f ca="1">IFERROR(__xludf.DUMMYFUNCTION("""COMPUTED_VALUE"""),"Domestic w/ Targeted Victim")</f>
        <v>Domestic w/ Targeted Victim</v>
      </c>
      <c r="X1188" s="1" t="str">
        <f ca="1">IFERROR(__xludf.DUMMYFUNCTION("""COMPUTED_VALUE"""),"Victims Targeted")</f>
        <v>Victims Targeted</v>
      </c>
      <c r="Y1188" s="1" t="str">
        <f ca="1">IFERROR(__xludf.DUMMYFUNCTION("""COMPUTED_VALUE"""),"Yes")</f>
        <v>Yes</v>
      </c>
      <c r="Z1188" s="1" t="str">
        <f ca="1">IFERROR(__xludf.DUMMYFUNCTION("""COMPUTED_VALUE"""),"18YOF directed the shooting (domestic)")</f>
        <v>18YOF directed the shooting (domestic)</v>
      </c>
      <c r="AA1188" s="1" t="str">
        <f ca="1">IFERROR(__xludf.DUMMYFUNCTION("""COMPUTED_VALUE"""),"No")</f>
        <v>No</v>
      </c>
      <c r="AB1188" s="1" t="str">
        <f ca="1">IFERROR(__xludf.DUMMYFUNCTION("""COMPUTED_VALUE"""),"No")</f>
        <v>No</v>
      </c>
      <c r="AC1188" s="1" t="str">
        <f ca="1">IFERROR(__xludf.DUMMYFUNCTION("""COMPUTED_VALUE"""),"No")</f>
        <v>No</v>
      </c>
      <c r="AD1188" s="1" t="str">
        <f ca="1">IFERROR(__xludf.DUMMYFUNCTION("""COMPUTED_VALUE"""),"No")</f>
        <v>No</v>
      </c>
      <c r="AE1188" s="1" t="str">
        <f ca="1">IFERROR(__xludf.DUMMYFUNCTION("""COMPUTED_VALUE"""),"Yes")</f>
        <v>Yes</v>
      </c>
      <c r="AF1188" s="1" t="str">
        <f ca="1">IFERROR(__xludf.DUMMYFUNCTION("""COMPUTED_VALUE"""),"No")</f>
        <v>No</v>
      </c>
      <c r="AG1188" s="1" t="str">
        <f ca="1">IFERROR(__xludf.DUMMYFUNCTION("""COMPUTED_VALUE"""),"No")</f>
        <v>No</v>
      </c>
      <c r="AH1188" s="1"/>
    </row>
    <row r="1189" spans="1:34" ht="12.5">
      <c r="A1189" s="1" t="str">
        <f ca="1">IFERROR(__xludf.DUMMYFUNCTION("""COMPUTED_VALUE"""),"20190612DCHEW")</f>
        <v>20190612DCHEW</v>
      </c>
      <c r="B1189" s="1">
        <f ca="1">IFERROR(__xludf.DUMMYFUNCTION("""COMPUTED_VALUE"""),6)</f>
        <v>6</v>
      </c>
      <c r="C1189" s="1">
        <f ca="1">IFERROR(__xludf.DUMMYFUNCTION("""COMPUTED_VALUE"""),12)</f>
        <v>12</v>
      </c>
      <c r="D1189" s="1">
        <f ca="1">IFERROR(__xludf.DUMMYFUNCTION("""COMPUTED_VALUE"""),2019)</f>
        <v>2019</v>
      </c>
      <c r="E1189" s="4">
        <f ca="1">IFERROR(__xludf.DUMMYFUNCTION("""COMPUTED_VALUE"""),43628)</f>
        <v>43628</v>
      </c>
      <c r="F1189" s="1" t="str">
        <f ca="1">IFERROR(__xludf.DUMMYFUNCTION("""COMPUTED_VALUE"""),"Hendley Elementary School")</f>
        <v>Hendley Elementary School</v>
      </c>
      <c r="G1189" s="1">
        <f ca="1">IFERROR(__xludf.DUMMYFUNCTION("""COMPUTED_VALUE"""),0)</f>
        <v>0</v>
      </c>
      <c r="H1189" s="1">
        <f ca="1">IFERROR(__xludf.DUMMYFUNCTION("""COMPUTED_VALUE"""),0)</f>
        <v>0</v>
      </c>
      <c r="I1189" s="1">
        <f ca="1">IFERROR(__xludf.DUMMYFUNCTION("""COMPUTED_VALUE"""),0)</f>
        <v>0</v>
      </c>
      <c r="J1189" s="1">
        <f ca="1">IFERROR(__xludf.DUMMYFUNCTION("""COMPUTED_VALUE"""),0)</f>
        <v>0</v>
      </c>
      <c r="K1189" s="1" t="str">
        <f ca="1">IFERROR(__xludf.DUMMYFUNCTION("""COMPUTED_VALUE"""),"Summer")</f>
        <v>Summer</v>
      </c>
      <c r="L1189" s="1" t="str">
        <f ca="1">IFERROR(__xludf.DUMMYFUNCTION("""COMPUTED_VALUE"""),"Washington")</f>
        <v>Washington</v>
      </c>
      <c r="M1189" s="1" t="str">
        <f ca="1">IFERROR(__xludf.DUMMYFUNCTION("""COMPUTED_VALUE"""),"DC")</f>
        <v>DC</v>
      </c>
      <c r="N1189" s="1" t="str">
        <f ca="1">IFERROR(__xludf.DUMMYFUNCTION("""COMPUTED_VALUE"""),"Elementary")</f>
        <v>Elementary</v>
      </c>
      <c r="O1189" s="1" t="str">
        <f ca="1">IFERROR(__xludf.DUMMYFUNCTION("""COMPUTED_VALUE"""),"Front of School")</f>
        <v>Front of School</v>
      </c>
      <c r="P1189" s="1" t="str">
        <f ca="1">IFERROR(__xludf.DUMMYFUNCTION("""COMPUTED_VALUE"""),"Off School Property")</f>
        <v>Off School Property</v>
      </c>
      <c r="Q1189" s="1" t="str">
        <f ca="1">IFERROR(__xludf.DUMMYFUNCTION("""COMPUTED_VALUE"""),"No")</f>
        <v>No</v>
      </c>
      <c r="R1189" s="1" t="str">
        <f ca="1">IFERROR(__xludf.DUMMYFUNCTION("""COMPUTED_VALUE"""),"School Event")</f>
        <v>School Event</v>
      </c>
      <c r="S1189" s="5">
        <f ca="1">IFERROR(__xludf.DUMMYFUNCTION("""COMPUTED_VALUE"""),0.680555555555555)</f>
        <v>0.68055555555555503</v>
      </c>
      <c r="T1189" s="1">
        <f ca="1">IFERROR(__xludf.DUMMYFUNCTION("""COMPUTED_VALUE"""),1)</f>
        <v>1</v>
      </c>
      <c r="U1189" s="1" t="str">
        <f ca="1">IFERROR(__xludf.DUMMYFUNCTION("""COMPUTED_VALUE"""),"Gang related shooting outside of school. Shots struck occupied school building and broke windows. Students and staff locked down.")</f>
        <v>Gang related shooting outside of school. Shots struck occupied school building and broke windows. Students and staff locked down.</v>
      </c>
      <c r="V1189" s="1" t="str">
        <f ca="1">IFERROR(__xludf.DUMMYFUNCTION("""COMPUTED_VALUE"""),"Shots fired during a gang related incident outside of the school struck the school building and broke windows. Students and staff were at the school for movie night. School was locked down.")</f>
        <v>Shots fired during a gang related incident outside of the school struck the school building and broke windows. Students and staff were at the school for movie night. School was locked down.</v>
      </c>
      <c r="W1189" s="1" t="str">
        <f ca="1">IFERROR(__xludf.DUMMYFUNCTION("""COMPUTED_VALUE"""),"Escalation of Dispute")</f>
        <v>Escalation of Dispute</v>
      </c>
      <c r="X1189" s="1"/>
      <c r="Y1189" s="1"/>
      <c r="Z1189" s="1"/>
      <c r="AA1189" s="1" t="str">
        <f ca="1">IFERROR(__xludf.DUMMYFUNCTION("""COMPUTED_VALUE"""),"No")</f>
        <v>No</v>
      </c>
      <c r="AB1189" s="1" t="str">
        <f ca="1">IFERROR(__xludf.DUMMYFUNCTION("""COMPUTED_VALUE"""),"No")</f>
        <v>No</v>
      </c>
      <c r="AC1189" s="1" t="str">
        <f ca="1">IFERROR(__xludf.DUMMYFUNCTION("""COMPUTED_VALUE"""),"No")</f>
        <v>No</v>
      </c>
      <c r="AD1189" s="1" t="str">
        <f ca="1">IFERROR(__xludf.DUMMYFUNCTION("""COMPUTED_VALUE"""),"No")</f>
        <v>No</v>
      </c>
      <c r="AE1189" s="1" t="str">
        <f ca="1">IFERROR(__xludf.DUMMYFUNCTION("""COMPUTED_VALUE"""),"No")</f>
        <v>No</v>
      </c>
      <c r="AF1189" s="1" t="str">
        <f ca="1">IFERROR(__xludf.DUMMYFUNCTION("""COMPUTED_VALUE"""),"Yes")</f>
        <v>Yes</v>
      </c>
      <c r="AG1189" s="1" t="str">
        <f ca="1">IFERROR(__xludf.DUMMYFUNCTION("""COMPUTED_VALUE"""),"No")</f>
        <v>No</v>
      </c>
      <c r="AH1189" s="1">
        <f ca="1">IFERROR(__xludf.DUMMYFUNCTION("""COMPUTED_VALUE"""),7)</f>
        <v>7</v>
      </c>
    </row>
    <row r="1190" spans="1:34" ht="12.5">
      <c r="A1190" s="1" t="str">
        <f ca="1">IFERROR(__xludf.DUMMYFUNCTION("""COMPUTED_VALUE"""),"20190610ILMEW")</f>
        <v>20190610ILMEW</v>
      </c>
      <c r="B1190" s="1">
        <f ca="1">IFERROR(__xludf.DUMMYFUNCTION("""COMPUTED_VALUE"""),6)</f>
        <v>6</v>
      </c>
      <c r="C1190" s="1">
        <f ca="1">IFERROR(__xludf.DUMMYFUNCTION("""COMPUTED_VALUE"""),10)</f>
        <v>10</v>
      </c>
      <c r="D1190" s="1">
        <f ca="1">IFERROR(__xludf.DUMMYFUNCTION("""COMPUTED_VALUE"""),2019)</f>
        <v>2019</v>
      </c>
      <c r="E1190" s="4">
        <f ca="1">IFERROR(__xludf.DUMMYFUNCTION("""COMPUTED_VALUE"""),43626)</f>
        <v>43626</v>
      </c>
      <c r="F1190" s="1" t="str">
        <f ca="1">IFERROR(__xludf.DUMMYFUNCTION("""COMPUTED_VALUE"""),"Menta Academy North")</f>
        <v>Menta Academy North</v>
      </c>
      <c r="G1190" s="1">
        <f ca="1">IFERROR(__xludf.DUMMYFUNCTION("""COMPUTED_VALUE"""),0)</f>
        <v>0</v>
      </c>
      <c r="H1190" s="1">
        <f ca="1">IFERROR(__xludf.DUMMYFUNCTION("""COMPUTED_VALUE"""),1)</f>
        <v>1</v>
      </c>
      <c r="I1190" s="1">
        <f ca="1">IFERROR(__xludf.DUMMYFUNCTION("""COMPUTED_VALUE"""),1)</f>
        <v>1</v>
      </c>
      <c r="J1190" s="1">
        <f ca="1">IFERROR(__xludf.DUMMYFUNCTION("""COMPUTED_VALUE"""),0)</f>
        <v>0</v>
      </c>
      <c r="K1190" s="1" t="str">
        <f ca="1">IFERROR(__xludf.DUMMYFUNCTION("""COMPUTED_VALUE"""),"Summer")</f>
        <v>Summer</v>
      </c>
      <c r="L1190" s="1" t="str">
        <f ca="1">IFERROR(__xludf.DUMMYFUNCTION("""COMPUTED_VALUE"""),"Waukegan")</f>
        <v>Waukegan</v>
      </c>
      <c r="M1190" s="1" t="str">
        <f ca="1">IFERROR(__xludf.DUMMYFUNCTION("""COMPUTED_VALUE"""),"IL")</f>
        <v>IL</v>
      </c>
      <c r="N1190" s="1" t="str">
        <f ca="1">IFERROR(__xludf.DUMMYFUNCTION("""COMPUTED_VALUE"""),"Other")</f>
        <v>Other</v>
      </c>
      <c r="O1190" s="1" t="str">
        <f ca="1">IFERROR(__xludf.DUMMYFUNCTION("""COMPUTED_VALUE"""),"Front of School")</f>
        <v>Front of School</v>
      </c>
      <c r="P1190" s="1" t="str">
        <f ca="1">IFERROR(__xludf.DUMMYFUNCTION("""COMPUTED_VALUE"""),"Inside School Building")</f>
        <v>Inside School Building</v>
      </c>
      <c r="Q1190" s="1" t="str">
        <f ca="1">IFERROR(__xludf.DUMMYFUNCTION("""COMPUTED_VALUE"""),"Yes")</f>
        <v>Yes</v>
      </c>
      <c r="R1190" s="1" t="str">
        <f ca="1">IFERROR(__xludf.DUMMYFUNCTION("""COMPUTED_VALUE"""),"Afternoon Classes")</f>
        <v>Afternoon Classes</v>
      </c>
      <c r="S1190" s="5">
        <f ca="1">IFERROR(__xludf.DUMMYFUNCTION("""COMPUTED_VALUE"""),0.572916666666666)</f>
        <v>0.57291666666666596</v>
      </c>
      <c r="T1190" s="1">
        <f ca="1">IFERROR(__xludf.DUMMYFUNCTION("""COMPUTED_VALUE"""),1)</f>
        <v>1</v>
      </c>
      <c r="U1190" s="1" t="str">
        <f ca="1">IFERROR(__xludf.DUMMYFUNCTION("""COMPUTED_VALUE"""),"Adult male and teen fired shots at each other outside of school following argument, bullets struck occupied school building")</f>
        <v>Adult male and teen fired shots at each other outside of school following argument, bullets struck occupied school building</v>
      </c>
      <c r="V1190" s="1" t="str">
        <f ca="1">IFERROR(__xludf.DUMMYFUNCTION("""COMPUTED_VALUE"""),"27 YOM and 15YOM male fired shots at each other following an argument outside of the school. Neither were associated with the school. Bullets struck the occupied school building. School was locked down. An off-duty police officer working security at the s"&amp;"chool assisted with the lockdown. 27YOM was injured by gunshot and arrested at the scene. 15YOM fled and was later arrested.")</f>
        <v>27 YOM and 15YOM male fired shots at each other following an argument outside of the school. Neither were associated with the school. Bullets struck the occupied school building. School was locked down. An off-duty police officer working security at the school assisted with the lockdown. 27YOM was injured by gunshot and arrested at the scene. 15YOM fled and was later arrested.</v>
      </c>
      <c r="W1190" s="1" t="str">
        <f ca="1">IFERROR(__xludf.DUMMYFUNCTION("""COMPUTED_VALUE"""),"Escalation of Dispute")</f>
        <v>Escalation of Dispute</v>
      </c>
      <c r="X1190" s="1" t="str">
        <f ca="1">IFERROR(__xludf.DUMMYFUNCTION("""COMPUTED_VALUE"""),"Victims Targeted")</f>
        <v>Victims Targeted</v>
      </c>
      <c r="Y1190" s="1" t="str">
        <f ca="1">IFERROR(__xludf.DUMMYFUNCTION("""COMPUTED_VALUE"""),"No")</f>
        <v>No</v>
      </c>
      <c r="Z1190" s="1"/>
      <c r="AA1190" s="1" t="str">
        <f ca="1">IFERROR(__xludf.DUMMYFUNCTION("""COMPUTED_VALUE"""),"No")</f>
        <v>No</v>
      </c>
      <c r="AB1190" s="1" t="str">
        <f ca="1">IFERROR(__xludf.DUMMYFUNCTION("""COMPUTED_VALUE"""),"No")</f>
        <v>No</v>
      </c>
      <c r="AC1190" s="1" t="str">
        <f ca="1">IFERROR(__xludf.DUMMYFUNCTION("""COMPUTED_VALUE"""),"No")</f>
        <v>No</v>
      </c>
      <c r="AD1190" s="1" t="str">
        <f ca="1">IFERROR(__xludf.DUMMYFUNCTION("""COMPUTED_VALUE"""),"No")</f>
        <v>No</v>
      </c>
      <c r="AE1190" s="1" t="str">
        <f ca="1">IFERROR(__xludf.DUMMYFUNCTION("""COMPUTED_VALUE"""),"No")</f>
        <v>No</v>
      </c>
      <c r="AF1190" s="1" t="str">
        <f ca="1">IFERROR(__xludf.DUMMYFUNCTION("""COMPUTED_VALUE"""),"No")</f>
        <v>No</v>
      </c>
      <c r="AG1190" s="1" t="str">
        <f ca="1">IFERROR(__xludf.DUMMYFUNCTION("""COMPUTED_VALUE"""),"No")</f>
        <v>No</v>
      </c>
      <c r="AH1190" s="1"/>
    </row>
    <row r="1191" spans="1:34" ht="12.5">
      <c r="A1191" s="1" t="str">
        <f ca="1">IFERROR(__xludf.DUMMYFUNCTION("""COMPUTED_VALUE"""),"20190606ILGEC")</f>
        <v>20190606ILGEC</v>
      </c>
      <c r="B1191" s="1">
        <f ca="1">IFERROR(__xludf.DUMMYFUNCTION("""COMPUTED_VALUE"""),6)</f>
        <v>6</v>
      </c>
      <c r="C1191" s="1">
        <f ca="1">IFERROR(__xludf.DUMMYFUNCTION("""COMPUTED_VALUE"""),6)</f>
        <v>6</v>
      </c>
      <c r="D1191" s="1">
        <f ca="1">IFERROR(__xludf.DUMMYFUNCTION("""COMPUTED_VALUE"""),2019)</f>
        <v>2019</v>
      </c>
      <c r="E1191" s="4">
        <f ca="1">IFERROR(__xludf.DUMMYFUNCTION("""COMPUTED_VALUE"""),43622)</f>
        <v>43622</v>
      </c>
      <c r="F1191" s="1" t="str">
        <f ca="1">IFERROR(__xludf.DUMMYFUNCTION("""COMPUTED_VALUE"""),"Genevieve Melody STEM Elementary School")</f>
        <v>Genevieve Melody STEM Elementary School</v>
      </c>
      <c r="G1191" s="1">
        <f ca="1">IFERROR(__xludf.DUMMYFUNCTION("""COMPUTED_VALUE"""),0)</f>
        <v>0</v>
      </c>
      <c r="H1191" s="1">
        <f ca="1">IFERROR(__xludf.DUMMYFUNCTION("""COMPUTED_VALUE"""),1)</f>
        <v>1</v>
      </c>
      <c r="I1191" s="1">
        <f ca="1">IFERROR(__xludf.DUMMYFUNCTION("""COMPUTED_VALUE"""),1)</f>
        <v>1</v>
      </c>
      <c r="J1191" s="1">
        <f ca="1">IFERROR(__xludf.DUMMYFUNCTION("""COMPUTED_VALUE"""),0)</f>
        <v>0</v>
      </c>
      <c r="K1191" s="1" t="str">
        <f ca="1">IFERROR(__xludf.DUMMYFUNCTION("""COMPUTED_VALUE"""),"Summer")</f>
        <v>Summer</v>
      </c>
      <c r="L1191" s="1" t="str">
        <f ca="1">IFERROR(__xludf.DUMMYFUNCTION("""COMPUTED_VALUE"""),"Chicago")</f>
        <v>Chicago</v>
      </c>
      <c r="M1191" s="1" t="str">
        <f ca="1">IFERROR(__xludf.DUMMYFUNCTION("""COMPUTED_VALUE"""),"IL")</f>
        <v>IL</v>
      </c>
      <c r="N1191" s="1" t="str">
        <f ca="1">IFERROR(__xludf.DUMMYFUNCTION("""COMPUTED_VALUE"""),"Elementary")</f>
        <v>Elementary</v>
      </c>
      <c r="O1191" s="1" t="str">
        <f ca="1">IFERROR(__xludf.DUMMYFUNCTION("""COMPUTED_VALUE"""),"Basketball Court")</f>
        <v>Basketball Court</v>
      </c>
      <c r="P1191" s="1" t="str">
        <f ca="1">IFERROR(__xludf.DUMMYFUNCTION("""COMPUTED_VALUE"""),"Outside on School Property")</f>
        <v>Outside on School Property</v>
      </c>
      <c r="Q1191" s="1" t="str">
        <f ca="1">IFERROR(__xludf.DUMMYFUNCTION("""COMPUTED_VALUE"""),"No")</f>
        <v>No</v>
      </c>
      <c r="R1191" s="1" t="str">
        <f ca="1">IFERROR(__xludf.DUMMYFUNCTION("""COMPUTED_VALUE"""),"Evening")</f>
        <v>Evening</v>
      </c>
      <c r="S1191" s="5">
        <f ca="1">IFERROR(__xludf.DUMMYFUNCTION("""COMPUTED_VALUE"""),0.822916666666666)</f>
        <v>0.82291666666666596</v>
      </c>
      <c r="T1191" s="1">
        <f ca="1">IFERROR(__xludf.DUMMYFUNCTION("""COMPUTED_VALUE"""),1)</f>
        <v>1</v>
      </c>
      <c r="U1191" s="1" t="str">
        <f ca="1">IFERROR(__xludf.DUMMYFUNCTION("""COMPUTED_VALUE"""),"25YOM shot on school basketball court")</f>
        <v>25YOM shot on school basketball court</v>
      </c>
      <c r="V1191" s="1" t="str">
        <f ca="1">IFERROR(__xludf.DUMMYFUNCTION("""COMPUTED_VALUE"""),"25YOM shot on school basketball court. School was not open. Shooter fled the area. No further information")</f>
        <v>25YOM shot on school basketball court. School was not open. Shooter fled the area. No further information</v>
      </c>
      <c r="W1191" s="1" t="str">
        <f ca="1">IFERROR(__xludf.DUMMYFUNCTION("""COMPUTED_VALUE"""),"Escalation of Dispute")</f>
        <v>Escalation of Dispute</v>
      </c>
      <c r="X1191" s="1"/>
      <c r="Y1191" s="1"/>
      <c r="Z1191" s="1"/>
      <c r="AA1191" s="1" t="str">
        <f ca="1">IFERROR(__xludf.DUMMYFUNCTION("""COMPUTED_VALUE"""),"No")</f>
        <v>No</v>
      </c>
      <c r="AB1191" s="1" t="str">
        <f ca="1">IFERROR(__xludf.DUMMYFUNCTION("""COMPUTED_VALUE"""),"No")</f>
        <v>No</v>
      </c>
      <c r="AC1191" s="1" t="str">
        <f ca="1">IFERROR(__xludf.DUMMYFUNCTION("""COMPUTED_VALUE"""),"No")</f>
        <v>No</v>
      </c>
      <c r="AD1191" s="1" t="str">
        <f ca="1">IFERROR(__xludf.DUMMYFUNCTION("""COMPUTED_VALUE"""),"No")</f>
        <v>No</v>
      </c>
      <c r="AE1191" s="1" t="str">
        <f ca="1">IFERROR(__xludf.DUMMYFUNCTION("""COMPUTED_VALUE"""),"No")</f>
        <v>No</v>
      </c>
      <c r="AF1191" s="1"/>
      <c r="AG1191" s="1" t="str">
        <f ca="1">IFERROR(__xludf.DUMMYFUNCTION("""COMPUTED_VALUE"""),"No")</f>
        <v>No</v>
      </c>
      <c r="AH1191" s="1"/>
    </row>
    <row r="1192" spans="1:34" ht="12.5">
      <c r="A1192" s="1" t="str">
        <f ca="1">IFERROR(__xludf.DUMMYFUNCTION("""COMPUTED_VALUE"""),"20190530DCHEW")</f>
        <v>20190530DCHEW</v>
      </c>
      <c r="B1192" s="1">
        <f ca="1">IFERROR(__xludf.DUMMYFUNCTION("""COMPUTED_VALUE"""),5)</f>
        <v>5</v>
      </c>
      <c r="C1192" s="1">
        <f ca="1">IFERROR(__xludf.DUMMYFUNCTION("""COMPUTED_VALUE"""),30)</f>
        <v>30</v>
      </c>
      <c r="D1192" s="1">
        <f ca="1">IFERROR(__xludf.DUMMYFUNCTION("""COMPUTED_VALUE"""),2019)</f>
        <v>2019</v>
      </c>
      <c r="E1192" s="4">
        <f ca="1">IFERROR(__xludf.DUMMYFUNCTION("""COMPUTED_VALUE"""),43615)</f>
        <v>43615</v>
      </c>
      <c r="F1192" s="1" t="str">
        <f ca="1">IFERROR(__xludf.DUMMYFUNCTION("""COMPUTED_VALUE"""),"Hendley Elementary School")</f>
        <v>Hendley Elementary School</v>
      </c>
      <c r="G1192" s="1">
        <f ca="1">IFERROR(__xludf.DUMMYFUNCTION("""COMPUTED_VALUE"""),0)</f>
        <v>0</v>
      </c>
      <c r="H1192" s="1">
        <f ca="1">IFERROR(__xludf.DUMMYFUNCTION("""COMPUTED_VALUE"""),0)</f>
        <v>0</v>
      </c>
      <c r="I1192" s="1">
        <f ca="1">IFERROR(__xludf.DUMMYFUNCTION("""COMPUTED_VALUE"""),0)</f>
        <v>0</v>
      </c>
      <c r="J1192" s="1">
        <f ca="1">IFERROR(__xludf.DUMMYFUNCTION("""COMPUTED_VALUE"""),0)</f>
        <v>0</v>
      </c>
      <c r="K1192" s="1" t="str">
        <f ca="1">IFERROR(__xludf.DUMMYFUNCTION("""COMPUTED_VALUE"""),"Spring")</f>
        <v>Spring</v>
      </c>
      <c r="L1192" s="1" t="str">
        <f ca="1">IFERROR(__xludf.DUMMYFUNCTION("""COMPUTED_VALUE"""),"Washington")</f>
        <v>Washington</v>
      </c>
      <c r="M1192" s="1" t="str">
        <f ca="1">IFERROR(__xludf.DUMMYFUNCTION("""COMPUTED_VALUE"""),"DC")</f>
        <v>DC</v>
      </c>
      <c r="N1192" s="1" t="str">
        <f ca="1">IFERROR(__xludf.DUMMYFUNCTION("""COMPUTED_VALUE"""),"Elementary")</f>
        <v>Elementary</v>
      </c>
      <c r="O1192" s="1" t="str">
        <f ca="1">IFERROR(__xludf.DUMMYFUNCTION("""COMPUTED_VALUE"""),"Front of School")</f>
        <v>Front of School</v>
      </c>
      <c r="P1192" s="1" t="str">
        <f ca="1">IFERROR(__xludf.DUMMYFUNCTION("""COMPUTED_VALUE"""),"Off School Property")</f>
        <v>Off School Property</v>
      </c>
      <c r="Q1192" s="1" t="str">
        <f ca="1">IFERROR(__xludf.DUMMYFUNCTION("""COMPUTED_VALUE"""),"No")</f>
        <v>No</v>
      </c>
      <c r="R1192" s="1" t="str">
        <f ca="1">IFERROR(__xludf.DUMMYFUNCTION("""COMPUTED_VALUE"""),"Night")</f>
        <v>Night</v>
      </c>
      <c r="S1192" s="5">
        <f ca="1">IFERROR(__xludf.DUMMYFUNCTION("""COMPUTED_VALUE"""),0.944444444444444)</f>
        <v>0.94444444444444398</v>
      </c>
      <c r="T1192" s="1">
        <f ca="1">IFERROR(__xludf.DUMMYFUNCTION("""COMPUTED_VALUE"""),1)</f>
        <v>1</v>
      </c>
      <c r="U1192" s="1" t="str">
        <f ca="1">IFERROR(__xludf.DUMMYFUNCTION("""COMPUTED_VALUE"""),"Gunshots from gang fight struck the school building and broke windows.")</f>
        <v>Gunshots from gang fight struck the school building and broke windows.</v>
      </c>
      <c r="V1192" s="1" t="str">
        <f ca="1">IFERROR(__xludf.DUMMYFUNCTION("""COMPUTED_VALUE"""),"Gang fight outside of school after hours. Bullets struck the school building and broke windows. No students were inside of the school at the time of the shooting.")</f>
        <v>Gang fight outside of school after hours. Bullets struck the school building and broke windows. No students were inside of the school at the time of the shooting.</v>
      </c>
      <c r="W1192" s="1" t="str">
        <f ca="1">IFERROR(__xludf.DUMMYFUNCTION("""COMPUTED_VALUE"""),"Escalation of Dispute")</f>
        <v>Escalation of Dispute</v>
      </c>
      <c r="X1192" s="1"/>
      <c r="Y1192" s="1"/>
      <c r="Z1192" s="1"/>
      <c r="AA1192" s="1" t="str">
        <f ca="1">IFERROR(__xludf.DUMMYFUNCTION("""COMPUTED_VALUE"""),"No")</f>
        <v>No</v>
      </c>
      <c r="AB1192" s="1" t="str">
        <f ca="1">IFERROR(__xludf.DUMMYFUNCTION("""COMPUTED_VALUE"""),"No")</f>
        <v>No</v>
      </c>
      <c r="AC1192" s="1" t="str">
        <f ca="1">IFERROR(__xludf.DUMMYFUNCTION("""COMPUTED_VALUE"""),"No")</f>
        <v>No</v>
      </c>
      <c r="AD1192" s="1" t="str">
        <f ca="1">IFERROR(__xludf.DUMMYFUNCTION("""COMPUTED_VALUE"""),"No")</f>
        <v>No</v>
      </c>
      <c r="AE1192" s="1" t="str">
        <f ca="1">IFERROR(__xludf.DUMMYFUNCTION("""COMPUTED_VALUE"""),"No")</f>
        <v>No</v>
      </c>
      <c r="AF1192" s="1" t="str">
        <f ca="1">IFERROR(__xludf.DUMMYFUNCTION("""COMPUTED_VALUE"""),"Yes")</f>
        <v>Yes</v>
      </c>
      <c r="AG1192" s="1" t="str">
        <f ca="1">IFERROR(__xludf.DUMMYFUNCTION("""COMPUTED_VALUE"""),"No")</f>
        <v>No</v>
      </c>
      <c r="AH1192" s="1"/>
    </row>
    <row r="1193" spans="1:34" ht="12.5">
      <c r="A1193" s="1" t="str">
        <f ca="1">IFERROR(__xludf.DUMMYFUNCTION("""COMPUTED_VALUE"""),"20190522OHSAC")</f>
        <v>20190522OHSAC</v>
      </c>
      <c r="B1193" s="1">
        <f ca="1">IFERROR(__xludf.DUMMYFUNCTION("""COMPUTED_VALUE"""),5)</f>
        <v>5</v>
      </c>
      <c r="C1193" s="1">
        <f ca="1">IFERROR(__xludf.DUMMYFUNCTION("""COMPUTED_VALUE"""),22)</f>
        <v>22</v>
      </c>
      <c r="D1193" s="1">
        <f ca="1">IFERROR(__xludf.DUMMYFUNCTION("""COMPUTED_VALUE"""),2019)</f>
        <v>2019</v>
      </c>
      <c r="E1193" s="4">
        <f ca="1">IFERROR(__xludf.DUMMYFUNCTION("""COMPUTED_VALUE"""),43607)</f>
        <v>43607</v>
      </c>
      <c r="F1193" s="1" t="str">
        <f ca="1">IFERROR(__xludf.DUMMYFUNCTION("""COMPUTED_VALUE"""),"Shady Lane Elementary School")</f>
        <v>Shady Lane Elementary School</v>
      </c>
      <c r="G1193" s="1">
        <f ca="1">IFERROR(__xludf.DUMMYFUNCTION("""COMPUTED_VALUE"""),1)</f>
        <v>1</v>
      </c>
      <c r="H1193" s="1">
        <f ca="1">IFERROR(__xludf.DUMMYFUNCTION("""COMPUTED_VALUE"""),1)</f>
        <v>1</v>
      </c>
      <c r="I1193" s="1">
        <f ca="1">IFERROR(__xludf.DUMMYFUNCTION("""COMPUTED_VALUE"""),2)</f>
        <v>2</v>
      </c>
      <c r="J1193" s="1">
        <f ca="1">IFERROR(__xludf.DUMMYFUNCTION("""COMPUTED_VALUE"""),0)</f>
        <v>0</v>
      </c>
      <c r="K1193" s="1" t="str">
        <f ca="1">IFERROR(__xludf.DUMMYFUNCTION("""COMPUTED_VALUE"""),"Spring")</f>
        <v>Spring</v>
      </c>
      <c r="L1193" s="1" t="str">
        <f ca="1">IFERROR(__xludf.DUMMYFUNCTION("""COMPUTED_VALUE"""),"Columbus")</f>
        <v>Columbus</v>
      </c>
      <c r="M1193" s="1" t="str">
        <f ca="1">IFERROR(__xludf.DUMMYFUNCTION("""COMPUTED_VALUE"""),"OH")</f>
        <v>OH</v>
      </c>
      <c r="N1193" s="1" t="str">
        <f ca="1">IFERROR(__xludf.DUMMYFUNCTION("""COMPUTED_VALUE"""),"Elementary")</f>
        <v>Elementary</v>
      </c>
      <c r="O1193" s="1" t="str">
        <f ca="1">IFERROR(__xludf.DUMMYFUNCTION("""COMPUTED_VALUE"""),"Playground")</f>
        <v>Playground</v>
      </c>
      <c r="P1193" s="1" t="str">
        <f ca="1">IFERROR(__xludf.DUMMYFUNCTION("""COMPUTED_VALUE"""),"Outside on School Property")</f>
        <v>Outside on School Property</v>
      </c>
      <c r="Q1193" s="1" t="str">
        <f ca="1">IFERROR(__xludf.DUMMYFUNCTION("""COMPUTED_VALUE"""),"No")</f>
        <v>No</v>
      </c>
      <c r="R1193" s="1" t="str">
        <f ca="1">IFERROR(__xludf.DUMMYFUNCTION("""COMPUTED_VALUE"""),"Evening")</f>
        <v>Evening</v>
      </c>
      <c r="S1193" s="5">
        <f ca="1">IFERROR(__xludf.DUMMYFUNCTION("""COMPUTED_VALUE"""),0.784722222222222)</f>
        <v>0.78472222222222199</v>
      </c>
      <c r="T1193" s="1">
        <f ca="1">IFERROR(__xludf.DUMMYFUNCTION("""COMPUTED_VALUE"""),1)</f>
        <v>1</v>
      </c>
      <c r="U1193" s="1" t="str">
        <f ca="1">IFERROR(__xludf.DUMMYFUNCTION("""COMPUTED_VALUE"""),"13 year old shot two other teens during dispute over cell phone")</f>
        <v>13 year old shot two other teens during dispute over cell phone</v>
      </c>
      <c r="V1193" s="1" t="str">
        <f ca="1">IFERROR(__xludf.DUMMYFUNCTION("""COMPUTED_VALUE"""),"13 year-old male fatally shot a 14 year-old male and wounded a 14 year-old female on the school playground during a dispute over a cellphone.")</f>
        <v>13 year-old male fatally shot a 14 year-old male and wounded a 14 year-old female on the school playground during a dispute over a cellphone.</v>
      </c>
      <c r="W1193" s="1" t="str">
        <f ca="1">IFERROR(__xludf.DUMMYFUNCTION("""COMPUTED_VALUE"""),"Escalation of Dispute")</f>
        <v>Escalation of Dispute</v>
      </c>
      <c r="X1193" s="1" t="str">
        <f ca="1">IFERROR(__xludf.DUMMYFUNCTION("""COMPUTED_VALUE"""),"Both")</f>
        <v>Both</v>
      </c>
      <c r="Y1193" s="1" t="str">
        <f ca="1">IFERROR(__xludf.DUMMYFUNCTION("""COMPUTED_VALUE"""),"Yes")</f>
        <v>Yes</v>
      </c>
      <c r="Z1193" s="1" t="str">
        <f ca="1">IFERROR(__xludf.DUMMYFUNCTION("""COMPUTED_VALUE"""),"Two teens sentenced")</f>
        <v>Two teens sentenced</v>
      </c>
      <c r="AA1193" s="1" t="str">
        <f ca="1">IFERROR(__xludf.DUMMYFUNCTION("""COMPUTED_VALUE"""),"No")</f>
        <v>No</v>
      </c>
      <c r="AB1193" s="1" t="str">
        <f ca="1">IFERROR(__xludf.DUMMYFUNCTION("""COMPUTED_VALUE"""),"No")</f>
        <v>No</v>
      </c>
      <c r="AC1193" s="1" t="str">
        <f ca="1">IFERROR(__xludf.DUMMYFUNCTION("""COMPUTED_VALUE"""),"No")</f>
        <v>No</v>
      </c>
      <c r="AD1193" s="1" t="str">
        <f ca="1">IFERROR(__xludf.DUMMYFUNCTION("""COMPUTED_VALUE"""),"No")</f>
        <v>No</v>
      </c>
      <c r="AE1193" s="1" t="str">
        <f ca="1">IFERROR(__xludf.DUMMYFUNCTION("""COMPUTED_VALUE"""),"No")</f>
        <v>No</v>
      </c>
      <c r="AF1193" s="1" t="str">
        <f ca="1">IFERROR(__xludf.DUMMYFUNCTION("""COMPUTED_VALUE"""),"No")</f>
        <v>No</v>
      </c>
      <c r="AG1193" s="1" t="str">
        <f ca="1">IFERROR(__xludf.DUMMYFUNCTION("""COMPUTED_VALUE"""),"No")</f>
        <v>No</v>
      </c>
      <c r="AH1193" s="1"/>
    </row>
    <row r="1194" spans="1:34" ht="12.5">
      <c r="A1194" s="1" t="str">
        <f ca="1">IFERROR(__xludf.DUMMYFUNCTION("""COMPUTED_VALUE"""),"20190517ORPAP")</f>
        <v>20190517ORPAP</v>
      </c>
      <c r="B1194" s="1">
        <f ca="1">IFERROR(__xludf.DUMMYFUNCTION("""COMPUTED_VALUE"""),5)</f>
        <v>5</v>
      </c>
      <c r="C1194" s="1">
        <f ca="1">IFERROR(__xludf.DUMMYFUNCTION("""COMPUTED_VALUE"""),17)</f>
        <v>17</v>
      </c>
      <c r="D1194" s="1">
        <f ca="1">IFERROR(__xludf.DUMMYFUNCTION("""COMPUTED_VALUE"""),2019)</f>
        <v>2019</v>
      </c>
      <c r="E1194" s="4">
        <f ca="1">IFERROR(__xludf.DUMMYFUNCTION("""COMPUTED_VALUE"""),43602)</f>
        <v>43602</v>
      </c>
      <c r="F1194" s="1" t="str">
        <f ca="1">IFERROR(__xludf.DUMMYFUNCTION("""COMPUTED_VALUE"""),"Parkrose High School")</f>
        <v>Parkrose High School</v>
      </c>
      <c r="G1194" s="1">
        <f ca="1">IFERROR(__xludf.DUMMYFUNCTION("""COMPUTED_VALUE"""),0)</f>
        <v>0</v>
      </c>
      <c r="H1194" s="1">
        <f ca="1">IFERROR(__xludf.DUMMYFUNCTION("""COMPUTED_VALUE"""),0)</f>
        <v>0</v>
      </c>
      <c r="I1194" s="1">
        <f ca="1">IFERROR(__xludf.DUMMYFUNCTION("""COMPUTED_VALUE"""),0)</f>
        <v>0</v>
      </c>
      <c r="J1194" s="1">
        <f ca="1">IFERROR(__xludf.DUMMYFUNCTION("""COMPUTED_VALUE"""),0)</f>
        <v>0</v>
      </c>
      <c r="K1194" s="1" t="str">
        <f ca="1">IFERROR(__xludf.DUMMYFUNCTION("""COMPUTED_VALUE"""),"Spring")</f>
        <v>Spring</v>
      </c>
      <c r="L1194" s="1" t="str">
        <f ca="1">IFERROR(__xludf.DUMMYFUNCTION("""COMPUTED_VALUE"""),"Portland")</f>
        <v>Portland</v>
      </c>
      <c r="M1194" s="1" t="str">
        <f ca="1">IFERROR(__xludf.DUMMYFUNCTION("""COMPUTED_VALUE"""),"OR")</f>
        <v>OR</v>
      </c>
      <c r="N1194" s="1" t="str">
        <f ca="1">IFERROR(__xludf.DUMMYFUNCTION("""COMPUTED_VALUE"""),"High")</f>
        <v>High</v>
      </c>
      <c r="O1194" s="1" t="str">
        <f ca="1">IFERROR(__xludf.DUMMYFUNCTION("""COMPUTED_VALUE"""),"Classroom")</f>
        <v>Classroom</v>
      </c>
      <c r="P1194" s="1" t="str">
        <f ca="1">IFERROR(__xludf.DUMMYFUNCTION("""COMPUTED_VALUE"""),"Inside School Building")</f>
        <v>Inside School Building</v>
      </c>
      <c r="Q1194" s="1" t="str">
        <f ca="1">IFERROR(__xludf.DUMMYFUNCTION("""COMPUTED_VALUE"""),"Yes")</f>
        <v>Yes</v>
      </c>
      <c r="R1194" s="1" t="str">
        <f ca="1">IFERROR(__xludf.DUMMYFUNCTION("""COMPUTED_VALUE"""),"Morning Classes")</f>
        <v>Morning Classes</v>
      </c>
      <c r="S1194" s="5">
        <f ca="1">IFERROR(__xludf.DUMMYFUNCTION("""COMPUTED_VALUE"""),0.491666666666666)</f>
        <v>0.49166666666666597</v>
      </c>
      <c r="T1194" s="1">
        <f ca="1">IFERROR(__xludf.DUMMYFUNCTION("""COMPUTED_VALUE"""),1)</f>
        <v>1</v>
      </c>
      <c r="U1194" s="1" t="str">
        <f ca="1">IFERROR(__xludf.DUMMYFUNCTION("""COMPUTED_VALUE"""),"Student wearing a trench coat walked into classroom with a shotgun. Tackled by football coach.")</f>
        <v>Student wearing a trench coat walked into classroom with a shotgun. Tackled by football coach.</v>
      </c>
      <c r="V1194" s="1" t="str">
        <f ca="1">IFERROR(__xludf.DUMMYFUNCTION("""COMPUTED_VALUE"""),"Student wearing a trench coat walked into classroom with a shotgun. Tackled by football coach. No shots fired. Suspect arrested. School locked down and dismissed.")</f>
        <v>Student wearing a trench coat walked into classroom with a shotgun. Tackled by football coach. No shots fired. Suspect arrested. School locked down and dismissed.</v>
      </c>
      <c r="W1194" s="1" t="str">
        <f ca="1">IFERROR(__xludf.DUMMYFUNCTION("""COMPUTED_VALUE"""),"Suicide/Attempted")</f>
        <v>Suicide/Attempted</v>
      </c>
      <c r="X1194" s="1"/>
      <c r="Y1194" s="1" t="str">
        <f ca="1">IFERROR(__xludf.DUMMYFUNCTION("""COMPUTED_VALUE"""),"No")</f>
        <v>No</v>
      </c>
      <c r="Z1194" s="1"/>
      <c r="AA1194" s="1" t="str">
        <f ca="1">IFERROR(__xludf.DUMMYFUNCTION("""COMPUTED_VALUE"""),"No")</f>
        <v>No</v>
      </c>
      <c r="AB1194" s="1" t="str">
        <f ca="1">IFERROR(__xludf.DUMMYFUNCTION("""COMPUTED_VALUE"""),"No")</f>
        <v>No</v>
      </c>
      <c r="AC1194" s="1" t="str">
        <f ca="1">IFERROR(__xludf.DUMMYFUNCTION("""COMPUTED_VALUE"""),"No")</f>
        <v>No</v>
      </c>
      <c r="AD1194" s="1"/>
      <c r="AE1194" s="1" t="str">
        <f ca="1">IFERROR(__xludf.DUMMYFUNCTION("""COMPUTED_VALUE"""),"No")</f>
        <v>No</v>
      </c>
      <c r="AF1194" s="1" t="str">
        <f ca="1">IFERROR(__xludf.DUMMYFUNCTION("""COMPUTED_VALUE"""),"No")</f>
        <v>No</v>
      </c>
      <c r="AG1194" s="1" t="str">
        <f ca="1">IFERROR(__xludf.DUMMYFUNCTION("""COMPUTED_VALUE"""),"Yes")</f>
        <v>Yes</v>
      </c>
      <c r="AH1194" s="1">
        <f ca="1">IFERROR(__xludf.DUMMYFUNCTION("""COMPUTED_VALUE"""),0)</f>
        <v>0</v>
      </c>
    </row>
    <row r="1195" spans="1:34" ht="12.5">
      <c r="A1195" s="1" t="str">
        <f ca="1">IFERROR(__xludf.DUMMYFUNCTION("""COMPUTED_VALUE"""),"20190517FLTEJ")</f>
        <v>20190517FLTEJ</v>
      </c>
      <c r="B1195" s="1">
        <f ca="1">IFERROR(__xludf.DUMMYFUNCTION("""COMPUTED_VALUE"""),5)</f>
        <v>5</v>
      </c>
      <c r="C1195" s="1">
        <f ca="1">IFERROR(__xludf.DUMMYFUNCTION("""COMPUTED_VALUE"""),17)</f>
        <v>17</v>
      </c>
      <c r="D1195" s="1">
        <f ca="1">IFERROR(__xludf.DUMMYFUNCTION("""COMPUTED_VALUE"""),2019)</f>
        <v>2019</v>
      </c>
      <c r="E1195" s="4">
        <f ca="1">IFERROR(__xludf.DUMMYFUNCTION("""COMPUTED_VALUE"""),43602)</f>
        <v>43602</v>
      </c>
      <c r="F1195" s="1" t="str">
        <f ca="1">IFERROR(__xludf.DUMMYFUNCTION("""COMPUTED_VALUE"""),"Terry Parker High School")</f>
        <v>Terry Parker High School</v>
      </c>
      <c r="G1195" s="1">
        <f ca="1">IFERROR(__xludf.DUMMYFUNCTION("""COMPUTED_VALUE"""),0)</f>
        <v>0</v>
      </c>
      <c r="H1195" s="1">
        <f ca="1">IFERROR(__xludf.DUMMYFUNCTION("""COMPUTED_VALUE"""),1)</f>
        <v>1</v>
      </c>
      <c r="I1195" s="1">
        <f ca="1">IFERROR(__xludf.DUMMYFUNCTION("""COMPUTED_VALUE"""),1)</f>
        <v>1</v>
      </c>
      <c r="J1195" s="1">
        <f ca="1">IFERROR(__xludf.DUMMYFUNCTION("""COMPUTED_VALUE"""),0)</f>
        <v>0</v>
      </c>
      <c r="K1195" s="1" t="str">
        <f ca="1">IFERROR(__xludf.DUMMYFUNCTION("""COMPUTED_VALUE"""),"Spring")</f>
        <v>Spring</v>
      </c>
      <c r="L1195" s="1" t="str">
        <f ca="1">IFERROR(__xludf.DUMMYFUNCTION("""COMPUTED_VALUE"""),"Jacksonville")</f>
        <v>Jacksonville</v>
      </c>
      <c r="M1195" s="1" t="str">
        <f ca="1">IFERROR(__xludf.DUMMYFUNCTION("""COMPUTED_VALUE"""),"FL")</f>
        <v>FL</v>
      </c>
      <c r="N1195" s="1" t="str">
        <f ca="1">IFERROR(__xludf.DUMMYFUNCTION("""COMPUTED_VALUE"""),"High")</f>
        <v>High</v>
      </c>
      <c r="O1195" s="1" t="str">
        <f ca="1">IFERROR(__xludf.DUMMYFUNCTION("""COMPUTED_VALUE"""),"Parking Lot")</f>
        <v>Parking Lot</v>
      </c>
      <c r="P1195" s="1" t="str">
        <f ca="1">IFERROR(__xludf.DUMMYFUNCTION("""COMPUTED_VALUE"""),"Outside on School Property")</f>
        <v>Outside on School Property</v>
      </c>
      <c r="Q1195" s="1" t="str">
        <f ca="1">IFERROR(__xludf.DUMMYFUNCTION("""COMPUTED_VALUE"""),"No")</f>
        <v>No</v>
      </c>
      <c r="R1195" s="1" t="str">
        <f ca="1">IFERROR(__xludf.DUMMYFUNCTION("""COMPUTED_VALUE"""),"Sport Event")</f>
        <v>Sport Event</v>
      </c>
      <c r="S1195" s="5">
        <f ca="1">IFERROR(__xludf.DUMMYFUNCTION("""COMPUTED_VALUE"""),0.859027777777777)</f>
        <v>0.85902777777777695</v>
      </c>
      <c r="T1195" s="1">
        <f ca="1">IFERROR(__xludf.DUMMYFUNCTION("""COMPUTED_VALUE"""),1)</f>
        <v>1</v>
      </c>
      <c r="U1195" s="1" t="str">
        <f ca="1">IFERROR(__xludf.DUMMYFUNCTION("""COMPUTED_VALUE"""),"Student shot in parking lot after football game.")</f>
        <v>Student shot in parking lot after football game.</v>
      </c>
      <c r="V1195" s="1" t="str">
        <f ca="1">IFERROR(__xludf.DUMMYFUNCTION("""COMPUTED_VALUE"""),"16YOM student shot in the school parking lot following a football game (critical condition). Police said the shooting was targeted and gang involvement is possible. Shooter fled but police reported strong leads on suspects. 6 school resource officers were"&amp;" working during the time of the shooting.")</f>
        <v>16YOM student shot in the school parking lot following a football game (critical condition). Police said the shooting was targeted and gang involvement is possible. Shooter fled but police reported strong leads on suspects. 6 school resource officers were working during the time of the shooting.</v>
      </c>
      <c r="W1195" s="1" t="str">
        <f ca="1">IFERROR(__xludf.DUMMYFUNCTION("""COMPUTED_VALUE"""),"Escalation of Dispute")</f>
        <v>Escalation of Dispute</v>
      </c>
      <c r="X1195" s="1" t="str">
        <f ca="1">IFERROR(__xludf.DUMMYFUNCTION("""COMPUTED_VALUE"""),"Victims Targeted")</f>
        <v>Victims Targeted</v>
      </c>
      <c r="Y1195" s="1" t="str">
        <f ca="1">IFERROR(__xludf.DUMMYFUNCTION("""COMPUTED_VALUE"""),"Yes")</f>
        <v>Yes</v>
      </c>
      <c r="Z1195" s="1" t="str">
        <f ca="1">IFERROR(__xludf.DUMMYFUNCTION("""COMPUTED_VALUE"""),"Several men approached victim")</f>
        <v>Several men approached victim</v>
      </c>
      <c r="AA1195" s="1" t="str">
        <f ca="1">IFERROR(__xludf.DUMMYFUNCTION("""COMPUTED_VALUE"""),"No")</f>
        <v>No</v>
      </c>
      <c r="AB1195" s="1" t="str">
        <f ca="1">IFERROR(__xludf.DUMMYFUNCTION("""COMPUTED_VALUE"""),"No")</f>
        <v>No</v>
      </c>
      <c r="AC1195" s="1" t="str">
        <f ca="1">IFERROR(__xludf.DUMMYFUNCTION("""COMPUTED_VALUE"""),"No")</f>
        <v>No</v>
      </c>
      <c r="AD1195" s="1" t="str">
        <f ca="1">IFERROR(__xludf.DUMMYFUNCTION("""COMPUTED_VALUE"""),"No")</f>
        <v>No</v>
      </c>
      <c r="AE1195" s="1" t="str">
        <f ca="1">IFERROR(__xludf.DUMMYFUNCTION("""COMPUTED_VALUE"""),"No")</f>
        <v>No</v>
      </c>
      <c r="AF1195" s="1" t="str">
        <f ca="1">IFERROR(__xludf.DUMMYFUNCTION("""COMPUTED_VALUE"""),"Yes")</f>
        <v>Yes</v>
      </c>
      <c r="AG1195" s="1" t="str">
        <f ca="1">IFERROR(__xludf.DUMMYFUNCTION("""COMPUTED_VALUE"""),"No")</f>
        <v>No</v>
      </c>
      <c r="AH1195" s="1">
        <f ca="1">IFERROR(__xludf.DUMMYFUNCTION("""COMPUTED_VALUE"""),1)</f>
        <v>1</v>
      </c>
    </row>
    <row r="1196" spans="1:34" ht="12.5">
      <c r="A1196" s="1" t="str">
        <f ca="1">IFERROR(__xludf.DUMMYFUNCTION("""COMPUTED_VALUE"""),"20190508ILSEC")</f>
        <v>20190508ILSEC</v>
      </c>
      <c r="B1196" s="1">
        <f ca="1">IFERROR(__xludf.DUMMYFUNCTION("""COMPUTED_VALUE"""),5)</f>
        <v>5</v>
      </c>
      <c r="C1196" s="1">
        <f ca="1">IFERROR(__xludf.DUMMYFUNCTION("""COMPUTED_VALUE"""),8)</f>
        <v>8</v>
      </c>
      <c r="D1196" s="1">
        <f ca="1">IFERROR(__xludf.DUMMYFUNCTION("""COMPUTED_VALUE"""),2019)</f>
        <v>2019</v>
      </c>
      <c r="E1196" s="4">
        <f ca="1">IFERROR(__xludf.DUMMYFUNCTION("""COMPUTED_VALUE"""),43593)</f>
        <v>43593</v>
      </c>
      <c r="F1196" s="1" t="str">
        <f ca="1">IFERROR(__xludf.DUMMYFUNCTION("""COMPUTED_VALUE"""),"Second Change High School")</f>
        <v>Second Change High School</v>
      </c>
      <c r="G1196" s="1">
        <f ca="1">IFERROR(__xludf.DUMMYFUNCTION("""COMPUTED_VALUE"""),0)</f>
        <v>0</v>
      </c>
      <c r="H1196" s="1">
        <f ca="1">IFERROR(__xludf.DUMMYFUNCTION("""COMPUTED_VALUE"""),1)</f>
        <v>1</v>
      </c>
      <c r="I1196" s="1">
        <f ca="1">IFERROR(__xludf.DUMMYFUNCTION("""COMPUTED_VALUE"""),1)</f>
        <v>1</v>
      </c>
      <c r="J1196" s="1">
        <f ca="1">IFERROR(__xludf.DUMMYFUNCTION("""COMPUTED_VALUE"""),0)</f>
        <v>0</v>
      </c>
      <c r="K1196" s="1" t="str">
        <f ca="1">IFERROR(__xludf.DUMMYFUNCTION("""COMPUTED_VALUE"""),"Spring")</f>
        <v>Spring</v>
      </c>
      <c r="L1196" s="1" t="str">
        <f ca="1">IFERROR(__xludf.DUMMYFUNCTION("""COMPUTED_VALUE"""),"Chicago")</f>
        <v>Chicago</v>
      </c>
      <c r="M1196" s="1" t="str">
        <f ca="1">IFERROR(__xludf.DUMMYFUNCTION("""COMPUTED_VALUE"""),"IL")</f>
        <v>IL</v>
      </c>
      <c r="N1196" s="1" t="str">
        <f ca="1">IFERROR(__xludf.DUMMYFUNCTION("""COMPUTED_VALUE"""),"High")</f>
        <v>High</v>
      </c>
      <c r="O1196" s="1" t="str">
        <f ca="1">IFERROR(__xludf.DUMMYFUNCTION("""COMPUTED_VALUE"""),"Parking Lot")</f>
        <v>Parking Lot</v>
      </c>
      <c r="P1196" s="1" t="str">
        <f ca="1">IFERROR(__xludf.DUMMYFUNCTION("""COMPUTED_VALUE"""),"Outside on School Property")</f>
        <v>Outside on School Property</v>
      </c>
      <c r="Q1196" s="1" t="str">
        <f ca="1">IFERROR(__xludf.DUMMYFUNCTION("""COMPUTED_VALUE"""),"Yes")</f>
        <v>Yes</v>
      </c>
      <c r="R1196" s="1" t="str">
        <f ca="1">IFERROR(__xludf.DUMMYFUNCTION("""COMPUTED_VALUE"""),"Dismissal")</f>
        <v>Dismissal</v>
      </c>
      <c r="S1196" s="5">
        <f ca="1">IFERROR(__xludf.DUMMYFUNCTION("""COMPUTED_VALUE"""),0.666666666666666)</f>
        <v>0.66666666666666596</v>
      </c>
      <c r="T1196" s="1">
        <f ca="1">IFERROR(__xludf.DUMMYFUNCTION("""COMPUTED_VALUE"""),1)</f>
        <v>1</v>
      </c>
      <c r="U1196" s="1" t="str">
        <f ca="1">IFERROR(__xludf.DUMMYFUNCTION("""COMPUTED_VALUE"""),"19YOM student shot in school parking lot during targeted shooting")</f>
        <v>19YOM student shot in school parking lot during targeted shooting</v>
      </c>
      <c r="V1196" s="1" t="str">
        <f ca="1">IFERROR(__xludf.DUMMYFUNCTION("""COMPUTED_VALUE"""),"Vehicle circled high school parking lot while 19YOM was exiting school building. Single shot fired that struck him in the neck. Critically injured. Shooter fled in vehicle and was arrested the following day.")</f>
        <v>Vehicle circled high school parking lot while 19YOM was exiting school building. Single shot fired that struck him in the neck. Critically injured. Shooter fled in vehicle and was arrested the following day.</v>
      </c>
      <c r="W1196" s="1" t="str">
        <f ca="1">IFERROR(__xludf.DUMMYFUNCTION("""COMPUTED_VALUE"""),"Drive-by Shooting")</f>
        <v>Drive-by Shooting</v>
      </c>
      <c r="X1196" s="1" t="str">
        <f ca="1">IFERROR(__xludf.DUMMYFUNCTION("""COMPUTED_VALUE"""),"Victims Targeted")</f>
        <v>Victims Targeted</v>
      </c>
      <c r="Y1196" s="1" t="str">
        <f ca="1">IFERROR(__xludf.DUMMYFUNCTION("""COMPUTED_VALUE"""),"No")</f>
        <v>No</v>
      </c>
      <c r="Z1196" s="1"/>
      <c r="AA1196" s="1" t="str">
        <f ca="1">IFERROR(__xludf.DUMMYFUNCTION("""COMPUTED_VALUE"""),"No")</f>
        <v>No</v>
      </c>
      <c r="AB1196" s="1" t="str">
        <f ca="1">IFERROR(__xludf.DUMMYFUNCTION("""COMPUTED_VALUE"""),"No")</f>
        <v>No</v>
      </c>
      <c r="AC1196" s="1" t="str">
        <f ca="1">IFERROR(__xludf.DUMMYFUNCTION("""COMPUTED_VALUE"""),"No")</f>
        <v>No</v>
      </c>
      <c r="AD1196" s="1" t="str">
        <f ca="1">IFERROR(__xludf.DUMMYFUNCTION("""COMPUTED_VALUE"""),"No")</f>
        <v>No</v>
      </c>
      <c r="AE1196" s="1" t="str">
        <f ca="1">IFERROR(__xludf.DUMMYFUNCTION("""COMPUTED_VALUE"""),"No")</f>
        <v>No</v>
      </c>
      <c r="AF1196" s="1"/>
      <c r="AG1196" s="1" t="str">
        <f ca="1">IFERROR(__xludf.DUMMYFUNCTION("""COMPUTED_VALUE"""),"No")</f>
        <v>No</v>
      </c>
      <c r="AH1196" s="1">
        <f ca="1">IFERROR(__xludf.DUMMYFUNCTION("""COMPUTED_VALUE"""),1)</f>
        <v>1</v>
      </c>
    </row>
    <row r="1197" spans="1:34" ht="12.5">
      <c r="A1197" s="1" t="str">
        <f ca="1">IFERROR(__xludf.DUMMYFUNCTION("""COMPUTED_VALUE"""),"20190507COSTH")</f>
        <v>20190507COSTH</v>
      </c>
      <c r="B1197" s="1">
        <f ca="1">IFERROR(__xludf.DUMMYFUNCTION("""COMPUTED_VALUE"""),5)</f>
        <v>5</v>
      </c>
      <c r="C1197" s="1">
        <f ca="1">IFERROR(__xludf.DUMMYFUNCTION("""COMPUTED_VALUE"""),7)</f>
        <v>7</v>
      </c>
      <c r="D1197" s="1">
        <f ca="1">IFERROR(__xludf.DUMMYFUNCTION("""COMPUTED_VALUE"""),2019)</f>
        <v>2019</v>
      </c>
      <c r="E1197" s="4">
        <f ca="1">IFERROR(__xludf.DUMMYFUNCTION("""COMPUTED_VALUE"""),43592)</f>
        <v>43592</v>
      </c>
      <c r="F1197" s="1" t="str">
        <f ca="1">IFERROR(__xludf.DUMMYFUNCTION("""COMPUTED_VALUE"""),"STEM School Highlands Ranch")</f>
        <v>STEM School Highlands Ranch</v>
      </c>
      <c r="G1197" s="1">
        <f ca="1">IFERROR(__xludf.DUMMYFUNCTION("""COMPUTED_VALUE"""),1)</f>
        <v>1</v>
      </c>
      <c r="H1197" s="1">
        <f ca="1">IFERROR(__xludf.DUMMYFUNCTION("""COMPUTED_VALUE"""),8)</f>
        <v>8</v>
      </c>
      <c r="I1197" s="1">
        <f ca="1">IFERROR(__xludf.DUMMYFUNCTION("""COMPUTED_VALUE"""),9)</f>
        <v>9</v>
      </c>
      <c r="J1197" s="1">
        <f ca="1">IFERROR(__xludf.DUMMYFUNCTION("""COMPUTED_VALUE"""),0)</f>
        <v>0</v>
      </c>
      <c r="K1197" s="1" t="str">
        <f ca="1">IFERROR(__xludf.DUMMYFUNCTION("""COMPUTED_VALUE"""),"Spring")</f>
        <v>Spring</v>
      </c>
      <c r="L1197" s="1" t="str">
        <f ca="1">IFERROR(__xludf.DUMMYFUNCTION("""COMPUTED_VALUE"""),"Highlands Ranch")</f>
        <v>Highlands Ranch</v>
      </c>
      <c r="M1197" s="1" t="str">
        <f ca="1">IFERROR(__xludf.DUMMYFUNCTION("""COMPUTED_VALUE"""),"CO")</f>
        <v>CO</v>
      </c>
      <c r="N1197" s="1" t="str">
        <f ca="1">IFERROR(__xludf.DUMMYFUNCTION("""COMPUTED_VALUE"""),"K-12")</f>
        <v>K-12</v>
      </c>
      <c r="O1197" s="1" t="str">
        <f ca="1">IFERROR(__xludf.DUMMYFUNCTION("""COMPUTED_VALUE"""),"Classroom")</f>
        <v>Classroom</v>
      </c>
      <c r="P1197" s="1" t="str">
        <f ca="1">IFERROR(__xludf.DUMMYFUNCTION("""COMPUTED_VALUE"""),"Inside School Building")</f>
        <v>Inside School Building</v>
      </c>
      <c r="Q1197" s="1" t="str">
        <f ca="1">IFERROR(__xludf.DUMMYFUNCTION("""COMPUTED_VALUE"""),"Yes")</f>
        <v>Yes</v>
      </c>
      <c r="R1197" s="1" t="str">
        <f ca="1">IFERROR(__xludf.DUMMYFUNCTION("""COMPUTED_VALUE"""),"Afternoon Classes")</f>
        <v>Afternoon Classes</v>
      </c>
      <c r="S1197" s="5">
        <f ca="1">IFERROR(__xludf.DUMMYFUNCTION("""COMPUTED_VALUE"""),0.583333333333333)</f>
        <v>0.58333333333333304</v>
      </c>
      <c r="T1197" s="1">
        <f ca="1">IFERROR(__xludf.DUMMYFUNCTION("""COMPUTED_VALUE"""),2)</f>
        <v>2</v>
      </c>
      <c r="U1197" s="1" t="str">
        <f ca="1">IFERROR(__xludf.DUMMYFUNCTION("""COMPUTED_VALUE"""),"Two students planned attack on school, subdued by other students and law enforcement")</f>
        <v>Two students planned attack on school, subdued by other students and law enforcement</v>
      </c>
      <c r="V1197" s="1" t="str">
        <f ca="1">IFERROR(__xludf.DUMMYFUNCTION("""COMPUTED_VALUE"""),"Two suspects - current students - 18YOM and a 16YOTF, entered the school armed with handguns and engaged students at two separate locations. The male suspect reportedly shouted to students not to move, several students charged at the suspect, and one of t"&amp;"hem was shot/killed. Some students used the time to get away from the room. 8 people were injured*, 4 in critical condition. Male suspect reportedly took the gun out of a what looked like a guitar case and started shooting. The assigned armed guard at the"&amp;" school confronted the male suspect. After a struggle, both suspects were arrested by police who arrived within 2 minutes. People living nearby and other students helped the wounded victims. One of the students reported that the male suspect had talked ab"&amp;"out causing harm but was never taken seriously. Initial information does not show if female suspect fired her weapon.  Police inspected male suspect's home and vehicle.  The female suspect was allegedly bullied for transgender identity. *One student was i"&amp;"njured from shot from armed private security guard. Suspects allegedly used cocaine before the shooting and broke into male suspect's parents' gun safe with an axe. Male suspect later claimed he was forced to go through with the plan due to fear for his l"&amp;"ife and the female suspect was the one planning the shooting for weeks.
 Preliminary trial hearing: McKinney was abused as a child, witnessed physical abuse of mother, cut his arms, hospitalized 7 times in the year prior to the shooting.")</f>
        <v>Two suspects - current students - 18YOM and a 16YOTF, entered the school armed with handguns and engaged students at two separate locations. The male suspect reportedly shouted to students not to move, several students charged at the suspect, and one of them was shot/killed. Some students used the time to get away from the room. 8 people were injured*, 4 in critical condition. Male suspect reportedly took the gun out of a what looked like a guitar case and started shooting. The assigned armed guard at the school confronted the male suspect. After a struggle, both suspects were arrested by police who arrived within 2 minutes. People living nearby and other students helped the wounded victims. One of the students reported that the male suspect had talked about causing harm but was never taken seriously. Initial information does not show if female suspect fired her weapon.  Police inspected male suspect's home and vehicle.  The female suspect was allegedly bullied for transgender identity. *One student was injured from shot from armed private security guard. Suspects allegedly used cocaine before the shooting and broke into male suspect's parents' gun safe with an axe. Male suspect later claimed he was forced to go through with the plan due to fear for his life and the female suspect was the one planning the shooting for weeks.
 Preliminary trial hearing: McKinney was abused as a child, witnessed physical abuse of mother, cut his arms, hospitalized 7 times in the year prior to the shooting.</v>
      </c>
      <c r="W1197" s="1" t="str">
        <f ca="1">IFERROR(__xludf.DUMMYFUNCTION("""COMPUTED_VALUE"""),"Indiscriminate Shooting")</f>
        <v>Indiscriminate Shooting</v>
      </c>
      <c r="X1197" s="1"/>
      <c r="Y1197" s="1" t="str">
        <f ca="1">IFERROR(__xludf.DUMMYFUNCTION("""COMPUTED_VALUE"""),"Yes")</f>
        <v>Yes</v>
      </c>
      <c r="Z1197" s="1" t="str">
        <f ca="1">IFERROR(__xludf.DUMMYFUNCTION("""COMPUTED_VALUE"""),"second suspect was a juvenile female")</f>
        <v>second suspect was a juvenile female</v>
      </c>
      <c r="AA1197" s="1" t="str">
        <f ca="1">IFERROR(__xludf.DUMMYFUNCTION("""COMPUTED_VALUE"""),"No")</f>
        <v>No</v>
      </c>
      <c r="AB1197" s="1" t="str">
        <f ca="1">IFERROR(__xludf.DUMMYFUNCTION("""COMPUTED_VALUE"""),"No")</f>
        <v>No</v>
      </c>
      <c r="AC1197" s="1" t="str">
        <f ca="1">IFERROR(__xludf.DUMMYFUNCTION("""COMPUTED_VALUE"""),"No")</f>
        <v>No</v>
      </c>
      <c r="AD1197" s="1" t="str">
        <f ca="1">IFERROR(__xludf.DUMMYFUNCTION("""COMPUTED_VALUE"""),"Yes")</f>
        <v>Yes</v>
      </c>
      <c r="AE1197" s="1" t="str">
        <f ca="1">IFERROR(__xludf.DUMMYFUNCTION("""COMPUTED_VALUE"""),"No")</f>
        <v>No</v>
      </c>
      <c r="AF1197" s="1" t="str">
        <f ca="1">IFERROR(__xludf.DUMMYFUNCTION("""COMPUTED_VALUE"""),"No")</f>
        <v>No</v>
      </c>
      <c r="AG1197" s="1" t="str">
        <f ca="1">IFERROR(__xludf.DUMMYFUNCTION("""COMPUTED_VALUE"""),"Yes")</f>
        <v>Yes</v>
      </c>
      <c r="AH1197" s="1" t="str">
        <f ca="1">IFERROR(__xludf.DUMMYFUNCTION("""COMPUTED_VALUE"""),"&gt;10")</f>
        <v>&gt;10</v>
      </c>
    </row>
    <row r="1198" spans="1:34" ht="12.5">
      <c r="A1198" s="1" t="str">
        <f ca="1">IFERROR(__xludf.DUMMYFUNCTION("""COMPUTED_VALUE"""),"20190430VACDW")</f>
        <v>20190430VACDW</v>
      </c>
      <c r="B1198" s="1">
        <f ca="1">IFERROR(__xludf.DUMMYFUNCTION("""COMPUTED_VALUE"""),4)</f>
        <v>4</v>
      </c>
      <c r="C1198" s="1">
        <f ca="1">IFERROR(__xludf.DUMMYFUNCTION("""COMPUTED_VALUE"""),30)</f>
        <v>30</v>
      </c>
      <c r="D1198" s="1">
        <f ca="1">IFERROR(__xludf.DUMMYFUNCTION("""COMPUTED_VALUE"""),2019)</f>
        <v>2019</v>
      </c>
      <c r="E1198" s="4">
        <f ca="1">IFERROR(__xludf.DUMMYFUNCTION("""COMPUTED_VALUE"""),43585)</f>
        <v>43585</v>
      </c>
      <c r="F1198" s="1" t="str">
        <f ca="1">IFERROR(__xludf.DUMMYFUNCTION("""COMPUTED_VALUE"""),"C D Hylton High School")</f>
        <v>C D Hylton High School</v>
      </c>
      <c r="G1198" s="1">
        <f ca="1">IFERROR(__xludf.DUMMYFUNCTION("""COMPUTED_VALUE"""),0)</f>
        <v>0</v>
      </c>
      <c r="H1198" s="1">
        <f ca="1">IFERROR(__xludf.DUMMYFUNCTION("""COMPUTED_VALUE"""),0)</f>
        <v>0</v>
      </c>
      <c r="I1198" s="1">
        <f ca="1">IFERROR(__xludf.DUMMYFUNCTION("""COMPUTED_VALUE"""),0)</f>
        <v>0</v>
      </c>
      <c r="J1198" s="1">
        <f ca="1">IFERROR(__xludf.DUMMYFUNCTION("""COMPUTED_VALUE"""),0)</f>
        <v>0</v>
      </c>
      <c r="K1198" s="1" t="str">
        <f ca="1">IFERROR(__xludf.DUMMYFUNCTION("""COMPUTED_VALUE"""),"Spring")</f>
        <v>Spring</v>
      </c>
      <c r="L1198" s="1" t="str">
        <f ca="1">IFERROR(__xludf.DUMMYFUNCTION("""COMPUTED_VALUE"""),"Woodbridge")</f>
        <v>Woodbridge</v>
      </c>
      <c r="M1198" s="1" t="str">
        <f ca="1">IFERROR(__xludf.DUMMYFUNCTION("""COMPUTED_VALUE"""),"VA")</f>
        <v>VA</v>
      </c>
      <c r="N1198" s="1" t="str">
        <f ca="1">IFERROR(__xludf.DUMMYFUNCTION("""COMPUTED_VALUE"""),"High")</f>
        <v>High</v>
      </c>
      <c r="O1198" s="1" t="str">
        <f ca="1">IFERROR(__xludf.DUMMYFUNCTION("""COMPUTED_VALUE"""),"Classroom")</f>
        <v>Classroom</v>
      </c>
      <c r="P1198" s="1" t="str">
        <f ca="1">IFERROR(__xludf.DUMMYFUNCTION("""COMPUTED_VALUE"""),"Inside School Building")</f>
        <v>Inside School Building</v>
      </c>
      <c r="Q1198" s="1" t="str">
        <f ca="1">IFERROR(__xludf.DUMMYFUNCTION("""COMPUTED_VALUE"""),"Yes")</f>
        <v>Yes</v>
      </c>
      <c r="R1198" s="1" t="str">
        <f ca="1">IFERROR(__xludf.DUMMYFUNCTION("""COMPUTED_VALUE"""),"Afternoon Classes")</f>
        <v>Afternoon Classes</v>
      </c>
      <c r="S1198" s="5">
        <f ca="1">IFERROR(__xludf.DUMMYFUNCTION("""COMPUTED_VALUE"""),0.5)</f>
        <v>0.5</v>
      </c>
      <c r="T1198" s="1">
        <f ca="1">IFERROR(__xludf.DUMMYFUNCTION("""COMPUTED_VALUE"""),1)</f>
        <v>1</v>
      </c>
      <c r="U1198" s="1" t="str">
        <f ca="1">IFERROR(__xludf.DUMMYFUNCTION("""COMPUTED_VALUE"""),"Student fired gun in classroom, fled classroom, hid gun, and was arrested by SRO")</f>
        <v>Student fired gun in classroom, fled classroom, hid gun, and was arrested by SRO</v>
      </c>
      <c r="V1198" s="1" t="str">
        <f ca="1">IFERROR(__xludf.DUMMYFUNCTION("""COMPUTED_VALUE"""),"Student fired gun in classroom. May have been showing gun to other students. Shooter fled classroom and hid the gun in another classroom. Shooter was detained by SRO. School locked down. No injuries.")</f>
        <v>Student fired gun in classroom. May have been showing gun to other students. Shooter fled classroom and hid the gun in another classroom. Shooter was detained by SRO. School locked down. No injuries.</v>
      </c>
      <c r="W1198" s="1" t="str">
        <f ca="1">IFERROR(__xludf.DUMMYFUNCTION("""COMPUTED_VALUE"""),"Accidental")</f>
        <v>Accidental</v>
      </c>
      <c r="X1198" s="1" t="str">
        <f ca="1">IFERROR(__xludf.DUMMYFUNCTION("""COMPUTED_VALUE"""),"Neither")</f>
        <v>Neither</v>
      </c>
      <c r="Y1198" s="1" t="str">
        <f ca="1">IFERROR(__xludf.DUMMYFUNCTION("""COMPUTED_VALUE"""),"No")</f>
        <v>No</v>
      </c>
      <c r="Z1198" s="1"/>
      <c r="AA1198" s="1" t="str">
        <f ca="1">IFERROR(__xludf.DUMMYFUNCTION("""COMPUTED_VALUE"""),"No")</f>
        <v>No</v>
      </c>
      <c r="AB1198" s="1" t="str">
        <f ca="1">IFERROR(__xludf.DUMMYFUNCTION("""COMPUTED_VALUE"""),"No")</f>
        <v>No</v>
      </c>
      <c r="AC1198" s="1" t="str">
        <f ca="1">IFERROR(__xludf.DUMMYFUNCTION("""COMPUTED_VALUE"""),"No")</f>
        <v>No</v>
      </c>
      <c r="AD1198" s="1" t="str">
        <f ca="1">IFERROR(__xludf.DUMMYFUNCTION("""COMPUTED_VALUE"""),"No")</f>
        <v>No</v>
      </c>
      <c r="AE1198" s="1" t="str">
        <f ca="1">IFERROR(__xludf.DUMMYFUNCTION("""COMPUTED_VALUE"""),"No")</f>
        <v>No</v>
      </c>
      <c r="AF1198" s="1" t="str">
        <f ca="1">IFERROR(__xludf.DUMMYFUNCTION("""COMPUTED_VALUE"""),"No")</f>
        <v>No</v>
      </c>
      <c r="AG1198" s="1" t="str">
        <f ca="1">IFERROR(__xludf.DUMMYFUNCTION("""COMPUTED_VALUE"""),"No")</f>
        <v>No</v>
      </c>
      <c r="AH1198" s="1">
        <f ca="1">IFERROR(__xludf.DUMMYFUNCTION("""COMPUTED_VALUE"""),1)</f>
        <v>1</v>
      </c>
    </row>
    <row r="1199" spans="1:34" ht="12.5">
      <c r="A1199" s="1" t="str">
        <f ca="1">IFERROR(__xludf.DUMMYFUNCTION("""COMPUTED_VALUE"""),"20190430FLWEW")</f>
        <v>20190430FLWEW</v>
      </c>
      <c r="B1199" s="1">
        <f ca="1">IFERROR(__xludf.DUMMYFUNCTION("""COMPUTED_VALUE"""),4)</f>
        <v>4</v>
      </c>
      <c r="C1199" s="1">
        <f ca="1">IFERROR(__xludf.DUMMYFUNCTION("""COMPUTED_VALUE"""),30)</f>
        <v>30</v>
      </c>
      <c r="D1199" s="1">
        <f ca="1">IFERROR(__xludf.DUMMYFUNCTION("""COMPUTED_VALUE"""),2019)</f>
        <v>2019</v>
      </c>
      <c r="E1199" s="4">
        <f ca="1">IFERROR(__xludf.DUMMYFUNCTION("""COMPUTED_VALUE"""),43585)</f>
        <v>43585</v>
      </c>
      <c r="F1199" s="1" t="str">
        <f ca="1">IFERROR(__xludf.DUMMYFUNCTION("""COMPUTED_VALUE"""),"Weightman Middle School")</f>
        <v>Weightman Middle School</v>
      </c>
      <c r="G1199" s="1">
        <f ca="1">IFERROR(__xludf.DUMMYFUNCTION("""COMPUTED_VALUE"""),0)</f>
        <v>0</v>
      </c>
      <c r="H1199" s="1">
        <f ca="1">IFERROR(__xludf.DUMMYFUNCTION("""COMPUTED_VALUE"""),0)</f>
        <v>0</v>
      </c>
      <c r="I1199" s="1">
        <f ca="1">IFERROR(__xludf.DUMMYFUNCTION("""COMPUTED_VALUE"""),0)</f>
        <v>0</v>
      </c>
      <c r="J1199" s="1">
        <f ca="1">IFERROR(__xludf.DUMMYFUNCTION("""COMPUTED_VALUE"""),0)</f>
        <v>0</v>
      </c>
      <c r="K1199" s="1" t="str">
        <f ca="1">IFERROR(__xludf.DUMMYFUNCTION("""COMPUTED_VALUE"""),"Spring")</f>
        <v>Spring</v>
      </c>
      <c r="L1199" s="1" t="str">
        <f ca="1">IFERROR(__xludf.DUMMYFUNCTION("""COMPUTED_VALUE"""),"Wesley Chapel")</f>
        <v>Wesley Chapel</v>
      </c>
      <c r="M1199" s="1" t="str">
        <f ca="1">IFERROR(__xludf.DUMMYFUNCTION("""COMPUTED_VALUE"""),"FL")</f>
        <v>FL</v>
      </c>
      <c r="N1199" s="1" t="str">
        <f ca="1">IFERROR(__xludf.DUMMYFUNCTION("""COMPUTED_VALUE"""),"Middle")</f>
        <v>Middle</v>
      </c>
      <c r="O1199" s="1" t="str">
        <f ca="1">IFERROR(__xludf.DUMMYFUNCTION("""COMPUTED_VALUE"""),"Cafeteria")</f>
        <v>Cafeteria</v>
      </c>
      <c r="P1199" s="1" t="str">
        <f ca="1">IFERROR(__xludf.DUMMYFUNCTION("""COMPUTED_VALUE"""),"Inside School Building")</f>
        <v>Inside School Building</v>
      </c>
      <c r="Q1199" s="1" t="str">
        <f ca="1">IFERROR(__xludf.DUMMYFUNCTION("""COMPUTED_VALUE"""),"Yes")</f>
        <v>Yes</v>
      </c>
      <c r="R1199" s="1" t="str">
        <f ca="1">IFERROR(__xludf.DUMMYFUNCTION("""COMPUTED_VALUE"""),"Lunch")</f>
        <v>Lunch</v>
      </c>
      <c r="S1199" s="5">
        <f ca="1">IFERROR(__xludf.DUMMYFUNCTION("""COMPUTED_VALUE"""),0.5)</f>
        <v>0.5</v>
      </c>
      <c r="T1199" s="1">
        <f ca="1">IFERROR(__xludf.DUMMYFUNCTION("""COMPUTED_VALUE"""),1)</f>
        <v>1</v>
      </c>
      <c r="U1199" s="1" t="str">
        <f ca="1">IFERROR(__xludf.DUMMYFUNCTION("""COMPUTED_VALUE"""),"SRO's gun discharged in school cafeteria during the school day")</f>
        <v>SRO's gun discharged in school cafeteria during the school day</v>
      </c>
      <c r="V1199" s="1" t="str">
        <f ca="1">IFERROR(__xludf.DUMMYFUNCTION("""COMPUTED_VALUE"""),"Armed SRO was standing against wall near lunch line when duty weapon discharged striking wall. Multiple students were standing nearby in the lunch line. No injuries.")</f>
        <v>Armed SRO was standing against wall near lunch line when duty weapon discharged striking wall. Multiple students were standing nearby in the lunch line. No injuries.</v>
      </c>
      <c r="W1199" s="1" t="str">
        <f ca="1">IFERROR(__xludf.DUMMYFUNCTION("""COMPUTED_VALUE"""),"Accidental")</f>
        <v>Accidental</v>
      </c>
      <c r="X1199" s="1" t="str">
        <f ca="1">IFERROR(__xludf.DUMMYFUNCTION("""COMPUTED_VALUE"""),"Neither")</f>
        <v>Neither</v>
      </c>
      <c r="Y1199" s="1" t="str">
        <f ca="1">IFERROR(__xludf.DUMMYFUNCTION("""COMPUTED_VALUE"""),"No")</f>
        <v>No</v>
      </c>
      <c r="Z1199" s="1"/>
      <c r="AA1199" s="1" t="str">
        <f ca="1">IFERROR(__xludf.DUMMYFUNCTION("""COMPUTED_VALUE"""),"No")</f>
        <v>No</v>
      </c>
      <c r="AB1199" s="1" t="str">
        <f ca="1">IFERROR(__xludf.DUMMYFUNCTION("""COMPUTED_VALUE"""),"No")</f>
        <v>No</v>
      </c>
      <c r="AC1199" s="1" t="str">
        <f ca="1">IFERROR(__xludf.DUMMYFUNCTION("""COMPUTED_VALUE"""),"Yes")</f>
        <v>Yes</v>
      </c>
      <c r="AD1199" s="1" t="str">
        <f ca="1">IFERROR(__xludf.DUMMYFUNCTION("""COMPUTED_VALUE"""),"N/A")</f>
        <v>N/A</v>
      </c>
      <c r="AE1199" s="1" t="str">
        <f ca="1">IFERROR(__xludf.DUMMYFUNCTION("""COMPUTED_VALUE"""),"N/A")</f>
        <v>N/A</v>
      </c>
      <c r="AF1199" s="1" t="str">
        <f ca="1">IFERROR(__xludf.DUMMYFUNCTION("""COMPUTED_VALUE"""),"N/A")</f>
        <v>N/A</v>
      </c>
      <c r="AG1199" s="1" t="str">
        <f ca="1">IFERROR(__xludf.DUMMYFUNCTION("""COMPUTED_VALUE"""),"No")</f>
        <v>No</v>
      </c>
      <c r="AH1199" s="1">
        <f ca="1">IFERROR(__xludf.DUMMYFUNCTION("""COMPUTED_VALUE"""),1)</f>
        <v>1</v>
      </c>
    </row>
    <row r="1200" spans="1:34" ht="12.5">
      <c r="A1200" s="1" t="str">
        <f ca="1">IFERROR(__xludf.DUMMYFUNCTION("""COMPUTED_VALUE"""),"20190426GACRF")</f>
        <v>20190426GACRF</v>
      </c>
      <c r="B1200" s="1">
        <f ca="1">IFERROR(__xludf.DUMMYFUNCTION("""COMPUTED_VALUE"""),4)</f>
        <v>4</v>
      </c>
      <c r="C1200" s="1">
        <f ca="1">IFERROR(__xludf.DUMMYFUNCTION("""COMPUTED_VALUE"""),26)</f>
        <v>26</v>
      </c>
      <c r="D1200" s="1">
        <f ca="1">IFERROR(__xludf.DUMMYFUNCTION("""COMPUTED_VALUE"""),2019)</f>
        <v>2019</v>
      </c>
      <c r="E1200" s="4">
        <f ca="1">IFERROR(__xludf.DUMMYFUNCTION("""COMPUTED_VALUE"""),43581)</f>
        <v>43581</v>
      </c>
      <c r="F1200" s="1" t="str">
        <f ca="1">IFERROR(__xludf.DUMMYFUNCTION("""COMPUTED_VALUE"""),"Creekside High School")</f>
        <v>Creekside High School</v>
      </c>
      <c r="G1200" s="1">
        <f ca="1">IFERROR(__xludf.DUMMYFUNCTION("""COMPUTED_VALUE"""),0)</f>
        <v>0</v>
      </c>
      <c r="H1200" s="1">
        <f ca="1">IFERROR(__xludf.DUMMYFUNCTION("""COMPUTED_VALUE"""),0)</f>
        <v>0</v>
      </c>
      <c r="I1200" s="1">
        <f ca="1">IFERROR(__xludf.DUMMYFUNCTION("""COMPUTED_VALUE"""),0)</f>
        <v>0</v>
      </c>
      <c r="J1200" s="1">
        <f ca="1">IFERROR(__xludf.DUMMYFUNCTION("""COMPUTED_VALUE"""),0)</f>
        <v>0</v>
      </c>
      <c r="K1200" s="1" t="str">
        <f ca="1">IFERROR(__xludf.DUMMYFUNCTION("""COMPUTED_VALUE"""),"Spring")</f>
        <v>Spring</v>
      </c>
      <c r="L1200" s="1" t="str">
        <f ca="1">IFERROR(__xludf.DUMMYFUNCTION("""COMPUTED_VALUE"""),"Fairburn")</f>
        <v>Fairburn</v>
      </c>
      <c r="M1200" s="1" t="str">
        <f ca="1">IFERROR(__xludf.DUMMYFUNCTION("""COMPUTED_VALUE"""),"GA")</f>
        <v>GA</v>
      </c>
      <c r="N1200" s="1" t="str">
        <f ca="1">IFERROR(__xludf.DUMMYFUNCTION("""COMPUTED_VALUE"""),"High")</f>
        <v>High</v>
      </c>
      <c r="O1200" s="1" t="str">
        <f ca="1">IFERROR(__xludf.DUMMYFUNCTION("""COMPUTED_VALUE"""),"School Bus")</f>
        <v>School Bus</v>
      </c>
      <c r="P1200" s="1" t="str">
        <f ca="1">IFERROR(__xludf.DUMMYFUNCTION("""COMPUTED_VALUE"""),"School Bus")</f>
        <v>School Bus</v>
      </c>
      <c r="Q1200" s="1" t="str">
        <f ca="1">IFERROR(__xludf.DUMMYFUNCTION("""COMPUTED_VALUE"""),"No")</f>
        <v>No</v>
      </c>
      <c r="R1200" s="1" t="str">
        <f ca="1">IFERROR(__xludf.DUMMYFUNCTION("""COMPUTED_VALUE"""),"Dismissal")</f>
        <v>Dismissal</v>
      </c>
      <c r="S1200" s="5">
        <f ca="1">IFERROR(__xludf.DUMMYFUNCTION("""COMPUTED_VALUE"""),0.6875)</f>
        <v>0.6875</v>
      </c>
      <c r="T1200" s="1">
        <f ca="1">IFERROR(__xludf.DUMMYFUNCTION("""COMPUTED_VALUE"""),1)</f>
        <v>1</v>
      </c>
      <c r="U1200" s="1" t="str">
        <f ca="1">IFERROR(__xludf.DUMMYFUNCTION("""COMPUTED_VALUE"""),"Parent fired at school bus after argument with bus driver")</f>
        <v>Parent fired at school bus after argument with bus driver</v>
      </c>
      <c r="V1200" s="1" t="str">
        <f ca="1">IFERROR(__xludf.DUMMYFUNCTION("""COMPUTED_VALUE"""),"Car pulled in front of school bus and parent started argument with the bus driver. The car then pulled along the side of the bus and the passenger fired multiple shots at the bus then drove off. Students or the bus driver were not injured.")</f>
        <v>Car pulled in front of school bus and parent started argument with the bus driver. The car then pulled along the side of the bus and the passenger fired multiple shots at the bus then drove off. Students or the bus driver were not injured.</v>
      </c>
      <c r="W1200" s="1" t="str">
        <f ca="1">IFERROR(__xludf.DUMMYFUNCTION("""COMPUTED_VALUE"""),"Escalation of Dispute")</f>
        <v>Escalation of Dispute</v>
      </c>
      <c r="X1200" s="1" t="str">
        <f ca="1">IFERROR(__xludf.DUMMYFUNCTION("""COMPUTED_VALUE"""),"Victims Targeted")</f>
        <v>Victims Targeted</v>
      </c>
      <c r="Y1200" s="1" t="str">
        <f ca="1">IFERROR(__xludf.DUMMYFUNCTION("""COMPUTED_VALUE"""),"Yes")</f>
        <v>Yes</v>
      </c>
      <c r="Z1200" s="1" t="str">
        <f ca="1">IFERROR(__xludf.DUMMYFUNCTION("""COMPUTED_VALUE"""),"Multiple in car")</f>
        <v>Multiple in car</v>
      </c>
      <c r="AA1200" s="1" t="str">
        <f ca="1">IFERROR(__xludf.DUMMYFUNCTION("""COMPUTED_VALUE"""),"No")</f>
        <v>No</v>
      </c>
      <c r="AB1200" s="1" t="str">
        <f ca="1">IFERROR(__xludf.DUMMYFUNCTION("""COMPUTED_VALUE"""),"No")</f>
        <v>No</v>
      </c>
      <c r="AC1200" s="1" t="str">
        <f ca="1">IFERROR(__xludf.DUMMYFUNCTION("""COMPUTED_VALUE"""),"No")</f>
        <v>No</v>
      </c>
      <c r="AD1200" s="1" t="str">
        <f ca="1">IFERROR(__xludf.DUMMYFUNCTION("""COMPUTED_VALUE"""),"No")</f>
        <v>No</v>
      </c>
      <c r="AE1200" s="1"/>
      <c r="AF1200" s="1" t="str">
        <f ca="1">IFERROR(__xludf.DUMMYFUNCTION("""COMPUTED_VALUE"""),"No")</f>
        <v>No</v>
      </c>
      <c r="AG1200" s="1" t="str">
        <f ca="1">IFERROR(__xludf.DUMMYFUNCTION("""COMPUTED_VALUE"""),"No")</f>
        <v>No</v>
      </c>
      <c r="AH1200" s="1"/>
    </row>
    <row r="1201" spans="1:34" ht="12.5">
      <c r="A1201" s="1" t="str">
        <f ca="1">IFERROR(__xludf.DUMMYFUNCTION("""COMPUTED_VALUE"""),"20190425GAWYS")</f>
        <v>20190425GAWYS</v>
      </c>
      <c r="B1201" s="1">
        <f ca="1">IFERROR(__xludf.DUMMYFUNCTION("""COMPUTED_VALUE"""),4)</f>
        <v>4</v>
      </c>
      <c r="C1201" s="1">
        <f ca="1">IFERROR(__xludf.DUMMYFUNCTION("""COMPUTED_VALUE"""),25)</f>
        <v>25</v>
      </c>
      <c r="D1201" s="1">
        <f ca="1">IFERROR(__xludf.DUMMYFUNCTION("""COMPUTED_VALUE"""),2019)</f>
        <v>2019</v>
      </c>
      <c r="E1201" s="4">
        <f ca="1">IFERROR(__xludf.DUMMYFUNCTION("""COMPUTED_VALUE"""),43580)</f>
        <v>43580</v>
      </c>
      <c r="F1201" s="1" t="str">
        <f ca="1">IFERROR(__xludf.DUMMYFUNCTION("""COMPUTED_VALUE"""),"Wynbrooke Elementary Theme School")</f>
        <v>Wynbrooke Elementary Theme School</v>
      </c>
      <c r="G1201" s="1">
        <f ca="1">IFERROR(__xludf.DUMMYFUNCTION("""COMPUTED_VALUE"""),0)</f>
        <v>0</v>
      </c>
      <c r="H1201" s="1">
        <f ca="1">IFERROR(__xludf.DUMMYFUNCTION("""COMPUTED_VALUE"""),0)</f>
        <v>0</v>
      </c>
      <c r="I1201" s="1">
        <f ca="1">IFERROR(__xludf.DUMMYFUNCTION("""COMPUTED_VALUE"""),0)</f>
        <v>0</v>
      </c>
      <c r="J1201" s="1">
        <f ca="1">IFERROR(__xludf.DUMMYFUNCTION("""COMPUTED_VALUE"""),0)</f>
        <v>0</v>
      </c>
      <c r="K1201" s="1" t="str">
        <f ca="1">IFERROR(__xludf.DUMMYFUNCTION("""COMPUTED_VALUE"""),"Spring")</f>
        <v>Spring</v>
      </c>
      <c r="L1201" s="1" t="str">
        <f ca="1">IFERROR(__xludf.DUMMYFUNCTION("""COMPUTED_VALUE"""),"Stone Mountain")</f>
        <v>Stone Mountain</v>
      </c>
      <c r="M1201" s="1" t="str">
        <f ca="1">IFERROR(__xludf.DUMMYFUNCTION("""COMPUTED_VALUE"""),"GA")</f>
        <v>GA</v>
      </c>
      <c r="N1201" s="1" t="str">
        <f ca="1">IFERROR(__xludf.DUMMYFUNCTION("""COMPUTED_VALUE"""),"Elementary")</f>
        <v>Elementary</v>
      </c>
      <c r="O1201" s="1" t="str">
        <f ca="1">IFERROR(__xludf.DUMMYFUNCTION("""COMPUTED_VALUE"""),"Playground")</f>
        <v>Playground</v>
      </c>
      <c r="P1201" s="1" t="str">
        <f ca="1">IFERROR(__xludf.DUMMYFUNCTION("""COMPUTED_VALUE"""),"Outside on School Property")</f>
        <v>Outside on School Property</v>
      </c>
      <c r="Q1201" s="1" t="str">
        <f ca="1">IFERROR(__xludf.DUMMYFUNCTION("""COMPUTED_VALUE"""),"Yes")</f>
        <v>Yes</v>
      </c>
      <c r="R1201" s="1" t="str">
        <f ca="1">IFERROR(__xludf.DUMMYFUNCTION("""COMPUTED_VALUE"""),"Lunch")</f>
        <v>Lunch</v>
      </c>
      <c r="S1201" s="5">
        <f ca="1">IFERROR(__xludf.DUMMYFUNCTION("""COMPUTED_VALUE"""),0.541666666666666)</f>
        <v>0.54166666666666596</v>
      </c>
      <c r="T1201" s="1">
        <f ca="1">IFERROR(__xludf.DUMMYFUNCTION("""COMPUTED_VALUE"""),1)</f>
        <v>1</v>
      </c>
      <c r="U1201" s="1" t="str">
        <f ca="1">IFERROR(__xludf.DUMMYFUNCTION("""COMPUTED_VALUE"""),"BB/pellet gun projectiles shot from outside of the school hit 10 students")</f>
        <v>BB/pellet gun projectiles shot from outside of the school hit 10 students</v>
      </c>
      <c r="V1201" s="1" t="str">
        <f ca="1">IFERROR(__xludf.DUMMYFUNCTION("""COMPUTED_VALUE"""),"Elementary school students were playing outside in the schoolyard and 10 were hit by BB/pellet gun projectiles, reportedly coming from a wooded area outside the school property. Victim suffered minor injuries and were taken to the hospital. The school dis"&amp;"trict claimed that no one attempted to enter the building and the other staff and other students were not at risk. A student who was in the cafeteria allegedly heard reports for an active shooter and a teacher asked the janitor to lock the doors and close"&amp;" the blinds.")</f>
        <v>Elementary school students were playing outside in the schoolyard and 10 were hit by BB/pellet gun projectiles, reportedly coming from a wooded area outside the school property. Victim suffered minor injuries and were taken to the hospital. The school district claimed that no one attempted to enter the building and the other staff and other students were not at risk. A student who was in the cafeteria allegedly heard reports for an active shooter and a teacher asked the janitor to lock the doors and close the blinds.</v>
      </c>
      <c r="W1201" s="1" t="str">
        <f ca="1">IFERROR(__xludf.DUMMYFUNCTION("""COMPUTED_VALUE"""),"Indiscriminate Shooting")</f>
        <v>Indiscriminate Shooting</v>
      </c>
      <c r="X1201" s="1" t="str">
        <f ca="1">IFERROR(__xludf.DUMMYFUNCTION("""COMPUTED_VALUE"""),"Random Shooting")</f>
        <v>Random Shooting</v>
      </c>
      <c r="Y1201" s="1"/>
      <c r="Z1201" s="1"/>
      <c r="AA1201" s="1" t="str">
        <f ca="1">IFERROR(__xludf.DUMMYFUNCTION("""COMPUTED_VALUE"""),"No")</f>
        <v>No</v>
      </c>
      <c r="AB1201" s="1" t="str">
        <f ca="1">IFERROR(__xludf.DUMMYFUNCTION("""COMPUTED_VALUE"""),"No")</f>
        <v>No</v>
      </c>
      <c r="AC1201" s="1" t="str">
        <f ca="1">IFERROR(__xludf.DUMMYFUNCTION("""COMPUTED_VALUE"""),"No")</f>
        <v>No</v>
      </c>
      <c r="AD1201" s="1"/>
      <c r="AE1201" s="1" t="str">
        <f ca="1">IFERROR(__xludf.DUMMYFUNCTION("""COMPUTED_VALUE"""),"No")</f>
        <v>No</v>
      </c>
      <c r="AF1201" s="1"/>
      <c r="AG1201" s="1" t="str">
        <f ca="1">IFERROR(__xludf.DUMMYFUNCTION("""COMPUTED_VALUE"""),"Yes")</f>
        <v>Yes</v>
      </c>
      <c r="AH1201" s="1"/>
    </row>
    <row r="1202" spans="1:34" ht="12.5">
      <c r="A1202" s="1" t="str">
        <f ca="1">IFERROR(__xludf.DUMMYFUNCTION("""COMPUTED_VALUE"""),"20190424ARCOC")</f>
        <v>20190424ARCOC</v>
      </c>
      <c r="B1202" s="1">
        <f ca="1">IFERROR(__xludf.DUMMYFUNCTION("""COMPUTED_VALUE"""),4)</f>
        <v>4</v>
      </c>
      <c r="C1202" s="1">
        <f ca="1">IFERROR(__xludf.DUMMYFUNCTION("""COMPUTED_VALUE"""),24)</f>
        <v>24</v>
      </c>
      <c r="D1202" s="1">
        <f ca="1">IFERROR(__xludf.DUMMYFUNCTION("""COMPUTED_VALUE"""),2019)</f>
        <v>2019</v>
      </c>
      <c r="E1202" s="4">
        <f ca="1">IFERROR(__xludf.DUMMYFUNCTION("""COMPUTED_VALUE"""),43579)</f>
        <v>43579</v>
      </c>
      <c r="F1202" s="1" t="str">
        <f ca="1">IFERROR(__xludf.DUMMYFUNCTION("""COMPUTED_VALUE"""),"Concord High School")</f>
        <v>Concord High School</v>
      </c>
      <c r="G1202" s="1">
        <f ca="1">IFERROR(__xludf.DUMMYFUNCTION("""COMPUTED_VALUE"""),0)</f>
        <v>0</v>
      </c>
      <c r="H1202" s="1">
        <f ca="1">IFERROR(__xludf.DUMMYFUNCTION("""COMPUTED_VALUE"""),0)</f>
        <v>0</v>
      </c>
      <c r="I1202" s="1">
        <f ca="1">IFERROR(__xludf.DUMMYFUNCTION("""COMPUTED_VALUE"""),0)</f>
        <v>0</v>
      </c>
      <c r="J1202" s="1">
        <f ca="1">IFERROR(__xludf.DUMMYFUNCTION("""COMPUTED_VALUE"""),1)</f>
        <v>1</v>
      </c>
      <c r="K1202" s="1" t="str">
        <f ca="1">IFERROR(__xludf.DUMMYFUNCTION("""COMPUTED_VALUE"""),"Spring")</f>
        <v>Spring</v>
      </c>
      <c r="L1202" s="1" t="str">
        <f ca="1">IFERROR(__xludf.DUMMYFUNCTION("""COMPUTED_VALUE"""),"Concord")</f>
        <v>Concord</v>
      </c>
      <c r="M1202" s="1" t="str">
        <f ca="1">IFERROR(__xludf.DUMMYFUNCTION("""COMPUTED_VALUE"""),"AR")</f>
        <v>AR</v>
      </c>
      <c r="N1202" s="1" t="str">
        <f ca="1">IFERROR(__xludf.DUMMYFUNCTION("""COMPUTED_VALUE"""),"High")</f>
        <v>High</v>
      </c>
      <c r="O1202" s="1" t="str">
        <f ca="1">IFERROR(__xludf.DUMMYFUNCTION("""COMPUTED_VALUE"""),"Bathroom")</f>
        <v>Bathroom</v>
      </c>
      <c r="P1202" s="1" t="str">
        <f ca="1">IFERROR(__xludf.DUMMYFUNCTION("""COMPUTED_VALUE"""),"Inside School Building")</f>
        <v>Inside School Building</v>
      </c>
      <c r="Q1202" s="1" t="str">
        <f ca="1">IFERROR(__xludf.DUMMYFUNCTION("""COMPUTED_VALUE"""),"Yes")</f>
        <v>Yes</v>
      </c>
      <c r="R1202" s="1" t="str">
        <f ca="1">IFERROR(__xludf.DUMMYFUNCTION("""COMPUTED_VALUE"""),"Lunch")</f>
        <v>Lunch</v>
      </c>
      <c r="S1202" s="5">
        <f ca="1">IFERROR(__xludf.DUMMYFUNCTION("""COMPUTED_VALUE"""),0.527777777777777)</f>
        <v>0.52777777777777701</v>
      </c>
      <c r="T1202" s="1">
        <f ca="1">IFERROR(__xludf.DUMMYFUNCTION("""COMPUTED_VALUE"""),1)</f>
        <v>1</v>
      </c>
      <c r="U1202" s="1" t="str">
        <f ca="1">IFERROR(__xludf.DUMMYFUNCTION("""COMPUTED_VALUE"""),"Student shot himself in the school bathroom")</f>
        <v>Student shot himself in the school bathroom</v>
      </c>
      <c r="V1202" s="1" t="str">
        <f ca="1">IFERROR(__xludf.DUMMYFUNCTION("""COMPUTED_VALUE"""),"14YOM student shot himself in the school bathroom. No other students or staff injured. School shooting was reported by law enforcement. School locked down and then dismissed.")</f>
        <v>14YOM student shot himself in the school bathroom. No other students or staff injured. School shooting was reported by law enforcement. School locked down and then dismissed.</v>
      </c>
      <c r="W1202" s="1" t="str">
        <f ca="1">IFERROR(__xludf.DUMMYFUNCTION("""COMPUTED_VALUE"""),"Suicide/Attempted")</f>
        <v>Suicide/Attempted</v>
      </c>
      <c r="X1202" s="1" t="str">
        <f ca="1">IFERROR(__xludf.DUMMYFUNCTION("""COMPUTED_VALUE"""),"Victims Targeted")</f>
        <v>Victims Targeted</v>
      </c>
      <c r="Y1202" s="1" t="str">
        <f ca="1">IFERROR(__xludf.DUMMYFUNCTION("""COMPUTED_VALUE"""),"No")</f>
        <v>No</v>
      </c>
      <c r="Z1202" s="1"/>
      <c r="AA1202" s="1" t="str">
        <f ca="1">IFERROR(__xludf.DUMMYFUNCTION("""COMPUTED_VALUE"""),"No")</f>
        <v>No</v>
      </c>
      <c r="AB1202" s="1" t="str">
        <f ca="1">IFERROR(__xludf.DUMMYFUNCTION("""COMPUTED_VALUE"""),"No")</f>
        <v>No</v>
      </c>
      <c r="AC1202" s="1" t="str">
        <f ca="1">IFERROR(__xludf.DUMMYFUNCTION("""COMPUTED_VALUE"""),"No")</f>
        <v>No</v>
      </c>
      <c r="AD1202" s="1"/>
      <c r="AE1202" s="1" t="str">
        <f ca="1">IFERROR(__xludf.DUMMYFUNCTION("""COMPUTED_VALUE"""),"No")</f>
        <v>No</v>
      </c>
      <c r="AF1202" s="1" t="str">
        <f ca="1">IFERROR(__xludf.DUMMYFUNCTION("""COMPUTED_VALUE"""),"No")</f>
        <v>No</v>
      </c>
      <c r="AG1202" s="1" t="str">
        <f ca="1">IFERROR(__xludf.DUMMYFUNCTION("""COMPUTED_VALUE"""),"No")</f>
        <v>No</v>
      </c>
      <c r="AH1202" s="1">
        <f ca="1">IFERROR(__xludf.DUMMYFUNCTION("""COMPUTED_VALUE"""),1)</f>
        <v>1</v>
      </c>
    </row>
    <row r="1203" spans="1:34" ht="12.5">
      <c r="A1203" s="1" t="str">
        <f ca="1">IFERROR(__xludf.DUMMYFUNCTION("""COMPUTED_VALUE"""),"20190417MIFLF")</f>
        <v>20190417MIFLF</v>
      </c>
      <c r="B1203" s="1">
        <f ca="1">IFERROR(__xludf.DUMMYFUNCTION("""COMPUTED_VALUE"""),4)</f>
        <v>4</v>
      </c>
      <c r="C1203" s="1">
        <f ca="1">IFERROR(__xludf.DUMMYFUNCTION("""COMPUTED_VALUE"""),17)</f>
        <v>17</v>
      </c>
      <c r="D1203" s="1">
        <f ca="1">IFERROR(__xludf.DUMMYFUNCTION("""COMPUTED_VALUE"""),2019)</f>
        <v>2019</v>
      </c>
      <c r="E1203" s="4">
        <f ca="1">IFERROR(__xludf.DUMMYFUNCTION("""COMPUTED_VALUE"""),43572)</f>
        <v>43572</v>
      </c>
      <c r="F1203" s="1" t="str">
        <f ca="1">IFERROR(__xludf.DUMMYFUNCTION("""COMPUTED_VALUE"""),"Flex High School")</f>
        <v>Flex High School</v>
      </c>
      <c r="G1203" s="1">
        <f ca="1">IFERROR(__xludf.DUMMYFUNCTION("""COMPUTED_VALUE"""),0)</f>
        <v>0</v>
      </c>
      <c r="H1203" s="1">
        <f ca="1">IFERROR(__xludf.DUMMYFUNCTION("""COMPUTED_VALUE"""),0)</f>
        <v>0</v>
      </c>
      <c r="I1203" s="1">
        <f ca="1">IFERROR(__xludf.DUMMYFUNCTION("""COMPUTED_VALUE"""),0)</f>
        <v>0</v>
      </c>
      <c r="J1203" s="1">
        <f ca="1">IFERROR(__xludf.DUMMYFUNCTION("""COMPUTED_VALUE"""),0)</f>
        <v>0</v>
      </c>
      <c r="K1203" s="1" t="str">
        <f ca="1">IFERROR(__xludf.DUMMYFUNCTION("""COMPUTED_VALUE"""),"Spring")</f>
        <v>Spring</v>
      </c>
      <c r="L1203" s="1" t="str">
        <f ca="1">IFERROR(__xludf.DUMMYFUNCTION("""COMPUTED_VALUE"""),"Flint")</f>
        <v>Flint</v>
      </c>
      <c r="M1203" s="1" t="str">
        <f ca="1">IFERROR(__xludf.DUMMYFUNCTION("""COMPUTED_VALUE"""),"MI")</f>
        <v>MI</v>
      </c>
      <c r="N1203" s="1" t="str">
        <f ca="1">IFERROR(__xludf.DUMMYFUNCTION("""COMPUTED_VALUE"""),"High")</f>
        <v>High</v>
      </c>
      <c r="O1203" s="1" t="str">
        <f ca="1">IFERROR(__xludf.DUMMYFUNCTION("""COMPUTED_VALUE"""),"Outside on School Property")</f>
        <v>Outside on School Property</v>
      </c>
      <c r="P1203" s="1" t="str">
        <f ca="1">IFERROR(__xludf.DUMMYFUNCTION("""COMPUTED_VALUE"""),"Outside on School Property")</f>
        <v>Outside on School Property</v>
      </c>
      <c r="Q1203" s="1" t="str">
        <f ca="1">IFERROR(__xludf.DUMMYFUNCTION("""COMPUTED_VALUE"""),"Yes")</f>
        <v>Yes</v>
      </c>
      <c r="R1203" s="1" t="str">
        <f ca="1">IFERROR(__xludf.DUMMYFUNCTION("""COMPUTED_VALUE"""),"Morning Classes")</f>
        <v>Morning Classes</v>
      </c>
      <c r="S1203" s="5">
        <f ca="1">IFERROR(__xludf.DUMMYFUNCTION("""COMPUTED_VALUE"""),0.416666666666666)</f>
        <v>0.41666666666666602</v>
      </c>
      <c r="T1203" s="1">
        <f ca="1">IFERROR(__xludf.DUMMYFUNCTION("""COMPUTED_VALUE"""),1)</f>
        <v>1</v>
      </c>
      <c r="U1203" s="1" t="str">
        <f ca="1">IFERROR(__xludf.DUMMYFUNCTION("""COMPUTED_VALUE"""),"Shot fired during fight between students")</f>
        <v>Shot fired during fight between students</v>
      </c>
      <c r="V1203" s="1" t="str">
        <f ca="1">IFERROR(__xludf.DUMMYFUNCTION("""COMPUTED_VALUE"""),"Flint Police Deputy Chief Devon Bernritter said there was “an altercation of some sort not related to the school amongst a group and a handgun was produced and a shot was fired.” He noted the single shot was fired outside the school and it is not an activ"&amp;"e shooter incident. More than two people were taken into custody “at or around the school,” Bernritter said. A weapon has not been recovered.")</f>
        <v>Flint Police Deputy Chief Devon Bernritter said there was “an altercation of some sort not related to the school amongst a group and a handgun was produced and a shot was fired.” He noted the single shot was fired outside the school and it is not an active shooter incident. More than two people were taken into custody “at or around the school,” Bernritter said. A weapon has not been recovered.</v>
      </c>
      <c r="W1203" s="1" t="str">
        <f ca="1">IFERROR(__xludf.DUMMYFUNCTION("""COMPUTED_VALUE"""),"Escalation of Dispute")</f>
        <v>Escalation of Dispute</v>
      </c>
      <c r="X1203" s="1" t="str">
        <f ca="1">IFERROR(__xludf.DUMMYFUNCTION("""COMPUTED_VALUE"""),"Victims Targeted")</f>
        <v>Victims Targeted</v>
      </c>
      <c r="Y1203" s="1" t="str">
        <f ca="1">IFERROR(__xludf.DUMMYFUNCTION("""COMPUTED_VALUE"""),"Yes")</f>
        <v>Yes</v>
      </c>
      <c r="Z1203" s="1" t="str">
        <f ca="1">IFERROR(__xludf.DUMMYFUNCTION("""COMPUTED_VALUE"""),"Group of students")</f>
        <v>Group of students</v>
      </c>
      <c r="AA1203" s="1" t="str">
        <f ca="1">IFERROR(__xludf.DUMMYFUNCTION("""COMPUTED_VALUE"""),"No")</f>
        <v>No</v>
      </c>
      <c r="AB1203" s="1" t="str">
        <f ca="1">IFERROR(__xludf.DUMMYFUNCTION("""COMPUTED_VALUE"""),"No")</f>
        <v>No</v>
      </c>
      <c r="AC1203" s="1" t="str">
        <f ca="1">IFERROR(__xludf.DUMMYFUNCTION("""COMPUTED_VALUE"""),"No")</f>
        <v>No</v>
      </c>
      <c r="AD1203" s="1" t="str">
        <f ca="1">IFERROR(__xludf.DUMMYFUNCTION("""COMPUTED_VALUE"""),"No")</f>
        <v>No</v>
      </c>
      <c r="AE1203" s="1" t="str">
        <f ca="1">IFERROR(__xludf.DUMMYFUNCTION("""COMPUTED_VALUE"""),"No")</f>
        <v>No</v>
      </c>
      <c r="AF1203" s="1"/>
      <c r="AG1203" s="1" t="str">
        <f ca="1">IFERROR(__xludf.DUMMYFUNCTION("""COMPUTED_VALUE"""),"No")</f>
        <v>No</v>
      </c>
      <c r="AH1203" s="1">
        <f ca="1">IFERROR(__xludf.DUMMYFUNCTION("""COMPUTED_VALUE"""),1)</f>
        <v>1</v>
      </c>
    </row>
    <row r="1204" spans="1:34" ht="12.5">
      <c r="A1204" s="1" t="str">
        <f ca="1">IFERROR(__xludf.DUMMYFUNCTION("""COMPUTED_VALUE"""),"20190417ILWAL")</f>
        <v>20190417ILWAL</v>
      </c>
      <c r="B1204" s="1">
        <f ca="1">IFERROR(__xludf.DUMMYFUNCTION("""COMPUTED_VALUE"""),4)</f>
        <v>4</v>
      </c>
      <c r="C1204" s="1">
        <f ca="1">IFERROR(__xludf.DUMMYFUNCTION("""COMPUTED_VALUE"""),17)</f>
        <v>17</v>
      </c>
      <c r="D1204" s="1">
        <f ca="1">IFERROR(__xludf.DUMMYFUNCTION("""COMPUTED_VALUE"""),2019)</f>
        <v>2019</v>
      </c>
      <c r="E1204" s="4">
        <f ca="1">IFERROR(__xludf.DUMMYFUNCTION("""COMPUTED_VALUE"""),43572)</f>
        <v>43572</v>
      </c>
      <c r="F1204" s="1" t="str">
        <f ca="1">IFERROR(__xludf.DUMMYFUNCTION("""COMPUTED_VALUE"""),"Washington Middle School")</f>
        <v>Washington Middle School</v>
      </c>
      <c r="G1204" s="1">
        <f ca="1">IFERROR(__xludf.DUMMYFUNCTION("""COMPUTED_VALUE"""),0)</f>
        <v>0</v>
      </c>
      <c r="H1204" s="1">
        <f ca="1">IFERROR(__xludf.DUMMYFUNCTION("""COMPUTED_VALUE"""),0)</f>
        <v>0</v>
      </c>
      <c r="I1204" s="1">
        <f ca="1">IFERROR(__xludf.DUMMYFUNCTION("""COMPUTED_VALUE"""),0)</f>
        <v>0</v>
      </c>
      <c r="J1204" s="1">
        <f ca="1">IFERROR(__xludf.DUMMYFUNCTION("""COMPUTED_VALUE"""),1)</f>
        <v>1</v>
      </c>
      <c r="K1204" s="1" t="str">
        <f ca="1">IFERROR(__xludf.DUMMYFUNCTION("""COMPUTED_VALUE"""),"Spring")</f>
        <v>Spring</v>
      </c>
      <c r="L1204" s="1" t="str">
        <f ca="1">IFERROR(__xludf.DUMMYFUNCTION("""COMPUTED_VALUE"""),"Lyons")</f>
        <v>Lyons</v>
      </c>
      <c r="M1204" s="1" t="str">
        <f ca="1">IFERROR(__xludf.DUMMYFUNCTION("""COMPUTED_VALUE"""),"IL")</f>
        <v>IL</v>
      </c>
      <c r="N1204" s="1" t="str">
        <f ca="1">IFERROR(__xludf.DUMMYFUNCTION("""COMPUTED_VALUE"""),"Middle")</f>
        <v>Middle</v>
      </c>
      <c r="O1204" s="1" t="str">
        <f ca="1">IFERROR(__xludf.DUMMYFUNCTION("""COMPUTED_VALUE"""),"Bathroom")</f>
        <v>Bathroom</v>
      </c>
      <c r="P1204" s="1" t="str">
        <f ca="1">IFERROR(__xludf.DUMMYFUNCTION("""COMPUTED_VALUE"""),"Inside School Building")</f>
        <v>Inside School Building</v>
      </c>
      <c r="Q1204" s="1" t="str">
        <f ca="1">IFERROR(__xludf.DUMMYFUNCTION("""COMPUTED_VALUE"""),"Yes")</f>
        <v>Yes</v>
      </c>
      <c r="R1204" s="1" t="str">
        <f ca="1">IFERROR(__xludf.DUMMYFUNCTION("""COMPUTED_VALUE"""),"Afternoon Classes")</f>
        <v>Afternoon Classes</v>
      </c>
      <c r="S1204" s="5">
        <f ca="1">IFERROR(__xludf.DUMMYFUNCTION("""COMPUTED_VALUE"""),0.5625)</f>
        <v>0.5625</v>
      </c>
      <c r="T1204" s="1">
        <f ca="1">IFERROR(__xludf.DUMMYFUNCTION("""COMPUTED_VALUE"""),1)</f>
        <v>1</v>
      </c>
      <c r="U1204" s="1" t="str">
        <f ca="1">IFERROR(__xludf.DUMMYFUNCTION("""COMPUTED_VALUE"""),"Student shot himself in the school bathroom")</f>
        <v>Student shot himself in the school bathroom</v>
      </c>
      <c r="V1204" s="1" t="str">
        <f ca="1">IFERROR(__xludf.DUMMYFUNCTION("""COMPUTED_VALUE"""),"7th grade student shot himself in the bathroom of the school. No other students or staff were injured. School was locked down for 1 hour and then dismissed.")</f>
        <v>7th grade student shot himself in the bathroom of the school. No other students or staff were injured. School was locked down for 1 hour and then dismissed.</v>
      </c>
      <c r="W1204" s="1" t="str">
        <f ca="1">IFERROR(__xludf.DUMMYFUNCTION("""COMPUTED_VALUE"""),"Suicide/Attempted")</f>
        <v>Suicide/Attempted</v>
      </c>
      <c r="X1204" s="1" t="str">
        <f ca="1">IFERROR(__xludf.DUMMYFUNCTION("""COMPUTED_VALUE"""),"Victims Targeted")</f>
        <v>Victims Targeted</v>
      </c>
      <c r="Y1204" s="1" t="str">
        <f ca="1">IFERROR(__xludf.DUMMYFUNCTION("""COMPUTED_VALUE"""),"No")</f>
        <v>No</v>
      </c>
      <c r="Z1204" s="1"/>
      <c r="AA1204" s="1" t="str">
        <f ca="1">IFERROR(__xludf.DUMMYFUNCTION("""COMPUTED_VALUE"""),"No")</f>
        <v>No</v>
      </c>
      <c r="AB1204" s="1" t="str">
        <f ca="1">IFERROR(__xludf.DUMMYFUNCTION("""COMPUTED_VALUE"""),"No")</f>
        <v>No</v>
      </c>
      <c r="AC1204" s="1" t="str">
        <f ca="1">IFERROR(__xludf.DUMMYFUNCTION("""COMPUTED_VALUE"""),"No")</f>
        <v>No</v>
      </c>
      <c r="AD1204" s="1"/>
      <c r="AE1204" s="1" t="str">
        <f ca="1">IFERROR(__xludf.DUMMYFUNCTION("""COMPUTED_VALUE"""),"No")</f>
        <v>No</v>
      </c>
      <c r="AF1204" s="1" t="str">
        <f ca="1">IFERROR(__xludf.DUMMYFUNCTION("""COMPUTED_VALUE"""),"No")</f>
        <v>No</v>
      </c>
      <c r="AG1204" s="1" t="str">
        <f ca="1">IFERROR(__xludf.DUMMYFUNCTION("""COMPUTED_VALUE"""),"No")</f>
        <v>No</v>
      </c>
      <c r="AH1204" s="1">
        <f ca="1">IFERROR(__xludf.DUMMYFUNCTION("""COMPUTED_VALUE"""),1)</f>
        <v>1</v>
      </c>
    </row>
    <row r="1205" spans="1:34" ht="12.5">
      <c r="A1205" s="1" t="str">
        <f ca="1">IFERROR(__xludf.DUMMYFUNCTION("""COMPUTED_VALUE"""),"20190410TXROH")</f>
        <v>20190410TXROH</v>
      </c>
      <c r="B1205" s="1">
        <f ca="1">IFERROR(__xludf.DUMMYFUNCTION("""COMPUTED_VALUE"""),4)</f>
        <v>4</v>
      </c>
      <c r="C1205" s="1">
        <f ca="1">IFERROR(__xludf.DUMMYFUNCTION("""COMPUTED_VALUE"""),10)</f>
        <v>10</v>
      </c>
      <c r="D1205" s="1">
        <f ca="1">IFERROR(__xludf.DUMMYFUNCTION("""COMPUTED_VALUE"""),2019)</f>
        <v>2019</v>
      </c>
      <c r="E1205" s="4">
        <f ca="1">IFERROR(__xludf.DUMMYFUNCTION("""COMPUTED_VALUE"""),43565)</f>
        <v>43565</v>
      </c>
      <c r="F1205" s="1" t="str">
        <f ca="1">IFERROR(__xludf.DUMMYFUNCTION("""COMPUTED_VALUE"""),"Ross Shaw Sterling Aviation High School")</f>
        <v>Ross Shaw Sterling Aviation High School</v>
      </c>
      <c r="G1205" s="1">
        <f ca="1">IFERROR(__xludf.DUMMYFUNCTION("""COMPUTED_VALUE"""),0)</f>
        <v>0</v>
      </c>
      <c r="H1205" s="1">
        <f ca="1">IFERROR(__xludf.DUMMYFUNCTION("""COMPUTED_VALUE"""),1)</f>
        <v>1</v>
      </c>
      <c r="I1205" s="1">
        <f ca="1">IFERROR(__xludf.DUMMYFUNCTION("""COMPUTED_VALUE"""),1)</f>
        <v>1</v>
      </c>
      <c r="J1205" s="1">
        <f ca="1">IFERROR(__xludf.DUMMYFUNCTION("""COMPUTED_VALUE"""),0)</f>
        <v>0</v>
      </c>
      <c r="K1205" s="1" t="str">
        <f ca="1">IFERROR(__xludf.DUMMYFUNCTION("""COMPUTED_VALUE"""),"Spring")</f>
        <v>Spring</v>
      </c>
      <c r="L1205" s="1" t="str">
        <f ca="1">IFERROR(__xludf.DUMMYFUNCTION("""COMPUTED_VALUE"""),"Houston")</f>
        <v>Houston</v>
      </c>
      <c r="M1205" s="1" t="str">
        <f ca="1">IFERROR(__xludf.DUMMYFUNCTION("""COMPUTED_VALUE"""),"TX")</f>
        <v>TX</v>
      </c>
      <c r="N1205" s="1" t="str">
        <f ca="1">IFERROR(__xludf.DUMMYFUNCTION("""COMPUTED_VALUE"""),"High")</f>
        <v>High</v>
      </c>
      <c r="O1205" s="1" t="str">
        <f ca="1">IFERROR(__xludf.DUMMYFUNCTION("""COMPUTED_VALUE"""),"Basketball Court")</f>
        <v>Basketball Court</v>
      </c>
      <c r="P1205" s="1" t="str">
        <f ca="1">IFERROR(__xludf.DUMMYFUNCTION("""COMPUTED_VALUE"""),"Outside on School Property")</f>
        <v>Outside on School Property</v>
      </c>
      <c r="Q1205" s="1" t="str">
        <f ca="1">IFERROR(__xludf.DUMMYFUNCTION("""COMPUTED_VALUE"""),"No")</f>
        <v>No</v>
      </c>
      <c r="R1205" s="1" t="str">
        <f ca="1">IFERROR(__xludf.DUMMYFUNCTION("""COMPUTED_VALUE"""),"After School")</f>
        <v>After School</v>
      </c>
      <c r="S1205" s="5">
        <f ca="1">IFERROR(__xludf.DUMMYFUNCTION("""COMPUTED_VALUE"""),0.666666666666666)</f>
        <v>0.66666666666666596</v>
      </c>
      <c r="T1205" s="1">
        <f ca="1">IFERROR(__xludf.DUMMYFUNCTION("""COMPUTED_VALUE"""),1)</f>
        <v>1</v>
      </c>
      <c r="U1205" s="1" t="str">
        <f ca="1">IFERROR(__xludf.DUMMYFUNCTION("""COMPUTED_VALUE"""),"Bullet fired in gang shooting hit student 1/2 mile away on school basketball court")</f>
        <v>Bullet fired in gang shooting hit student 1/2 mile away on school basketball court</v>
      </c>
      <c r="V1205" s="1" t="str">
        <f ca="1">IFERROR(__xludf.DUMMYFUNCTION("""COMPUTED_VALUE"""),"Student playing basketball was struck by rifle round fired from 1/2 mile away. Suspects in vehicle fired pistol and rifle at rival gang members in apartment complex. 20 rounds fired. No suspects identified.")</f>
        <v>Student playing basketball was struck by rifle round fired from 1/2 mile away. Suspects in vehicle fired pistol and rifle at rival gang members in apartment complex. 20 rounds fired. No suspects identified.</v>
      </c>
      <c r="W1205" s="1" t="str">
        <f ca="1">IFERROR(__xludf.DUMMYFUNCTION("""COMPUTED_VALUE"""),"Drive-by Shooting")</f>
        <v>Drive-by Shooting</v>
      </c>
      <c r="X1205" s="1" t="str">
        <f ca="1">IFERROR(__xludf.DUMMYFUNCTION("""COMPUTED_VALUE"""),"Victims Targeted")</f>
        <v>Victims Targeted</v>
      </c>
      <c r="Y1205" s="1" t="str">
        <f ca="1">IFERROR(__xludf.DUMMYFUNCTION("""COMPUTED_VALUE"""),"Yes")</f>
        <v>Yes</v>
      </c>
      <c r="Z1205" s="1" t="str">
        <f ca="1">IFERROR(__xludf.DUMMYFUNCTION("""COMPUTED_VALUE"""),"Multiple in car, 2 shooters")</f>
        <v>Multiple in car, 2 shooters</v>
      </c>
      <c r="AA1205" s="1" t="str">
        <f ca="1">IFERROR(__xludf.DUMMYFUNCTION("""COMPUTED_VALUE"""),"No")</f>
        <v>No</v>
      </c>
      <c r="AB1205" s="1" t="str">
        <f ca="1">IFERROR(__xludf.DUMMYFUNCTION("""COMPUTED_VALUE"""),"No")</f>
        <v>No</v>
      </c>
      <c r="AC1205" s="1" t="str">
        <f ca="1">IFERROR(__xludf.DUMMYFUNCTION("""COMPUTED_VALUE"""),"No")</f>
        <v>No</v>
      </c>
      <c r="AD1205" s="1" t="str">
        <f ca="1">IFERROR(__xludf.DUMMYFUNCTION("""COMPUTED_VALUE"""),"No")</f>
        <v>No</v>
      </c>
      <c r="AE1205" s="1" t="str">
        <f ca="1">IFERROR(__xludf.DUMMYFUNCTION("""COMPUTED_VALUE"""),"No")</f>
        <v>No</v>
      </c>
      <c r="AF1205" s="1" t="str">
        <f ca="1">IFERROR(__xludf.DUMMYFUNCTION("""COMPUTED_VALUE"""),"Yes")</f>
        <v>Yes</v>
      </c>
      <c r="AG1205" s="1" t="str">
        <f ca="1">IFERROR(__xludf.DUMMYFUNCTION("""COMPUTED_VALUE"""),"No")</f>
        <v>No</v>
      </c>
      <c r="AH1205" s="1">
        <f ca="1">IFERROR(__xludf.DUMMYFUNCTION("""COMPUTED_VALUE"""),20)</f>
        <v>20</v>
      </c>
    </row>
    <row r="1206" spans="1:34" ht="12.5">
      <c r="A1206" s="1" t="str">
        <f ca="1">IFERROR(__xludf.DUMMYFUNCTION("""COMPUTED_VALUE"""),"20190407MAHOL")</f>
        <v>20190407MAHOL</v>
      </c>
      <c r="B1206" s="1">
        <f ca="1">IFERROR(__xludf.DUMMYFUNCTION("""COMPUTED_VALUE"""),4)</f>
        <v>4</v>
      </c>
      <c r="C1206" s="1">
        <f ca="1">IFERROR(__xludf.DUMMYFUNCTION("""COMPUTED_VALUE"""),7)</f>
        <v>7</v>
      </c>
      <c r="D1206" s="1">
        <f ca="1">IFERROR(__xludf.DUMMYFUNCTION("""COMPUTED_VALUE"""),2019)</f>
        <v>2019</v>
      </c>
      <c r="E1206" s="4">
        <f ca="1">IFERROR(__xludf.DUMMYFUNCTION("""COMPUTED_VALUE"""),43562)</f>
        <v>43562</v>
      </c>
      <c r="F1206" s="1" t="str">
        <f ca="1">IFERROR(__xludf.DUMMYFUNCTION("""COMPUTED_VALUE"""),"Hood Elementary School")</f>
        <v>Hood Elementary School</v>
      </c>
      <c r="G1206" s="1">
        <f ca="1">IFERROR(__xludf.DUMMYFUNCTION("""COMPUTED_VALUE"""),0)</f>
        <v>0</v>
      </c>
      <c r="H1206" s="1">
        <f ca="1">IFERROR(__xludf.DUMMYFUNCTION("""COMPUTED_VALUE"""),0)</f>
        <v>0</v>
      </c>
      <c r="I1206" s="1">
        <f ca="1">IFERROR(__xludf.DUMMYFUNCTION("""COMPUTED_VALUE"""),0)</f>
        <v>0</v>
      </c>
      <c r="J1206" s="1">
        <f ca="1">IFERROR(__xludf.DUMMYFUNCTION("""COMPUTED_VALUE"""),0)</f>
        <v>0</v>
      </c>
      <c r="K1206" s="1" t="str">
        <f ca="1">IFERROR(__xludf.DUMMYFUNCTION("""COMPUTED_VALUE"""),"Spring")</f>
        <v>Spring</v>
      </c>
      <c r="L1206" s="1" t="str">
        <f ca="1">IFERROR(__xludf.DUMMYFUNCTION("""COMPUTED_VALUE"""),"Lynn")</f>
        <v>Lynn</v>
      </c>
      <c r="M1206" s="1" t="str">
        <f ca="1">IFERROR(__xludf.DUMMYFUNCTION("""COMPUTED_VALUE"""),"MA")</f>
        <v>MA</v>
      </c>
      <c r="N1206" s="1" t="str">
        <f ca="1">IFERROR(__xludf.DUMMYFUNCTION("""COMPUTED_VALUE"""),"Elementary")</f>
        <v>Elementary</v>
      </c>
      <c r="O1206" s="1" t="str">
        <f ca="1">IFERROR(__xludf.DUMMYFUNCTION("""COMPUTED_VALUE"""),"Beside Building")</f>
        <v>Beside Building</v>
      </c>
      <c r="P1206" s="1" t="str">
        <f ca="1">IFERROR(__xludf.DUMMYFUNCTION("""COMPUTED_VALUE"""),"Outside on School Property")</f>
        <v>Outside on School Property</v>
      </c>
      <c r="Q1206" s="1" t="str">
        <f ca="1">IFERROR(__xludf.DUMMYFUNCTION("""COMPUTED_VALUE"""),"No")</f>
        <v>No</v>
      </c>
      <c r="R1206" s="1" t="str">
        <f ca="1">IFERROR(__xludf.DUMMYFUNCTION("""COMPUTED_VALUE"""),"Night")</f>
        <v>Night</v>
      </c>
      <c r="S1206" s="1"/>
      <c r="T1206" s="1"/>
      <c r="U1206" s="1" t="str">
        <f ca="1">IFERROR(__xludf.DUMMYFUNCTION("""COMPUTED_VALUE"""),"Shots fired at unoccupied school building")</f>
        <v>Shots fired at unoccupied school building</v>
      </c>
      <c r="V1206" s="1" t="str">
        <f ca="1">IFERROR(__xludf.DUMMYFUNCTION("""COMPUTED_VALUE"""),"Teacher on Monday morning found spent casings and bullet holes in a portable classroom at the start of the school day. Shooting had occurred over the weekend. Students were no in the classroom and were moved to another location for the remainder of the da"&amp;"y.")</f>
        <v>Teacher on Monday morning found spent casings and bullet holes in a portable classroom at the start of the school day. Shooting had occurred over the weekend. Students were no in the classroom and were moved to another location for the remainder of the day.</v>
      </c>
      <c r="W1206" s="1" t="str">
        <f ca="1">IFERROR(__xludf.DUMMYFUNCTION("""COMPUTED_VALUE"""),"Intentional Property Damage")</f>
        <v>Intentional Property Damage</v>
      </c>
      <c r="X1206" s="1"/>
      <c r="Y1206" s="1"/>
      <c r="Z1206" s="1"/>
      <c r="AA1206" s="1" t="str">
        <f ca="1">IFERROR(__xludf.DUMMYFUNCTION("""COMPUTED_VALUE"""),"No")</f>
        <v>No</v>
      </c>
      <c r="AB1206" s="1" t="str">
        <f ca="1">IFERROR(__xludf.DUMMYFUNCTION("""COMPUTED_VALUE"""),"No")</f>
        <v>No</v>
      </c>
      <c r="AC1206" s="1" t="str">
        <f ca="1">IFERROR(__xludf.DUMMYFUNCTION("""COMPUTED_VALUE"""),"No")</f>
        <v>No</v>
      </c>
      <c r="AD1206" s="1" t="str">
        <f ca="1">IFERROR(__xludf.DUMMYFUNCTION("""COMPUTED_VALUE"""),"No")</f>
        <v>No</v>
      </c>
      <c r="AE1206" s="1" t="str">
        <f ca="1">IFERROR(__xludf.DUMMYFUNCTION("""COMPUTED_VALUE"""),"No")</f>
        <v>No</v>
      </c>
      <c r="AF1206" s="1"/>
      <c r="AG1206" s="1" t="str">
        <f ca="1">IFERROR(__xludf.DUMMYFUNCTION("""COMPUTED_VALUE"""),"No")</f>
        <v>No</v>
      </c>
      <c r="AH1206" s="1"/>
    </row>
    <row r="1207" spans="1:34" ht="12.5">
      <c r="A1207" s="1" t="str">
        <f ca="1">IFERROR(__xludf.DUMMYFUNCTION("""COMPUTED_VALUE"""),"20190405WISTM")</f>
        <v>20190405WISTM</v>
      </c>
      <c r="B1207" s="1">
        <f ca="1">IFERROR(__xludf.DUMMYFUNCTION("""COMPUTED_VALUE"""),4)</f>
        <v>4</v>
      </c>
      <c r="C1207" s="1">
        <f ca="1">IFERROR(__xludf.DUMMYFUNCTION("""COMPUTED_VALUE"""),5)</f>
        <v>5</v>
      </c>
      <c r="D1207" s="1">
        <f ca="1">IFERROR(__xludf.DUMMYFUNCTION("""COMPUTED_VALUE"""),2019)</f>
        <v>2019</v>
      </c>
      <c r="E1207" s="4">
        <f ca="1">IFERROR(__xludf.DUMMYFUNCTION("""COMPUTED_VALUE"""),43560)</f>
        <v>43560</v>
      </c>
      <c r="F1207" s="1" t="str">
        <f ca="1">IFERROR(__xludf.DUMMYFUNCTION("""COMPUTED_VALUE"""),"St. Josaphat Parish School")</f>
        <v>St. Josaphat Parish School</v>
      </c>
      <c r="G1207" s="1">
        <f ca="1">IFERROR(__xludf.DUMMYFUNCTION("""COMPUTED_VALUE"""),0)</f>
        <v>0</v>
      </c>
      <c r="H1207" s="1">
        <f ca="1">IFERROR(__xludf.DUMMYFUNCTION("""COMPUTED_VALUE"""),1)</f>
        <v>1</v>
      </c>
      <c r="I1207" s="1">
        <f ca="1">IFERROR(__xludf.DUMMYFUNCTION("""COMPUTED_VALUE"""),1)</f>
        <v>1</v>
      </c>
      <c r="J1207" s="1">
        <f ca="1">IFERROR(__xludf.DUMMYFUNCTION("""COMPUTED_VALUE"""),0)</f>
        <v>0</v>
      </c>
      <c r="K1207" s="1" t="str">
        <f ca="1">IFERROR(__xludf.DUMMYFUNCTION("""COMPUTED_VALUE"""),"Spring")</f>
        <v>Spring</v>
      </c>
      <c r="L1207" s="1" t="str">
        <f ca="1">IFERROR(__xludf.DUMMYFUNCTION("""COMPUTED_VALUE"""),"Milwaukee")</f>
        <v>Milwaukee</v>
      </c>
      <c r="M1207" s="1" t="str">
        <f ca="1">IFERROR(__xludf.DUMMYFUNCTION("""COMPUTED_VALUE"""),"WI")</f>
        <v>WI</v>
      </c>
      <c r="N1207" s="1" t="str">
        <f ca="1">IFERROR(__xludf.DUMMYFUNCTION("""COMPUTED_VALUE"""),"Other")</f>
        <v>Other</v>
      </c>
      <c r="O1207" s="1" t="str">
        <f ca="1">IFERROR(__xludf.DUMMYFUNCTION("""COMPUTED_VALUE"""),"Hallway")</f>
        <v>Hallway</v>
      </c>
      <c r="P1207" s="1" t="str">
        <f ca="1">IFERROR(__xludf.DUMMYFUNCTION("""COMPUTED_VALUE"""),"Inside School Building")</f>
        <v>Inside School Building</v>
      </c>
      <c r="Q1207" s="1" t="str">
        <f ca="1">IFERROR(__xludf.DUMMYFUNCTION("""COMPUTED_VALUE"""),"Yes")</f>
        <v>Yes</v>
      </c>
      <c r="R1207" s="1" t="str">
        <f ca="1">IFERROR(__xludf.DUMMYFUNCTION("""COMPUTED_VALUE"""),"Morning Classes")</f>
        <v>Morning Classes</v>
      </c>
      <c r="S1207" s="1"/>
      <c r="T1207" s="1">
        <f ca="1">IFERROR(__xludf.DUMMYFUNCTION("""COMPUTED_VALUE"""),1)</f>
        <v>1</v>
      </c>
      <c r="U1207" s="1" t="str">
        <f ca="1">IFERROR(__xludf.DUMMYFUNCTION("""COMPUTED_VALUE"""),"Accidental discharge of school employees handgun grazed student.")</f>
        <v>Accidental discharge of school employees handgun grazed student.</v>
      </c>
      <c r="V1207" s="1" t="str">
        <f ca="1">IFERROR(__xludf.DUMMYFUNCTION("""COMPUTED_VALUE"""),"Janitors's handgun discharged injuring a 10YO student. Employee was not authorized to have the gun at the school. Shooting was not reported to police and school was not locked down. Police were notified of the incident 7 days later and the employee was te"&amp;"rminated. Two teachers charged with child neglect for not reporting the shooting.")</f>
        <v>Janitors's handgun discharged injuring a 10YO student. Employee was not authorized to have the gun at the school. Shooting was not reported to police and school was not locked down. Police were notified of the incident 7 days later and the employee was terminated. Two teachers charged with child neglect for not reporting the shooting.</v>
      </c>
      <c r="W1207" s="1" t="str">
        <f ca="1">IFERROR(__xludf.DUMMYFUNCTION("""COMPUTED_VALUE"""),"Accidental")</f>
        <v>Accidental</v>
      </c>
      <c r="X1207" s="1" t="str">
        <f ca="1">IFERROR(__xludf.DUMMYFUNCTION("""COMPUTED_VALUE"""),"Random Shooting")</f>
        <v>Random Shooting</v>
      </c>
      <c r="Y1207" s="1" t="str">
        <f ca="1">IFERROR(__xludf.DUMMYFUNCTION("""COMPUTED_VALUE"""),"No")</f>
        <v>No</v>
      </c>
      <c r="Z1207" s="1"/>
      <c r="AA1207" s="1" t="str">
        <f ca="1">IFERROR(__xludf.DUMMYFUNCTION("""COMPUTED_VALUE"""),"No")</f>
        <v>No</v>
      </c>
      <c r="AB1207" s="1" t="str">
        <f ca="1">IFERROR(__xludf.DUMMYFUNCTION("""COMPUTED_VALUE"""),"No")</f>
        <v>No</v>
      </c>
      <c r="AC1207" s="1" t="str">
        <f ca="1">IFERROR(__xludf.DUMMYFUNCTION("""COMPUTED_VALUE"""),"No")</f>
        <v>No</v>
      </c>
      <c r="AD1207" s="1" t="str">
        <f ca="1">IFERROR(__xludf.DUMMYFUNCTION("""COMPUTED_VALUE"""),"No")</f>
        <v>No</v>
      </c>
      <c r="AE1207" s="1" t="str">
        <f ca="1">IFERROR(__xludf.DUMMYFUNCTION("""COMPUTED_VALUE"""),"No")</f>
        <v>No</v>
      </c>
      <c r="AF1207" s="1" t="str">
        <f ca="1">IFERROR(__xludf.DUMMYFUNCTION("""COMPUTED_VALUE"""),"No")</f>
        <v>No</v>
      </c>
      <c r="AG1207" s="1" t="str">
        <f ca="1">IFERROR(__xludf.DUMMYFUNCTION("""COMPUTED_VALUE"""),"No")</f>
        <v>No</v>
      </c>
      <c r="AH1207" s="1">
        <f ca="1">IFERROR(__xludf.DUMMYFUNCTION("""COMPUTED_VALUE"""),1)</f>
        <v>1</v>
      </c>
    </row>
    <row r="1208" spans="1:34" ht="12.5">
      <c r="A1208" s="1" t="str">
        <f ca="1">IFERROR(__xludf.DUMMYFUNCTION("""COMPUTED_VALUE"""),"20190403CANES")</f>
        <v>20190403CANES</v>
      </c>
      <c r="B1208" s="1">
        <f ca="1">IFERROR(__xludf.DUMMYFUNCTION("""COMPUTED_VALUE"""),4)</f>
        <v>4</v>
      </c>
      <c r="C1208" s="1">
        <f ca="1">IFERROR(__xludf.DUMMYFUNCTION("""COMPUTED_VALUE"""),3)</f>
        <v>3</v>
      </c>
      <c r="D1208" s="1">
        <f ca="1">IFERROR(__xludf.DUMMYFUNCTION("""COMPUTED_VALUE"""),2019)</f>
        <v>2019</v>
      </c>
      <c r="E1208" s="4">
        <f ca="1">IFERROR(__xludf.DUMMYFUNCTION("""COMPUTED_VALUE"""),43558)</f>
        <v>43558</v>
      </c>
      <c r="F1208" s="1" t="str">
        <f ca="1">IFERROR(__xludf.DUMMYFUNCTION("""COMPUTED_VALUE"""),"New Joseph Bonnheim Elementary School")</f>
        <v>New Joseph Bonnheim Elementary School</v>
      </c>
      <c r="G1208" s="1">
        <f ca="1">IFERROR(__xludf.DUMMYFUNCTION("""COMPUTED_VALUE"""),0)</f>
        <v>0</v>
      </c>
      <c r="H1208" s="1">
        <f ca="1">IFERROR(__xludf.DUMMYFUNCTION("""COMPUTED_VALUE"""),0)</f>
        <v>0</v>
      </c>
      <c r="I1208" s="1">
        <f ca="1">IFERROR(__xludf.DUMMYFUNCTION("""COMPUTED_VALUE"""),0)</f>
        <v>0</v>
      </c>
      <c r="J1208" s="1">
        <f ca="1">IFERROR(__xludf.DUMMYFUNCTION("""COMPUTED_VALUE"""),0)</f>
        <v>0</v>
      </c>
      <c r="K1208" s="1" t="str">
        <f ca="1">IFERROR(__xludf.DUMMYFUNCTION("""COMPUTED_VALUE"""),"Spring")</f>
        <v>Spring</v>
      </c>
      <c r="L1208" s="1" t="str">
        <f ca="1">IFERROR(__xludf.DUMMYFUNCTION("""COMPUTED_VALUE"""),"Sacramento")</f>
        <v>Sacramento</v>
      </c>
      <c r="M1208" s="1" t="str">
        <f ca="1">IFERROR(__xludf.DUMMYFUNCTION("""COMPUTED_VALUE"""),"CA")</f>
        <v>CA</v>
      </c>
      <c r="N1208" s="1" t="str">
        <f ca="1">IFERROR(__xludf.DUMMYFUNCTION("""COMPUTED_VALUE"""),"Elementary")</f>
        <v>Elementary</v>
      </c>
      <c r="O1208" s="1" t="str">
        <f ca="1">IFERROR(__xludf.DUMMYFUNCTION("""COMPUTED_VALUE"""),"Classroom")</f>
        <v>Classroom</v>
      </c>
      <c r="P1208" s="1" t="str">
        <f ca="1">IFERROR(__xludf.DUMMYFUNCTION("""COMPUTED_VALUE"""),"Both Inside/Outside")</f>
        <v>Both Inside/Outside</v>
      </c>
      <c r="Q1208" s="1" t="str">
        <f ca="1">IFERROR(__xludf.DUMMYFUNCTION("""COMPUTED_VALUE"""),"Yes")</f>
        <v>Yes</v>
      </c>
      <c r="R1208" s="1" t="str">
        <f ca="1">IFERROR(__xludf.DUMMYFUNCTION("""COMPUTED_VALUE"""),"Afternoon Classes")</f>
        <v>Afternoon Classes</v>
      </c>
      <c r="S1208" s="5">
        <f ca="1">IFERROR(__xludf.DUMMYFUNCTION("""COMPUTED_VALUE"""),0.572916666666666)</f>
        <v>0.57291666666666596</v>
      </c>
      <c r="T1208" s="1">
        <f ca="1">IFERROR(__xludf.DUMMYFUNCTION("""COMPUTED_VALUE"""),1)</f>
        <v>1</v>
      </c>
      <c r="U1208" s="1" t="str">
        <f ca="1">IFERROR(__xludf.DUMMYFUNCTION("""COMPUTED_VALUE"""),"Multiple shots fired near school and bullet when through school window with employee standing inside")</f>
        <v>Multiple shots fired near school and bullet when through school window with employee standing inside</v>
      </c>
      <c r="V1208" s="1" t="str">
        <f ca="1">IFERROR(__xludf.DUMMYFUNCTION("""COMPUTED_VALUE"""),"Police will have extra security at New Joseph Bonnheim Community Charter School Thursday after a shooting left multiple bullet holes in a building while school was still in session. It happened Wednesday afternoon around 1:30 p.m. near Tahoe Park. One wit"&amp;"ness said she heard about eight or nine shots go off. Police say two shots struck a building while one bullet broke through a window where a female employee was inside. Officials are calling it a close call, and luckily, no one was hurt.")</f>
        <v>Police will have extra security at New Joseph Bonnheim Community Charter School Thursday after a shooting left multiple bullet holes in a building while school was still in session. It happened Wednesday afternoon around 1:30 p.m. near Tahoe Park. One witness said she heard about eight or nine shots go off. Police say two shots struck a building while one bullet broke through a window where a female employee was inside. Officials are calling it a close call, and luckily, no one was hurt.</v>
      </c>
      <c r="W1208" s="1"/>
      <c r="X1208" s="1" t="str">
        <f ca="1">IFERROR(__xludf.DUMMYFUNCTION("""COMPUTED_VALUE"""),"Random Shooting")</f>
        <v>Random Shooting</v>
      </c>
      <c r="Y1208" s="1"/>
      <c r="Z1208" s="1"/>
      <c r="AA1208" s="1" t="str">
        <f ca="1">IFERROR(__xludf.DUMMYFUNCTION("""COMPUTED_VALUE"""),"No")</f>
        <v>No</v>
      </c>
      <c r="AB1208" s="1" t="str">
        <f ca="1">IFERROR(__xludf.DUMMYFUNCTION("""COMPUTED_VALUE"""),"No")</f>
        <v>No</v>
      </c>
      <c r="AC1208" s="1" t="str">
        <f ca="1">IFERROR(__xludf.DUMMYFUNCTION("""COMPUTED_VALUE"""),"No")</f>
        <v>No</v>
      </c>
      <c r="AD1208" s="1" t="str">
        <f ca="1">IFERROR(__xludf.DUMMYFUNCTION("""COMPUTED_VALUE"""),"No")</f>
        <v>No</v>
      </c>
      <c r="AE1208" s="1" t="str">
        <f ca="1">IFERROR(__xludf.DUMMYFUNCTION("""COMPUTED_VALUE"""),"No")</f>
        <v>No</v>
      </c>
      <c r="AF1208" s="1"/>
      <c r="AG1208" s="1" t="str">
        <f ca="1">IFERROR(__xludf.DUMMYFUNCTION("""COMPUTED_VALUE"""),"No")</f>
        <v>No</v>
      </c>
      <c r="AH1208" s="1">
        <f ca="1">IFERROR(__xludf.DUMMYFUNCTION("""COMPUTED_VALUE"""),8)</f>
        <v>8</v>
      </c>
    </row>
    <row r="1209" spans="1:34" ht="12.5">
      <c r="A1209" s="1" t="str">
        <f ca="1">IFERROR(__xludf.DUMMYFUNCTION("""COMPUTED_VALUE"""),"20190403FLSAJ")</f>
        <v>20190403FLSAJ</v>
      </c>
      <c r="B1209" s="1">
        <f ca="1">IFERROR(__xludf.DUMMYFUNCTION("""COMPUTED_VALUE"""),4)</f>
        <v>4</v>
      </c>
      <c r="C1209" s="1">
        <f ca="1">IFERROR(__xludf.DUMMYFUNCTION("""COMPUTED_VALUE"""),3)</f>
        <v>3</v>
      </c>
      <c r="D1209" s="1">
        <f ca="1">IFERROR(__xludf.DUMMYFUNCTION("""COMPUTED_VALUE"""),2019)</f>
        <v>2019</v>
      </c>
      <c r="E1209" s="4">
        <f ca="1">IFERROR(__xludf.DUMMYFUNCTION("""COMPUTED_VALUE"""),43558)</f>
        <v>43558</v>
      </c>
      <c r="F1209" s="1" t="str">
        <f ca="1">IFERROR(__xludf.DUMMYFUNCTION("""COMPUTED_VALUE"""),"Saint Clair Evans Academy")</f>
        <v>Saint Clair Evans Academy</v>
      </c>
      <c r="G1209" s="1">
        <f ca="1">IFERROR(__xludf.DUMMYFUNCTION("""COMPUTED_VALUE"""),0)</f>
        <v>0</v>
      </c>
      <c r="H1209" s="1">
        <f ca="1">IFERROR(__xludf.DUMMYFUNCTION("""COMPUTED_VALUE"""),0)</f>
        <v>0</v>
      </c>
      <c r="I1209" s="1">
        <f ca="1">IFERROR(__xludf.DUMMYFUNCTION("""COMPUTED_VALUE"""),0)</f>
        <v>0</v>
      </c>
      <c r="J1209" s="1">
        <f ca="1">IFERROR(__xludf.DUMMYFUNCTION("""COMPUTED_VALUE"""),0)</f>
        <v>0</v>
      </c>
      <c r="K1209" s="1" t="str">
        <f ca="1">IFERROR(__xludf.DUMMYFUNCTION("""COMPUTED_VALUE"""),"Spring")</f>
        <v>Spring</v>
      </c>
      <c r="L1209" s="1" t="str">
        <f ca="1">IFERROR(__xludf.DUMMYFUNCTION("""COMPUTED_VALUE"""),"Jacksonville")</f>
        <v>Jacksonville</v>
      </c>
      <c r="M1209" s="1" t="str">
        <f ca="1">IFERROR(__xludf.DUMMYFUNCTION("""COMPUTED_VALUE"""),"FL")</f>
        <v>FL</v>
      </c>
      <c r="N1209" s="1" t="str">
        <f ca="1">IFERROR(__xludf.DUMMYFUNCTION("""COMPUTED_VALUE"""),"Elementary")</f>
        <v>Elementary</v>
      </c>
      <c r="O1209" s="1" t="str">
        <f ca="1">IFERROR(__xludf.DUMMYFUNCTION("""COMPUTED_VALUE"""),"Off School Property")</f>
        <v>Off School Property</v>
      </c>
      <c r="P1209" s="1" t="str">
        <f ca="1">IFERROR(__xludf.DUMMYFUNCTION("""COMPUTED_VALUE"""),"Off School Property")</f>
        <v>Off School Property</v>
      </c>
      <c r="Q1209" s="1" t="str">
        <f ca="1">IFERROR(__xludf.DUMMYFUNCTION("""COMPUTED_VALUE"""),"Yes")</f>
        <v>Yes</v>
      </c>
      <c r="R1209" s="1" t="str">
        <f ca="1">IFERROR(__xludf.DUMMYFUNCTION("""COMPUTED_VALUE"""),"Morning Classes")</f>
        <v>Morning Classes</v>
      </c>
      <c r="S1209" s="5">
        <f ca="1">IFERROR(__xludf.DUMMYFUNCTION("""COMPUTED_VALUE"""),0.458333333333333)</f>
        <v>0.45833333333333298</v>
      </c>
      <c r="T1209" s="1">
        <f ca="1">IFERROR(__xludf.DUMMYFUNCTION("""COMPUTED_VALUE"""),1)</f>
        <v>1</v>
      </c>
      <c r="U1209" s="1" t="str">
        <f ca="1">IFERROR(__xludf.DUMMYFUNCTION("""COMPUTED_VALUE"""),"Shots fired nearby struck the school and broke a classroom window")</f>
        <v>Shots fired nearby struck the school and broke a classroom window</v>
      </c>
      <c r="V1209" s="1" t="str">
        <f ca="1">IFERROR(__xludf.DUMMYFUNCTION("""COMPUTED_VALUE"""),"Several shots were fired at the intersection near the school. Several bullets struck the occupied school building and broke a classroom window. No students were injured. No suspect identified (several detained).")</f>
        <v>Several shots were fired at the intersection near the school. Several bullets struck the occupied school building and broke a classroom window. No students were injured. No suspect identified (several detained).</v>
      </c>
      <c r="W1209" s="1" t="str">
        <f ca="1">IFERROR(__xludf.DUMMYFUNCTION("""COMPUTED_VALUE"""),"Drive-by Shooting")</f>
        <v>Drive-by Shooting</v>
      </c>
      <c r="X1209" s="1" t="str">
        <f ca="1">IFERROR(__xludf.DUMMYFUNCTION("""COMPUTED_VALUE"""),"Victims Targeted")</f>
        <v>Victims Targeted</v>
      </c>
      <c r="Y1209" s="1"/>
      <c r="Z1209" s="1"/>
      <c r="AA1209" s="1" t="str">
        <f ca="1">IFERROR(__xludf.DUMMYFUNCTION("""COMPUTED_VALUE"""),"No")</f>
        <v>No</v>
      </c>
      <c r="AB1209" s="1" t="str">
        <f ca="1">IFERROR(__xludf.DUMMYFUNCTION("""COMPUTED_VALUE"""),"No")</f>
        <v>No</v>
      </c>
      <c r="AC1209" s="1" t="str">
        <f ca="1">IFERROR(__xludf.DUMMYFUNCTION("""COMPUTED_VALUE"""),"No")</f>
        <v>No</v>
      </c>
      <c r="AD1209" s="1" t="str">
        <f ca="1">IFERROR(__xludf.DUMMYFUNCTION("""COMPUTED_VALUE"""),"No")</f>
        <v>No</v>
      </c>
      <c r="AE1209" s="1" t="str">
        <f ca="1">IFERROR(__xludf.DUMMYFUNCTION("""COMPUTED_VALUE"""),"No")</f>
        <v>No</v>
      </c>
      <c r="AF1209" s="1"/>
      <c r="AG1209" s="1" t="str">
        <f ca="1">IFERROR(__xludf.DUMMYFUNCTION("""COMPUTED_VALUE"""),"No")</f>
        <v>No</v>
      </c>
      <c r="AH1209" s="1" t="str">
        <f ca="1">IFERROR(__xludf.DUMMYFUNCTION("""COMPUTED_VALUE"""),"&gt;5")</f>
        <v>&gt;5</v>
      </c>
    </row>
    <row r="1210" spans="1:34" ht="12.5">
      <c r="A1210" s="1" t="str">
        <f ca="1">IFERROR(__xludf.DUMMYFUNCTION("""COMPUTED_VALUE"""),"20190403COAUA")</f>
        <v>20190403COAUA</v>
      </c>
      <c r="B1210" s="1">
        <f ca="1">IFERROR(__xludf.DUMMYFUNCTION("""COMPUTED_VALUE"""),4)</f>
        <v>4</v>
      </c>
      <c r="C1210" s="1">
        <f ca="1">IFERROR(__xludf.DUMMYFUNCTION("""COMPUTED_VALUE"""),3)</f>
        <v>3</v>
      </c>
      <c r="D1210" s="1">
        <f ca="1">IFERROR(__xludf.DUMMYFUNCTION("""COMPUTED_VALUE"""),2019)</f>
        <v>2019</v>
      </c>
      <c r="E1210" s="4">
        <f ca="1">IFERROR(__xludf.DUMMYFUNCTION("""COMPUTED_VALUE"""),43558)</f>
        <v>43558</v>
      </c>
      <c r="F1210" s="1" t="str">
        <f ca="1">IFERROR(__xludf.DUMMYFUNCTION("""COMPUTED_VALUE"""),"Aurora West College Preparatory Academy")</f>
        <v>Aurora West College Preparatory Academy</v>
      </c>
      <c r="G1210" s="1">
        <f ca="1">IFERROR(__xludf.DUMMYFUNCTION("""COMPUTED_VALUE"""),0)</f>
        <v>0</v>
      </c>
      <c r="H1210" s="1">
        <f ca="1">IFERROR(__xludf.DUMMYFUNCTION("""COMPUTED_VALUE"""),0)</f>
        <v>0</v>
      </c>
      <c r="I1210" s="1">
        <f ca="1">IFERROR(__xludf.DUMMYFUNCTION("""COMPUTED_VALUE"""),0)</f>
        <v>0</v>
      </c>
      <c r="J1210" s="1">
        <f ca="1">IFERROR(__xludf.DUMMYFUNCTION("""COMPUTED_VALUE"""),0)</f>
        <v>0</v>
      </c>
      <c r="K1210" s="1" t="str">
        <f ca="1">IFERROR(__xludf.DUMMYFUNCTION("""COMPUTED_VALUE"""),"Spring")</f>
        <v>Spring</v>
      </c>
      <c r="L1210" s="1" t="str">
        <f ca="1">IFERROR(__xludf.DUMMYFUNCTION("""COMPUTED_VALUE"""),"Aurora")</f>
        <v>Aurora</v>
      </c>
      <c r="M1210" s="1" t="str">
        <f ca="1">IFERROR(__xludf.DUMMYFUNCTION("""COMPUTED_VALUE"""),"CO")</f>
        <v>CO</v>
      </c>
      <c r="N1210" s="1" t="str">
        <f ca="1">IFERROR(__xludf.DUMMYFUNCTION("""COMPUTED_VALUE"""),"Unknown")</f>
        <v>Unknown</v>
      </c>
      <c r="O1210" s="1" t="str">
        <f ca="1">IFERROR(__xludf.DUMMYFUNCTION("""COMPUTED_VALUE"""),"Office")</f>
        <v>Office</v>
      </c>
      <c r="P1210" s="1" t="str">
        <f ca="1">IFERROR(__xludf.DUMMYFUNCTION("""COMPUTED_VALUE"""),"Inside School Building")</f>
        <v>Inside School Building</v>
      </c>
      <c r="Q1210" s="1" t="str">
        <f ca="1">IFERROR(__xludf.DUMMYFUNCTION("""COMPUTED_VALUE"""),"No")</f>
        <v>No</v>
      </c>
      <c r="R1210" s="1" t="str">
        <f ca="1">IFERROR(__xludf.DUMMYFUNCTION("""COMPUTED_VALUE"""),"After School")</f>
        <v>After School</v>
      </c>
      <c r="S1210" s="1"/>
      <c r="T1210" s="1"/>
      <c r="U1210" s="1" t="str">
        <f ca="1">IFERROR(__xludf.DUMMYFUNCTION("""COMPUTED_VALUE"""),"School administrator threatened two school employees with handgun in office then ran through school building with gun")</f>
        <v>School administrator threatened two school employees with handgun in office then ran through school building with gun</v>
      </c>
      <c r="V1210" s="1" t="str">
        <f ca="1">IFERROR(__xludf.DUMMYFUNCTION("""COMPUTED_VALUE"""),"30YOM school administrator pulled out handgun during disagreement with two other school employees over grading procedures after school dismissed. He threaten to shoot both of them and kill other school employees. Shooter then left office and walked throug"&amp;"h school building making violent threats. Later arrested by police after fleeing area. School was placed on lockdown and athletic events were cancelled.")</f>
        <v>30YOM school administrator pulled out handgun during disagreement with two other school employees over grading procedures after school dismissed. He threaten to shoot both of them and kill other school employees. Shooter then left office and walked through school building making violent threats. Later arrested by police after fleeing area. School was placed on lockdown and athletic events were cancelled.</v>
      </c>
      <c r="W1210" s="1" t="str">
        <f ca="1">IFERROR(__xludf.DUMMYFUNCTION("""COMPUTED_VALUE"""),"Escalation of Dispute")</f>
        <v>Escalation of Dispute</v>
      </c>
      <c r="X1210" s="1" t="str">
        <f ca="1">IFERROR(__xludf.DUMMYFUNCTION("""COMPUTED_VALUE"""),"Victims Targeted")</f>
        <v>Victims Targeted</v>
      </c>
      <c r="Y1210" s="1" t="str">
        <f ca="1">IFERROR(__xludf.DUMMYFUNCTION("""COMPUTED_VALUE"""),"No")</f>
        <v>No</v>
      </c>
      <c r="Z1210" s="1"/>
      <c r="AA1210" s="1" t="str">
        <f ca="1">IFERROR(__xludf.DUMMYFUNCTION("""COMPUTED_VALUE"""),"No")</f>
        <v>No</v>
      </c>
      <c r="AB1210" s="1" t="str">
        <f ca="1">IFERROR(__xludf.DUMMYFUNCTION("""COMPUTED_VALUE"""),"No")</f>
        <v>No</v>
      </c>
      <c r="AC1210" s="1" t="str">
        <f ca="1">IFERROR(__xludf.DUMMYFUNCTION("""COMPUTED_VALUE"""),"No")</f>
        <v>No</v>
      </c>
      <c r="AD1210" s="1" t="str">
        <f ca="1">IFERROR(__xludf.DUMMYFUNCTION("""COMPUTED_VALUE"""),"No")</f>
        <v>No</v>
      </c>
      <c r="AE1210" s="1" t="str">
        <f ca="1">IFERROR(__xludf.DUMMYFUNCTION("""COMPUTED_VALUE"""),"No")</f>
        <v>No</v>
      </c>
      <c r="AF1210" s="1" t="str">
        <f ca="1">IFERROR(__xludf.DUMMYFUNCTION("""COMPUTED_VALUE"""),"No")</f>
        <v>No</v>
      </c>
      <c r="AG1210" s="1" t="str">
        <f ca="1">IFERROR(__xludf.DUMMYFUNCTION("""COMPUTED_VALUE"""),"No")</f>
        <v>No</v>
      </c>
      <c r="AH1210" s="1">
        <f ca="1">IFERROR(__xludf.DUMMYFUNCTION("""COMPUTED_VALUE"""),0)</f>
        <v>0</v>
      </c>
    </row>
    <row r="1211" spans="1:34" ht="12.5">
      <c r="A1211" s="1" t="str">
        <f ca="1">IFERROR(__xludf.DUMMYFUNCTION("""COMPUTED_VALUE"""),"20190401ARPRP")</f>
        <v>20190401ARPRP</v>
      </c>
      <c r="B1211" s="1">
        <f ca="1">IFERROR(__xludf.DUMMYFUNCTION("""COMPUTED_VALUE"""),4)</f>
        <v>4</v>
      </c>
      <c r="C1211" s="1">
        <f ca="1">IFERROR(__xludf.DUMMYFUNCTION("""COMPUTED_VALUE"""),1)</f>
        <v>1</v>
      </c>
      <c r="D1211" s="1">
        <f ca="1">IFERROR(__xludf.DUMMYFUNCTION("""COMPUTED_VALUE"""),2019)</f>
        <v>2019</v>
      </c>
      <c r="E1211" s="4">
        <f ca="1">IFERROR(__xludf.DUMMYFUNCTION("""COMPUTED_VALUE"""),43556)</f>
        <v>43556</v>
      </c>
      <c r="F1211" s="1" t="str">
        <f ca="1">IFERROR(__xludf.DUMMYFUNCTION("""COMPUTED_VALUE"""),"Prescott High School")</f>
        <v>Prescott High School</v>
      </c>
      <c r="G1211" s="1">
        <f ca="1">IFERROR(__xludf.DUMMYFUNCTION("""COMPUTED_VALUE"""),0)</f>
        <v>0</v>
      </c>
      <c r="H1211" s="1">
        <f ca="1">IFERROR(__xludf.DUMMYFUNCTION("""COMPUTED_VALUE"""),1)</f>
        <v>1</v>
      </c>
      <c r="I1211" s="1">
        <f ca="1">IFERROR(__xludf.DUMMYFUNCTION("""COMPUTED_VALUE"""),1)</f>
        <v>1</v>
      </c>
      <c r="J1211" s="1">
        <f ca="1">IFERROR(__xludf.DUMMYFUNCTION("""COMPUTED_VALUE"""),0)</f>
        <v>0</v>
      </c>
      <c r="K1211" s="1" t="str">
        <f ca="1">IFERROR(__xludf.DUMMYFUNCTION("""COMPUTED_VALUE"""),"Spring")</f>
        <v>Spring</v>
      </c>
      <c r="L1211" s="1" t="str">
        <f ca="1">IFERROR(__xludf.DUMMYFUNCTION("""COMPUTED_VALUE"""),"Prescott")</f>
        <v>Prescott</v>
      </c>
      <c r="M1211" s="1" t="str">
        <f ca="1">IFERROR(__xludf.DUMMYFUNCTION("""COMPUTED_VALUE"""),"AR")</f>
        <v>AR</v>
      </c>
      <c r="N1211" s="1" t="str">
        <f ca="1">IFERROR(__xludf.DUMMYFUNCTION("""COMPUTED_VALUE"""),"High")</f>
        <v>High</v>
      </c>
      <c r="O1211" s="1" t="str">
        <f ca="1">IFERROR(__xludf.DUMMYFUNCTION("""COMPUTED_VALUE"""),"Hallway")</f>
        <v>Hallway</v>
      </c>
      <c r="P1211" s="1" t="str">
        <f ca="1">IFERROR(__xludf.DUMMYFUNCTION("""COMPUTED_VALUE"""),"Inside School Building")</f>
        <v>Inside School Building</v>
      </c>
      <c r="Q1211" s="1" t="str">
        <f ca="1">IFERROR(__xludf.DUMMYFUNCTION("""COMPUTED_VALUE"""),"Yes")</f>
        <v>Yes</v>
      </c>
      <c r="R1211" s="1" t="str">
        <f ca="1">IFERROR(__xludf.DUMMYFUNCTION("""COMPUTED_VALUE"""),"Morning Classes")</f>
        <v>Morning Classes</v>
      </c>
      <c r="S1211" s="5">
        <f ca="1">IFERROR(__xludf.DUMMYFUNCTION("""COMPUTED_VALUE"""),0.384722222222222)</f>
        <v>0.38472222222222202</v>
      </c>
      <c r="T1211" s="1">
        <f ca="1">IFERROR(__xludf.DUMMYFUNCTION("""COMPUTED_VALUE"""),1)</f>
        <v>1</v>
      </c>
      <c r="U1211" s="1" t="str">
        <f ca="1">IFERROR(__xludf.DUMMYFUNCTION("""COMPUTED_VALUE"""),"Student brought a handgun to school and shot a targeted classmate")</f>
        <v>Student brought a handgun to school and shot a targeted classmate</v>
      </c>
      <c r="V1211" s="1" t="str">
        <f ca="1">IFERROR(__xludf.DUMMYFUNCTION("""COMPUTED_VALUE"""),"14YOM student brought a concealed handgun to school and shot  a male classmate he specific targeted following a dispute over the weekend. Suspect ditched the weapon in a bush on school property and fled. School went on lockdown and victim was taken to the"&amp;" hospital. Suspect was apprehended by SROs shortly after. A student-witness reported that suspect told victim that he was not going to shoot him but then he fired the gun.")</f>
        <v>14YOM student brought a concealed handgun to school and shot  a male classmate he specific targeted following a dispute over the weekend. Suspect ditched the weapon in a bush on school property and fled. School went on lockdown and victim was taken to the hospital. Suspect was apprehended by SROs shortly after. A student-witness reported that suspect told victim that he was not going to shoot him but then he fired the gun.</v>
      </c>
      <c r="W1211" s="1" t="str">
        <f ca="1">IFERROR(__xludf.DUMMYFUNCTION("""COMPUTED_VALUE"""),"Escalation of Dispute")</f>
        <v>Escalation of Dispute</v>
      </c>
      <c r="X1211" s="1" t="str">
        <f ca="1">IFERROR(__xludf.DUMMYFUNCTION("""COMPUTED_VALUE"""),"Victims Targeted")</f>
        <v>Victims Targeted</v>
      </c>
      <c r="Y1211" s="1" t="str">
        <f ca="1">IFERROR(__xludf.DUMMYFUNCTION("""COMPUTED_VALUE"""),"No")</f>
        <v>No</v>
      </c>
      <c r="Z1211" s="1"/>
      <c r="AA1211" s="1" t="str">
        <f ca="1">IFERROR(__xludf.DUMMYFUNCTION("""COMPUTED_VALUE"""),"No")</f>
        <v>No</v>
      </c>
      <c r="AB1211" s="1" t="str">
        <f ca="1">IFERROR(__xludf.DUMMYFUNCTION("""COMPUTED_VALUE"""),"No")</f>
        <v>No</v>
      </c>
      <c r="AC1211" s="1" t="str">
        <f ca="1">IFERROR(__xludf.DUMMYFUNCTION("""COMPUTED_VALUE"""),"No")</f>
        <v>No</v>
      </c>
      <c r="AD1211" s="1"/>
      <c r="AE1211" s="1"/>
      <c r="AF1211" s="1" t="str">
        <f ca="1">IFERROR(__xludf.DUMMYFUNCTION("""COMPUTED_VALUE"""),"No")</f>
        <v>No</v>
      </c>
      <c r="AG1211" s="1" t="str">
        <f ca="1">IFERROR(__xludf.DUMMYFUNCTION("""COMPUTED_VALUE"""),"No")</f>
        <v>No</v>
      </c>
      <c r="AH1211" s="1" t="str">
        <f ca="1">IFERROR(__xludf.DUMMYFUNCTION("""COMPUTED_VALUE"""),"&lt;10")</f>
        <v>&lt;10</v>
      </c>
    </row>
    <row r="1212" spans="1:34" ht="12.5">
      <c r="A1212" s="1" t="str">
        <f ca="1">IFERROR(__xludf.DUMMYFUNCTION("""COMPUTED_VALUE"""),"20190327MSSVH")</f>
        <v>20190327MSSVH</v>
      </c>
      <c r="B1212" s="1">
        <f ca="1">IFERROR(__xludf.DUMMYFUNCTION("""COMPUTED_VALUE"""),3)</f>
        <v>3</v>
      </c>
      <c r="C1212" s="1">
        <f ca="1">IFERROR(__xludf.DUMMYFUNCTION("""COMPUTED_VALUE"""),27)</f>
        <v>27</v>
      </c>
      <c r="D1212" s="1">
        <f ca="1">IFERROR(__xludf.DUMMYFUNCTION("""COMPUTED_VALUE"""),2019)</f>
        <v>2019</v>
      </c>
      <c r="E1212" s="4">
        <f ca="1">IFERROR(__xludf.DUMMYFUNCTION("""COMPUTED_VALUE"""),43551)</f>
        <v>43551</v>
      </c>
      <c r="F1212" s="1" t="str">
        <f ca="1">IFERROR(__xludf.DUMMYFUNCTION("""COMPUTED_VALUE"""),"S V Marshall Elementary")</f>
        <v>S V Marshall Elementary</v>
      </c>
      <c r="G1212" s="1">
        <f ca="1">IFERROR(__xludf.DUMMYFUNCTION("""COMPUTED_VALUE"""),0)</f>
        <v>0</v>
      </c>
      <c r="H1212" s="1">
        <f ca="1">IFERROR(__xludf.DUMMYFUNCTION("""COMPUTED_VALUE"""),1)</f>
        <v>1</v>
      </c>
      <c r="I1212" s="1">
        <f ca="1">IFERROR(__xludf.DUMMYFUNCTION("""COMPUTED_VALUE"""),1)</f>
        <v>1</v>
      </c>
      <c r="J1212" s="1">
        <f ca="1">IFERROR(__xludf.DUMMYFUNCTION("""COMPUTED_VALUE"""),0)</f>
        <v>0</v>
      </c>
      <c r="K1212" s="1" t="str">
        <f ca="1">IFERROR(__xludf.DUMMYFUNCTION("""COMPUTED_VALUE"""),"Spring")</f>
        <v>Spring</v>
      </c>
      <c r="L1212" s="1" t="str">
        <f ca="1">IFERROR(__xludf.DUMMYFUNCTION("""COMPUTED_VALUE"""),"Holmes County")</f>
        <v>Holmes County</v>
      </c>
      <c r="M1212" s="1" t="str">
        <f ca="1">IFERROR(__xludf.DUMMYFUNCTION("""COMPUTED_VALUE"""),"MS")</f>
        <v>MS</v>
      </c>
      <c r="N1212" s="1" t="str">
        <f ca="1">IFERROR(__xludf.DUMMYFUNCTION("""COMPUTED_VALUE"""),"Elementary")</f>
        <v>Elementary</v>
      </c>
      <c r="O1212" s="1" t="str">
        <f ca="1">IFERROR(__xludf.DUMMYFUNCTION("""COMPUTED_VALUE"""),"School Bus")</f>
        <v>School Bus</v>
      </c>
      <c r="P1212" s="1" t="str">
        <f ca="1">IFERROR(__xludf.DUMMYFUNCTION("""COMPUTED_VALUE"""),"School Bus")</f>
        <v>School Bus</v>
      </c>
      <c r="Q1212" s="1" t="str">
        <f ca="1">IFERROR(__xludf.DUMMYFUNCTION("""COMPUTED_VALUE"""),"Yes")</f>
        <v>Yes</v>
      </c>
      <c r="R1212" s="1" t="str">
        <f ca="1">IFERROR(__xludf.DUMMYFUNCTION("""COMPUTED_VALUE"""),"Dismissal")</f>
        <v>Dismissal</v>
      </c>
      <c r="S1212" s="5">
        <f ca="1">IFERROR(__xludf.DUMMYFUNCTION("""COMPUTED_VALUE"""),0.625)</f>
        <v>0.625</v>
      </c>
      <c r="T1212" s="1">
        <f ca="1">IFERROR(__xludf.DUMMYFUNCTION("""COMPUTED_VALUE"""),1)</f>
        <v>1</v>
      </c>
      <c r="U1212" s="1" t="str">
        <f ca="1">IFERROR(__xludf.DUMMYFUNCTION("""COMPUTED_VALUE"""),"Student shot in hand while on school bus")</f>
        <v>Student shot in hand while on school bus</v>
      </c>
      <c r="V1212" s="1" t="str">
        <f ca="1">IFERROR(__xludf.DUMMYFUNCTION("""COMPUTED_VALUE"""),"10YOM student was shot in the hand while riding home on the school bus. The victim said a student in the back of the bus fired two shots. Police said the shooting was from a vehicle driving by the bus. No other information available.")</f>
        <v>10YOM student was shot in the hand while riding home on the school bus. The victim said a student in the back of the bus fired two shots. Police said the shooting was from a vehicle driving by the bus. No other information available.</v>
      </c>
      <c r="W1212" s="1" t="str">
        <f ca="1">IFERROR(__xludf.DUMMYFUNCTION("""COMPUTED_VALUE"""),"Unknown")</f>
        <v>Unknown</v>
      </c>
      <c r="X1212" s="1" t="str">
        <f ca="1">IFERROR(__xludf.DUMMYFUNCTION("""COMPUTED_VALUE"""),"Random Shooting")</f>
        <v>Random Shooting</v>
      </c>
      <c r="Y1212" s="1" t="str">
        <f ca="1">IFERROR(__xludf.DUMMYFUNCTION("""COMPUTED_VALUE"""),"No")</f>
        <v>No</v>
      </c>
      <c r="Z1212" s="1"/>
      <c r="AA1212" s="1" t="str">
        <f ca="1">IFERROR(__xludf.DUMMYFUNCTION("""COMPUTED_VALUE"""),"No")</f>
        <v>No</v>
      </c>
      <c r="AB1212" s="1" t="str">
        <f ca="1">IFERROR(__xludf.DUMMYFUNCTION("""COMPUTED_VALUE"""),"No")</f>
        <v>No</v>
      </c>
      <c r="AC1212" s="1" t="str">
        <f ca="1">IFERROR(__xludf.DUMMYFUNCTION("""COMPUTED_VALUE"""),"No")</f>
        <v>No</v>
      </c>
      <c r="AD1212" s="1" t="str">
        <f ca="1">IFERROR(__xludf.DUMMYFUNCTION("""COMPUTED_VALUE"""),"No")</f>
        <v>No</v>
      </c>
      <c r="AE1212" s="1" t="str">
        <f ca="1">IFERROR(__xludf.DUMMYFUNCTION("""COMPUTED_VALUE"""),"No")</f>
        <v>No</v>
      </c>
      <c r="AF1212" s="1" t="str">
        <f ca="1">IFERROR(__xludf.DUMMYFUNCTION("""COMPUTED_VALUE"""),"No")</f>
        <v>No</v>
      </c>
      <c r="AG1212" s="1" t="str">
        <f ca="1">IFERROR(__xludf.DUMMYFUNCTION("""COMPUTED_VALUE"""),"No")</f>
        <v>No</v>
      </c>
      <c r="AH1212" s="1">
        <f ca="1">IFERROR(__xludf.DUMMYFUNCTION("""COMPUTED_VALUE"""),2)</f>
        <v>2</v>
      </c>
    </row>
    <row r="1213" spans="1:34" ht="12.5">
      <c r="A1213" s="1" t="str">
        <f ca="1">IFERROR(__xludf.DUMMYFUNCTION("""COMPUTED_VALUE"""),"20190327FLMAJ")</f>
        <v>20190327FLMAJ</v>
      </c>
      <c r="B1213" s="1">
        <f ca="1">IFERROR(__xludf.DUMMYFUNCTION("""COMPUTED_VALUE"""),3)</f>
        <v>3</v>
      </c>
      <c r="C1213" s="1">
        <f ca="1">IFERROR(__xludf.DUMMYFUNCTION("""COMPUTED_VALUE"""),27)</f>
        <v>27</v>
      </c>
      <c r="D1213" s="1">
        <f ca="1">IFERROR(__xludf.DUMMYFUNCTION("""COMPUTED_VALUE"""),2019)</f>
        <v>2019</v>
      </c>
      <c r="E1213" s="4">
        <f ca="1">IFERROR(__xludf.DUMMYFUNCTION("""COMPUTED_VALUE"""),43551)</f>
        <v>43551</v>
      </c>
      <c r="F1213" s="1" t="str">
        <f ca="1">IFERROR(__xludf.DUMMYFUNCTION("""COMPUTED_VALUE"""),"Mayport Coastal Sciences Middle School")</f>
        <v>Mayport Coastal Sciences Middle School</v>
      </c>
      <c r="G1213" s="1">
        <f ca="1">IFERROR(__xludf.DUMMYFUNCTION("""COMPUTED_VALUE"""),0)</f>
        <v>0</v>
      </c>
      <c r="H1213" s="1">
        <f ca="1">IFERROR(__xludf.DUMMYFUNCTION("""COMPUTED_VALUE"""),1)</f>
        <v>1</v>
      </c>
      <c r="I1213" s="1">
        <f ca="1">IFERROR(__xludf.DUMMYFUNCTION("""COMPUTED_VALUE"""),1)</f>
        <v>1</v>
      </c>
      <c r="J1213" s="1">
        <f ca="1">IFERROR(__xludf.DUMMYFUNCTION("""COMPUTED_VALUE"""),0)</f>
        <v>0</v>
      </c>
      <c r="K1213" s="1" t="str">
        <f ca="1">IFERROR(__xludf.DUMMYFUNCTION("""COMPUTED_VALUE"""),"Spring")</f>
        <v>Spring</v>
      </c>
      <c r="L1213" s="1" t="str">
        <f ca="1">IFERROR(__xludf.DUMMYFUNCTION("""COMPUTED_VALUE"""),"Jacksonville")</f>
        <v>Jacksonville</v>
      </c>
      <c r="M1213" s="1" t="str">
        <f ca="1">IFERROR(__xludf.DUMMYFUNCTION("""COMPUTED_VALUE"""),"FL")</f>
        <v>FL</v>
      </c>
      <c r="N1213" s="1" t="str">
        <f ca="1">IFERROR(__xludf.DUMMYFUNCTION("""COMPUTED_VALUE"""),"Middle")</f>
        <v>Middle</v>
      </c>
      <c r="O1213" s="1" t="str">
        <f ca="1">IFERROR(__xludf.DUMMYFUNCTION("""COMPUTED_VALUE"""),"School Bus")</f>
        <v>School Bus</v>
      </c>
      <c r="P1213" s="1" t="str">
        <f ca="1">IFERROR(__xludf.DUMMYFUNCTION("""COMPUTED_VALUE"""),"School Bus")</f>
        <v>School Bus</v>
      </c>
      <c r="Q1213" s="1" t="str">
        <f ca="1">IFERROR(__xludf.DUMMYFUNCTION("""COMPUTED_VALUE"""),"Yes")</f>
        <v>Yes</v>
      </c>
      <c r="R1213" s="1" t="str">
        <f ca="1">IFERROR(__xludf.DUMMYFUNCTION("""COMPUTED_VALUE"""),"After School")</f>
        <v>After School</v>
      </c>
      <c r="S1213" s="5">
        <f ca="1">IFERROR(__xludf.DUMMYFUNCTION("""COMPUTED_VALUE"""),0.708333333333333)</f>
        <v>0.70833333333333304</v>
      </c>
      <c r="T1213" s="1">
        <f ca="1">IFERROR(__xludf.DUMMYFUNCTION("""COMPUTED_VALUE"""),1)</f>
        <v>1</v>
      </c>
      <c r="U1213" s="1" t="str">
        <f ca="1">IFERROR(__xludf.DUMMYFUNCTION("""COMPUTED_VALUE"""),"Student riding on school bus shot by BB gun")</f>
        <v>Student riding on school bus shot by BB gun</v>
      </c>
      <c r="V1213" s="1" t="str">
        <f ca="1">IFERROR(__xludf.DUMMYFUNCTION("""COMPUTED_VALUE"""),"A student riding on the school bus was struck with a pellet from a BB gun fired from outside of the bus. The bus driver pulled over at a nearby elementary school and notified police.")</f>
        <v>A student riding on the school bus was struck with a pellet from a BB gun fired from outside of the bus. The bus driver pulled over at a nearby elementary school and notified police.</v>
      </c>
      <c r="W1213" s="1"/>
      <c r="X1213" s="1" t="str">
        <f ca="1">IFERROR(__xludf.DUMMYFUNCTION("""COMPUTED_VALUE"""),"Random Shooting")</f>
        <v>Random Shooting</v>
      </c>
      <c r="Y1213" s="1" t="str">
        <f ca="1">IFERROR(__xludf.DUMMYFUNCTION("""COMPUTED_VALUE"""),"No")</f>
        <v>No</v>
      </c>
      <c r="Z1213" s="1"/>
      <c r="AA1213" s="1" t="str">
        <f ca="1">IFERROR(__xludf.DUMMYFUNCTION("""COMPUTED_VALUE"""),"No")</f>
        <v>No</v>
      </c>
      <c r="AB1213" s="1" t="str">
        <f ca="1">IFERROR(__xludf.DUMMYFUNCTION("""COMPUTED_VALUE"""),"No")</f>
        <v>No</v>
      </c>
      <c r="AC1213" s="1" t="str">
        <f ca="1">IFERROR(__xludf.DUMMYFUNCTION("""COMPUTED_VALUE"""),"No")</f>
        <v>No</v>
      </c>
      <c r="AD1213" s="1" t="str">
        <f ca="1">IFERROR(__xludf.DUMMYFUNCTION("""COMPUTED_VALUE"""),"No")</f>
        <v>No</v>
      </c>
      <c r="AE1213" s="1" t="str">
        <f ca="1">IFERROR(__xludf.DUMMYFUNCTION("""COMPUTED_VALUE"""),"No")</f>
        <v>No</v>
      </c>
      <c r="AF1213" s="1" t="str">
        <f ca="1">IFERROR(__xludf.DUMMYFUNCTION("""COMPUTED_VALUE"""),"No")</f>
        <v>No</v>
      </c>
      <c r="AG1213" s="1" t="str">
        <f ca="1">IFERROR(__xludf.DUMMYFUNCTION("""COMPUTED_VALUE"""),"No")</f>
        <v>No</v>
      </c>
      <c r="AH1213" s="1"/>
    </row>
    <row r="1214" spans="1:34" ht="12.5">
      <c r="A1214" s="1" t="str">
        <f ca="1">IFERROR(__xludf.DUMMYFUNCTION("""COMPUTED_VALUE"""),"20190322ALBLB")</f>
        <v>20190322ALBLB</v>
      </c>
      <c r="B1214" s="1">
        <f ca="1">IFERROR(__xludf.DUMMYFUNCTION("""COMPUTED_VALUE"""),3)</f>
        <v>3</v>
      </c>
      <c r="C1214" s="1">
        <f ca="1">IFERROR(__xludf.DUMMYFUNCTION("""COMPUTED_VALUE"""),22)</f>
        <v>22</v>
      </c>
      <c r="D1214" s="1">
        <f ca="1">IFERROR(__xludf.DUMMYFUNCTION("""COMPUTED_VALUE"""),2019)</f>
        <v>2019</v>
      </c>
      <c r="E1214" s="4">
        <f ca="1">IFERROR(__xludf.DUMMYFUNCTION("""COMPUTED_VALUE"""),43546)</f>
        <v>43546</v>
      </c>
      <c r="F1214" s="1" t="str">
        <f ca="1">IFERROR(__xludf.DUMMYFUNCTION("""COMPUTED_VALUE"""),"Blountsville Elementary School")</f>
        <v>Blountsville Elementary School</v>
      </c>
      <c r="G1214" s="1">
        <f ca="1">IFERROR(__xludf.DUMMYFUNCTION("""COMPUTED_VALUE"""),0)</f>
        <v>0</v>
      </c>
      <c r="H1214" s="1">
        <f ca="1">IFERROR(__xludf.DUMMYFUNCTION("""COMPUTED_VALUE"""),0)</f>
        <v>0</v>
      </c>
      <c r="I1214" s="1">
        <f ca="1">IFERROR(__xludf.DUMMYFUNCTION("""COMPUTED_VALUE"""),0)</f>
        <v>0</v>
      </c>
      <c r="J1214" s="1">
        <f ca="1">IFERROR(__xludf.DUMMYFUNCTION("""COMPUTED_VALUE"""),0)</f>
        <v>0</v>
      </c>
      <c r="K1214" s="1" t="str">
        <f ca="1">IFERROR(__xludf.DUMMYFUNCTION("""COMPUTED_VALUE"""),"Spring")</f>
        <v>Spring</v>
      </c>
      <c r="L1214" s="1" t="str">
        <f ca="1">IFERROR(__xludf.DUMMYFUNCTION("""COMPUTED_VALUE"""),"Blountsville")</f>
        <v>Blountsville</v>
      </c>
      <c r="M1214" s="1" t="str">
        <f ca="1">IFERROR(__xludf.DUMMYFUNCTION("""COMPUTED_VALUE"""),"AL")</f>
        <v>AL</v>
      </c>
      <c r="N1214" s="1" t="str">
        <f ca="1">IFERROR(__xludf.DUMMYFUNCTION("""COMPUTED_VALUE"""),"Elementary")</f>
        <v>Elementary</v>
      </c>
      <c r="O1214" s="1" t="str">
        <f ca="1">IFERROR(__xludf.DUMMYFUNCTION("""COMPUTED_VALUE"""),"Classroom")</f>
        <v>Classroom</v>
      </c>
      <c r="P1214" s="1" t="str">
        <f ca="1">IFERROR(__xludf.DUMMYFUNCTION("""COMPUTED_VALUE"""),"Inside School Building")</f>
        <v>Inside School Building</v>
      </c>
      <c r="Q1214" s="1" t="str">
        <f ca="1">IFERROR(__xludf.DUMMYFUNCTION("""COMPUTED_VALUE"""),"Yes")</f>
        <v>Yes</v>
      </c>
      <c r="R1214" s="1" t="str">
        <f ca="1">IFERROR(__xludf.DUMMYFUNCTION("""COMPUTED_VALUE"""),"Morning Classes")</f>
        <v>Morning Classes</v>
      </c>
      <c r="S1214" s="5">
        <f ca="1">IFERROR(__xludf.DUMMYFUNCTION("""COMPUTED_VALUE"""),0.479166666666666)</f>
        <v>0.47916666666666602</v>
      </c>
      <c r="T1214" s="1">
        <f ca="1">IFERROR(__xludf.DUMMYFUNCTION("""COMPUTED_VALUE"""),1)</f>
        <v>1</v>
      </c>
      <c r="U1214" s="1" t="str">
        <f ca="1">IFERROR(__xludf.DUMMYFUNCTION("""COMPUTED_VALUE"""),"Gun discharged in teacher's pocket")</f>
        <v>Gun discharged in teacher's pocket</v>
      </c>
      <c r="V1214" s="1" t="str">
        <f ca="1">IFERROR(__xludf.DUMMYFUNCTION("""COMPUTED_VALUE"""),"Gun discharged in teachers pocket inside of classroom. Gun was illegally carried by 74YOM substitute teacher. One student had minor injury from bullet fragment. Teacher was arrested.")</f>
        <v>Gun discharged in teachers pocket inside of classroom. Gun was illegally carried by 74YOM substitute teacher. One student had minor injury from bullet fragment. Teacher was arrested.</v>
      </c>
      <c r="W1214" s="1" t="str">
        <f ca="1">IFERROR(__xludf.DUMMYFUNCTION("""COMPUTED_VALUE"""),"Accidental")</f>
        <v>Accidental</v>
      </c>
      <c r="X1214" s="1" t="str">
        <f ca="1">IFERROR(__xludf.DUMMYFUNCTION("""COMPUTED_VALUE"""),"Random Shooting")</f>
        <v>Random Shooting</v>
      </c>
      <c r="Y1214" s="1" t="str">
        <f ca="1">IFERROR(__xludf.DUMMYFUNCTION("""COMPUTED_VALUE"""),"No")</f>
        <v>No</v>
      </c>
      <c r="Z1214" s="1"/>
      <c r="AA1214" s="1" t="str">
        <f ca="1">IFERROR(__xludf.DUMMYFUNCTION("""COMPUTED_VALUE"""),"No")</f>
        <v>No</v>
      </c>
      <c r="AB1214" s="1" t="str">
        <f ca="1">IFERROR(__xludf.DUMMYFUNCTION("""COMPUTED_VALUE"""),"No")</f>
        <v>No</v>
      </c>
      <c r="AC1214" s="1" t="str">
        <f ca="1">IFERROR(__xludf.DUMMYFUNCTION("""COMPUTED_VALUE"""),"No")</f>
        <v>No</v>
      </c>
      <c r="AD1214" s="1" t="str">
        <f ca="1">IFERROR(__xludf.DUMMYFUNCTION("""COMPUTED_VALUE"""),"No")</f>
        <v>No</v>
      </c>
      <c r="AE1214" s="1" t="str">
        <f ca="1">IFERROR(__xludf.DUMMYFUNCTION("""COMPUTED_VALUE"""),"No")</f>
        <v>No</v>
      </c>
      <c r="AF1214" s="1" t="str">
        <f ca="1">IFERROR(__xludf.DUMMYFUNCTION("""COMPUTED_VALUE"""),"No")</f>
        <v>No</v>
      </c>
      <c r="AG1214" s="1" t="str">
        <f ca="1">IFERROR(__xludf.DUMMYFUNCTION("""COMPUTED_VALUE"""),"No")</f>
        <v>No</v>
      </c>
      <c r="AH1214" s="1">
        <f ca="1">IFERROR(__xludf.DUMMYFUNCTION("""COMPUTED_VALUE"""),1)</f>
        <v>1</v>
      </c>
    </row>
    <row r="1215" spans="1:34" ht="12.5">
      <c r="A1215" s="1" t="str">
        <f ca="1">IFERROR(__xludf.DUMMYFUNCTION("""COMPUTED_VALUE"""),"20190313FLLAO")</f>
        <v>20190313FLLAO</v>
      </c>
      <c r="B1215" s="1">
        <f ca="1">IFERROR(__xludf.DUMMYFUNCTION("""COMPUTED_VALUE"""),3)</f>
        <v>3</v>
      </c>
      <c r="C1215" s="1">
        <f ca="1">IFERROR(__xludf.DUMMYFUNCTION("""COMPUTED_VALUE"""),13)</f>
        <v>13</v>
      </c>
      <c r="D1215" s="1">
        <f ca="1">IFERROR(__xludf.DUMMYFUNCTION("""COMPUTED_VALUE"""),2019)</f>
        <v>2019</v>
      </c>
      <c r="E1215" s="4">
        <f ca="1">IFERROR(__xludf.DUMMYFUNCTION("""COMPUTED_VALUE"""),43537)</f>
        <v>43537</v>
      </c>
      <c r="F1215" s="1" t="str">
        <f ca="1">IFERROR(__xludf.DUMMYFUNCTION("""COMPUTED_VALUE"""),"Lake Mary High School")</f>
        <v>Lake Mary High School</v>
      </c>
      <c r="G1215" s="1">
        <f ca="1">IFERROR(__xludf.DUMMYFUNCTION("""COMPUTED_VALUE"""),0)</f>
        <v>0</v>
      </c>
      <c r="H1215" s="1">
        <f ca="1">IFERROR(__xludf.DUMMYFUNCTION("""COMPUTED_VALUE"""),0)</f>
        <v>0</v>
      </c>
      <c r="I1215" s="1">
        <f ca="1">IFERROR(__xludf.DUMMYFUNCTION("""COMPUTED_VALUE"""),0)</f>
        <v>0</v>
      </c>
      <c r="J1215" s="1">
        <f ca="1">IFERROR(__xludf.DUMMYFUNCTION("""COMPUTED_VALUE"""),1)</f>
        <v>1</v>
      </c>
      <c r="K1215" s="1" t="str">
        <f ca="1">IFERROR(__xludf.DUMMYFUNCTION("""COMPUTED_VALUE"""),"Spring")</f>
        <v>Spring</v>
      </c>
      <c r="L1215" s="1" t="str">
        <f ca="1">IFERROR(__xludf.DUMMYFUNCTION("""COMPUTED_VALUE"""),"Orlando")</f>
        <v>Orlando</v>
      </c>
      <c r="M1215" s="1" t="str">
        <f ca="1">IFERROR(__xludf.DUMMYFUNCTION("""COMPUTED_VALUE"""),"FL")</f>
        <v>FL</v>
      </c>
      <c r="N1215" s="1" t="str">
        <f ca="1">IFERROR(__xludf.DUMMYFUNCTION("""COMPUTED_VALUE"""),"High")</f>
        <v>High</v>
      </c>
      <c r="O1215" s="1" t="str">
        <f ca="1">IFERROR(__xludf.DUMMYFUNCTION("""COMPUTED_VALUE"""),"Auditorium")</f>
        <v>Auditorium</v>
      </c>
      <c r="P1215" s="1" t="str">
        <f ca="1">IFERROR(__xludf.DUMMYFUNCTION("""COMPUTED_VALUE"""),"Inside School Building")</f>
        <v>Inside School Building</v>
      </c>
      <c r="Q1215" s="1" t="str">
        <f ca="1">IFERROR(__xludf.DUMMYFUNCTION("""COMPUTED_VALUE"""),"Yes")</f>
        <v>Yes</v>
      </c>
      <c r="R1215" s="1" t="str">
        <f ca="1">IFERROR(__xludf.DUMMYFUNCTION("""COMPUTED_VALUE"""),"Morning Classes")</f>
        <v>Morning Classes</v>
      </c>
      <c r="S1215" s="5">
        <f ca="1">IFERROR(__xludf.DUMMYFUNCTION("""COMPUTED_VALUE"""),0.333333333333333)</f>
        <v>0.33333333333333298</v>
      </c>
      <c r="T1215" s="1">
        <f ca="1">IFERROR(__xludf.DUMMYFUNCTION("""COMPUTED_VALUE"""),1)</f>
        <v>1</v>
      </c>
      <c r="U1215" s="1" t="str">
        <f ca="1">IFERROR(__xludf.DUMMYFUNCTION("""COMPUTED_VALUE"""),"Student asked to leave classroom and commit suicide in school auditorium")</f>
        <v>Student asked to leave classroom and commit suicide in school auditorium</v>
      </c>
      <c r="V1215" s="1" t="str">
        <f ca="1">IFERROR(__xludf.DUMMYFUNCTION("""COMPUTED_VALUE"""),"17YOF asked to go to the bathroom. About 10 minutes later, a gun shot was heard and her body was found by the school security officer and nurse in the school auditorium. School was locked down for 30 minutes then dismissed 2 hours later. Classes cancelled"&amp;" the following day.")</f>
        <v>17YOF asked to go to the bathroom. About 10 minutes later, a gun shot was heard and her body was found by the school security officer and nurse in the school auditorium. School was locked down for 30 minutes then dismissed 2 hours later. Classes cancelled the following day.</v>
      </c>
      <c r="W1215" s="1" t="str">
        <f ca="1">IFERROR(__xludf.DUMMYFUNCTION("""COMPUTED_VALUE"""),"Suicide/Attempted")</f>
        <v>Suicide/Attempted</v>
      </c>
      <c r="X1215" s="1" t="str">
        <f ca="1">IFERROR(__xludf.DUMMYFUNCTION("""COMPUTED_VALUE"""),"Victims Targeted")</f>
        <v>Victims Targeted</v>
      </c>
      <c r="Y1215" s="1" t="str">
        <f ca="1">IFERROR(__xludf.DUMMYFUNCTION("""COMPUTED_VALUE"""),"No")</f>
        <v>No</v>
      </c>
      <c r="Z1215" s="1"/>
      <c r="AA1215" s="1" t="str">
        <f ca="1">IFERROR(__xludf.DUMMYFUNCTION("""COMPUTED_VALUE"""),"No")</f>
        <v>No</v>
      </c>
      <c r="AB1215" s="1" t="str">
        <f ca="1">IFERROR(__xludf.DUMMYFUNCTION("""COMPUTED_VALUE"""),"No")</f>
        <v>No</v>
      </c>
      <c r="AC1215" s="1" t="str">
        <f ca="1">IFERROR(__xludf.DUMMYFUNCTION("""COMPUTED_VALUE"""),"No")</f>
        <v>No</v>
      </c>
      <c r="AD1215" s="1"/>
      <c r="AE1215" s="1" t="str">
        <f ca="1">IFERROR(__xludf.DUMMYFUNCTION("""COMPUTED_VALUE"""),"No")</f>
        <v>No</v>
      </c>
      <c r="AF1215" s="1" t="str">
        <f ca="1">IFERROR(__xludf.DUMMYFUNCTION("""COMPUTED_VALUE"""),"No")</f>
        <v>No</v>
      </c>
      <c r="AG1215" s="1" t="str">
        <f ca="1">IFERROR(__xludf.DUMMYFUNCTION("""COMPUTED_VALUE"""),"No")</f>
        <v>No</v>
      </c>
      <c r="AH1215" s="1">
        <f ca="1">IFERROR(__xludf.DUMMYFUNCTION("""COMPUTED_VALUE"""),1)</f>
        <v>1</v>
      </c>
    </row>
    <row r="1216" spans="1:34" ht="12.5">
      <c r="A1216" s="1" t="str">
        <f ca="1">IFERROR(__xludf.DUMMYFUNCTION("""COMPUTED_VALUE"""),"20190301KSHIM")</f>
        <v>20190301KSHIM</v>
      </c>
      <c r="B1216" s="1">
        <f ca="1">IFERROR(__xludf.DUMMYFUNCTION("""COMPUTED_VALUE"""),3)</f>
        <v>3</v>
      </c>
      <c r="C1216" s="1">
        <f ca="1">IFERROR(__xludf.DUMMYFUNCTION("""COMPUTED_VALUE"""),1)</f>
        <v>1</v>
      </c>
      <c r="D1216" s="1">
        <f ca="1">IFERROR(__xludf.DUMMYFUNCTION("""COMPUTED_VALUE"""),2019)</f>
        <v>2019</v>
      </c>
      <c r="E1216" s="4">
        <f ca="1">IFERROR(__xludf.DUMMYFUNCTION("""COMPUTED_VALUE"""),43525)</f>
        <v>43525</v>
      </c>
      <c r="F1216" s="1" t="str">
        <f ca="1">IFERROR(__xludf.DUMMYFUNCTION("""COMPUTED_VALUE"""),"Highlands Elementary School")</f>
        <v>Highlands Elementary School</v>
      </c>
      <c r="G1216" s="1">
        <f ca="1">IFERROR(__xludf.DUMMYFUNCTION("""COMPUTED_VALUE"""),0)</f>
        <v>0</v>
      </c>
      <c r="H1216" s="1">
        <f ca="1">IFERROR(__xludf.DUMMYFUNCTION("""COMPUTED_VALUE"""),0)</f>
        <v>0</v>
      </c>
      <c r="I1216" s="1">
        <f ca="1">IFERROR(__xludf.DUMMYFUNCTION("""COMPUTED_VALUE"""),0)</f>
        <v>0</v>
      </c>
      <c r="J1216" s="1">
        <f ca="1">IFERROR(__xludf.DUMMYFUNCTION("""COMPUTED_VALUE"""),0)</f>
        <v>0</v>
      </c>
      <c r="K1216" s="1" t="str">
        <f ca="1">IFERROR(__xludf.DUMMYFUNCTION("""COMPUTED_VALUE"""),"Spring")</f>
        <v>Spring</v>
      </c>
      <c r="L1216" s="1" t="str">
        <f ca="1">IFERROR(__xludf.DUMMYFUNCTION("""COMPUTED_VALUE"""),"Mission")</f>
        <v>Mission</v>
      </c>
      <c r="M1216" s="1" t="str">
        <f ca="1">IFERROR(__xludf.DUMMYFUNCTION("""COMPUTED_VALUE"""),"KS")</f>
        <v>KS</v>
      </c>
      <c r="N1216" s="1" t="str">
        <f ca="1">IFERROR(__xludf.DUMMYFUNCTION("""COMPUTED_VALUE"""),"Elementary")</f>
        <v>Elementary</v>
      </c>
      <c r="O1216" s="1" t="str">
        <f ca="1">IFERROR(__xludf.DUMMYFUNCTION("""COMPUTED_VALUE"""),"Off School Property")</f>
        <v>Off School Property</v>
      </c>
      <c r="P1216" s="1" t="str">
        <f ca="1">IFERROR(__xludf.DUMMYFUNCTION("""COMPUTED_VALUE"""),"Off School Property")</f>
        <v>Off School Property</v>
      </c>
      <c r="Q1216" s="1" t="str">
        <f ca="1">IFERROR(__xludf.DUMMYFUNCTION("""COMPUTED_VALUE"""),"Yes")</f>
        <v>Yes</v>
      </c>
      <c r="R1216" s="1" t="str">
        <f ca="1">IFERROR(__xludf.DUMMYFUNCTION("""COMPUTED_VALUE"""),"Afternoon Classes")</f>
        <v>Afternoon Classes</v>
      </c>
      <c r="S1216" s="5">
        <f ca="1">IFERROR(__xludf.DUMMYFUNCTION("""COMPUTED_VALUE"""),0.5625)</f>
        <v>0.5625</v>
      </c>
      <c r="T1216" s="1">
        <f ca="1">IFERROR(__xludf.DUMMYFUNCTION("""COMPUTED_VALUE"""),75)</f>
        <v>75</v>
      </c>
      <c r="U1216" s="1" t="str">
        <f ca="1">IFERROR(__xludf.DUMMYFUNCTION("""COMPUTED_VALUE"""),"Shooter fired 27 shots at the school from his bedroom during attempted suicide by cop")</f>
        <v>Shooter fired 27 shots at the school from his bedroom during attempted suicide by cop</v>
      </c>
      <c r="V1216" s="1" t="str">
        <f ca="1">IFERROR(__xludf.DUMMYFUNCTION("""COMPUTED_VALUE"""),"26YOM shooter lived directly across street from school. Police were called for reported shots fired at 1:30 PM at home between mother and shooter. School officials heard shots and locked down. At 3:15, shooter fired multiple shots at police and was then s"&amp;"hot by officers. Bullets hit vehicles in the school parking lot and the school building. School remained locked down until crime scene was cleared. Students were outside at the time of the shooting and heard gun shots before taking cover in the building. "&amp;"No students or school staff were injured. School window was broken and a bullet was found inside a classroom. Police determined the shooter had fired 27 shots through the wall of his bedroom in the direction of the school. There was drug paraphernalia in "&amp;"the room. mother later told police her son had been suicidal. Mother told police that her son had a drug addiction problem. She said he was too afraid to shoot himself, and he said he would shoot at the school to make someone else do it, court documents s"&amp;"ay.")</f>
        <v>26YOM shooter lived directly across street from school. Police were called for reported shots fired at 1:30 PM at home between mother and shooter. School officials heard shots and locked down. At 3:15, shooter fired multiple shots at police and was then shot by officers. Bullets hit vehicles in the school parking lot and the school building. School remained locked down until crime scene was cleared. Students were outside at the time of the shooting and heard gun shots before taking cover in the building. No students or school staff were injured. School window was broken and a bullet was found inside a classroom. Police determined the shooter had fired 27 shots through the wall of his bedroom in the direction of the school. There was drug paraphernalia in the room. mother later told police her son had been suicidal. Mother told police that her son had a drug addiction problem. She said he was too afraid to shoot himself, and he said he would shoot at the school to make someone else do it, court documents say.</v>
      </c>
      <c r="W1216" s="1" t="str">
        <f ca="1">IFERROR(__xludf.DUMMYFUNCTION("""COMPUTED_VALUE"""),"Suicide/Attempted")</f>
        <v>Suicide/Attempted</v>
      </c>
      <c r="X1216" s="1" t="str">
        <f ca="1">IFERROR(__xludf.DUMMYFUNCTION("""COMPUTED_VALUE"""),"Neither")</f>
        <v>Neither</v>
      </c>
      <c r="Y1216" s="1" t="str">
        <f ca="1">IFERROR(__xludf.DUMMYFUNCTION("""COMPUTED_VALUE"""),"No")</f>
        <v>No</v>
      </c>
      <c r="Z1216" s="1"/>
      <c r="AA1216" s="1" t="str">
        <f ca="1">IFERROR(__xludf.DUMMYFUNCTION("""COMPUTED_VALUE"""),"No")</f>
        <v>No</v>
      </c>
      <c r="AB1216" s="1" t="str">
        <f ca="1">IFERROR(__xludf.DUMMYFUNCTION("""COMPUTED_VALUE"""),"No")</f>
        <v>No</v>
      </c>
      <c r="AC1216" s="1" t="str">
        <f ca="1">IFERROR(__xludf.DUMMYFUNCTION("""COMPUTED_VALUE"""),"No")</f>
        <v>No</v>
      </c>
      <c r="AD1216" s="1" t="str">
        <f ca="1">IFERROR(__xludf.DUMMYFUNCTION("""COMPUTED_VALUE"""),"No")</f>
        <v>No</v>
      </c>
      <c r="AE1216" s="1" t="str">
        <f ca="1">IFERROR(__xludf.DUMMYFUNCTION("""COMPUTED_VALUE"""),"No")</f>
        <v>No</v>
      </c>
      <c r="AF1216" s="1" t="str">
        <f ca="1">IFERROR(__xludf.DUMMYFUNCTION("""COMPUTED_VALUE"""),"No")</f>
        <v>No</v>
      </c>
      <c r="AG1216" s="1" t="str">
        <f ca="1">IFERROR(__xludf.DUMMYFUNCTION("""COMPUTED_VALUE"""),"No")</f>
        <v>No</v>
      </c>
      <c r="AH1216" s="1">
        <f ca="1">IFERROR(__xludf.DUMMYFUNCTION("""COMPUTED_VALUE"""),27)</f>
        <v>27</v>
      </c>
    </row>
    <row r="1217" spans="1:34" ht="12.5">
      <c r="A1217" s="1" t="str">
        <f ca="1">IFERROR(__xludf.DUMMYFUNCTION("""COMPUTED_VALUE"""),"20190226ALROM")</f>
        <v>20190226ALROM</v>
      </c>
      <c r="B1217" s="1">
        <f ca="1">IFERROR(__xludf.DUMMYFUNCTION("""COMPUTED_VALUE"""),2)</f>
        <v>2</v>
      </c>
      <c r="C1217" s="1">
        <f ca="1">IFERROR(__xludf.DUMMYFUNCTION("""COMPUTED_VALUE"""),26)</f>
        <v>26</v>
      </c>
      <c r="D1217" s="1">
        <f ca="1">IFERROR(__xludf.DUMMYFUNCTION("""COMPUTED_VALUE"""),2019)</f>
        <v>2019</v>
      </c>
      <c r="E1217" s="4">
        <f ca="1">IFERROR(__xludf.DUMMYFUNCTION("""COMPUTED_VALUE"""),43522)</f>
        <v>43522</v>
      </c>
      <c r="F1217" s="1" t="str">
        <f ca="1">IFERROR(__xludf.DUMMYFUNCTION("""COMPUTED_VALUE"""),"Robert E. Lee High School")</f>
        <v>Robert E. Lee High School</v>
      </c>
      <c r="G1217" s="1">
        <f ca="1">IFERROR(__xludf.DUMMYFUNCTION("""COMPUTED_VALUE"""),0)</f>
        <v>0</v>
      </c>
      <c r="H1217" s="1">
        <f ca="1">IFERROR(__xludf.DUMMYFUNCTION("""COMPUTED_VALUE"""),1)</f>
        <v>1</v>
      </c>
      <c r="I1217" s="1">
        <f ca="1">IFERROR(__xludf.DUMMYFUNCTION("""COMPUTED_VALUE"""),1)</f>
        <v>1</v>
      </c>
      <c r="J1217" s="1">
        <f ca="1">IFERROR(__xludf.DUMMYFUNCTION("""COMPUTED_VALUE"""),0)</f>
        <v>0</v>
      </c>
      <c r="K1217" s="1" t="str">
        <f ca="1">IFERROR(__xludf.DUMMYFUNCTION("""COMPUTED_VALUE"""),"Winter")</f>
        <v>Winter</v>
      </c>
      <c r="L1217" s="1" t="str">
        <f ca="1">IFERROR(__xludf.DUMMYFUNCTION("""COMPUTED_VALUE"""),"Montgomery")</f>
        <v>Montgomery</v>
      </c>
      <c r="M1217" s="1" t="str">
        <f ca="1">IFERROR(__xludf.DUMMYFUNCTION("""COMPUTED_VALUE"""),"AL")</f>
        <v>AL</v>
      </c>
      <c r="N1217" s="1" t="str">
        <f ca="1">IFERROR(__xludf.DUMMYFUNCTION("""COMPUTED_VALUE"""),"High")</f>
        <v>High</v>
      </c>
      <c r="O1217" s="1" t="str">
        <f ca="1">IFERROR(__xludf.DUMMYFUNCTION("""COMPUTED_VALUE"""),"Gym")</f>
        <v>Gym</v>
      </c>
      <c r="P1217" s="1" t="str">
        <f ca="1">IFERROR(__xludf.DUMMYFUNCTION("""COMPUTED_VALUE"""),"Inside School Building")</f>
        <v>Inside School Building</v>
      </c>
      <c r="Q1217" s="1" t="str">
        <f ca="1">IFERROR(__xludf.DUMMYFUNCTION("""COMPUTED_VALUE"""),"Yes")</f>
        <v>Yes</v>
      </c>
      <c r="R1217" s="1" t="str">
        <f ca="1">IFERROR(__xludf.DUMMYFUNCTION("""COMPUTED_VALUE"""),"Morning Classes")</f>
        <v>Morning Classes</v>
      </c>
      <c r="S1217" s="5">
        <f ca="1">IFERROR(__xludf.DUMMYFUNCTION("""COMPUTED_VALUE"""),0.458333333333333)</f>
        <v>0.45833333333333298</v>
      </c>
      <c r="T1217" s="1">
        <f ca="1">IFERROR(__xludf.DUMMYFUNCTION("""COMPUTED_VALUE"""),1)</f>
        <v>1</v>
      </c>
      <c r="U1217" s="1" t="str">
        <f ca="1">IFERROR(__xludf.DUMMYFUNCTION("""COMPUTED_VALUE"""),"Student shot by other student in the school gym. Police said shooting was targeted.")</f>
        <v>Student shot by other student in the school gym. Police said shooting was targeted.</v>
      </c>
      <c r="V1217" s="1" t="str">
        <f ca="1">IFERROR(__xludf.DUMMYFUNCTION("""COMPUTED_VALUE"""),"17YOM student shot by unidentified male student in the school gym. 30 other staff and students were in the gym during the time of the shooting. Suspect fled and was arrested off campus by police. Handgun was recovered. Active shooter plan at school was us"&amp;"ed and policed conducted room by room sweep. School has metal detectors at front door but does not ""pat down"" students entering.")</f>
        <v>17YOM student shot by unidentified male student in the school gym. 30 other staff and students were in the gym during the time of the shooting. Suspect fled and was arrested off campus by police. Handgun was recovered. Active shooter plan at school was used and policed conducted room by room sweep. School has metal detectors at front door but does not "pat down" students entering.</v>
      </c>
      <c r="W1217" s="1" t="str">
        <f ca="1">IFERROR(__xludf.DUMMYFUNCTION("""COMPUTED_VALUE"""),"Escalation of Dispute")</f>
        <v>Escalation of Dispute</v>
      </c>
      <c r="X1217" s="1" t="str">
        <f ca="1">IFERROR(__xludf.DUMMYFUNCTION("""COMPUTED_VALUE"""),"Victims Targeted")</f>
        <v>Victims Targeted</v>
      </c>
      <c r="Y1217" s="1" t="str">
        <f ca="1">IFERROR(__xludf.DUMMYFUNCTION("""COMPUTED_VALUE"""),"Yes")</f>
        <v>Yes</v>
      </c>
      <c r="Z1217" s="1" t="str">
        <f ca="1">IFERROR(__xludf.DUMMYFUNCTION("""COMPUTED_VALUE"""),"4 teens arrested")</f>
        <v>4 teens arrested</v>
      </c>
      <c r="AA1217" s="1" t="str">
        <f ca="1">IFERROR(__xludf.DUMMYFUNCTION("""COMPUTED_VALUE"""),"No")</f>
        <v>No</v>
      </c>
      <c r="AB1217" s="1" t="str">
        <f ca="1">IFERROR(__xludf.DUMMYFUNCTION("""COMPUTED_VALUE"""),"No")</f>
        <v>No</v>
      </c>
      <c r="AC1217" s="1" t="str">
        <f ca="1">IFERROR(__xludf.DUMMYFUNCTION("""COMPUTED_VALUE"""),"No")</f>
        <v>No</v>
      </c>
      <c r="AD1217" s="1"/>
      <c r="AE1217" s="1" t="str">
        <f ca="1">IFERROR(__xludf.DUMMYFUNCTION("""COMPUTED_VALUE"""),"No")</f>
        <v>No</v>
      </c>
      <c r="AF1217" s="1"/>
      <c r="AG1217" s="1" t="str">
        <f ca="1">IFERROR(__xludf.DUMMYFUNCTION("""COMPUTED_VALUE"""),"No")</f>
        <v>No</v>
      </c>
      <c r="AH1217" s="1"/>
    </row>
    <row r="1218" spans="1:34" ht="12.5">
      <c r="A1218" s="1" t="str">
        <f ca="1">IFERROR(__xludf.DUMMYFUNCTION("""COMPUTED_VALUE"""),"20190217COEAA")</f>
        <v>20190217COEAA</v>
      </c>
      <c r="B1218" s="1">
        <f ca="1">IFERROR(__xludf.DUMMYFUNCTION("""COMPUTED_VALUE"""),2)</f>
        <v>2</v>
      </c>
      <c r="C1218" s="1">
        <f ca="1">IFERROR(__xludf.DUMMYFUNCTION("""COMPUTED_VALUE"""),17)</f>
        <v>17</v>
      </c>
      <c r="D1218" s="1">
        <f ca="1">IFERROR(__xludf.DUMMYFUNCTION("""COMPUTED_VALUE"""),2019)</f>
        <v>2019</v>
      </c>
      <c r="E1218" s="4">
        <f ca="1">IFERROR(__xludf.DUMMYFUNCTION("""COMPUTED_VALUE"""),43513)</f>
        <v>43513</v>
      </c>
      <c r="F1218" s="1" t="str">
        <f ca="1">IFERROR(__xludf.DUMMYFUNCTION("""COMPUTED_VALUE"""),"Eaglecrest High School")</f>
        <v>Eaglecrest High School</v>
      </c>
      <c r="G1218" s="1">
        <f ca="1">IFERROR(__xludf.DUMMYFUNCTION("""COMPUTED_VALUE"""),1)</f>
        <v>1</v>
      </c>
      <c r="H1218" s="1">
        <f ca="1">IFERROR(__xludf.DUMMYFUNCTION("""COMPUTED_VALUE"""),0)</f>
        <v>0</v>
      </c>
      <c r="I1218" s="1">
        <f ca="1">IFERROR(__xludf.DUMMYFUNCTION("""COMPUTED_VALUE"""),1)</f>
        <v>1</v>
      </c>
      <c r="J1218" s="1">
        <f ca="1">IFERROR(__xludf.DUMMYFUNCTION("""COMPUTED_VALUE"""),0)</f>
        <v>0</v>
      </c>
      <c r="K1218" s="1" t="str">
        <f ca="1">IFERROR(__xludf.DUMMYFUNCTION("""COMPUTED_VALUE"""),"Winter")</f>
        <v>Winter</v>
      </c>
      <c r="L1218" s="1" t="str">
        <f ca="1">IFERROR(__xludf.DUMMYFUNCTION("""COMPUTED_VALUE"""),"Aurora")</f>
        <v>Aurora</v>
      </c>
      <c r="M1218" s="1" t="str">
        <f ca="1">IFERROR(__xludf.DUMMYFUNCTION("""COMPUTED_VALUE"""),"CO")</f>
        <v>CO</v>
      </c>
      <c r="N1218" s="1" t="str">
        <f ca="1">IFERROR(__xludf.DUMMYFUNCTION("""COMPUTED_VALUE"""),"High")</f>
        <v>High</v>
      </c>
      <c r="O1218" s="1" t="str">
        <f ca="1">IFERROR(__xludf.DUMMYFUNCTION("""COMPUTED_VALUE"""),"Field (General)")</f>
        <v>Field (General)</v>
      </c>
      <c r="P1218" s="1" t="str">
        <f ca="1">IFERROR(__xludf.DUMMYFUNCTION("""COMPUTED_VALUE"""),"Outside on School Property")</f>
        <v>Outside on School Property</v>
      </c>
      <c r="Q1218" s="1" t="str">
        <f ca="1">IFERROR(__xludf.DUMMYFUNCTION("""COMPUTED_VALUE"""),"No")</f>
        <v>No</v>
      </c>
      <c r="R1218" s="1" t="str">
        <f ca="1">IFERROR(__xludf.DUMMYFUNCTION("""COMPUTED_VALUE"""),"Not a School Day")</f>
        <v>Not a School Day</v>
      </c>
      <c r="S1218" s="5">
        <f ca="1">IFERROR(__xludf.DUMMYFUNCTION("""COMPUTED_VALUE"""),0.458333333333333)</f>
        <v>0.45833333333333298</v>
      </c>
      <c r="T1218" s="1">
        <f ca="1">IFERROR(__xludf.DUMMYFUNCTION("""COMPUTED_VALUE"""),1)</f>
        <v>1</v>
      </c>
      <c r="U1218" s="1" t="str">
        <f ca="1">IFERROR(__xludf.DUMMYFUNCTION("""COMPUTED_VALUE"""),"Neighbors met at school to talk about ongoing dispute over parking, argument lead to shooting")</f>
        <v>Neighbors met at school to talk about ongoing dispute over parking, argument lead to shooting</v>
      </c>
      <c r="V1218" s="1" t="str">
        <f ca="1">IFERROR(__xludf.DUMMYFUNCTION("""COMPUTED_VALUE"""),"31YOM shot and killed 46YOM (assistant principal at another Aurora school) during ongoing dispute about a parking space. Both men lived across the street from the school. Two men agreed to meet at the school to discuss the dispute and it escalated into a "&amp;"shooting. Shooting occurred on Sunday of holiday weekend. Classes at school were disrupted and students received counseling. Shooter called police and said he shot neighbor then surrendered to police following shooting.")</f>
        <v>31YOM shot and killed 46YOM (assistant principal at another Aurora school) during ongoing dispute about a parking space. Both men lived across the street from the school. Two men agreed to meet at the school to discuss the dispute and it escalated into a shooting. Shooting occurred on Sunday of holiday weekend. Classes at school were disrupted and students received counseling. Shooter called police and said he shot neighbor then surrendered to police following shooting.</v>
      </c>
      <c r="W1218" s="1" t="str">
        <f ca="1">IFERROR(__xludf.DUMMYFUNCTION("""COMPUTED_VALUE"""),"Escalation of Dispute")</f>
        <v>Escalation of Dispute</v>
      </c>
      <c r="X1218" s="1" t="str">
        <f ca="1">IFERROR(__xludf.DUMMYFUNCTION("""COMPUTED_VALUE"""),"Victims Targeted")</f>
        <v>Victims Targeted</v>
      </c>
      <c r="Y1218" s="1" t="str">
        <f ca="1">IFERROR(__xludf.DUMMYFUNCTION("""COMPUTED_VALUE"""),"No")</f>
        <v>No</v>
      </c>
      <c r="Z1218" s="1"/>
      <c r="AA1218" s="1" t="str">
        <f ca="1">IFERROR(__xludf.DUMMYFUNCTION("""COMPUTED_VALUE"""),"No")</f>
        <v>No</v>
      </c>
      <c r="AB1218" s="1" t="str">
        <f ca="1">IFERROR(__xludf.DUMMYFUNCTION("""COMPUTED_VALUE"""),"No")</f>
        <v>No</v>
      </c>
      <c r="AC1218" s="1" t="str">
        <f ca="1">IFERROR(__xludf.DUMMYFUNCTION("""COMPUTED_VALUE"""),"No")</f>
        <v>No</v>
      </c>
      <c r="AD1218" s="1" t="str">
        <f ca="1">IFERROR(__xludf.DUMMYFUNCTION("""COMPUTED_VALUE"""),"No")</f>
        <v>No</v>
      </c>
      <c r="AE1218" s="1" t="str">
        <f ca="1">IFERROR(__xludf.DUMMYFUNCTION("""COMPUTED_VALUE"""),"No")</f>
        <v>No</v>
      </c>
      <c r="AF1218" s="1" t="str">
        <f ca="1">IFERROR(__xludf.DUMMYFUNCTION("""COMPUTED_VALUE"""),"No")</f>
        <v>No</v>
      </c>
      <c r="AG1218" s="1" t="str">
        <f ca="1">IFERROR(__xludf.DUMMYFUNCTION("""COMPUTED_VALUE"""),"No")</f>
        <v>No</v>
      </c>
      <c r="AH1218" s="1" t="str">
        <f ca="1">IFERROR(__xludf.DUMMYFUNCTION("""COMPUTED_VALUE"""),"&lt;10")</f>
        <v>&lt;10</v>
      </c>
    </row>
    <row r="1219" spans="1:34" ht="12.5">
      <c r="A1219" s="1" t="str">
        <f ca="1">IFERROR(__xludf.DUMMYFUNCTION("""COMPUTED_VALUE"""),"20190214NMVR")</f>
        <v>20190214NMVR</v>
      </c>
      <c r="B1219" s="1">
        <f ca="1">IFERROR(__xludf.DUMMYFUNCTION("""COMPUTED_VALUE"""),2)</f>
        <v>2</v>
      </c>
      <c r="C1219" s="1">
        <f ca="1">IFERROR(__xludf.DUMMYFUNCTION("""COMPUTED_VALUE"""),14)</f>
        <v>14</v>
      </c>
      <c r="D1219" s="1">
        <f ca="1">IFERROR(__xludf.DUMMYFUNCTION("""COMPUTED_VALUE"""),2019)</f>
        <v>2019</v>
      </c>
      <c r="E1219" s="4">
        <f ca="1">IFERROR(__xludf.DUMMYFUNCTION("""COMPUTED_VALUE"""),43510)</f>
        <v>43510</v>
      </c>
      <c r="F1219" s="1" t="str">
        <f ca="1">IFERROR(__xludf.DUMMYFUNCTION("""COMPUTED_VALUE"""),"V. Sue Cleveland High School")</f>
        <v>V. Sue Cleveland High School</v>
      </c>
      <c r="G1219" s="1">
        <f ca="1">IFERROR(__xludf.DUMMYFUNCTION("""COMPUTED_VALUE"""),0)</f>
        <v>0</v>
      </c>
      <c r="H1219" s="1">
        <f ca="1">IFERROR(__xludf.DUMMYFUNCTION("""COMPUTED_VALUE"""),0)</f>
        <v>0</v>
      </c>
      <c r="I1219" s="1">
        <f ca="1">IFERROR(__xludf.DUMMYFUNCTION("""COMPUTED_VALUE"""),0)</f>
        <v>0</v>
      </c>
      <c r="J1219" s="1">
        <f ca="1">IFERROR(__xludf.DUMMYFUNCTION("""COMPUTED_VALUE"""),0)</f>
        <v>0</v>
      </c>
      <c r="K1219" s="1" t="str">
        <f ca="1">IFERROR(__xludf.DUMMYFUNCTION("""COMPUTED_VALUE"""),"Winter")</f>
        <v>Winter</v>
      </c>
      <c r="L1219" s="1" t="str">
        <f ca="1">IFERROR(__xludf.DUMMYFUNCTION("""COMPUTED_VALUE"""),"Rio Rancho")</f>
        <v>Rio Rancho</v>
      </c>
      <c r="M1219" s="1" t="str">
        <f ca="1">IFERROR(__xludf.DUMMYFUNCTION("""COMPUTED_VALUE"""),"NM")</f>
        <v>NM</v>
      </c>
      <c r="N1219" s="1" t="str">
        <f ca="1">IFERROR(__xludf.DUMMYFUNCTION("""COMPUTED_VALUE"""),"High")</f>
        <v>High</v>
      </c>
      <c r="O1219" s="1" t="str">
        <f ca="1">IFERROR(__xludf.DUMMYFUNCTION("""COMPUTED_VALUE"""),"Hallway")</f>
        <v>Hallway</v>
      </c>
      <c r="P1219" s="1" t="str">
        <f ca="1">IFERROR(__xludf.DUMMYFUNCTION("""COMPUTED_VALUE"""),"Inside School Building")</f>
        <v>Inside School Building</v>
      </c>
      <c r="Q1219" s="1" t="str">
        <f ca="1">IFERROR(__xludf.DUMMYFUNCTION("""COMPUTED_VALUE"""),"Yes")</f>
        <v>Yes</v>
      </c>
      <c r="R1219" s="1" t="str">
        <f ca="1">IFERROR(__xludf.DUMMYFUNCTION("""COMPUTED_VALUE"""),"School Start")</f>
        <v>School Start</v>
      </c>
      <c r="S1219" s="5">
        <f ca="1">IFERROR(__xludf.DUMMYFUNCTION("""COMPUTED_VALUE"""),0.291666666666666)</f>
        <v>0.29166666666666602</v>
      </c>
      <c r="T1219" s="1">
        <f ca="1">IFERROR(__xludf.DUMMYFUNCTION("""COMPUTED_VALUE"""),1)</f>
        <v>1</v>
      </c>
      <c r="U1219" s="1" t="str">
        <f ca="1">IFERROR(__xludf.DUMMYFUNCTION("""COMPUTED_VALUE"""),"Student fired shot as school opened then fled the scene. Reported attempt to kill ex girlfriend.")</f>
        <v>Student fired shot as school opened then fled the scene. Reported attempt to kill ex girlfriend.</v>
      </c>
      <c r="V1219" s="1" t="str">
        <f ca="1">IFERROR(__xludf.DUMMYFUNCTION("""COMPUTED_VALUE"""),"16YOM student fired a handgun (single shot) in the school hallway, dropped the weapon, then fled the school. Note in student's pocket said he intended to kill his ex girlfriend (Valentine's Day). Caught by law enforcement as he was running from the scene."&amp;" Police report shooter had been questioned 9 months ago when he said voices were telling him to commit a shooting at the school.")</f>
        <v>16YOM student fired a handgun (single shot) in the school hallway, dropped the weapon, then fled the school. Note in student's pocket said he intended to kill his ex girlfriend (Valentine's Day). Caught by law enforcement as he was running from the scene. Police report shooter had been questioned 9 months ago when he said voices were telling him to commit a shooting at the school.</v>
      </c>
      <c r="W1219" s="1" t="str">
        <f ca="1">IFERROR(__xludf.DUMMYFUNCTION("""COMPUTED_VALUE"""),"Domestic w/ Targeted Victim")</f>
        <v>Domestic w/ Targeted Victim</v>
      </c>
      <c r="X1219" s="1" t="str">
        <f ca="1">IFERROR(__xludf.DUMMYFUNCTION("""COMPUTED_VALUE"""),"Victims Targeted")</f>
        <v>Victims Targeted</v>
      </c>
      <c r="Y1219" s="1" t="str">
        <f ca="1">IFERROR(__xludf.DUMMYFUNCTION("""COMPUTED_VALUE"""),"No")</f>
        <v>No</v>
      </c>
      <c r="Z1219" s="1"/>
      <c r="AA1219" s="1" t="str">
        <f ca="1">IFERROR(__xludf.DUMMYFUNCTION("""COMPUTED_VALUE"""),"No")</f>
        <v>No</v>
      </c>
      <c r="AB1219" s="1" t="str">
        <f ca="1">IFERROR(__xludf.DUMMYFUNCTION("""COMPUTED_VALUE"""),"No")</f>
        <v>No</v>
      </c>
      <c r="AC1219" s="1" t="str">
        <f ca="1">IFERROR(__xludf.DUMMYFUNCTION("""COMPUTED_VALUE"""),"No")</f>
        <v>No</v>
      </c>
      <c r="AD1219" s="1"/>
      <c r="AE1219" s="1" t="str">
        <f ca="1">IFERROR(__xludf.DUMMYFUNCTION("""COMPUTED_VALUE"""),"Yes")</f>
        <v>Yes</v>
      </c>
      <c r="AF1219" s="1"/>
      <c r="AG1219" s="1" t="str">
        <f ca="1">IFERROR(__xludf.DUMMYFUNCTION("""COMPUTED_VALUE"""),"No")</f>
        <v>No</v>
      </c>
      <c r="AH1219" s="1">
        <f ca="1">IFERROR(__xludf.DUMMYFUNCTION("""COMPUTED_VALUE"""),1)</f>
        <v>1</v>
      </c>
    </row>
    <row r="1220" spans="1:34" ht="12.5">
      <c r="A1220" s="1" t="str">
        <f ca="1">IFERROR(__xludf.DUMMYFUNCTION("""COMPUTED_VALUE"""),"20190212MOCEK")</f>
        <v>20190212MOCEK</v>
      </c>
      <c r="B1220" s="1">
        <f ca="1">IFERROR(__xludf.DUMMYFUNCTION("""COMPUTED_VALUE"""),2)</f>
        <v>2</v>
      </c>
      <c r="C1220" s="1">
        <f ca="1">IFERROR(__xludf.DUMMYFUNCTION("""COMPUTED_VALUE"""),12)</f>
        <v>12</v>
      </c>
      <c r="D1220" s="1">
        <f ca="1">IFERROR(__xludf.DUMMYFUNCTION("""COMPUTED_VALUE"""),2019)</f>
        <v>2019</v>
      </c>
      <c r="E1220" s="4">
        <f ca="1">IFERROR(__xludf.DUMMYFUNCTION("""COMPUTED_VALUE"""),43508)</f>
        <v>43508</v>
      </c>
      <c r="F1220" s="1" t="str">
        <f ca="1">IFERROR(__xludf.DUMMYFUNCTION("""COMPUTED_VALUE"""),"Central Academy of Excellence")</f>
        <v>Central Academy of Excellence</v>
      </c>
      <c r="G1220" s="1">
        <f ca="1">IFERROR(__xludf.DUMMYFUNCTION("""COMPUTED_VALUE"""),1)</f>
        <v>1</v>
      </c>
      <c r="H1220" s="1">
        <f ca="1">IFERROR(__xludf.DUMMYFUNCTION("""COMPUTED_VALUE"""),0)</f>
        <v>0</v>
      </c>
      <c r="I1220" s="1">
        <f ca="1">IFERROR(__xludf.DUMMYFUNCTION("""COMPUTED_VALUE"""),1)</f>
        <v>1</v>
      </c>
      <c r="J1220" s="1">
        <f ca="1">IFERROR(__xludf.DUMMYFUNCTION("""COMPUTED_VALUE"""),0)</f>
        <v>0</v>
      </c>
      <c r="K1220" s="1" t="str">
        <f ca="1">IFERROR(__xludf.DUMMYFUNCTION("""COMPUTED_VALUE"""),"Winter")</f>
        <v>Winter</v>
      </c>
      <c r="L1220" s="1" t="str">
        <f ca="1">IFERROR(__xludf.DUMMYFUNCTION("""COMPUTED_VALUE"""),"Kansas City")</f>
        <v>Kansas City</v>
      </c>
      <c r="M1220" s="1" t="str">
        <f ca="1">IFERROR(__xludf.DUMMYFUNCTION("""COMPUTED_VALUE"""),"MO")</f>
        <v>MO</v>
      </c>
      <c r="N1220" s="1" t="str">
        <f ca="1">IFERROR(__xludf.DUMMYFUNCTION("""COMPUTED_VALUE"""),"High")</f>
        <v>High</v>
      </c>
      <c r="O1220" s="1" t="str">
        <f ca="1">IFERROR(__xludf.DUMMYFUNCTION("""COMPUTED_VALUE"""),"Beside Building")</f>
        <v>Beside Building</v>
      </c>
      <c r="P1220" s="1" t="str">
        <f ca="1">IFERROR(__xludf.DUMMYFUNCTION("""COMPUTED_VALUE"""),"Outside on School Property")</f>
        <v>Outside on School Property</v>
      </c>
      <c r="Q1220" s="1" t="str">
        <f ca="1">IFERROR(__xludf.DUMMYFUNCTION("""COMPUTED_VALUE"""),"No")</f>
        <v>No</v>
      </c>
      <c r="R1220" s="1" t="str">
        <f ca="1">IFERROR(__xludf.DUMMYFUNCTION("""COMPUTED_VALUE"""),"Sport Event")</f>
        <v>Sport Event</v>
      </c>
      <c r="S1220" s="5">
        <f ca="1">IFERROR(__xludf.DUMMYFUNCTION("""COMPUTED_VALUE"""),0.84375)</f>
        <v>0.84375</v>
      </c>
      <c r="T1220" s="1">
        <f ca="1">IFERROR(__xludf.DUMMYFUNCTION("""COMPUTED_VALUE"""),1)</f>
        <v>1</v>
      </c>
      <c r="U1220" s="1" t="str">
        <f ca="1">IFERROR(__xludf.DUMMYFUNCTION("""COMPUTED_VALUE"""),"Shooting outside school after fight inside during basketball game")</f>
        <v>Shooting outside school after fight inside during basketball game</v>
      </c>
      <c r="V1220" s="1" t="str">
        <f ca="1">IFERROR(__xludf.DUMMYFUNCTION("""COMPUTED_VALUE"""),"Fight between shooter (21YOF) and victim (15YOF) during basketball game. Shooter was escorted out of gym by security. When victim (15YOF) exited the school, she was shot and killed by the shooter. CCTV captured the full incident. Suspect and additional 18"&amp;"YOF were arrested the following day.")</f>
        <v>Fight between shooter (21YOF) and victim (15YOF) during basketball game. Shooter was escorted out of gym by security. When victim (15YOF) exited the school, she was shot and killed by the shooter. CCTV captured the full incident. Suspect and additional 18YOF were arrested the following day.</v>
      </c>
      <c r="W1220" s="1" t="str">
        <f ca="1">IFERROR(__xludf.DUMMYFUNCTION("""COMPUTED_VALUE"""),"Escalation of Dispute")</f>
        <v>Escalation of Dispute</v>
      </c>
      <c r="X1220" s="1" t="str">
        <f ca="1">IFERROR(__xludf.DUMMYFUNCTION("""COMPUTED_VALUE"""),"Victims Targeted")</f>
        <v>Victims Targeted</v>
      </c>
      <c r="Y1220" s="1" t="str">
        <f ca="1">IFERROR(__xludf.DUMMYFUNCTION("""COMPUTED_VALUE"""),"Yes")</f>
        <v>Yes</v>
      </c>
      <c r="Z1220" s="1" t="str">
        <f ca="1">IFERROR(__xludf.DUMMYFUNCTION("""COMPUTED_VALUE"""),"18YOF also arrested")</f>
        <v>18YOF also arrested</v>
      </c>
      <c r="AA1220" s="1" t="str">
        <f ca="1">IFERROR(__xludf.DUMMYFUNCTION("""COMPUTED_VALUE"""),"No")</f>
        <v>No</v>
      </c>
      <c r="AB1220" s="1" t="str">
        <f ca="1">IFERROR(__xludf.DUMMYFUNCTION("""COMPUTED_VALUE"""),"No")</f>
        <v>No</v>
      </c>
      <c r="AC1220" s="1" t="str">
        <f ca="1">IFERROR(__xludf.DUMMYFUNCTION("""COMPUTED_VALUE"""),"No")</f>
        <v>No</v>
      </c>
      <c r="AD1220" s="1" t="str">
        <f ca="1">IFERROR(__xludf.DUMMYFUNCTION("""COMPUTED_VALUE"""),"No")</f>
        <v>No</v>
      </c>
      <c r="AE1220" s="1" t="str">
        <f ca="1">IFERROR(__xludf.DUMMYFUNCTION("""COMPUTED_VALUE"""),"No")</f>
        <v>No</v>
      </c>
      <c r="AF1220" s="1" t="str">
        <f ca="1">IFERROR(__xludf.DUMMYFUNCTION("""COMPUTED_VALUE"""),"No")</f>
        <v>No</v>
      </c>
      <c r="AG1220" s="1" t="str">
        <f ca="1">IFERROR(__xludf.DUMMYFUNCTION("""COMPUTED_VALUE"""),"No")</f>
        <v>No</v>
      </c>
      <c r="AH1220" s="1"/>
    </row>
    <row r="1221" spans="1:34" ht="12.5">
      <c r="A1221" s="1" t="str">
        <f ca="1">IFERROR(__xludf.DUMMYFUNCTION("""COMPUTED_VALUE"""),"20190208MDFRB")</f>
        <v>20190208MDFRB</v>
      </c>
      <c r="B1221" s="1">
        <f ca="1">IFERROR(__xludf.DUMMYFUNCTION("""COMPUTED_VALUE"""),2)</f>
        <v>2</v>
      </c>
      <c r="C1221" s="1">
        <f ca="1">IFERROR(__xludf.DUMMYFUNCTION("""COMPUTED_VALUE"""),8)</f>
        <v>8</v>
      </c>
      <c r="D1221" s="1">
        <f ca="1">IFERROR(__xludf.DUMMYFUNCTION("""COMPUTED_VALUE"""),2019)</f>
        <v>2019</v>
      </c>
      <c r="E1221" s="4">
        <f ca="1">IFERROR(__xludf.DUMMYFUNCTION("""COMPUTED_VALUE"""),43504)</f>
        <v>43504</v>
      </c>
      <c r="F1221" s="1" t="str">
        <f ca="1">IFERROR(__xludf.DUMMYFUNCTION("""COMPUTED_VALUE"""),"Frederick Douglass High School")</f>
        <v>Frederick Douglass High School</v>
      </c>
      <c r="G1221" s="1">
        <f ca="1">IFERROR(__xludf.DUMMYFUNCTION("""COMPUTED_VALUE"""),0)</f>
        <v>0</v>
      </c>
      <c r="H1221" s="1">
        <f ca="1">IFERROR(__xludf.DUMMYFUNCTION("""COMPUTED_VALUE"""),1)</f>
        <v>1</v>
      </c>
      <c r="I1221" s="1">
        <f ca="1">IFERROR(__xludf.DUMMYFUNCTION("""COMPUTED_VALUE"""),1)</f>
        <v>1</v>
      </c>
      <c r="J1221" s="1">
        <f ca="1">IFERROR(__xludf.DUMMYFUNCTION("""COMPUTED_VALUE"""),0)</f>
        <v>0</v>
      </c>
      <c r="K1221" s="1" t="str">
        <f ca="1">IFERROR(__xludf.DUMMYFUNCTION("""COMPUTED_VALUE"""),"Winter")</f>
        <v>Winter</v>
      </c>
      <c r="L1221" s="1" t="str">
        <f ca="1">IFERROR(__xludf.DUMMYFUNCTION("""COMPUTED_VALUE"""),"Baltimore")</f>
        <v>Baltimore</v>
      </c>
      <c r="M1221" s="1" t="str">
        <f ca="1">IFERROR(__xludf.DUMMYFUNCTION("""COMPUTED_VALUE"""),"MD")</f>
        <v>MD</v>
      </c>
      <c r="N1221" s="1" t="str">
        <f ca="1">IFERROR(__xludf.DUMMYFUNCTION("""COMPUTED_VALUE"""),"High")</f>
        <v>High</v>
      </c>
      <c r="O1221" s="1" t="str">
        <f ca="1">IFERROR(__xludf.DUMMYFUNCTION("""COMPUTED_VALUE"""),"Entryway")</f>
        <v>Entryway</v>
      </c>
      <c r="P1221" s="1" t="str">
        <f ca="1">IFERROR(__xludf.DUMMYFUNCTION("""COMPUTED_VALUE"""),"Inside School Building")</f>
        <v>Inside School Building</v>
      </c>
      <c r="Q1221" s="1" t="str">
        <f ca="1">IFERROR(__xludf.DUMMYFUNCTION("""COMPUTED_VALUE"""),"Yes")</f>
        <v>Yes</v>
      </c>
      <c r="R1221" s="1" t="str">
        <f ca="1">IFERROR(__xludf.DUMMYFUNCTION("""COMPUTED_VALUE"""),"Afternoon Classes")</f>
        <v>Afternoon Classes</v>
      </c>
      <c r="S1221" s="5">
        <f ca="1">IFERROR(__xludf.DUMMYFUNCTION("""COMPUTED_VALUE"""),0.552083333333333)</f>
        <v>0.55208333333333304</v>
      </c>
      <c r="T1221" s="1">
        <f ca="1">IFERROR(__xludf.DUMMYFUNCTION("""COMPUTED_VALUE"""),1)</f>
        <v>1</v>
      </c>
      <c r="U1221" s="1" t="str">
        <f ca="1">IFERROR(__xludf.DUMMYFUNCTION("""COMPUTED_VALUE"""),"Hall monitor shot by armed intruder looking for specific student, arrested by police officer assigned at school meeting")</f>
        <v>Hall monitor shot by armed intruder looking for specific student, arrested by police officer assigned at school meeting</v>
      </c>
      <c r="V1221" s="1" t="str">
        <f ca="1">IFERROR(__xludf.DUMMYFUNCTION("""COMPUTED_VALUE"""),"25YOM attempted to enter school looking for student he had ongoing conflict with. Entry was blocked by 56YOM hall monitor. Hall monitor was shot by shooter at the front door. Police officer attending meeting at school heard the shots and arrested the shoo"&amp;"ter. School was locked down and then dismissed. Following arrest, police charged shooter with 1st degree murder for a seperate 2016 incident.")</f>
        <v>25YOM attempted to enter school looking for student he had ongoing conflict with. Entry was blocked by 56YOM hall monitor. Hall monitor was shot by shooter at the front door. Police officer attending meeting at school heard the shots and arrested the shooter. School was locked down and then dismissed. Following arrest, police charged shooter with 1st degree murder for a seperate 2016 incident.</v>
      </c>
      <c r="W1221" s="1" t="str">
        <f ca="1">IFERROR(__xludf.DUMMYFUNCTION("""COMPUTED_VALUE"""),"Escalation of Dispute")</f>
        <v>Escalation of Dispute</v>
      </c>
      <c r="X1221" s="1" t="str">
        <f ca="1">IFERROR(__xludf.DUMMYFUNCTION("""COMPUTED_VALUE"""),"Both")</f>
        <v>Both</v>
      </c>
      <c r="Y1221" s="1" t="str">
        <f ca="1">IFERROR(__xludf.DUMMYFUNCTION("""COMPUTED_VALUE"""),"No")</f>
        <v>No</v>
      </c>
      <c r="Z1221" s="1"/>
      <c r="AA1221" s="1" t="str">
        <f ca="1">IFERROR(__xludf.DUMMYFUNCTION("""COMPUTED_VALUE"""),"No")</f>
        <v>No</v>
      </c>
      <c r="AB1221" s="1" t="str">
        <f ca="1">IFERROR(__xludf.DUMMYFUNCTION("""COMPUTED_VALUE"""),"No")</f>
        <v>No</v>
      </c>
      <c r="AC1221" s="1" t="str">
        <f ca="1">IFERROR(__xludf.DUMMYFUNCTION("""COMPUTED_VALUE"""),"No")</f>
        <v>No</v>
      </c>
      <c r="AD1221" s="1" t="str">
        <f ca="1">IFERROR(__xludf.DUMMYFUNCTION("""COMPUTED_VALUE"""),"No")</f>
        <v>No</v>
      </c>
      <c r="AE1221" s="1" t="str">
        <f ca="1">IFERROR(__xludf.DUMMYFUNCTION("""COMPUTED_VALUE"""),"No")</f>
        <v>No</v>
      </c>
      <c r="AF1221" s="1" t="str">
        <f ca="1">IFERROR(__xludf.DUMMYFUNCTION("""COMPUTED_VALUE"""),"No")</f>
        <v>No</v>
      </c>
      <c r="AG1221" s="1" t="str">
        <f ca="1">IFERROR(__xludf.DUMMYFUNCTION("""COMPUTED_VALUE"""),"Yes")</f>
        <v>Yes</v>
      </c>
      <c r="AH1221" s="1">
        <f ca="1">IFERROR(__xludf.DUMMYFUNCTION("""COMPUTED_VALUE"""),6)</f>
        <v>6</v>
      </c>
    </row>
    <row r="1222" spans="1:34" ht="12.5">
      <c r="A1222" s="1" t="str">
        <f ca="1">IFERROR(__xludf.DUMMYFUNCTION("""COMPUTED_VALUE"""),"20190205MNMIM")</f>
        <v>20190205MNMIM</v>
      </c>
      <c r="B1222" s="1">
        <f ca="1">IFERROR(__xludf.DUMMYFUNCTION("""COMPUTED_VALUE"""),2)</f>
        <v>2</v>
      </c>
      <c r="C1222" s="1">
        <f ca="1">IFERROR(__xludf.DUMMYFUNCTION("""COMPUTED_VALUE"""),5)</f>
        <v>5</v>
      </c>
      <c r="D1222" s="1">
        <f ca="1">IFERROR(__xludf.DUMMYFUNCTION("""COMPUTED_VALUE"""),2019)</f>
        <v>2019</v>
      </c>
      <c r="E1222" s="4">
        <f ca="1">IFERROR(__xludf.DUMMYFUNCTION("""COMPUTED_VALUE"""),43501)</f>
        <v>43501</v>
      </c>
      <c r="F1222" s="1" t="str">
        <f ca="1">IFERROR(__xludf.DUMMYFUNCTION("""COMPUTED_VALUE"""),"Minneapolis School District Bus")</f>
        <v>Minneapolis School District Bus</v>
      </c>
      <c r="G1222" s="1">
        <f ca="1">IFERROR(__xludf.DUMMYFUNCTION("""COMPUTED_VALUE"""),0)</f>
        <v>0</v>
      </c>
      <c r="H1222" s="1">
        <f ca="1">IFERROR(__xludf.DUMMYFUNCTION("""COMPUTED_VALUE"""),1)</f>
        <v>1</v>
      </c>
      <c r="I1222" s="1">
        <f ca="1">IFERROR(__xludf.DUMMYFUNCTION("""COMPUTED_VALUE"""),1)</f>
        <v>1</v>
      </c>
      <c r="J1222" s="1">
        <f ca="1">IFERROR(__xludf.DUMMYFUNCTION("""COMPUTED_VALUE"""),0)</f>
        <v>0</v>
      </c>
      <c r="K1222" s="1" t="str">
        <f ca="1">IFERROR(__xludf.DUMMYFUNCTION("""COMPUTED_VALUE"""),"Winter")</f>
        <v>Winter</v>
      </c>
      <c r="L1222" s="1" t="str">
        <f ca="1">IFERROR(__xludf.DUMMYFUNCTION("""COMPUTED_VALUE"""),"Minneapolis")</f>
        <v>Minneapolis</v>
      </c>
      <c r="M1222" s="1" t="str">
        <f ca="1">IFERROR(__xludf.DUMMYFUNCTION("""COMPUTED_VALUE"""),"MN")</f>
        <v>MN</v>
      </c>
      <c r="N1222" s="1"/>
      <c r="O1222" s="1" t="str">
        <f ca="1">IFERROR(__xludf.DUMMYFUNCTION("""COMPUTED_VALUE"""),"School Bus")</f>
        <v>School Bus</v>
      </c>
      <c r="P1222" s="1" t="str">
        <f ca="1">IFERROR(__xludf.DUMMYFUNCTION("""COMPUTED_VALUE"""),"School Bus")</f>
        <v>School Bus</v>
      </c>
      <c r="Q1222" s="1" t="str">
        <f ca="1">IFERROR(__xludf.DUMMYFUNCTION("""COMPUTED_VALUE"""),"Yes")</f>
        <v>Yes</v>
      </c>
      <c r="R1222" s="1" t="str">
        <f ca="1">IFERROR(__xludf.DUMMYFUNCTION("""COMPUTED_VALUE"""),"Dismissal")</f>
        <v>Dismissal</v>
      </c>
      <c r="S1222" s="5">
        <f ca="1">IFERROR(__xludf.DUMMYFUNCTION("""COMPUTED_VALUE"""),0.597222222222222)</f>
        <v>0.59722222222222199</v>
      </c>
      <c r="T1222" s="1">
        <f ca="1">IFERROR(__xludf.DUMMYFUNCTION("""COMPUTED_VALUE"""),1)</f>
        <v>1</v>
      </c>
      <c r="U1222" s="1" t="str">
        <f ca="1">IFERROR(__xludf.DUMMYFUNCTION("""COMPUTED_VALUE"""),"Bus driver shot on school bus during road rage incident")</f>
        <v>Bus driver shot on school bus during road rage incident</v>
      </c>
      <c r="V1222" s="1" t="str">
        <f ca="1">IFERROR(__xludf.DUMMYFUNCTION("""COMPUTED_VALUE"""),"School bus driver was shot on school bus by other driver involved in a crash. One student was on the bus. Police said it was a road rage incident. Shooter was arrested immediately after the shooting by a nearby police officer.")</f>
        <v>School bus driver was shot on school bus by other driver involved in a crash. One student was on the bus. Police said it was a road rage incident. Shooter was arrested immediately after the shooting by a nearby police officer.</v>
      </c>
      <c r="W1222" s="1" t="str">
        <f ca="1">IFERROR(__xludf.DUMMYFUNCTION("""COMPUTED_VALUE"""),"Escalation of Dispute")</f>
        <v>Escalation of Dispute</v>
      </c>
      <c r="X1222" s="1" t="str">
        <f ca="1">IFERROR(__xludf.DUMMYFUNCTION("""COMPUTED_VALUE"""),"Victims Targeted")</f>
        <v>Victims Targeted</v>
      </c>
      <c r="Y1222" s="1" t="str">
        <f ca="1">IFERROR(__xludf.DUMMYFUNCTION("""COMPUTED_VALUE"""),"No")</f>
        <v>No</v>
      </c>
      <c r="Z1222" s="1"/>
      <c r="AA1222" s="1" t="str">
        <f ca="1">IFERROR(__xludf.DUMMYFUNCTION("""COMPUTED_VALUE"""),"No")</f>
        <v>No</v>
      </c>
      <c r="AB1222" s="1" t="str">
        <f ca="1">IFERROR(__xludf.DUMMYFUNCTION("""COMPUTED_VALUE"""),"No")</f>
        <v>No</v>
      </c>
      <c r="AC1222" s="1" t="str">
        <f ca="1">IFERROR(__xludf.DUMMYFUNCTION("""COMPUTED_VALUE"""),"No")</f>
        <v>No</v>
      </c>
      <c r="AD1222" s="1" t="str">
        <f ca="1">IFERROR(__xludf.DUMMYFUNCTION("""COMPUTED_VALUE"""),"No")</f>
        <v>No</v>
      </c>
      <c r="AE1222" s="1" t="str">
        <f ca="1">IFERROR(__xludf.DUMMYFUNCTION("""COMPUTED_VALUE"""),"No")</f>
        <v>No</v>
      </c>
      <c r="AF1222" s="1" t="str">
        <f ca="1">IFERROR(__xludf.DUMMYFUNCTION("""COMPUTED_VALUE"""),"No")</f>
        <v>No</v>
      </c>
      <c r="AG1222" s="1" t="str">
        <f ca="1">IFERROR(__xludf.DUMMYFUNCTION("""COMPUTED_VALUE"""),"No")</f>
        <v>No</v>
      </c>
      <c r="AH1222" s="1" t="str">
        <f ca="1">IFERROR(__xludf.DUMMYFUNCTION("""COMPUTED_VALUE"""),"&lt;10")</f>
        <v>&lt;10</v>
      </c>
    </row>
    <row r="1223" spans="1:34" ht="12.5">
      <c r="A1223" s="1" t="str">
        <f ca="1">IFERROR(__xludf.DUMMYFUNCTION("""COMPUTED_VALUE"""),"20190131TXATA")</f>
        <v>20190131TXATA</v>
      </c>
      <c r="B1223" s="1">
        <f ca="1">IFERROR(__xludf.DUMMYFUNCTION("""COMPUTED_VALUE"""),1)</f>
        <v>1</v>
      </c>
      <c r="C1223" s="1">
        <f ca="1">IFERROR(__xludf.DUMMYFUNCTION("""COMPUTED_VALUE"""),31)</f>
        <v>31</v>
      </c>
      <c r="D1223" s="1">
        <f ca="1">IFERROR(__xludf.DUMMYFUNCTION("""COMPUTED_VALUE"""),2019)</f>
        <v>2019</v>
      </c>
      <c r="E1223" s="4">
        <f ca="1">IFERROR(__xludf.DUMMYFUNCTION("""COMPUTED_VALUE"""),43496)</f>
        <v>43496</v>
      </c>
      <c r="F1223" s="1" t="str">
        <f ca="1">IFERROR(__xludf.DUMMYFUNCTION("""COMPUTED_VALUE"""),"Atascocita High School")</f>
        <v>Atascocita High School</v>
      </c>
      <c r="G1223" s="1">
        <f ca="1">IFERROR(__xludf.DUMMYFUNCTION("""COMPUTED_VALUE"""),0)</f>
        <v>0</v>
      </c>
      <c r="H1223" s="1">
        <f ca="1">IFERROR(__xludf.DUMMYFUNCTION("""COMPUTED_VALUE"""),1)</f>
        <v>1</v>
      </c>
      <c r="I1223" s="1">
        <f ca="1">IFERROR(__xludf.DUMMYFUNCTION("""COMPUTED_VALUE"""),1)</f>
        <v>1</v>
      </c>
      <c r="J1223" s="1">
        <f ca="1">IFERROR(__xludf.DUMMYFUNCTION("""COMPUTED_VALUE"""),0)</f>
        <v>0</v>
      </c>
      <c r="K1223" s="1" t="str">
        <f ca="1">IFERROR(__xludf.DUMMYFUNCTION("""COMPUTED_VALUE"""),"Winter")</f>
        <v>Winter</v>
      </c>
      <c r="L1223" s="1" t="str">
        <f ca="1">IFERROR(__xludf.DUMMYFUNCTION("""COMPUTED_VALUE"""),"Atascocita")</f>
        <v>Atascocita</v>
      </c>
      <c r="M1223" s="1" t="str">
        <f ca="1">IFERROR(__xludf.DUMMYFUNCTION("""COMPUTED_VALUE"""),"TX")</f>
        <v>TX</v>
      </c>
      <c r="N1223" s="1" t="str">
        <f ca="1">IFERROR(__xludf.DUMMYFUNCTION("""COMPUTED_VALUE"""),"High")</f>
        <v>High</v>
      </c>
      <c r="O1223" s="1" t="str">
        <f ca="1">IFERROR(__xludf.DUMMYFUNCTION("""COMPUTED_VALUE"""),"Parking Lot")</f>
        <v>Parking Lot</v>
      </c>
      <c r="P1223" s="1" t="str">
        <f ca="1">IFERROR(__xludf.DUMMYFUNCTION("""COMPUTED_VALUE"""),"Outside on School Property")</f>
        <v>Outside on School Property</v>
      </c>
      <c r="Q1223" s="1" t="str">
        <f ca="1">IFERROR(__xludf.DUMMYFUNCTION("""COMPUTED_VALUE"""),"No")</f>
        <v>No</v>
      </c>
      <c r="R1223" s="1" t="str">
        <f ca="1">IFERROR(__xludf.DUMMYFUNCTION("""COMPUTED_VALUE"""),"Evening")</f>
        <v>Evening</v>
      </c>
      <c r="S1223" s="5">
        <f ca="1">IFERROR(__xludf.DUMMYFUNCTION("""COMPUTED_VALUE"""),0.763888888888888)</f>
        <v>0.76388888888888795</v>
      </c>
      <c r="T1223" s="1">
        <f ca="1">IFERROR(__xludf.DUMMYFUNCTION("""COMPUTED_VALUE"""),1)</f>
        <v>1</v>
      </c>
      <c r="U1223" s="1" t="str">
        <f ca="1">IFERROR(__xludf.DUMMYFUNCTION("""COMPUTED_VALUE"""),"Student shot by other student during drug deal behind school")</f>
        <v>Student shot by other student during drug deal behind school</v>
      </c>
      <c r="V1223" s="1" t="str">
        <f ca="1">IFERROR(__xludf.DUMMYFUNCTION("""COMPUTED_VALUE"""),"16YOM student shot 2 other students during a drug deal behind the school cafeteria. Two other students were involved and fled the scene. 80 students were at the school for after school activities at the time of the shooting. School was locked down.")</f>
        <v>16YOM student shot 2 other students during a drug deal behind the school cafeteria. Two other students were involved and fled the scene. 80 students were at the school for after school activities at the time of the shooting. School was locked down.</v>
      </c>
      <c r="W1223" s="1" t="str">
        <f ca="1">IFERROR(__xludf.DUMMYFUNCTION("""COMPUTED_VALUE"""),"Illegal Activity")</f>
        <v>Illegal Activity</v>
      </c>
      <c r="X1223" s="1" t="str">
        <f ca="1">IFERROR(__xludf.DUMMYFUNCTION("""COMPUTED_VALUE"""),"Victims Targeted")</f>
        <v>Victims Targeted</v>
      </c>
      <c r="Y1223" s="1" t="str">
        <f ca="1">IFERROR(__xludf.DUMMYFUNCTION("""COMPUTED_VALUE"""),"Yes")</f>
        <v>Yes</v>
      </c>
      <c r="Z1223" s="1" t="str">
        <f ca="1">IFERROR(__xludf.DUMMYFUNCTION("""COMPUTED_VALUE"""),"2 students fled in car")</f>
        <v>2 students fled in car</v>
      </c>
      <c r="AA1223" s="1" t="str">
        <f ca="1">IFERROR(__xludf.DUMMYFUNCTION("""COMPUTED_VALUE"""),"No")</f>
        <v>No</v>
      </c>
      <c r="AB1223" s="1" t="str">
        <f ca="1">IFERROR(__xludf.DUMMYFUNCTION("""COMPUTED_VALUE"""),"No")</f>
        <v>No</v>
      </c>
      <c r="AC1223" s="1" t="str">
        <f ca="1">IFERROR(__xludf.DUMMYFUNCTION("""COMPUTED_VALUE"""),"No")</f>
        <v>No</v>
      </c>
      <c r="AD1223" s="1" t="str">
        <f ca="1">IFERROR(__xludf.DUMMYFUNCTION("""COMPUTED_VALUE"""),"No")</f>
        <v>No</v>
      </c>
      <c r="AE1223" s="1" t="str">
        <f ca="1">IFERROR(__xludf.DUMMYFUNCTION("""COMPUTED_VALUE"""),"No")</f>
        <v>No</v>
      </c>
      <c r="AF1223" s="1" t="str">
        <f ca="1">IFERROR(__xludf.DUMMYFUNCTION("""COMPUTED_VALUE"""),"No")</f>
        <v>No</v>
      </c>
      <c r="AG1223" s="1" t="str">
        <f ca="1">IFERROR(__xludf.DUMMYFUNCTION("""COMPUTED_VALUE"""),"No")</f>
        <v>No</v>
      </c>
      <c r="AH1223" s="1" t="str">
        <f ca="1">IFERROR(__xludf.DUMMYFUNCTION("""COMPUTED_VALUE"""),"&lt;10")</f>
        <v>&lt;10</v>
      </c>
    </row>
    <row r="1224" spans="1:34" ht="12.5">
      <c r="A1224" s="1" t="str">
        <f ca="1">IFERROR(__xludf.DUMMYFUNCTION("""COMPUTED_VALUE"""),"20190131TNMAM")</f>
        <v>20190131TNMAM</v>
      </c>
      <c r="B1224" s="1">
        <f ca="1">IFERROR(__xludf.DUMMYFUNCTION("""COMPUTED_VALUE"""),1)</f>
        <v>1</v>
      </c>
      <c r="C1224" s="1">
        <f ca="1">IFERROR(__xludf.DUMMYFUNCTION("""COMPUTED_VALUE"""),31)</f>
        <v>31</v>
      </c>
      <c r="D1224" s="1">
        <f ca="1">IFERROR(__xludf.DUMMYFUNCTION("""COMPUTED_VALUE"""),2019)</f>
        <v>2019</v>
      </c>
      <c r="E1224" s="4">
        <f ca="1">IFERROR(__xludf.DUMMYFUNCTION("""COMPUTED_VALUE"""),43496)</f>
        <v>43496</v>
      </c>
      <c r="F1224" s="1" t="str">
        <f ca="1">IFERROR(__xludf.DUMMYFUNCTION("""COMPUTED_VALUE"""),"Manassas High School")</f>
        <v>Manassas High School</v>
      </c>
      <c r="G1224" s="1">
        <f ca="1">IFERROR(__xludf.DUMMYFUNCTION("""COMPUTED_VALUE"""),0)</f>
        <v>0</v>
      </c>
      <c r="H1224" s="1">
        <f ca="1">IFERROR(__xludf.DUMMYFUNCTION("""COMPUTED_VALUE"""),1)</f>
        <v>1</v>
      </c>
      <c r="I1224" s="1">
        <f ca="1">IFERROR(__xludf.DUMMYFUNCTION("""COMPUTED_VALUE"""),1)</f>
        <v>1</v>
      </c>
      <c r="J1224" s="1">
        <f ca="1">IFERROR(__xludf.DUMMYFUNCTION("""COMPUTED_VALUE"""),0)</f>
        <v>0</v>
      </c>
      <c r="K1224" s="1" t="str">
        <f ca="1">IFERROR(__xludf.DUMMYFUNCTION("""COMPUTED_VALUE"""),"Winter")</f>
        <v>Winter</v>
      </c>
      <c r="L1224" s="1" t="str">
        <f ca="1">IFERROR(__xludf.DUMMYFUNCTION("""COMPUTED_VALUE"""),"Memphis")</f>
        <v>Memphis</v>
      </c>
      <c r="M1224" s="1" t="str">
        <f ca="1">IFERROR(__xludf.DUMMYFUNCTION("""COMPUTED_VALUE"""),"TN")</f>
        <v>TN</v>
      </c>
      <c r="N1224" s="1" t="str">
        <f ca="1">IFERROR(__xludf.DUMMYFUNCTION("""COMPUTED_VALUE"""),"High")</f>
        <v>High</v>
      </c>
      <c r="O1224" s="1" t="str">
        <f ca="1">IFERROR(__xludf.DUMMYFUNCTION("""COMPUTED_VALUE"""),"Outside on School Property")</f>
        <v>Outside on School Property</v>
      </c>
      <c r="P1224" s="1" t="str">
        <f ca="1">IFERROR(__xludf.DUMMYFUNCTION("""COMPUTED_VALUE"""),"Outside on School Property")</f>
        <v>Outside on School Property</v>
      </c>
      <c r="Q1224" s="1" t="str">
        <f ca="1">IFERROR(__xludf.DUMMYFUNCTION("""COMPUTED_VALUE"""),"No")</f>
        <v>No</v>
      </c>
      <c r="R1224" s="1" t="str">
        <f ca="1">IFERROR(__xludf.DUMMYFUNCTION("""COMPUTED_VALUE"""),"School Event")</f>
        <v>School Event</v>
      </c>
      <c r="S1224" s="5">
        <f ca="1">IFERROR(__xludf.DUMMYFUNCTION("""COMPUTED_VALUE"""),0.666666666666666)</f>
        <v>0.66666666666666596</v>
      </c>
      <c r="T1224" s="1">
        <f ca="1">IFERROR(__xludf.DUMMYFUNCTION("""COMPUTED_VALUE"""),1)</f>
        <v>1</v>
      </c>
      <c r="U1224" s="1" t="str">
        <f ca="1">IFERROR(__xludf.DUMMYFUNCTION("""COMPUTED_VALUE"""),"14YOM student shot with pellet gun during ROTC practice")</f>
        <v>14YOM student shot with pellet gun during ROTC practice</v>
      </c>
      <c r="V1224" s="1" t="str">
        <f ca="1">IFERROR(__xludf.DUMMYFUNCTION("""COMPUTED_VALUE"""),"14YOM was shot with pellet gun during ROTC by unknown shooter. Police were unable to identify the shooter or who brought the pellet gun to the school. Injured student was taken to the hospital.")</f>
        <v>14YOM was shot with pellet gun during ROTC by unknown shooter. Police were unable to identify the shooter or who brought the pellet gun to the school. Injured student was taken to the hospital.</v>
      </c>
      <c r="W1224" s="1" t="str">
        <f ca="1">IFERROR(__xludf.DUMMYFUNCTION("""COMPUTED_VALUE"""),"Unknown")</f>
        <v>Unknown</v>
      </c>
      <c r="X1224" s="1"/>
      <c r="Y1224" s="1"/>
      <c r="Z1224" s="1"/>
      <c r="AA1224" s="1" t="str">
        <f ca="1">IFERROR(__xludf.DUMMYFUNCTION("""COMPUTED_VALUE"""),"No")</f>
        <v>No</v>
      </c>
      <c r="AB1224" s="1" t="str">
        <f ca="1">IFERROR(__xludf.DUMMYFUNCTION("""COMPUTED_VALUE"""),"No")</f>
        <v>No</v>
      </c>
      <c r="AC1224" s="1" t="str">
        <f ca="1">IFERROR(__xludf.DUMMYFUNCTION("""COMPUTED_VALUE"""),"No")</f>
        <v>No</v>
      </c>
      <c r="AD1224" s="1" t="str">
        <f ca="1">IFERROR(__xludf.DUMMYFUNCTION("""COMPUTED_VALUE"""),"No")</f>
        <v>No</v>
      </c>
      <c r="AE1224" s="1" t="str">
        <f ca="1">IFERROR(__xludf.DUMMYFUNCTION("""COMPUTED_VALUE"""),"No")</f>
        <v>No</v>
      </c>
      <c r="AF1224" s="1" t="str">
        <f ca="1">IFERROR(__xludf.DUMMYFUNCTION("""COMPUTED_VALUE"""),"No")</f>
        <v>No</v>
      </c>
      <c r="AG1224" s="1" t="str">
        <f ca="1">IFERROR(__xludf.DUMMYFUNCTION("""COMPUTED_VALUE"""),"No")</f>
        <v>No</v>
      </c>
      <c r="AH1224" s="1"/>
    </row>
    <row r="1225" spans="1:34" ht="12.5">
      <c r="A1225" s="1" t="str">
        <f ca="1">IFERROR(__xludf.DUMMYFUNCTION("""COMPUTED_VALUE"""),"20190130GAMIL")</f>
        <v>20190130GAMIL</v>
      </c>
      <c r="B1225" s="1">
        <f ca="1">IFERROR(__xludf.DUMMYFUNCTION("""COMPUTED_VALUE"""),1)</f>
        <v>1</v>
      </c>
      <c r="C1225" s="1">
        <f ca="1">IFERROR(__xludf.DUMMYFUNCTION("""COMPUTED_VALUE"""),30)</f>
        <v>30</v>
      </c>
      <c r="D1225" s="1">
        <f ca="1">IFERROR(__xludf.DUMMYFUNCTION("""COMPUTED_VALUE"""),2019)</f>
        <v>2019</v>
      </c>
      <c r="E1225" s="4">
        <f ca="1">IFERROR(__xludf.DUMMYFUNCTION("""COMPUTED_VALUE"""),43495)</f>
        <v>43495</v>
      </c>
      <c r="F1225" s="1" t="str">
        <f ca="1">IFERROR(__xludf.DUMMYFUNCTION("""COMPUTED_VALUE"""),"Miller Grove High School")</f>
        <v>Miller Grove High School</v>
      </c>
      <c r="G1225" s="1">
        <f ca="1">IFERROR(__xludf.DUMMYFUNCTION("""COMPUTED_VALUE"""),0)</f>
        <v>0</v>
      </c>
      <c r="H1225" s="1">
        <f ca="1">IFERROR(__xludf.DUMMYFUNCTION("""COMPUTED_VALUE"""),1)</f>
        <v>1</v>
      </c>
      <c r="I1225" s="1">
        <f ca="1">IFERROR(__xludf.DUMMYFUNCTION("""COMPUTED_VALUE"""),1)</f>
        <v>1</v>
      </c>
      <c r="J1225" s="1">
        <f ca="1">IFERROR(__xludf.DUMMYFUNCTION("""COMPUTED_VALUE"""),0)</f>
        <v>0</v>
      </c>
      <c r="K1225" s="1" t="str">
        <f ca="1">IFERROR(__xludf.DUMMYFUNCTION("""COMPUTED_VALUE"""),"Winter")</f>
        <v>Winter</v>
      </c>
      <c r="L1225" s="1" t="str">
        <f ca="1">IFERROR(__xludf.DUMMYFUNCTION("""COMPUTED_VALUE"""),"Lithonia")</f>
        <v>Lithonia</v>
      </c>
      <c r="M1225" s="1" t="str">
        <f ca="1">IFERROR(__xludf.DUMMYFUNCTION("""COMPUTED_VALUE"""),"GA")</f>
        <v>GA</v>
      </c>
      <c r="N1225" s="1" t="str">
        <f ca="1">IFERROR(__xludf.DUMMYFUNCTION("""COMPUTED_VALUE"""),"High")</f>
        <v>High</v>
      </c>
      <c r="O1225" s="1" t="str">
        <f ca="1">IFERROR(__xludf.DUMMYFUNCTION("""COMPUTED_VALUE"""),"Parking Lot")</f>
        <v>Parking Lot</v>
      </c>
      <c r="P1225" s="1" t="str">
        <f ca="1">IFERROR(__xludf.DUMMYFUNCTION("""COMPUTED_VALUE"""),"Outside on School Property")</f>
        <v>Outside on School Property</v>
      </c>
      <c r="Q1225" s="1" t="str">
        <f ca="1">IFERROR(__xludf.DUMMYFUNCTION("""COMPUTED_VALUE"""),"No")</f>
        <v>No</v>
      </c>
      <c r="R1225" s="1" t="str">
        <f ca="1">IFERROR(__xludf.DUMMYFUNCTION("""COMPUTED_VALUE"""),"Evening")</f>
        <v>Evening</v>
      </c>
      <c r="S1225" s="5">
        <f ca="1">IFERROR(__xludf.DUMMYFUNCTION("""COMPUTED_VALUE"""),0.8125)</f>
        <v>0.8125</v>
      </c>
      <c r="T1225" s="1">
        <f ca="1">IFERROR(__xludf.DUMMYFUNCTION("""COMPUTED_VALUE"""),1)</f>
        <v>1</v>
      </c>
      <c r="U1225" s="1" t="str">
        <f ca="1">IFERROR(__xludf.DUMMYFUNCTION("""COMPUTED_VALUE"""),"Adult shot while trying to stop man from breaking into his car in school parking lot")</f>
        <v>Adult shot while trying to stop man from breaking into his car in school parking lot</v>
      </c>
      <c r="V1225" s="1" t="str">
        <f ca="1">IFERROR(__xludf.DUMMYFUNCTION("""COMPUTED_VALUE"""),"Adult male was running on the school track when he saw another man attempting to break into his car. When he attempted to stop the robbery, the man shot him and fled the scene. A basketball game was taking place in the school during the shooting.")</f>
        <v>Adult male was running on the school track when he saw another man attempting to break into his car. When he attempted to stop the robbery, the man shot him and fled the scene. A basketball game was taking place in the school during the shooting.</v>
      </c>
      <c r="W1225" s="1" t="str">
        <f ca="1">IFERROR(__xludf.DUMMYFUNCTION("""COMPUTED_VALUE"""),"Illegal Activity")</f>
        <v>Illegal Activity</v>
      </c>
      <c r="X1225" s="1" t="str">
        <f ca="1">IFERROR(__xludf.DUMMYFUNCTION("""COMPUTED_VALUE"""),"Victims Targeted")</f>
        <v>Victims Targeted</v>
      </c>
      <c r="Y1225" s="1" t="str">
        <f ca="1">IFERROR(__xludf.DUMMYFUNCTION("""COMPUTED_VALUE"""),"No")</f>
        <v>No</v>
      </c>
      <c r="Z1225" s="1"/>
      <c r="AA1225" s="1" t="str">
        <f ca="1">IFERROR(__xludf.DUMMYFUNCTION("""COMPUTED_VALUE"""),"No")</f>
        <v>No</v>
      </c>
      <c r="AB1225" s="1" t="str">
        <f ca="1">IFERROR(__xludf.DUMMYFUNCTION("""COMPUTED_VALUE"""),"No")</f>
        <v>No</v>
      </c>
      <c r="AC1225" s="1" t="str">
        <f ca="1">IFERROR(__xludf.DUMMYFUNCTION("""COMPUTED_VALUE"""),"No")</f>
        <v>No</v>
      </c>
      <c r="AD1225" s="1" t="str">
        <f ca="1">IFERROR(__xludf.DUMMYFUNCTION("""COMPUTED_VALUE"""),"No")</f>
        <v>No</v>
      </c>
      <c r="AE1225" s="1" t="str">
        <f ca="1">IFERROR(__xludf.DUMMYFUNCTION("""COMPUTED_VALUE"""),"No")</f>
        <v>No</v>
      </c>
      <c r="AF1225" s="1" t="str">
        <f ca="1">IFERROR(__xludf.DUMMYFUNCTION("""COMPUTED_VALUE"""),"No")</f>
        <v>No</v>
      </c>
      <c r="AG1225" s="1" t="str">
        <f ca="1">IFERROR(__xludf.DUMMYFUNCTION("""COMPUTED_VALUE"""),"No")</f>
        <v>No</v>
      </c>
      <c r="AH1225" s="1">
        <f ca="1">IFERROR(__xludf.DUMMYFUNCTION("""COMPUTED_VALUE"""),1)</f>
        <v>1</v>
      </c>
    </row>
    <row r="1226" spans="1:34" ht="12.5">
      <c r="A1226" s="1" t="str">
        <f ca="1">IFERROR(__xludf.DUMMYFUNCTION("""COMPUTED_VALUE"""),"20190127NVRER")</f>
        <v>20190127NVRER</v>
      </c>
      <c r="B1226" s="1">
        <f ca="1">IFERROR(__xludf.DUMMYFUNCTION("""COMPUTED_VALUE"""),1)</f>
        <v>1</v>
      </c>
      <c r="C1226" s="1">
        <f ca="1">IFERROR(__xludf.DUMMYFUNCTION("""COMPUTED_VALUE"""),27)</f>
        <v>27</v>
      </c>
      <c r="D1226" s="1">
        <f ca="1">IFERROR(__xludf.DUMMYFUNCTION("""COMPUTED_VALUE"""),2019)</f>
        <v>2019</v>
      </c>
      <c r="E1226" s="4">
        <f ca="1">IFERROR(__xludf.DUMMYFUNCTION("""COMPUTED_VALUE"""),43492)</f>
        <v>43492</v>
      </c>
      <c r="F1226" s="1" t="str">
        <f ca="1">IFERROR(__xludf.DUMMYFUNCTION("""COMPUTED_VALUE"""),"Reno High School")</f>
        <v>Reno High School</v>
      </c>
      <c r="G1226" s="1">
        <f ca="1">IFERROR(__xludf.DUMMYFUNCTION("""COMPUTED_VALUE"""),0)</f>
        <v>0</v>
      </c>
      <c r="H1226" s="1">
        <f ca="1">IFERROR(__xludf.DUMMYFUNCTION("""COMPUTED_VALUE"""),0)</f>
        <v>0</v>
      </c>
      <c r="I1226" s="1">
        <f ca="1">IFERROR(__xludf.DUMMYFUNCTION("""COMPUTED_VALUE"""),0)</f>
        <v>0</v>
      </c>
      <c r="J1226" s="1">
        <f ca="1">IFERROR(__xludf.DUMMYFUNCTION("""COMPUTED_VALUE"""),0)</f>
        <v>0</v>
      </c>
      <c r="K1226" s="1" t="str">
        <f ca="1">IFERROR(__xludf.DUMMYFUNCTION("""COMPUTED_VALUE"""),"Winter")</f>
        <v>Winter</v>
      </c>
      <c r="L1226" s="1" t="str">
        <f ca="1">IFERROR(__xludf.DUMMYFUNCTION("""COMPUTED_VALUE"""),"Reno")</f>
        <v>Reno</v>
      </c>
      <c r="M1226" s="1" t="str">
        <f ca="1">IFERROR(__xludf.DUMMYFUNCTION("""COMPUTED_VALUE"""),"NV")</f>
        <v>NV</v>
      </c>
      <c r="N1226" s="1" t="str">
        <f ca="1">IFERROR(__xludf.DUMMYFUNCTION("""COMPUTED_VALUE"""),"High")</f>
        <v>High</v>
      </c>
      <c r="O1226" s="1" t="str">
        <f ca="1">IFERROR(__xludf.DUMMYFUNCTION("""COMPUTED_VALUE"""),"Front of School")</f>
        <v>Front of School</v>
      </c>
      <c r="P1226" s="1" t="str">
        <f ca="1">IFERROR(__xludf.DUMMYFUNCTION("""COMPUTED_VALUE"""),"Outside on School Property")</f>
        <v>Outside on School Property</v>
      </c>
      <c r="Q1226" s="1" t="str">
        <f ca="1">IFERROR(__xludf.DUMMYFUNCTION("""COMPUTED_VALUE"""),"No")</f>
        <v>No</v>
      </c>
      <c r="R1226" s="1" t="str">
        <f ca="1">IFERROR(__xludf.DUMMYFUNCTION("""COMPUTED_VALUE"""),"Night")</f>
        <v>Night</v>
      </c>
      <c r="S1226" s="5">
        <f ca="1">IFERROR(__xludf.DUMMYFUNCTION("""COMPUTED_VALUE"""),0.944444444444444)</f>
        <v>0.94444444444444398</v>
      </c>
      <c r="T1226" s="1">
        <f ca="1">IFERROR(__xludf.DUMMYFUNCTION("""COMPUTED_VALUE"""),1)</f>
        <v>1</v>
      </c>
      <c r="U1226" s="1" t="str">
        <f ca="1">IFERROR(__xludf.DUMMYFUNCTION("""COMPUTED_VALUE"""),"After pursuit, man pointed gun at officers in front of the school and was shot by police")</f>
        <v>After pursuit, man pointed gun at officers in front of the school and was shot by police</v>
      </c>
      <c r="V1226" s="1" t="str">
        <f ca="1">IFERROR(__xludf.DUMMYFUNCTION("""COMPUTED_VALUE"""),"After a vehicle pursuit, a 35 year-old man crashed a stolen vehicle near the school, ran across the school parking lot, and fell in a grassy area in front of the school. When approached by a police officer, he pointed a handgun and was shot multiple by th"&amp;"e officer (justified shooting). The man had 9 prior felony convictions and said he didn't want to go back to jail when he pointed the gun at the officer. Charged and guilty of three new felonies.")</f>
        <v>After a vehicle pursuit, a 35 year-old man crashed a stolen vehicle near the school, ran across the school parking lot, and fell in a grassy area in front of the school. When approached by a police officer, he pointed a handgun and was shot multiple by the officer (justified shooting). The man had 9 prior felony convictions and said he didn't want to go back to jail when he pointed the gun at the officer. Charged and guilty of three new felonies.</v>
      </c>
      <c r="W1226" s="1" t="str">
        <f ca="1">IFERROR(__xludf.DUMMYFUNCTION("""COMPUTED_VALUE"""),"Illegal Activity")</f>
        <v>Illegal Activity</v>
      </c>
      <c r="X1226" s="1" t="str">
        <f ca="1">IFERROR(__xludf.DUMMYFUNCTION("""COMPUTED_VALUE"""),"Neither")</f>
        <v>Neither</v>
      </c>
      <c r="Y1226" s="1" t="str">
        <f ca="1">IFERROR(__xludf.DUMMYFUNCTION("""COMPUTED_VALUE"""),"No")</f>
        <v>No</v>
      </c>
      <c r="Z1226" s="1"/>
      <c r="AA1226" s="1" t="str">
        <f ca="1">IFERROR(__xludf.DUMMYFUNCTION("""COMPUTED_VALUE"""),"No")</f>
        <v>No</v>
      </c>
      <c r="AB1226" s="1" t="str">
        <f ca="1">IFERROR(__xludf.DUMMYFUNCTION("""COMPUTED_VALUE"""),"No")</f>
        <v>No</v>
      </c>
      <c r="AC1226" s="1" t="str">
        <f ca="1">IFERROR(__xludf.DUMMYFUNCTION("""COMPUTED_VALUE"""),"Yes")</f>
        <v>Yes</v>
      </c>
      <c r="AD1226" s="1" t="str">
        <f ca="1">IFERROR(__xludf.DUMMYFUNCTION("""COMPUTED_VALUE"""),"No")</f>
        <v>No</v>
      </c>
      <c r="AE1226" s="1" t="str">
        <f ca="1">IFERROR(__xludf.DUMMYFUNCTION("""COMPUTED_VALUE"""),"No")</f>
        <v>No</v>
      </c>
      <c r="AF1226" s="1" t="str">
        <f ca="1">IFERROR(__xludf.DUMMYFUNCTION("""COMPUTED_VALUE"""),"No")</f>
        <v>No</v>
      </c>
      <c r="AG1226" s="1" t="str">
        <f ca="1">IFERROR(__xludf.DUMMYFUNCTION("""COMPUTED_VALUE"""),"No")</f>
        <v>No</v>
      </c>
      <c r="AH1226" s="1">
        <f ca="1">IFERROR(__xludf.DUMMYFUNCTION("""COMPUTED_VALUE"""),0)</f>
        <v>0</v>
      </c>
    </row>
    <row r="1227" spans="1:34" ht="12.5">
      <c r="A1227" s="1" t="str">
        <f ca="1">IFERROR(__xludf.DUMMYFUNCTION("""COMPUTED_VALUE"""),"20190125TNMAM")</f>
        <v>20190125TNMAM</v>
      </c>
      <c r="B1227" s="1">
        <f ca="1">IFERROR(__xludf.DUMMYFUNCTION("""COMPUTED_VALUE"""),1)</f>
        <v>1</v>
      </c>
      <c r="C1227" s="1">
        <f ca="1">IFERROR(__xludf.DUMMYFUNCTION("""COMPUTED_VALUE"""),25)</f>
        <v>25</v>
      </c>
      <c r="D1227" s="1">
        <f ca="1">IFERROR(__xludf.DUMMYFUNCTION("""COMPUTED_VALUE"""),2019)</f>
        <v>2019</v>
      </c>
      <c r="E1227" s="4">
        <f ca="1">IFERROR(__xludf.DUMMYFUNCTION("""COMPUTED_VALUE"""),43490)</f>
        <v>43490</v>
      </c>
      <c r="F1227" s="1" t="str">
        <f ca="1">IFERROR(__xludf.DUMMYFUNCTION("""COMPUTED_VALUE"""),"Manassas High School")</f>
        <v>Manassas High School</v>
      </c>
      <c r="G1227" s="1">
        <f ca="1">IFERROR(__xludf.DUMMYFUNCTION("""COMPUTED_VALUE"""),0)</f>
        <v>0</v>
      </c>
      <c r="H1227" s="1">
        <f ca="1">IFERROR(__xludf.DUMMYFUNCTION("""COMPUTED_VALUE"""),0)</f>
        <v>0</v>
      </c>
      <c r="I1227" s="1">
        <f ca="1">IFERROR(__xludf.DUMMYFUNCTION("""COMPUTED_VALUE"""),0)</f>
        <v>0</v>
      </c>
      <c r="J1227" s="1">
        <f ca="1">IFERROR(__xludf.DUMMYFUNCTION("""COMPUTED_VALUE"""),0)</f>
        <v>0</v>
      </c>
      <c r="K1227" s="1" t="str">
        <f ca="1">IFERROR(__xludf.DUMMYFUNCTION("""COMPUTED_VALUE"""),"Winter")</f>
        <v>Winter</v>
      </c>
      <c r="L1227" s="1" t="str">
        <f ca="1">IFERROR(__xludf.DUMMYFUNCTION("""COMPUTED_VALUE"""),"Memphis")</f>
        <v>Memphis</v>
      </c>
      <c r="M1227" s="1" t="str">
        <f ca="1">IFERROR(__xludf.DUMMYFUNCTION("""COMPUTED_VALUE"""),"TN")</f>
        <v>TN</v>
      </c>
      <c r="N1227" s="1" t="str">
        <f ca="1">IFERROR(__xludf.DUMMYFUNCTION("""COMPUTED_VALUE"""),"High")</f>
        <v>High</v>
      </c>
      <c r="O1227" s="1" t="str">
        <f ca="1">IFERROR(__xludf.DUMMYFUNCTION("""COMPUTED_VALUE"""),"Front of School")</f>
        <v>Front of School</v>
      </c>
      <c r="P1227" s="1" t="str">
        <f ca="1">IFERROR(__xludf.DUMMYFUNCTION("""COMPUTED_VALUE"""),"Outside on School Property")</f>
        <v>Outside on School Property</v>
      </c>
      <c r="Q1227" s="1" t="str">
        <f ca="1">IFERROR(__xludf.DUMMYFUNCTION("""COMPUTED_VALUE"""),"Yes")</f>
        <v>Yes</v>
      </c>
      <c r="R1227" s="1" t="str">
        <f ca="1">IFERROR(__xludf.DUMMYFUNCTION("""COMPUTED_VALUE"""),"School Start")</f>
        <v>School Start</v>
      </c>
      <c r="S1227" s="5">
        <f ca="1">IFERROR(__xludf.DUMMYFUNCTION("""COMPUTED_VALUE"""),0.350694444444444)</f>
        <v>0.35069444444444398</v>
      </c>
      <c r="T1227" s="1">
        <f ca="1">IFERROR(__xludf.DUMMYFUNCTION("""COMPUTED_VALUE"""),1)</f>
        <v>1</v>
      </c>
      <c r="U1227" s="1" t="str">
        <f ca="1">IFERROR(__xludf.DUMMYFUNCTION("""COMPUTED_VALUE"""),"Shots fired at bus in school parking lot by 5 teens in stolen car.")</f>
        <v>Shots fired at bus in school parking lot by 5 teens in stolen car.</v>
      </c>
      <c r="V1227" s="1" t="str">
        <f ca="1">IFERROR(__xludf.DUMMYFUNCTION("""COMPUTED_VALUE"""),"Shot were fired breaking windows of a school bus in the school parking lot at the start of the school day. School was locked down. Shot were fired by 5 teens in a stolen car. Teens were also involved in carjacking, fired at bystander, and firing at police"&amp;" officer. Two realistic BB guns were recovered from vehicle. Four teens were arrested, one was charged with prior homicide.")</f>
        <v>Shot were fired breaking windows of a school bus in the school parking lot at the start of the school day. School was locked down. Shot were fired by 5 teens in a stolen car. Teens were also involved in carjacking, fired at bystander, and firing at police officer. Two realistic BB guns were recovered from vehicle. Four teens were arrested, one was charged with prior homicide.</v>
      </c>
      <c r="W1227" s="1" t="str">
        <f ca="1">IFERROR(__xludf.DUMMYFUNCTION("""COMPUTED_VALUE"""),"Drive-by Shooting")</f>
        <v>Drive-by Shooting</v>
      </c>
      <c r="X1227" s="1"/>
      <c r="Y1227" s="1" t="str">
        <f ca="1">IFERROR(__xludf.DUMMYFUNCTION("""COMPUTED_VALUE"""),"Yes")</f>
        <v>Yes</v>
      </c>
      <c r="Z1227" s="1" t="str">
        <f ca="1">IFERROR(__xludf.DUMMYFUNCTION("""COMPUTED_VALUE"""),"5 teens in car during shooting, 2 guns recovered")</f>
        <v>5 teens in car during shooting, 2 guns recovered</v>
      </c>
      <c r="AA1227" s="1" t="str">
        <f ca="1">IFERROR(__xludf.DUMMYFUNCTION("""COMPUTED_VALUE"""),"No")</f>
        <v>No</v>
      </c>
      <c r="AB1227" s="1" t="str">
        <f ca="1">IFERROR(__xludf.DUMMYFUNCTION("""COMPUTED_VALUE"""),"No")</f>
        <v>No</v>
      </c>
      <c r="AC1227" s="1" t="str">
        <f ca="1">IFERROR(__xludf.DUMMYFUNCTION("""COMPUTED_VALUE"""),"No")</f>
        <v>No</v>
      </c>
      <c r="AD1227" s="1" t="str">
        <f ca="1">IFERROR(__xludf.DUMMYFUNCTION("""COMPUTED_VALUE"""),"No")</f>
        <v>No</v>
      </c>
      <c r="AE1227" s="1" t="str">
        <f ca="1">IFERROR(__xludf.DUMMYFUNCTION("""COMPUTED_VALUE"""),"No")</f>
        <v>No</v>
      </c>
      <c r="AF1227" s="1"/>
      <c r="AG1227" s="1" t="str">
        <f ca="1">IFERROR(__xludf.DUMMYFUNCTION("""COMPUTED_VALUE"""),"No")</f>
        <v>No</v>
      </c>
      <c r="AH1227" s="1" t="str">
        <f ca="1">IFERROR(__xludf.DUMMYFUNCTION("""COMPUTED_VALUE"""),"&lt;10")</f>
        <v>&lt;10</v>
      </c>
    </row>
    <row r="1228" spans="1:34" ht="12.5">
      <c r="A1228" s="1" t="str">
        <f ca="1">IFERROR(__xludf.DUMMYFUNCTION("""COMPUTED_VALUE"""),"20190125ALDAM")</f>
        <v>20190125ALDAM</v>
      </c>
      <c r="B1228" s="1">
        <f ca="1">IFERROR(__xludf.DUMMYFUNCTION("""COMPUTED_VALUE"""),1)</f>
        <v>1</v>
      </c>
      <c r="C1228" s="1">
        <f ca="1">IFERROR(__xludf.DUMMYFUNCTION("""COMPUTED_VALUE"""),25)</f>
        <v>25</v>
      </c>
      <c r="D1228" s="1">
        <f ca="1">IFERROR(__xludf.DUMMYFUNCTION("""COMPUTED_VALUE"""),2019)</f>
        <v>2019</v>
      </c>
      <c r="E1228" s="4">
        <f ca="1">IFERROR(__xludf.DUMMYFUNCTION("""COMPUTED_VALUE"""),43490)</f>
        <v>43490</v>
      </c>
      <c r="F1228" s="1" t="str">
        <f ca="1">IFERROR(__xludf.DUMMYFUNCTION("""COMPUTED_VALUE"""),"Davidson High School")</f>
        <v>Davidson High School</v>
      </c>
      <c r="G1228" s="1">
        <f ca="1">IFERROR(__xludf.DUMMYFUNCTION("""COMPUTED_VALUE"""),0)</f>
        <v>0</v>
      </c>
      <c r="H1228" s="1">
        <f ca="1">IFERROR(__xludf.DUMMYFUNCTION("""COMPUTED_VALUE"""),2)</f>
        <v>2</v>
      </c>
      <c r="I1228" s="1">
        <f ca="1">IFERROR(__xludf.DUMMYFUNCTION("""COMPUTED_VALUE"""),2)</f>
        <v>2</v>
      </c>
      <c r="J1228" s="1">
        <f ca="1">IFERROR(__xludf.DUMMYFUNCTION("""COMPUTED_VALUE"""),0)</f>
        <v>0</v>
      </c>
      <c r="K1228" s="1" t="str">
        <f ca="1">IFERROR(__xludf.DUMMYFUNCTION("""COMPUTED_VALUE"""),"Winter")</f>
        <v>Winter</v>
      </c>
      <c r="L1228" s="1" t="str">
        <f ca="1">IFERROR(__xludf.DUMMYFUNCTION("""COMPUTED_VALUE"""),"Mobile")</f>
        <v>Mobile</v>
      </c>
      <c r="M1228" s="1" t="str">
        <f ca="1">IFERROR(__xludf.DUMMYFUNCTION("""COMPUTED_VALUE"""),"AL")</f>
        <v>AL</v>
      </c>
      <c r="N1228" s="1" t="str">
        <f ca="1">IFERROR(__xludf.DUMMYFUNCTION("""COMPUTED_VALUE"""),"High")</f>
        <v>High</v>
      </c>
      <c r="O1228" s="1" t="str">
        <f ca="1">IFERROR(__xludf.DUMMYFUNCTION("""COMPUTED_VALUE"""),"Parking Lot")</f>
        <v>Parking Lot</v>
      </c>
      <c r="P1228" s="1" t="str">
        <f ca="1">IFERROR(__xludf.DUMMYFUNCTION("""COMPUTED_VALUE"""),"Outside on School Property")</f>
        <v>Outside on School Property</v>
      </c>
      <c r="Q1228" s="1" t="str">
        <f ca="1">IFERROR(__xludf.DUMMYFUNCTION("""COMPUTED_VALUE"""),"No")</f>
        <v>No</v>
      </c>
      <c r="R1228" s="1" t="str">
        <f ca="1">IFERROR(__xludf.DUMMYFUNCTION("""COMPUTED_VALUE"""),"Sport Event")</f>
        <v>Sport Event</v>
      </c>
      <c r="S1228" s="5">
        <f ca="1">IFERROR(__xludf.DUMMYFUNCTION("""COMPUTED_VALUE"""),0.875)</f>
        <v>0.875</v>
      </c>
      <c r="T1228" s="1">
        <f ca="1">IFERROR(__xludf.DUMMYFUNCTION("""COMPUTED_VALUE"""),1)</f>
        <v>1</v>
      </c>
      <c r="U1228" s="1" t="str">
        <f ca="1">IFERROR(__xludf.DUMMYFUNCTION("""COMPUTED_VALUE"""),"2 shot during altercation outside of basketball game, shooter fled")</f>
        <v>2 shot during altercation outside of basketball game, shooter fled</v>
      </c>
      <c r="V1228" s="1" t="str">
        <f ca="1">IFERROR(__xludf.DUMMYFUNCTION("""COMPUTED_VALUE"""),"17YOM and 20YOM shot during dispute in the school parking lot during a basketball game. Police said one was not a student and did not identify the other victim. Shooter fled the scene.")</f>
        <v>17YOM and 20YOM shot during dispute in the school parking lot during a basketball game. Police said one was not a student and did not identify the other victim. Shooter fled the scene.</v>
      </c>
      <c r="W1228" s="1" t="str">
        <f ca="1">IFERROR(__xludf.DUMMYFUNCTION("""COMPUTED_VALUE"""),"Escalation of Dispute")</f>
        <v>Escalation of Dispute</v>
      </c>
      <c r="X1228" s="1"/>
      <c r="Y1228" s="1" t="str">
        <f ca="1">IFERROR(__xludf.DUMMYFUNCTION("""COMPUTED_VALUE"""),"Yes")</f>
        <v>Yes</v>
      </c>
      <c r="Z1228" s="1" t="str">
        <f ca="1">IFERROR(__xludf.DUMMYFUNCTION("""COMPUTED_VALUE"""),"Mother also charged")</f>
        <v>Mother also charged</v>
      </c>
      <c r="AA1228" s="1" t="str">
        <f ca="1">IFERROR(__xludf.DUMMYFUNCTION("""COMPUTED_VALUE"""),"No")</f>
        <v>No</v>
      </c>
      <c r="AB1228" s="1" t="str">
        <f ca="1">IFERROR(__xludf.DUMMYFUNCTION("""COMPUTED_VALUE"""),"No")</f>
        <v>No</v>
      </c>
      <c r="AC1228" s="1" t="str">
        <f ca="1">IFERROR(__xludf.DUMMYFUNCTION("""COMPUTED_VALUE"""),"No")</f>
        <v>No</v>
      </c>
      <c r="AD1228" s="1" t="str">
        <f ca="1">IFERROR(__xludf.DUMMYFUNCTION("""COMPUTED_VALUE"""),"No")</f>
        <v>No</v>
      </c>
      <c r="AE1228" s="1" t="str">
        <f ca="1">IFERROR(__xludf.DUMMYFUNCTION("""COMPUTED_VALUE"""),"No")</f>
        <v>No</v>
      </c>
      <c r="AF1228" s="1" t="str">
        <f ca="1">IFERROR(__xludf.DUMMYFUNCTION("""COMPUTED_VALUE"""),"No")</f>
        <v>No</v>
      </c>
      <c r="AG1228" s="1" t="str">
        <f ca="1">IFERROR(__xludf.DUMMYFUNCTION("""COMPUTED_VALUE"""),"No")</f>
        <v>No</v>
      </c>
      <c r="AH1228" s="1" t="str">
        <f ca="1">IFERROR(__xludf.DUMMYFUNCTION("""COMPUTED_VALUE"""),"&lt;10")</f>
        <v>&lt;10</v>
      </c>
    </row>
    <row r="1229" spans="1:34" ht="12.5">
      <c r="A1229" s="1" t="str">
        <f ca="1">IFERROR(__xludf.DUMMYFUNCTION("""COMPUTED_VALUE"""),"20190123LASOS")</f>
        <v>20190123LASOS</v>
      </c>
      <c r="B1229" s="1">
        <f ca="1">IFERROR(__xludf.DUMMYFUNCTION("""COMPUTED_VALUE"""),1)</f>
        <v>1</v>
      </c>
      <c r="C1229" s="1">
        <f ca="1">IFERROR(__xludf.DUMMYFUNCTION("""COMPUTED_VALUE"""),23)</f>
        <v>23</v>
      </c>
      <c r="D1229" s="1">
        <f ca="1">IFERROR(__xludf.DUMMYFUNCTION("""COMPUTED_VALUE"""),2019)</f>
        <v>2019</v>
      </c>
      <c r="E1229" s="4">
        <f ca="1">IFERROR(__xludf.DUMMYFUNCTION("""COMPUTED_VALUE"""),43488)</f>
        <v>43488</v>
      </c>
      <c r="F1229" s="1" t="str">
        <f ca="1">IFERROR(__xludf.DUMMYFUNCTION("""COMPUTED_VALUE"""),"Southern Hills Elementary School")</f>
        <v>Southern Hills Elementary School</v>
      </c>
      <c r="G1229" s="1">
        <f ca="1">IFERROR(__xludf.DUMMYFUNCTION("""COMPUTED_VALUE"""),0)</f>
        <v>0</v>
      </c>
      <c r="H1229" s="1">
        <f ca="1">IFERROR(__xludf.DUMMYFUNCTION("""COMPUTED_VALUE"""),1)</f>
        <v>1</v>
      </c>
      <c r="I1229" s="1">
        <f ca="1">IFERROR(__xludf.DUMMYFUNCTION("""COMPUTED_VALUE"""),1)</f>
        <v>1</v>
      </c>
      <c r="J1229" s="1">
        <f ca="1">IFERROR(__xludf.DUMMYFUNCTION("""COMPUTED_VALUE"""),0)</f>
        <v>0</v>
      </c>
      <c r="K1229" s="1" t="str">
        <f ca="1">IFERROR(__xludf.DUMMYFUNCTION("""COMPUTED_VALUE"""),"Winter")</f>
        <v>Winter</v>
      </c>
      <c r="L1229" s="1" t="str">
        <f ca="1">IFERROR(__xludf.DUMMYFUNCTION("""COMPUTED_VALUE"""),"Shreveport")</f>
        <v>Shreveport</v>
      </c>
      <c r="M1229" s="1" t="str">
        <f ca="1">IFERROR(__xludf.DUMMYFUNCTION("""COMPUTED_VALUE"""),"LA")</f>
        <v>LA</v>
      </c>
      <c r="N1229" s="1" t="str">
        <f ca="1">IFERROR(__xludf.DUMMYFUNCTION("""COMPUTED_VALUE"""),"Elementary")</f>
        <v>Elementary</v>
      </c>
      <c r="O1229" s="1" t="str">
        <f ca="1">IFERROR(__xludf.DUMMYFUNCTION("""COMPUTED_VALUE"""),"Parking Lot")</f>
        <v>Parking Lot</v>
      </c>
      <c r="P1229" s="1" t="str">
        <f ca="1">IFERROR(__xludf.DUMMYFUNCTION("""COMPUTED_VALUE"""),"Off School Property")</f>
        <v>Off School Property</v>
      </c>
      <c r="Q1229" s="1" t="str">
        <f ca="1">IFERROR(__xludf.DUMMYFUNCTION("""COMPUTED_VALUE"""),"Yes")</f>
        <v>Yes</v>
      </c>
      <c r="R1229" s="1" t="str">
        <f ca="1">IFERROR(__xludf.DUMMYFUNCTION("""COMPUTED_VALUE"""),"Afternoon Classes")</f>
        <v>Afternoon Classes</v>
      </c>
      <c r="S1229" s="5">
        <f ca="1">IFERROR(__xludf.DUMMYFUNCTION("""COMPUTED_VALUE"""),0.625)</f>
        <v>0.625</v>
      </c>
      <c r="T1229" s="1">
        <f ca="1">IFERROR(__xludf.DUMMYFUNCTION("""COMPUTED_VALUE"""),1)</f>
        <v>1</v>
      </c>
      <c r="U1229" s="1" t="str">
        <f ca="1">IFERROR(__xludf.DUMMYFUNCTION("""COMPUTED_VALUE"""),"Adult male who was shot was found by SRO in the parking lot")</f>
        <v>Adult male who was shot was found by SRO in the parking lot</v>
      </c>
      <c r="V1229" s="1" t="str">
        <f ca="1">IFERROR(__xludf.DUMMYFUNCTION("""COMPUTED_VALUE"""),"Adult male who was shot was dropped off in the school parking lot by an adult female. SRO found the victim and rendered first aid. School was locked down while police investigated. Large police response to school. Police determined that the shooting did n"&amp;"ot occur on school property.")</f>
        <v>Adult male who was shot was dropped off in the school parking lot by an adult female. SRO found the victim and rendered first aid. School was locked down while police investigated. Large police response to school. Police determined that the shooting did not occur on school property.</v>
      </c>
      <c r="W1229" s="1" t="str">
        <f ca="1">IFERROR(__xludf.DUMMYFUNCTION("""COMPUTED_VALUE"""),"Unknown")</f>
        <v>Unknown</v>
      </c>
      <c r="X1229" s="1"/>
      <c r="Y1229" s="1"/>
      <c r="Z1229" s="1"/>
      <c r="AA1229" s="1" t="str">
        <f ca="1">IFERROR(__xludf.DUMMYFUNCTION("""COMPUTED_VALUE"""),"No")</f>
        <v>No</v>
      </c>
      <c r="AB1229" s="1" t="str">
        <f ca="1">IFERROR(__xludf.DUMMYFUNCTION("""COMPUTED_VALUE"""),"No")</f>
        <v>No</v>
      </c>
      <c r="AC1229" s="1" t="str">
        <f ca="1">IFERROR(__xludf.DUMMYFUNCTION("""COMPUTED_VALUE"""),"No")</f>
        <v>No</v>
      </c>
      <c r="AD1229" s="1" t="str">
        <f ca="1">IFERROR(__xludf.DUMMYFUNCTION("""COMPUTED_VALUE"""),"No")</f>
        <v>No</v>
      </c>
      <c r="AE1229" s="1"/>
      <c r="AF1229" s="1"/>
      <c r="AG1229" s="1" t="str">
        <f ca="1">IFERROR(__xludf.DUMMYFUNCTION("""COMPUTED_VALUE"""),"No")</f>
        <v>No</v>
      </c>
      <c r="AH1229" s="1"/>
    </row>
    <row r="1230" spans="1:34" ht="12.5">
      <c r="A1230" s="1" t="str">
        <f ca="1">IFERROR(__xludf.DUMMYFUNCTION("""COMPUTED_VALUE"""),"20190119KSLAO")</f>
        <v>20190119KSLAO</v>
      </c>
      <c r="B1230" s="1">
        <f ca="1">IFERROR(__xludf.DUMMYFUNCTION("""COMPUTED_VALUE"""),1)</f>
        <v>1</v>
      </c>
      <c r="C1230" s="1">
        <f ca="1">IFERROR(__xludf.DUMMYFUNCTION("""COMPUTED_VALUE"""),19)</f>
        <v>19</v>
      </c>
      <c r="D1230" s="1">
        <f ca="1">IFERROR(__xludf.DUMMYFUNCTION("""COMPUTED_VALUE"""),2019)</f>
        <v>2019</v>
      </c>
      <c r="E1230" s="4">
        <f ca="1">IFERROR(__xludf.DUMMYFUNCTION("""COMPUTED_VALUE"""),43484)</f>
        <v>43484</v>
      </c>
      <c r="F1230" s="1" t="str">
        <f ca="1">IFERROR(__xludf.DUMMYFUNCTION("""COMPUTED_VALUE"""),"Lakewood Middle School")</f>
        <v>Lakewood Middle School</v>
      </c>
      <c r="G1230" s="1">
        <f ca="1">IFERROR(__xludf.DUMMYFUNCTION("""COMPUTED_VALUE"""),0)</f>
        <v>0</v>
      </c>
      <c r="H1230" s="1">
        <f ca="1">IFERROR(__xludf.DUMMYFUNCTION("""COMPUTED_VALUE"""),2)</f>
        <v>2</v>
      </c>
      <c r="I1230" s="1">
        <f ca="1">IFERROR(__xludf.DUMMYFUNCTION("""COMPUTED_VALUE"""),2)</f>
        <v>2</v>
      </c>
      <c r="J1230" s="1">
        <f ca="1">IFERROR(__xludf.DUMMYFUNCTION("""COMPUTED_VALUE"""),0)</f>
        <v>0</v>
      </c>
      <c r="K1230" s="1" t="str">
        <f ca="1">IFERROR(__xludf.DUMMYFUNCTION("""COMPUTED_VALUE"""),"Winter")</f>
        <v>Winter</v>
      </c>
      <c r="L1230" s="1" t="str">
        <f ca="1">IFERROR(__xludf.DUMMYFUNCTION("""COMPUTED_VALUE"""),"Overland Park")</f>
        <v>Overland Park</v>
      </c>
      <c r="M1230" s="1" t="str">
        <f ca="1">IFERROR(__xludf.DUMMYFUNCTION("""COMPUTED_VALUE"""),"KS")</f>
        <v>KS</v>
      </c>
      <c r="N1230" s="1" t="str">
        <f ca="1">IFERROR(__xludf.DUMMYFUNCTION("""COMPUTED_VALUE"""),"Middle")</f>
        <v>Middle</v>
      </c>
      <c r="O1230" s="1" t="str">
        <f ca="1">IFERROR(__xludf.DUMMYFUNCTION("""COMPUTED_VALUE"""),"Parking Lot")</f>
        <v>Parking Lot</v>
      </c>
      <c r="P1230" s="1" t="str">
        <f ca="1">IFERROR(__xludf.DUMMYFUNCTION("""COMPUTED_VALUE"""),"Outside on School Property")</f>
        <v>Outside on School Property</v>
      </c>
      <c r="Q1230" s="1" t="str">
        <f ca="1">IFERROR(__xludf.DUMMYFUNCTION("""COMPUTED_VALUE"""),"No")</f>
        <v>No</v>
      </c>
      <c r="R1230" s="1" t="str">
        <f ca="1">IFERROR(__xludf.DUMMYFUNCTION("""COMPUTED_VALUE"""),"Night")</f>
        <v>Night</v>
      </c>
      <c r="S1230" s="5">
        <f ca="1">IFERROR(__xludf.DUMMYFUNCTION("""COMPUTED_VALUE"""),0.875)</f>
        <v>0.875</v>
      </c>
      <c r="T1230" s="1">
        <f ca="1">IFERROR(__xludf.DUMMYFUNCTION("""COMPUTED_VALUE"""),1)</f>
        <v>1</v>
      </c>
      <c r="U1230" s="1" t="str">
        <f ca="1">IFERROR(__xludf.DUMMYFUNCTION("""COMPUTED_VALUE"""),"Two teens shot in parking lot during robbery")</f>
        <v>Two teens shot in parking lot during robbery</v>
      </c>
      <c r="V1230" s="1" t="str">
        <f ca="1">IFERROR(__xludf.DUMMYFUNCTION("""COMPUTED_VALUE"""),"16YOM and 15YOM shot in parking lot of the school during a robbery. School was closed at the time of the shooting. Unidentified suspect fled.")</f>
        <v>16YOM and 15YOM shot in parking lot of the school during a robbery. School was closed at the time of the shooting. Unidentified suspect fled.</v>
      </c>
      <c r="W1230" s="1" t="str">
        <f ca="1">IFERROR(__xludf.DUMMYFUNCTION("""COMPUTED_VALUE"""),"Illegal Activity")</f>
        <v>Illegal Activity</v>
      </c>
      <c r="X1230" s="1" t="str">
        <f ca="1">IFERROR(__xludf.DUMMYFUNCTION("""COMPUTED_VALUE"""),"Victims Targeted")</f>
        <v>Victims Targeted</v>
      </c>
      <c r="Y1230" s="1"/>
      <c r="Z1230" s="1"/>
      <c r="AA1230" s="1" t="str">
        <f ca="1">IFERROR(__xludf.DUMMYFUNCTION("""COMPUTED_VALUE"""),"No")</f>
        <v>No</v>
      </c>
      <c r="AB1230" s="1" t="str">
        <f ca="1">IFERROR(__xludf.DUMMYFUNCTION("""COMPUTED_VALUE"""),"No")</f>
        <v>No</v>
      </c>
      <c r="AC1230" s="1" t="str">
        <f ca="1">IFERROR(__xludf.DUMMYFUNCTION("""COMPUTED_VALUE"""),"No")</f>
        <v>No</v>
      </c>
      <c r="AD1230" s="1" t="str">
        <f ca="1">IFERROR(__xludf.DUMMYFUNCTION("""COMPUTED_VALUE"""),"No")</f>
        <v>No</v>
      </c>
      <c r="AE1230" s="1" t="str">
        <f ca="1">IFERROR(__xludf.DUMMYFUNCTION("""COMPUTED_VALUE"""),"No")</f>
        <v>No</v>
      </c>
      <c r="AF1230" s="1"/>
      <c r="AG1230" s="1" t="str">
        <f ca="1">IFERROR(__xludf.DUMMYFUNCTION("""COMPUTED_VALUE"""),"No")</f>
        <v>No</v>
      </c>
      <c r="AH1230" s="1" t="str">
        <f ca="1">IFERROR(__xludf.DUMMYFUNCTION("""COMPUTED_VALUE"""),"&lt;5")</f>
        <v>&lt;5</v>
      </c>
    </row>
    <row r="1231" spans="1:34" ht="12.5">
      <c r="A1231" s="1" t="str">
        <f ca="1">IFERROR(__xludf.DUMMYFUNCTION("""COMPUTED_VALUE"""),"20190118NCSHD")</f>
        <v>20190118NCSHD</v>
      </c>
      <c r="B1231" s="1">
        <f ca="1">IFERROR(__xludf.DUMMYFUNCTION("""COMPUTED_VALUE"""),1)</f>
        <v>1</v>
      </c>
      <c r="C1231" s="1">
        <f ca="1">IFERROR(__xludf.DUMMYFUNCTION("""COMPUTED_VALUE"""),18)</f>
        <v>18</v>
      </c>
      <c r="D1231" s="1">
        <f ca="1">IFERROR(__xludf.DUMMYFUNCTION("""COMPUTED_VALUE"""),2019)</f>
        <v>2019</v>
      </c>
      <c r="E1231" s="4">
        <f ca="1">IFERROR(__xludf.DUMMYFUNCTION("""COMPUTED_VALUE"""),43483)</f>
        <v>43483</v>
      </c>
      <c r="F1231" s="1" t="str">
        <f ca="1">IFERROR(__xludf.DUMMYFUNCTION("""COMPUTED_VALUE"""),"Sheppard Middle School")</f>
        <v>Sheppard Middle School</v>
      </c>
      <c r="G1231" s="1">
        <f ca="1">IFERROR(__xludf.DUMMYFUNCTION("""COMPUTED_VALUE"""),0)</f>
        <v>0</v>
      </c>
      <c r="H1231" s="1">
        <f ca="1">IFERROR(__xludf.DUMMYFUNCTION("""COMPUTED_VALUE"""),1)</f>
        <v>1</v>
      </c>
      <c r="I1231" s="1">
        <f ca="1">IFERROR(__xludf.DUMMYFUNCTION("""COMPUTED_VALUE"""),1)</f>
        <v>1</v>
      </c>
      <c r="J1231" s="1">
        <f ca="1">IFERROR(__xludf.DUMMYFUNCTION("""COMPUTED_VALUE"""),0)</f>
        <v>0</v>
      </c>
      <c r="K1231" s="1" t="str">
        <f ca="1">IFERROR(__xludf.DUMMYFUNCTION("""COMPUTED_VALUE"""),"Winter")</f>
        <v>Winter</v>
      </c>
      <c r="L1231" s="1" t="str">
        <f ca="1">IFERROR(__xludf.DUMMYFUNCTION("""COMPUTED_VALUE"""),"Durham")</f>
        <v>Durham</v>
      </c>
      <c r="M1231" s="1" t="str">
        <f ca="1">IFERROR(__xludf.DUMMYFUNCTION("""COMPUTED_VALUE"""),"NC")</f>
        <v>NC</v>
      </c>
      <c r="N1231" s="1" t="str">
        <f ca="1">IFERROR(__xludf.DUMMYFUNCTION("""COMPUTED_VALUE"""),"Middle")</f>
        <v>Middle</v>
      </c>
      <c r="O1231" s="1" t="str">
        <f ca="1">IFERROR(__xludf.DUMMYFUNCTION("""COMPUTED_VALUE"""),"School Bus")</f>
        <v>School Bus</v>
      </c>
      <c r="P1231" s="1" t="str">
        <f ca="1">IFERROR(__xludf.DUMMYFUNCTION("""COMPUTED_VALUE"""),"School Bus")</f>
        <v>School Bus</v>
      </c>
      <c r="Q1231" s="1" t="str">
        <f ca="1">IFERROR(__xludf.DUMMYFUNCTION("""COMPUTED_VALUE"""),"Yes")</f>
        <v>Yes</v>
      </c>
      <c r="R1231" s="1" t="str">
        <f ca="1">IFERROR(__xludf.DUMMYFUNCTION("""COMPUTED_VALUE"""),"Dismissal")</f>
        <v>Dismissal</v>
      </c>
      <c r="S1231" s="5">
        <f ca="1">IFERROR(__xludf.DUMMYFUNCTION("""COMPUTED_VALUE"""),0.645833333333333)</f>
        <v>0.64583333333333304</v>
      </c>
      <c r="T1231" s="1">
        <f ca="1">IFERROR(__xludf.DUMMYFUNCTION("""COMPUTED_VALUE"""),1)</f>
        <v>1</v>
      </c>
      <c r="U1231" s="1" t="str">
        <f ca="1">IFERROR(__xludf.DUMMYFUNCTION("""COMPUTED_VALUE"""),"School bus hit by stray bullet injuring driver")</f>
        <v>School bus hit by stray bullet injuring driver</v>
      </c>
      <c r="V1231" s="1" t="str">
        <f ca="1">IFERROR(__xludf.DUMMYFUNCTION("""COMPUTED_VALUE"""),"School bus occupied by 15 students was struck by stray bullet injuring the bus driver. Occupants of two nearby cars were firing at each other when the bus was struck.")</f>
        <v>School bus occupied by 15 students was struck by stray bullet injuring the bus driver. Occupants of two nearby cars were firing at each other when the bus was struck.</v>
      </c>
      <c r="W1231" s="1" t="str">
        <f ca="1">IFERROR(__xludf.DUMMYFUNCTION("""COMPUTED_VALUE"""),"Drive-by Shooting")</f>
        <v>Drive-by Shooting</v>
      </c>
      <c r="X1231" s="1" t="str">
        <f ca="1">IFERROR(__xludf.DUMMYFUNCTION("""COMPUTED_VALUE"""),"Random Shooting")</f>
        <v>Random Shooting</v>
      </c>
      <c r="Y1231" s="1" t="str">
        <f ca="1">IFERROR(__xludf.DUMMYFUNCTION("""COMPUTED_VALUE"""),"Yes")</f>
        <v>Yes</v>
      </c>
      <c r="Z1231" s="1" t="str">
        <f ca="1">IFERROR(__xludf.DUMMYFUNCTION("""COMPUTED_VALUE"""),"Drivers of vehicles")</f>
        <v>Drivers of vehicles</v>
      </c>
      <c r="AA1231" s="1" t="str">
        <f ca="1">IFERROR(__xludf.DUMMYFUNCTION("""COMPUTED_VALUE"""),"No")</f>
        <v>No</v>
      </c>
      <c r="AB1231" s="1" t="str">
        <f ca="1">IFERROR(__xludf.DUMMYFUNCTION("""COMPUTED_VALUE"""),"No")</f>
        <v>No</v>
      </c>
      <c r="AC1231" s="1" t="str">
        <f ca="1">IFERROR(__xludf.DUMMYFUNCTION("""COMPUTED_VALUE"""),"No")</f>
        <v>No</v>
      </c>
      <c r="AD1231" s="1" t="str">
        <f ca="1">IFERROR(__xludf.DUMMYFUNCTION("""COMPUTED_VALUE"""),"No")</f>
        <v>No</v>
      </c>
      <c r="AE1231" s="1" t="str">
        <f ca="1">IFERROR(__xludf.DUMMYFUNCTION("""COMPUTED_VALUE"""),"No")</f>
        <v>No</v>
      </c>
      <c r="AF1231" s="1"/>
      <c r="AG1231" s="1" t="str">
        <f ca="1">IFERROR(__xludf.DUMMYFUNCTION("""COMPUTED_VALUE"""),"No")</f>
        <v>No</v>
      </c>
      <c r="AH1231" s="1"/>
    </row>
    <row r="1232" spans="1:34" ht="12.5">
      <c r="A1232" s="1" t="str">
        <f ca="1">IFERROR(__xludf.DUMMYFUNCTION("""COMPUTED_VALUE"""),"20190118MOHAS")</f>
        <v>20190118MOHAS</v>
      </c>
      <c r="B1232" s="1">
        <f ca="1">IFERROR(__xludf.DUMMYFUNCTION("""COMPUTED_VALUE"""),1)</f>
        <v>1</v>
      </c>
      <c r="C1232" s="1">
        <f ca="1">IFERROR(__xludf.DUMMYFUNCTION("""COMPUTED_VALUE"""),18)</f>
        <v>18</v>
      </c>
      <c r="D1232" s="1">
        <f ca="1">IFERROR(__xludf.DUMMYFUNCTION("""COMPUTED_VALUE"""),2019)</f>
        <v>2019</v>
      </c>
      <c r="E1232" s="4">
        <f ca="1">IFERROR(__xludf.DUMMYFUNCTION("""COMPUTED_VALUE"""),43483)</f>
        <v>43483</v>
      </c>
      <c r="F1232" s="1" t="str">
        <f ca="1">IFERROR(__xludf.DUMMYFUNCTION("""COMPUTED_VALUE"""),"Hazelwood East High School")</f>
        <v>Hazelwood East High School</v>
      </c>
      <c r="G1232" s="1">
        <f ca="1">IFERROR(__xludf.DUMMYFUNCTION("""COMPUTED_VALUE"""),0)</f>
        <v>0</v>
      </c>
      <c r="H1232" s="1">
        <f ca="1">IFERROR(__xludf.DUMMYFUNCTION("""COMPUTED_VALUE"""),0)</f>
        <v>0</v>
      </c>
      <c r="I1232" s="1">
        <f ca="1">IFERROR(__xludf.DUMMYFUNCTION("""COMPUTED_VALUE"""),0)</f>
        <v>0</v>
      </c>
      <c r="J1232" s="1">
        <f ca="1">IFERROR(__xludf.DUMMYFUNCTION("""COMPUTED_VALUE"""),0)</f>
        <v>0</v>
      </c>
      <c r="K1232" s="1" t="str">
        <f ca="1">IFERROR(__xludf.DUMMYFUNCTION("""COMPUTED_VALUE"""),"Winter")</f>
        <v>Winter</v>
      </c>
      <c r="L1232" s="1" t="str">
        <f ca="1">IFERROR(__xludf.DUMMYFUNCTION("""COMPUTED_VALUE"""),"St. Louis")</f>
        <v>St. Louis</v>
      </c>
      <c r="M1232" s="1" t="str">
        <f ca="1">IFERROR(__xludf.DUMMYFUNCTION("""COMPUTED_VALUE"""),"MO")</f>
        <v>MO</v>
      </c>
      <c r="N1232" s="1" t="str">
        <f ca="1">IFERROR(__xludf.DUMMYFUNCTION("""COMPUTED_VALUE"""),"High")</f>
        <v>High</v>
      </c>
      <c r="O1232" s="1" t="str">
        <f ca="1">IFERROR(__xludf.DUMMYFUNCTION("""COMPUTED_VALUE"""),"Parking Lot")</f>
        <v>Parking Lot</v>
      </c>
      <c r="P1232" s="1" t="str">
        <f ca="1">IFERROR(__xludf.DUMMYFUNCTION("""COMPUTED_VALUE"""),"Outside on School Property")</f>
        <v>Outside on School Property</v>
      </c>
      <c r="Q1232" s="1" t="str">
        <f ca="1">IFERROR(__xludf.DUMMYFUNCTION("""COMPUTED_VALUE"""),"Yes")</f>
        <v>Yes</v>
      </c>
      <c r="R1232" s="1" t="str">
        <f ca="1">IFERROR(__xludf.DUMMYFUNCTION("""COMPUTED_VALUE"""),"Afternoon Classes")</f>
        <v>Afternoon Classes</v>
      </c>
      <c r="S1232" s="5">
        <f ca="1">IFERROR(__xludf.DUMMYFUNCTION("""COMPUTED_VALUE"""),0.604166666666666)</f>
        <v>0.60416666666666596</v>
      </c>
      <c r="T1232" s="1">
        <f ca="1">IFERROR(__xludf.DUMMYFUNCTION("""COMPUTED_VALUE"""),1)</f>
        <v>1</v>
      </c>
      <c r="U1232" s="1" t="str">
        <f ca="1">IFERROR(__xludf.DUMMYFUNCTION("""COMPUTED_VALUE"""),"Shots fired from vehicles in the school parking lot. No students injured.")</f>
        <v>Shots fired from vehicles in the school parking lot. No students injured.</v>
      </c>
      <c r="V1232" s="1" t="str">
        <f ca="1">IFERROR(__xludf.DUMMYFUNCTION("""COMPUTED_VALUE"""),"Shots fired from stolen vehicle at another vehicle in the school parking lot during the school day. Multiple shooters involved. No students were injured. Police said it was unknown if the occupants of the vehicle were students.")</f>
        <v>Shots fired from stolen vehicle at another vehicle in the school parking lot during the school day. Multiple shooters involved. No students were injured. Police said it was unknown if the occupants of the vehicle were students.</v>
      </c>
      <c r="W1232" s="1" t="str">
        <f ca="1">IFERROR(__xludf.DUMMYFUNCTION("""COMPUTED_VALUE"""),"Drive-by Shooting")</f>
        <v>Drive-by Shooting</v>
      </c>
      <c r="X1232" s="1" t="str">
        <f ca="1">IFERROR(__xludf.DUMMYFUNCTION("""COMPUTED_VALUE"""),"Victims Targeted")</f>
        <v>Victims Targeted</v>
      </c>
      <c r="Y1232" s="1" t="str">
        <f ca="1">IFERROR(__xludf.DUMMYFUNCTION("""COMPUTED_VALUE"""),"Yes")</f>
        <v>Yes</v>
      </c>
      <c r="Z1232" s="1" t="str">
        <f ca="1">IFERROR(__xludf.DUMMYFUNCTION("""COMPUTED_VALUE"""),"Multiple in vehicle")</f>
        <v>Multiple in vehicle</v>
      </c>
      <c r="AA1232" s="1" t="str">
        <f ca="1">IFERROR(__xludf.DUMMYFUNCTION("""COMPUTED_VALUE"""),"No")</f>
        <v>No</v>
      </c>
      <c r="AB1232" s="1" t="str">
        <f ca="1">IFERROR(__xludf.DUMMYFUNCTION("""COMPUTED_VALUE"""),"No")</f>
        <v>No</v>
      </c>
      <c r="AC1232" s="1" t="str">
        <f ca="1">IFERROR(__xludf.DUMMYFUNCTION("""COMPUTED_VALUE"""),"No")</f>
        <v>No</v>
      </c>
      <c r="AD1232" s="1" t="str">
        <f ca="1">IFERROR(__xludf.DUMMYFUNCTION("""COMPUTED_VALUE"""),"No")</f>
        <v>No</v>
      </c>
      <c r="AE1232" s="1" t="str">
        <f ca="1">IFERROR(__xludf.DUMMYFUNCTION("""COMPUTED_VALUE"""),"No")</f>
        <v>No</v>
      </c>
      <c r="AF1232" s="1"/>
      <c r="AG1232" s="1" t="str">
        <f ca="1">IFERROR(__xludf.DUMMYFUNCTION("""COMPUTED_VALUE"""),"No")</f>
        <v>No</v>
      </c>
      <c r="AH1232" s="1" t="str">
        <f ca="1">IFERROR(__xludf.DUMMYFUNCTION("""COMPUTED_VALUE"""),"&gt;10")</f>
        <v>&gt;10</v>
      </c>
    </row>
    <row r="1233" spans="1:34" ht="12.5">
      <c r="A1233" s="1" t="str">
        <f ca="1">IFERROR(__xludf.DUMMYFUNCTION("""COMPUTED_VALUE"""),"20190118ALCET")</f>
        <v>20190118ALCET</v>
      </c>
      <c r="B1233" s="1">
        <f ca="1">IFERROR(__xludf.DUMMYFUNCTION("""COMPUTED_VALUE"""),1)</f>
        <v>1</v>
      </c>
      <c r="C1233" s="1">
        <f ca="1">IFERROR(__xludf.DUMMYFUNCTION("""COMPUTED_VALUE"""),18)</f>
        <v>18</v>
      </c>
      <c r="D1233" s="1">
        <f ca="1">IFERROR(__xludf.DUMMYFUNCTION("""COMPUTED_VALUE"""),2019)</f>
        <v>2019</v>
      </c>
      <c r="E1233" s="4">
        <f ca="1">IFERROR(__xludf.DUMMYFUNCTION("""COMPUTED_VALUE"""),43483)</f>
        <v>43483</v>
      </c>
      <c r="F1233" s="1" t="str">
        <f ca="1">IFERROR(__xludf.DUMMYFUNCTION("""COMPUTED_VALUE"""),"Central High School")</f>
        <v>Central High School</v>
      </c>
      <c r="G1233" s="1">
        <f ca="1">IFERROR(__xludf.DUMMYFUNCTION("""COMPUTED_VALUE"""),0)</f>
        <v>0</v>
      </c>
      <c r="H1233" s="1">
        <f ca="1">IFERROR(__xludf.DUMMYFUNCTION("""COMPUTED_VALUE"""),0)</f>
        <v>0</v>
      </c>
      <c r="I1233" s="1">
        <f ca="1">IFERROR(__xludf.DUMMYFUNCTION("""COMPUTED_VALUE"""),0)</f>
        <v>0</v>
      </c>
      <c r="J1233" s="1">
        <f ca="1">IFERROR(__xludf.DUMMYFUNCTION("""COMPUTED_VALUE"""),0)</f>
        <v>0</v>
      </c>
      <c r="K1233" s="1" t="str">
        <f ca="1">IFERROR(__xludf.DUMMYFUNCTION("""COMPUTED_VALUE"""),"Winter")</f>
        <v>Winter</v>
      </c>
      <c r="L1233" s="1" t="str">
        <f ca="1">IFERROR(__xludf.DUMMYFUNCTION("""COMPUTED_VALUE"""),"Tuscaloosa")</f>
        <v>Tuscaloosa</v>
      </c>
      <c r="M1233" s="1" t="str">
        <f ca="1">IFERROR(__xludf.DUMMYFUNCTION("""COMPUTED_VALUE"""),"AL")</f>
        <v>AL</v>
      </c>
      <c r="N1233" s="1" t="str">
        <f ca="1">IFERROR(__xludf.DUMMYFUNCTION("""COMPUTED_VALUE"""),"High")</f>
        <v>High</v>
      </c>
      <c r="O1233" s="1" t="str">
        <f ca="1">IFERROR(__xludf.DUMMYFUNCTION("""COMPUTED_VALUE"""),"Parking Lot")</f>
        <v>Parking Lot</v>
      </c>
      <c r="P1233" s="1" t="str">
        <f ca="1">IFERROR(__xludf.DUMMYFUNCTION("""COMPUTED_VALUE"""),"Outside on School Property")</f>
        <v>Outside on School Property</v>
      </c>
      <c r="Q1233" s="1" t="str">
        <f ca="1">IFERROR(__xludf.DUMMYFUNCTION("""COMPUTED_VALUE"""),"Yes")</f>
        <v>Yes</v>
      </c>
      <c r="R1233" s="1" t="str">
        <f ca="1">IFERROR(__xludf.DUMMYFUNCTION("""COMPUTED_VALUE"""),"Afternoon Classes")</f>
        <v>Afternoon Classes</v>
      </c>
      <c r="S1233" s="5">
        <f ca="1">IFERROR(__xludf.DUMMYFUNCTION("""COMPUTED_VALUE"""),0.604166666666666)</f>
        <v>0.60416666666666596</v>
      </c>
      <c r="T1233" s="1">
        <f ca="1">IFERROR(__xludf.DUMMYFUNCTION("""COMPUTED_VALUE"""),1)</f>
        <v>1</v>
      </c>
      <c r="U1233" s="1" t="str">
        <f ca="1">IFERROR(__xludf.DUMMYFUNCTION("""COMPUTED_VALUE"""),"Non-student shot at female in parking lot, school locked down")</f>
        <v>Non-student shot at female in parking lot, school locked down</v>
      </c>
      <c r="V1233" s="1" t="str">
        <f ca="1">IFERROR(__xludf.DUMMYFUNCTION("""COMPUTED_VALUE"""),"19YOM non-student fired shot at female inside a vehicle in the school parking lot during a domestic dispute. 3 children were inside the vehicle. Armed suspect fled. School was locked down.")</f>
        <v>19YOM non-student fired shot at female inside a vehicle in the school parking lot during a domestic dispute. 3 children were inside the vehicle. Armed suspect fled. School was locked down.</v>
      </c>
      <c r="W1233" s="1" t="str">
        <f ca="1">IFERROR(__xludf.DUMMYFUNCTION("""COMPUTED_VALUE"""),"Domestic w/ Targeted Victim")</f>
        <v>Domestic w/ Targeted Victim</v>
      </c>
      <c r="X1233" s="1" t="str">
        <f ca="1">IFERROR(__xludf.DUMMYFUNCTION("""COMPUTED_VALUE"""),"Victims Targeted")</f>
        <v>Victims Targeted</v>
      </c>
      <c r="Y1233" s="1" t="str">
        <f ca="1">IFERROR(__xludf.DUMMYFUNCTION("""COMPUTED_VALUE"""),"No")</f>
        <v>No</v>
      </c>
      <c r="Z1233" s="1"/>
      <c r="AA1233" s="1" t="str">
        <f ca="1">IFERROR(__xludf.DUMMYFUNCTION("""COMPUTED_VALUE"""),"No")</f>
        <v>No</v>
      </c>
      <c r="AB1233" s="1" t="str">
        <f ca="1">IFERROR(__xludf.DUMMYFUNCTION("""COMPUTED_VALUE"""),"No")</f>
        <v>No</v>
      </c>
      <c r="AC1233" s="1" t="str">
        <f ca="1">IFERROR(__xludf.DUMMYFUNCTION("""COMPUTED_VALUE"""),"No")</f>
        <v>No</v>
      </c>
      <c r="AD1233" s="1" t="str">
        <f ca="1">IFERROR(__xludf.DUMMYFUNCTION("""COMPUTED_VALUE"""),"No")</f>
        <v>No</v>
      </c>
      <c r="AE1233" s="1" t="str">
        <f ca="1">IFERROR(__xludf.DUMMYFUNCTION("""COMPUTED_VALUE"""),"Yes")</f>
        <v>Yes</v>
      </c>
      <c r="AF1233" s="1" t="str">
        <f ca="1">IFERROR(__xludf.DUMMYFUNCTION("""COMPUTED_VALUE"""),"No")</f>
        <v>No</v>
      </c>
      <c r="AG1233" s="1" t="str">
        <f ca="1">IFERROR(__xludf.DUMMYFUNCTION("""COMPUTED_VALUE"""),"No")</f>
        <v>No</v>
      </c>
      <c r="AH1233" s="1">
        <f ca="1">IFERROR(__xludf.DUMMYFUNCTION("""COMPUTED_VALUE"""),1)</f>
        <v>1</v>
      </c>
    </row>
    <row r="1234" spans="1:34" ht="12.5">
      <c r="A1234" s="1" t="str">
        <f ca="1">IFERROR(__xludf.DUMMYFUNCTION("""COMPUTED_VALUE"""),"20190116MNNOM")</f>
        <v>20190116MNNOM</v>
      </c>
      <c r="B1234" s="1">
        <f ca="1">IFERROR(__xludf.DUMMYFUNCTION("""COMPUTED_VALUE"""),1)</f>
        <v>1</v>
      </c>
      <c r="C1234" s="1">
        <f ca="1">IFERROR(__xludf.DUMMYFUNCTION("""COMPUTED_VALUE"""),16)</f>
        <v>16</v>
      </c>
      <c r="D1234" s="1">
        <f ca="1">IFERROR(__xludf.DUMMYFUNCTION("""COMPUTED_VALUE"""),2019)</f>
        <v>2019</v>
      </c>
      <c r="E1234" s="4">
        <f ca="1">IFERROR(__xludf.DUMMYFUNCTION("""COMPUTED_VALUE"""),43481)</f>
        <v>43481</v>
      </c>
      <c r="F1234" s="1" t="str">
        <f ca="1">IFERROR(__xludf.DUMMYFUNCTION("""COMPUTED_VALUE"""),"North High School")</f>
        <v>North High School</v>
      </c>
      <c r="G1234" s="1">
        <f ca="1">IFERROR(__xludf.DUMMYFUNCTION("""COMPUTED_VALUE"""),0)</f>
        <v>0</v>
      </c>
      <c r="H1234" s="1">
        <f ca="1">IFERROR(__xludf.DUMMYFUNCTION("""COMPUTED_VALUE"""),0)</f>
        <v>0</v>
      </c>
      <c r="I1234" s="1">
        <f ca="1">IFERROR(__xludf.DUMMYFUNCTION("""COMPUTED_VALUE"""),0)</f>
        <v>0</v>
      </c>
      <c r="J1234" s="1">
        <f ca="1">IFERROR(__xludf.DUMMYFUNCTION("""COMPUTED_VALUE"""),0)</f>
        <v>0</v>
      </c>
      <c r="K1234" s="1" t="str">
        <f ca="1">IFERROR(__xludf.DUMMYFUNCTION("""COMPUTED_VALUE"""),"Winter")</f>
        <v>Winter</v>
      </c>
      <c r="L1234" s="1" t="str">
        <f ca="1">IFERROR(__xludf.DUMMYFUNCTION("""COMPUTED_VALUE"""),"Minneapolis")</f>
        <v>Minneapolis</v>
      </c>
      <c r="M1234" s="1" t="str">
        <f ca="1">IFERROR(__xludf.DUMMYFUNCTION("""COMPUTED_VALUE"""),"MN")</f>
        <v>MN</v>
      </c>
      <c r="N1234" s="1" t="str">
        <f ca="1">IFERROR(__xludf.DUMMYFUNCTION("""COMPUTED_VALUE"""),"High")</f>
        <v>High</v>
      </c>
      <c r="O1234" s="1" t="str">
        <f ca="1">IFERROR(__xludf.DUMMYFUNCTION("""COMPUTED_VALUE"""),"Front of School")</f>
        <v>Front of School</v>
      </c>
      <c r="P1234" s="1" t="str">
        <f ca="1">IFERROR(__xludf.DUMMYFUNCTION("""COMPUTED_VALUE"""),"Outside on School Property")</f>
        <v>Outside on School Property</v>
      </c>
      <c r="Q1234" s="1" t="str">
        <f ca="1">IFERROR(__xludf.DUMMYFUNCTION("""COMPUTED_VALUE"""),"Yes")</f>
        <v>Yes</v>
      </c>
      <c r="R1234" s="1" t="str">
        <f ca="1">IFERROR(__xludf.DUMMYFUNCTION("""COMPUTED_VALUE"""),"Afternoon Classes")</f>
        <v>Afternoon Classes</v>
      </c>
      <c r="S1234" s="5">
        <f ca="1">IFERROR(__xludf.DUMMYFUNCTION("""COMPUTED_VALUE"""),0.520833333333333)</f>
        <v>0.52083333333333304</v>
      </c>
      <c r="T1234" s="1">
        <f ca="1">IFERROR(__xludf.DUMMYFUNCTION("""COMPUTED_VALUE"""),1)</f>
        <v>1</v>
      </c>
      <c r="U1234" s="1" t="str">
        <f ca="1">IFERROR(__xludf.DUMMYFUNCTION("""COMPUTED_VALUE"""),"Shots fired into the front entry of the school")</f>
        <v>Shots fired into the front entry of the school</v>
      </c>
      <c r="V1234" s="1" t="str">
        <f ca="1">IFERROR(__xludf.DUMMYFUNCTION("""COMPUTED_VALUE"""),"Students and staff are safe after gunshots fired outside Minneapolis North High School went into the building near the front entrance, according to Minneapolis Public Schools (MPS). The shots were fired around 12:30 p.m. by the sidewalk west of the inters"&amp;"ection of 15th Avenue and Irving Avenue.")</f>
        <v>Students and staff are safe after gunshots fired outside Minneapolis North High School went into the building near the front entrance, according to Minneapolis Public Schools (MPS). The shots were fired around 12:30 p.m. by the sidewalk west of the intersection of 15th Avenue and Irving Avenue.</v>
      </c>
      <c r="W1234" s="1"/>
      <c r="X1234" s="1"/>
      <c r="Y1234" s="1" t="str">
        <f ca="1">IFERROR(__xludf.DUMMYFUNCTION("""COMPUTED_VALUE"""),"No")</f>
        <v>No</v>
      </c>
      <c r="Z1234" s="1"/>
      <c r="AA1234" s="1" t="str">
        <f ca="1">IFERROR(__xludf.DUMMYFUNCTION("""COMPUTED_VALUE"""),"No")</f>
        <v>No</v>
      </c>
      <c r="AB1234" s="1" t="str">
        <f ca="1">IFERROR(__xludf.DUMMYFUNCTION("""COMPUTED_VALUE"""),"No")</f>
        <v>No</v>
      </c>
      <c r="AC1234" s="1" t="str">
        <f ca="1">IFERROR(__xludf.DUMMYFUNCTION("""COMPUTED_VALUE"""),"No")</f>
        <v>No</v>
      </c>
      <c r="AD1234" s="1" t="str">
        <f ca="1">IFERROR(__xludf.DUMMYFUNCTION("""COMPUTED_VALUE"""),"No")</f>
        <v>No</v>
      </c>
      <c r="AE1234" s="1" t="str">
        <f ca="1">IFERROR(__xludf.DUMMYFUNCTION("""COMPUTED_VALUE"""),"No")</f>
        <v>No</v>
      </c>
      <c r="AF1234" s="1"/>
      <c r="AG1234" s="1" t="str">
        <f ca="1">IFERROR(__xludf.DUMMYFUNCTION("""COMPUTED_VALUE"""),"No")</f>
        <v>No</v>
      </c>
      <c r="AH1234" s="1">
        <f ca="1">IFERROR(__xludf.DUMMYFUNCTION("""COMPUTED_VALUE"""),99)</f>
        <v>99</v>
      </c>
    </row>
    <row r="1235" spans="1:34" ht="12.5">
      <c r="A1235" s="1" t="str">
        <f ca="1">IFERROR(__xludf.DUMMYFUNCTION("""COMPUTED_VALUE"""),"20190111ORCAE")</f>
        <v>20190111ORCAE</v>
      </c>
      <c r="B1235" s="1">
        <f ca="1">IFERROR(__xludf.DUMMYFUNCTION("""COMPUTED_VALUE"""),1)</f>
        <v>1</v>
      </c>
      <c r="C1235" s="1">
        <f ca="1">IFERROR(__xludf.DUMMYFUNCTION("""COMPUTED_VALUE"""),11)</f>
        <v>11</v>
      </c>
      <c r="D1235" s="1">
        <f ca="1">IFERROR(__xludf.DUMMYFUNCTION("""COMPUTED_VALUE"""),2019)</f>
        <v>2019</v>
      </c>
      <c r="E1235" s="4">
        <f ca="1">IFERROR(__xludf.DUMMYFUNCTION("""COMPUTED_VALUE"""),43476)</f>
        <v>43476</v>
      </c>
      <c r="F1235" s="1" t="str">
        <f ca="1">IFERROR(__xludf.DUMMYFUNCTION("""COMPUTED_VALUE"""),"Cascade Middle School")</f>
        <v>Cascade Middle School</v>
      </c>
      <c r="G1235" s="1">
        <f ca="1">IFERROR(__xludf.DUMMYFUNCTION("""COMPUTED_VALUE"""),1)</f>
        <v>1</v>
      </c>
      <c r="H1235" s="1">
        <f ca="1">IFERROR(__xludf.DUMMYFUNCTION("""COMPUTED_VALUE"""),0)</f>
        <v>0</v>
      </c>
      <c r="I1235" s="1">
        <f ca="1">IFERROR(__xludf.DUMMYFUNCTION("""COMPUTED_VALUE"""),1)</f>
        <v>1</v>
      </c>
      <c r="J1235" s="1">
        <f ca="1">IFERROR(__xludf.DUMMYFUNCTION("""COMPUTED_VALUE"""),0)</f>
        <v>0</v>
      </c>
      <c r="K1235" s="1" t="str">
        <f ca="1">IFERROR(__xludf.DUMMYFUNCTION("""COMPUTED_VALUE"""),"Winter")</f>
        <v>Winter</v>
      </c>
      <c r="L1235" s="1" t="str">
        <f ca="1">IFERROR(__xludf.DUMMYFUNCTION("""COMPUTED_VALUE"""),"Eugene")</f>
        <v>Eugene</v>
      </c>
      <c r="M1235" s="1" t="str">
        <f ca="1">IFERROR(__xludf.DUMMYFUNCTION("""COMPUTED_VALUE"""),"OR")</f>
        <v>OR</v>
      </c>
      <c r="N1235" s="1" t="str">
        <f ca="1">IFERROR(__xludf.DUMMYFUNCTION("""COMPUTED_VALUE"""),"Middle")</f>
        <v>Middle</v>
      </c>
      <c r="O1235" s="1" t="str">
        <f ca="1">IFERROR(__xludf.DUMMYFUNCTION("""COMPUTED_VALUE"""),"Front of School")</f>
        <v>Front of School</v>
      </c>
      <c r="P1235" s="1" t="str">
        <f ca="1">IFERROR(__xludf.DUMMYFUNCTION("""COMPUTED_VALUE"""),"Outside on School Property")</f>
        <v>Outside on School Property</v>
      </c>
      <c r="Q1235" s="1" t="str">
        <f ca="1">IFERROR(__xludf.DUMMYFUNCTION("""COMPUTED_VALUE"""),"Yes")</f>
        <v>Yes</v>
      </c>
      <c r="R1235" s="1" t="str">
        <f ca="1">IFERROR(__xludf.DUMMYFUNCTION("""COMPUTED_VALUE"""),"Morning Classes")</f>
        <v>Morning Classes</v>
      </c>
      <c r="S1235" s="5">
        <f ca="1">IFERROR(__xludf.DUMMYFUNCTION("""COMPUTED_VALUE"""),0.435416666666666)</f>
        <v>0.43541666666666601</v>
      </c>
      <c r="T1235" s="1">
        <f ca="1">IFERROR(__xludf.DUMMYFUNCTION("""COMPUTED_VALUE"""),1)</f>
        <v>1</v>
      </c>
      <c r="U1235" s="1" t="str">
        <f ca="1">IFERROR(__xludf.DUMMYFUNCTION("""COMPUTED_VALUE"""),"Parent with gun shot by police following custody dispute")</f>
        <v>Parent with gun shot by police following custody dispute</v>
      </c>
      <c r="V1235" s="1" t="str">
        <f ca="1">IFERROR(__xludf.DUMMYFUNCTION("""COMPUTED_VALUE"""),"Police responded to school for custody dispute involving an adult male. While escorting the parent from the school, he pulled a handgun and was fatally shot by police officers. School was locked down for 3 hours.")</f>
        <v>Police responded to school for custody dispute involving an adult male. While escorting the parent from the school, he pulled a handgun and was fatally shot by police officers. School was locked down for 3 hours.</v>
      </c>
      <c r="W1235" s="1" t="str">
        <f ca="1">IFERROR(__xludf.DUMMYFUNCTION("""COMPUTED_VALUE"""),"Domestic w/ Targeted Victim")</f>
        <v>Domestic w/ Targeted Victim</v>
      </c>
      <c r="X1235" s="1" t="str">
        <f ca="1">IFERROR(__xludf.DUMMYFUNCTION("""COMPUTED_VALUE"""),"Victims Targeted")</f>
        <v>Victims Targeted</v>
      </c>
      <c r="Y1235" s="1" t="str">
        <f ca="1">IFERROR(__xludf.DUMMYFUNCTION("""COMPUTED_VALUE"""),"No")</f>
        <v>No</v>
      </c>
      <c r="Z1235" s="1"/>
      <c r="AA1235" s="1" t="str">
        <f ca="1">IFERROR(__xludf.DUMMYFUNCTION("""COMPUTED_VALUE"""),"No")</f>
        <v>No</v>
      </c>
      <c r="AB1235" s="1" t="str">
        <f ca="1">IFERROR(__xludf.DUMMYFUNCTION("""COMPUTED_VALUE"""),"No")</f>
        <v>No</v>
      </c>
      <c r="AC1235" s="1" t="str">
        <f ca="1">IFERROR(__xludf.DUMMYFUNCTION("""COMPUTED_VALUE"""),"No")</f>
        <v>No</v>
      </c>
      <c r="AD1235" s="1" t="str">
        <f ca="1">IFERROR(__xludf.DUMMYFUNCTION("""COMPUTED_VALUE"""),"No")</f>
        <v>No</v>
      </c>
      <c r="AE1235" s="1" t="str">
        <f ca="1">IFERROR(__xludf.DUMMYFUNCTION("""COMPUTED_VALUE"""),"No")</f>
        <v>No</v>
      </c>
      <c r="AF1235" s="1" t="str">
        <f ca="1">IFERROR(__xludf.DUMMYFUNCTION("""COMPUTED_VALUE"""),"No")</f>
        <v>No</v>
      </c>
      <c r="AG1235" s="1" t="str">
        <f ca="1">IFERROR(__xludf.DUMMYFUNCTION("""COMPUTED_VALUE"""),"No")</f>
        <v>No</v>
      </c>
      <c r="AH1235" s="1"/>
    </row>
    <row r="1236" spans="1:34" ht="12.5">
      <c r="A1236" s="1" t="str">
        <f ca="1">IFERROR(__xludf.DUMMYFUNCTION("""COMPUTED_VALUE"""),"20190107CACEB")</f>
        <v>20190107CACEB</v>
      </c>
      <c r="B1236" s="1">
        <f ca="1">IFERROR(__xludf.DUMMYFUNCTION("""COMPUTED_VALUE"""),1)</f>
        <v>1</v>
      </c>
      <c r="C1236" s="1">
        <f ca="1">IFERROR(__xludf.DUMMYFUNCTION("""COMPUTED_VALUE"""),7)</f>
        <v>7</v>
      </c>
      <c r="D1236" s="1">
        <f ca="1">IFERROR(__xludf.DUMMYFUNCTION("""COMPUTED_VALUE"""),2019)</f>
        <v>2019</v>
      </c>
      <c r="E1236" s="4">
        <f ca="1">IFERROR(__xludf.DUMMYFUNCTION("""COMPUTED_VALUE"""),43472)</f>
        <v>43472</v>
      </c>
      <c r="F1236" s="1" t="str">
        <f ca="1">IFERROR(__xludf.DUMMYFUNCTION("""COMPUTED_VALUE"""),"Central Elementary School")</f>
        <v>Central Elementary School</v>
      </c>
      <c r="G1236" s="1">
        <f ca="1">IFERROR(__xludf.DUMMYFUNCTION("""COMPUTED_VALUE"""),1)</f>
        <v>1</v>
      </c>
      <c r="H1236" s="1">
        <f ca="1">IFERROR(__xludf.DUMMYFUNCTION("""COMPUTED_VALUE"""),0)</f>
        <v>0</v>
      </c>
      <c r="I1236" s="1">
        <f ca="1">IFERROR(__xludf.DUMMYFUNCTION("""COMPUTED_VALUE"""),1)</f>
        <v>1</v>
      </c>
      <c r="J1236" s="1">
        <f ca="1">IFERROR(__xludf.DUMMYFUNCTION("""COMPUTED_VALUE"""),0)</f>
        <v>0</v>
      </c>
      <c r="K1236" s="1" t="str">
        <f ca="1">IFERROR(__xludf.DUMMYFUNCTION("""COMPUTED_VALUE"""),"Winter")</f>
        <v>Winter</v>
      </c>
      <c r="L1236" s="1" t="str">
        <f ca="1">IFERROR(__xludf.DUMMYFUNCTION("""COMPUTED_VALUE"""),"Belmont")</f>
        <v>Belmont</v>
      </c>
      <c r="M1236" s="1" t="str">
        <f ca="1">IFERROR(__xludf.DUMMYFUNCTION("""COMPUTED_VALUE"""),"CA")</f>
        <v>CA</v>
      </c>
      <c r="N1236" s="1" t="str">
        <f ca="1">IFERROR(__xludf.DUMMYFUNCTION("""COMPUTED_VALUE"""),"Elementary")</f>
        <v>Elementary</v>
      </c>
      <c r="O1236" s="1" t="str">
        <f ca="1">IFERROR(__xludf.DUMMYFUNCTION("""COMPUTED_VALUE"""),"Parking Lot")</f>
        <v>Parking Lot</v>
      </c>
      <c r="P1236" s="1" t="str">
        <f ca="1">IFERROR(__xludf.DUMMYFUNCTION("""COMPUTED_VALUE"""),"Off School Property")</f>
        <v>Off School Property</v>
      </c>
      <c r="Q1236" s="1" t="str">
        <f ca="1">IFERROR(__xludf.DUMMYFUNCTION("""COMPUTED_VALUE"""),"No")</f>
        <v>No</v>
      </c>
      <c r="R1236" s="1" t="str">
        <f ca="1">IFERROR(__xludf.DUMMYFUNCTION("""COMPUTED_VALUE"""),"Night")</f>
        <v>Night</v>
      </c>
      <c r="S1236" s="5">
        <f ca="1">IFERROR(__xludf.DUMMYFUNCTION("""COMPUTED_VALUE"""),0.958333333333333)</f>
        <v>0.95833333333333304</v>
      </c>
      <c r="T1236" s="1">
        <f ca="1">IFERROR(__xludf.DUMMYFUNCTION("""COMPUTED_VALUE"""),1)</f>
        <v>1</v>
      </c>
      <c r="U1236" s="1" t="str">
        <f ca="1">IFERROR(__xludf.DUMMYFUNCTION("""COMPUTED_VALUE"""),"17YOM high school student shot in elementary school parking lot")</f>
        <v>17YOM high school student shot in elementary school parking lot</v>
      </c>
      <c r="V1236" s="1" t="str">
        <f ca="1">IFERROR(__xludf.DUMMYFUNCTION("""COMPUTED_VALUE"""),"17YOM varsity athlete shot and killed in elementary school parking lot. Shooter fled the scene. Shooting occurred at night when the school was closed. School was closed following day while police searched for shooter in the neighborhood.")</f>
        <v>17YOM varsity athlete shot and killed in elementary school parking lot. Shooter fled the scene. Shooting occurred at night when the school was closed. School was closed following day while police searched for shooter in the neighborhood.</v>
      </c>
      <c r="W1236" s="1" t="str">
        <f ca="1">IFERROR(__xludf.DUMMYFUNCTION("""COMPUTED_VALUE"""),"Escalation of Dispute")</f>
        <v>Escalation of Dispute</v>
      </c>
      <c r="X1236" s="1" t="str">
        <f ca="1">IFERROR(__xludf.DUMMYFUNCTION("""COMPUTED_VALUE"""),"Victims Targeted")</f>
        <v>Victims Targeted</v>
      </c>
      <c r="Y1236" s="1"/>
      <c r="Z1236" s="1"/>
      <c r="AA1236" s="1" t="str">
        <f ca="1">IFERROR(__xludf.DUMMYFUNCTION("""COMPUTED_VALUE"""),"No")</f>
        <v>No</v>
      </c>
      <c r="AB1236" s="1" t="str">
        <f ca="1">IFERROR(__xludf.DUMMYFUNCTION("""COMPUTED_VALUE"""),"No")</f>
        <v>No</v>
      </c>
      <c r="AC1236" s="1" t="str">
        <f ca="1">IFERROR(__xludf.DUMMYFUNCTION("""COMPUTED_VALUE"""),"No")</f>
        <v>No</v>
      </c>
      <c r="AD1236" s="1" t="str">
        <f ca="1">IFERROR(__xludf.DUMMYFUNCTION("""COMPUTED_VALUE"""),"No")</f>
        <v>No</v>
      </c>
      <c r="AE1236" s="1" t="str">
        <f ca="1">IFERROR(__xludf.DUMMYFUNCTION("""COMPUTED_VALUE"""),"No")</f>
        <v>No</v>
      </c>
      <c r="AF1236" s="1" t="str">
        <f ca="1">IFERROR(__xludf.DUMMYFUNCTION("""COMPUTED_VALUE"""),"No")</f>
        <v>No</v>
      </c>
      <c r="AG1236" s="1" t="str">
        <f ca="1">IFERROR(__xludf.DUMMYFUNCTION("""COMPUTED_VALUE"""),"No")</f>
        <v>No</v>
      </c>
      <c r="AH1236" s="1"/>
    </row>
    <row r="1237" spans="1:34" ht="12.5">
      <c r="A1237" s="1" t="str">
        <f ca="1">IFERROR(__xludf.DUMMYFUNCTION("""COMPUTED_VALUE"""),"20181218DEAIG")</f>
        <v>20181218DEAIG</v>
      </c>
      <c r="B1237" s="1">
        <f ca="1">IFERROR(__xludf.DUMMYFUNCTION("""COMPUTED_VALUE"""),12)</f>
        <v>12</v>
      </c>
      <c r="C1237" s="1">
        <f ca="1">IFERROR(__xludf.DUMMYFUNCTION("""COMPUTED_VALUE"""),18)</f>
        <v>18</v>
      </c>
      <c r="D1237" s="1">
        <f ca="1">IFERROR(__xludf.DUMMYFUNCTION("""COMPUTED_VALUE"""),2018)</f>
        <v>2018</v>
      </c>
      <c r="E1237" s="4">
        <f ca="1">IFERROR(__xludf.DUMMYFUNCTION("""COMPUTED_VALUE"""),43452)</f>
        <v>43452</v>
      </c>
      <c r="F1237" s="1" t="str">
        <f ca="1">IFERROR(__xludf.DUMMYFUNCTION("""COMPUTED_VALUE"""),"A I du Pont High School")</f>
        <v>A I du Pont High School</v>
      </c>
      <c r="G1237" s="1">
        <f ca="1">IFERROR(__xludf.DUMMYFUNCTION("""COMPUTED_VALUE"""),0)</f>
        <v>0</v>
      </c>
      <c r="H1237" s="1">
        <f ca="1">IFERROR(__xludf.DUMMYFUNCTION("""COMPUTED_VALUE"""),0)</f>
        <v>0</v>
      </c>
      <c r="I1237" s="1">
        <f ca="1">IFERROR(__xludf.DUMMYFUNCTION("""COMPUTED_VALUE"""),0)</f>
        <v>0</v>
      </c>
      <c r="J1237" s="1">
        <f ca="1">IFERROR(__xludf.DUMMYFUNCTION("""COMPUTED_VALUE"""),0)</f>
        <v>0</v>
      </c>
      <c r="K1237" s="1" t="str">
        <f ca="1">IFERROR(__xludf.DUMMYFUNCTION("""COMPUTED_VALUE"""),"Winter")</f>
        <v>Winter</v>
      </c>
      <c r="L1237" s="1" t="str">
        <f ca="1">IFERROR(__xludf.DUMMYFUNCTION("""COMPUTED_VALUE"""),"Greenville")</f>
        <v>Greenville</v>
      </c>
      <c r="M1237" s="1" t="str">
        <f ca="1">IFERROR(__xludf.DUMMYFUNCTION("""COMPUTED_VALUE"""),"DE")</f>
        <v>DE</v>
      </c>
      <c r="N1237" s="1" t="str">
        <f ca="1">IFERROR(__xludf.DUMMYFUNCTION("""COMPUTED_VALUE"""),"High")</f>
        <v>High</v>
      </c>
      <c r="O1237" s="1" t="str">
        <f ca="1">IFERROR(__xludf.DUMMYFUNCTION("""COMPUTED_VALUE"""),"Parking Lot")</f>
        <v>Parking Lot</v>
      </c>
      <c r="P1237" s="1" t="str">
        <f ca="1">IFERROR(__xludf.DUMMYFUNCTION("""COMPUTED_VALUE"""),"Outside on School Property")</f>
        <v>Outside on School Property</v>
      </c>
      <c r="Q1237" s="1" t="str">
        <f ca="1">IFERROR(__xludf.DUMMYFUNCTION("""COMPUTED_VALUE"""),"No")</f>
        <v>No</v>
      </c>
      <c r="R1237" s="1" t="str">
        <f ca="1">IFERROR(__xludf.DUMMYFUNCTION("""COMPUTED_VALUE"""),"Sport Event")</f>
        <v>Sport Event</v>
      </c>
      <c r="S1237" s="5">
        <f ca="1">IFERROR(__xludf.DUMMYFUNCTION("""COMPUTED_VALUE"""),0.822916666666666)</f>
        <v>0.82291666666666596</v>
      </c>
      <c r="T1237" s="1">
        <f ca="1">IFERROR(__xludf.DUMMYFUNCTION("""COMPUTED_VALUE"""),1)</f>
        <v>1</v>
      </c>
      <c r="U1237" s="1" t="str">
        <f ca="1">IFERROR(__xludf.DUMMYFUNCTION("""COMPUTED_VALUE"""),"Shots fired in parking lot after basketball game, vehicle struck")</f>
        <v>Shots fired in parking lot after basketball game, vehicle struck</v>
      </c>
      <c r="V1237" s="1" t="str">
        <f ca="1">IFERROR(__xludf.DUMMYFUNCTION("""COMPUTED_VALUE"""),"Shots fired in school parking lot following basketball game. Students inside the school for other activities were locked down. No injuries. No suspect identified. Two vehicles in parking lot were damaged by gunshots.")</f>
        <v>Shots fired in school parking lot following basketball game. Students inside the school for other activities were locked down. No injuries. No suspect identified. Two vehicles in parking lot were damaged by gunshots.</v>
      </c>
      <c r="W1237" s="1" t="str">
        <f ca="1">IFERROR(__xludf.DUMMYFUNCTION("""COMPUTED_VALUE"""),"Escalation of Dispute")</f>
        <v>Escalation of Dispute</v>
      </c>
      <c r="X1237" s="1"/>
      <c r="Y1237" s="1"/>
      <c r="Z1237" s="1"/>
      <c r="AA1237" s="1" t="str">
        <f ca="1">IFERROR(__xludf.DUMMYFUNCTION("""COMPUTED_VALUE"""),"No")</f>
        <v>No</v>
      </c>
      <c r="AB1237" s="1" t="str">
        <f ca="1">IFERROR(__xludf.DUMMYFUNCTION("""COMPUTED_VALUE"""),"No")</f>
        <v>No</v>
      </c>
      <c r="AC1237" s="1" t="str">
        <f ca="1">IFERROR(__xludf.DUMMYFUNCTION("""COMPUTED_VALUE"""),"No")</f>
        <v>No</v>
      </c>
      <c r="AD1237" s="1" t="str">
        <f ca="1">IFERROR(__xludf.DUMMYFUNCTION("""COMPUTED_VALUE"""),"No")</f>
        <v>No</v>
      </c>
      <c r="AE1237" s="1" t="str">
        <f ca="1">IFERROR(__xludf.DUMMYFUNCTION("""COMPUTED_VALUE"""),"No")</f>
        <v>No</v>
      </c>
      <c r="AF1237" s="1" t="str">
        <f ca="1">IFERROR(__xludf.DUMMYFUNCTION("""COMPUTED_VALUE"""),"No")</f>
        <v>No</v>
      </c>
      <c r="AG1237" s="1" t="str">
        <f ca="1">IFERROR(__xludf.DUMMYFUNCTION("""COMPUTED_VALUE"""),"No")</f>
        <v>No</v>
      </c>
      <c r="AH1237" s="1"/>
    </row>
    <row r="1238" spans="1:34" ht="12.5">
      <c r="A1238" s="1" t="str">
        <f ca="1">IFERROR(__xludf.DUMMYFUNCTION("""COMPUTED_VALUE"""),"20181214MOWIK")</f>
        <v>20181214MOWIK</v>
      </c>
      <c r="B1238" s="1">
        <f ca="1">IFERROR(__xludf.DUMMYFUNCTION("""COMPUTED_VALUE"""),12)</f>
        <v>12</v>
      </c>
      <c r="C1238" s="1">
        <f ca="1">IFERROR(__xludf.DUMMYFUNCTION("""COMPUTED_VALUE"""),14)</f>
        <v>14</v>
      </c>
      <c r="D1238" s="1">
        <f ca="1">IFERROR(__xludf.DUMMYFUNCTION("""COMPUTED_VALUE"""),2018)</f>
        <v>2018</v>
      </c>
      <c r="E1238" s="4">
        <f ca="1">IFERROR(__xludf.DUMMYFUNCTION("""COMPUTED_VALUE"""),43448)</f>
        <v>43448</v>
      </c>
      <c r="F1238" s="1" t="str">
        <f ca="1">IFERROR(__xludf.DUMMYFUNCTION("""COMPUTED_VALUE"""),"Winnetonka High School")</f>
        <v>Winnetonka High School</v>
      </c>
      <c r="G1238" s="1">
        <f ca="1">IFERROR(__xludf.DUMMYFUNCTION("""COMPUTED_VALUE"""),0)</f>
        <v>0</v>
      </c>
      <c r="H1238" s="1">
        <f ca="1">IFERROR(__xludf.DUMMYFUNCTION("""COMPUTED_VALUE"""),0)</f>
        <v>0</v>
      </c>
      <c r="I1238" s="1">
        <f ca="1">IFERROR(__xludf.DUMMYFUNCTION("""COMPUTED_VALUE"""),0)</f>
        <v>0</v>
      </c>
      <c r="J1238" s="1">
        <f ca="1">IFERROR(__xludf.DUMMYFUNCTION("""COMPUTED_VALUE"""),0)</f>
        <v>0</v>
      </c>
      <c r="K1238" s="1" t="str">
        <f ca="1">IFERROR(__xludf.DUMMYFUNCTION("""COMPUTED_VALUE"""),"Winter")</f>
        <v>Winter</v>
      </c>
      <c r="L1238" s="1" t="str">
        <f ca="1">IFERROR(__xludf.DUMMYFUNCTION("""COMPUTED_VALUE"""),"Kansas City")</f>
        <v>Kansas City</v>
      </c>
      <c r="M1238" s="1" t="str">
        <f ca="1">IFERROR(__xludf.DUMMYFUNCTION("""COMPUTED_VALUE"""),"MO")</f>
        <v>MO</v>
      </c>
      <c r="N1238" s="1" t="str">
        <f ca="1">IFERROR(__xludf.DUMMYFUNCTION("""COMPUTED_VALUE"""),"High")</f>
        <v>High</v>
      </c>
      <c r="O1238" s="1" t="str">
        <f ca="1">IFERROR(__xludf.DUMMYFUNCTION("""COMPUTED_VALUE"""),"Parking Lot")</f>
        <v>Parking Lot</v>
      </c>
      <c r="P1238" s="1" t="str">
        <f ca="1">IFERROR(__xludf.DUMMYFUNCTION("""COMPUTED_VALUE"""),"Outside on School Property")</f>
        <v>Outside on School Property</v>
      </c>
      <c r="Q1238" s="1" t="str">
        <f ca="1">IFERROR(__xludf.DUMMYFUNCTION("""COMPUTED_VALUE"""),"Yes")</f>
        <v>Yes</v>
      </c>
      <c r="R1238" s="1" t="str">
        <f ca="1">IFERROR(__xludf.DUMMYFUNCTION("""COMPUTED_VALUE"""),"Dismissal")</f>
        <v>Dismissal</v>
      </c>
      <c r="S1238" s="5">
        <f ca="1">IFERROR(__xludf.DUMMYFUNCTION("""COMPUTED_VALUE"""),0.625)</f>
        <v>0.625</v>
      </c>
      <c r="T1238" s="1">
        <f ca="1">IFERROR(__xludf.DUMMYFUNCTION("""COMPUTED_VALUE"""),1)</f>
        <v>1</v>
      </c>
      <c r="U1238" s="1" t="str">
        <f ca="1">IFERROR(__xludf.DUMMYFUNCTION("""COMPUTED_VALUE"""),"Student fired gun into air in parking lot. School locked down.")</f>
        <v>Student fired gun into air in parking lot. School locked down.</v>
      </c>
      <c r="V1238" s="1" t="str">
        <f ca="1">IFERROR(__xludf.DUMMYFUNCTION("""COMPUTED_VALUE"""),"Student fired gun into the air in the school parking lot during dismissal. The students still in the school were locked down. Shooter fled the area. No injuries reported.")</f>
        <v>Student fired gun into the air in the school parking lot during dismissal. The students still in the school were locked down. Shooter fled the area. No injuries reported.</v>
      </c>
      <c r="W1238" s="1" t="str">
        <f ca="1">IFERROR(__xludf.DUMMYFUNCTION("""COMPUTED_VALUE"""),"Escalation of Dispute")</f>
        <v>Escalation of Dispute</v>
      </c>
      <c r="X1238" s="1" t="str">
        <f ca="1">IFERROR(__xludf.DUMMYFUNCTION("""COMPUTED_VALUE"""),"Neither")</f>
        <v>Neither</v>
      </c>
      <c r="Y1238" s="1"/>
      <c r="Z1238" s="1"/>
      <c r="AA1238" s="1" t="str">
        <f ca="1">IFERROR(__xludf.DUMMYFUNCTION("""COMPUTED_VALUE"""),"No")</f>
        <v>No</v>
      </c>
      <c r="AB1238" s="1" t="str">
        <f ca="1">IFERROR(__xludf.DUMMYFUNCTION("""COMPUTED_VALUE"""),"No")</f>
        <v>No</v>
      </c>
      <c r="AC1238" s="1" t="str">
        <f ca="1">IFERROR(__xludf.DUMMYFUNCTION("""COMPUTED_VALUE"""),"No")</f>
        <v>No</v>
      </c>
      <c r="AD1238" s="1"/>
      <c r="AE1238" s="1"/>
      <c r="AF1238" s="1"/>
      <c r="AG1238" s="1" t="str">
        <f ca="1">IFERROR(__xludf.DUMMYFUNCTION("""COMPUTED_VALUE"""),"No")</f>
        <v>No</v>
      </c>
      <c r="AH1238" s="1">
        <f ca="1">IFERROR(__xludf.DUMMYFUNCTION("""COMPUTED_VALUE"""),1)</f>
        <v>1</v>
      </c>
    </row>
    <row r="1239" spans="1:34" ht="12.5">
      <c r="A1239" s="1" t="str">
        <f ca="1">IFERROR(__xludf.DUMMYFUNCTION("""COMPUTED_VALUE"""),"20181213INDER")</f>
        <v>20181213INDER</v>
      </c>
      <c r="B1239" s="1">
        <f ca="1">IFERROR(__xludf.DUMMYFUNCTION("""COMPUTED_VALUE"""),12)</f>
        <v>12</v>
      </c>
      <c r="C1239" s="1">
        <f ca="1">IFERROR(__xludf.DUMMYFUNCTION("""COMPUTED_VALUE"""),13)</f>
        <v>13</v>
      </c>
      <c r="D1239" s="1">
        <f ca="1">IFERROR(__xludf.DUMMYFUNCTION("""COMPUTED_VALUE"""),2018)</f>
        <v>2018</v>
      </c>
      <c r="E1239" s="4">
        <f ca="1">IFERROR(__xludf.DUMMYFUNCTION("""COMPUTED_VALUE"""),43447)</f>
        <v>43447</v>
      </c>
      <c r="F1239" s="1" t="str">
        <f ca="1">IFERROR(__xludf.DUMMYFUNCTION("""COMPUTED_VALUE"""),"Dennis Intermediate School")</f>
        <v>Dennis Intermediate School</v>
      </c>
      <c r="G1239" s="1">
        <f ca="1">IFERROR(__xludf.DUMMYFUNCTION("""COMPUTED_VALUE"""),0)</f>
        <v>0</v>
      </c>
      <c r="H1239" s="1">
        <f ca="1">IFERROR(__xludf.DUMMYFUNCTION("""COMPUTED_VALUE"""),0)</f>
        <v>0</v>
      </c>
      <c r="I1239" s="1">
        <f ca="1">IFERROR(__xludf.DUMMYFUNCTION("""COMPUTED_VALUE"""),0)</f>
        <v>0</v>
      </c>
      <c r="J1239" s="1">
        <f ca="1">IFERROR(__xludf.DUMMYFUNCTION("""COMPUTED_VALUE"""),1)</f>
        <v>1</v>
      </c>
      <c r="K1239" s="1" t="str">
        <f ca="1">IFERROR(__xludf.DUMMYFUNCTION("""COMPUTED_VALUE"""),"Winter")</f>
        <v>Winter</v>
      </c>
      <c r="L1239" s="1" t="str">
        <f ca="1">IFERROR(__xludf.DUMMYFUNCTION("""COMPUTED_VALUE"""),"Richmond")</f>
        <v>Richmond</v>
      </c>
      <c r="M1239" s="1" t="str">
        <f ca="1">IFERROR(__xludf.DUMMYFUNCTION("""COMPUTED_VALUE"""),"IN")</f>
        <v>IN</v>
      </c>
      <c r="N1239" s="1" t="str">
        <f ca="1">IFERROR(__xludf.DUMMYFUNCTION("""COMPUTED_VALUE"""),"Middle")</f>
        <v>Middle</v>
      </c>
      <c r="O1239" s="1" t="str">
        <f ca="1">IFERROR(__xludf.DUMMYFUNCTION("""COMPUTED_VALUE"""),"Hallway")</f>
        <v>Hallway</v>
      </c>
      <c r="P1239" s="1" t="str">
        <f ca="1">IFERROR(__xludf.DUMMYFUNCTION("""COMPUTED_VALUE"""),"Inside School Building")</f>
        <v>Inside School Building</v>
      </c>
      <c r="Q1239" s="1" t="str">
        <f ca="1">IFERROR(__xludf.DUMMYFUNCTION("""COMPUTED_VALUE"""),"Yes")</f>
        <v>Yes</v>
      </c>
      <c r="R1239" s="1" t="str">
        <f ca="1">IFERROR(__xludf.DUMMYFUNCTION("""COMPUTED_VALUE"""),"Morning Classes")</f>
        <v>Morning Classes</v>
      </c>
      <c r="S1239" s="5">
        <f ca="1">IFERROR(__xludf.DUMMYFUNCTION("""COMPUTED_VALUE"""),0.333333333333333)</f>
        <v>0.33333333333333298</v>
      </c>
      <c r="T1239" s="1"/>
      <c r="U1239" s="1" t="str">
        <f ca="1">IFERROR(__xludf.DUMMYFUNCTION("""COMPUTED_VALUE"""),"14YOM planned attack on the school but was confronted by police on-scene thanks to a tip")</f>
        <v>14YOM planned attack on the school but was confronted by police on-scene thanks to a tip</v>
      </c>
      <c r="V1239" s="1" t="str">
        <f ca="1">IFERROR(__xludf.DUMMYFUNCTION("""COMPUTED_VALUE"""),"14YOM, former student of a school in the district, planned to shoot up the school. Police were tipped off and schools in the area were put in lockdown before shooter and police arrived. Police went straight to the school and found suspect who allegedly sh"&amp;"ot out the glass of a locked entry door to the gain entry. Shooter shot fatally himself shortly after he was engaged by police. An Indiana State Police spokesman says a 14 year-old boy who exchanged gunfire with officers at an eastern Indiana middle schoo"&amp;"l before taking his own life. He was armed with a rifle, a semi-automatic pistol, and materials that could be used to make Molotov cocktails. Extensive planning documents found by police. Intended to kill as many students as possible.
 Mother is charged"&amp;" with 6 felonies. (https://www.aol.com/article/news/2019/10/21/mary-york-school-shooter-mom-dennis-intermediate-school-felony-14 year-old/23843900/)")</f>
        <v>14YOM, former student of a school in the district, planned to shoot up the school. Police were tipped off and schools in the area were put in lockdown before shooter and police arrived. Police went straight to the school and found suspect who allegedly shot out the glass of a locked entry door to the gain entry. Shooter shot fatally himself shortly after he was engaged by police. An Indiana State Police spokesman says a 14 year-old boy who exchanged gunfire with officers at an eastern Indiana middle school before taking his own life. He was armed with a rifle, a semi-automatic pistol, and materials that could be used to make Molotov cocktails. Extensive planning documents found by police. Intended to kill as many students as possible.
 Mother is charged with 6 felonies. (https://www.aol.com/article/news/2019/10/21/mary-york-school-shooter-mom-dennis-intermediate-school-felony-14 year-old/23843900/)</v>
      </c>
      <c r="W1239" s="1" t="str">
        <f ca="1">IFERROR(__xludf.DUMMYFUNCTION("""COMPUTED_VALUE"""),"Indiscriminate Shooting")</f>
        <v>Indiscriminate Shooting</v>
      </c>
      <c r="X1239" s="1"/>
      <c r="Y1239" s="1" t="str">
        <f ca="1">IFERROR(__xludf.DUMMYFUNCTION("""COMPUTED_VALUE"""),"No")</f>
        <v>No</v>
      </c>
      <c r="Z1239" s="1"/>
      <c r="AA1239" s="1" t="str">
        <f ca="1">IFERROR(__xludf.DUMMYFUNCTION("""COMPUTED_VALUE"""),"No")</f>
        <v>No</v>
      </c>
      <c r="AB1239" s="1" t="str">
        <f ca="1">IFERROR(__xludf.DUMMYFUNCTION("""COMPUTED_VALUE"""),"No")</f>
        <v>No</v>
      </c>
      <c r="AC1239" s="1" t="str">
        <f ca="1">IFERROR(__xludf.DUMMYFUNCTION("""COMPUTED_VALUE"""),"No")</f>
        <v>No</v>
      </c>
      <c r="AD1239" s="1" t="str">
        <f ca="1">IFERROR(__xludf.DUMMYFUNCTION("""COMPUTED_VALUE"""),"Yes")</f>
        <v>Yes</v>
      </c>
      <c r="AE1239" s="1" t="str">
        <f ca="1">IFERROR(__xludf.DUMMYFUNCTION("""COMPUTED_VALUE"""),"No")</f>
        <v>No</v>
      </c>
      <c r="AF1239" s="1" t="str">
        <f ca="1">IFERROR(__xludf.DUMMYFUNCTION("""COMPUTED_VALUE"""),"No")</f>
        <v>No</v>
      </c>
      <c r="AG1239" s="1" t="str">
        <f ca="1">IFERROR(__xludf.DUMMYFUNCTION("""COMPUTED_VALUE"""),"Yes")</f>
        <v>Yes</v>
      </c>
      <c r="AH1239" s="1"/>
    </row>
    <row r="1240" spans="1:34" ht="12.5">
      <c r="A1240" s="1" t="str">
        <f ca="1">IFERROR(__xludf.DUMMYFUNCTION("""COMPUTED_VALUE"""),"20181211KYCAC")</f>
        <v>20181211KYCAC</v>
      </c>
      <c r="B1240" s="1">
        <f ca="1">IFERROR(__xludf.DUMMYFUNCTION("""COMPUTED_VALUE"""),12)</f>
        <v>12</v>
      </c>
      <c r="C1240" s="1">
        <f ca="1">IFERROR(__xludf.DUMMYFUNCTION("""COMPUTED_VALUE"""),11)</f>
        <v>11</v>
      </c>
      <c r="D1240" s="1">
        <f ca="1">IFERROR(__xludf.DUMMYFUNCTION("""COMPUTED_VALUE"""),2018)</f>
        <v>2018</v>
      </c>
      <c r="E1240" s="4">
        <f ca="1">IFERROR(__xludf.DUMMYFUNCTION("""COMPUTED_VALUE"""),43445)</f>
        <v>43445</v>
      </c>
      <c r="F1240" s="1" t="str">
        <f ca="1">IFERROR(__xludf.DUMMYFUNCTION("""COMPUTED_VALUE"""),"Cawood Elementary School")</f>
        <v>Cawood Elementary School</v>
      </c>
      <c r="G1240" s="1">
        <f ca="1">IFERROR(__xludf.DUMMYFUNCTION("""COMPUTED_VALUE"""),0)</f>
        <v>0</v>
      </c>
      <c r="H1240" s="1">
        <f ca="1">IFERROR(__xludf.DUMMYFUNCTION("""COMPUTED_VALUE"""),2)</f>
        <v>2</v>
      </c>
      <c r="I1240" s="1">
        <f ca="1">IFERROR(__xludf.DUMMYFUNCTION("""COMPUTED_VALUE"""),2)</f>
        <v>2</v>
      </c>
      <c r="J1240" s="1">
        <f ca="1">IFERROR(__xludf.DUMMYFUNCTION("""COMPUTED_VALUE"""),0)</f>
        <v>0</v>
      </c>
      <c r="K1240" s="1" t="str">
        <f ca="1">IFERROR(__xludf.DUMMYFUNCTION("""COMPUTED_VALUE"""),"Winter")</f>
        <v>Winter</v>
      </c>
      <c r="L1240" s="1" t="str">
        <f ca="1">IFERROR(__xludf.DUMMYFUNCTION("""COMPUTED_VALUE"""),"Cawood")</f>
        <v>Cawood</v>
      </c>
      <c r="M1240" s="1" t="str">
        <f ca="1">IFERROR(__xludf.DUMMYFUNCTION("""COMPUTED_VALUE"""),"KY")</f>
        <v>KY</v>
      </c>
      <c r="N1240" s="1" t="str">
        <f ca="1">IFERROR(__xludf.DUMMYFUNCTION("""COMPUTED_VALUE"""),"Elementary")</f>
        <v>Elementary</v>
      </c>
      <c r="O1240" s="1" t="str">
        <f ca="1">IFERROR(__xludf.DUMMYFUNCTION("""COMPUTED_VALUE"""),"Parking Lot")</f>
        <v>Parking Lot</v>
      </c>
      <c r="P1240" s="1" t="str">
        <f ca="1">IFERROR(__xludf.DUMMYFUNCTION("""COMPUTED_VALUE"""),"Outside on School Property")</f>
        <v>Outside on School Property</v>
      </c>
      <c r="Q1240" s="1" t="str">
        <f ca="1">IFERROR(__xludf.DUMMYFUNCTION("""COMPUTED_VALUE"""),"No")</f>
        <v>No</v>
      </c>
      <c r="R1240" s="1" t="str">
        <f ca="1">IFERROR(__xludf.DUMMYFUNCTION("""COMPUTED_VALUE"""),"Evening")</f>
        <v>Evening</v>
      </c>
      <c r="S1240" s="5">
        <f ca="1">IFERROR(__xludf.DUMMYFUNCTION("""COMPUTED_VALUE"""),0.861805555555555)</f>
        <v>0.86180555555555505</v>
      </c>
      <c r="T1240" s="1">
        <f ca="1">IFERROR(__xludf.DUMMYFUNCTION("""COMPUTED_VALUE"""),1)</f>
        <v>1</v>
      </c>
      <c r="U1240" s="1" t="str">
        <f ca="1">IFERROR(__xludf.DUMMYFUNCTION("""COMPUTED_VALUE"""),"20YOM and 15YOF shot with pellet gun in parking lot of school")</f>
        <v>20YOM and 15YOF shot with pellet gun in parking lot of school</v>
      </c>
      <c r="V1240" s="1" t="str">
        <f ca="1">IFERROR(__xludf.DUMMYFUNCTION("""COMPUTED_VALUE"""),"20YOM and 15YOF were shot by a pellet gun in the parking lot of the high school. Shooter and victims fled the area. 20YOM was shot in eye and transported to hospital. Building sustained property damage.")</f>
        <v>20YOM and 15YOF were shot by a pellet gun in the parking lot of the high school. Shooter and victims fled the area. 20YOM was shot in eye and transported to hospital. Building sustained property damage.</v>
      </c>
      <c r="W1240" s="1" t="str">
        <f ca="1">IFERROR(__xludf.DUMMYFUNCTION("""COMPUTED_VALUE"""),"Unknown")</f>
        <v>Unknown</v>
      </c>
      <c r="X1240" s="1"/>
      <c r="Y1240" s="1" t="str">
        <f ca="1">IFERROR(__xludf.DUMMYFUNCTION("""COMPUTED_VALUE"""),"Yes")</f>
        <v>Yes</v>
      </c>
      <c r="Z1240" s="1" t="str">
        <f ca="1">IFERROR(__xludf.DUMMYFUNCTION("""COMPUTED_VALUE"""),"Group fled, police investigating and 4 suspects arrested")</f>
        <v>Group fled, police investigating and 4 suspects arrested</v>
      </c>
      <c r="AA1240" s="1" t="str">
        <f ca="1">IFERROR(__xludf.DUMMYFUNCTION("""COMPUTED_VALUE"""),"No")</f>
        <v>No</v>
      </c>
      <c r="AB1240" s="1" t="str">
        <f ca="1">IFERROR(__xludf.DUMMYFUNCTION("""COMPUTED_VALUE"""),"No")</f>
        <v>No</v>
      </c>
      <c r="AC1240" s="1" t="str">
        <f ca="1">IFERROR(__xludf.DUMMYFUNCTION("""COMPUTED_VALUE"""),"No")</f>
        <v>No</v>
      </c>
      <c r="AD1240" s="1" t="str">
        <f ca="1">IFERROR(__xludf.DUMMYFUNCTION("""COMPUTED_VALUE"""),"No")</f>
        <v>No</v>
      </c>
      <c r="AE1240" s="1" t="str">
        <f ca="1">IFERROR(__xludf.DUMMYFUNCTION("""COMPUTED_VALUE"""),"No")</f>
        <v>No</v>
      </c>
      <c r="AF1240" s="1" t="str">
        <f ca="1">IFERROR(__xludf.DUMMYFUNCTION("""COMPUTED_VALUE"""),"No")</f>
        <v>No</v>
      </c>
      <c r="AG1240" s="1" t="str">
        <f ca="1">IFERROR(__xludf.DUMMYFUNCTION("""COMPUTED_VALUE"""),"No")</f>
        <v>No</v>
      </c>
      <c r="AH1240" s="1"/>
    </row>
    <row r="1241" spans="1:34" ht="12.5">
      <c r="A1241" s="1" t="str">
        <f ca="1">IFERROR(__xludf.DUMMYFUNCTION("""COMPUTED_VALUE"""),"20181210NYJEJ")</f>
        <v>20181210NYJEJ</v>
      </c>
      <c r="B1241" s="1">
        <f ca="1">IFERROR(__xludf.DUMMYFUNCTION("""COMPUTED_VALUE"""),12)</f>
        <v>12</v>
      </c>
      <c r="C1241" s="1">
        <f ca="1">IFERROR(__xludf.DUMMYFUNCTION("""COMPUTED_VALUE"""),10)</f>
        <v>10</v>
      </c>
      <c r="D1241" s="1">
        <f ca="1">IFERROR(__xludf.DUMMYFUNCTION("""COMPUTED_VALUE"""),2018)</f>
        <v>2018</v>
      </c>
      <c r="E1241" s="4">
        <f ca="1">IFERROR(__xludf.DUMMYFUNCTION("""COMPUTED_VALUE"""),43444)</f>
        <v>43444</v>
      </c>
      <c r="F1241" s="1" t="str">
        <f ca="1">IFERROR(__xludf.DUMMYFUNCTION("""COMPUTED_VALUE"""),"Jefferson High School")</f>
        <v>Jefferson High School</v>
      </c>
      <c r="G1241" s="1">
        <f ca="1">IFERROR(__xludf.DUMMYFUNCTION("""COMPUTED_VALUE"""),0)</f>
        <v>0</v>
      </c>
      <c r="H1241" s="1">
        <f ca="1">IFERROR(__xludf.DUMMYFUNCTION("""COMPUTED_VALUE"""),0)</f>
        <v>0</v>
      </c>
      <c r="I1241" s="1">
        <f ca="1">IFERROR(__xludf.DUMMYFUNCTION("""COMPUTED_VALUE"""),0)</f>
        <v>0</v>
      </c>
      <c r="J1241" s="1">
        <f ca="1">IFERROR(__xludf.DUMMYFUNCTION("""COMPUTED_VALUE"""),1)</f>
        <v>1</v>
      </c>
      <c r="K1241" s="1" t="str">
        <f ca="1">IFERROR(__xludf.DUMMYFUNCTION("""COMPUTED_VALUE"""),"Winter")</f>
        <v>Winter</v>
      </c>
      <c r="L1241" s="1" t="str">
        <f ca="1">IFERROR(__xludf.DUMMYFUNCTION("""COMPUTED_VALUE"""),"Jefferson")</f>
        <v>Jefferson</v>
      </c>
      <c r="M1241" s="1" t="str">
        <f ca="1">IFERROR(__xludf.DUMMYFUNCTION("""COMPUTED_VALUE"""),"NY")</f>
        <v>NY</v>
      </c>
      <c r="N1241" s="1" t="str">
        <f ca="1">IFERROR(__xludf.DUMMYFUNCTION("""COMPUTED_VALUE"""),"High")</f>
        <v>High</v>
      </c>
      <c r="O1241" s="1" t="str">
        <f ca="1">IFERROR(__xludf.DUMMYFUNCTION("""COMPUTED_VALUE"""),"Field (General)")</f>
        <v>Field (General)</v>
      </c>
      <c r="P1241" s="1" t="str">
        <f ca="1">IFERROR(__xludf.DUMMYFUNCTION("""COMPUTED_VALUE"""),"Outside on School Property")</f>
        <v>Outside on School Property</v>
      </c>
      <c r="Q1241" s="1" t="str">
        <f ca="1">IFERROR(__xludf.DUMMYFUNCTION("""COMPUTED_VALUE"""),"Yes")</f>
        <v>Yes</v>
      </c>
      <c r="R1241" s="1" t="str">
        <f ca="1">IFERROR(__xludf.DUMMYFUNCTION("""COMPUTED_VALUE"""),"Morning Classes")</f>
        <v>Morning Classes</v>
      </c>
      <c r="S1241" s="5">
        <f ca="1">IFERROR(__xludf.DUMMYFUNCTION("""COMPUTED_VALUE"""),0.409027777777777)</f>
        <v>0.40902777777777699</v>
      </c>
      <c r="T1241" s="1">
        <f ca="1">IFERROR(__xludf.DUMMYFUNCTION("""COMPUTED_VALUE"""),1)</f>
        <v>1</v>
      </c>
      <c r="U1241" s="1" t="str">
        <f ca="1">IFERROR(__xludf.DUMMYFUNCTION("""COMPUTED_VALUE"""),"Student commit suicide on baseball field")</f>
        <v>Student commit suicide on baseball field</v>
      </c>
      <c r="V1241" s="1" t="str">
        <f ca="1">IFERROR(__xludf.DUMMYFUNCTION("""COMPUTED_VALUE"""),"17YOM student commit suicide on the school baseball field during morning classes. School was locked down for 4 hours then dismissed.")</f>
        <v>17YOM student commit suicide on the school baseball field during morning classes. School was locked down for 4 hours then dismissed.</v>
      </c>
      <c r="W1241" s="1" t="str">
        <f ca="1">IFERROR(__xludf.DUMMYFUNCTION("""COMPUTED_VALUE"""),"Suicide/Attempted")</f>
        <v>Suicide/Attempted</v>
      </c>
      <c r="X1241" s="1" t="str">
        <f ca="1">IFERROR(__xludf.DUMMYFUNCTION("""COMPUTED_VALUE"""),"Victims Targeted")</f>
        <v>Victims Targeted</v>
      </c>
      <c r="Y1241" s="1" t="str">
        <f ca="1">IFERROR(__xludf.DUMMYFUNCTION("""COMPUTED_VALUE"""),"No")</f>
        <v>No</v>
      </c>
      <c r="Z1241" s="1"/>
      <c r="AA1241" s="1" t="str">
        <f ca="1">IFERROR(__xludf.DUMMYFUNCTION("""COMPUTED_VALUE"""),"No")</f>
        <v>No</v>
      </c>
      <c r="AB1241" s="1" t="str">
        <f ca="1">IFERROR(__xludf.DUMMYFUNCTION("""COMPUTED_VALUE"""),"No")</f>
        <v>No</v>
      </c>
      <c r="AC1241" s="1" t="str">
        <f ca="1">IFERROR(__xludf.DUMMYFUNCTION("""COMPUTED_VALUE"""),"No")</f>
        <v>No</v>
      </c>
      <c r="AD1241" s="1"/>
      <c r="AE1241" s="1" t="str">
        <f ca="1">IFERROR(__xludf.DUMMYFUNCTION("""COMPUTED_VALUE"""),"No")</f>
        <v>No</v>
      </c>
      <c r="AF1241" s="1" t="str">
        <f ca="1">IFERROR(__xludf.DUMMYFUNCTION("""COMPUTED_VALUE"""),"No")</f>
        <v>No</v>
      </c>
      <c r="AG1241" s="1" t="str">
        <f ca="1">IFERROR(__xludf.DUMMYFUNCTION("""COMPUTED_VALUE"""),"No")</f>
        <v>No</v>
      </c>
      <c r="AH1241" s="1">
        <f ca="1">IFERROR(__xludf.DUMMYFUNCTION("""COMPUTED_VALUE"""),1)</f>
        <v>1</v>
      </c>
    </row>
    <row r="1242" spans="1:34" ht="12.5">
      <c r="A1242" s="1" t="str">
        <f ca="1">IFERROR(__xludf.DUMMYFUNCTION("""COMPUTED_VALUE"""),"20181128PASTP")</f>
        <v>20181128PASTP</v>
      </c>
      <c r="B1242" s="1">
        <f ca="1">IFERROR(__xludf.DUMMYFUNCTION("""COMPUTED_VALUE"""),11)</f>
        <v>11</v>
      </c>
      <c r="C1242" s="1">
        <f ca="1">IFERROR(__xludf.DUMMYFUNCTION("""COMPUTED_VALUE"""),28)</f>
        <v>28</v>
      </c>
      <c r="D1242" s="1">
        <f ca="1">IFERROR(__xludf.DUMMYFUNCTION("""COMPUTED_VALUE"""),2018)</f>
        <v>2018</v>
      </c>
      <c r="E1242" s="4">
        <f ca="1">IFERROR(__xludf.DUMMYFUNCTION("""COMPUTED_VALUE"""),43432)</f>
        <v>43432</v>
      </c>
      <c r="F1242" s="1" t="str">
        <f ca="1">IFERROR(__xludf.DUMMYFUNCTION("""COMPUTED_VALUE"""),"Strawberry Mansion High School")</f>
        <v>Strawberry Mansion High School</v>
      </c>
      <c r="G1242" s="1">
        <f ca="1">IFERROR(__xludf.DUMMYFUNCTION("""COMPUTED_VALUE"""),0)</f>
        <v>0</v>
      </c>
      <c r="H1242" s="1">
        <f ca="1">IFERROR(__xludf.DUMMYFUNCTION("""COMPUTED_VALUE"""),0)</f>
        <v>0</v>
      </c>
      <c r="I1242" s="1">
        <f ca="1">IFERROR(__xludf.DUMMYFUNCTION("""COMPUTED_VALUE"""),0)</f>
        <v>0</v>
      </c>
      <c r="J1242" s="1">
        <f ca="1">IFERROR(__xludf.DUMMYFUNCTION("""COMPUTED_VALUE"""),0)</f>
        <v>0</v>
      </c>
      <c r="K1242" s="1" t="str">
        <f ca="1">IFERROR(__xludf.DUMMYFUNCTION("""COMPUTED_VALUE"""),"Fall")</f>
        <v>Fall</v>
      </c>
      <c r="L1242" s="1" t="str">
        <f ca="1">IFERROR(__xludf.DUMMYFUNCTION("""COMPUTED_VALUE"""),"Philadelphia")</f>
        <v>Philadelphia</v>
      </c>
      <c r="M1242" s="1" t="str">
        <f ca="1">IFERROR(__xludf.DUMMYFUNCTION("""COMPUTED_VALUE"""),"PA")</f>
        <v>PA</v>
      </c>
      <c r="N1242" s="1" t="str">
        <f ca="1">IFERROR(__xludf.DUMMYFUNCTION("""COMPUTED_VALUE"""),"High")</f>
        <v>High</v>
      </c>
      <c r="O1242" s="1" t="str">
        <f ca="1">IFERROR(__xludf.DUMMYFUNCTION("""COMPUTED_VALUE"""),"Other")</f>
        <v>Other</v>
      </c>
      <c r="P1242" s="1" t="str">
        <f ca="1">IFERROR(__xludf.DUMMYFUNCTION("""COMPUTED_VALUE"""),"Off School Property")</f>
        <v>Off School Property</v>
      </c>
      <c r="Q1242" s="1" t="str">
        <f ca="1">IFERROR(__xludf.DUMMYFUNCTION("""COMPUTED_VALUE"""),"No")</f>
        <v>No</v>
      </c>
      <c r="R1242" s="1" t="str">
        <f ca="1">IFERROR(__xludf.DUMMYFUNCTION("""COMPUTED_VALUE"""),"After School")</f>
        <v>After School</v>
      </c>
      <c r="S1242" s="5">
        <f ca="1">IFERROR(__xludf.DUMMYFUNCTION("""COMPUTED_VALUE"""),0.645833333333333)</f>
        <v>0.64583333333333304</v>
      </c>
      <c r="T1242" s="1">
        <f ca="1">IFERROR(__xludf.DUMMYFUNCTION("""COMPUTED_VALUE"""),1)</f>
        <v>1</v>
      </c>
      <c r="U1242" s="1" t="str">
        <f ca="1">IFERROR(__xludf.DUMMYFUNCTION("""COMPUTED_VALUE"""),"Stray bullet broke window of school, school locked down")</f>
        <v>Stray bullet broke window of school, school locked down</v>
      </c>
      <c r="V1242" s="1" t="str">
        <f ca="1">IFERROR(__xludf.DUMMYFUNCTION("""COMPUTED_VALUE"""),"Bullet broke window of school. No injuries to students inside. School was locked down. Police do not believe the school was targeted (stray shot). Two other shootings were reported in the neighborhood near the school the same afternoon.")</f>
        <v>Bullet broke window of school. No injuries to students inside. School was locked down. Police do not believe the school was targeted (stray shot). Two other shootings were reported in the neighborhood near the school the same afternoon.</v>
      </c>
      <c r="W1242" s="1" t="str">
        <f ca="1">IFERROR(__xludf.DUMMYFUNCTION("""COMPUTED_VALUE"""),"Unknown")</f>
        <v>Unknown</v>
      </c>
      <c r="X1242" s="1" t="str">
        <f ca="1">IFERROR(__xludf.DUMMYFUNCTION("""COMPUTED_VALUE"""),"Neither")</f>
        <v>Neither</v>
      </c>
      <c r="Y1242" s="1"/>
      <c r="Z1242" s="1"/>
      <c r="AA1242" s="1" t="str">
        <f ca="1">IFERROR(__xludf.DUMMYFUNCTION("""COMPUTED_VALUE"""),"No")</f>
        <v>No</v>
      </c>
      <c r="AB1242" s="1" t="str">
        <f ca="1">IFERROR(__xludf.DUMMYFUNCTION("""COMPUTED_VALUE"""),"No")</f>
        <v>No</v>
      </c>
      <c r="AC1242" s="1" t="str">
        <f ca="1">IFERROR(__xludf.DUMMYFUNCTION("""COMPUTED_VALUE"""),"No")</f>
        <v>No</v>
      </c>
      <c r="AD1242" s="1" t="str">
        <f ca="1">IFERROR(__xludf.DUMMYFUNCTION("""COMPUTED_VALUE"""),"No")</f>
        <v>No</v>
      </c>
      <c r="AE1242" s="1" t="str">
        <f ca="1">IFERROR(__xludf.DUMMYFUNCTION("""COMPUTED_VALUE"""),"No")</f>
        <v>No</v>
      </c>
      <c r="AF1242" s="1"/>
      <c r="AG1242" s="1" t="str">
        <f ca="1">IFERROR(__xludf.DUMMYFUNCTION("""COMPUTED_VALUE"""),"No")</f>
        <v>No</v>
      </c>
      <c r="AH1242" s="1" t="str">
        <f ca="1">IFERROR(__xludf.DUMMYFUNCTION("""COMPUTED_VALUE"""),"&lt;10")</f>
        <v>&lt;10</v>
      </c>
    </row>
    <row r="1243" spans="1:34" ht="12.5">
      <c r="A1243" s="1" t="str">
        <f ca="1">IFERROR(__xludf.DUMMYFUNCTION("""COMPUTED_VALUE"""),"20181124OHAFC")</f>
        <v>20181124OHAFC</v>
      </c>
      <c r="B1243" s="1">
        <f ca="1">IFERROR(__xludf.DUMMYFUNCTION("""COMPUTED_VALUE"""),11)</f>
        <v>11</v>
      </c>
      <c r="C1243" s="1">
        <f ca="1">IFERROR(__xludf.DUMMYFUNCTION("""COMPUTED_VALUE"""),24)</f>
        <v>24</v>
      </c>
      <c r="D1243" s="1">
        <f ca="1">IFERROR(__xludf.DUMMYFUNCTION("""COMPUTED_VALUE"""),2018)</f>
        <v>2018</v>
      </c>
      <c r="E1243" s="4">
        <f ca="1">IFERROR(__xludf.DUMMYFUNCTION("""COMPUTED_VALUE"""),43428)</f>
        <v>43428</v>
      </c>
      <c r="F1243" s="1" t="str">
        <f ca="1">IFERROR(__xludf.DUMMYFUNCTION("""COMPUTED_VALUE"""),"Africentric Early College High School")</f>
        <v>Africentric Early College High School</v>
      </c>
      <c r="G1243" s="1">
        <f ca="1">IFERROR(__xludf.DUMMYFUNCTION("""COMPUTED_VALUE"""),0)</f>
        <v>0</v>
      </c>
      <c r="H1243" s="1">
        <f ca="1">IFERROR(__xludf.DUMMYFUNCTION("""COMPUTED_VALUE"""),2)</f>
        <v>2</v>
      </c>
      <c r="I1243" s="1">
        <f ca="1">IFERROR(__xludf.DUMMYFUNCTION("""COMPUTED_VALUE"""),2)</f>
        <v>2</v>
      </c>
      <c r="J1243" s="1">
        <f ca="1">IFERROR(__xludf.DUMMYFUNCTION("""COMPUTED_VALUE"""),0)</f>
        <v>0</v>
      </c>
      <c r="K1243" s="1" t="str">
        <f ca="1">IFERROR(__xludf.DUMMYFUNCTION("""COMPUTED_VALUE"""),"Fall")</f>
        <v>Fall</v>
      </c>
      <c r="L1243" s="1" t="str">
        <f ca="1">IFERROR(__xludf.DUMMYFUNCTION("""COMPUTED_VALUE"""),"Columbus")</f>
        <v>Columbus</v>
      </c>
      <c r="M1243" s="1" t="str">
        <f ca="1">IFERROR(__xludf.DUMMYFUNCTION("""COMPUTED_VALUE"""),"OH")</f>
        <v>OH</v>
      </c>
      <c r="N1243" s="1" t="str">
        <f ca="1">IFERROR(__xludf.DUMMYFUNCTION("""COMPUTED_VALUE"""),"K-12")</f>
        <v>K-12</v>
      </c>
      <c r="O1243" s="1" t="str">
        <f ca="1">IFERROR(__xludf.DUMMYFUNCTION("""COMPUTED_VALUE"""),"Outside on School Property")</f>
        <v>Outside on School Property</v>
      </c>
      <c r="P1243" s="1" t="str">
        <f ca="1">IFERROR(__xludf.DUMMYFUNCTION("""COMPUTED_VALUE"""),"Outside on School Property")</f>
        <v>Outside on School Property</v>
      </c>
      <c r="Q1243" s="1" t="str">
        <f ca="1">IFERROR(__xludf.DUMMYFUNCTION("""COMPUTED_VALUE"""),"No")</f>
        <v>No</v>
      </c>
      <c r="R1243" s="1" t="str">
        <f ca="1">IFERROR(__xludf.DUMMYFUNCTION("""COMPUTED_VALUE"""),"Not a School Day")</f>
        <v>Not a School Day</v>
      </c>
      <c r="S1243" s="5">
        <f ca="1">IFERROR(__xludf.DUMMYFUNCTION("""COMPUTED_VALUE"""),0.75)</f>
        <v>0.75</v>
      </c>
      <c r="T1243" s="1">
        <f ca="1">IFERROR(__xludf.DUMMYFUNCTION("""COMPUTED_VALUE"""),1)</f>
        <v>1</v>
      </c>
      <c r="U1243" s="1" t="str">
        <f ca="1">IFERROR(__xludf.DUMMYFUNCTION("""COMPUTED_VALUE"""),"Two adult men shot in fight outside of school during weekend night")</f>
        <v>Two adult men shot in fight outside of school during weekend night</v>
      </c>
      <c r="V1243" s="1" t="str">
        <f ca="1">IFERROR(__xludf.DUMMYFUNCTION("""COMPUTED_VALUE"""),"Two adult males were shot following large fight on the school property. School was not in session. Fight occurred on weekend night. Shooter fled.")</f>
        <v>Two adult males were shot following large fight on the school property. School was not in session. Fight occurred on weekend night. Shooter fled.</v>
      </c>
      <c r="W1243" s="1" t="str">
        <f ca="1">IFERROR(__xludf.DUMMYFUNCTION("""COMPUTED_VALUE"""),"Escalation of Dispute")</f>
        <v>Escalation of Dispute</v>
      </c>
      <c r="X1243" s="1" t="str">
        <f ca="1">IFERROR(__xludf.DUMMYFUNCTION("""COMPUTED_VALUE"""),"Victims Targeted")</f>
        <v>Victims Targeted</v>
      </c>
      <c r="Y1243" s="1"/>
      <c r="Z1243" s="1"/>
      <c r="AA1243" s="1" t="str">
        <f ca="1">IFERROR(__xludf.DUMMYFUNCTION("""COMPUTED_VALUE"""),"No")</f>
        <v>No</v>
      </c>
      <c r="AB1243" s="1" t="str">
        <f ca="1">IFERROR(__xludf.DUMMYFUNCTION("""COMPUTED_VALUE"""),"No")</f>
        <v>No</v>
      </c>
      <c r="AC1243" s="1" t="str">
        <f ca="1">IFERROR(__xludf.DUMMYFUNCTION("""COMPUTED_VALUE"""),"No")</f>
        <v>No</v>
      </c>
      <c r="AD1243" s="1" t="str">
        <f ca="1">IFERROR(__xludf.DUMMYFUNCTION("""COMPUTED_VALUE"""),"No")</f>
        <v>No</v>
      </c>
      <c r="AE1243" s="1" t="str">
        <f ca="1">IFERROR(__xludf.DUMMYFUNCTION("""COMPUTED_VALUE"""),"No")</f>
        <v>No</v>
      </c>
      <c r="AF1243" s="1" t="str">
        <f ca="1">IFERROR(__xludf.DUMMYFUNCTION("""COMPUTED_VALUE"""),"No")</f>
        <v>No</v>
      </c>
      <c r="AG1243" s="1" t="str">
        <f ca="1">IFERROR(__xludf.DUMMYFUNCTION("""COMPUTED_VALUE"""),"No")</f>
        <v>No</v>
      </c>
      <c r="AH1243" s="1"/>
    </row>
    <row r="1244" spans="1:34" ht="12.5">
      <c r="A1244" s="1" t="str">
        <f ca="1">IFERROR(__xludf.DUMMYFUNCTION("""COMPUTED_VALUE"""),"20181122WAMOD")</f>
        <v>20181122WAMOD</v>
      </c>
      <c r="B1244" s="1">
        <f ca="1">IFERROR(__xludf.DUMMYFUNCTION("""COMPUTED_VALUE"""),11)</f>
        <v>11</v>
      </c>
      <c r="C1244" s="1">
        <f ca="1">IFERROR(__xludf.DUMMYFUNCTION("""COMPUTED_VALUE"""),22)</f>
        <v>22</v>
      </c>
      <c r="D1244" s="1">
        <f ca="1">IFERROR(__xludf.DUMMYFUNCTION("""COMPUTED_VALUE"""),2018)</f>
        <v>2018</v>
      </c>
      <c r="E1244" s="4">
        <f ca="1">IFERROR(__xludf.DUMMYFUNCTION("""COMPUTED_VALUE"""),43426)</f>
        <v>43426</v>
      </c>
      <c r="F1244" s="1" t="str">
        <f ca="1">IFERROR(__xludf.DUMMYFUNCTION("""COMPUTED_VALUE"""),"Mount Rainier High School")</f>
        <v>Mount Rainier High School</v>
      </c>
      <c r="G1244" s="1">
        <f ca="1">IFERROR(__xludf.DUMMYFUNCTION("""COMPUTED_VALUE"""),0)</f>
        <v>0</v>
      </c>
      <c r="H1244" s="1">
        <f ca="1">IFERROR(__xludf.DUMMYFUNCTION("""COMPUTED_VALUE"""),1)</f>
        <v>1</v>
      </c>
      <c r="I1244" s="1">
        <f ca="1">IFERROR(__xludf.DUMMYFUNCTION("""COMPUTED_VALUE"""),1)</f>
        <v>1</v>
      </c>
      <c r="J1244" s="1">
        <f ca="1">IFERROR(__xludf.DUMMYFUNCTION("""COMPUTED_VALUE"""),0)</f>
        <v>0</v>
      </c>
      <c r="K1244" s="1" t="str">
        <f ca="1">IFERROR(__xludf.DUMMYFUNCTION("""COMPUTED_VALUE"""),"Fall")</f>
        <v>Fall</v>
      </c>
      <c r="L1244" s="1" t="str">
        <f ca="1">IFERROR(__xludf.DUMMYFUNCTION("""COMPUTED_VALUE"""),"Des Moines")</f>
        <v>Des Moines</v>
      </c>
      <c r="M1244" s="1" t="str">
        <f ca="1">IFERROR(__xludf.DUMMYFUNCTION("""COMPUTED_VALUE"""),"WA")</f>
        <v>WA</v>
      </c>
      <c r="N1244" s="1" t="str">
        <f ca="1">IFERROR(__xludf.DUMMYFUNCTION("""COMPUTED_VALUE"""),"High")</f>
        <v>High</v>
      </c>
      <c r="O1244" s="1" t="str">
        <f ca="1">IFERROR(__xludf.DUMMYFUNCTION("""COMPUTED_VALUE"""),"Football Field/Track")</f>
        <v>Football Field/Track</v>
      </c>
      <c r="P1244" s="1" t="str">
        <f ca="1">IFERROR(__xludf.DUMMYFUNCTION("""COMPUTED_VALUE"""),"Outside on School Property")</f>
        <v>Outside on School Property</v>
      </c>
      <c r="Q1244" s="1" t="str">
        <f ca="1">IFERROR(__xludf.DUMMYFUNCTION("""COMPUTED_VALUE"""),"No")</f>
        <v>No</v>
      </c>
      <c r="R1244" s="1" t="str">
        <f ca="1">IFERROR(__xludf.DUMMYFUNCTION("""COMPUTED_VALUE"""),"Sport Event")</f>
        <v>Sport Event</v>
      </c>
      <c r="S1244" s="5">
        <f ca="1">IFERROR(__xludf.DUMMYFUNCTION("""COMPUTED_VALUE"""),0.5)</f>
        <v>0.5</v>
      </c>
      <c r="T1244" s="1">
        <f ca="1">IFERROR(__xludf.DUMMYFUNCTION("""COMPUTED_VALUE"""),1)</f>
        <v>1</v>
      </c>
      <c r="U1244" s="1" t="str">
        <f ca="1">IFERROR(__xludf.DUMMYFUNCTION("""COMPUTED_VALUE"""),"Man shot during argument following pick-up football game")</f>
        <v>Man shot during argument following pick-up football game</v>
      </c>
      <c r="V1244" s="1" t="str">
        <f ca="1">IFERROR(__xludf.DUMMYFUNCTION("""COMPUTED_VALUE"""),"21YOM was shot during argument following pick-up football game on the football field of the school. School was not in session (Thanksgiving). Gun was flashed during the game and the shooting occurred after the game had concluded. Shooter fled the area in "&amp;"vehicle before police arrived.")</f>
        <v>21YOM was shot during argument following pick-up football game on the football field of the school. School was not in session (Thanksgiving). Gun was flashed during the game and the shooting occurred after the game had concluded. Shooter fled the area in vehicle before police arrived.</v>
      </c>
      <c r="W1244" s="1" t="str">
        <f ca="1">IFERROR(__xludf.DUMMYFUNCTION("""COMPUTED_VALUE"""),"Escalation of Dispute")</f>
        <v>Escalation of Dispute</v>
      </c>
      <c r="X1244" s="1" t="str">
        <f ca="1">IFERROR(__xludf.DUMMYFUNCTION("""COMPUTED_VALUE"""),"Victims Targeted")</f>
        <v>Victims Targeted</v>
      </c>
      <c r="Y1244" s="1" t="str">
        <f ca="1">IFERROR(__xludf.DUMMYFUNCTION("""COMPUTED_VALUE"""),"Yes")</f>
        <v>Yes</v>
      </c>
      <c r="Z1244" s="1" t="str">
        <f ca="1">IFERROR(__xludf.DUMMYFUNCTION("""COMPUTED_VALUE"""),"Multiple people involved with dispute during game")</f>
        <v>Multiple people involved with dispute during game</v>
      </c>
      <c r="AA1244" s="1" t="str">
        <f ca="1">IFERROR(__xludf.DUMMYFUNCTION("""COMPUTED_VALUE"""),"No")</f>
        <v>No</v>
      </c>
      <c r="AB1244" s="1" t="str">
        <f ca="1">IFERROR(__xludf.DUMMYFUNCTION("""COMPUTED_VALUE"""),"No")</f>
        <v>No</v>
      </c>
      <c r="AC1244" s="1" t="str">
        <f ca="1">IFERROR(__xludf.DUMMYFUNCTION("""COMPUTED_VALUE"""),"No")</f>
        <v>No</v>
      </c>
      <c r="AD1244" s="1" t="str">
        <f ca="1">IFERROR(__xludf.DUMMYFUNCTION("""COMPUTED_VALUE"""),"No")</f>
        <v>No</v>
      </c>
      <c r="AE1244" s="1" t="str">
        <f ca="1">IFERROR(__xludf.DUMMYFUNCTION("""COMPUTED_VALUE"""),"No")</f>
        <v>No</v>
      </c>
      <c r="AF1244" s="1" t="str">
        <f ca="1">IFERROR(__xludf.DUMMYFUNCTION("""COMPUTED_VALUE"""),"No")</f>
        <v>No</v>
      </c>
      <c r="AG1244" s="1" t="str">
        <f ca="1">IFERROR(__xludf.DUMMYFUNCTION("""COMPUTED_VALUE"""),"No")</f>
        <v>No</v>
      </c>
      <c r="AH1244" s="1" t="str">
        <f ca="1">IFERROR(__xludf.DUMMYFUNCTION("""COMPUTED_VALUE"""),"&lt;10")</f>
        <v>&lt;10</v>
      </c>
    </row>
    <row r="1245" spans="1:34" ht="12.5">
      <c r="A1245" s="1" t="str">
        <f ca="1">IFERROR(__xludf.DUMMYFUNCTION("""COMPUTED_VALUE"""),"20181122TXSKD")</f>
        <v>20181122TXSKD</v>
      </c>
      <c r="B1245" s="1">
        <f ca="1">IFERROR(__xludf.DUMMYFUNCTION("""COMPUTED_VALUE"""),11)</f>
        <v>11</v>
      </c>
      <c r="C1245" s="1">
        <f ca="1">IFERROR(__xludf.DUMMYFUNCTION("""COMPUTED_VALUE"""),22)</f>
        <v>22</v>
      </c>
      <c r="D1245" s="1">
        <f ca="1">IFERROR(__xludf.DUMMYFUNCTION("""COMPUTED_VALUE"""),2018)</f>
        <v>2018</v>
      </c>
      <c r="E1245" s="4">
        <f ca="1">IFERROR(__xludf.DUMMYFUNCTION("""COMPUTED_VALUE"""),43426)</f>
        <v>43426</v>
      </c>
      <c r="F1245" s="1" t="str">
        <f ca="1">IFERROR(__xludf.DUMMYFUNCTION("""COMPUTED_VALUE"""),"Skyline High School")</f>
        <v>Skyline High School</v>
      </c>
      <c r="G1245" s="1">
        <f ca="1">IFERROR(__xludf.DUMMYFUNCTION("""COMPUTED_VALUE"""),1)</f>
        <v>1</v>
      </c>
      <c r="H1245" s="1">
        <f ca="1">IFERROR(__xludf.DUMMYFUNCTION("""COMPUTED_VALUE"""),0)</f>
        <v>0</v>
      </c>
      <c r="I1245" s="1">
        <f ca="1">IFERROR(__xludf.DUMMYFUNCTION("""COMPUTED_VALUE"""),1)</f>
        <v>1</v>
      </c>
      <c r="J1245" s="1">
        <f ca="1">IFERROR(__xludf.DUMMYFUNCTION("""COMPUTED_VALUE"""),0)</f>
        <v>0</v>
      </c>
      <c r="K1245" s="1" t="str">
        <f ca="1">IFERROR(__xludf.DUMMYFUNCTION("""COMPUTED_VALUE"""),"Fall")</f>
        <v>Fall</v>
      </c>
      <c r="L1245" s="1" t="str">
        <f ca="1">IFERROR(__xludf.DUMMYFUNCTION("""COMPUTED_VALUE"""),"Dallas")</f>
        <v>Dallas</v>
      </c>
      <c r="M1245" s="1" t="str">
        <f ca="1">IFERROR(__xludf.DUMMYFUNCTION("""COMPUTED_VALUE"""),"TX")</f>
        <v>TX</v>
      </c>
      <c r="N1245" s="1" t="str">
        <f ca="1">IFERROR(__xludf.DUMMYFUNCTION("""COMPUTED_VALUE"""),"High")</f>
        <v>High</v>
      </c>
      <c r="O1245" s="1" t="str">
        <f ca="1">IFERROR(__xludf.DUMMYFUNCTION("""COMPUTED_VALUE"""),"Front of School")</f>
        <v>Front of School</v>
      </c>
      <c r="P1245" s="1" t="str">
        <f ca="1">IFERROR(__xludf.DUMMYFUNCTION("""COMPUTED_VALUE"""),"Outside on School Property")</f>
        <v>Outside on School Property</v>
      </c>
      <c r="Q1245" s="1" t="str">
        <f ca="1">IFERROR(__xludf.DUMMYFUNCTION("""COMPUTED_VALUE"""),"No")</f>
        <v>No</v>
      </c>
      <c r="R1245" s="1" t="str">
        <f ca="1">IFERROR(__xludf.DUMMYFUNCTION("""COMPUTED_VALUE"""),"Not a School Day")</f>
        <v>Not a School Day</v>
      </c>
      <c r="S1245" s="5">
        <f ca="1">IFERROR(__xludf.DUMMYFUNCTION("""COMPUTED_VALUE"""),0.395833333333333)</f>
        <v>0.39583333333333298</v>
      </c>
      <c r="T1245" s="1">
        <f ca="1">IFERROR(__xludf.DUMMYFUNCTION("""COMPUTED_VALUE"""),1)</f>
        <v>1</v>
      </c>
      <c r="U1245" s="1" t="str">
        <f ca="1">IFERROR(__xludf.DUMMYFUNCTION("""COMPUTED_VALUE"""),"17YOM shot outside of school building")</f>
        <v>17YOM shot outside of school building</v>
      </c>
      <c r="V1245" s="1" t="str">
        <f ca="1">IFERROR(__xludf.DUMMYFUNCTION("""COMPUTED_VALUE"""),"17YOM (Latino) shot outside of school building. School was not in session (Thanksgiving). Three young males (black) were seen running from the area following the shooting.")</f>
        <v>17YOM (Latino) shot outside of school building. School was not in session (Thanksgiving). Three young males (black) were seen running from the area following the shooting.</v>
      </c>
      <c r="W1245" s="1" t="str">
        <f ca="1">IFERROR(__xludf.DUMMYFUNCTION("""COMPUTED_VALUE"""),"Escalation of Dispute")</f>
        <v>Escalation of Dispute</v>
      </c>
      <c r="X1245" s="1" t="str">
        <f ca="1">IFERROR(__xludf.DUMMYFUNCTION("""COMPUTED_VALUE"""),"Victims Targeted")</f>
        <v>Victims Targeted</v>
      </c>
      <c r="Y1245" s="1" t="str">
        <f ca="1">IFERROR(__xludf.DUMMYFUNCTION("""COMPUTED_VALUE"""),"Yes")</f>
        <v>Yes</v>
      </c>
      <c r="Z1245" s="1" t="str">
        <f ca="1">IFERROR(__xludf.DUMMYFUNCTION("""COMPUTED_VALUE"""),"3 black males ran from scene following shooting")</f>
        <v>3 black males ran from scene following shooting</v>
      </c>
      <c r="AA1245" s="1" t="str">
        <f ca="1">IFERROR(__xludf.DUMMYFUNCTION("""COMPUTED_VALUE"""),"No")</f>
        <v>No</v>
      </c>
      <c r="AB1245" s="1" t="str">
        <f ca="1">IFERROR(__xludf.DUMMYFUNCTION("""COMPUTED_VALUE"""),"No")</f>
        <v>No</v>
      </c>
      <c r="AC1245" s="1" t="str">
        <f ca="1">IFERROR(__xludf.DUMMYFUNCTION("""COMPUTED_VALUE"""),"No")</f>
        <v>No</v>
      </c>
      <c r="AD1245" s="1" t="str">
        <f ca="1">IFERROR(__xludf.DUMMYFUNCTION("""COMPUTED_VALUE"""),"No")</f>
        <v>No</v>
      </c>
      <c r="AE1245" s="1" t="str">
        <f ca="1">IFERROR(__xludf.DUMMYFUNCTION("""COMPUTED_VALUE"""),"No")</f>
        <v>No</v>
      </c>
      <c r="AF1245" s="1"/>
      <c r="AG1245" s="1" t="str">
        <f ca="1">IFERROR(__xludf.DUMMYFUNCTION("""COMPUTED_VALUE"""),"No")</f>
        <v>No</v>
      </c>
      <c r="AH1245" s="1" t="str">
        <f ca="1">IFERROR(__xludf.DUMMYFUNCTION("""COMPUTED_VALUE"""),"&lt;10")</f>
        <v>&lt;10</v>
      </c>
    </row>
    <row r="1246" spans="1:34" ht="12.5">
      <c r="A1246" s="1" t="str">
        <f ca="1">IFERROR(__xludf.DUMMYFUNCTION("""COMPUTED_VALUE"""),"20181121MIPEP")</f>
        <v>20181121MIPEP</v>
      </c>
      <c r="B1246" s="1">
        <f ca="1">IFERROR(__xludf.DUMMYFUNCTION("""COMPUTED_VALUE"""),11)</f>
        <v>11</v>
      </c>
      <c r="C1246" s="1">
        <f ca="1">IFERROR(__xludf.DUMMYFUNCTION("""COMPUTED_VALUE"""),21)</f>
        <v>21</v>
      </c>
      <c r="D1246" s="1">
        <f ca="1">IFERROR(__xludf.DUMMYFUNCTION("""COMPUTED_VALUE"""),2018)</f>
        <v>2018</v>
      </c>
      <c r="E1246" s="4">
        <f ca="1">IFERROR(__xludf.DUMMYFUNCTION("""COMPUTED_VALUE"""),43425)</f>
        <v>43425</v>
      </c>
      <c r="F1246" s="1" t="str">
        <f ca="1">IFERROR(__xludf.DUMMYFUNCTION("""COMPUTED_VALUE"""),"Pentwater Public School")</f>
        <v>Pentwater Public School</v>
      </c>
      <c r="G1246" s="1">
        <f ca="1">IFERROR(__xludf.DUMMYFUNCTION("""COMPUTED_VALUE"""),0)</f>
        <v>0</v>
      </c>
      <c r="H1246" s="1">
        <f ca="1">IFERROR(__xludf.DUMMYFUNCTION("""COMPUTED_VALUE"""),0)</f>
        <v>0</v>
      </c>
      <c r="I1246" s="1">
        <f ca="1">IFERROR(__xludf.DUMMYFUNCTION("""COMPUTED_VALUE"""),0)</f>
        <v>0</v>
      </c>
      <c r="J1246" s="1">
        <f ca="1">IFERROR(__xludf.DUMMYFUNCTION("""COMPUTED_VALUE"""),0)</f>
        <v>0</v>
      </c>
      <c r="K1246" s="1" t="str">
        <f ca="1">IFERROR(__xludf.DUMMYFUNCTION("""COMPUTED_VALUE"""),"Fall")</f>
        <v>Fall</v>
      </c>
      <c r="L1246" s="1" t="str">
        <f ca="1">IFERROR(__xludf.DUMMYFUNCTION("""COMPUTED_VALUE"""),"Pentwater")</f>
        <v>Pentwater</v>
      </c>
      <c r="M1246" s="1" t="str">
        <f ca="1">IFERROR(__xludf.DUMMYFUNCTION("""COMPUTED_VALUE"""),"MI")</f>
        <v>MI</v>
      </c>
      <c r="N1246" s="1" t="str">
        <f ca="1">IFERROR(__xludf.DUMMYFUNCTION("""COMPUTED_VALUE"""),"K-8")</f>
        <v>K-8</v>
      </c>
      <c r="O1246" s="1" t="str">
        <f ca="1">IFERROR(__xludf.DUMMYFUNCTION("""COMPUTED_VALUE"""),"Front of School")</f>
        <v>Front of School</v>
      </c>
      <c r="P1246" s="1" t="str">
        <f ca="1">IFERROR(__xludf.DUMMYFUNCTION("""COMPUTED_VALUE"""),"Outside on School Property")</f>
        <v>Outside on School Property</v>
      </c>
      <c r="Q1246" s="1" t="str">
        <f ca="1">IFERROR(__xludf.DUMMYFUNCTION("""COMPUTED_VALUE"""),"No")</f>
        <v>No</v>
      </c>
      <c r="R1246" s="1" t="str">
        <f ca="1">IFERROR(__xludf.DUMMYFUNCTION("""COMPUTED_VALUE"""),"Not a School Day")</f>
        <v>Not a School Day</v>
      </c>
      <c r="S1246" s="5">
        <f ca="1">IFERROR(__xludf.DUMMYFUNCTION("""COMPUTED_VALUE"""),0.364583333333333)</f>
        <v>0.36458333333333298</v>
      </c>
      <c r="T1246" s="1"/>
      <c r="U1246" s="1" t="str">
        <f ca="1">IFERROR(__xludf.DUMMYFUNCTION("""COMPUTED_VALUE"""),"Adult male fired BB gun and broke multiple windows at the school")</f>
        <v>Adult male fired BB gun and broke multiple windows at the school</v>
      </c>
      <c r="V1246" s="1" t="str">
        <f ca="1">IFERROR(__xludf.DUMMYFUNCTION("""COMPUTED_VALUE"""),"22YOM fired BB gun at multiple windows of the school causing $3,000 in property damage. Motive unknown. School was not in session for Thanksgiving break.")</f>
        <v>22YOM fired BB gun at multiple windows of the school causing $3,000 in property damage. Motive unknown. School was not in session for Thanksgiving break.</v>
      </c>
      <c r="W1246" s="1" t="str">
        <f ca="1">IFERROR(__xludf.DUMMYFUNCTION("""COMPUTED_VALUE"""),"Intentional Property Damage")</f>
        <v>Intentional Property Damage</v>
      </c>
      <c r="X1246" s="1" t="str">
        <f ca="1">IFERROR(__xludf.DUMMYFUNCTION("""COMPUTED_VALUE"""),"Neither")</f>
        <v>Neither</v>
      </c>
      <c r="Y1246" s="1" t="str">
        <f ca="1">IFERROR(__xludf.DUMMYFUNCTION("""COMPUTED_VALUE"""),"No")</f>
        <v>No</v>
      </c>
      <c r="Z1246" s="1"/>
      <c r="AA1246" s="1" t="str">
        <f ca="1">IFERROR(__xludf.DUMMYFUNCTION("""COMPUTED_VALUE"""),"No")</f>
        <v>No</v>
      </c>
      <c r="AB1246" s="1" t="str">
        <f ca="1">IFERROR(__xludf.DUMMYFUNCTION("""COMPUTED_VALUE"""),"No")</f>
        <v>No</v>
      </c>
      <c r="AC1246" s="1" t="str">
        <f ca="1">IFERROR(__xludf.DUMMYFUNCTION("""COMPUTED_VALUE"""),"No")</f>
        <v>No</v>
      </c>
      <c r="AD1246" s="1" t="str">
        <f ca="1">IFERROR(__xludf.DUMMYFUNCTION("""COMPUTED_VALUE"""),"No")</f>
        <v>No</v>
      </c>
      <c r="AE1246" s="1" t="str">
        <f ca="1">IFERROR(__xludf.DUMMYFUNCTION("""COMPUTED_VALUE"""),"No")</f>
        <v>No</v>
      </c>
      <c r="AF1246" s="1" t="str">
        <f ca="1">IFERROR(__xludf.DUMMYFUNCTION("""COMPUTED_VALUE"""),"No")</f>
        <v>No</v>
      </c>
      <c r="AG1246" s="1" t="str">
        <f ca="1">IFERROR(__xludf.DUMMYFUNCTION("""COMPUTED_VALUE"""),"No")</f>
        <v>No</v>
      </c>
      <c r="AH1246" s="1"/>
    </row>
    <row r="1247" spans="1:34" ht="12.5">
      <c r="A1247" s="1" t="str">
        <f ca="1">IFERROR(__xludf.DUMMYFUNCTION("""COMPUTED_VALUE"""),"20181120VASIP")</f>
        <v>20181120VASIP</v>
      </c>
      <c r="B1247" s="1">
        <f ca="1">IFERROR(__xludf.DUMMYFUNCTION("""COMPUTED_VALUE"""),11)</f>
        <v>11</v>
      </c>
      <c r="C1247" s="1">
        <f ca="1">IFERROR(__xludf.DUMMYFUNCTION("""COMPUTED_VALUE"""),20)</f>
        <v>20</v>
      </c>
      <c r="D1247" s="1">
        <f ca="1">IFERROR(__xludf.DUMMYFUNCTION("""COMPUTED_VALUE"""),2018)</f>
        <v>2018</v>
      </c>
      <c r="E1247" s="4">
        <f ca="1">IFERROR(__xludf.DUMMYFUNCTION("""COMPUTED_VALUE"""),43424)</f>
        <v>43424</v>
      </c>
      <c r="F1247" s="1" t="str">
        <f ca="1">IFERROR(__xludf.DUMMYFUNCTION("""COMPUTED_VALUE"""),"Simonsdale Elementary School")</f>
        <v>Simonsdale Elementary School</v>
      </c>
      <c r="G1247" s="1">
        <f ca="1">IFERROR(__xludf.DUMMYFUNCTION("""COMPUTED_VALUE"""),0)</f>
        <v>0</v>
      </c>
      <c r="H1247" s="1">
        <f ca="1">IFERROR(__xludf.DUMMYFUNCTION("""COMPUTED_VALUE"""),1)</f>
        <v>1</v>
      </c>
      <c r="I1247" s="1">
        <f ca="1">IFERROR(__xludf.DUMMYFUNCTION("""COMPUTED_VALUE"""),1)</f>
        <v>1</v>
      </c>
      <c r="J1247" s="1">
        <f ca="1">IFERROR(__xludf.DUMMYFUNCTION("""COMPUTED_VALUE"""),0)</f>
        <v>0</v>
      </c>
      <c r="K1247" s="1" t="str">
        <f ca="1">IFERROR(__xludf.DUMMYFUNCTION("""COMPUTED_VALUE"""),"Fall")</f>
        <v>Fall</v>
      </c>
      <c r="L1247" s="1" t="str">
        <f ca="1">IFERROR(__xludf.DUMMYFUNCTION("""COMPUTED_VALUE"""),"Portsmouth")</f>
        <v>Portsmouth</v>
      </c>
      <c r="M1247" s="1" t="str">
        <f ca="1">IFERROR(__xludf.DUMMYFUNCTION("""COMPUTED_VALUE"""),"VA")</f>
        <v>VA</v>
      </c>
      <c r="N1247" s="1" t="str">
        <f ca="1">IFERROR(__xludf.DUMMYFUNCTION("""COMPUTED_VALUE"""),"Elementary")</f>
        <v>Elementary</v>
      </c>
      <c r="O1247" s="1" t="str">
        <f ca="1">IFERROR(__xludf.DUMMYFUNCTION("""COMPUTED_VALUE"""),"Hallway")</f>
        <v>Hallway</v>
      </c>
      <c r="P1247" s="1" t="str">
        <f ca="1">IFERROR(__xludf.DUMMYFUNCTION("""COMPUTED_VALUE"""),"Inside School Building")</f>
        <v>Inside School Building</v>
      </c>
      <c r="Q1247" s="1" t="str">
        <f ca="1">IFERROR(__xludf.DUMMYFUNCTION("""COMPUTED_VALUE"""),"No")</f>
        <v>No</v>
      </c>
      <c r="R1247" s="1" t="str">
        <f ca="1">IFERROR(__xludf.DUMMYFUNCTION("""COMPUTED_VALUE"""),"Dismissal")</f>
        <v>Dismissal</v>
      </c>
      <c r="S1247" s="5">
        <f ca="1">IFERROR(__xludf.DUMMYFUNCTION("""COMPUTED_VALUE"""),0.666666666666666)</f>
        <v>0.66666666666666596</v>
      </c>
      <c r="T1247" s="1">
        <f ca="1">IFERROR(__xludf.DUMMYFUNCTION("""COMPUTED_VALUE"""),1)</f>
        <v>1</v>
      </c>
      <c r="U1247" s="1" t="str">
        <f ca="1">IFERROR(__xludf.DUMMYFUNCTION("""COMPUTED_VALUE"""),"Parent's concealed weapon discharged striking other parent")</f>
        <v>Parent's concealed weapon discharged striking other parent</v>
      </c>
      <c r="V1247" s="1" t="str">
        <f ca="1">IFERROR(__xludf.DUMMYFUNCTION("""COMPUTED_VALUE"""),"29YOM parent had concealed handgun. Gun discharged and another parent was struck by ricochet. Shooter fled and was later arrested by police. Shooting occurred just prior to dismissal. Students were still in classrooms and school was locked down.")</f>
        <v>29YOM parent had concealed handgun. Gun discharged and another parent was struck by ricochet. Shooter fled and was later arrested by police. Shooting occurred just prior to dismissal. Students were still in classrooms and school was locked down.</v>
      </c>
      <c r="W1247" s="1" t="str">
        <f ca="1">IFERROR(__xludf.DUMMYFUNCTION("""COMPUTED_VALUE"""),"Accidental")</f>
        <v>Accidental</v>
      </c>
      <c r="X1247" s="1" t="str">
        <f ca="1">IFERROR(__xludf.DUMMYFUNCTION("""COMPUTED_VALUE"""),"Random Shooting")</f>
        <v>Random Shooting</v>
      </c>
      <c r="Y1247" s="1" t="str">
        <f ca="1">IFERROR(__xludf.DUMMYFUNCTION("""COMPUTED_VALUE"""),"No")</f>
        <v>No</v>
      </c>
      <c r="Z1247" s="1"/>
      <c r="AA1247" s="1" t="str">
        <f ca="1">IFERROR(__xludf.DUMMYFUNCTION("""COMPUTED_VALUE"""),"No")</f>
        <v>No</v>
      </c>
      <c r="AB1247" s="1" t="str">
        <f ca="1">IFERROR(__xludf.DUMMYFUNCTION("""COMPUTED_VALUE"""),"No")</f>
        <v>No</v>
      </c>
      <c r="AC1247" s="1" t="str">
        <f ca="1">IFERROR(__xludf.DUMMYFUNCTION("""COMPUTED_VALUE"""),"No")</f>
        <v>No</v>
      </c>
      <c r="AD1247" s="1" t="str">
        <f ca="1">IFERROR(__xludf.DUMMYFUNCTION("""COMPUTED_VALUE"""),"No")</f>
        <v>No</v>
      </c>
      <c r="AE1247" s="1" t="str">
        <f ca="1">IFERROR(__xludf.DUMMYFUNCTION("""COMPUTED_VALUE"""),"No")</f>
        <v>No</v>
      </c>
      <c r="AF1247" s="1" t="str">
        <f ca="1">IFERROR(__xludf.DUMMYFUNCTION("""COMPUTED_VALUE"""),"No")</f>
        <v>No</v>
      </c>
      <c r="AG1247" s="1" t="str">
        <f ca="1">IFERROR(__xludf.DUMMYFUNCTION("""COMPUTED_VALUE"""),"No")</f>
        <v>No</v>
      </c>
      <c r="AH1247" s="1">
        <f ca="1">IFERROR(__xludf.DUMMYFUNCTION("""COMPUTED_VALUE"""),1)</f>
        <v>1</v>
      </c>
    </row>
    <row r="1248" spans="1:34" ht="12.5">
      <c r="A1248" s="1" t="str">
        <f ca="1">IFERROR(__xludf.DUMMYFUNCTION("""COMPUTED_VALUE"""),"20181112MDEAE")</f>
        <v>20181112MDEAE</v>
      </c>
      <c r="B1248" s="1">
        <f ca="1">IFERROR(__xludf.DUMMYFUNCTION("""COMPUTED_VALUE"""),11)</f>
        <v>11</v>
      </c>
      <c r="C1248" s="1">
        <f ca="1">IFERROR(__xludf.DUMMYFUNCTION("""COMPUTED_VALUE"""),12)</f>
        <v>12</v>
      </c>
      <c r="D1248" s="1">
        <f ca="1">IFERROR(__xludf.DUMMYFUNCTION("""COMPUTED_VALUE"""),2018)</f>
        <v>2018</v>
      </c>
      <c r="E1248" s="4">
        <f ca="1">IFERROR(__xludf.DUMMYFUNCTION("""COMPUTED_VALUE"""),43416)</f>
        <v>43416</v>
      </c>
      <c r="F1248" s="1" t="str">
        <f ca="1">IFERROR(__xludf.DUMMYFUNCTION("""COMPUTED_VALUE"""),"Eastern Tech High School")</f>
        <v>Eastern Tech High School</v>
      </c>
      <c r="G1248" s="1">
        <f ca="1">IFERROR(__xludf.DUMMYFUNCTION("""COMPUTED_VALUE"""),0)</f>
        <v>0</v>
      </c>
      <c r="H1248" s="1">
        <f ca="1">IFERROR(__xludf.DUMMYFUNCTION("""COMPUTED_VALUE"""),0)</f>
        <v>0</v>
      </c>
      <c r="I1248" s="1">
        <f ca="1">IFERROR(__xludf.DUMMYFUNCTION("""COMPUTED_VALUE"""),0)</f>
        <v>0</v>
      </c>
      <c r="J1248" s="1">
        <f ca="1">IFERROR(__xludf.DUMMYFUNCTION("""COMPUTED_VALUE"""),1)</f>
        <v>1</v>
      </c>
      <c r="K1248" s="1" t="str">
        <f ca="1">IFERROR(__xludf.DUMMYFUNCTION("""COMPUTED_VALUE"""),"Fall")</f>
        <v>Fall</v>
      </c>
      <c r="L1248" s="1" t="str">
        <f ca="1">IFERROR(__xludf.DUMMYFUNCTION("""COMPUTED_VALUE"""),"Essex")</f>
        <v>Essex</v>
      </c>
      <c r="M1248" s="1" t="str">
        <f ca="1">IFERROR(__xludf.DUMMYFUNCTION("""COMPUTED_VALUE"""),"MD")</f>
        <v>MD</v>
      </c>
      <c r="N1248" s="1" t="str">
        <f ca="1">IFERROR(__xludf.DUMMYFUNCTION("""COMPUTED_VALUE"""),"High")</f>
        <v>High</v>
      </c>
      <c r="O1248" s="1" t="str">
        <f ca="1">IFERROR(__xludf.DUMMYFUNCTION("""COMPUTED_VALUE"""),"Office")</f>
        <v>Office</v>
      </c>
      <c r="P1248" s="1" t="str">
        <f ca="1">IFERROR(__xludf.DUMMYFUNCTION("""COMPUTED_VALUE"""),"Inside School Building")</f>
        <v>Inside School Building</v>
      </c>
      <c r="Q1248" s="1" t="str">
        <f ca="1">IFERROR(__xludf.DUMMYFUNCTION("""COMPUTED_VALUE"""),"Yes")</f>
        <v>Yes</v>
      </c>
      <c r="R1248" s="1" t="str">
        <f ca="1">IFERROR(__xludf.DUMMYFUNCTION("""COMPUTED_VALUE"""),"Afternoon Classes")</f>
        <v>Afternoon Classes</v>
      </c>
      <c r="S1248" s="5">
        <f ca="1">IFERROR(__xludf.DUMMYFUNCTION("""COMPUTED_VALUE"""),0.515972222222222)</f>
        <v>0.51597222222222205</v>
      </c>
      <c r="T1248" s="1">
        <f ca="1">IFERROR(__xludf.DUMMYFUNCTION("""COMPUTED_VALUE"""),1)</f>
        <v>1</v>
      </c>
      <c r="U1248" s="1" t="str">
        <f ca="1">IFERROR(__xludf.DUMMYFUNCTION("""COMPUTED_VALUE"""),"SRO killed self in officer inside school")</f>
        <v>SRO killed self in officer inside school</v>
      </c>
      <c r="V1248" s="1" t="str">
        <f ca="1">IFERROR(__xludf.DUMMYFUNCTION("""COMPUTED_VALUE"""),"SRO commit suicide in school. Teachers heard shots and school was locked down then dismissed 2 hours later. SRO was well known and well liked by students and staff. Had been assigned to school for 4 years and worked for 21 years as officer.")</f>
        <v>SRO commit suicide in school. Teachers heard shots and school was locked down then dismissed 2 hours later. SRO was well known and well liked by students and staff. Had been assigned to school for 4 years and worked for 21 years as officer.</v>
      </c>
      <c r="W1248" s="1" t="str">
        <f ca="1">IFERROR(__xludf.DUMMYFUNCTION("""COMPUTED_VALUE"""),"Suicide/Attempted")</f>
        <v>Suicide/Attempted</v>
      </c>
      <c r="X1248" s="1" t="str">
        <f ca="1">IFERROR(__xludf.DUMMYFUNCTION("""COMPUTED_VALUE"""),"Victims Targeted")</f>
        <v>Victims Targeted</v>
      </c>
      <c r="Y1248" s="1" t="str">
        <f ca="1">IFERROR(__xludf.DUMMYFUNCTION("""COMPUTED_VALUE"""),"No")</f>
        <v>No</v>
      </c>
      <c r="Z1248" s="1"/>
      <c r="AA1248" s="1" t="str">
        <f ca="1">IFERROR(__xludf.DUMMYFUNCTION("""COMPUTED_VALUE"""),"No")</f>
        <v>No</v>
      </c>
      <c r="AB1248" s="1" t="str">
        <f ca="1">IFERROR(__xludf.DUMMYFUNCTION("""COMPUTED_VALUE"""),"No")</f>
        <v>No</v>
      </c>
      <c r="AC1248" s="1" t="str">
        <f ca="1">IFERROR(__xludf.DUMMYFUNCTION("""COMPUTED_VALUE"""),"No")</f>
        <v>No</v>
      </c>
      <c r="AD1248" s="1" t="str">
        <f ca="1">IFERROR(__xludf.DUMMYFUNCTION("""COMPUTED_VALUE"""),"No")</f>
        <v>No</v>
      </c>
      <c r="AE1248" s="1" t="str">
        <f ca="1">IFERROR(__xludf.DUMMYFUNCTION("""COMPUTED_VALUE"""),"No")</f>
        <v>No</v>
      </c>
      <c r="AF1248" s="1" t="str">
        <f ca="1">IFERROR(__xludf.DUMMYFUNCTION("""COMPUTED_VALUE"""),"No")</f>
        <v>No</v>
      </c>
      <c r="AG1248" s="1" t="str">
        <f ca="1">IFERROR(__xludf.DUMMYFUNCTION("""COMPUTED_VALUE"""),"No")</f>
        <v>No</v>
      </c>
      <c r="AH1248" s="1">
        <f ca="1">IFERROR(__xludf.DUMMYFUNCTION("""COMPUTED_VALUE"""),1)</f>
        <v>1</v>
      </c>
    </row>
    <row r="1249" spans="1:34" ht="12.5">
      <c r="A1249" s="1" t="str">
        <f ca="1">IFERROR(__xludf.DUMMYFUNCTION("""COMPUTED_VALUE"""),"20181109GAGAM")</f>
        <v>20181109GAGAM</v>
      </c>
      <c r="B1249" s="1">
        <f ca="1">IFERROR(__xludf.DUMMYFUNCTION("""COMPUTED_VALUE"""),11)</f>
        <v>11</v>
      </c>
      <c r="C1249" s="1">
        <f ca="1">IFERROR(__xludf.DUMMYFUNCTION("""COMPUTED_VALUE"""),9)</f>
        <v>9</v>
      </c>
      <c r="D1249" s="1">
        <f ca="1">IFERROR(__xludf.DUMMYFUNCTION("""COMPUTED_VALUE"""),2018)</f>
        <v>2018</v>
      </c>
      <c r="E1249" s="4">
        <f ca="1">IFERROR(__xludf.DUMMYFUNCTION("""COMPUTED_VALUE"""),43413)</f>
        <v>43413</v>
      </c>
      <c r="F1249" s="1" t="str">
        <f ca="1">IFERROR(__xludf.DUMMYFUNCTION("""COMPUTED_VALUE"""),"Garrett Middle School")</f>
        <v>Garrett Middle School</v>
      </c>
      <c r="G1249" s="1">
        <f ca="1">IFERROR(__xludf.DUMMYFUNCTION("""COMPUTED_VALUE"""),0)</f>
        <v>0</v>
      </c>
      <c r="H1249" s="1">
        <f ca="1">IFERROR(__xludf.DUMMYFUNCTION("""COMPUTED_VALUE"""),0)</f>
        <v>0</v>
      </c>
      <c r="I1249" s="1">
        <f ca="1">IFERROR(__xludf.DUMMYFUNCTION("""COMPUTED_VALUE"""),0)</f>
        <v>0</v>
      </c>
      <c r="J1249" s="1">
        <f ca="1">IFERROR(__xludf.DUMMYFUNCTION("""COMPUTED_VALUE"""),0)</f>
        <v>0</v>
      </c>
      <c r="K1249" s="1" t="str">
        <f ca="1">IFERROR(__xludf.DUMMYFUNCTION("""COMPUTED_VALUE"""),"Fall")</f>
        <v>Fall</v>
      </c>
      <c r="L1249" s="1" t="str">
        <f ca="1">IFERROR(__xludf.DUMMYFUNCTION("""COMPUTED_VALUE"""),"Marietta")</f>
        <v>Marietta</v>
      </c>
      <c r="M1249" s="1" t="str">
        <f ca="1">IFERROR(__xludf.DUMMYFUNCTION("""COMPUTED_VALUE"""),"GA")</f>
        <v>GA</v>
      </c>
      <c r="N1249" s="1" t="str">
        <f ca="1">IFERROR(__xludf.DUMMYFUNCTION("""COMPUTED_VALUE"""),"Middle")</f>
        <v>Middle</v>
      </c>
      <c r="O1249" s="1" t="str">
        <f ca="1">IFERROR(__xludf.DUMMYFUNCTION("""COMPUTED_VALUE"""),"Bathroom")</f>
        <v>Bathroom</v>
      </c>
      <c r="P1249" s="1" t="str">
        <f ca="1">IFERROR(__xludf.DUMMYFUNCTION("""COMPUTED_VALUE"""),"Inside School Building")</f>
        <v>Inside School Building</v>
      </c>
      <c r="Q1249" s="1" t="str">
        <f ca="1">IFERROR(__xludf.DUMMYFUNCTION("""COMPUTED_VALUE"""),"Yes")</f>
        <v>Yes</v>
      </c>
      <c r="R1249" s="1"/>
      <c r="S1249" s="1"/>
      <c r="T1249" s="1">
        <f ca="1">IFERROR(__xludf.DUMMYFUNCTION("""COMPUTED_VALUE"""),1)</f>
        <v>1</v>
      </c>
      <c r="U1249" s="1" t="str">
        <f ca="1">IFERROR(__xludf.DUMMYFUNCTION("""COMPUTED_VALUE"""),"Student accidentally fired handgun showing it off in bathroom")</f>
        <v>Student accidentally fired handgun showing it off in bathroom</v>
      </c>
      <c r="V1249" s="1" t="str">
        <f ca="1">IFERROR(__xludf.DUMMYFUNCTION("""COMPUTED_VALUE"""),"Two students charged after accidental discharge of handgun in school bathroom. No injuries. Student was showing the gun off. Both students fled the scene. SRO heard the shots and investigated. Gun was recovered later that day at the student's home.")</f>
        <v>Two students charged after accidental discharge of handgun in school bathroom. No injuries. Student was showing the gun off. Both students fled the scene. SRO heard the shots and investigated. Gun was recovered later that day at the student's home.</v>
      </c>
      <c r="W1249" s="1" t="str">
        <f ca="1">IFERROR(__xludf.DUMMYFUNCTION("""COMPUTED_VALUE"""),"Accidental")</f>
        <v>Accidental</v>
      </c>
      <c r="X1249" s="1" t="str">
        <f ca="1">IFERROR(__xludf.DUMMYFUNCTION("""COMPUTED_VALUE"""),"Neither")</f>
        <v>Neither</v>
      </c>
      <c r="Y1249" s="1" t="str">
        <f ca="1">IFERROR(__xludf.DUMMYFUNCTION("""COMPUTED_VALUE"""),"Yes")</f>
        <v>Yes</v>
      </c>
      <c r="Z1249" s="1" t="str">
        <f ca="1">IFERROR(__xludf.DUMMYFUNCTION("""COMPUTED_VALUE"""),"2 students arrested and charged")</f>
        <v>2 students arrested and charged</v>
      </c>
      <c r="AA1249" s="1" t="str">
        <f ca="1">IFERROR(__xludf.DUMMYFUNCTION("""COMPUTED_VALUE"""),"No")</f>
        <v>No</v>
      </c>
      <c r="AB1249" s="1" t="str">
        <f ca="1">IFERROR(__xludf.DUMMYFUNCTION("""COMPUTED_VALUE"""),"No")</f>
        <v>No</v>
      </c>
      <c r="AC1249" s="1" t="str">
        <f ca="1">IFERROR(__xludf.DUMMYFUNCTION("""COMPUTED_VALUE"""),"No")</f>
        <v>No</v>
      </c>
      <c r="AD1249" s="1" t="str">
        <f ca="1">IFERROR(__xludf.DUMMYFUNCTION("""COMPUTED_VALUE"""),"No")</f>
        <v>No</v>
      </c>
      <c r="AE1249" s="1" t="str">
        <f ca="1">IFERROR(__xludf.DUMMYFUNCTION("""COMPUTED_VALUE"""),"No")</f>
        <v>No</v>
      </c>
      <c r="AF1249" s="1" t="str">
        <f ca="1">IFERROR(__xludf.DUMMYFUNCTION("""COMPUTED_VALUE"""),"No")</f>
        <v>No</v>
      </c>
      <c r="AG1249" s="1" t="str">
        <f ca="1">IFERROR(__xludf.DUMMYFUNCTION("""COMPUTED_VALUE"""),"No")</f>
        <v>No</v>
      </c>
      <c r="AH1249" s="1">
        <f ca="1">IFERROR(__xludf.DUMMYFUNCTION("""COMPUTED_VALUE"""),1)</f>
        <v>1</v>
      </c>
    </row>
    <row r="1250" spans="1:34" ht="12.5">
      <c r="A1250" s="1" t="str">
        <f ca="1">IFERROR(__xludf.DUMMYFUNCTION("""COMPUTED_VALUE"""),"20181108CACLS")</f>
        <v>20181108CACLS</v>
      </c>
      <c r="B1250" s="1">
        <f ca="1">IFERROR(__xludf.DUMMYFUNCTION("""COMPUTED_VALUE"""),11)</f>
        <v>11</v>
      </c>
      <c r="C1250" s="1">
        <f ca="1">IFERROR(__xludf.DUMMYFUNCTION("""COMPUTED_VALUE"""),8)</f>
        <v>8</v>
      </c>
      <c r="D1250" s="1">
        <f ca="1">IFERROR(__xludf.DUMMYFUNCTION("""COMPUTED_VALUE"""),2018)</f>
        <v>2018</v>
      </c>
      <c r="E1250" s="4">
        <f ca="1">IFERROR(__xludf.DUMMYFUNCTION("""COMPUTED_VALUE"""),43412)</f>
        <v>43412</v>
      </c>
      <c r="F1250" s="1" t="str">
        <f ca="1">IFERROR(__xludf.DUMMYFUNCTION("""COMPUTED_VALUE"""),"Cleveland Elementary School")</f>
        <v>Cleveland Elementary School</v>
      </c>
      <c r="G1250" s="1">
        <f ca="1">IFERROR(__xludf.DUMMYFUNCTION("""COMPUTED_VALUE"""),0)</f>
        <v>0</v>
      </c>
      <c r="H1250" s="1">
        <f ca="1">IFERROR(__xludf.DUMMYFUNCTION("""COMPUTED_VALUE"""),1)</f>
        <v>1</v>
      </c>
      <c r="I1250" s="1">
        <f ca="1">IFERROR(__xludf.DUMMYFUNCTION("""COMPUTED_VALUE"""),1)</f>
        <v>1</v>
      </c>
      <c r="J1250" s="1">
        <f ca="1">IFERROR(__xludf.DUMMYFUNCTION("""COMPUTED_VALUE"""),0)</f>
        <v>0</v>
      </c>
      <c r="K1250" s="1" t="str">
        <f ca="1">IFERROR(__xludf.DUMMYFUNCTION("""COMPUTED_VALUE"""),"Fall")</f>
        <v>Fall</v>
      </c>
      <c r="L1250" s="1" t="str">
        <f ca="1">IFERROR(__xludf.DUMMYFUNCTION("""COMPUTED_VALUE"""),"Santa Barbara")</f>
        <v>Santa Barbara</v>
      </c>
      <c r="M1250" s="1" t="str">
        <f ca="1">IFERROR(__xludf.DUMMYFUNCTION("""COMPUTED_VALUE"""),"CA")</f>
        <v>CA</v>
      </c>
      <c r="N1250" s="1" t="str">
        <f ca="1">IFERROR(__xludf.DUMMYFUNCTION("""COMPUTED_VALUE"""),"Elementary")</f>
        <v>Elementary</v>
      </c>
      <c r="O1250" s="1" t="str">
        <f ca="1">IFERROR(__xludf.DUMMYFUNCTION("""COMPUTED_VALUE"""),"Outside on School Property")</f>
        <v>Outside on School Property</v>
      </c>
      <c r="P1250" s="1" t="str">
        <f ca="1">IFERROR(__xludf.DUMMYFUNCTION("""COMPUTED_VALUE"""),"Outside on School Property")</f>
        <v>Outside on School Property</v>
      </c>
      <c r="Q1250" s="1" t="str">
        <f ca="1">IFERROR(__xludf.DUMMYFUNCTION("""COMPUTED_VALUE"""),"No")</f>
        <v>No</v>
      </c>
      <c r="R1250" s="1" t="str">
        <f ca="1">IFERROR(__xludf.DUMMYFUNCTION("""COMPUTED_VALUE"""),"Night")</f>
        <v>Night</v>
      </c>
      <c r="S1250" s="5">
        <f ca="1">IFERROR(__xludf.DUMMYFUNCTION("""COMPUTED_VALUE"""),0.0833333333333333)</f>
        <v>8.3333333333333301E-2</v>
      </c>
      <c r="T1250" s="1">
        <f ca="1">IFERROR(__xludf.DUMMYFUNCTION("""COMPUTED_VALUE"""),1)</f>
        <v>1</v>
      </c>
      <c r="U1250" s="1" t="str">
        <f ca="1">IFERROR(__xludf.DUMMYFUNCTION("""COMPUTED_VALUE"""),"Shot during robbery outside of school")</f>
        <v>Shot during robbery outside of school</v>
      </c>
      <c r="V1250" s="1" t="str">
        <f ca="1">IFERROR(__xludf.DUMMYFUNCTION("""COMPUTED_VALUE"""),"Two adult males shot an unidentified adult male during a robbery outside of the school after hours. Two adult male shooters were involved in multiple crimes in the area.")</f>
        <v>Two adult males shot an unidentified adult male during a robbery outside of the school after hours. Two adult male shooters were involved in multiple crimes in the area.</v>
      </c>
      <c r="W1250" s="1" t="str">
        <f ca="1">IFERROR(__xludf.DUMMYFUNCTION("""COMPUTED_VALUE"""),"Illegal Activity")</f>
        <v>Illegal Activity</v>
      </c>
      <c r="X1250" s="1" t="str">
        <f ca="1">IFERROR(__xludf.DUMMYFUNCTION("""COMPUTED_VALUE"""),"Victims Targeted")</f>
        <v>Victims Targeted</v>
      </c>
      <c r="Y1250" s="1" t="str">
        <f ca="1">IFERROR(__xludf.DUMMYFUNCTION("""COMPUTED_VALUE"""),"Yes")</f>
        <v>Yes</v>
      </c>
      <c r="Z1250" s="1" t="str">
        <f ca="1">IFERROR(__xludf.DUMMYFUNCTION("""COMPUTED_VALUE"""),"2 arrested for multiple crimes in area")</f>
        <v>2 arrested for multiple crimes in area</v>
      </c>
      <c r="AA1250" s="1" t="str">
        <f ca="1">IFERROR(__xludf.DUMMYFUNCTION("""COMPUTED_VALUE"""),"No")</f>
        <v>No</v>
      </c>
      <c r="AB1250" s="1" t="str">
        <f ca="1">IFERROR(__xludf.DUMMYFUNCTION("""COMPUTED_VALUE"""),"No")</f>
        <v>No</v>
      </c>
      <c r="AC1250" s="1" t="str">
        <f ca="1">IFERROR(__xludf.DUMMYFUNCTION("""COMPUTED_VALUE"""),"No")</f>
        <v>No</v>
      </c>
      <c r="AD1250" s="1" t="str">
        <f ca="1">IFERROR(__xludf.DUMMYFUNCTION("""COMPUTED_VALUE"""),"No")</f>
        <v>No</v>
      </c>
      <c r="AE1250" s="1" t="str">
        <f ca="1">IFERROR(__xludf.DUMMYFUNCTION("""COMPUTED_VALUE"""),"No")</f>
        <v>No</v>
      </c>
      <c r="AF1250" s="1"/>
      <c r="AG1250" s="1" t="str">
        <f ca="1">IFERROR(__xludf.DUMMYFUNCTION("""COMPUTED_VALUE"""),"No")</f>
        <v>No</v>
      </c>
      <c r="AH1250" s="1" t="str">
        <f ca="1">IFERROR(__xludf.DUMMYFUNCTION("""COMPUTED_VALUE"""),"&lt;10")</f>
        <v>&lt;10</v>
      </c>
    </row>
    <row r="1251" spans="1:34" ht="12.5">
      <c r="A1251" s="1" t="str">
        <f ca="1">IFERROR(__xludf.DUMMYFUNCTION("""COMPUTED_VALUE"""),"20181105SCACC")</f>
        <v>20181105SCACC</v>
      </c>
      <c r="B1251" s="1">
        <f ca="1">IFERROR(__xludf.DUMMYFUNCTION("""COMPUTED_VALUE"""),11)</f>
        <v>11</v>
      </c>
      <c r="C1251" s="1">
        <f ca="1">IFERROR(__xludf.DUMMYFUNCTION("""COMPUTED_VALUE"""),5)</f>
        <v>5</v>
      </c>
      <c r="D1251" s="1">
        <f ca="1">IFERROR(__xludf.DUMMYFUNCTION("""COMPUTED_VALUE"""),2018)</f>
        <v>2018</v>
      </c>
      <c r="E1251" s="4">
        <f ca="1">IFERROR(__xludf.DUMMYFUNCTION("""COMPUTED_VALUE"""),43409)</f>
        <v>43409</v>
      </c>
      <c r="F1251" s="1" t="str">
        <f ca="1">IFERROR(__xludf.DUMMYFUNCTION("""COMPUTED_VALUE"""),"Academy of Hope")</f>
        <v>Academy of Hope</v>
      </c>
      <c r="G1251" s="1">
        <f ca="1">IFERROR(__xludf.DUMMYFUNCTION("""COMPUTED_VALUE"""),0)</f>
        <v>0</v>
      </c>
      <c r="H1251" s="1">
        <f ca="1">IFERROR(__xludf.DUMMYFUNCTION("""COMPUTED_VALUE"""),0)</f>
        <v>0</v>
      </c>
      <c r="I1251" s="1">
        <f ca="1">IFERROR(__xludf.DUMMYFUNCTION("""COMPUTED_VALUE"""),0)</f>
        <v>0</v>
      </c>
      <c r="J1251" s="1">
        <f ca="1">IFERROR(__xludf.DUMMYFUNCTION("""COMPUTED_VALUE"""),0)</f>
        <v>0</v>
      </c>
      <c r="K1251" s="1" t="str">
        <f ca="1">IFERROR(__xludf.DUMMYFUNCTION("""COMPUTED_VALUE"""),"Fall")</f>
        <v>Fall</v>
      </c>
      <c r="L1251" s="1" t="str">
        <f ca="1">IFERROR(__xludf.DUMMYFUNCTION("""COMPUTED_VALUE"""),"Conway")</f>
        <v>Conway</v>
      </c>
      <c r="M1251" s="1" t="str">
        <f ca="1">IFERROR(__xludf.DUMMYFUNCTION("""COMPUTED_VALUE"""),"SC")</f>
        <v>SC</v>
      </c>
      <c r="N1251" s="1" t="str">
        <f ca="1">IFERROR(__xludf.DUMMYFUNCTION("""COMPUTED_VALUE"""),"K-8")</f>
        <v>K-8</v>
      </c>
      <c r="O1251" s="1" t="str">
        <f ca="1">IFERROR(__xludf.DUMMYFUNCTION("""COMPUTED_VALUE"""),"Classroom")</f>
        <v>Classroom</v>
      </c>
      <c r="P1251" s="1" t="str">
        <f ca="1">IFERROR(__xludf.DUMMYFUNCTION("""COMPUTED_VALUE"""),"Inside School Building")</f>
        <v>Inside School Building</v>
      </c>
      <c r="Q1251" s="1" t="str">
        <f ca="1">IFERROR(__xludf.DUMMYFUNCTION("""COMPUTED_VALUE"""),"Yes")</f>
        <v>Yes</v>
      </c>
      <c r="R1251" s="1" t="str">
        <f ca="1">IFERROR(__xludf.DUMMYFUNCTION("""COMPUTED_VALUE"""),"Morning Classes")</f>
        <v>Morning Classes</v>
      </c>
      <c r="S1251" s="5">
        <f ca="1">IFERROR(__xludf.DUMMYFUNCTION("""COMPUTED_VALUE"""),0.458333333333333)</f>
        <v>0.45833333333333298</v>
      </c>
      <c r="T1251" s="1">
        <f ca="1">IFERROR(__xludf.DUMMYFUNCTION("""COMPUTED_VALUE"""),1)</f>
        <v>1</v>
      </c>
      <c r="U1251" s="1" t="str">
        <f ca="1">IFERROR(__xludf.DUMMYFUNCTION("""COMPUTED_VALUE"""),"Student fired bb gun at other student in classroom")</f>
        <v>Student fired bb gun at other student in classroom</v>
      </c>
      <c r="V1251" s="1" t="str">
        <f ca="1">IFERROR(__xludf.DUMMYFUNCTION("""COMPUTED_VALUE"""),"12YOM pulled out BB gun in classroom, pointed it at multiple students, and then fired at a 13YOM student. 13YOM student did not have injuries from the BB. Shooter was given juvenile summons and BB was taken by police.")</f>
        <v>12YOM pulled out BB gun in classroom, pointed it at multiple students, and then fired at a 13YOM student. 13YOM student did not have injuries from the BB. Shooter was given juvenile summons and BB was taken by police.</v>
      </c>
      <c r="W1251" s="1" t="str">
        <f ca="1">IFERROR(__xludf.DUMMYFUNCTION("""COMPUTED_VALUE"""),"Unknown")</f>
        <v>Unknown</v>
      </c>
      <c r="X1251" s="1"/>
      <c r="Y1251" s="1" t="str">
        <f ca="1">IFERROR(__xludf.DUMMYFUNCTION("""COMPUTED_VALUE"""),"No")</f>
        <v>No</v>
      </c>
      <c r="Z1251" s="1"/>
      <c r="AA1251" s="1" t="str">
        <f ca="1">IFERROR(__xludf.DUMMYFUNCTION("""COMPUTED_VALUE"""),"No")</f>
        <v>No</v>
      </c>
      <c r="AB1251" s="1" t="str">
        <f ca="1">IFERROR(__xludf.DUMMYFUNCTION("""COMPUTED_VALUE"""),"No")</f>
        <v>No</v>
      </c>
      <c r="AC1251" s="1" t="str">
        <f ca="1">IFERROR(__xludf.DUMMYFUNCTION("""COMPUTED_VALUE"""),"No")</f>
        <v>No</v>
      </c>
      <c r="AD1251" s="1"/>
      <c r="AE1251" s="1" t="str">
        <f ca="1">IFERROR(__xludf.DUMMYFUNCTION("""COMPUTED_VALUE"""),"No")</f>
        <v>No</v>
      </c>
      <c r="AF1251" s="1" t="str">
        <f ca="1">IFERROR(__xludf.DUMMYFUNCTION("""COMPUTED_VALUE"""),"No")</f>
        <v>No</v>
      </c>
      <c r="AG1251" s="1" t="str">
        <f ca="1">IFERROR(__xludf.DUMMYFUNCTION("""COMPUTED_VALUE"""),"No")</f>
        <v>No</v>
      </c>
      <c r="AH1251" s="1">
        <f ca="1">IFERROR(__xludf.DUMMYFUNCTION("""COMPUTED_VALUE"""),1)</f>
        <v>1</v>
      </c>
    </row>
    <row r="1252" spans="1:34" ht="12.5">
      <c r="A1252" s="1" t="str">
        <f ca="1">IFERROR(__xludf.DUMMYFUNCTION("""COMPUTED_VALUE"""),"20181104KYCRL")</f>
        <v>20181104KYCRL</v>
      </c>
      <c r="B1252" s="1">
        <f ca="1">IFERROR(__xludf.DUMMYFUNCTION("""COMPUTED_VALUE"""),11)</f>
        <v>11</v>
      </c>
      <c r="C1252" s="1">
        <f ca="1">IFERROR(__xludf.DUMMYFUNCTION("""COMPUTED_VALUE"""),4)</f>
        <v>4</v>
      </c>
      <c r="D1252" s="1">
        <f ca="1">IFERROR(__xludf.DUMMYFUNCTION("""COMPUTED_VALUE"""),2018)</f>
        <v>2018</v>
      </c>
      <c r="E1252" s="4">
        <f ca="1">IFERROR(__xludf.DUMMYFUNCTION("""COMPUTED_VALUE"""),43408)</f>
        <v>43408</v>
      </c>
      <c r="F1252" s="1" t="str">
        <f ca="1">IFERROR(__xludf.DUMMYFUNCTION("""COMPUTED_VALUE"""),"Crums Lane Elementary School")</f>
        <v>Crums Lane Elementary School</v>
      </c>
      <c r="G1252" s="1">
        <f ca="1">IFERROR(__xludf.DUMMYFUNCTION("""COMPUTED_VALUE"""),1)</f>
        <v>1</v>
      </c>
      <c r="H1252" s="1">
        <f ca="1">IFERROR(__xludf.DUMMYFUNCTION("""COMPUTED_VALUE"""),1)</f>
        <v>1</v>
      </c>
      <c r="I1252" s="1">
        <f ca="1">IFERROR(__xludf.DUMMYFUNCTION("""COMPUTED_VALUE"""),2)</f>
        <v>2</v>
      </c>
      <c r="J1252" s="1">
        <f ca="1">IFERROR(__xludf.DUMMYFUNCTION("""COMPUTED_VALUE"""),0)</f>
        <v>0</v>
      </c>
      <c r="K1252" s="1" t="str">
        <f ca="1">IFERROR(__xludf.DUMMYFUNCTION("""COMPUTED_VALUE"""),"Fall")</f>
        <v>Fall</v>
      </c>
      <c r="L1252" s="1" t="str">
        <f ca="1">IFERROR(__xludf.DUMMYFUNCTION("""COMPUTED_VALUE"""),"Louisville")</f>
        <v>Louisville</v>
      </c>
      <c r="M1252" s="1" t="str">
        <f ca="1">IFERROR(__xludf.DUMMYFUNCTION("""COMPUTED_VALUE"""),"KY")</f>
        <v>KY</v>
      </c>
      <c r="N1252" s="1" t="str">
        <f ca="1">IFERROR(__xludf.DUMMYFUNCTION("""COMPUTED_VALUE"""),"Elementary")</f>
        <v>Elementary</v>
      </c>
      <c r="O1252" s="1" t="str">
        <f ca="1">IFERROR(__xludf.DUMMYFUNCTION("""COMPUTED_VALUE"""),"Beside Building")</f>
        <v>Beside Building</v>
      </c>
      <c r="P1252" s="1" t="str">
        <f ca="1">IFERROR(__xludf.DUMMYFUNCTION("""COMPUTED_VALUE"""),"Outside on School Property")</f>
        <v>Outside on School Property</v>
      </c>
      <c r="Q1252" s="1" t="str">
        <f ca="1">IFERROR(__xludf.DUMMYFUNCTION("""COMPUTED_VALUE"""),"No")</f>
        <v>No</v>
      </c>
      <c r="R1252" s="1" t="str">
        <f ca="1">IFERROR(__xludf.DUMMYFUNCTION("""COMPUTED_VALUE"""),"Evening")</f>
        <v>Evening</v>
      </c>
      <c r="S1252" s="5">
        <f ca="1">IFERROR(__xludf.DUMMYFUNCTION("""COMPUTED_VALUE"""),0.747916666666666)</f>
        <v>0.74791666666666601</v>
      </c>
      <c r="T1252" s="1">
        <f ca="1">IFERROR(__xludf.DUMMYFUNCTION("""COMPUTED_VALUE"""),1)</f>
        <v>1</v>
      </c>
      <c r="U1252" s="1" t="str">
        <f ca="1">IFERROR(__xludf.DUMMYFUNCTION("""COMPUTED_VALUE"""),"Two men in their 20s shot outside of school by unknown shooter")</f>
        <v>Two men in their 20s shot outside of school by unknown shooter</v>
      </c>
      <c r="V1252" s="1" t="str">
        <f ca="1">IFERROR(__xludf.DUMMYFUNCTION("""COMPUTED_VALUE"""),"Two men in their 20's were shot outside of the elementary school by an unknown gunman. Motive unknown.")</f>
        <v>Two men in their 20's were shot outside of the elementary school by an unknown gunman. Motive unknown.</v>
      </c>
      <c r="W1252" s="1" t="str">
        <f ca="1">IFERROR(__xludf.DUMMYFUNCTION("""COMPUTED_VALUE"""),"Escalation of Dispute")</f>
        <v>Escalation of Dispute</v>
      </c>
      <c r="X1252" s="1"/>
      <c r="Y1252" s="1" t="str">
        <f ca="1">IFERROR(__xludf.DUMMYFUNCTION("""COMPUTED_VALUE"""),"No")</f>
        <v>No</v>
      </c>
      <c r="Z1252" s="1"/>
      <c r="AA1252" s="1" t="str">
        <f ca="1">IFERROR(__xludf.DUMMYFUNCTION("""COMPUTED_VALUE"""),"No")</f>
        <v>No</v>
      </c>
      <c r="AB1252" s="1" t="str">
        <f ca="1">IFERROR(__xludf.DUMMYFUNCTION("""COMPUTED_VALUE"""),"No")</f>
        <v>No</v>
      </c>
      <c r="AC1252" s="1" t="str">
        <f ca="1">IFERROR(__xludf.DUMMYFUNCTION("""COMPUTED_VALUE"""),"No")</f>
        <v>No</v>
      </c>
      <c r="AD1252" s="1" t="str">
        <f ca="1">IFERROR(__xludf.DUMMYFUNCTION("""COMPUTED_VALUE"""),"No")</f>
        <v>No</v>
      </c>
      <c r="AE1252" s="1" t="str">
        <f ca="1">IFERROR(__xludf.DUMMYFUNCTION("""COMPUTED_VALUE"""),"No")</f>
        <v>No</v>
      </c>
      <c r="AF1252" s="1"/>
      <c r="AG1252" s="1" t="str">
        <f ca="1">IFERROR(__xludf.DUMMYFUNCTION("""COMPUTED_VALUE"""),"No")</f>
        <v>No</v>
      </c>
      <c r="AH1252" s="1">
        <f ca="1">IFERROR(__xludf.DUMMYFUNCTION("""COMPUTED_VALUE"""),7)</f>
        <v>7</v>
      </c>
    </row>
    <row r="1253" spans="1:34" ht="12.5">
      <c r="A1253" s="1" t="str">
        <f ca="1">IFERROR(__xludf.DUMMYFUNCTION("""COMPUTED_VALUE"""),"20181029NCBUM")</f>
        <v>20181029NCBUM</v>
      </c>
      <c r="B1253" s="1">
        <f ca="1">IFERROR(__xludf.DUMMYFUNCTION("""COMPUTED_VALUE"""),10)</f>
        <v>10</v>
      </c>
      <c r="C1253" s="1">
        <f ca="1">IFERROR(__xludf.DUMMYFUNCTION("""COMPUTED_VALUE"""),29)</f>
        <v>29</v>
      </c>
      <c r="D1253" s="1">
        <f ca="1">IFERROR(__xludf.DUMMYFUNCTION("""COMPUTED_VALUE"""),2018)</f>
        <v>2018</v>
      </c>
      <c r="E1253" s="4">
        <f ca="1">IFERROR(__xludf.DUMMYFUNCTION("""COMPUTED_VALUE"""),43402)</f>
        <v>43402</v>
      </c>
      <c r="F1253" s="1" t="str">
        <f ca="1">IFERROR(__xludf.DUMMYFUNCTION("""COMPUTED_VALUE"""),"Butler High School")</f>
        <v>Butler High School</v>
      </c>
      <c r="G1253" s="1">
        <f ca="1">IFERROR(__xludf.DUMMYFUNCTION("""COMPUTED_VALUE"""),1)</f>
        <v>1</v>
      </c>
      <c r="H1253" s="1">
        <f ca="1">IFERROR(__xludf.DUMMYFUNCTION("""COMPUTED_VALUE"""),0)</f>
        <v>0</v>
      </c>
      <c r="I1253" s="1">
        <f ca="1">IFERROR(__xludf.DUMMYFUNCTION("""COMPUTED_VALUE"""),1)</f>
        <v>1</v>
      </c>
      <c r="J1253" s="1">
        <f ca="1">IFERROR(__xludf.DUMMYFUNCTION("""COMPUTED_VALUE"""),0)</f>
        <v>0</v>
      </c>
      <c r="K1253" s="1" t="str">
        <f ca="1">IFERROR(__xludf.DUMMYFUNCTION("""COMPUTED_VALUE"""),"Fall")</f>
        <v>Fall</v>
      </c>
      <c r="L1253" s="1" t="str">
        <f ca="1">IFERROR(__xludf.DUMMYFUNCTION("""COMPUTED_VALUE"""),"Matthews")</f>
        <v>Matthews</v>
      </c>
      <c r="M1253" s="1" t="str">
        <f ca="1">IFERROR(__xludf.DUMMYFUNCTION("""COMPUTED_VALUE"""),"NC")</f>
        <v>NC</v>
      </c>
      <c r="N1253" s="1" t="str">
        <f ca="1">IFERROR(__xludf.DUMMYFUNCTION("""COMPUTED_VALUE"""),"High")</f>
        <v>High</v>
      </c>
      <c r="O1253" s="1" t="str">
        <f ca="1">IFERROR(__xludf.DUMMYFUNCTION("""COMPUTED_VALUE"""),"Hallway")</f>
        <v>Hallway</v>
      </c>
      <c r="P1253" s="1" t="str">
        <f ca="1">IFERROR(__xludf.DUMMYFUNCTION("""COMPUTED_VALUE"""),"Inside School Building")</f>
        <v>Inside School Building</v>
      </c>
      <c r="Q1253" s="1" t="str">
        <f ca="1">IFERROR(__xludf.DUMMYFUNCTION("""COMPUTED_VALUE"""),"Yes")</f>
        <v>Yes</v>
      </c>
      <c r="R1253" s="1" t="str">
        <f ca="1">IFERROR(__xludf.DUMMYFUNCTION("""COMPUTED_VALUE"""),"Morning Classes")</f>
        <v>Morning Classes</v>
      </c>
      <c r="S1253" s="5">
        <f ca="1">IFERROR(__xludf.DUMMYFUNCTION("""COMPUTED_VALUE"""),0.302083333333333)</f>
        <v>0.30208333333333298</v>
      </c>
      <c r="T1253" s="1">
        <f ca="1">IFERROR(__xludf.DUMMYFUNCTION("""COMPUTED_VALUE"""),1)</f>
        <v>1</v>
      </c>
      <c r="U1253" s="1" t="str">
        <f ca="1">IFERROR(__xludf.DUMMYFUNCTION("""COMPUTED_VALUE"""),"Escalated fight the previous day involving multiple students")</f>
        <v>Escalated fight the previous day involving multiple students</v>
      </c>
      <c r="V1253" s="1" t="str">
        <f ca="1">IFERROR(__xludf.DUMMYFUNCTION("""COMPUTED_VALUE"""),"Two 16YOM students were fighting in front of the cafeteria in a crowded hallway and one of them pulled out a gun (stolen from a car) and shot the other. The victim died later at the hospital. An SRO was in the cafeteria, gave the victim first aid, apprehe"&amp;"nded the suspect, and seized the gun. The police had covered the scene in 10 minutes. Shooter and victim were involved in fight the day prior (multiple students, one had a knife). Police said bullying was not involved.")</f>
        <v>Two 16YOM students were fighting in front of the cafeteria in a crowded hallway and one of them pulled out a gun (stolen from a car) and shot the other. The victim died later at the hospital. An SRO was in the cafeteria, gave the victim first aid, apprehended the suspect, and seized the gun. The police had covered the scene in 10 minutes. Shooter and victim were involved in fight the day prior (multiple students, one had a knife). Police said bullying was not involved.</v>
      </c>
      <c r="W1253" s="1" t="str">
        <f ca="1">IFERROR(__xludf.DUMMYFUNCTION("""COMPUTED_VALUE"""),"Escalation of Dispute")</f>
        <v>Escalation of Dispute</v>
      </c>
      <c r="X1253" s="1" t="str">
        <f ca="1">IFERROR(__xludf.DUMMYFUNCTION("""COMPUTED_VALUE"""),"Victims Targeted")</f>
        <v>Victims Targeted</v>
      </c>
      <c r="Y1253" s="1" t="str">
        <f ca="1">IFERROR(__xludf.DUMMYFUNCTION("""COMPUTED_VALUE"""),"No")</f>
        <v>No</v>
      </c>
      <c r="Z1253" s="1"/>
      <c r="AA1253" s="1" t="str">
        <f ca="1">IFERROR(__xludf.DUMMYFUNCTION("""COMPUTED_VALUE"""),"No")</f>
        <v>No</v>
      </c>
      <c r="AB1253" s="1" t="str">
        <f ca="1">IFERROR(__xludf.DUMMYFUNCTION("""COMPUTED_VALUE"""),"No")</f>
        <v>No</v>
      </c>
      <c r="AC1253" s="1" t="str">
        <f ca="1">IFERROR(__xludf.DUMMYFUNCTION("""COMPUTED_VALUE"""),"No")</f>
        <v>No</v>
      </c>
      <c r="AD1253" s="1" t="str">
        <f ca="1">IFERROR(__xludf.DUMMYFUNCTION("""COMPUTED_VALUE"""),"Yes")</f>
        <v>Yes</v>
      </c>
      <c r="AE1253" s="1" t="str">
        <f ca="1">IFERROR(__xludf.DUMMYFUNCTION("""COMPUTED_VALUE"""),"No")</f>
        <v>No</v>
      </c>
      <c r="AF1253" s="1" t="str">
        <f ca="1">IFERROR(__xludf.DUMMYFUNCTION("""COMPUTED_VALUE"""),"No")</f>
        <v>No</v>
      </c>
      <c r="AG1253" s="1" t="str">
        <f ca="1">IFERROR(__xludf.DUMMYFUNCTION("""COMPUTED_VALUE"""),"No")</f>
        <v>No</v>
      </c>
      <c r="AH1253" s="1"/>
    </row>
    <row r="1254" spans="1:34" ht="12.5">
      <c r="A1254" s="1" t="str">
        <f ca="1">IFERROR(__xludf.DUMMYFUNCTION("""COMPUTED_VALUE"""),"20181026FLSAO")</f>
        <v>20181026FLSAO</v>
      </c>
      <c r="B1254" s="1">
        <f ca="1">IFERROR(__xludf.DUMMYFUNCTION("""COMPUTED_VALUE"""),10)</f>
        <v>10</v>
      </c>
      <c r="C1254" s="1">
        <f ca="1">IFERROR(__xludf.DUMMYFUNCTION("""COMPUTED_VALUE"""),26)</f>
        <v>26</v>
      </c>
      <c r="D1254" s="1">
        <f ca="1">IFERROR(__xludf.DUMMYFUNCTION("""COMPUTED_VALUE"""),2018)</f>
        <v>2018</v>
      </c>
      <c r="E1254" s="4">
        <f ca="1">IFERROR(__xludf.DUMMYFUNCTION("""COMPUTED_VALUE"""),43399)</f>
        <v>43399</v>
      </c>
      <c r="F1254" s="1" t="str">
        <f ca="1">IFERROR(__xludf.DUMMYFUNCTION("""COMPUTED_VALUE"""),"Saddlewood Elementary School")</f>
        <v>Saddlewood Elementary School</v>
      </c>
      <c r="G1254" s="1">
        <f ca="1">IFERROR(__xludf.DUMMYFUNCTION("""COMPUTED_VALUE"""),1)</f>
        <v>1</v>
      </c>
      <c r="H1254" s="1">
        <f ca="1">IFERROR(__xludf.DUMMYFUNCTION("""COMPUTED_VALUE"""),0)</f>
        <v>0</v>
      </c>
      <c r="I1254" s="1">
        <f ca="1">IFERROR(__xludf.DUMMYFUNCTION("""COMPUTED_VALUE"""),1)</f>
        <v>1</v>
      </c>
      <c r="J1254" s="1">
        <f ca="1">IFERROR(__xludf.DUMMYFUNCTION("""COMPUTED_VALUE"""),0)</f>
        <v>0</v>
      </c>
      <c r="K1254" s="1" t="str">
        <f ca="1">IFERROR(__xludf.DUMMYFUNCTION("""COMPUTED_VALUE"""),"Fall")</f>
        <v>Fall</v>
      </c>
      <c r="L1254" s="1" t="str">
        <f ca="1">IFERROR(__xludf.DUMMYFUNCTION("""COMPUTED_VALUE"""),"Ocala")</f>
        <v>Ocala</v>
      </c>
      <c r="M1254" s="1" t="str">
        <f ca="1">IFERROR(__xludf.DUMMYFUNCTION("""COMPUTED_VALUE"""),"FL")</f>
        <v>FL</v>
      </c>
      <c r="N1254" s="1" t="str">
        <f ca="1">IFERROR(__xludf.DUMMYFUNCTION("""COMPUTED_VALUE"""),"Elementary")</f>
        <v>Elementary</v>
      </c>
      <c r="O1254" s="1" t="str">
        <f ca="1">IFERROR(__xludf.DUMMYFUNCTION("""COMPUTED_VALUE"""),"Front of School")</f>
        <v>Front of School</v>
      </c>
      <c r="P1254" s="1" t="str">
        <f ca="1">IFERROR(__xludf.DUMMYFUNCTION("""COMPUTED_VALUE"""),"Outside on School Property")</f>
        <v>Outside on School Property</v>
      </c>
      <c r="Q1254" s="1" t="str">
        <f ca="1">IFERROR(__xludf.DUMMYFUNCTION("""COMPUTED_VALUE"""),"No")</f>
        <v>No</v>
      </c>
      <c r="R1254" s="1" t="str">
        <f ca="1">IFERROR(__xludf.DUMMYFUNCTION("""COMPUTED_VALUE"""),"School Event")</f>
        <v>School Event</v>
      </c>
      <c r="S1254" s="5">
        <f ca="1">IFERROR(__xludf.DUMMYFUNCTION("""COMPUTED_VALUE"""),0.833333333333333)</f>
        <v>0.83333333333333304</v>
      </c>
      <c r="T1254" s="1">
        <f ca="1">IFERROR(__xludf.DUMMYFUNCTION("""COMPUTED_VALUE"""),1)</f>
        <v>1</v>
      </c>
      <c r="U1254" s="1" t="str">
        <f ca="1">IFERROR(__xludf.DUMMYFUNCTION("""COMPUTED_VALUE"""),"Man shot during drug deal outside of school (Halloween party inside)")</f>
        <v>Man shot during drug deal outside of school (Halloween party inside)</v>
      </c>
      <c r="V1254" s="1" t="str">
        <f ca="1">IFERROR(__xludf.DUMMYFUNCTION("""COMPUTED_VALUE"""),"An 18-year-old man was fatally shot in the front of the school during a drug deal. 1,200 students, parents, and staff were inside the school for a Halloween party. School was locked down and students sheltered inside bathrooms. Shooter fled.")</f>
        <v>An 18-year-old man was fatally shot in the front of the school during a drug deal. 1,200 students, parents, and staff were inside the school for a Halloween party. School was locked down and students sheltered inside bathrooms. Shooter fled.</v>
      </c>
      <c r="W1254" s="1" t="str">
        <f ca="1">IFERROR(__xludf.DUMMYFUNCTION("""COMPUTED_VALUE"""),"Illegal Activity")</f>
        <v>Illegal Activity</v>
      </c>
      <c r="X1254" s="1" t="str">
        <f ca="1">IFERROR(__xludf.DUMMYFUNCTION("""COMPUTED_VALUE"""),"Victims Targeted")</f>
        <v>Victims Targeted</v>
      </c>
      <c r="Y1254" s="1" t="str">
        <f ca="1">IFERROR(__xludf.DUMMYFUNCTION("""COMPUTED_VALUE"""),"Yes")</f>
        <v>Yes</v>
      </c>
      <c r="Z1254" s="1" t="str">
        <f ca="1">IFERROR(__xludf.DUMMYFUNCTION("""COMPUTED_VALUE"""),"3 charged")</f>
        <v>3 charged</v>
      </c>
      <c r="AA1254" s="1" t="str">
        <f ca="1">IFERROR(__xludf.DUMMYFUNCTION("""COMPUTED_VALUE"""),"No")</f>
        <v>No</v>
      </c>
      <c r="AB1254" s="1" t="str">
        <f ca="1">IFERROR(__xludf.DUMMYFUNCTION("""COMPUTED_VALUE"""),"No")</f>
        <v>No</v>
      </c>
      <c r="AC1254" s="1" t="str">
        <f ca="1">IFERROR(__xludf.DUMMYFUNCTION("""COMPUTED_VALUE"""),"No")</f>
        <v>No</v>
      </c>
      <c r="AD1254" s="1" t="str">
        <f ca="1">IFERROR(__xludf.DUMMYFUNCTION("""COMPUTED_VALUE"""),"No")</f>
        <v>No</v>
      </c>
      <c r="AE1254" s="1" t="str">
        <f ca="1">IFERROR(__xludf.DUMMYFUNCTION("""COMPUTED_VALUE"""),"No")</f>
        <v>No</v>
      </c>
      <c r="AF1254" s="1" t="str">
        <f ca="1">IFERROR(__xludf.DUMMYFUNCTION("""COMPUTED_VALUE"""),"No")</f>
        <v>No</v>
      </c>
      <c r="AG1254" s="1" t="str">
        <f ca="1">IFERROR(__xludf.DUMMYFUNCTION("""COMPUTED_VALUE"""),"No")</f>
        <v>No</v>
      </c>
      <c r="AH1254" s="1">
        <f ca="1">IFERROR(__xludf.DUMMYFUNCTION("""COMPUTED_VALUE"""),99)</f>
        <v>99</v>
      </c>
    </row>
    <row r="1255" spans="1:34" ht="12.5">
      <c r="A1255" s="1" t="str">
        <f ca="1">IFERROR(__xludf.DUMMYFUNCTION("""COMPUTED_VALUE"""),"20181025MICOD")</f>
        <v>20181025MICOD</v>
      </c>
      <c r="B1255" s="1">
        <f ca="1">IFERROR(__xludf.DUMMYFUNCTION("""COMPUTED_VALUE"""),10)</f>
        <v>10</v>
      </c>
      <c r="C1255" s="1">
        <f ca="1">IFERROR(__xludf.DUMMYFUNCTION("""COMPUTED_VALUE"""),25)</f>
        <v>25</v>
      </c>
      <c r="D1255" s="1">
        <f ca="1">IFERROR(__xludf.DUMMYFUNCTION("""COMPUTED_VALUE"""),2018)</f>
        <v>2018</v>
      </c>
      <c r="E1255" s="4">
        <f ca="1">IFERROR(__xludf.DUMMYFUNCTION("""COMPUTED_VALUE"""),43398)</f>
        <v>43398</v>
      </c>
      <c r="F1255" s="1" t="str">
        <f ca="1">IFERROR(__xludf.DUMMYFUNCTION("""COMPUTED_VALUE"""),"Cody High School")</f>
        <v>Cody High School</v>
      </c>
      <c r="G1255" s="1">
        <f ca="1">IFERROR(__xludf.DUMMYFUNCTION("""COMPUTED_VALUE"""),0)</f>
        <v>0</v>
      </c>
      <c r="H1255" s="1">
        <f ca="1">IFERROR(__xludf.DUMMYFUNCTION("""COMPUTED_VALUE"""),0)</f>
        <v>0</v>
      </c>
      <c r="I1255" s="1">
        <f ca="1">IFERROR(__xludf.DUMMYFUNCTION("""COMPUTED_VALUE"""),0)</f>
        <v>0</v>
      </c>
      <c r="J1255" s="1">
        <f ca="1">IFERROR(__xludf.DUMMYFUNCTION("""COMPUTED_VALUE"""),0)</f>
        <v>0</v>
      </c>
      <c r="K1255" s="1" t="str">
        <f ca="1">IFERROR(__xludf.DUMMYFUNCTION("""COMPUTED_VALUE"""),"Fall")</f>
        <v>Fall</v>
      </c>
      <c r="L1255" s="1" t="str">
        <f ca="1">IFERROR(__xludf.DUMMYFUNCTION("""COMPUTED_VALUE"""),"Detroit")</f>
        <v>Detroit</v>
      </c>
      <c r="M1255" s="1" t="str">
        <f ca="1">IFERROR(__xludf.DUMMYFUNCTION("""COMPUTED_VALUE"""),"MI")</f>
        <v>MI</v>
      </c>
      <c r="N1255" s="1" t="str">
        <f ca="1">IFERROR(__xludf.DUMMYFUNCTION("""COMPUTED_VALUE"""),"High")</f>
        <v>High</v>
      </c>
      <c r="O1255" s="1" t="str">
        <f ca="1">IFERROR(__xludf.DUMMYFUNCTION("""COMPUTED_VALUE"""),"Outside on School Property")</f>
        <v>Outside on School Property</v>
      </c>
      <c r="P1255" s="1" t="str">
        <f ca="1">IFERROR(__xludf.DUMMYFUNCTION("""COMPUTED_VALUE"""),"Outside on School Property")</f>
        <v>Outside on School Property</v>
      </c>
      <c r="Q1255" s="1"/>
      <c r="R1255" s="1"/>
      <c r="S1255" s="1"/>
      <c r="T1255" s="1">
        <f ca="1">IFERROR(__xludf.DUMMYFUNCTION("""COMPUTED_VALUE"""),1)</f>
        <v>1</v>
      </c>
      <c r="U1255" s="1" t="str">
        <f ca="1">IFERROR(__xludf.DUMMYFUNCTION("""COMPUTED_VALUE"""),"Student shot at on school property, shots missed")</f>
        <v>Student shot at on school property, shots missed</v>
      </c>
      <c r="V1255" s="1" t="str">
        <f ca="1">IFERROR(__xludf.DUMMYFUNCTION("""COMPUTED_VALUE"""),"15YOM student was shot at on school property. All shots missed. The shooter fled. Police arrested 3 suspects in a vehicle related to the shooting.")</f>
        <v>15YOM student was shot at on school property. All shots missed. The shooter fled. Police arrested 3 suspects in a vehicle related to the shooting.</v>
      </c>
      <c r="W1255" s="1" t="str">
        <f ca="1">IFERROR(__xludf.DUMMYFUNCTION("""COMPUTED_VALUE"""),"Drive-by Shooting")</f>
        <v>Drive-by Shooting</v>
      </c>
      <c r="X1255" s="1" t="str">
        <f ca="1">IFERROR(__xludf.DUMMYFUNCTION("""COMPUTED_VALUE"""),"Victims Targeted")</f>
        <v>Victims Targeted</v>
      </c>
      <c r="Y1255" s="1" t="str">
        <f ca="1">IFERROR(__xludf.DUMMYFUNCTION("""COMPUTED_VALUE"""),"Yes")</f>
        <v>Yes</v>
      </c>
      <c r="Z1255" s="1" t="str">
        <f ca="1">IFERROR(__xludf.DUMMYFUNCTION("""COMPUTED_VALUE"""),"3 arrested")</f>
        <v>3 arrested</v>
      </c>
      <c r="AA1255" s="1" t="str">
        <f ca="1">IFERROR(__xludf.DUMMYFUNCTION("""COMPUTED_VALUE"""),"No")</f>
        <v>No</v>
      </c>
      <c r="AB1255" s="1" t="str">
        <f ca="1">IFERROR(__xludf.DUMMYFUNCTION("""COMPUTED_VALUE"""),"No")</f>
        <v>No</v>
      </c>
      <c r="AC1255" s="1" t="str">
        <f ca="1">IFERROR(__xludf.DUMMYFUNCTION("""COMPUTED_VALUE"""),"No")</f>
        <v>No</v>
      </c>
      <c r="AD1255" s="1" t="str">
        <f ca="1">IFERROR(__xludf.DUMMYFUNCTION("""COMPUTED_VALUE"""),"No")</f>
        <v>No</v>
      </c>
      <c r="AE1255" s="1" t="str">
        <f ca="1">IFERROR(__xludf.DUMMYFUNCTION("""COMPUTED_VALUE"""),"No")</f>
        <v>No</v>
      </c>
      <c r="AF1255" s="1"/>
      <c r="AG1255" s="1" t="str">
        <f ca="1">IFERROR(__xludf.DUMMYFUNCTION("""COMPUTED_VALUE"""),"No")</f>
        <v>No</v>
      </c>
      <c r="AH1255" s="1"/>
    </row>
    <row r="1256" spans="1:34" ht="12.5">
      <c r="A1256" s="1" t="str">
        <f ca="1">IFERROR(__xludf.DUMMYFUNCTION("""COMPUTED_VALUE"""),"20181023NHGOM")</f>
        <v>20181023NHGOM</v>
      </c>
      <c r="B1256" s="1">
        <f ca="1">IFERROR(__xludf.DUMMYFUNCTION("""COMPUTED_VALUE"""),10)</f>
        <v>10</v>
      </c>
      <c r="C1256" s="1">
        <f ca="1">IFERROR(__xludf.DUMMYFUNCTION("""COMPUTED_VALUE"""),23)</f>
        <v>23</v>
      </c>
      <c r="D1256" s="1">
        <f ca="1">IFERROR(__xludf.DUMMYFUNCTION("""COMPUTED_VALUE"""),2018)</f>
        <v>2018</v>
      </c>
      <c r="E1256" s="4">
        <f ca="1">IFERROR(__xludf.DUMMYFUNCTION("""COMPUTED_VALUE"""),43396)</f>
        <v>43396</v>
      </c>
      <c r="F1256" s="1" t="str">
        <f ca="1">IFERROR(__xludf.DUMMYFUNCTION("""COMPUTED_VALUE"""),"Gossler Park Elementary School")</f>
        <v>Gossler Park Elementary School</v>
      </c>
      <c r="G1256" s="1">
        <f ca="1">IFERROR(__xludf.DUMMYFUNCTION("""COMPUTED_VALUE"""),0)</f>
        <v>0</v>
      </c>
      <c r="H1256" s="1">
        <f ca="1">IFERROR(__xludf.DUMMYFUNCTION("""COMPUTED_VALUE"""),1)</f>
        <v>1</v>
      </c>
      <c r="I1256" s="1">
        <f ca="1">IFERROR(__xludf.DUMMYFUNCTION("""COMPUTED_VALUE"""),1)</f>
        <v>1</v>
      </c>
      <c r="J1256" s="1">
        <f ca="1">IFERROR(__xludf.DUMMYFUNCTION("""COMPUTED_VALUE"""),0)</f>
        <v>0</v>
      </c>
      <c r="K1256" s="1" t="str">
        <f ca="1">IFERROR(__xludf.DUMMYFUNCTION("""COMPUTED_VALUE"""),"Fall")</f>
        <v>Fall</v>
      </c>
      <c r="L1256" s="1" t="str">
        <f ca="1">IFERROR(__xludf.DUMMYFUNCTION("""COMPUTED_VALUE"""),"Manchester")</f>
        <v>Manchester</v>
      </c>
      <c r="M1256" s="1" t="str">
        <f ca="1">IFERROR(__xludf.DUMMYFUNCTION("""COMPUTED_VALUE"""),"NH")</f>
        <v>NH</v>
      </c>
      <c r="N1256" s="1" t="str">
        <f ca="1">IFERROR(__xludf.DUMMYFUNCTION("""COMPUTED_VALUE"""),"Elementary")</f>
        <v>Elementary</v>
      </c>
      <c r="O1256" s="1" t="str">
        <f ca="1">IFERROR(__xludf.DUMMYFUNCTION("""COMPUTED_VALUE"""),"Playground")</f>
        <v>Playground</v>
      </c>
      <c r="P1256" s="1" t="str">
        <f ca="1">IFERROR(__xludf.DUMMYFUNCTION("""COMPUTED_VALUE"""),"Outside on School Property")</f>
        <v>Outside on School Property</v>
      </c>
      <c r="Q1256" s="1" t="str">
        <f ca="1">IFERROR(__xludf.DUMMYFUNCTION("""COMPUTED_VALUE"""),"Yes")</f>
        <v>Yes</v>
      </c>
      <c r="R1256" s="1" t="str">
        <f ca="1">IFERROR(__xludf.DUMMYFUNCTION("""COMPUTED_VALUE"""),"Afternoon Classes")</f>
        <v>Afternoon Classes</v>
      </c>
      <c r="S1256" s="1"/>
      <c r="T1256" s="1">
        <f ca="1">IFERROR(__xludf.DUMMYFUNCTION("""COMPUTED_VALUE"""),1)</f>
        <v>1</v>
      </c>
      <c r="U1256" s="1" t="str">
        <f ca="1">IFERROR(__xludf.DUMMYFUNCTION("""COMPUTED_VALUE"""),"Unknown shooter fired pellet gun at students and teacher from the tree line near the school")</f>
        <v>Unknown shooter fired pellet gun at students and teacher from the tree line near the school</v>
      </c>
      <c r="V1256" s="1" t="str">
        <f ca="1">IFERROR(__xludf.DUMMYFUNCTION("""COMPUTED_VALUE"""),"Unknown shooter fired pellet gun at students on the playground from the tree line near the school. A teacher was struck and injured. Police responded but the unidentified shooter fled.")</f>
        <v>Unknown shooter fired pellet gun at students on the playground from the tree line near the school. A teacher was struck and injured. Police responded but the unidentified shooter fled.</v>
      </c>
      <c r="W1256" s="1" t="str">
        <f ca="1">IFERROR(__xludf.DUMMYFUNCTION("""COMPUTED_VALUE"""),"Indiscriminate Shooting")</f>
        <v>Indiscriminate Shooting</v>
      </c>
      <c r="X1256" s="1" t="str">
        <f ca="1">IFERROR(__xludf.DUMMYFUNCTION("""COMPUTED_VALUE"""),"Random Shooting")</f>
        <v>Random Shooting</v>
      </c>
      <c r="Y1256" s="1" t="str">
        <f ca="1">IFERROR(__xludf.DUMMYFUNCTION("""COMPUTED_VALUE"""),"No")</f>
        <v>No</v>
      </c>
      <c r="Z1256" s="1"/>
      <c r="AA1256" s="1" t="str">
        <f ca="1">IFERROR(__xludf.DUMMYFUNCTION("""COMPUTED_VALUE"""),"No")</f>
        <v>No</v>
      </c>
      <c r="AB1256" s="1" t="str">
        <f ca="1">IFERROR(__xludf.DUMMYFUNCTION("""COMPUTED_VALUE"""),"No")</f>
        <v>No</v>
      </c>
      <c r="AC1256" s="1" t="str">
        <f ca="1">IFERROR(__xludf.DUMMYFUNCTION("""COMPUTED_VALUE"""),"No")</f>
        <v>No</v>
      </c>
      <c r="AD1256" s="1"/>
      <c r="AE1256" s="1" t="str">
        <f ca="1">IFERROR(__xludf.DUMMYFUNCTION("""COMPUTED_VALUE"""),"No")</f>
        <v>No</v>
      </c>
      <c r="AF1256" s="1" t="str">
        <f ca="1">IFERROR(__xludf.DUMMYFUNCTION("""COMPUTED_VALUE"""),"No")</f>
        <v>No</v>
      </c>
      <c r="AG1256" s="1" t="str">
        <f ca="1">IFERROR(__xludf.DUMMYFUNCTION("""COMPUTED_VALUE"""),"No")</f>
        <v>No</v>
      </c>
      <c r="AH1256" s="1" t="str">
        <f ca="1">IFERROR(__xludf.DUMMYFUNCTION("""COMPUTED_VALUE"""),"&lt;10")</f>
        <v>&lt;10</v>
      </c>
    </row>
    <row r="1257" spans="1:34" ht="12.5">
      <c r="A1257" s="1" t="str">
        <f ca="1">IFERROR(__xludf.DUMMYFUNCTION("""COMPUTED_VALUE"""),"20181022CTDUB")</f>
        <v>20181022CTDUB</v>
      </c>
      <c r="B1257" s="1">
        <f ca="1">IFERROR(__xludf.DUMMYFUNCTION("""COMPUTED_VALUE"""),10)</f>
        <v>10</v>
      </c>
      <c r="C1257" s="1">
        <f ca="1">IFERROR(__xludf.DUMMYFUNCTION("""COMPUTED_VALUE"""),22)</f>
        <v>22</v>
      </c>
      <c r="D1257" s="1">
        <f ca="1">IFERROR(__xludf.DUMMYFUNCTION("""COMPUTED_VALUE"""),2018)</f>
        <v>2018</v>
      </c>
      <c r="E1257" s="4">
        <f ca="1">IFERROR(__xludf.DUMMYFUNCTION("""COMPUTED_VALUE"""),43395)</f>
        <v>43395</v>
      </c>
      <c r="F1257" s="1" t="str">
        <f ca="1">IFERROR(__xludf.DUMMYFUNCTION("""COMPUTED_VALUE"""),"Dunbar Elementary School")</f>
        <v>Dunbar Elementary School</v>
      </c>
      <c r="G1257" s="1">
        <f ca="1">IFERROR(__xludf.DUMMYFUNCTION("""COMPUTED_VALUE"""),0)</f>
        <v>0</v>
      </c>
      <c r="H1257" s="1">
        <f ca="1">IFERROR(__xludf.DUMMYFUNCTION("""COMPUTED_VALUE"""),0)</f>
        <v>0</v>
      </c>
      <c r="I1257" s="1">
        <f ca="1">IFERROR(__xludf.DUMMYFUNCTION("""COMPUTED_VALUE"""),0)</f>
        <v>0</v>
      </c>
      <c r="J1257" s="1">
        <f ca="1">IFERROR(__xludf.DUMMYFUNCTION("""COMPUTED_VALUE"""),0)</f>
        <v>0</v>
      </c>
      <c r="K1257" s="1" t="str">
        <f ca="1">IFERROR(__xludf.DUMMYFUNCTION("""COMPUTED_VALUE"""),"Fall")</f>
        <v>Fall</v>
      </c>
      <c r="L1257" s="1" t="str">
        <f ca="1">IFERROR(__xludf.DUMMYFUNCTION("""COMPUTED_VALUE"""),"Bridgeport")</f>
        <v>Bridgeport</v>
      </c>
      <c r="M1257" s="1" t="str">
        <f ca="1">IFERROR(__xludf.DUMMYFUNCTION("""COMPUTED_VALUE"""),"CT")</f>
        <v>CT</v>
      </c>
      <c r="N1257" s="1" t="str">
        <f ca="1">IFERROR(__xludf.DUMMYFUNCTION("""COMPUTED_VALUE"""),"Elementary")</f>
        <v>Elementary</v>
      </c>
      <c r="O1257" s="1" t="str">
        <f ca="1">IFERROR(__xludf.DUMMYFUNCTION("""COMPUTED_VALUE"""),"Off School Property")</f>
        <v>Off School Property</v>
      </c>
      <c r="P1257" s="1" t="str">
        <f ca="1">IFERROR(__xludf.DUMMYFUNCTION("""COMPUTED_VALUE"""),"Off School Property")</f>
        <v>Off School Property</v>
      </c>
      <c r="Q1257" s="1" t="str">
        <f ca="1">IFERROR(__xludf.DUMMYFUNCTION("""COMPUTED_VALUE"""),"No")</f>
        <v>No</v>
      </c>
      <c r="R1257" s="1" t="str">
        <f ca="1">IFERROR(__xludf.DUMMYFUNCTION("""COMPUTED_VALUE"""),"Before School")</f>
        <v>Before School</v>
      </c>
      <c r="S1257" s="5">
        <f ca="1">IFERROR(__xludf.DUMMYFUNCTION("""COMPUTED_VALUE"""),0.333333333333333)</f>
        <v>0.33333333333333298</v>
      </c>
      <c r="T1257" s="1">
        <f ca="1">IFERROR(__xludf.DUMMYFUNCTION("""COMPUTED_VALUE"""),1)</f>
        <v>1</v>
      </c>
      <c r="U1257" s="1" t="str">
        <f ca="1">IFERROR(__xludf.DUMMYFUNCTION("""COMPUTED_VALUE"""),"18YOM fired shot at mother's boyfriend, shot missed and struck school window")</f>
        <v>18YOM fired shot at mother's boyfriend, shot missed and struck school window</v>
      </c>
      <c r="V1257" s="1" t="str">
        <f ca="1">IFERROR(__xludf.DUMMYFUNCTION("""COMPUTED_VALUE"""),"18YOM fired shot at mother's boyfriend during dispute. The bullet missed and struck the window of the elementary school. No students were inside the building.")</f>
        <v>18YOM fired shot at mother's boyfriend during dispute. The bullet missed and struck the window of the elementary school. No students were inside the building.</v>
      </c>
      <c r="W1257" s="1" t="str">
        <f ca="1">IFERROR(__xludf.DUMMYFUNCTION("""COMPUTED_VALUE"""),"Escalation of Dispute")</f>
        <v>Escalation of Dispute</v>
      </c>
      <c r="X1257" s="1" t="str">
        <f ca="1">IFERROR(__xludf.DUMMYFUNCTION("""COMPUTED_VALUE"""),"Victims Targeted")</f>
        <v>Victims Targeted</v>
      </c>
      <c r="Y1257" s="1" t="str">
        <f ca="1">IFERROR(__xludf.DUMMYFUNCTION("""COMPUTED_VALUE"""),"No")</f>
        <v>No</v>
      </c>
      <c r="Z1257" s="1"/>
      <c r="AA1257" s="1" t="str">
        <f ca="1">IFERROR(__xludf.DUMMYFUNCTION("""COMPUTED_VALUE"""),"No")</f>
        <v>No</v>
      </c>
      <c r="AB1257" s="1" t="str">
        <f ca="1">IFERROR(__xludf.DUMMYFUNCTION("""COMPUTED_VALUE"""),"No")</f>
        <v>No</v>
      </c>
      <c r="AC1257" s="1" t="str">
        <f ca="1">IFERROR(__xludf.DUMMYFUNCTION("""COMPUTED_VALUE"""),"No")</f>
        <v>No</v>
      </c>
      <c r="AD1257" s="1" t="str">
        <f ca="1">IFERROR(__xludf.DUMMYFUNCTION("""COMPUTED_VALUE"""),"No")</f>
        <v>No</v>
      </c>
      <c r="AE1257" s="1" t="str">
        <f ca="1">IFERROR(__xludf.DUMMYFUNCTION("""COMPUTED_VALUE"""),"Yes")</f>
        <v>Yes</v>
      </c>
      <c r="AF1257" s="1" t="str">
        <f ca="1">IFERROR(__xludf.DUMMYFUNCTION("""COMPUTED_VALUE"""),"No")</f>
        <v>No</v>
      </c>
      <c r="AG1257" s="1" t="str">
        <f ca="1">IFERROR(__xludf.DUMMYFUNCTION("""COMPUTED_VALUE"""),"No")</f>
        <v>No</v>
      </c>
      <c r="AH1257" s="1" t="str">
        <f ca="1">IFERROR(__xludf.DUMMYFUNCTION("""COMPUTED_VALUE"""),"&lt;10")</f>
        <v>&lt;10</v>
      </c>
    </row>
    <row r="1258" spans="1:34" ht="12.5">
      <c r="A1258" s="1" t="str">
        <f ca="1">IFERROR(__xludf.DUMMYFUNCTION("""COMPUTED_VALUE"""),"20181020GASHS")</f>
        <v>20181020GASHS</v>
      </c>
      <c r="B1258" s="1">
        <f ca="1">IFERROR(__xludf.DUMMYFUNCTION("""COMPUTED_VALUE"""),10)</f>
        <v>10</v>
      </c>
      <c r="C1258" s="1">
        <f ca="1">IFERROR(__xludf.DUMMYFUNCTION("""COMPUTED_VALUE"""),20)</f>
        <v>20</v>
      </c>
      <c r="D1258" s="1">
        <f ca="1">IFERROR(__xludf.DUMMYFUNCTION("""COMPUTED_VALUE"""),2018)</f>
        <v>2018</v>
      </c>
      <c r="E1258" s="4">
        <f ca="1">IFERROR(__xludf.DUMMYFUNCTION("""COMPUTED_VALUE"""),43393)</f>
        <v>43393</v>
      </c>
      <c r="F1258" s="1" t="str">
        <f ca="1">IFERROR(__xludf.DUMMYFUNCTION("""COMPUTED_VALUE"""),"Shiloh Middle School")</f>
        <v>Shiloh Middle School</v>
      </c>
      <c r="G1258" s="1">
        <f ca="1">IFERROR(__xludf.DUMMYFUNCTION("""COMPUTED_VALUE"""),1)</f>
        <v>1</v>
      </c>
      <c r="H1258" s="1">
        <f ca="1">IFERROR(__xludf.DUMMYFUNCTION("""COMPUTED_VALUE"""),0)</f>
        <v>0</v>
      </c>
      <c r="I1258" s="1">
        <f ca="1">IFERROR(__xludf.DUMMYFUNCTION("""COMPUTED_VALUE"""),1)</f>
        <v>1</v>
      </c>
      <c r="J1258" s="1">
        <f ca="1">IFERROR(__xludf.DUMMYFUNCTION("""COMPUTED_VALUE"""),0)</f>
        <v>0</v>
      </c>
      <c r="K1258" s="1" t="str">
        <f ca="1">IFERROR(__xludf.DUMMYFUNCTION("""COMPUTED_VALUE"""),"Fall")</f>
        <v>Fall</v>
      </c>
      <c r="L1258" s="1" t="str">
        <f ca="1">IFERROR(__xludf.DUMMYFUNCTION("""COMPUTED_VALUE"""),"Snellville")</f>
        <v>Snellville</v>
      </c>
      <c r="M1258" s="1" t="str">
        <f ca="1">IFERROR(__xludf.DUMMYFUNCTION("""COMPUTED_VALUE"""),"GA")</f>
        <v>GA</v>
      </c>
      <c r="N1258" s="1" t="str">
        <f ca="1">IFERROR(__xludf.DUMMYFUNCTION("""COMPUTED_VALUE"""),"Middle")</f>
        <v>Middle</v>
      </c>
      <c r="O1258" s="1" t="str">
        <f ca="1">IFERROR(__xludf.DUMMYFUNCTION("""COMPUTED_VALUE"""),"Beside Building")</f>
        <v>Beside Building</v>
      </c>
      <c r="P1258" s="1" t="str">
        <f ca="1">IFERROR(__xludf.DUMMYFUNCTION("""COMPUTED_VALUE"""),"Outside on School Property")</f>
        <v>Outside on School Property</v>
      </c>
      <c r="Q1258" s="1" t="str">
        <f ca="1">IFERROR(__xludf.DUMMYFUNCTION("""COMPUTED_VALUE"""),"No")</f>
        <v>No</v>
      </c>
      <c r="R1258" s="1" t="str">
        <f ca="1">IFERROR(__xludf.DUMMYFUNCTION("""COMPUTED_VALUE"""),"Not a School Day")</f>
        <v>Not a School Day</v>
      </c>
      <c r="S1258" s="5">
        <f ca="1">IFERROR(__xludf.DUMMYFUNCTION("""COMPUTED_VALUE"""),0.625)</f>
        <v>0.625</v>
      </c>
      <c r="T1258" s="1">
        <f ca="1">IFERROR(__xludf.DUMMYFUNCTION("""COMPUTED_VALUE"""),1)</f>
        <v>1</v>
      </c>
      <c r="U1258" s="1" t="str">
        <f ca="1">IFERROR(__xludf.DUMMYFUNCTION("""COMPUTED_VALUE"""),"Police officer shot and killed investigating car parked behind school")</f>
        <v>Police officer shot and killed investigating car parked behind school</v>
      </c>
      <c r="V1258" s="1" t="str">
        <f ca="1">IFERROR(__xludf.DUMMYFUNCTION("""COMPUTED_VALUE"""),"Police officer was shot and killed by 18YOM while investigating a suspicious vehicle parked behind the school. Suspect fled, crashed vehicle, and then ran from the area. Later arrested, charged, and convicted. 2 other people in the car during the shooting"&amp;" were also arrested and convicted.")</f>
        <v>Police officer was shot and killed by 18YOM while investigating a suspicious vehicle parked behind the school. Suspect fled, crashed vehicle, and then ran from the area. Later arrested, charged, and convicted. 2 other people in the car during the shooting were also arrested and convicted.</v>
      </c>
      <c r="W1258" s="1" t="str">
        <f ca="1">IFERROR(__xludf.DUMMYFUNCTION("""COMPUTED_VALUE"""),"Illegal Activity")</f>
        <v>Illegal Activity</v>
      </c>
      <c r="X1258" s="1" t="str">
        <f ca="1">IFERROR(__xludf.DUMMYFUNCTION("""COMPUTED_VALUE"""),"Victims Targeted")</f>
        <v>Victims Targeted</v>
      </c>
      <c r="Y1258" s="1" t="str">
        <f ca="1">IFERROR(__xludf.DUMMYFUNCTION("""COMPUTED_VALUE"""),"Yes")</f>
        <v>Yes</v>
      </c>
      <c r="Z1258" s="1" t="str">
        <f ca="1">IFERROR(__xludf.DUMMYFUNCTION("""COMPUTED_VALUE"""),"Shooter, car driver, and passenger all charged")</f>
        <v>Shooter, car driver, and passenger all charged</v>
      </c>
      <c r="AA1258" s="1" t="str">
        <f ca="1">IFERROR(__xludf.DUMMYFUNCTION("""COMPUTED_VALUE"""),"No")</f>
        <v>No</v>
      </c>
      <c r="AB1258" s="1" t="str">
        <f ca="1">IFERROR(__xludf.DUMMYFUNCTION("""COMPUTED_VALUE"""),"No")</f>
        <v>No</v>
      </c>
      <c r="AC1258" s="1" t="str">
        <f ca="1">IFERROR(__xludf.DUMMYFUNCTION("""COMPUTED_VALUE"""),"No")</f>
        <v>No</v>
      </c>
      <c r="AD1258" s="1" t="str">
        <f ca="1">IFERROR(__xludf.DUMMYFUNCTION("""COMPUTED_VALUE"""),"No")</f>
        <v>No</v>
      </c>
      <c r="AE1258" s="1" t="str">
        <f ca="1">IFERROR(__xludf.DUMMYFUNCTION("""COMPUTED_VALUE"""),"No")</f>
        <v>No</v>
      </c>
      <c r="AF1258" s="1" t="str">
        <f ca="1">IFERROR(__xludf.DUMMYFUNCTION("""COMPUTED_VALUE"""),"Yes")</f>
        <v>Yes</v>
      </c>
      <c r="AG1258" s="1" t="str">
        <f ca="1">IFERROR(__xludf.DUMMYFUNCTION("""COMPUTED_VALUE"""),"No")</f>
        <v>No</v>
      </c>
      <c r="AH1258" s="1"/>
    </row>
    <row r="1259" spans="1:34" ht="12.5">
      <c r="A1259" s="1" t="str">
        <f ca="1">IFERROR(__xludf.DUMMYFUNCTION("""COMPUTED_VALUE"""),"20181013TNMCN")</f>
        <v>20181013TNMCN</v>
      </c>
      <c r="B1259" s="1">
        <f ca="1">IFERROR(__xludf.DUMMYFUNCTION("""COMPUTED_VALUE"""),10)</f>
        <v>10</v>
      </c>
      <c r="C1259" s="1">
        <f ca="1">IFERROR(__xludf.DUMMYFUNCTION("""COMPUTED_VALUE"""),13)</f>
        <v>13</v>
      </c>
      <c r="D1259" s="1">
        <f ca="1">IFERROR(__xludf.DUMMYFUNCTION("""COMPUTED_VALUE"""),2018)</f>
        <v>2018</v>
      </c>
      <c r="E1259" s="4">
        <f ca="1">IFERROR(__xludf.DUMMYFUNCTION("""COMPUTED_VALUE"""),43386)</f>
        <v>43386</v>
      </c>
      <c r="F1259" s="1" t="str">
        <f ca="1">IFERROR(__xludf.DUMMYFUNCTION("""COMPUTED_VALUE"""),"McGavock High School")</f>
        <v>McGavock High School</v>
      </c>
      <c r="G1259" s="1">
        <f ca="1">IFERROR(__xludf.DUMMYFUNCTION("""COMPUTED_VALUE"""),1)</f>
        <v>1</v>
      </c>
      <c r="H1259" s="1">
        <f ca="1">IFERROR(__xludf.DUMMYFUNCTION("""COMPUTED_VALUE"""),1)</f>
        <v>1</v>
      </c>
      <c r="I1259" s="1">
        <f ca="1">IFERROR(__xludf.DUMMYFUNCTION("""COMPUTED_VALUE"""),2)</f>
        <v>2</v>
      </c>
      <c r="J1259" s="1">
        <f ca="1">IFERROR(__xludf.DUMMYFUNCTION("""COMPUTED_VALUE"""),0)</f>
        <v>0</v>
      </c>
      <c r="K1259" s="1" t="str">
        <f ca="1">IFERROR(__xludf.DUMMYFUNCTION("""COMPUTED_VALUE"""),"Fall")</f>
        <v>Fall</v>
      </c>
      <c r="L1259" s="1" t="str">
        <f ca="1">IFERROR(__xludf.DUMMYFUNCTION("""COMPUTED_VALUE"""),"Nashville")</f>
        <v>Nashville</v>
      </c>
      <c r="M1259" s="1" t="str">
        <f ca="1">IFERROR(__xludf.DUMMYFUNCTION("""COMPUTED_VALUE"""),"TN")</f>
        <v>TN</v>
      </c>
      <c r="N1259" s="1" t="str">
        <f ca="1">IFERROR(__xludf.DUMMYFUNCTION("""COMPUTED_VALUE"""),"High")</f>
        <v>High</v>
      </c>
      <c r="O1259" s="1" t="str">
        <f ca="1">IFERROR(__xludf.DUMMYFUNCTION("""COMPUTED_VALUE"""),"Parking Lot")</f>
        <v>Parking Lot</v>
      </c>
      <c r="P1259" s="1" t="str">
        <f ca="1">IFERROR(__xludf.DUMMYFUNCTION("""COMPUTED_VALUE"""),"Outside on School Property")</f>
        <v>Outside on School Property</v>
      </c>
      <c r="Q1259" s="1" t="str">
        <f ca="1">IFERROR(__xludf.DUMMYFUNCTION("""COMPUTED_VALUE"""),"No")</f>
        <v>No</v>
      </c>
      <c r="R1259" s="1" t="str">
        <f ca="1">IFERROR(__xludf.DUMMYFUNCTION("""COMPUTED_VALUE"""),"Evening")</f>
        <v>Evening</v>
      </c>
      <c r="S1259" s="5">
        <f ca="1">IFERROR(__xludf.DUMMYFUNCTION("""COMPUTED_VALUE"""),0.877777777777777)</f>
        <v>0.87777777777777699</v>
      </c>
      <c r="T1259" s="1">
        <f ca="1">IFERROR(__xludf.DUMMYFUNCTION("""COMPUTED_VALUE"""),1)</f>
        <v>1</v>
      </c>
      <c r="U1259" s="1" t="str">
        <f ca="1">IFERROR(__xludf.DUMMYFUNCTION("""COMPUTED_VALUE"""),"Drive-by shooting in school parking lot")</f>
        <v>Drive-by shooting in school parking lot</v>
      </c>
      <c r="V1259" s="1" t="str">
        <f ca="1">IFERROR(__xludf.DUMMYFUNCTION("""COMPUTED_VALUE"""),"Two men shot in the parking lot of the school (one fatal, one grazed, third person in car was uninjured and fled). Shots fired by an unknown suspect inside a vehicle with to occupants who fled the scene. School was not in session due to fall break.")</f>
        <v>Two men shot in the parking lot of the school (one fatal, one grazed, third person in car was uninjured and fled). Shots fired by an unknown suspect inside a vehicle with to occupants who fled the scene. School was not in session due to fall break.</v>
      </c>
      <c r="W1259" s="1" t="str">
        <f ca="1">IFERROR(__xludf.DUMMYFUNCTION("""COMPUTED_VALUE"""),"Drive-by Shooting")</f>
        <v>Drive-by Shooting</v>
      </c>
      <c r="X1259" s="1" t="str">
        <f ca="1">IFERROR(__xludf.DUMMYFUNCTION("""COMPUTED_VALUE"""),"Victims Targeted")</f>
        <v>Victims Targeted</v>
      </c>
      <c r="Y1259" s="1" t="str">
        <f ca="1">IFERROR(__xludf.DUMMYFUNCTION("""COMPUTED_VALUE"""),"Yes")</f>
        <v>Yes</v>
      </c>
      <c r="Z1259" s="1" t="str">
        <f ca="1">IFERROR(__xludf.DUMMYFUNCTION("""COMPUTED_VALUE"""),"Two black males in car that shots were fired from")</f>
        <v>Two black males in car that shots were fired from</v>
      </c>
      <c r="AA1259" s="1" t="str">
        <f ca="1">IFERROR(__xludf.DUMMYFUNCTION("""COMPUTED_VALUE"""),"No")</f>
        <v>No</v>
      </c>
      <c r="AB1259" s="1" t="str">
        <f ca="1">IFERROR(__xludf.DUMMYFUNCTION("""COMPUTED_VALUE"""),"No")</f>
        <v>No</v>
      </c>
      <c r="AC1259" s="1" t="str">
        <f ca="1">IFERROR(__xludf.DUMMYFUNCTION("""COMPUTED_VALUE"""),"No")</f>
        <v>No</v>
      </c>
      <c r="AD1259" s="1" t="str">
        <f ca="1">IFERROR(__xludf.DUMMYFUNCTION("""COMPUTED_VALUE"""),"No")</f>
        <v>No</v>
      </c>
      <c r="AE1259" s="1" t="str">
        <f ca="1">IFERROR(__xludf.DUMMYFUNCTION("""COMPUTED_VALUE"""),"No")</f>
        <v>No</v>
      </c>
      <c r="AF1259" s="1"/>
      <c r="AG1259" s="1" t="str">
        <f ca="1">IFERROR(__xludf.DUMMYFUNCTION("""COMPUTED_VALUE"""),"No")</f>
        <v>No</v>
      </c>
      <c r="AH1259" s="1"/>
    </row>
    <row r="1260" spans="1:34" ht="12.5">
      <c r="A1260" s="1" t="str">
        <f ca="1">IFERROR(__xludf.DUMMYFUNCTION("""COMPUTED_VALUE"""),"20181012MIBAB")</f>
        <v>20181012MIBAB</v>
      </c>
      <c r="B1260" s="1">
        <f ca="1">IFERROR(__xludf.DUMMYFUNCTION("""COMPUTED_VALUE"""),10)</f>
        <v>10</v>
      </c>
      <c r="C1260" s="1">
        <f ca="1">IFERROR(__xludf.DUMMYFUNCTION("""COMPUTED_VALUE"""),12)</f>
        <v>12</v>
      </c>
      <c r="D1260" s="1">
        <f ca="1">IFERROR(__xludf.DUMMYFUNCTION("""COMPUTED_VALUE"""),2018)</f>
        <v>2018</v>
      </c>
      <c r="E1260" s="4">
        <f ca="1">IFERROR(__xludf.DUMMYFUNCTION("""COMPUTED_VALUE"""),43385)</f>
        <v>43385</v>
      </c>
      <c r="F1260" s="1" t="str">
        <f ca="1">IFERROR(__xludf.DUMMYFUNCTION("""COMPUTED_VALUE"""),"Battle Creek Academy")</f>
        <v>Battle Creek Academy</v>
      </c>
      <c r="G1260" s="1">
        <f ca="1">IFERROR(__xludf.DUMMYFUNCTION("""COMPUTED_VALUE"""),0)</f>
        <v>0</v>
      </c>
      <c r="H1260" s="1">
        <f ca="1">IFERROR(__xludf.DUMMYFUNCTION("""COMPUTED_VALUE"""),0)</f>
        <v>0</v>
      </c>
      <c r="I1260" s="1">
        <f ca="1">IFERROR(__xludf.DUMMYFUNCTION("""COMPUTED_VALUE"""),0)</f>
        <v>0</v>
      </c>
      <c r="J1260" s="1">
        <f ca="1">IFERROR(__xludf.DUMMYFUNCTION("""COMPUTED_VALUE"""),0)</f>
        <v>0</v>
      </c>
      <c r="K1260" s="1" t="str">
        <f ca="1">IFERROR(__xludf.DUMMYFUNCTION("""COMPUTED_VALUE"""),"Fall")</f>
        <v>Fall</v>
      </c>
      <c r="L1260" s="1" t="str">
        <f ca="1">IFERROR(__xludf.DUMMYFUNCTION("""COMPUTED_VALUE"""),"Battle Creek")</f>
        <v>Battle Creek</v>
      </c>
      <c r="M1260" s="1" t="str">
        <f ca="1">IFERROR(__xludf.DUMMYFUNCTION("""COMPUTED_VALUE"""),"MI")</f>
        <v>MI</v>
      </c>
      <c r="N1260" s="1" t="str">
        <f ca="1">IFERROR(__xludf.DUMMYFUNCTION("""COMPUTED_VALUE"""),"Elementary")</f>
        <v>Elementary</v>
      </c>
      <c r="O1260" s="1" t="str">
        <f ca="1">IFERROR(__xludf.DUMMYFUNCTION("""COMPUTED_VALUE"""),"Off School Property")</f>
        <v>Off School Property</v>
      </c>
      <c r="P1260" s="1" t="str">
        <f ca="1">IFERROR(__xludf.DUMMYFUNCTION("""COMPUTED_VALUE"""),"Off School Property")</f>
        <v>Off School Property</v>
      </c>
      <c r="Q1260" s="1" t="str">
        <f ca="1">IFERROR(__xludf.DUMMYFUNCTION("""COMPUTED_VALUE"""),"Yes")</f>
        <v>Yes</v>
      </c>
      <c r="R1260" s="1" t="str">
        <f ca="1">IFERROR(__xludf.DUMMYFUNCTION("""COMPUTED_VALUE"""),"Afternoon Classes")</f>
        <v>Afternoon Classes</v>
      </c>
      <c r="S1260" s="5">
        <f ca="1">IFERROR(__xludf.DUMMYFUNCTION("""COMPUTED_VALUE"""),0.541666666666666)</f>
        <v>0.54166666666666596</v>
      </c>
      <c r="T1260" s="1">
        <f ca="1">IFERROR(__xludf.DUMMYFUNCTION("""COMPUTED_VALUE"""),1)</f>
        <v>1</v>
      </c>
      <c r="U1260" s="1" t="str">
        <f ca="1">IFERROR(__xludf.DUMMYFUNCTION("""COMPUTED_VALUE"""),"Bullet struck school building")</f>
        <v>Bullet struck school building</v>
      </c>
      <c r="V1260" s="1" t="str">
        <f ca="1">IFERROR(__xludf.DUMMYFUNCTION("""COMPUTED_VALUE"""),"Police responded to multiple calls for shots fired. School was placed on lockdown. One round was found in wall of school building. No shooter or motive was identified. Single shell found in the street south of the school.")</f>
        <v>Police responded to multiple calls for shots fired. School was placed on lockdown. One round was found in wall of school building. No shooter or motive was identified. Single shell found in the street south of the school.</v>
      </c>
      <c r="W1260" s="1" t="str">
        <f ca="1">IFERROR(__xludf.DUMMYFUNCTION("""COMPUTED_VALUE"""),"Unknown")</f>
        <v>Unknown</v>
      </c>
      <c r="X1260" s="1"/>
      <c r="Y1260" s="1" t="str">
        <f ca="1">IFERROR(__xludf.DUMMYFUNCTION("""COMPUTED_VALUE"""),"No")</f>
        <v>No</v>
      </c>
      <c r="Z1260" s="1"/>
      <c r="AA1260" s="1" t="str">
        <f ca="1">IFERROR(__xludf.DUMMYFUNCTION("""COMPUTED_VALUE"""),"No")</f>
        <v>No</v>
      </c>
      <c r="AB1260" s="1" t="str">
        <f ca="1">IFERROR(__xludf.DUMMYFUNCTION("""COMPUTED_VALUE"""),"No")</f>
        <v>No</v>
      </c>
      <c r="AC1260" s="1" t="str">
        <f ca="1">IFERROR(__xludf.DUMMYFUNCTION("""COMPUTED_VALUE"""),"No")</f>
        <v>No</v>
      </c>
      <c r="AD1260" s="1" t="str">
        <f ca="1">IFERROR(__xludf.DUMMYFUNCTION("""COMPUTED_VALUE"""),"No")</f>
        <v>No</v>
      </c>
      <c r="AE1260" s="1" t="str">
        <f ca="1">IFERROR(__xludf.DUMMYFUNCTION("""COMPUTED_VALUE"""),"No")</f>
        <v>No</v>
      </c>
      <c r="AF1260" s="1"/>
      <c r="AG1260" s="1" t="str">
        <f ca="1">IFERROR(__xludf.DUMMYFUNCTION("""COMPUTED_VALUE"""),"No")</f>
        <v>No</v>
      </c>
      <c r="AH1260" s="1">
        <f ca="1">IFERROR(__xludf.DUMMYFUNCTION("""COMPUTED_VALUE"""),1)</f>
        <v>1</v>
      </c>
    </row>
    <row r="1261" spans="1:34" ht="12.5">
      <c r="A1261" s="1" t="str">
        <f ca="1">IFERROR(__xludf.DUMMYFUNCTION("""COMPUTED_VALUE"""),"20181007VAVAH")</f>
        <v>20181007VAVAH</v>
      </c>
      <c r="B1261" s="1">
        <f ca="1">IFERROR(__xludf.DUMMYFUNCTION("""COMPUTED_VALUE"""),10)</f>
        <v>10</v>
      </c>
      <c r="C1261" s="1">
        <f ca="1">IFERROR(__xludf.DUMMYFUNCTION("""COMPUTED_VALUE"""),7)</f>
        <v>7</v>
      </c>
      <c r="D1261" s="1">
        <f ca="1">IFERROR(__xludf.DUMMYFUNCTION("""COMPUTED_VALUE"""),2018)</f>
        <v>2018</v>
      </c>
      <c r="E1261" s="4">
        <f ca="1">IFERROR(__xludf.DUMMYFUNCTION("""COMPUTED_VALUE"""),43380)</f>
        <v>43380</v>
      </c>
      <c r="F1261" s="1" t="str">
        <f ca="1">IFERROR(__xludf.DUMMYFUNCTION("""COMPUTED_VALUE"""),"Varina High School")</f>
        <v>Varina High School</v>
      </c>
      <c r="G1261" s="1">
        <f ca="1">IFERROR(__xludf.DUMMYFUNCTION("""COMPUTED_VALUE"""),0)</f>
        <v>0</v>
      </c>
      <c r="H1261" s="1">
        <f ca="1">IFERROR(__xludf.DUMMYFUNCTION("""COMPUTED_VALUE"""),1)</f>
        <v>1</v>
      </c>
      <c r="I1261" s="1">
        <f ca="1">IFERROR(__xludf.DUMMYFUNCTION("""COMPUTED_VALUE"""),1)</f>
        <v>1</v>
      </c>
      <c r="J1261" s="1">
        <f ca="1">IFERROR(__xludf.DUMMYFUNCTION("""COMPUTED_VALUE"""),0)</f>
        <v>0</v>
      </c>
      <c r="K1261" s="1" t="str">
        <f ca="1">IFERROR(__xludf.DUMMYFUNCTION("""COMPUTED_VALUE"""),"Fall")</f>
        <v>Fall</v>
      </c>
      <c r="L1261" s="1" t="str">
        <f ca="1">IFERROR(__xludf.DUMMYFUNCTION("""COMPUTED_VALUE"""),"Henrico")</f>
        <v>Henrico</v>
      </c>
      <c r="M1261" s="1" t="str">
        <f ca="1">IFERROR(__xludf.DUMMYFUNCTION("""COMPUTED_VALUE"""),"VA")</f>
        <v>VA</v>
      </c>
      <c r="N1261" s="1" t="str">
        <f ca="1">IFERROR(__xludf.DUMMYFUNCTION("""COMPUTED_VALUE"""),"High")</f>
        <v>High</v>
      </c>
      <c r="O1261" s="1" t="str">
        <f ca="1">IFERROR(__xludf.DUMMYFUNCTION("""COMPUTED_VALUE"""),"Gym")</f>
        <v>Gym</v>
      </c>
      <c r="P1261" s="1" t="str">
        <f ca="1">IFERROR(__xludf.DUMMYFUNCTION("""COMPUTED_VALUE"""),"Outside on School Property")</f>
        <v>Outside on School Property</v>
      </c>
      <c r="Q1261" s="1" t="str">
        <f ca="1">IFERROR(__xludf.DUMMYFUNCTION("""COMPUTED_VALUE"""),"No")</f>
        <v>No</v>
      </c>
      <c r="R1261" s="1" t="str">
        <f ca="1">IFERROR(__xludf.DUMMYFUNCTION("""COMPUTED_VALUE"""),"Sport Event")</f>
        <v>Sport Event</v>
      </c>
      <c r="S1261" s="5">
        <f ca="1">IFERROR(__xludf.DUMMYFUNCTION("""COMPUTED_VALUE"""),0.895833333333333)</f>
        <v>0.89583333333333304</v>
      </c>
      <c r="T1261" s="1">
        <f ca="1">IFERROR(__xludf.DUMMYFUNCTION("""COMPUTED_VALUE"""),1)</f>
        <v>1</v>
      </c>
      <c r="U1261" s="1" t="str">
        <f ca="1">IFERROR(__xludf.DUMMYFUNCTION("""COMPUTED_VALUE"""),"Basketball coach shot during fight at weekend practice")</f>
        <v>Basketball coach shot during fight at weekend practice</v>
      </c>
      <c r="V1261" s="1" t="str">
        <f ca="1">IFERROR(__xludf.DUMMYFUNCTION("""COMPUTED_VALUE"""),"Basketball coach was shot during open practice session at the gym on Sunday night. Coach was shot during a fight. Suspect was not identified. Sustained minor injuries.")</f>
        <v>Basketball coach was shot during open practice session at the gym on Sunday night. Coach was shot during a fight. Suspect was not identified. Sustained minor injuries.</v>
      </c>
      <c r="W1261" s="1" t="str">
        <f ca="1">IFERROR(__xludf.DUMMYFUNCTION("""COMPUTED_VALUE"""),"Escalation of Dispute")</f>
        <v>Escalation of Dispute</v>
      </c>
      <c r="X1261" s="1" t="str">
        <f ca="1">IFERROR(__xludf.DUMMYFUNCTION("""COMPUTED_VALUE"""),"Both")</f>
        <v>Both</v>
      </c>
      <c r="Y1261" s="1"/>
      <c r="Z1261" s="1"/>
      <c r="AA1261" s="1" t="str">
        <f ca="1">IFERROR(__xludf.DUMMYFUNCTION("""COMPUTED_VALUE"""),"No")</f>
        <v>No</v>
      </c>
      <c r="AB1261" s="1" t="str">
        <f ca="1">IFERROR(__xludf.DUMMYFUNCTION("""COMPUTED_VALUE"""),"No")</f>
        <v>No</v>
      </c>
      <c r="AC1261" s="1" t="str">
        <f ca="1">IFERROR(__xludf.DUMMYFUNCTION("""COMPUTED_VALUE"""),"No")</f>
        <v>No</v>
      </c>
      <c r="AD1261" s="1" t="str">
        <f ca="1">IFERROR(__xludf.DUMMYFUNCTION("""COMPUTED_VALUE"""),"No")</f>
        <v>No</v>
      </c>
      <c r="AE1261" s="1" t="str">
        <f ca="1">IFERROR(__xludf.DUMMYFUNCTION("""COMPUTED_VALUE"""),"No")</f>
        <v>No</v>
      </c>
      <c r="AF1261" s="1" t="str">
        <f ca="1">IFERROR(__xludf.DUMMYFUNCTION("""COMPUTED_VALUE"""),"No")</f>
        <v>No</v>
      </c>
      <c r="AG1261" s="1" t="str">
        <f ca="1">IFERROR(__xludf.DUMMYFUNCTION("""COMPUTED_VALUE"""),"No")</f>
        <v>No</v>
      </c>
      <c r="AH1261" s="1"/>
    </row>
    <row r="1262" spans="1:34" ht="12.5">
      <c r="A1262" s="1" t="str">
        <f ca="1">IFERROR(__xludf.DUMMYFUNCTION("""COMPUTED_VALUE"""),"20181005VALAN")</f>
        <v>20181005VALAN</v>
      </c>
      <c r="B1262" s="1">
        <f ca="1">IFERROR(__xludf.DUMMYFUNCTION("""COMPUTED_VALUE"""),10)</f>
        <v>10</v>
      </c>
      <c r="C1262" s="1">
        <f ca="1">IFERROR(__xludf.DUMMYFUNCTION("""COMPUTED_VALUE"""),5)</f>
        <v>5</v>
      </c>
      <c r="D1262" s="1">
        <f ca="1">IFERROR(__xludf.DUMMYFUNCTION("""COMPUTED_VALUE"""),2018)</f>
        <v>2018</v>
      </c>
      <c r="E1262" s="4">
        <f ca="1">IFERROR(__xludf.DUMMYFUNCTION("""COMPUTED_VALUE"""),43378)</f>
        <v>43378</v>
      </c>
      <c r="F1262" s="1" t="str">
        <f ca="1">IFERROR(__xludf.DUMMYFUNCTION("""COMPUTED_VALUE"""),"Lake Taylor High School")</f>
        <v>Lake Taylor High School</v>
      </c>
      <c r="G1262" s="1">
        <f ca="1">IFERROR(__xludf.DUMMYFUNCTION("""COMPUTED_VALUE"""),0)</f>
        <v>0</v>
      </c>
      <c r="H1262" s="1">
        <f ca="1">IFERROR(__xludf.DUMMYFUNCTION("""COMPUTED_VALUE"""),1)</f>
        <v>1</v>
      </c>
      <c r="I1262" s="1">
        <f ca="1">IFERROR(__xludf.DUMMYFUNCTION("""COMPUTED_VALUE"""),1)</f>
        <v>1</v>
      </c>
      <c r="J1262" s="1">
        <f ca="1">IFERROR(__xludf.DUMMYFUNCTION("""COMPUTED_VALUE"""),0)</f>
        <v>0</v>
      </c>
      <c r="K1262" s="1" t="str">
        <f ca="1">IFERROR(__xludf.DUMMYFUNCTION("""COMPUTED_VALUE"""),"Fall")</f>
        <v>Fall</v>
      </c>
      <c r="L1262" s="1" t="str">
        <f ca="1">IFERROR(__xludf.DUMMYFUNCTION("""COMPUTED_VALUE"""),"Norfolk")</f>
        <v>Norfolk</v>
      </c>
      <c r="M1262" s="1" t="str">
        <f ca="1">IFERROR(__xludf.DUMMYFUNCTION("""COMPUTED_VALUE"""),"VA")</f>
        <v>VA</v>
      </c>
      <c r="N1262" s="1" t="str">
        <f ca="1">IFERROR(__xludf.DUMMYFUNCTION("""COMPUTED_VALUE"""),"High")</f>
        <v>High</v>
      </c>
      <c r="O1262" s="1" t="str">
        <f ca="1">IFERROR(__xludf.DUMMYFUNCTION("""COMPUTED_VALUE"""),"Parking Lot")</f>
        <v>Parking Lot</v>
      </c>
      <c r="P1262" s="1" t="str">
        <f ca="1">IFERROR(__xludf.DUMMYFUNCTION("""COMPUTED_VALUE"""),"Outside on School Property")</f>
        <v>Outside on School Property</v>
      </c>
      <c r="Q1262" s="1" t="str">
        <f ca="1">IFERROR(__xludf.DUMMYFUNCTION("""COMPUTED_VALUE"""),"No")</f>
        <v>No</v>
      </c>
      <c r="R1262" s="1" t="str">
        <f ca="1">IFERROR(__xludf.DUMMYFUNCTION("""COMPUTED_VALUE"""),"Sport Event")</f>
        <v>Sport Event</v>
      </c>
      <c r="S1262" s="5">
        <f ca="1">IFERROR(__xludf.DUMMYFUNCTION("""COMPUTED_VALUE"""),0.895833333333333)</f>
        <v>0.89583333333333304</v>
      </c>
      <c r="T1262" s="1">
        <f ca="1">IFERROR(__xludf.DUMMYFUNCTION("""COMPUTED_VALUE"""),1)</f>
        <v>1</v>
      </c>
      <c r="U1262" s="1" t="str">
        <f ca="1">IFERROR(__xludf.DUMMYFUNCTION("""COMPUTED_VALUE"""),"Shots fired during fight after football game in school parking lot")</f>
        <v>Shots fired during fight after football game in school parking lot</v>
      </c>
      <c r="V1262" s="1" t="str">
        <f ca="1">IFERROR(__xludf.DUMMYFUNCTION("""COMPUTED_VALUE"""),"Shots fired by unknown shooter in parking lot of school following football game during a fight. Shooter fled the scene. Victim in a vehicle that was struck by shot was injured.")</f>
        <v>Shots fired by unknown shooter in parking lot of school following football game during a fight. Shooter fled the scene. Victim in a vehicle that was struck by shot was injured.</v>
      </c>
      <c r="W1262" s="1" t="str">
        <f ca="1">IFERROR(__xludf.DUMMYFUNCTION("""COMPUTED_VALUE"""),"Escalation of Dispute")</f>
        <v>Escalation of Dispute</v>
      </c>
      <c r="X1262" s="1"/>
      <c r="Y1262" s="1"/>
      <c r="Z1262" s="1"/>
      <c r="AA1262" s="1" t="str">
        <f ca="1">IFERROR(__xludf.DUMMYFUNCTION("""COMPUTED_VALUE"""),"No")</f>
        <v>No</v>
      </c>
      <c r="AB1262" s="1" t="str">
        <f ca="1">IFERROR(__xludf.DUMMYFUNCTION("""COMPUTED_VALUE"""),"No")</f>
        <v>No</v>
      </c>
      <c r="AC1262" s="1" t="str">
        <f ca="1">IFERROR(__xludf.DUMMYFUNCTION("""COMPUTED_VALUE"""),"No")</f>
        <v>No</v>
      </c>
      <c r="AD1262" s="1" t="str">
        <f ca="1">IFERROR(__xludf.DUMMYFUNCTION("""COMPUTED_VALUE"""),"No")</f>
        <v>No</v>
      </c>
      <c r="AE1262" s="1" t="str">
        <f ca="1">IFERROR(__xludf.DUMMYFUNCTION("""COMPUTED_VALUE"""),"No")</f>
        <v>No</v>
      </c>
      <c r="AF1262" s="1" t="str">
        <f ca="1">IFERROR(__xludf.DUMMYFUNCTION("""COMPUTED_VALUE"""),"No")</f>
        <v>No</v>
      </c>
      <c r="AG1262" s="1" t="str">
        <f ca="1">IFERROR(__xludf.DUMMYFUNCTION("""COMPUTED_VALUE"""),"No")</f>
        <v>No</v>
      </c>
      <c r="AH1262" s="1" t="str">
        <f ca="1">IFERROR(__xludf.DUMMYFUNCTION("""COMPUTED_VALUE"""),"&lt;10")</f>
        <v>&lt;10</v>
      </c>
    </row>
    <row r="1263" spans="1:34" ht="12.5">
      <c r="A1263" s="1" t="str">
        <f ca="1">IFERROR(__xludf.DUMMYFUNCTION("""COMPUTED_VALUE"""),"20181005TNHAB")</f>
        <v>20181005TNHAB</v>
      </c>
      <c r="B1263" s="1">
        <f ca="1">IFERROR(__xludf.DUMMYFUNCTION("""COMPUTED_VALUE"""),10)</f>
        <v>10</v>
      </c>
      <c r="C1263" s="1">
        <f ca="1">IFERROR(__xludf.DUMMYFUNCTION("""COMPUTED_VALUE"""),5)</f>
        <v>5</v>
      </c>
      <c r="D1263" s="1">
        <f ca="1">IFERROR(__xludf.DUMMYFUNCTION("""COMPUTED_VALUE"""),2018)</f>
        <v>2018</v>
      </c>
      <c r="E1263" s="4">
        <f ca="1">IFERROR(__xludf.DUMMYFUNCTION("""COMPUTED_VALUE"""),43378)</f>
        <v>43378</v>
      </c>
      <c r="F1263" s="1" t="str">
        <f ca="1">IFERROR(__xludf.DUMMYFUNCTION("""COMPUTED_VALUE"""),"Haywood High School")</f>
        <v>Haywood High School</v>
      </c>
      <c r="G1263" s="1">
        <f ca="1">IFERROR(__xludf.DUMMYFUNCTION("""COMPUTED_VALUE"""),0)</f>
        <v>0</v>
      </c>
      <c r="H1263" s="1">
        <f ca="1">IFERROR(__xludf.DUMMYFUNCTION("""COMPUTED_VALUE"""),2)</f>
        <v>2</v>
      </c>
      <c r="I1263" s="1">
        <f ca="1">IFERROR(__xludf.DUMMYFUNCTION("""COMPUTED_VALUE"""),2)</f>
        <v>2</v>
      </c>
      <c r="J1263" s="1">
        <f ca="1">IFERROR(__xludf.DUMMYFUNCTION("""COMPUTED_VALUE"""),0)</f>
        <v>0</v>
      </c>
      <c r="K1263" s="1" t="str">
        <f ca="1">IFERROR(__xludf.DUMMYFUNCTION("""COMPUTED_VALUE"""),"Fall")</f>
        <v>Fall</v>
      </c>
      <c r="L1263" s="1" t="str">
        <f ca="1">IFERROR(__xludf.DUMMYFUNCTION("""COMPUTED_VALUE"""),"Brownsville")</f>
        <v>Brownsville</v>
      </c>
      <c r="M1263" s="1" t="str">
        <f ca="1">IFERROR(__xludf.DUMMYFUNCTION("""COMPUTED_VALUE"""),"TN")</f>
        <v>TN</v>
      </c>
      <c r="N1263" s="1" t="str">
        <f ca="1">IFERROR(__xludf.DUMMYFUNCTION("""COMPUTED_VALUE"""),"High")</f>
        <v>High</v>
      </c>
      <c r="O1263" s="1" t="str">
        <f ca="1">IFERROR(__xludf.DUMMYFUNCTION("""COMPUTED_VALUE"""),"Parking Lot")</f>
        <v>Parking Lot</v>
      </c>
      <c r="P1263" s="1" t="str">
        <f ca="1">IFERROR(__xludf.DUMMYFUNCTION("""COMPUTED_VALUE"""),"Outside on School Property")</f>
        <v>Outside on School Property</v>
      </c>
      <c r="Q1263" s="1" t="str">
        <f ca="1">IFERROR(__xludf.DUMMYFUNCTION("""COMPUTED_VALUE"""),"No")</f>
        <v>No</v>
      </c>
      <c r="R1263" s="1" t="str">
        <f ca="1">IFERROR(__xludf.DUMMYFUNCTION("""COMPUTED_VALUE"""),"Sport Event")</f>
        <v>Sport Event</v>
      </c>
      <c r="S1263" s="5">
        <f ca="1">IFERROR(__xludf.DUMMYFUNCTION("""COMPUTED_VALUE"""),0.895833333333333)</f>
        <v>0.89583333333333304</v>
      </c>
      <c r="T1263" s="1">
        <f ca="1">IFERROR(__xludf.DUMMYFUNCTION("""COMPUTED_VALUE"""),1)</f>
        <v>1</v>
      </c>
      <c r="U1263" s="1" t="str">
        <f ca="1">IFERROR(__xludf.DUMMYFUNCTION("""COMPUTED_VALUE"""),"Two victims shot in school parking lot during football game")</f>
        <v>Two victims shot in school parking lot during football game</v>
      </c>
      <c r="V1263" s="1" t="str">
        <f ca="1">IFERROR(__xludf.DUMMYFUNCTION("""COMPUTED_VALUE"""),"16YOM shooter shot 2 victims in the parking lot of the school during the football game. One victim shot the in back (target) other shot in foot (random). Shooter subdued and disarmed by a bystander at the scene.")</f>
        <v>16YOM shooter shot 2 victims in the parking lot of the school during the football game. One victim shot the in back (target) other shot in foot (random). Shooter subdued and disarmed by a bystander at the scene.</v>
      </c>
      <c r="W1263" s="1" t="str">
        <f ca="1">IFERROR(__xludf.DUMMYFUNCTION("""COMPUTED_VALUE"""),"Escalation of Dispute")</f>
        <v>Escalation of Dispute</v>
      </c>
      <c r="X1263" s="1" t="str">
        <f ca="1">IFERROR(__xludf.DUMMYFUNCTION("""COMPUTED_VALUE"""),"Both")</f>
        <v>Both</v>
      </c>
      <c r="Y1263" s="1" t="str">
        <f ca="1">IFERROR(__xludf.DUMMYFUNCTION("""COMPUTED_VALUE"""),"No")</f>
        <v>No</v>
      </c>
      <c r="Z1263" s="1"/>
      <c r="AA1263" s="1" t="str">
        <f ca="1">IFERROR(__xludf.DUMMYFUNCTION("""COMPUTED_VALUE"""),"No")</f>
        <v>No</v>
      </c>
      <c r="AB1263" s="1" t="str">
        <f ca="1">IFERROR(__xludf.DUMMYFUNCTION("""COMPUTED_VALUE"""),"No")</f>
        <v>No</v>
      </c>
      <c r="AC1263" s="1" t="str">
        <f ca="1">IFERROR(__xludf.DUMMYFUNCTION("""COMPUTED_VALUE"""),"No")</f>
        <v>No</v>
      </c>
      <c r="AD1263" s="1" t="str">
        <f ca="1">IFERROR(__xludf.DUMMYFUNCTION("""COMPUTED_VALUE"""),"No")</f>
        <v>No</v>
      </c>
      <c r="AE1263" s="1" t="str">
        <f ca="1">IFERROR(__xludf.DUMMYFUNCTION("""COMPUTED_VALUE"""),"No")</f>
        <v>No</v>
      </c>
      <c r="AF1263" s="1" t="str">
        <f ca="1">IFERROR(__xludf.DUMMYFUNCTION("""COMPUTED_VALUE"""),"No")</f>
        <v>No</v>
      </c>
      <c r="AG1263" s="1" t="str">
        <f ca="1">IFERROR(__xludf.DUMMYFUNCTION("""COMPUTED_VALUE"""),"No")</f>
        <v>No</v>
      </c>
      <c r="AH1263" s="1">
        <f ca="1">IFERROR(__xludf.DUMMYFUNCTION("""COMPUTED_VALUE"""),4)</f>
        <v>4</v>
      </c>
    </row>
    <row r="1264" spans="1:34" ht="12.5">
      <c r="A1264" s="1" t="str">
        <f ca="1">IFERROR(__xludf.DUMMYFUNCTION("""COMPUTED_VALUE"""),"20181004ORJAP")</f>
        <v>20181004ORJAP</v>
      </c>
      <c r="B1264" s="1">
        <f ca="1">IFERROR(__xludf.DUMMYFUNCTION("""COMPUTED_VALUE"""),10)</f>
        <v>10</v>
      </c>
      <c r="C1264" s="1">
        <f ca="1">IFERROR(__xludf.DUMMYFUNCTION("""COMPUTED_VALUE"""),4)</f>
        <v>4</v>
      </c>
      <c r="D1264" s="1">
        <f ca="1">IFERROR(__xludf.DUMMYFUNCTION("""COMPUTED_VALUE"""),2018)</f>
        <v>2018</v>
      </c>
      <c r="E1264" s="4">
        <f ca="1">IFERROR(__xludf.DUMMYFUNCTION("""COMPUTED_VALUE"""),43377)</f>
        <v>43377</v>
      </c>
      <c r="F1264" s="1" t="str">
        <f ca="1">IFERROR(__xludf.DUMMYFUNCTION("""COMPUTED_VALUE"""),"Jason Lee Elementary School")</f>
        <v>Jason Lee Elementary School</v>
      </c>
      <c r="G1264" s="1">
        <f ca="1">IFERROR(__xludf.DUMMYFUNCTION("""COMPUTED_VALUE"""),0)</f>
        <v>0</v>
      </c>
      <c r="H1264" s="1">
        <f ca="1">IFERROR(__xludf.DUMMYFUNCTION("""COMPUTED_VALUE"""),0)</f>
        <v>0</v>
      </c>
      <c r="I1264" s="1">
        <f ca="1">IFERROR(__xludf.DUMMYFUNCTION("""COMPUTED_VALUE"""),0)</f>
        <v>0</v>
      </c>
      <c r="J1264" s="1">
        <f ca="1">IFERROR(__xludf.DUMMYFUNCTION("""COMPUTED_VALUE"""),0)</f>
        <v>0</v>
      </c>
      <c r="K1264" s="1" t="str">
        <f ca="1">IFERROR(__xludf.DUMMYFUNCTION("""COMPUTED_VALUE"""),"Fall")</f>
        <v>Fall</v>
      </c>
      <c r="L1264" s="1" t="str">
        <f ca="1">IFERROR(__xludf.DUMMYFUNCTION("""COMPUTED_VALUE"""),"Portland")</f>
        <v>Portland</v>
      </c>
      <c r="M1264" s="1" t="str">
        <f ca="1">IFERROR(__xludf.DUMMYFUNCTION("""COMPUTED_VALUE"""),"OR")</f>
        <v>OR</v>
      </c>
      <c r="N1264" s="1" t="str">
        <f ca="1">IFERROR(__xludf.DUMMYFUNCTION("""COMPUTED_VALUE"""),"Elementary")</f>
        <v>Elementary</v>
      </c>
      <c r="O1264" s="1" t="str">
        <f ca="1">IFERROR(__xludf.DUMMYFUNCTION("""COMPUTED_VALUE"""),"Cafeteria")</f>
        <v>Cafeteria</v>
      </c>
      <c r="P1264" s="1" t="str">
        <f ca="1">IFERROR(__xludf.DUMMYFUNCTION("""COMPUTED_VALUE"""),"Inside School Building")</f>
        <v>Inside School Building</v>
      </c>
      <c r="Q1264" s="1" t="str">
        <f ca="1">IFERROR(__xludf.DUMMYFUNCTION("""COMPUTED_VALUE"""),"Yes")</f>
        <v>Yes</v>
      </c>
      <c r="R1264" s="1" t="str">
        <f ca="1">IFERROR(__xludf.DUMMYFUNCTION("""COMPUTED_VALUE"""),"After School")</f>
        <v>After School</v>
      </c>
      <c r="S1264" s="5">
        <f ca="1">IFERROR(__xludf.DUMMYFUNCTION("""COMPUTED_VALUE"""),0.690972222222222)</f>
        <v>0.69097222222222199</v>
      </c>
      <c r="T1264" s="1">
        <f ca="1">IFERROR(__xludf.DUMMYFUNCTION("""COMPUTED_VALUE"""),1)</f>
        <v>1</v>
      </c>
      <c r="U1264" s="1" t="str">
        <f ca="1">IFERROR(__xludf.DUMMYFUNCTION("""COMPUTED_VALUE"""),"Parent's gun discharged in cafeteria while picking up daughter")</f>
        <v>Parent's gun discharged in cafeteria while picking up daughter</v>
      </c>
      <c r="V1264" s="1" t="str">
        <f ca="1">IFERROR(__xludf.DUMMYFUNCTION("""COMPUTED_VALUE"""),"Unidentified female parent accidentally discharged a handgun in her bag in the school cafeteria while picking up her child. No injuries. Woman left before police arrived.")</f>
        <v>Unidentified female parent accidentally discharged a handgun in her bag in the school cafeteria while picking up her child. No injuries. Woman left before police arrived.</v>
      </c>
      <c r="W1264" s="1" t="str">
        <f ca="1">IFERROR(__xludf.DUMMYFUNCTION("""COMPUTED_VALUE"""),"Accidental")</f>
        <v>Accidental</v>
      </c>
      <c r="X1264" s="1" t="str">
        <f ca="1">IFERROR(__xludf.DUMMYFUNCTION("""COMPUTED_VALUE"""),"Neither")</f>
        <v>Neither</v>
      </c>
      <c r="Y1264" s="1" t="str">
        <f ca="1">IFERROR(__xludf.DUMMYFUNCTION("""COMPUTED_VALUE"""),"No")</f>
        <v>No</v>
      </c>
      <c r="Z1264" s="1"/>
      <c r="AA1264" s="1" t="str">
        <f ca="1">IFERROR(__xludf.DUMMYFUNCTION("""COMPUTED_VALUE"""),"No")</f>
        <v>No</v>
      </c>
      <c r="AB1264" s="1" t="str">
        <f ca="1">IFERROR(__xludf.DUMMYFUNCTION("""COMPUTED_VALUE"""),"No")</f>
        <v>No</v>
      </c>
      <c r="AC1264" s="1" t="str">
        <f ca="1">IFERROR(__xludf.DUMMYFUNCTION("""COMPUTED_VALUE"""),"No")</f>
        <v>No</v>
      </c>
      <c r="AD1264" s="1" t="str">
        <f ca="1">IFERROR(__xludf.DUMMYFUNCTION("""COMPUTED_VALUE"""),"No")</f>
        <v>No</v>
      </c>
      <c r="AE1264" s="1" t="str">
        <f ca="1">IFERROR(__xludf.DUMMYFUNCTION("""COMPUTED_VALUE"""),"No")</f>
        <v>No</v>
      </c>
      <c r="AF1264" s="1" t="str">
        <f ca="1">IFERROR(__xludf.DUMMYFUNCTION("""COMPUTED_VALUE"""),"No")</f>
        <v>No</v>
      </c>
      <c r="AG1264" s="1" t="str">
        <f ca="1">IFERROR(__xludf.DUMMYFUNCTION("""COMPUTED_VALUE"""),"No")</f>
        <v>No</v>
      </c>
      <c r="AH1264" s="1">
        <f ca="1">IFERROR(__xludf.DUMMYFUNCTION("""COMPUTED_VALUE"""),1)</f>
        <v>1</v>
      </c>
    </row>
    <row r="1265" spans="1:34" ht="12.5">
      <c r="A1265" s="1" t="str">
        <f ca="1">IFERROR(__xludf.DUMMYFUNCTION("""COMPUTED_VALUE"""),"20181003AKDEA")</f>
        <v>20181003AKDEA</v>
      </c>
      <c r="B1265" s="1">
        <f ca="1">IFERROR(__xludf.DUMMYFUNCTION("""COMPUTED_VALUE"""),10)</f>
        <v>10</v>
      </c>
      <c r="C1265" s="1">
        <f ca="1">IFERROR(__xludf.DUMMYFUNCTION("""COMPUTED_VALUE"""),3)</f>
        <v>3</v>
      </c>
      <c r="D1265" s="1">
        <f ca="1">IFERROR(__xludf.DUMMYFUNCTION("""COMPUTED_VALUE"""),2018)</f>
        <v>2018</v>
      </c>
      <c r="E1265" s="4">
        <f ca="1">IFERROR(__xludf.DUMMYFUNCTION("""COMPUTED_VALUE"""),43376)</f>
        <v>43376</v>
      </c>
      <c r="F1265" s="1" t="str">
        <f ca="1">IFERROR(__xludf.DUMMYFUNCTION("""COMPUTED_VALUE"""),"Denali Montessori Elementary School")</f>
        <v>Denali Montessori Elementary School</v>
      </c>
      <c r="G1265" s="1">
        <f ca="1">IFERROR(__xludf.DUMMYFUNCTION("""COMPUTED_VALUE"""),0)</f>
        <v>0</v>
      </c>
      <c r="H1265" s="1">
        <f ca="1">IFERROR(__xludf.DUMMYFUNCTION("""COMPUTED_VALUE"""),1)</f>
        <v>1</v>
      </c>
      <c r="I1265" s="1">
        <f ca="1">IFERROR(__xludf.DUMMYFUNCTION("""COMPUTED_VALUE"""),1)</f>
        <v>1</v>
      </c>
      <c r="J1265" s="1">
        <f ca="1">IFERROR(__xludf.DUMMYFUNCTION("""COMPUTED_VALUE"""),0)</f>
        <v>0</v>
      </c>
      <c r="K1265" s="1" t="str">
        <f ca="1">IFERROR(__xludf.DUMMYFUNCTION("""COMPUTED_VALUE"""),"Fall")</f>
        <v>Fall</v>
      </c>
      <c r="L1265" s="1" t="str">
        <f ca="1">IFERROR(__xludf.DUMMYFUNCTION("""COMPUTED_VALUE"""),"Anchorage")</f>
        <v>Anchorage</v>
      </c>
      <c r="M1265" s="1" t="str">
        <f ca="1">IFERROR(__xludf.DUMMYFUNCTION("""COMPUTED_VALUE"""),"AK")</f>
        <v>AK</v>
      </c>
      <c r="N1265" s="1" t="str">
        <f ca="1">IFERROR(__xludf.DUMMYFUNCTION("""COMPUTED_VALUE"""),"Elementary")</f>
        <v>Elementary</v>
      </c>
      <c r="O1265" s="1" t="str">
        <f ca="1">IFERROR(__xludf.DUMMYFUNCTION("""COMPUTED_VALUE"""),"Front of School")</f>
        <v>Front of School</v>
      </c>
      <c r="P1265" s="1" t="str">
        <f ca="1">IFERROR(__xludf.DUMMYFUNCTION("""COMPUTED_VALUE"""),"Outside on School Property")</f>
        <v>Outside on School Property</v>
      </c>
      <c r="Q1265" s="1" t="str">
        <f ca="1">IFERROR(__xludf.DUMMYFUNCTION("""COMPUTED_VALUE"""),"Yes")</f>
        <v>Yes</v>
      </c>
      <c r="R1265" s="1" t="str">
        <f ca="1">IFERROR(__xludf.DUMMYFUNCTION("""COMPUTED_VALUE"""),"Morning Classes")</f>
        <v>Morning Classes</v>
      </c>
      <c r="S1265" s="5">
        <f ca="1">IFERROR(__xludf.DUMMYFUNCTION("""COMPUTED_VALUE"""),0.416666666666666)</f>
        <v>0.41666666666666602</v>
      </c>
      <c r="T1265" s="1">
        <f ca="1">IFERROR(__xludf.DUMMYFUNCTION("""COMPUTED_VALUE"""),1)</f>
        <v>1</v>
      </c>
      <c r="U1265" s="1" t="str">
        <f ca="1">IFERROR(__xludf.DUMMYFUNCTION("""COMPUTED_VALUE"""),"Adult male victim shot by another adult male in front of school during domestic dispute")</f>
        <v>Adult male victim shot by another adult male in front of school during domestic dispute</v>
      </c>
      <c r="V1265" s="1" t="str">
        <f ca="1">IFERROR(__xludf.DUMMYFUNCTION("""COMPUTED_VALUE"""),"26YOM shot adult male victim during domestic dispute outside of elementary while children were being dropped off. One shot was fired. Shooter fled the scene and was later arrested. Injured victim went into the school for assistance. School was locked down"&amp;".")</f>
        <v>26YOM shot adult male victim during domestic dispute outside of elementary while children were being dropped off. One shot was fired. Shooter fled the scene and was later arrested. Injured victim went into the school for assistance. School was locked down.</v>
      </c>
      <c r="W1265" s="1" t="str">
        <f ca="1">IFERROR(__xludf.DUMMYFUNCTION("""COMPUTED_VALUE"""),"Domestic w/ Targeted Victim")</f>
        <v>Domestic w/ Targeted Victim</v>
      </c>
      <c r="X1265" s="1" t="str">
        <f ca="1">IFERROR(__xludf.DUMMYFUNCTION("""COMPUTED_VALUE"""),"Victims Targeted")</f>
        <v>Victims Targeted</v>
      </c>
      <c r="Y1265" s="1" t="str">
        <f ca="1">IFERROR(__xludf.DUMMYFUNCTION("""COMPUTED_VALUE"""),"No")</f>
        <v>No</v>
      </c>
      <c r="Z1265" s="1"/>
      <c r="AA1265" s="1" t="str">
        <f ca="1">IFERROR(__xludf.DUMMYFUNCTION("""COMPUTED_VALUE"""),"No")</f>
        <v>No</v>
      </c>
      <c r="AB1265" s="1" t="str">
        <f ca="1">IFERROR(__xludf.DUMMYFUNCTION("""COMPUTED_VALUE"""),"No")</f>
        <v>No</v>
      </c>
      <c r="AC1265" s="1" t="str">
        <f ca="1">IFERROR(__xludf.DUMMYFUNCTION("""COMPUTED_VALUE"""),"No")</f>
        <v>No</v>
      </c>
      <c r="AD1265" s="1" t="str">
        <f ca="1">IFERROR(__xludf.DUMMYFUNCTION("""COMPUTED_VALUE"""),"No")</f>
        <v>No</v>
      </c>
      <c r="AE1265" s="1" t="str">
        <f ca="1">IFERROR(__xludf.DUMMYFUNCTION("""COMPUTED_VALUE"""),"Yes")</f>
        <v>Yes</v>
      </c>
      <c r="AF1265" s="1" t="str">
        <f ca="1">IFERROR(__xludf.DUMMYFUNCTION("""COMPUTED_VALUE"""),"No")</f>
        <v>No</v>
      </c>
      <c r="AG1265" s="1" t="str">
        <f ca="1">IFERROR(__xludf.DUMMYFUNCTION("""COMPUTED_VALUE"""),"No")</f>
        <v>No</v>
      </c>
      <c r="AH1265" s="1">
        <f ca="1">IFERROR(__xludf.DUMMYFUNCTION("""COMPUTED_VALUE"""),1)</f>
        <v>1</v>
      </c>
    </row>
    <row r="1266" spans="1:34" ht="12.5">
      <c r="A1266" s="1" t="str">
        <f ca="1">IFERROR(__xludf.DUMMYFUNCTION("""COMPUTED_VALUE"""),"20181002ARCHL")</f>
        <v>20181002ARCHL</v>
      </c>
      <c r="B1266" s="1">
        <f ca="1">IFERROR(__xludf.DUMMYFUNCTION("""COMPUTED_VALUE"""),10)</f>
        <v>10</v>
      </c>
      <c r="C1266" s="1">
        <f ca="1">IFERROR(__xludf.DUMMYFUNCTION("""COMPUTED_VALUE"""),2)</f>
        <v>2</v>
      </c>
      <c r="D1266" s="1">
        <f ca="1">IFERROR(__xludf.DUMMYFUNCTION("""COMPUTED_VALUE"""),2018)</f>
        <v>2018</v>
      </c>
      <c r="E1266" s="4">
        <f ca="1">IFERROR(__xludf.DUMMYFUNCTION("""COMPUTED_VALUE"""),43375)</f>
        <v>43375</v>
      </c>
      <c r="F1266" s="1" t="str">
        <f ca="1">IFERROR(__xludf.DUMMYFUNCTION("""COMPUTED_VALUE"""),"Chicot Elementary School")</f>
        <v>Chicot Elementary School</v>
      </c>
      <c r="G1266" s="1">
        <f ca="1">IFERROR(__xludf.DUMMYFUNCTION("""COMPUTED_VALUE"""),0)</f>
        <v>0</v>
      </c>
      <c r="H1266" s="1">
        <f ca="1">IFERROR(__xludf.DUMMYFUNCTION("""COMPUTED_VALUE"""),0)</f>
        <v>0</v>
      </c>
      <c r="I1266" s="1">
        <f ca="1">IFERROR(__xludf.DUMMYFUNCTION("""COMPUTED_VALUE"""),0)</f>
        <v>0</v>
      </c>
      <c r="J1266" s="1">
        <f ca="1">IFERROR(__xludf.DUMMYFUNCTION("""COMPUTED_VALUE"""),0)</f>
        <v>0</v>
      </c>
      <c r="K1266" s="1" t="str">
        <f ca="1">IFERROR(__xludf.DUMMYFUNCTION("""COMPUTED_VALUE"""),"Fall")</f>
        <v>Fall</v>
      </c>
      <c r="L1266" s="1" t="str">
        <f ca="1">IFERROR(__xludf.DUMMYFUNCTION("""COMPUTED_VALUE"""),"Little Rock")</f>
        <v>Little Rock</v>
      </c>
      <c r="M1266" s="1" t="str">
        <f ca="1">IFERROR(__xludf.DUMMYFUNCTION("""COMPUTED_VALUE"""),"AR")</f>
        <v>AR</v>
      </c>
      <c r="N1266" s="1" t="str">
        <f ca="1">IFERROR(__xludf.DUMMYFUNCTION("""COMPUTED_VALUE"""),"Elementary")</f>
        <v>Elementary</v>
      </c>
      <c r="O1266" s="1" t="str">
        <f ca="1">IFERROR(__xludf.DUMMYFUNCTION("""COMPUTED_VALUE"""),"Other")</f>
        <v>Other</v>
      </c>
      <c r="P1266" s="1" t="str">
        <f ca="1">IFERROR(__xludf.DUMMYFUNCTION("""COMPUTED_VALUE"""),"Outside on School Property")</f>
        <v>Outside on School Property</v>
      </c>
      <c r="Q1266" s="1" t="str">
        <f ca="1">IFERROR(__xludf.DUMMYFUNCTION("""COMPUTED_VALUE"""),"Yes")</f>
        <v>Yes</v>
      </c>
      <c r="R1266" s="1" t="str">
        <f ca="1">IFERROR(__xludf.DUMMYFUNCTION("""COMPUTED_VALUE"""),"Morning Classes")</f>
        <v>Morning Classes</v>
      </c>
      <c r="S1266" s="5">
        <f ca="1">IFERROR(__xludf.DUMMYFUNCTION("""COMPUTED_VALUE"""),0.416666666666666)</f>
        <v>0.41666666666666602</v>
      </c>
      <c r="T1266" s="1">
        <f ca="1">IFERROR(__xludf.DUMMYFUNCTION("""COMPUTED_VALUE"""),1)</f>
        <v>1</v>
      </c>
      <c r="U1266" s="1" t="str">
        <f ca="1">IFERROR(__xludf.DUMMYFUNCTION("""COMPUTED_VALUE"""),"6 bullets stuck the school building, no injuries")</f>
        <v>6 bullets stuck the school building, no injuries</v>
      </c>
      <c r="V1266" s="1" t="str">
        <f ca="1">IFERROR(__xludf.DUMMYFUNCTION("""COMPUTED_VALUE"""),"6 bullets stuck the school building. No injuries. Police said the shooting was unrelated to the school. No suspect arrested.")</f>
        <v>6 bullets stuck the school building. No injuries. Police said the shooting was unrelated to the school. No suspect arrested.</v>
      </c>
      <c r="W1266" s="1" t="str">
        <f ca="1">IFERROR(__xludf.DUMMYFUNCTION("""COMPUTED_VALUE"""),"Unknown")</f>
        <v>Unknown</v>
      </c>
      <c r="X1266" s="1"/>
      <c r="Y1266" s="1"/>
      <c r="Z1266" s="1"/>
      <c r="AA1266" s="1" t="str">
        <f ca="1">IFERROR(__xludf.DUMMYFUNCTION("""COMPUTED_VALUE"""),"No")</f>
        <v>No</v>
      </c>
      <c r="AB1266" s="1" t="str">
        <f ca="1">IFERROR(__xludf.DUMMYFUNCTION("""COMPUTED_VALUE"""),"No")</f>
        <v>No</v>
      </c>
      <c r="AC1266" s="1" t="str">
        <f ca="1">IFERROR(__xludf.DUMMYFUNCTION("""COMPUTED_VALUE"""),"No")</f>
        <v>No</v>
      </c>
      <c r="AD1266" s="1" t="str">
        <f ca="1">IFERROR(__xludf.DUMMYFUNCTION("""COMPUTED_VALUE"""),"No")</f>
        <v>No</v>
      </c>
      <c r="AE1266" s="1" t="str">
        <f ca="1">IFERROR(__xludf.DUMMYFUNCTION("""COMPUTED_VALUE"""),"No")</f>
        <v>No</v>
      </c>
      <c r="AF1266" s="1"/>
      <c r="AG1266" s="1" t="str">
        <f ca="1">IFERROR(__xludf.DUMMYFUNCTION("""COMPUTED_VALUE"""),"No")</f>
        <v>No</v>
      </c>
      <c r="AH1266" s="1">
        <f ca="1">IFERROR(__xludf.DUMMYFUNCTION("""COMPUTED_VALUE"""),6)</f>
        <v>6</v>
      </c>
    </row>
    <row r="1267" spans="1:34" ht="12.5">
      <c r="A1267" s="1" t="str">
        <f ca="1">IFERROR(__xludf.DUMMYFUNCTION("""COMPUTED_VALUE"""),"20180928SDCHC")</f>
        <v>20180928SDCHC</v>
      </c>
      <c r="B1267" s="1">
        <f ca="1">IFERROR(__xludf.DUMMYFUNCTION("""COMPUTED_VALUE"""),9)</f>
        <v>9</v>
      </c>
      <c r="C1267" s="1">
        <f ca="1">IFERROR(__xludf.DUMMYFUNCTION("""COMPUTED_VALUE"""),28)</f>
        <v>28</v>
      </c>
      <c r="D1267" s="1">
        <f ca="1">IFERROR(__xludf.DUMMYFUNCTION("""COMPUTED_VALUE"""),2018)</f>
        <v>2018</v>
      </c>
      <c r="E1267" s="4">
        <f ca="1">IFERROR(__xludf.DUMMYFUNCTION("""COMPUTED_VALUE"""),43371)</f>
        <v>43371</v>
      </c>
      <c r="F1267" s="1" t="str">
        <f ca="1">IFERROR(__xludf.DUMMYFUNCTION("""COMPUTED_VALUE"""),"Chamberlain High School")</f>
        <v>Chamberlain High School</v>
      </c>
      <c r="G1267" s="1">
        <f ca="1">IFERROR(__xludf.DUMMYFUNCTION("""COMPUTED_VALUE"""),0)</f>
        <v>0</v>
      </c>
      <c r="H1267" s="1">
        <f ca="1">IFERROR(__xludf.DUMMYFUNCTION("""COMPUTED_VALUE"""),0)</f>
        <v>0</v>
      </c>
      <c r="I1267" s="1">
        <f ca="1">IFERROR(__xludf.DUMMYFUNCTION("""COMPUTED_VALUE"""),0)</f>
        <v>0</v>
      </c>
      <c r="J1267" s="1">
        <f ca="1">IFERROR(__xludf.DUMMYFUNCTION("""COMPUTED_VALUE"""),0)</f>
        <v>0</v>
      </c>
      <c r="K1267" s="1" t="str">
        <f ca="1">IFERROR(__xludf.DUMMYFUNCTION("""COMPUTED_VALUE"""),"Fall")</f>
        <v>Fall</v>
      </c>
      <c r="L1267" s="1" t="str">
        <f ca="1">IFERROR(__xludf.DUMMYFUNCTION("""COMPUTED_VALUE"""),"Chamberlain")</f>
        <v>Chamberlain</v>
      </c>
      <c r="M1267" s="1" t="str">
        <f ca="1">IFERROR(__xludf.DUMMYFUNCTION("""COMPUTED_VALUE"""),"SD")</f>
        <v>SD</v>
      </c>
      <c r="N1267" s="1" t="str">
        <f ca="1">IFERROR(__xludf.DUMMYFUNCTION("""COMPUTED_VALUE"""),"High")</f>
        <v>High</v>
      </c>
      <c r="O1267" s="1" t="str">
        <f ca="1">IFERROR(__xludf.DUMMYFUNCTION("""COMPUTED_VALUE"""),"Field (General)")</f>
        <v>Field (General)</v>
      </c>
      <c r="P1267" s="1" t="str">
        <f ca="1">IFERROR(__xludf.DUMMYFUNCTION("""COMPUTED_VALUE"""),"Outside on School Property")</f>
        <v>Outside on School Property</v>
      </c>
      <c r="Q1267" s="1" t="str">
        <f ca="1">IFERROR(__xludf.DUMMYFUNCTION("""COMPUTED_VALUE"""),"No")</f>
        <v>No</v>
      </c>
      <c r="R1267" s="1" t="str">
        <f ca="1">IFERROR(__xludf.DUMMYFUNCTION("""COMPUTED_VALUE"""),"Sport Event")</f>
        <v>Sport Event</v>
      </c>
      <c r="S1267" s="5">
        <f ca="1">IFERROR(__xludf.DUMMYFUNCTION("""COMPUTED_VALUE"""),0.645833333333333)</f>
        <v>0.64583333333333304</v>
      </c>
      <c r="T1267" s="1">
        <f ca="1">IFERROR(__xludf.DUMMYFUNCTION("""COMPUTED_VALUE"""),1)</f>
        <v>1</v>
      </c>
      <c r="U1267" s="1" t="str">
        <f ca="1">IFERROR(__xludf.DUMMYFUNCTION("""COMPUTED_VALUE"""),"Man commit suicide on school field during game following police chase")</f>
        <v>Man commit suicide on school field during game following police chase</v>
      </c>
      <c r="V1267" s="1" t="str">
        <f ca="1">IFERROR(__xludf.DUMMYFUNCTION("""COMPUTED_VALUE"""),"During football game, 20YOM being chased by police ran onto football practice field and shot himself. Game was suspended and stadium was cleared as a precaution. Game resumed 30 minutes later.")</f>
        <v>During football game, 20YOM being chased by police ran onto football practice field and shot himself. Game was suspended and stadium was cleared as a precaution. Game resumed 30 minutes later.</v>
      </c>
      <c r="W1267" s="1" t="str">
        <f ca="1">IFERROR(__xludf.DUMMYFUNCTION("""COMPUTED_VALUE"""),"Suicide/Attempted")</f>
        <v>Suicide/Attempted</v>
      </c>
      <c r="X1267" s="1" t="str">
        <f ca="1">IFERROR(__xludf.DUMMYFUNCTION("""COMPUTED_VALUE"""),"Victims Targeted")</f>
        <v>Victims Targeted</v>
      </c>
      <c r="Y1267" s="1" t="str">
        <f ca="1">IFERROR(__xludf.DUMMYFUNCTION("""COMPUTED_VALUE"""),"No")</f>
        <v>No</v>
      </c>
      <c r="Z1267" s="1"/>
      <c r="AA1267" s="1" t="str">
        <f ca="1">IFERROR(__xludf.DUMMYFUNCTION("""COMPUTED_VALUE"""),"No")</f>
        <v>No</v>
      </c>
      <c r="AB1267" s="1" t="str">
        <f ca="1">IFERROR(__xludf.DUMMYFUNCTION("""COMPUTED_VALUE"""),"No")</f>
        <v>No</v>
      </c>
      <c r="AC1267" s="1" t="str">
        <f ca="1">IFERROR(__xludf.DUMMYFUNCTION("""COMPUTED_VALUE"""),"No")</f>
        <v>No</v>
      </c>
      <c r="AD1267" s="1" t="str">
        <f ca="1">IFERROR(__xludf.DUMMYFUNCTION("""COMPUTED_VALUE"""),"No")</f>
        <v>No</v>
      </c>
      <c r="AE1267" s="1" t="str">
        <f ca="1">IFERROR(__xludf.DUMMYFUNCTION("""COMPUTED_VALUE"""),"No")</f>
        <v>No</v>
      </c>
      <c r="AF1267" s="1" t="str">
        <f ca="1">IFERROR(__xludf.DUMMYFUNCTION("""COMPUTED_VALUE"""),"No")</f>
        <v>No</v>
      </c>
      <c r="AG1267" s="1" t="str">
        <f ca="1">IFERROR(__xludf.DUMMYFUNCTION("""COMPUTED_VALUE"""),"No")</f>
        <v>No</v>
      </c>
      <c r="AH1267" s="1">
        <f ca="1">IFERROR(__xludf.DUMMYFUNCTION("""COMPUTED_VALUE"""),1)</f>
        <v>1</v>
      </c>
    </row>
    <row r="1268" spans="1:34" ht="12.5">
      <c r="A1268" s="1" t="str">
        <f ca="1">IFERROR(__xludf.DUMMYFUNCTION("""COMPUTED_VALUE"""),"20180927TXHEC")</f>
        <v>20180927TXHEC</v>
      </c>
      <c r="B1268" s="1">
        <f ca="1">IFERROR(__xludf.DUMMYFUNCTION("""COMPUTED_VALUE"""),9)</f>
        <v>9</v>
      </c>
      <c r="C1268" s="1">
        <f ca="1">IFERROR(__xludf.DUMMYFUNCTION("""COMPUTED_VALUE"""),27)</f>
        <v>27</v>
      </c>
      <c r="D1268" s="1">
        <f ca="1">IFERROR(__xludf.DUMMYFUNCTION("""COMPUTED_VALUE"""),2018)</f>
        <v>2018</v>
      </c>
      <c r="E1268" s="4">
        <f ca="1">IFERROR(__xludf.DUMMYFUNCTION("""COMPUTED_VALUE"""),43370)</f>
        <v>43370</v>
      </c>
      <c r="F1268" s="1" t="str">
        <f ca="1">IFERROR(__xludf.DUMMYFUNCTION("""COMPUTED_VALUE"""),"Hebron High School")</f>
        <v>Hebron High School</v>
      </c>
      <c r="G1268" s="1">
        <f ca="1">IFERROR(__xludf.DUMMYFUNCTION("""COMPUTED_VALUE"""),0)</f>
        <v>0</v>
      </c>
      <c r="H1268" s="1">
        <f ca="1">IFERROR(__xludf.DUMMYFUNCTION("""COMPUTED_VALUE"""),1)</f>
        <v>1</v>
      </c>
      <c r="I1268" s="1">
        <f ca="1">IFERROR(__xludf.DUMMYFUNCTION("""COMPUTED_VALUE"""),1)</f>
        <v>1</v>
      </c>
      <c r="J1268" s="1">
        <f ca="1">IFERROR(__xludf.DUMMYFUNCTION("""COMPUTED_VALUE"""),0)</f>
        <v>0</v>
      </c>
      <c r="K1268" s="1" t="str">
        <f ca="1">IFERROR(__xludf.DUMMYFUNCTION("""COMPUTED_VALUE"""),"Fall")</f>
        <v>Fall</v>
      </c>
      <c r="L1268" s="1" t="str">
        <f ca="1">IFERROR(__xludf.DUMMYFUNCTION("""COMPUTED_VALUE"""),"Carrollton")</f>
        <v>Carrollton</v>
      </c>
      <c r="M1268" s="1" t="str">
        <f ca="1">IFERROR(__xludf.DUMMYFUNCTION("""COMPUTED_VALUE"""),"TX")</f>
        <v>TX</v>
      </c>
      <c r="N1268" s="1" t="str">
        <f ca="1">IFERROR(__xludf.DUMMYFUNCTION("""COMPUTED_VALUE"""),"High")</f>
        <v>High</v>
      </c>
      <c r="O1268" s="1" t="str">
        <f ca="1">IFERROR(__xludf.DUMMYFUNCTION("""COMPUTED_VALUE"""),"Parking Lot")</f>
        <v>Parking Lot</v>
      </c>
      <c r="P1268" s="1" t="str">
        <f ca="1">IFERROR(__xludf.DUMMYFUNCTION("""COMPUTED_VALUE"""),"Outside on School Property")</f>
        <v>Outside on School Property</v>
      </c>
      <c r="Q1268" s="1" t="str">
        <f ca="1">IFERROR(__xludf.DUMMYFUNCTION("""COMPUTED_VALUE"""),"No")</f>
        <v>No</v>
      </c>
      <c r="R1268" s="1" t="str">
        <f ca="1">IFERROR(__xludf.DUMMYFUNCTION("""COMPUTED_VALUE"""),"Sport Event")</f>
        <v>Sport Event</v>
      </c>
      <c r="S1268" s="5">
        <f ca="1">IFERROR(__xludf.DUMMYFUNCTION("""COMPUTED_VALUE"""),0.857638888888888)</f>
        <v>0.85763888888888795</v>
      </c>
      <c r="T1268" s="1">
        <f ca="1">IFERROR(__xludf.DUMMYFUNCTION("""COMPUTED_VALUE"""),1)</f>
        <v>1</v>
      </c>
      <c r="U1268" s="1" t="str">
        <f ca="1">IFERROR(__xludf.DUMMYFUNCTION("""COMPUTED_VALUE"""),"Adult male shot in chest at football game during argument")</f>
        <v>Adult male shot in chest at football game during argument</v>
      </c>
      <c r="V1268" s="1" t="str">
        <f ca="1">IFERROR(__xludf.DUMMYFUNCTION("""COMPUTED_VALUE"""),"47YOM (shooter) fired in the parking lot following an argument with 31YOM (victim) in the stands during the JV football game. Shooter was arrested at the scene. Police determined the shooting to be self defense.")</f>
        <v>47YOM (shooter) fired in the parking lot following an argument with 31YOM (victim) in the stands during the JV football game. Shooter was arrested at the scene. Police determined the shooting to be self defense.</v>
      </c>
      <c r="W1268" s="1" t="str">
        <f ca="1">IFERROR(__xludf.DUMMYFUNCTION("""COMPUTED_VALUE"""),"Escalation of Dispute")</f>
        <v>Escalation of Dispute</v>
      </c>
      <c r="X1268" s="1" t="str">
        <f ca="1">IFERROR(__xludf.DUMMYFUNCTION("""COMPUTED_VALUE"""),"Victims Targeted")</f>
        <v>Victims Targeted</v>
      </c>
      <c r="Y1268" s="1" t="str">
        <f ca="1">IFERROR(__xludf.DUMMYFUNCTION("""COMPUTED_VALUE"""),"No")</f>
        <v>No</v>
      </c>
      <c r="Z1268" s="1"/>
      <c r="AA1268" s="1" t="str">
        <f ca="1">IFERROR(__xludf.DUMMYFUNCTION("""COMPUTED_VALUE"""),"No")</f>
        <v>No</v>
      </c>
      <c r="AB1268" s="1" t="str">
        <f ca="1">IFERROR(__xludf.DUMMYFUNCTION("""COMPUTED_VALUE"""),"No")</f>
        <v>No</v>
      </c>
      <c r="AC1268" s="1" t="str">
        <f ca="1">IFERROR(__xludf.DUMMYFUNCTION("""COMPUTED_VALUE"""),"No")</f>
        <v>No</v>
      </c>
      <c r="AD1268" s="1" t="str">
        <f ca="1">IFERROR(__xludf.DUMMYFUNCTION("""COMPUTED_VALUE"""),"No")</f>
        <v>No</v>
      </c>
      <c r="AE1268" s="1" t="str">
        <f ca="1">IFERROR(__xludf.DUMMYFUNCTION("""COMPUTED_VALUE"""),"No")</f>
        <v>No</v>
      </c>
      <c r="AF1268" s="1" t="str">
        <f ca="1">IFERROR(__xludf.DUMMYFUNCTION("""COMPUTED_VALUE"""),"No")</f>
        <v>No</v>
      </c>
      <c r="AG1268" s="1" t="str">
        <f ca="1">IFERROR(__xludf.DUMMYFUNCTION("""COMPUTED_VALUE"""),"No")</f>
        <v>No</v>
      </c>
      <c r="AH1268" s="1">
        <f ca="1">IFERROR(__xludf.DUMMYFUNCTION("""COMPUTED_VALUE"""),1)</f>
        <v>1</v>
      </c>
    </row>
    <row r="1269" spans="1:34" ht="12.5">
      <c r="A1269" s="1" t="str">
        <f ca="1">IFERROR(__xludf.DUMMYFUNCTION("""COMPUTED_VALUE"""),"20180926MDMAB")</f>
        <v>20180926MDMAB</v>
      </c>
      <c r="B1269" s="1">
        <f ca="1">IFERROR(__xludf.DUMMYFUNCTION("""COMPUTED_VALUE"""),9)</f>
        <v>9</v>
      </c>
      <c r="C1269" s="1">
        <f ca="1">IFERROR(__xludf.DUMMYFUNCTION("""COMPUTED_VALUE"""),26)</f>
        <v>26</v>
      </c>
      <c r="D1269" s="1">
        <f ca="1">IFERROR(__xludf.DUMMYFUNCTION("""COMPUTED_VALUE"""),2018)</f>
        <v>2018</v>
      </c>
      <c r="E1269" s="4">
        <f ca="1">IFERROR(__xludf.DUMMYFUNCTION("""COMPUTED_VALUE"""),43369)</f>
        <v>43369</v>
      </c>
      <c r="F1269" s="1" t="str">
        <f ca="1">IFERROR(__xludf.DUMMYFUNCTION("""COMPUTED_VALUE"""),"Maree Garnett Farring Elementary")</f>
        <v>Maree Garnett Farring Elementary</v>
      </c>
      <c r="G1269" s="1">
        <f ca="1">IFERROR(__xludf.DUMMYFUNCTION("""COMPUTED_VALUE"""),0)</f>
        <v>0</v>
      </c>
      <c r="H1269" s="1">
        <f ca="1">IFERROR(__xludf.DUMMYFUNCTION("""COMPUTED_VALUE"""),0)</f>
        <v>0</v>
      </c>
      <c r="I1269" s="1">
        <f ca="1">IFERROR(__xludf.DUMMYFUNCTION("""COMPUTED_VALUE"""),0)</f>
        <v>0</v>
      </c>
      <c r="J1269" s="1">
        <f ca="1">IFERROR(__xludf.DUMMYFUNCTION("""COMPUTED_VALUE"""),0)</f>
        <v>0</v>
      </c>
      <c r="K1269" s="1" t="str">
        <f ca="1">IFERROR(__xludf.DUMMYFUNCTION("""COMPUTED_VALUE"""),"Fall")</f>
        <v>Fall</v>
      </c>
      <c r="L1269" s="1" t="str">
        <f ca="1">IFERROR(__xludf.DUMMYFUNCTION("""COMPUTED_VALUE"""),"Baltimore")</f>
        <v>Baltimore</v>
      </c>
      <c r="M1269" s="1" t="str">
        <f ca="1">IFERROR(__xludf.DUMMYFUNCTION("""COMPUTED_VALUE"""),"MD")</f>
        <v>MD</v>
      </c>
      <c r="N1269" s="1" t="str">
        <f ca="1">IFERROR(__xludf.DUMMYFUNCTION("""COMPUTED_VALUE"""),"Elementary")</f>
        <v>Elementary</v>
      </c>
      <c r="O1269" s="1" t="str">
        <f ca="1">IFERROR(__xludf.DUMMYFUNCTION("""COMPUTED_VALUE"""),"Bathroom")</f>
        <v>Bathroom</v>
      </c>
      <c r="P1269" s="1" t="str">
        <f ca="1">IFERROR(__xludf.DUMMYFUNCTION("""COMPUTED_VALUE"""),"Outside on School Property")</f>
        <v>Outside on School Property</v>
      </c>
      <c r="Q1269" s="1" t="str">
        <f ca="1">IFERROR(__xludf.DUMMYFUNCTION("""COMPUTED_VALUE"""),"Yes")</f>
        <v>Yes</v>
      </c>
      <c r="R1269" s="1" t="str">
        <f ca="1">IFERROR(__xludf.DUMMYFUNCTION("""COMPUTED_VALUE"""),"Morning Classes")</f>
        <v>Morning Classes</v>
      </c>
      <c r="S1269" s="1"/>
      <c r="T1269" s="1">
        <f ca="1">IFERROR(__xludf.DUMMYFUNCTION("""COMPUTED_VALUE"""),1)</f>
        <v>1</v>
      </c>
      <c r="U1269" s="1" t="str">
        <f ca="1">IFERROR(__xludf.DUMMYFUNCTION("""COMPUTED_VALUE"""),"Two students playing with gun in school bathroom.")</f>
        <v>Two students playing with gun in school bathroom.</v>
      </c>
      <c r="V1269" s="1" t="str">
        <f ca="1">IFERROR(__xludf.DUMMYFUNCTION("""COMPUTED_VALUE"""),"Two unnamed students fired a gun in the school bathroom. School was locked down for 4 hours then dismissed.")</f>
        <v>Two unnamed students fired a gun in the school bathroom. School was locked down for 4 hours then dismissed.</v>
      </c>
      <c r="W1269" s="1" t="str">
        <f ca="1">IFERROR(__xludf.DUMMYFUNCTION("""COMPUTED_VALUE"""),"Accidental")</f>
        <v>Accidental</v>
      </c>
      <c r="X1269" s="1" t="str">
        <f ca="1">IFERROR(__xludf.DUMMYFUNCTION("""COMPUTED_VALUE"""),"Neither")</f>
        <v>Neither</v>
      </c>
      <c r="Y1269" s="1" t="str">
        <f ca="1">IFERROR(__xludf.DUMMYFUNCTION("""COMPUTED_VALUE"""),"Yes")</f>
        <v>Yes</v>
      </c>
      <c r="Z1269" s="1" t="str">
        <f ca="1">IFERROR(__xludf.DUMMYFUNCTION("""COMPUTED_VALUE"""),"Two students involved")</f>
        <v>Two students involved</v>
      </c>
      <c r="AA1269" s="1" t="str">
        <f ca="1">IFERROR(__xludf.DUMMYFUNCTION("""COMPUTED_VALUE"""),"No")</f>
        <v>No</v>
      </c>
      <c r="AB1269" s="1" t="str">
        <f ca="1">IFERROR(__xludf.DUMMYFUNCTION("""COMPUTED_VALUE"""),"No")</f>
        <v>No</v>
      </c>
      <c r="AC1269" s="1" t="str">
        <f ca="1">IFERROR(__xludf.DUMMYFUNCTION("""COMPUTED_VALUE"""),"No")</f>
        <v>No</v>
      </c>
      <c r="AD1269" s="1" t="str">
        <f ca="1">IFERROR(__xludf.DUMMYFUNCTION("""COMPUTED_VALUE"""),"No")</f>
        <v>No</v>
      </c>
      <c r="AE1269" s="1" t="str">
        <f ca="1">IFERROR(__xludf.DUMMYFUNCTION("""COMPUTED_VALUE"""),"No")</f>
        <v>No</v>
      </c>
      <c r="AF1269" s="1" t="str">
        <f ca="1">IFERROR(__xludf.DUMMYFUNCTION("""COMPUTED_VALUE"""),"No")</f>
        <v>No</v>
      </c>
      <c r="AG1269" s="1" t="str">
        <f ca="1">IFERROR(__xludf.DUMMYFUNCTION("""COMPUTED_VALUE"""),"No")</f>
        <v>No</v>
      </c>
      <c r="AH1269" s="1">
        <f ca="1">IFERROR(__xludf.DUMMYFUNCTION("""COMPUTED_VALUE"""),1)</f>
        <v>1</v>
      </c>
    </row>
    <row r="1270" spans="1:34" ht="12.5">
      <c r="A1270" s="1" t="str">
        <f ca="1">IFERROR(__xludf.DUMMYFUNCTION("""COMPUTED_VALUE"""),"20180924PACEP")</f>
        <v>20180924PACEP</v>
      </c>
      <c r="B1270" s="1">
        <f ca="1">IFERROR(__xludf.DUMMYFUNCTION("""COMPUTED_VALUE"""),9)</f>
        <v>9</v>
      </c>
      <c r="C1270" s="1">
        <f ca="1">IFERROR(__xludf.DUMMYFUNCTION("""COMPUTED_VALUE"""),24)</f>
        <v>24</v>
      </c>
      <c r="D1270" s="1">
        <f ca="1">IFERROR(__xludf.DUMMYFUNCTION("""COMPUTED_VALUE"""),2018)</f>
        <v>2018</v>
      </c>
      <c r="E1270" s="4">
        <f ca="1">IFERROR(__xludf.DUMMYFUNCTION("""COMPUTED_VALUE"""),43367)</f>
        <v>43367</v>
      </c>
      <c r="F1270" s="1" t="str">
        <f ca="1">IFERROR(__xludf.DUMMYFUNCTION("""COMPUTED_VALUE"""),"Central High School")</f>
        <v>Central High School</v>
      </c>
      <c r="G1270" s="1">
        <f ca="1">IFERROR(__xludf.DUMMYFUNCTION("""COMPUTED_VALUE"""),1)</f>
        <v>1</v>
      </c>
      <c r="H1270" s="1">
        <f ca="1">IFERROR(__xludf.DUMMYFUNCTION("""COMPUTED_VALUE"""),0)</f>
        <v>0</v>
      </c>
      <c r="I1270" s="1">
        <f ca="1">IFERROR(__xludf.DUMMYFUNCTION("""COMPUTED_VALUE"""),1)</f>
        <v>1</v>
      </c>
      <c r="J1270" s="1">
        <f ca="1">IFERROR(__xludf.DUMMYFUNCTION("""COMPUTED_VALUE"""),0)</f>
        <v>0</v>
      </c>
      <c r="K1270" s="1" t="str">
        <f ca="1">IFERROR(__xludf.DUMMYFUNCTION("""COMPUTED_VALUE"""),"Fall")</f>
        <v>Fall</v>
      </c>
      <c r="L1270" s="1" t="str">
        <f ca="1">IFERROR(__xludf.DUMMYFUNCTION("""COMPUTED_VALUE"""),"Philadelphia")</f>
        <v>Philadelphia</v>
      </c>
      <c r="M1270" s="1" t="str">
        <f ca="1">IFERROR(__xludf.DUMMYFUNCTION("""COMPUTED_VALUE"""),"PA")</f>
        <v>PA</v>
      </c>
      <c r="N1270" s="1" t="str">
        <f ca="1">IFERROR(__xludf.DUMMYFUNCTION("""COMPUTED_VALUE"""),"High")</f>
        <v>High</v>
      </c>
      <c r="O1270" s="1" t="str">
        <f ca="1">IFERROR(__xludf.DUMMYFUNCTION("""COMPUTED_VALUE"""),"Front of School")</f>
        <v>Front of School</v>
      </c>
      <c r="P1270" s="1" t="str">
        <f ca="1">IFERROR(__xludf.DUMMYFUNCTION("""COMPUTED_VALUE"""),"Outside on School Property")</f>
        <v>Outside on School Property</v>
      </c>
      <c r="Q1270" s="1" t="str">
        <f ca="1">IFERROR(__xludf.DUMMYFUNCTION("""COMPUTED_VALUE"""),"Yes")</f>
        <v>Yes</v>
      </c>
      <c r="R1270" s="1" t="str">
        <f ca="1">IFERROR(__xludf.DUMMYFUNCTION("""COMPUTED_VALUE"""),"School Start")</f>
        <v>School Start</v>
      </c>
      <c r="S1270" s="5">
        <f ca="1">IFERROR(__xludf.DUMMYFUNCTION("""COMPUTED_VALUE"""),0.34375)</f>
        <v>0.34375</v>
      </c>
      <c r="T1270" s="1">
        <f ca="1">IFERROR(__xludf.DUMMYFUNCTION("""COMPUTED_VALUE"""),1)</f>
        <v>1</v>
      </c>
      <c r="U1270" s="1" t="str">
        <f ca="1">IFERROR(__xludf.DUMMYFUNCTION("""COMPUTED_VALUE"""),"Student killed in cross fire of shooting outside of school")</f>
        <v>Student killed in cross fire of shooting outside of school</v>
      </c>
      <c r="V1270" s="1" t="str">
        <f ca="1">IFERROR(__xludf.DUMMYFUNCTION("""COMPUTED_VALUE"""),"17YOF student was shot (crossfire) outside of school during a shoot out between 2 unknown shooters. Two different caliber of rounds were found. Student was taken to nurses office. No suspects identified.")</f>
        <v>17YOF student was shot (crossfire) outside of school during a shoot out between 2 unknown shooters. Two different caliber of rounds were found. Student was taken to nurses office. No suspects identified.</v>
      </c>
      <c r="W1270" s="1" t="str">
        <f ca="1">IFERROR(__xludf.DUMMYFUNCTION("""COMPUTED_VALUE"""),"Escalation of Dispute")</f>
        <v>Escalation of Dispute</v>
      </c>
      <c r="X1270" s="1" t="str">
        <f ca="1">IFERROR(__xludf.DUMMYFUNCTION("""COMPUTED_VALUE"""),"Both")</f>
        <v>Both</v>
      </c>
      <c r="Y1270" s="1" t="str">
        <f ca="1">IFERROR(__xludf.DUMMYFUNCTION("""COMPUTED_VALUE"""),"No")</f>
        <v>No</v>
      </c>
      <c r="Z1270" s="1"/>
      <c r="AA1270" s="1" t="str">
        <f ca="1">IFERROR(__xludf.DUMMYFUNCTION("""COMPUTED_VALUE"""),"No")</f>
        <v>No</v>
      </c>
      <c r="AB1270" s="1" t="str">
        <f ca="1">IFERROR(__xludf.DUMMYFUNCTION("""COMPUTED_VALUE"""),"No")</f>
        <v>No</v>
      </c>
      <c r="AC1270" s="1" t="str">
        <f ca="1">IFERROR(__xludf.DUMMYFUNCTION("""COMPUTED_VALUE"""),"No")</f>
        <v>No</v>
      </c>
      <c r="AD1270" s="1" t="str">
        <f ca="1">IFERROR(__xludf.DUMMYFUNCTION("""COMPUTED_VALUE"""),"No")</f>
        <v>No</v>
      </c>
      <c r="AE1270" s="1" t="str">
        <f ca="1">IFERROR(__xludf.DUMMYFUNCTION("""COMPUTED_VALUE"""),"No")</f>
        <v>No</v>
      </c>
      <c r="AF1270" s="1"/>
      <c r="AG1270" s="1" t="str">
        <f ca="1">IFERROR(__xludf.DUMMYFUNCTION("""COMPUTED_VALUE"""),"No")</f>
        <v>No</v>
      </c>
      <c r="AH1270" s="1" t="str">
        <f ca="1">IFERROR(__xludf.DUMMYFUNCTION("""COMPUTED_VALUE"""),"&gt;10")</f>
        <v>&gt;10</v>
      </c>
    </row>
    <row r="1271" spans="1:34" ht="12.5">
      <c r="A1271" s="1" t="str">
        <f ca="1">IFERROR(__xludf.DUMMYFUNCTION("""COMPUTED_VALUE"""),"20180924NCLAC")</f>
        <v>20180924NCLAC</v>
      </c>
      <c r="B1271" s="1">
        <f ca="1">IFERROR(__xludf.DUMMYFUNCTION("""COMPUTED_VALUE"""),9)</f>
        <v>9</v>
      </c>
      <c r="C1271" s="1">
        <f ca="1">IFERROR(__xludf.DUMMYFUNCTION("""COMPUTED_VALUE"""),24)</f>
        <v>24</v>
      </c>
      <c r="D1271" s="1">
        <f ca="1">IFERROR(__xludf.DUMMYFUNCTION("""COMPUTED_VALUE"""),2018)</f>
        <v>2018</v>
      </c>
      <c r="E1271" s="4">
        <f ca="1">IFERROR(__xludf.DUMMYFUNCTION("""COMPUTED_VALUE"""),43367)</f>
        <v>43367</v>
      </c>
      <c r="F1271" s="1" t="str">
        <f ca="1">IFERROR(__xludf.DUMMYFUNCTION("""COMPUTED_VALUE"""),"Lawrence Orr Elementary School")</f>
        <v>Lawrence Orr Elementary School</v>
      </c>
      <c r="G1271" s="1">
        <f ca="1">IFERROR(__xludf.DUMMYFUNCTION("""COMPUTED_VALUE"""),0)</f>
        <v>0</v>
      </c>
      <c r="H1271" s="1">
        <f ca="1">IFERROR(__xludf.DUMMYFUNCTION("""COMPUTED_VALUE"""),0)</f>
        <v>0</v>
      </c>
      <c r="I1271" s="1">
        <f ca="1">IFERROR(__xludf.DUMMYFUNCTION("""COMPUTED_VALUE"""),0)</f>
        <v>0</v>
      </c>
      <c r="J1271" s="1">
        <f ca="1">IFERROR(__xludf.DUMMYFUNCTION("""COMPUTED_VALUE"""),0)</f>
        <v>0</v>
      </c>
      <c r="K1271" s="1" t="str">
        <f ca="1">IFERROR(__xludf.DUMMYFUNCTION("""COMPUTED_VALUE"""),"Fall")</f>
        <v>Fall</v>
      </c>
      <c r="L1271" s="1" t="str">
        <f ca="1">IFERROR(__xludf.DUMMYFUNCTION("""COMPUTED_VALUE"""),"Charlotte")</f>
        <v>Charlotte</v>
      </c>
      <c r="M1271" s="1" t="str">
        <f ca="1">IFERROR(__xludf.DUMMYFUNCTION("""COMPUTED_VALUE"""),"NC")</f>
        <v>NC</v>
      </c>
      <c r="N1271" s="1" t="str">
        <f ca="1">IFERROR(__xludf.DUMMYFUNCTION("""COMPUTED_VALUE"""),"Elementary")</f>
        <v>Elementary</v>
      </c>
      <c r="O1271" s="1" t="str">
        <f ca="1">IFERROR(__xludf.DUMMYFUNCTION("""COMPUTED_VALUE"""),"Parking Lot")</f>
        <v>Parking Lot</v>
      </c>
      <c r="P1271" s="1" t="str">
        <f ca="1">IFERROR(__xludf.DUMMYFUNCTION("""COMPUTED_VALUE"""),"Outside on School Property")</f>
        <v>Outside on School Property</v>
      </c>
      <c r="Q1271" s="1" t="str">
        <f ca="1">IFERROR(__xludf.DUMMYFUNCTION("""COMPUTED_VALUE"""),"Yes")</f>
        <v>Yes</v>
      </c>
      <c r="R1271" s="1" t="str">
        <f ca="1">IFERROR(__xludf.DUMMYFUNCTION("""COMPUTED_VALUE"""),"School Start")</f>
        <v>School Start</v>
      </c>
      <c r="S1271" s="5">
        <f ca="1">IFERROR(__xludf.DUMMYFUNCTION("""COMPUTED_VALUE"""),0.375)</f>
        <v>0.375</v>
      </c>
      <c r="T1271" s="1">
        <f ca="1">IFERROR(__xludf.DUMMYFUNCTION("""COMPUTED_VALUE"""),1)</f>
        <v>1</v>
      </c>
      <c r="U1271" s="1" t="str">
        <f ca="1">IFERROR(__xludf.DUMMYFUNCTION("""COMPUTED_VALUE"""),"Multiple shots fired at vehicle after child was dropped off")</f>
        <v>Multiple shots fired at vehicle after child was dropped off</v>
      </c>
      <c r="V1271" s="1" t="str">
        <f ca="1">IFERROR(__xludf.DUMMYFUNCTION("""COMPUTED_VALUE"""),"Unknown shooter fired multiple shots at vehicle in the school parking lot after child was dropped off. All of the shots missed. School was locked down. No injuries. Shooter fled. Police said the shooting was targeted.")</f>
        <v>Unknown shooter fired multiple shots at vehicle in the school parking lot after child was dropped off. All of the shots missed. School was locked down. No injuries. Shooter fled. Police said the shooting was targeted.</v>
      </c>
      <c r="W1271" s="1" t="str">
        <f ca="1">IFERROR(__xludf.DUMMYFUNCTION("""COMPUTED_VALUE"""),"Escalation of Dispute")</f>
        <v>Escalation of Dispute</v>
      </c>
      <c r="X1271" s="1" t="str">
        <f ca="1">IFERROR(__xludf.DUMMYFUNCTION("""COMPUTED_VALUE"""),"Victims Targeted")</f>
        <v>Victims Targeted</v>
      </c>
      <c r="Y1271" s="1" t="str">
        <f ca="1">IFERROR(__xludf.DUMMYFUNCTION("""COMPUTED_VALUE"""),"No")</f>
        <v>No</v>
      </c>
      <c r="Z1271" s="1"/>
      <c r="AA1271" s="1" t="str">
        <f ca="1">IFERROR(__xludf.DUMMYFUNCTION("""COMPUTED_VALUE"""),"No")</f>
        <v>No</v>
      </c>
      <c r="AB1271" s="1" t="str">
        <f ca="1">IFERROR(__xludf.DUMMYFUNCTION("""COMPUTED_VALUE"""),"No")</f>
        <v>No</v>
      </c>
      <c r="AC1271" s="1" t="str">
        <f ca="1">IFERROR(__xludf.DUMMYFUNCTION("""COMPUTED_VALUE"""),"No")</f>
        <v>No</v>
      </c>
      <c r="AD1271" s="1" t="str">
        <f ca="1">IFERROR(__xludf.DUMMYFUNCTION("""COMPUTED_VALUE"""),"No")</f>
        <v>No</v>
      </c>
      <c r="AE1271" s="1"/>
      <c r="AF1271" s="1"/>
      <c r="AG1271" s="1" t="str">
        <f ca="1">IFERROR(__xludf.DUMMYFUNCTION("""COMPUTED_VALUE"""),"No")</f>
        <v>No</v>
      </c>
      <c r="AH1271" s="1" t="str">
        <f ca="1">IFERROR(__xludf.DUMMYFUNCTION("""COMPUTED_VALUE"""),"&lt;10")</f>
        <v>&lt;10</v>
      </c>
    </row>
    <row r="1272" spans="1:34" ht="12.5">
      <c r="A1272" s="1" t="str">
        <f ca="1">IFERROR(__xludf.DUMMYFUNCTION("""COMPUTED_VALUE"""),"20180924GAAPB")</f>
        <v>20180924GAAPB</v>
      </c>
      <c r="B1272" s="1">
        <f ca="1">IFERROR(__xludf.DUMMYFUNCTION("""COMPUTED_VALUE"""),9)</f>
        <v>9</v>
      </c>
      <c r="C1272" s="1">
        <f ca="1">IFERROR(__xludf.DUMMYFUNCTION("""COMPUTED_VALUE"""),24)</f>
        <v>24</v>
      </c>
      <c r="D1272" s="1">
        <f ca="1">IFERROR(__xludf.DUMMYFUNCTION("""COMPUTED_VALUE"""),2018)</f>
        <v>2018</v>
      </c>
      <c r="E1272" s="4">
        <f ca="1">IFERROR(__xludf.DUMMYFUNCTION("""COMPUTED_VALUE"""),43367)</f>
        <v>43367</v>
      </c>
      <c r="F1272" s="1" t="str">
        <f ca="1">IFERROR(__xludf.DUMMYFUNCTION("""COMPUTED_VALUE"""),"Appling County High School")</f>
        <v>Appling County High School</v>
      </c>
      <c r="G1272" s="1">
        <f ca="1">IFERROR(__xludf.DUMMYFUNCTION("""COMPUTED_VALUE"""),0)</f>
        <v>0</v>
      </c>
      <c r="H1272" s="1">
        <f ca="1">IFERROR(__xludf.DUMMYFUNCTION("""COMPUTED_VALUE"""),0)</f>
        <v>0</v>
      </c>
      <c r="I1272" s="1">
        <f ca="1">IFERROR(__xludf.DUMMYFUNCTION("""COMPUTED_VALUE"""),0)</f>
        <v>0</v>
      </c>
      <c r="J1272" s="1">
        <f ca="1">IFERROR(__xludf.DUMMYFUNCTION("""COMPUTED_VALUE"""),1)</f>
        <v>1</v>
      </c>
      <c r="K1272" s="1" t="str">
        <f ca="1">IFERROR(__xludf.DUMMYFUNCTION("""COMPUTED_VALUE"""),"Fall")</f>
        <v>Fall</v>
      </c>
      <c r="L1272" s="1" t="str">
        <f ca="1">IFERROR(__xludf.DUMMYFUNCTION("""COMPUTED_VALUE"""),"Baxley")</f>
        <v>Baxley</v>
      </c>
      <c r="M1272" s="1" t="str">
        <f ca="1">IFERROR(__xludf.DUMMYFUNCTION("""COMPUTED_VALUE"""),"GA")</f>
        <v>GA</v>
      </c>
      <c r="N1272" s="1" t="str">
        <f ca="1">IFERROR(__xludf.DUMMYFUNCTION("""COMPUTED_VALUE"""),"High")</f>
        <v>High</v>
      </c>
      <c r="O1272" s="1" t="str">
        <f ca="1">IFERROR(__xludf.DUMMYFUNCTION("""COMPUTED_VALUE"""),"Bathroom")</f>
        <v>Bathroom</v>
      </c>
      <c r="P1272" s="1" t="str">
        <f ca="1">IFERROR(__xludf.DUMMYFUNCTION("""COMPUTED_VALUE"""),"Inside School Building")</f>
        <v>Inside School Building</v>
      </c>
      <c r="Q1272" s="1" t="str">
        <f ca="1">IFERROR(__xludf.DUMMYFUNCTION("""COMPUTED_VALUE"""),"Yes")</f>
        <v>Yes</v>
      </c>
      <c r="R1272" s="1" t="str">
        <f ca="1">IFERROR(__xludf.DUMMYFUNCTION("""COMPUTED_VALUE"""),"Morning Classes")</f>
        <v>Morning Classes</v>
      </c>
      <c r="S1272" s="1"/>
      <c r="T1272" s="1">
        <f ca="1">IFERROR(__xludf.DUMMYFUNCTION("""COMPUTED_VALUE"""),1)</f>
        <v>1</v>
      </c>
      <c r="U1272" s="1" t="str">
        <f ca="1">IFERROR(__xludf.DUMMYFUNCTION("""COMPUTED_VALUE"""),"Student commit suicide in bathroom")</f>
        <v>Student commit suicide in bathroom</v>
      </c>
      <c r="V1272" s="1" t="str">
        <f ca="1">IFERROR(__xludf.DUMMYFUNCTION("""COMPUTED_VALUE"""),"Student commit suicide in the school bathroom. Body was found later, nobody reported hearing the gunshot. School was locked down then dismissed.")</f>
        <v>Student commit suicide in the school bathroom. Body was found later, nobody reported hearing the gunshot. School was locked down then dismissed.</v>
      </c>
      <c r="W1272" s="1" t="str">
        <f ca="1">IFERROR(__xludf.DUMMYFUNCTION("""COMPUTED_VALUE"""),"Suicide/Attempted")</f>
        <v>Suicide/Attempted</v>
      </c>
      <c r="X1272" s="1" t="str">
        <f ca="1">IFERROR(__xludf.DUMMYFUNCTION("""COMPUTED_VALUE"""),"Victims Targeted")</f>
        <v>Victims Targeted</v>
      </c>
      <c r="Y1272" s="1" t="str">
        <f ca="1">IFERROR(__xludf.DUMMYFUNCTION("""COMPUTED_VALUE"""),"No")</f>
        <v>No</v>
      </c>
      <c r="Z1272" s="1"/>
      <c r="AA1272" s="1" t="str">
        <f ca="1">IFERROR(__xludf.DUMMYFUNCTION("""COMPUTED_VALUE"""),"No")</f>
        <v>No</v>
      </c>
      <c r="AB1272" s="1" t="str">
        <f ca="1">IFERROR(__xludf.DUMMYFUNCTION("""COMPUTED_VALUE"""),"No")</f>
        <v>No</v>
      </c>
      <c r="AC1272" s="1" t="str">
        <f ca="1">IFERROR(__xludf.DUMMYFUNCTION("""COMPUTED_VALUE"""),"No")</f>
        <v>No</v>
      </c>
      <c r="AD1272" s="1"/>
      <c r="AE1272" s="1" t="str">
        <f ca="1">IFERROR(__xludf.DUMMYFUNCTION("""COMPUTED_VALUE"""),"No")</f>
        <v>No</v>
      </c>
      <c r="AF1272" s="1" t="str">
        <f ca="1">IFERROR(__xludf.DUMMYFUNCTION("""COMPUTED_VALUE"""),"No")</f>
        <v>No</v>
      </c>
      <c r="AG1272" s="1" t="str">
        <f ca="1">IFERROR(__xludf.DUMMYFUNCTION("""COMPUTED_VALUE"""),"No")</f>
        <v>No</v>
      </c>
      <c r="AH1272" s="1">
        <f ca="1">IFERROR(__xludf.DUMMYFUNCTION("""COMPUTED_VALUE"""),1)</f>
        <v>1</v>
      </c>
    </row>
    <row r="1273" spans="1:34" ht="12.5">
      <c r="A1273" s="1" t="str">
        <f ca="1">IFERROR(__xludf.DUMMYFUNCTION("""COMPUTED_VALUE"""),"20180920CAPOP")</f>
        <v>20180920CAPOP</v>
      </c>
      <c r="B1273" s="1">
        <f ca="1">IFERROR(__xludf.DUMMYFUNCTION("""COMPUTED_VALUE"""),9)</f>
        <v>9</v>
      </c>
      <c r="C1273" s="1">
        <f ca="1">IFERROR(__xludf.DUMMYFUNCTION("""COMPUTED_VALUE"""),20)</f>
        <v>20</v>
      </c>
      <c r="D1273" s="1">
        <f ca="1">IFERROR(__xludf.DUMMYFUNCTION("""COMPUTED_VALUE"""),2018)</f>
        <v>2018</v>
      </c>
      <c r="E1273" s="4">
        <f ca="1">IFERROR(__xludf.DUMMYFUNCTION("""COMPUTED_VALUE"""),43363)</f>
        <v>43363</v>
      </c>
      <c r="F1273" s="1" t="str">
        <f ca="1">IFERROR(__xludf.DUMMYFUNCTION("""COMPUTED_VALUE"""),"Pomona High School")</f>
        <v>Pomona High School</v>
      </c>
      <c r="G1273" s="1">
        <f ca="1">IFERROR(__xludf.DUMMYFUNCTION("""COMPUTED_VALUE"""),0)</f>
        <v>0</v>
      </c>
      <c r="H1273" s="1">
        <f ca="1">IFERROR(__xludf.DUMMYFUNCTION("""COMPUTED_VALUE"""),0)</f>
        <v>0</v>
      </c>
      <c r="I1273" s="1">
        <f ca="1">IFERROR(__xludf.DUMMYFUNCTION("""COMPUTED_VALUE"""),0)</f>
        <v>0</v>
      </c>
      <c r="J1273" s="1">
        <f ca="1">IFERROR(__xludf.DUMMYFUNCTION("""COMPUTED_VALUE"""),1)</f>
        <v>1</v>
      </c>
      <c r="K1273" s="1" t="str">
        <f ca="1">IFERROR(__xludf.DUMMYFUNCTION("""COMPUTED_VALUE"""),"Fall")</f>
        <v>Fall</v>
      </c>
      <c r="L1273" s="1" t="str">
        <f ca="1">IFERROR(__xludf.DUMMYFUNCTION("""COMPUTED_VALUE"""),"Pomona")</f>
        <v>Pomona</v>
      </c>
      <c r="M1273" s="1" t="str">
        <f ca="1">IFERROR(__xludf.DUMMYFUNCTION("""COMPUTED_VALUE"""),"CA")</f>
        <v>CA</v>
      </c>
      <c r="N1273" s="1" t="str">
        <f ca="1">IFERROR(__xludf.DUMMYFUNCTION("""COMPUTED_VALUE"""),"High")</f>
        <v>High</v>
      </c>
      <c r="O1273" s="1" t="str">
        <f ca="1">IFERROR(__xludf.DUMMYFUNCTION("""COMPUTED_VALUE"""),"Football Field/Track")</f>
        <v>Football Field/Track</v>
      </c>
      <c r="P1273" s="1" t="str">
        <f ca="1">IFERROR(__xludf.DUMMYFUNCTION("""COMPUTED_VALUE"""),"Outside on School Property")</f>
        <v>Outside on School Property</v>
      </c>
      <c r="Q1273" s="1" t="str">
        <f ca="1">IFERROR(__xludf.DUMMYFUNCTION("""COMPUTED_VALUE"""),"No")</f>
        <v>No</v>
      </c>
      <c r="R1273" s="1" t="str">
        <f ca="1">IFERROR(__xludf.DUMMYFUNCTION("""COMPUTED_VALUE"""),"Before School")</f>
        <v>Before School</v>
      </c>
      <c r="S1273" s="1"/>
      <c r="T1273" s="1">
        <f ca="1">IFERROR(__xludf.DUMMYFUNCTION("""COMPUTED_VALUE"""),1)</f>
        <v>1</v>
      </c>
      <c r="U1273" s="1" t="str">
        <f ca="1">IFERROR(__xludf.DUMMYFUNCTION("""COMPUTED_VALUE"""),"Adult make commit suicide on the school campus before classes started")</f>
        <v>Adult make commit suicide on the school campus before classes started</v>
      </c>
      <c r="V1273" s="1" t="str">
        <f ca="1">IFERROR(__xludf.DUMMYFUNCTION("""COMPUTED_VALUE"""),"Adult male's body was found at 9AM near the bleachers on the campus. Police believe the suicide had occurred prior to classes starting that day.")</f>
        <v>Adult male's body was found at 9AM near the bleachers on the campus. Police believe the suicide had occurred prior to classes starting that day.</v>
      </c>
      <c r="W1273" s="1" t="str">
        <f ca="1">IFERROR(__xludf.DUMMYFUNCTION("""COMPUTED_VALUE"""),"Suicide/Attempted")</f>
        <v>Suicide/Attempted</v>
      </c>
      <c r="X1273" s="1" t="str">
        <f ca="1">IFERROR(__xludf.DUMMYFUNCTION("""COMPUTED_VALUE"""),"Victims Targeted")</f>
        <v>Victims Targeted</v>
      </c>
      <c r="Y1273" s="1" t="str">
        <f ca="1">IFERROR(__xludf.DUMMYFUNCTION("""COMPUTED_VALUE"""),"No")</f>
        <v>No</v>
      </c>
      <c r="Z1273" s="1"/>
      <c r="AA1273" s="1" t="str">
        <f ca="1">IFERROR(__xludf.DUMMYFUNCTION("""COMPUTED_VALUE"""),"No")</f>
        <v>No</v>
      </c>
      <c r="AB1273" s="1" t="str">
        <f ca="1">IFERROR(__xludf.DUMMYFUNCTION("""COMPUTED_VALUE"""),"No")</f>
        <v>No</v>
      </c>
      <c r="AC1273" s="1" t="str">
        <f ca="1">IFERROR(__xludf.DUMMYFUNCTION("""COMPUTED_VALUE"""),"No")</f>
        <v>No</v>
      </c>
      <c r="AD1273" s="1" t="str">
        <f ca="1">IFERROR(__xludf.DUMMYFUNCTION("""COMPUTED_VALUE"""),"No")</f>
        <v>No</v>
      </c>
      <c r="AE1273" s="1" t="str">
        <f ca="1">IFERROR(__xludf.DUMMYFUNCTION("""COMPUTED_VALUE"""),"No")</f>
        <v>No</v>
      </c>
      <c r="AF1273" s="1" t="str">
        <f ca="1">IFERROR(__xludf.DUMMYFUNCTION("""COMPUTED_VALUE"""),"No")</f>
        <v>No</v>
      </c>
      <c r="AG1273" s="1" t="str">
        <f ca="1">IFERROR(__xludf.DUMMYFUNCTION("""COMPUTED_VALUE"""),"No")</f>
        <v>No</v>
      </c>
      <c r="AH1273" s="1">
        <f ca="1">IFERROR(__xludf.DUMMYFUNCTION("""COMPUTED_VALUE"""),1)</f>
        <v>1</v>
      </c>
    </row>
    <row r="1274" spans="1:34" ht="12.5">
      <c r="A1274" s="1" t="str">
        <f ca="1">IFERROR(__xludf.DUMMYFUNCTION("""COMPUTED_VALUE"""),"20180920CACHL")</f>
        <v>20180920CACHL</v>
      </c>
      <c r="B1274" s="1">
        <f ca="1">IFERROR(__xludf.DUMMYFUNCTION("""COMPUTED_VALUE"""),9)</f>
        <v>9</v>
      </c>
      <c r="C1274" s="1">
        <f ca="1">IFERROR(__xludf.DUMMYFUNCTION("""COMPUTED_VALUE"""),20)</f>
        <v>20</v>
      </c>
      <c r="D1274" s="1">
        <f ca="1">IFERROR(__xludf.DUMMYFUNCTION("""COMPUTED_VALUE"""),2018)</f>
        <v>2018</v>
      </c>
      <c r="E1274" s="4">
        <f ca="1">IFERROR(__xludf.DUMMYFUNCTION("""COMPUTED_VALUE"""),43363)</f>
        <v>43363</v>
      </c>
      <c r="F1274" s="1" t="str">
        <f ca="1">IFERROR(__xludf.DUMMYFUNCTION("""COMPUTED_VALUE"""),"CHAMPS Charter High School")</f>
        <v>CHAMPS Charter High School</v>
      </c>
      <c r="G1274" s="1">
        <f ca="1">IFERROR(__xludf.DUMMYFUNCTION("""COMPUTED_VALUE"""),0)</f>
        <v>0</v>
      </c>
      <c r="H1274" s="1">
        <f ca="1">IFERROR(__xludf.DUMMYFUNCTION("""COMPUTED_VALUE"""),2)</f>
        <v>2</v>
      </c>
      <c r="I1274" s="1">
        <f ca="1">IFERROR(__xludf.DUMMYFUNCTION("""COMPUTED_VALUE"""),2)</f>
        <v>2</v>
      </c>
      <c r="J1274" s="1">
        <f ca="1">IFERROR(__xludf.DUMMYFUNCTION("""COMPUTED_VALUE"""),0)</f>
        <v>0</v>
      </c>
      <c r="K1274" s="1" t="str">
        <f ca="1">IFERROR(__xludf.DUMMYFUNCTION("""COMPUTED_VALUE"""),"Fall")</f>
        <v>Fall</v>
      </c>
      <c r="L1274" s="1" t="str">
        <f ca="1">IFERROR(__xludf.DUMMYFUNCTION("""COMPUTED_VALUE"""),"Los Angeles")</f>
        <v>Los Angeles</v>
      </c>
      <c r="M1274" s="1" t="str">
        <f ca="1">IFERROR(__xludf.DUMMYFUNCTION("""COMPUTED_VALUE"""),"CA")</f>
        <v>CA</v>
      </c>
      <c r="N1274" s="1" t="str">
        <f ca="1">IFERROR(__xludf.DUMMYFUNCTION("""COMPUTED_VALUE"""),"High")</f>
        <v>High</v>
      </c>
      <c r="O1274" s="1" t="str">
        <f ca="1">IFERROR(__xludf.DUMMYFUNCTION("""COMPUTED_VALUE"""),"Off School Property")</f>
        <v>Off School Property</v>
      </c>
      <c r="P1274" s="1" t="str">
        <f ca="1">IFERROR(__xludf.DUMMYFUNCTION("""COMPUTED_VALUE"""),"Off School Property")</f>
        <v>Off School Property</v>
      </c>
      <c r="Q1274" s="1" t="str">
        <f ca="1">IFERROR(__xludf.DUMMYFUNCTION("""COMPUTED_VALUE"""),"Yes")</f>
        <v>Yes</v>
      </c>
      <c r="R1274" s="1" t="str">
        <f ca="1">IFERROR(__xludf.DUMMYFUNCTION("""COMPUTED_VALUE"""),"Lunch")</f>
        <v>Lunch</v>
      </c>
      <c r="S1274" s="5">
        <f ca="1">IFERROR(__xludf.DUMMYFUNCTION("""COMPUTED_VALUE"""),0.506944444444444)</f>
        <v>0.50694444444444398</v>
      </c>
      <c r="T1274" s="1">
        <f ca="1">IFERROR(__xludf.DUMMYFUNCTION("""COMPUTED_VALUE"""),1)</f>
        <v>1</v>
      </c>
      <c r="U1274" s="1" t="str">
        <f ca="1">IFERROR(__xludf.DUMMYFUNCTION("""COMPUTED_VALUE"""),"Shooting at fast food restaurant directly across from school, student and employee struck ran back to school")</f>
        <v>Shooting at fast food restaurant directly across from school, student and employee struck ran back to school</v>
      </c>
      <c r="V1274" s="1" t="str">
        <f ca="1">IFERROR(__xludf.DUMMYFUNCTION("""COMPUTED_VALUE"""),"School employee and a student were stuck when shots were fired in a large group outside a fast food restaurant across the street from the school. Victims returned to the school building where they were treated by first responders. School was locked down. "&amp;"Police later arrested 18YOM and 20YOM.")</f>
        <v>School employee and a student were stuck when shots were fired in a large group outside a fast food restaurant across the street from the school. Victims returned to the school building where they were treated by first responders. School was locked down. Police later arrested 18YOM and 20YOM.</v>
      </c>
      <c r="W1274" s="1" t="str">
        <f ca="1">IFERROR(__xludf.DUMMYFUNCTION("""COMPUTED_VALUE"""),"Escalation of Dispute")</f>
        <v>Escalation of Dispute</v>
      </c>
      <c r="X1274" s="1"/>
      <c r="Y1274" s="1" t="str">
        <f ca="1">IFERROR(__xludf.DUMMYFUNCTION("""COMPUTED_VALUE"""),"Yes")</f>
        <v>Yes</v>
      </c>
      <c r="Z1274" s="1" t="str">
        <f ca="1">IFERROR(__xludf.DUMMYFUNCTION("""COMPUTED_VALUE"""),"Two arrested")</f>
        <v>Two arrested</v>
      </c>
      <c r="AA1274" s="1" t="str">
        <f ca="1">IFERROR(__xludf.DUMMYFUNCTION("""COMPUTED_VALUE"""),"No")</f>
        <v>No</v>
      </c>
      <c r="AB1274" s="1" t="str">
        <f ca="1">IFERROR(__xludf.DUMMYFUNCTION("""COMPUTED_VALUE"""),"No")</f>
        <v>No</v>
      </c>
      <c r="AC1274" s="1" t="str">
        <f ca="1">IFERROR(__xludf.DUMMYFUNCTION("""COMPUTED_VALUE"""),"No")</f>
        <v>No</v>
      </c>
      <c r="AD1274" s="1" t="str">
        <f ca="1">IFERROR(__xludf.DUMMYFUNCTION("""COMPUTED_VALUE"""),"No")</f>
        <v>No</v>
      </c>
      <c r="AE1274" s="1" t="str">
        <f ca="1">IFERROR(__xludf.DUMMYFUNCTION("""COMPUTED_VALUE"""),"No")</f>
        <v>No</v>
      </c>
      <c r="AF1274" s="1"/>
      <c r="AG1274" s="1" t="str">
        <f ca="1">IFERROR(__xludf.DUMMYFUNCTION("""COMPUTED_VALUE"""),"No")</f>
        <v>No</v>
      </c>
      <c r="AH1274" s="1">
        <f ca="1">IFERROR(__xludf.DUMMYFUNCTION("""COMPUTED_VALUE"""),2)</f>
        <v>2</v>
      </c>
    </row>
    <row r="1275" spans="1:34" ht="12.5">
      <c r="A1275" s="1" t="str">
        <f ca="1">IFERROR(__xludf.DUMMYFUNCTION("""COMPUTED_VALUE"""),"20180917ALBLH")</f>
        <v>20180917ALBLH</v>
      </c>
      <c r="B1275" s="1">
        <f ca="1">IFERROR(__xludf.DUMMYFUNCTION("""COMPUTED_VALUE"""),9)</f>
        <v>9</v>
      </c>
      <c r="C1275" s="1">
        <f ca="1">IFERROR(__xludf.DUMMYFUNCTION("""COMPUTED_VALUE"""),17)</f>
        <v>17</v>
      </c>
      <c r="D1275" s="1">
        <f ca="1">IFERROR(__xludf.DUMMYFUNCTION("""COMPUTED_VALUE"""),2018)</f>
        <v>2018</v>
      </c>
      <c r="E1275" s="4">
        <f ca="1">IFERROR(__xludf.DUMMYFUNCTION("""COMPUTED_VALUE"""),43360)</f>
        <v>43360</v>
      </c>
      <c r="F1275" s="1" t="str">
        <f ca="1">IFERROR(__xludf.DUMMYFUNCTION("""COMPUTED_VALUE"""),"Blossomwood Elementary School")</f>
        <v>Blossomwood Elementary School</v>
      </c>
      <c r="G1275" s="1">
        <f ca="1">IFERROR(__xludf.DUMMYFUNCTION("""COMPUTED_VALUE"""),0)</f>
        <v>0</v>
      </c>
      <c r="H1275" s="1">
        <f ca="1">IFERROR(__xludf.DUMMYFUNCTION("""COMPUTED_VALUE"""),1)</f>
        <v>1</v>
      </c>
      <c r="I1275" s="1">
        <f ca="1">IFERROR(__xludf.DUMMYFUNCTION("""COMPUTED_VALUE"""),1)</f>
        <v>1</v>
      </c>
      <c r="J1275" s="1">
        <f ca="1">IFERROR(__xludf.DUMMYFUNCTION("""COMPUTED_VALUE"""),0)</f>
        <v>0</v>
      </c>
      <c r="K1275" s="1" t="str">
        <f ca="1">IFERROR(__xludf.DUMMYFUNCTION("""COMPUTED_VALUE"""),"Fall")</f>
        <v>Fall</v>
      </c>
      <c r="L1275" s="1" t="str">
        <f ca="1">IFERROR(__xludf.DUMMYFUNCTION("""COMPUTED_VALUE"""),"Huntsville")</f>
        <v>Huntsville</v>
      </c>
      <c r="M1275" s="1" t="str">
        <f ca="1">IFERROR(__xludf.DUMMYFUNCTION("""COMPUTED_VALUE"""),"AL")</f>
        <v>AL</v>
      </c>
      <c r="N1275" s="1" t="str">
        <f ca="1">IFERROR(__xludf.DUMMYFUNCTION("""COMPUTED_VALUE"""),"Elementary")</f>
        <v>Elementary</v>
      </c>
      <c r="O1275" s="1" t="str">
        <f ca="1">IFERROR(__xludf.DUMMYFUNCTION("""COMPUTED_VALUE"""),"Gym")</f>
        <v>Gym</v>
      </c>
      <c r="P1275" s="1" t="str">
        <f ca="1">IFERROR(__xludf.DUMMYFUNCTION("""COMPUTED_VALUE"""),"Inside School Building")</f>
        <v>Inside School Building</v>
      </c>
      <c r="Q1275" s="1" t="str">
        <f ca="1">IFERROR(__xludf.DUMMYFUNCTION("""COMPUTED_VALUE"""),"Yes")</f>
        <v>Yes</v>
      </c>
      <c r="R1275" s="1" t="str">
        <f ca="1">IFERROR(__xludf.DUMMYFUNCTION("""COMPUTED_VALUE"""),"Morning Classes")</f>
        <v>Morning Classes</v>
      </c>
      <c r="S1275" s="5">
        <f ca="1">IFERROR(__xludf.DUMMYFUNCTION("""COMPUTED_VALUE"""),0.4375)</f>
        <v>0.4375</v>
      </c>
      <c r="T1275" s="1">
        <f ca="1">IFERROR(__xludf.DUMMYFUNCTION("""COMPUTED_VALUE"""),1)</f>
        <v>1</v>
      </c>
      <c r="U1275" s="1" t="str">
        <f ca="1">IFERROR(__xludf.DUMMYFUNCTION("""COMPUTED_VALUE"""),"Student showing gun off in gym class, accidental discharge")</f>
        <v>Student showing gun off in gym class, accidental discharge</v>
      </c>
      <c r="V1275" s="1" t="str">
        <f ca="1">IFERROR(__xludf.DUMMYFUNCTION("""COMPUTED_VALUE"""),"2nd grade student was showing off a gun to another student during gym class. The gun accidentally discharged striking the student in the hand. The school was locked down and alerts were sent to parents. Police located the firearm within minutes. Parents r"&amp;"ushed to the school. Police chief said the shooting was an accident and no other students were in danger.")</f>
        <v>2nd grade student was showing off a gun to another student during gym class. The gun accidentally discharged striking the student in the hand. The school was locked down and alerts were sent to parents. Police located the firearm within minutes. Parents rushed to the school. Police chief said the shooting was an accident and no other students were in danger.</v>
      </c>
      <c r="W1275" s="1" t="str">
        <f ca="1">IFERROR(__xludf.DUMMYFUNCTION("""COMPUTED_VALUE"""),"Accidental")</f>
        <v>Accidental</v>
      </c>
      <c r="X1275" s="1" t="str">
        <f ca="1">IFERROR(__xludf.DUMMYFUNCTION("""COMPUTED_VALUE"""),"Neither")</f>
        <v>Neither</v>
      </c>
      <c r="Y1275" s="1" t="str">
        <f ca="1">IFERROR(__xludf.DUMMYFUNCTION("""COMPUTED_VALUE"""),"No")</f>
        <v>No</v>
      </c>
      <c r="Z1275" s="1"/>
      <c r="AA1275" s="1" t="str">
        <f ca="1">IFERROR(__xludf.DUMMYFUNCTION("""COMPUTED_VALUE"""),"No")</f>
        <v>No</v>
      </c>
      <c r="AB1275" s="1" t="str">
        <f ca="1">IFERROR(__xludf.DUMMYFUNCTION("""COMPUTED_VALUE"""),"No")</f>
        <v>No</v>
      </c>
      <c r="AC1275" s="1" t="str">
        <f ca="1">IFERROR(__xludf.DUMMYFUNCTION("""COMPUTED_VALUE"""),"No")</f>
        <v>No</v>
      </c>
      <c r="AD1275" s="1" t="str">
        <f ca="1">IFERROR(__xludf.DUMMYFUNCTION("""COMPUTED_VALUE"""),"No")</f>
        <v>No</v>
      </c>
      <c r="AE1275" s="1" t="str">
        <f ca="1">IFERROR(__xludf.DUMMYFUNCTION("""COMPUTED_VALUE"""),"No")</f>
        <v>No</v>
      </c>
      <c r="AF1275" s="1" t="str">
        <f ca="1">IFERROR(__xludf.DUMMYFUNCTION("""COMPUTED_VALUE"""),"No")</f>
        <v>No</v>
      </c>
      <c r="AG1275" s="1" t="str">
        <f ca="1">IFERROR(__xludf.DUMMYFUNCTION("""COMPUTED_VALUE"""),"No")</f>
        <v>No</v>
      </c>
      <c r="AH1275" s="1">
        <f ca="1">IFERROR(__xludf.DUMMYFUNCTION("""COMPUTED_VALUE"""),1)</f>
        <v>1</v>
      </c>
    </row>
    <row r="1276" spans="1:34" ht="12.5">
      <c r="A1276" s="1" t="str">
        <f ca="1">IFERROR(__xludf.DUMMYFUNCTION("""COMPUTED_VALUE"""),"20180914WAMAE")</f>
        <v>20180914WAMAE</v>
      </c>
      <c r="B1276" s="1">
        <f ca="1">IFERROR(__xludf.DUMMYFUNCTION("""COMPUTED_VALUE"""),9)</f>
        <v>9</v>
      </c>
      <c r="C1276" s="1">
        <f ca="1">IFERROR(__xludf.DUMMYFUNCTION("""COMPUTED_VALUE"""),14)</f>
        <v>14</v>
      </c>
      <c r="D1276" s="1">
        <f ca="1">IFERROR(__xludf.DUMMYFUNCTION("""COMPUTED_VALUE"""),2018)</f>
        <v>2018</v>
      </c>
      <c r="E1276" s="4">
        <f ca="1">IFERROR(__xludf.DUMMYFUNCTION("""COMPUTED_VALUE"""),43357)</f>
        <v>43357</v>
      </c>
      <c r="F1276" s="1" t="str">
        <f ca="1">IFERROR(__xludf.DUMMYFUNCTION("""COMPUTED_VALUE"""),"Mariner High School")</f>
        <v>Mariner High School</v>
      </c>
      <c r="G1276" s="1">
        <f ca="1">IFERROR(__xludf.DUMMYFUNCTION("""COMPUTED_VALUE"""),0)</f>
        <v>0</v>
      </c>
      <c r="H1276" s="1">
        <f ca="1">IFERROR(__xludf.DUMMYFUNCTION("""COMPUTED_VALUE"""),0)</f>
        <v>0</v>
      </c>
      <c r="I1276" s="1">
        <f ca="1">IFERROR(__xludf.DUMMYFUNCTION("""COMPUTED_VALUE"""),0)</f>
        <v>0</v>
      </c>
      <c r="J1276" s="1">
        <f ca="1">IFERROR(__xludf.DUMMYFUNCTION("""COMPUTED_VALUE"""),0)</f>
        <v>0</v>
      </c>
      <c r="K1276" s="1" t="str">
        <f ca="1">IFERROR(__xludf.DUMMYFUNCTION("""COMPUTED_VALUE"""),"Fall")</f>
        <v>Fall</v>
      </c>
      <c r="L1276" s="1" t="str">
        <f ca="1">IFERROR(__xludf.DUMMYFUNCTION("""COMPUTED_VALUE"""),"Everett")</f>
        <v>Everett</v>
      </c>
      <c r="M1276" s="1" t="str">
        <f ca="1">IFERROR(__xludf.DUMMYFUNCTION("""COMPUTED_VALUE"""),"WA")</f>
        <v>WA</v>
      </c>
      <c r="N1276" s="1" t="str">
        <f ca="1">IFERROR(__xludf.DUMMYFUNCTION("""COMPUTED_VALUE"""),"High")</f>
        <v>High</v>
      </c>
      <c r="O1276" s="1" t="str">
        <f ca="1">IFERROR(__xludf.DUMMYFUNCTION("""COMPUTED_VALUE"""),"Parking Lot")</f>
        <v>Parking Lot</v>
      </c>
      <c r="P1276" s="1" t="str">
        <f ca="1">IFERROR(__xludf.DUMMYFUNCTION("""COMPUTED_VALUE"""),"Outside on School Property")</f>
        <v>Outside on School Property</v>
      </c>
      <c r="Q1276" s="1" t="str">
        <f ca="1">IFERROR(__xludf.DUMMYFUNCTION("""COMPUTED_VALUE"""),"No")</f>
        <v>No</v>
      </c>
      <c r="R1276" s="1" t="str">
        <f ca="1">IFERROR(__xludf.DUMMYFUNCTION("""COMPUTED_VALUE"""),"Sport Event")</f>
        <v>Sport Event</v>
      </c>
      <c r="S1276" s="5">
        <f ca="1">IFERROR(__xludf.DUMMYFUNCTION("""COMPUTED_VALUE"""),0.875)</f>
        <v>0.875</v>
      </c>
      <c r="T1276" s="1">
        <f ca="1">IFERROR(__xludf.DUMMYFUNCTION("""COMPUTED_VALUE"""),1)</f>
        <v>1</v>
      </c>
      <c r="U1276" s="1" t="str">
        <f ca="1">IFERROR(__xludf.DUMMYFUNCTION("""COMPUTED_VALUE"""),"Shots fired in parking lot during football game, stadium evacuated")</f>
        <v>Shots fired in parking lot during football game, stadium evacuated</v>
      </c>
      <c r="V1276" s="1" t="str">
        <f ca="1">IFERROR(__xludf.DUMMYFUNCTION("""COMPUTED_VALUE"""),"5-6 shots were fired during a fight in the parking lot of the school during a football game with rival school. 200 people in the stadium heard the shots and evacuated. Authorities described chaotic scene. No injuries or shooter located.")</f>
        <v>5-6 shots were fired during a fight in the parking lot of the school during a football game with rival school. 200 people in the stadium heard the shots and evacuated. Authorities described chaotic scene. No injuries or shooter located.</v>
      </c>
      <c r="W1276" s="1" t="str">
        <f ca="1">IFERROR(__xludf.DUMMYFUNCTION("""COMPUTED_VALUE"""),"Escalation of Dispute")</f>
        <v>Escalation of Dispute</v>
      </c>
      <c r="X1276" s="1" t="str">
        <f ca="1">IFERROR(__xludf.DUMMYFUNCTION("""COMPUTED_VALUE"""),"Victims Targeted")</f>
        <v>Victims Targeted</v>
      </c>
      <c r="Y1276" s="1"/>
      <c r="Z1276" s="1"/>
      <c r="AA1276" s="1" t="str">
        <f ca="1">IFERROR(__xludf.DUMMYFUNCTION("""COMPUTED_VALUE"""),"No")</f>
        <v>No</v>
      </c>
      <c r="AB1276" s="1" t="str">
        <f ca="1">IFERROR(__xludf.DUMMYFUNCTION("""COMPUTED_VALUE"""),"No")</f>
        <v>No</v>
      </c>
      <c r="AC1276" s="1" t="str">
        <f ca="1">IFERROR(__xludf.DUMMYFUNCTION("""COMPUTED_VALUE"""),"No")</f>
        <v>No</v>
      </c>
      <c r="AD1276" s="1" t="str">
        <f ca="1">IFERROR(__xludf.DUMMYFUNCTION("""COMPUTED_VALUE"""),"No")</f>
        <v>No</v>
      </c>
      <c r="AE1276" s="1" t="str">
        <f ca="1">IFERROR(__xludf.DUMMYFUNCTION("""COMPUTED_VALUE"""),"No")</f>
        <v>No</v>
      </c>
      <c r="AF1276" s="1" t="str">
        <f ca="1">IFERROR(__xludf.DUMMYFUNCTION("""COMPUTED_VALUE"""),"Yes")</f>
        <v>Yes</v>
      </c>
      <c r="AG1276" s="1" t="str">
        <f ca="1">IFERROR(__xludf.DUMMYFUNCTION("""COMPUTED_VALUE"""),"No")</f>
        <v>No</v>
      </c>
      <c r="AH1276" s="1">
        <f ca="1">IFERROR(__xludf.DUMMYFUNCTION("""COMPUTED_VALUE"""),6)</f>
        <v>6</v>
      </c>
    </row>
    <row r="1277" spans="1:34" ht="12.5">
      <c r="A1277" s="1" t="str">
        <f ca="1">IFERROR(__xludf.DUMMYFUNCTION("""COMPUTED_VALUE"""),"20180914FLBOB")</f>
        <v>20180914FLBOB</v>
      </c>
      <c r="B1277" s="1">
        <f ca="1">IFERROR(__xludf.DUMMYFUNCTION("""COMPUTED_VALUE"""),9)</f>
        <v>9</v>
      </c>
      <c r="C1277" s="1">
        <f ca="1">IFERROR(__xludf.DUMMYFUNCTION("""COMPUTED_VALUE"""),14)</f>
        <v>14</v>
      </c>
      <c r="D1277" s="1">
        <f ca="1">IFERROR(__xludf.DUMMYFUNCTION("""COMPUTED_VALUE"""),2018)</f>
        <v>2018</v>
      </c>
      <c r="E1277" s="4">
        <f ca="1">IFERROR(__xludf.DUMMYFUNCTION("""COMPUTED_VALUE"""),43357)</f>
        <v>43357</v>
      </c>
      <c r="F1277" s="1" t="str">
        <f ca="1">IFERROR(__xludf.DUMMYFUNCTION("""COMPUTED_VALUE"""),"Boynton Beach High School")</f>
        <v>Boynton Beach High School</v>
      </c>
      <c r="G1277" s="1">
        <f ca="1">IFERROR(__xludf.DUMMYFUNCTION("""COMPUTED_VALUE"""),0)</f>
        <v>0</v>
      </c>
      <c r="H1277" s="1">
        <f ca="1">IFERROR(__xludf.DUMMYFUNCTION("""COMPUTED_VALUE"""),0)</f>
        <v>0</v>
      </c>
      <c r="I1277" s="1">
        <f ca="1">IFERROR(__xludf.DUMMYFUNCTION("""COMPUTED_VALUE"""),0)</f>
        <v>0</v>
      </c>
      <c r="J1277" s="1">
        <f ca="1">IFERROR(__xludf.DUMMYFUNCTION("""COMPUTED_VALUE"""),0)</f>
        <v>0</v>
      </c>
      <c r="K1277" s="1" t="str">
        <f ca="1">IFERROR(__xludf.DUMMYFUNCTION("""COMPUTED_VALUE"""),"Fall")</f>
        <v>Fall</v>
      </c>
      <c r="L1277" s="1" t="str">
        <f ca="1">IFERROR(__xludf.DUMMYFUNCTION("""COMPUTED_VALUE"""),"Boynton Beach")</f>
        <v>Boynton Beach</v>
      </c>
      <c r="M1277" s="1" t="str">
        <f ca="1">IFERROR(__xludf.DUMMYFUNCTION("""COMPUTED_VALUE"""),"FL")</f>
        <v>FL</v>
      </c>
      <c r="N1277" s="1" t="str">
        <f ca="1">IFERROR(__xludf.DUMMYFUNCTION("""COMPUTED_VALUE"""),"High")</f>
        <v>High</v>
      </c>
      <c r="O1277" s="1" t="str">
        <f ca="1">IFERROR(__xludf.DUMMYFUNCTION("""COMPUTED_VALUE"""),"Off School Property")</f>
        <v>Off School Property</v>
      </c>
      <c r="P1277" s="1" t="str">
        <f ca="1">IFERROR(__xludf.DUMMYFUNCTION("""COMPUTED_VALUE"""),"Off School Property")</f>
        <v>Off School Property</v>
      </c>
      <c r="Q1277" s="1" t="str">
        <f ca="1">IFERROR(__xludf.DUMMYFUNCTION("""COMPUTED_VALUE"""),"Yes")</f>
        <v>Yes</v>
      </c>
      <c r="R1277" s="1" t="str">
        <f ca="1">IFERROR(__xludf.DUMMYFUNCTION("""COMPUTED_VALUE"""),"Before School")</f>
        <v>Before School</v>
      </c>
      <c r="S1277" s="1"/>
      <c r="T1277" s="1">
        <f ca="1">IFERROR(__xludf.DUMMYFUNCTION("""COMPUTED_VALUE"""),1)</f>
        <v>1</v>
      </c>
      <c r="U1277" s="1" t="str">
        <f ca="1">IFERROR(__xludf.DUMMYFUNCTION("""COMPUTED_VALUE"""),"Two students had gun at bus stop, one shot fired, went to school, school locked down until gun was located")</f>
        <v>Two students had gun at bus stop, one shot fired, went to school, school locked down until gun was located</v>
      </c>
      <c r="V1277" s="1" t="str">
        <f ca="1">IFERROR(__xludf.DUMMYFUNCTION("""COMPUTED_VALUE"""),"Two students had gun at bus stop. One shot was fired. No one was hit or injured. Student then took the gun to school. When school officials became aware of the gun on campus, the school was locked down until the shooter and the gun was located on the camp"&amp;"us. Lockdown alert was sent to parents who rushed to the school. No injuries.")</f>
        <v>Two students had gun at bus stop. One shot was fired. No one was hit or injured. Student then took the gun to school. When school officials became aware of the gun on campus, the school was locked down until the shooter and the gun was located on the campus. Lockdown alert was sent to parents who rushed to the school. No injuries.</v>
      </c>
      <c r="W1277" s="1" t="str">
        <f ca="1">IFERROR(__xludf.DUMMYFUNCTION("""COMPUTED_VALUE"""),"Accidental")</f>
        <v>Accidental</v>
      </c>
      <c r="X1277" s="1" t="str">
        <f ca="1">IFERROR(__xludf.DUMMYFUNCTION("""COMPUTED_VALUE"""),"Neither")</f>
        <v>Neither</v>
      </c>
      <c r="Y1277" s="1" t="str">
        <f ca="1">IFERROR(__xludf.DUMMYFUNCTION("""COMPUTED_VALUE"""),"Yes")</f>
        <v>Yes</v>
      </c>
      <c r="Z1277" s="1" t="str">
        <f ca="1">IFERROR(__xludf.DUMMYFUNCTION("""COMPUTED_VALUE"""),"Two students arrested, one fired, one had the gun")</f>
        <v>Two students arrested, one fired, one had the gun</v>
      </c>
      <c r="AA1277" s="1" t="str">
        <f ca="1">IFERROR(__xludf.DUMMYFUNCTION("""COMPUTED_VALUE"""),"No")</f>
        <v>No</v>
      </c>
      <c r="AB1277" s="1" t="str">
        <f ca="1">IFERROR(__xludf.DUMMYFUNCTION("""COMPUTED_VALUE"""),"No")</f>
        <v>No</v>
      </c>
      <c r="AC1277" s="1" t="str">
        <f ca="1">IFERROR(__xludf.DUMMYFUNCTION("""COMPUTED_VALUE"""),"No")</f>
        <v>No</v>
      </c>
      <c r="AD1277" s="1" t="str">
        <f ca="1">IFERROR(__xludf.DUMMYFUNCTION("""COMPUTED_VALUE"""),"No")</f>
        <v>No</v>
      </c>
      <c r="AE1277" s="1" t="str">
        <f ca="1">IFERROR(__xludf.DUMMYFUNCTION("""COMPUTED_VALUE"""),"No")</f>
        <v>No</v>
      </c>
      <c r="AF1277" s="1" t="str">
        <f ca="1">IFERROR(__xludf.DUMMYFUNCTION("""COMPUTED_VALUE"""),"No")</f>
        <v>No</v>
      </c>
      <c r="AG1277" s="1" t="str">
        <f ca="1">IFERROR(__xludf.DUMMYFUNCTION("""COMPUTED_VALUE"""),"No")</f>
        <v>No</v>
      </c>
      <c r="AH1277" s="1">
        <f ca="1">IFERROR(__xludf.DUMMYFUNCTION("""COMPUTED_VALUE"""),1)</f>
        <v>1</v>
      </c>
    </row>
    <row r="1278" spans="1:34" ht="12.5">
      <c r="A1278" s="1" t="str">
        <f ca="1">IFERROR(__xludf.DUMMYFUNCTION("""COMPUTED_VALUE"""),"20180911NVCAL")</f>
        <v>20180911NVCAL</v>
      </c>
      <c r="B1278" s="1">
        <f ca="1">IFERROR(__xludf.DUMMYFUNCTION("""COMPUTED_VALUE"""),9)</f>
        <v>9</v>
      </c>
      <c r="C1278" s="1">
        <f ca="1">IFERROR(__xludf.DUMMYFUNCTION("""COMPUTED_VALUE"""),11)</f>
        <v>11</v>
      </c>
      <c r="D1278" s="1">
        <f ca="1">IFERROR(__xludf.DUMMYFUNCTION("""COMPUTED_VALUE"""),2018)</f>
        <v>2018</v>
      </c>
      <c r="E1278" s="4">
        <f ca="1">IFERROR(__xludf.DUMMYFUNCTION("""COMPUTED_VALUE"""),43354)</f>
        <v>43354</v>
      </c>
      <c r="F1278" s="1" t="str">
        <f ca="1">IFERROR(__xludf.DUMMYFUNCTION("""COMPUTED_VALUE"""),"Canyon Springs High School")</f>
        <v>Canyon Springs High School</v>
      </c>
      <c r="G1278" s="1">
        <f ca="1">IFERROR(__xludf.DUMMYFUNCTION("""COMPUTED_VALUE"""),1)</f>
        <v>1</v>
      </c>
      <c r="H1278" s="1">
        <f ca="1">IFERROR(__xludf.DUMMYFUNCTION("""COMPUTED_VALUE"""),0)</f>
        <v>0</v>
      </c>
      <c r="I1278" s="1">
        <f ca="1">IFERROR(__xludf.DUMMYFUNCTION("""COMPUTED_VALUE"""),1)</f>
        <v>1</v>
      </c>
      <c r="J1278" s="1">
        <f ca="1">IFERROR(__xludf.DUMMYFUNCTION("""COMPUTED_VALUE"""),0)</f>
        <v>0</v>
      </c>
      <c r="K1278" s="1" t="str">
        <f ca="1">IFERROR(__xludf.DUMMYFUNCTION("""COMPUTED_VALUE"""),"Fall")</f>
        <v>Fall</v>
      </c>
      <c r="L1278" s="1" t="str">
        <f ca="1">IFERROR(__xludf.DUMMYFUNCTION("""COMPUTED_VALUE"""),"Las Vegas")</f>
        <v>Las Vegas</v>
      </c>
      <c r="M1278" s="1" t="str">
        <f ca="1">IFERROR(__xludf.DUMMYFUNCTION("""COMPUTED_VALUE"""),"NV")</f>
        <v>NV</v>
      </c>
      <c r="N1278" s="1" t="str">
        <f ca="1">IFERROR(__xludf.DUMMYFUNCTION("""COMPUTED_VALUE"""),"High")</f>
        <v>High</v>
      </c>
      <c r="O1278" s="1" t="str">
        <f ca="1">IFERROR(__xludf.DUMMYFUNCTION("""COMPUTED_VALUE"""),"Field (General)")</f>
        <v>Field (General)</v>
      </c>
      <c r="P1278" s="1" t="str">
        <f ca="1">IFERROR(__xludf.DUMMYFUNCTION("""COMPUTED_VALUE"""),"Outside on School Property")</f>
        <v>Outside on School Property</v>
      </c>
      <c r="Q1278" s="1" t="str">
        <f ca="1">IFERROR(__xludf.DUMMYFUNCTION("""COMPUTED_VALUE"""),"No")</f>
        <v>No</v>
      </c>
      <c r="R1278" s="1" t="str">
        <f ca="1">IFERROR(__xludf.DUMMYFUNCTION("""COMPUTED_VALUE"""),"After School")</f>
        <v>After School</v>
      </c>
      <c r="S1278" s="5">
        <f ca="1">IFERROR(__xludf.DUMMYFUNCTION("""COMPUTED_VALUE"""),0.611111111111111)</f>
        <v>0.61111111111111105</v>
      </c>
      <c r="T1278" s="1">
        <f ca="1">IFERROR(__xludf.DUMMYFUNCTION("""COMPUTED_VALUE"""),1)</f>
        <v>1</v>
      </c>
      <c r="U1278" s="1" t="str">
        <f ca="1">IFERROR(__xludf.DUMMYFUNCTION("""COMPUTED_VALUE"""),"Student shot on baseball field during altercation")</f>
        <v>Student shot on baseball field during altercation</v>
      </c>
      <c r="V1278" s="1" t="str">
        <f ca="1">IFERROR(__xludf.DUMMYFUNCTION("""COMPUTED_VALUE"""),"18YOM (student) was shot and killed on the baseball field after school during an altercation with an unidentified shooter who he had an ongoing dispute with. School was locked down. Police said the shooting was targeted. 500 students were at the school at"&amp;" the time of the shooting. 30-40 were interviewed as witnesses.")</f>
        <v>18YOM (student) was shot and killed on the baseball field after school during an altercation with an unidentified shooter who he had an ongoing dispute with. School was locked down. Police said the shooting was targeted. 500 students were at the school at the time of the shooting. 30-40 were interviewed as witnesses.</v>
      </c>
      <c r="W1278" s="1" t="str">
        <f ca="1">IFERROR(__xludf.DUMMYFUNCTION("""COMPUTED_VALUE"""),"Escalation of Dispute")</f>
        <v>Escalation of Dispute</v>
      </c>
      <c r="X1278" s="1" t="str">
        <f ca="1">IFERROR(__xludf.DUMMYFUNCTION("""COMPUTED_VALUE"""),"Victims Targeted")</f>
        <v>Victims Targeted</v>
      </c>
      <c r="Y1278" s="1" t="str">
        <f ca="1">IFERROR(__xludf.DUMMYFUNCTION("""COMPUTED_VALUE"""),"No")</f>
        <v>No</v>
      </c>
      <c r="Z1278" s="1"/>
      <c r="AA1278" s="1" t="str">
        <f ca="1">IFERROR(__xludf.DUMMYFUNCTION("""COMPUTED_VALUE"""),"No")</f>
        <v>No</v>
      </c>
      <c r="AB1278" s="1" t="str">
        <f ca="1">IFERROR(__xludf.DUMMYFUNCTION("""COMPUTED_VALUE"""),"No")</f>
        <v>No</v>
      </c>
      <c r="AC1278" s="1" t="str">
        <f ca="1">IFERROR(__xludf.DUMMYFUNCTION("""COMPUTED_VALUE"""),"No")</f>
        <v>No</v>
      </c>
      <c r="AD1278" s="1" t="str">
        <f ca="1">IFERROR(__xludf.DUMMYFUNCTION("""COMPUTED_VALUE"""),"No")</f>
        <v>No</v>
      </c>
      <c r="AE1278" s="1" t="str">
        <f ca="1">IFERROR(__xludf.DUMMYFUNCTION("""COMPUTED_VALUE"""),"No")</f>
        <v>No</v>
      </c>
      <c r="AF1278" s="1" t="str">
        <f ca="1">IFERROR(__xludf.DUMMYFUNCTION("""COMPUTED_VALUE"""),"No")</f>
        <v>No</v>
      </c>
      <c r="AG1278" s="1" t="str">
        <f ca="1">IFERROR(__xludf.DUMMYFUNCTION("""COMPUTED_VALUE"""),"No")</f>
        <v>No</v>
      </c>
      <c r="AH1278" s="1" t="str">
        <f ca="1">IFERROR(__xludf.DUMMYFUNCTION("""COMPUTED_VALUE"""),"&lt;5")</f>
        <v>&lt;5</v>
      </c>
    </row>
    <row r="1279" spans="1:34" ht="12.5">
      <c r="A1279" s="1" t="str">
        <f ca="1">IFERROR(__xludf.DUMMYFUNCTION("""COMPUTED_VALUE"""),"20180910TNFAM")</f>
        <v>20180910TNFAM</v>
      </c>
      <c r="B1279" s="1">
        <f ca="1">IFERROR(__xludf.DUMMYFUNCTION("""COMPUTED_VALUE"""),9)</f>
        <v>9</v>
      </c>
      <c r="C1279" s="1">
        <f ca="1">IFERROR(__xludf.DUMMYFUNCTION("""COMPUTED_VALUE"""),10)</f>
        <v>10</v>
      </c>
      <c r="D1279" s="1">
        <f ca="1">IFERROR(__xludf.DUMMYFUNCTION("""COMPUTED_VALUE"""),2018)</f>
        <v>2018</v>
      </c>
      <c r="E1279" s="4">
        <f ca="1">IFERROR(__xludf.DUMMYFUNCTION("""COMPUTED_VALUE"""),43353)</f>
        <v>43353</v>
      </c>
      <c r="F1279" s="1" t="str">
        <f ca="1">IFERROR(__xludf.DUMMYFUNCTION("""COMPUTED_VALUE"""),"Fairley High School")</f>
        <v>Fairley High School</v>
      </c>
      <c r="G1279" s="1">
        <f ca="1">IFERROR(__xludf.DUMMYFUNCTION("""COMPUTED_VALUE"""),0)</f>
        <v>0</v>
      </c>
      <c r="H1279" s="1">
        <f ca="1">IFERROR(__xludf.DUMMYFUNCTION("""COMPUTED_VALUE"""),1)</f>
        <v>1</v>
      </c>
      <c r="I1279" s="1">
        <f ca="1">IFERROR(__xludf.DUMMYFUNCTION("""COMPUTED_VALUE"""),1)</f>
        <v>1</v>
      </c>
      <c r="J1279" s="1">
        <f ca="1">IFERROR(__xludf.DUMMYFUNCTION("""COMPUTED_VALUE"""),0)</f>
        <v>0</v>
      </c>
      <c r="K1279" s="1" t="str">
        <f ca="1">IFERROR(__xludf.DUMMYFUNCTION("""COMPUTED_VALUE"""),"Fall")</f>
        <v>Fall</v>
      </c>
      <c r="L1279" s="1" t="str">
        <f ca="1">IFERROR(__xludf.DUMMYFUNCTION("""COMPUTED_VALUE"""),"Memphis")</f>
        <v>Memphis</v>
      </c>
      <c r="M1279" s="1" t="str">
        <f ca="1">IFERROR(__xludf.DUMMYFUNCTION("""COMPUTED_VALUE"""),"TN")</f>
        <v>TN</v>
      </c>
      <c r="N1279" s="1" t="str">
        <f ca="1">IFERROR(__xludf.DUMMYFUNCTION("""COMPUTED_VALUE"""),"High")</f>
        <v>High</v>
      </c>
      <c r="O1279" s="1" t="str">
        <f ca="1">IFERROR(__xludf.DUMMYFUNCTION("""COMPUTED_VALUE"""),"School Bus")</f>
        <v>School Bus</v>
      </c>
      <c r="P1279" s="1" t="str">
        <f ca="1">IFERROR(__xludf.DUMMYFUNCTION("""COMPUTED_VALUE"""),"School Bus")</f>
        <v>School Bus</v>
      </c>
      <c r="Q1279" s="1" t="str">
        <f ca="1">IFERROR(__xludf.DUMMYFUNCTION("""COMPUTED_VALUE"""),"Yes")</f>
        <v>Yes</v>
      </c>
      <c r="R1279" s="1" t="str">
        <f ca="1">IFERROR(__xludf.DUMMYFUNCTION("""COMPUTED_VALUE"""),"After School")</f>
        <v>After School</v>
      </c>
      <c r="S1279" s="5">
        <f ca="1">IFERROR(__xludf.DUMMYFUNCTION("""COMPUTED_VALUE"""),0.666666666666666)</f>
        <v>0.66666666666666596</v>
      </c>
      <c r="T1279" s="1">
        <f ca="1">IFERROR(__xludf.DUMMYFUNCTION("""COMPUTED_VALUE"""),1)</f>
        <v>1</v>
      </c>
      <c r="U1279" s="1" t="str">
        <f ca="1">IFERROR(__xludf.DUMMYFUNCTION("""COMPUTED_VALUE"""),"Three shots were fired a school bus, 15YOF student injured")</f>
        <v>Three shots were fired a school bus, 15YOF student injured</v>
      </c>
      <c r="V1279" s="1" t="str">
        <f ca="1">IFERROR(__xludf.DUMMYFUNCTION("""COMPUTED_VALUE"""),"3 shots were fired at school bus by unknown shooter. 15YOF was injured. No suspect or motive.")</f>
        <v>3 shots were fired at school bus by unknown shooter. 15YOF was injured. No suspect or motive.</v>
      </c>
      <c r="W1279" s="1" t="str">
        <f ca="1">IFERROR(__xludf.DUMMYFUNCTION("""COMPUTED_VALUE"""),"Unknown")</f>
        <v>Unknown</v>
      </c>
      <c r="X1279" s="1"/>
      <c r="Y1279" s="1" t="str">
        <f ca="1">IFERROR(__xludf.DUMMYFUNCTION("""COMPUTED_VALUE"""),"No")</f>
        <v>No</v>
      </c>
      <c r="Z1279" s="1"/>
      <c r="AA1279" s="1" t="str">
        <f ca="1">IFERROR(__xludf.DUMMYFUNCTION("""COMPUTED_VALUE"""),"No")</f>
        <v>No</v>
      </c>
      <c r="AB1279" s="1" t="str">
        <f ca="1">IFERROR(__xludf.DUMMYFUNCTION("""COMPUTED_VALUE"""),"No")</f>
        <v>No</v>
      </c>
      <c r="AC1279" s="1" t="str">
        <f ca="1">IFERROR(__xludf.DUMMYFUNCTION("""COMPUTED_VALUE"""),"No")</f>
        <v>No</v>
      </c>
      <c r="AD1279" s="1" t="str">
        <f ca="1">IFERROR(__xludf.DUMMYFUNCTION("""COMPUTED_VALUE"""),"No")</f>
        <v>No</v>
      </c>
      <c r="AE1279" s="1" t="str">
        <f ca="1">IFERROR(__xludf.DUMMYFUNCTION("""COMPUTED_VALUE"""),"No")</f>
        <v>No</v>
      </c>
      <c r="AF1279" s="1"/>
      <c r="AG1279" s="1" t="str">
        <f ca="1">IFERROR(__xludf.DUMMYFUNCTION("""COMPUTED_VALUE"""),"No")</f>
        <v>No</v>
      </c>
      <c r="AH1279" s="1">
        <f ca="1">IFERROR(__xludf.DUMMYFUNCTION("""COMPUTED_VALUE"""),3)</f>
        <v>3</v>
      </c>
    </row>
    <row r="1280" spans="1:34" ht="12.5">
      <c r="A1280" s="1" t="str">
        <f ca="1">IFERROR(__xludf.DUMMYFUNCTION("""COMPUTED_VALUE"""),"20180910ILCHC")</f>
        <v>20180910ILCHC</v>
      </c>
      <c r="B1280" s="1">
        <f ca="1">IFERROR(__xludf.DUMMYFUNCTION("""COMPUTED_VALUE"""),9)</f>
        <v>9</v>
      </c>
      <c r="C1280" s="1">
        <f ca="1">IFERROR(__xludf.DUMMYFUNCTION("""COMPUTED_VALUE"""),10)</f>
        <v>10</v>
      </c>
      <c r="D1280" s="1">
        <f ca="1">IFERROR(__xludf.DUMMYFUNCTION("""COMPUTED_VALUE"""),2018)</f>
        <v>2018</v>
      </c>
      <c r="E1280" s="4">
        <f ca="1">IFERROR(__xludf.DUMMYFUNCTION("""COMPUTED_VALUE"""),43353)</f>
        <v>43353</v>
      </c>
      <c r="F1280" s="1" t="str">
        <f ca="1">IFERROR(__xludf.DUMMYFUNCTION("""COMPUTED_VALUE"""),"Chatham Academy High School")</f>
        <v>Chatham Academy High School</v>
      </c>
      <c r="G1280" s="1">
        <f ca="1">IFERROR(__xludf.DUMMYFUNCTION("""COMPUTED_VALUE"""),0)</f>
        <v>0</v>
      </c>
      <c r="H1280" s="1">
        <f ca="1">IFERROR(__xludf.DUMMYFUNCTION("""COMPUTED_VALUE"""),3)</f>
        <v>3</v>
      </c>
      <c r="I1280" s="1">
        <f ca="1">IFERROR(__xludf.DUMMYFUNCTION("""COMPUTED_VALUE"""),3)</f>
        <v>3</v>
      </c>
      <c r="J1280" s="1">
        <f ca="1">IFERROR(__xludf.DUMMYFUNCTION("""COMPUTED_VALUE"""),0)</f>
        <v>0</v>
      </c>
      <c r="K1280" s="1" t="str">
        <f ca="1">IFERROR(__xludf.DUMMYFUNCTION("""COMPUTED_VALUE"""),"Fall")</f>
        <v>Fall</v>
      </c>
      <c r="L1280" s="1" t="str">
        <f ca="1">IFERROR(__xludf.DUMMYFUNCTION("""COMPUTED_VALUE"""),"Chicago")</f>
        <v>Chicago</v>
      </c>
      <c r="M1280" s="1" t="str">
        <f ca="1">IFERROR(__xludf.DUMMYFUNCTION("""COMPUTED_VALUE"""),"IL")</f>
        <v>IL</v>
      </c>
      <c r="N1280" s="1" t="str">
        <f ca="1">IFERROR(__xludf.DUMMYFUNCTION("""COMPUTED_VALUE"""),"High")</f>
        <v>High</v>
      </c>
      <c r="O1280" s="1" t="str">
        <f ca="1">IFERROR(__xludf.DUMMYFUNCTION("""COMPUTED_VALUE"""),"Beside Building")</f>
        <v>Beside Building</v>
      </c>
      <c r="P1280" s="1" t="str">
        <f ca="1">IFERROR(__xludf.DUMMYFUNCTION("""COMPUTED_VALUE"""),"Outside on School Property")</f>
        <v>Outside on School Property</v>
      </c>
      <c r="Q1280" s="1" t="str">
        <f ca="1">IFERROR(__xludf.DUMMYFUNCTION("""COMPUTED_VALUE"""),"Yes")</f>
        <v>Yes</v>
      </c>
      <c r="R1280" s="1" t="str">
        <f ca="1">IFERROR(__xludf.DUMMYFUNCTION("""COMPUTED_VALUE"""),"Dismissal")</f>
        <v>Dismissal</v>
      </c>
      <c r="S1280" s="5">
        <f ca="1">IFERROR(__xludf.DUMMYFUNCTION("""COMPUTED_VALUE"""),0.666666666666666)</f>
        <v>0.66666666666666596</v>
      </c>
      <c r="T1280" s="1">
        <f ca="1">IFERROR(__xludf.DUMMYFUNCTION("""COMPUTED_VALUE"""),1)</f>
        <v>1</v>
      </c>
      <c r="U1280" s="1" t="str">
        <f ca="1">IFERROR(__xludf.DUMMYFUNCTION("""COMPUTED_VALUE"""),"Shooter in ski mask got out of vehicle and fired multiple shots at three students leaving school")</f>
        <v>Shooter in ski mask got out of vehicle and fired multiple shots at three students leaving school</v>
      </c>
      <c r="V1280" s="1" t="str">
        <f ca="1">IFERROR(__xludf.DUMMYFUNCTION("""COMPUTED_VALUE"""),"Three students were shot in targeted shooting outside of school at dismissal. Shooter in ski mask got out of car and fired at the students then fled the area. Two of the injured students took refuge in the cafeteria. Police have two suspects in custody bu"&amp;"t not charges announced.")</f>
        <v>Three students were shot in targeted shooting outside of school at dismissal. Shooter in ski mask got out of car and fired at the students then fled the area. Two of the injured students took refuge in the cafeteria. Police have two suspects in custody but not charges announced.</v>
      </c>
      <c r="W1280" s="1" t="str">
        <f ca="1">IFERROR(__xludf.DUMMYFUNCTION("""COMPUTED_VALUE"""),"Escalation of Dispute")</f>
        <v>Escalation of Dispute</v>
      </c>
      <c r="X1280" s="1" t="str">
        <f ca="1">IFERROR(__xludf.DUMMYFUNCTION("""COMPUTED_VALUE"""),"Victims Targeted")</f>
        <v>Victims Targeted</v>
      </c>
      <c r="Y1280" s="1" t="str">
        <f ca="1">IFERROR(__xludf.DUMMYFUNCTION("""COMPUTED_VALUE"""),"Yes")</f>
        <v>Yes</v>
      </c>
      <c r="Z1280" s="1" t="str">
        <f ca="1">IFERROR(__xludf.DUMMYFUNCTION("""COMPUTED_VALUE"""),"Two arrested, one was driving car")</f>
        <v>Two arrested, one was driving car</v>
      </c>
      <c r="AA1280" s="1" t="str">
        <f ca="1">IFERROR(__xludf.DUMMYFUNCTION("""COMPUTED_VALUE"""),"No")</f>
        <v>No</v>
      </c>
      <c r="AB1280" s="1" t="str">
        <f ca="1">IFERROR(__xludf.DUMMYFUNCTION("""COMPUTED_VALUE"""),"No")</f>
        <v>No</v>
      </c>
      <c r="AC1280" s="1" t="str">
        <f ca="1">IFERROR(__xludf.DUMMYFUNCTION("""COMPUTED_VALUE"""),"No")</f>
        <v>No</v>
      </c>
      <c r="AD1280" s="1" t="str">
        <f ca="1">IFERROR(__xludf.DUMMYFUNCTION("""COMPUTED_VALUE"""),"No")</f>
        <v>No</v>
      </c>
      <c r="AE1280" s="1" t="str">
        <f ca="1">IFERROR(__xludf.DUMMYFUNCTION("""COMPUTED_VALUE"""),"No")</f>
        <v>No</v>
      </c>
      <c r="AF1280" s="1" t="str">
        <f ca="1">IFERROR(__xludf.DUMMYFUNCTION("""COMPUTED_VALUE"""),"Yes")</f>
        <v>Yes</v>
      </c>
      <c r="AG1280" s="1" t="str">
        <f ca="1">IFERROR(__xludf.DUMMYFUNCTION("""COMPUTED_VALUE"""),"No")</f>
        <v>No</v>
      </c>
      <c r="AH1280" s="1" t="str">
        <f ca="1">IFERROR(__xludf.DUMMYFUNCTION("""COMPUTED_VALUE"""),"&lt;10")</f>
        <v>&lt;10</v>
      </c>
    </row>
    <row r="1281" spans="1:34" ht="12.5">
      <c r="A1281" s="1" t="str">
        <f ca="1">IFERROR(__xludf.DUMMYFUNCTION("""COMPUTED_VALUE"""),"20180909CAGIG")</f>
        <v>20180909CAGIG</v>
      </c>
      <c r="B1281" s="1">
        <f ca="1">IFERROR(__xludf.DUMMYFUNCTION("""COMPUTED_VALUE"""),9)</f>
        <v>9</v>
      </c>
      <c r="C1281" s="1">
        <f ca="1">IFERROR(__xludf.DUMMYFUNCTION("""COMPUTED_VALUE"""),9)</f>
        <v>9</v>
      </c>
      <c r="D1281" s="1">
        <f ca="1">IFERROR(__xludf.DUMMYFUNCTION("""COMPUTED_VALUE"""),2018)</f>
        <v>2018</v>
      </c>
      <c r="E1281" s="4">
        <f ca="1">IFERROR(__xludf.DUMMYFUNCTION("""COMPUTED_VALUE"""),43352)</f>
        <v>43352</v>
      </c>
      <c r="F1281" s="1" t="str">
        <f ca="1">IFERROR(__xludf.DUMMYFUNCTION("""COMPUTED_VALUE"""),"Gilroy High School")</f>
        <v>Gilroy High School</v>
      </c>
      <c r="G1281" s="1">
        <f ca="1">IFERROR(__xludf.DUMMYFUNCTION("""COMPUTED_VALUE"""),0)</f>
        <v>0</v>
      </c>
      <c r="H1281" s="1">
        <f ca="1">IFERROR(__xludf.DUMMYFUNCTION("""COMPUTED_VALUE"""),0)</f>
        <v>0</v>
      </c>
      <c r="I1281" s="1">
        <f ca="1">IFERROR(__xludf.DUMMYFUNCTION("""COMPUTED_VALUE"""),0)</f>
        <v>0</v>
      </c>
      <c r="J1281" s="1">
        <f ca="1">IFERROR(__xludf.DUMMYFUNCTION("""COMPUTED_VALUE"""),0)</f>
        <v>0</v>
      </c>
      <c r="K1281" s="1" t="str">
        <f ca="1">IFERROR(__xludf.DUMMYFUNCTION("""COMPUTED_VALUE"""),"Fall")</f>
        <v>Fall</v>
      </c>
      <c r="L1281" s="1" t="str">
        <f ca="1">IFERROR(__xludf.DUMMYFUNCTION("""COMPUTED_VALUE"""),"Gilroy")</f>
        <v>Gilroy</v>
      </c>
      <c r="M1281" s="1" t="str">
        <f ca="1">IFERROR(__xludf.DUMMYFUNCTION("""COMPUTED_VALUE"""),"CA")</f>
        <v>CA</v>
      </c>
      <c r="N1281" s="1" t="str">
        <f ca="1">IFERROR(__xludf.DUMMYFUNCTION("""COMPUTED_VALUE"""),"High")</f>
        <v>High</v>
      </c>
      <c r="O1281" s="1" t="str">
        <f ca="1">IFERROR(__xludf.DUMMYFUNCTION("""COMPUTED_VALUE"""),"Field (General)")</f>
        <v>Field (General)</v>
      </c>
      <c r="P1281" s="1" t="str">
        <f ca="1">IFERROR(__xludf.DUMMYFUNCTION("""COMPUTED_VALUE"""),"Outside on School Property")</f>
        <v>Outside on School Property</v>
      </c>
      <c r="Q1281" s="1" t="str">
        <f ca="1">IFERROR(__xludf.DUMMYFUNCTION("""COMPUTED_VALUE"""),"No")</f>
        <v>No</v>
      </c>
      <c r="R1281" s="1" t="str">
        <f ca="1">IFERROR(__xludf.DUMMYFUNCTION("""COMPUTED_VALUE"""),"Not a School Day")</f>
        <v>Not a School Day</v>
      </c>
      <c r="S1281" s="5">
        <f ca="1">IFERROR(__xludf.DUMMYFUNCTION("""COMPUTED_VALUE"""),0.541666666666666)</f>
        <v>0.54166666666666596</v>
      </c>
      <c r="T1281" s="1">
        <f ca="1">IFERROR(__xludf.DUMMYFUNCTION("""COMPUTED_VALUE"""),1)</f>
        <v>1</v>
      </c>
      <c r="U1281" s="1" t="str">
        <f ca="1">IFERROR(__xludf.DUMMYFUNCTION("""COMPUTED_VALUE"""),"Officer shot a vehicle driving recklessly on football field")</f>
        <v>Officer shot a vehicle driving recklessly on football field</v>
      </c>
      <c r="V1281" s="1" t="str">
        <f ca="1">IFERROR(__xludf.DUMMYFUNCTION("""COMPUTED_VALUE"""),"Officer fired at a vehicle driving recklessly around football field during youth football tournament. No injuries. Driver was a former police officer, had made 911 calls, and was allegedly involved in the kidnapping of a woman.  He was arrested, no known "&amp;"connection to the school.")</f>
        <v>Officer fired at a vehicle driving recklessly around football field during youth football tournament. No injuries. Driver was a former police officer, had made 911 calls, and was allegedly involved in the kidnapping of a woman.  He was arrested, no known connection to the school.</v>
      </c>
      <c r="W1281" s="1" t="str">
        <f ca="1">IFERROR(__xludf.DUMMYFUNCTION("""COMPUTED_VALUE"""),"Illegal Activity")</f>
        <v>Illegal Activity</v>
      </c>
      <c r="X1281" s="1" t="str">
        <f ca="1">IFERROR(__xludf.DUMMYFUNCTION("""COMPUTED_VALUE"""),"Neither")</f>
        <v>Neither</v>
      </c>
      <c r="Y1281" s="1" t="str">
        <f ca="1">IFERROR(__xludf.DUMMYFUNCTION("""COMPUTED_VALUE"""),"No")</f>
        <v>No</v>
      </c>
      <c r="Z1281" s="1"/>
      <c r="AA1281" s="1" t="str">
        <f ca="1">IFERROR(__xludf.DUMMYFUNCTION("""COMPUTED_VALUE"""),"No")</f>
        <v>No</v>
      </c>
      <c r="AB1281" s="1" t="str">
        <f ca="1">IFERROR(__xludf.DUMMYFUNCTION("""COMPUTED_VALUE"""),"No")</f>
        <v>No</v>
      </c>
      <c r="AC1281" s="1" t="str">
        <f ca="1">IFERROR(__xludf.DUMMYFUNCTION("""COMPUTED_VALUE"""),"Yes")</f>
        <v>Yes</v>
      </c>
      <c r="AD1281" s="1" t="str">
        <f ca="1">IFERROR(__xludf.DUMMYFUNCTION("""COMPUTED_VALUE"""),"N/A")</f>
        <v>N/A</v>
      </c>
      <c r="AE1281" s="1" t="str">
        <f ca="1">IFERROR(__xludf.DUMMYFUNCTION("""COMPUTED_VALUE"""),"N/A")</f>
        <v>N/A</v>
      </c>
      <c r="AF1281" s="1" t="str">
        <f ca="1">IFERROR(__xludf.DUMMYFUNCTION("""COMPUTED_VALUE"""),"N/A")</f>
        <v>N/A</v>
      </c>
      <c r="AG1281" s="1" t="str">
        <f ca="1">IFERROR(__xludf.DUMMYFUNCTION("""COMPUTED_VALUE"""),"No")</f>
        <v>No</v>
      </c>
      <c r="AH1281" s="1">
        <f ca="1">IFERROR(__xludf.DUMMYFUNCTION("""COMPUTED_VALUE"""),1)</f>
        <v>1</v>
      </c>
    </row>
    <row r="1282" spans="1:34" ht="12.5">
      <c r="A1282" s="1" t="str">
        <f ca="1">IFERROR(__xludf.DUMMYFUNCTION("""COMPUTED_VALUE"""),"20180907IAHED")</f>
        <v>20180907IAHED</v>
      </c>
      <c r="B1282" s="1">
        <f ca="1">IFERROR(__xludf.DUMMYFUNCTION("""COMPUTED_VALUE"""),9)</f>
        <v>9</v>
      </c>
      <c r="C1282" s="1">
        <f ca="1">IFERROR(__xludf.DUMMYFUNCTION("""COMPUTED_VALUE"""),7)</f>
        <v>7</v>
      </c>
      <c r="D1282" s="1">
        <f ca="1">IFERROR(__xludf.DUMMYFUNCTION("""COMPUTED_VALUE"""),2018)</f>
        <v>2018</v>
      </c>
      <c r="E1282" s="4">
        <f ca="1">IFERROR(__xludf.DUMMYFUNCTION("""COMPUTED_VALUE"""),43350)</f>
        <v>43350</v>
      </c>
      <c r="F1282" s="1" t="str">
        <f ca="1">IFERROR(__xludf.DUMMYFUNCTION("""COMPUTED_VALUE"""),"Herbert Hoover High School")</f>
        <v>Herbert Hoover High School</v>
      </c>
      <c r="G1282" s="1">
        <f ca="1">IFERROR(__xludf.DUMMYFUNCTION("""COMPUTED_VALUE"""),0)</f>
        <v>0</v>
      </c>
      <c r="H1282" s="1">
        <f ca="1">IFERROR(__xludf.DUMMYFUNCTION("""COMPUTED_VALUE"""),0)</f>
        <v>0</v>
      </c>
      <c r="I1282" s="1">
        <f ca="1">IFERROR(__xludf.DUMMYFUNCTION("""COMPUTED_VALUE"""),0)</f>
        <v>0</v>
      </c>
      <c r="J1282" s="1">
        <f ca="1">IFERROR(__xludf.DUMMYFUNCTION("""COMPUTED_VALUE"""),0)</f>
        <v>0</v>
      </c>
      <c r="K1282" s="1" t="str">
        <f ca="1">IFERROR(__xludf.DUMMYFUNCTION("""COMPUTED_VALUE"""),"Fall")</f>
        <v>Fall</v>
      </c>
      <c r="L1282" s="1" t="str">
        <f ca="1">IFERROR(__xludf.DUMMYFUNCTION("""COMPUTED_VALUE"""),"Des Moines")</f>
        <v>Des Moines</v>
      </c>
      <c r="M1282" s="1" t="str">
        <f ca="1">IFERROR(__xludf.DUMMYFUNCTION("""COMPUTED_VALUE"""),"IA")</f>
        <v>IA</v>
      </c>
      <c r="N1282" s="1" t="str">
        <f ca="1">IFERROR(__xludf.DUMMYFUNCTION("""COMPUTED_VALUE"""),"High")</f>
        <v>High</v>
      </c>
      <c r="O1282" s="1" t="str">
        <f ca="1">IFERROR(__xludf.DUMMYFUNCTION("""COMPUTED_VALUE"""),"Parking Lot")</f>
        <v>Parking Lot</v>
      </c>
      <c r="P1282" s="1" t="str">
        <f ca="1">IFERROR(__xludf.DUMMYFUNCTION("""COMPUTED_VALUE"""),"Outside on School Property")</f>
        <v>Outside on School Property</v>
      </c>
      <c r="Q1282" s="1" t="str">
        <f ca="1">IFERROR(__xludf.DUMMYFUNCTION("""COMPUTED_VALUE"""),"No")</f>
        <v>No</v>
      </c>
      <c r="R1282" s="1" t="str">
        <f ca="1">IFERROR(__xludf.DUMMYFUNCTION("""COMPUTED_VALUE"""),"Sport Event")</f>
        <v>Sport Event</v>
      </c>
      <c r="S1282" s="5">
        <f ca="1">IFERROR(__xludf.DUMMYFUNCTION("""COMPUTED_VALUE"""),0.875)</f>
        <v>0.875</v>
      </c>
      <c r="T1282" s="1">
        <f ca="1">IFERROR(__xludf.DUMMYFUNCTION("""COMPUTED_VALUE"""),1)</f>
        <v>1</v>
      </c>
      <c r="U1282" s="1" t="str">
        <f ca="1">IFERROR(__xludf.DUMMYFUNCTION("""COMPUTED_VALUE"""),"Shots fired in parking lot during football game, game canceled")</f>
        <v>Shots fired in parking lot during football game, game canceled</v>
      </c>
      <c r="V1282" s="1" t="str">
        <f ca="1">IFERROR(__xludf.DUMMYFUNCTION("""COMPUTED_VALUE"""),"Shots fired in the parking lot during football game. Game was stopped and then canceled. Police recovered shell casings in the parking lot. Stadium was cleared. No injuries reported.")</f>
        <v>Shots fired in the parking lot during football game. Game was stopped and then canceled. Police recovered shell casings in the parking lot. Stadium was cleared. No injuries reported.</v>
      </c>
      <c r="W1282" s="1" t="str">
        <f ca="1">IFERROR(__xludf.DUMMYFUNCTION("""COMPUTED_VALUE"""),"Escalation of Dispute")</f>
        <v>Escalation of Dispute</v>
      </c>
      <c r="X1282" s="1"/>
      <c r="Y1282" s="1"/>
      <c r="Z1282" s="1"/>
      <c r="AA1282" s="1" t="str">
        <f ca="1">IFERROR(__xludf.DUMMYFUNCTION("""COMPUTED_VALUE"""),"No")</f>
        <v>No</v>
      </c>
      <c r="AB1282" s="1" t="str">
        <f ca="1">IFERROR(__xludf.DUMMYFUNCTION("""COMPUTED_VALUE"""),"No")</f>
        <v>No</v>
      </c>
      <c r="AC1282" s="1" t="str">
        <f ca="1">IFERROR(__xludf.DUMMYFUNCTION("""COMPUTED_VALUE"""),"No")</f>
        <v>No</v>
      </c>
      <c r="AD1282" s="1" t="str">
        <f ca="1">IFERROR(__xludf.DUMMYFUNCTION("""COMPUTED_VALUE"""),"No")</f>
        <v>No</v>
      </c>
      <c r="AE1282" s="1" t="str">
        <f ca="1">IFERROR(__xludf.DUMMYFUNCTION("""COMPUTED_VALUE"""),"No")</f>
        <v>No</v>
      </c>
      <c r="AF1282" s="1"/>
      <c r="AG1282" s="1" t="str">
        <f ca="1">IFERROR(__xludf.DUMMYFUNCTION("""COMPUTED_VALUE"""),"No")</f>
        <v>No</v>
      </c>
      <c r="AH1282" s="1"/>
    </row>
    <row r="1283" spans="1:34" ht="12.5">
      <c r="A1283" s="1" t="str">
        <f ca="1">IFERROR(__xludf.DUMMYFUNCTION("""COMPUTED_VALUE"""),"20180905RIPRP")</f>
        <v>20180905RIPRP</v>
      </c>
      <c r="B1283" s="1">
        <f ca="1">IFERROR(__xludf.DUMMYFUNCTION("""COMPUTED_VALUE"""),9)</f>
        <v>9</v>
      </c>
      <c r="C1283" s="1">
        <f ca="1">IFERROR(__xludf.DUMMYFUNCTION("""COMPUTED_VALUE"""),5)</f>
        <v>5</v>
      </c>
      <c r="D1283" s="1">
        <f ca="1">IFERROR(__xludf.DUMMYFUNCTION("""COMPUTED_VALUE"""),2018)</f>
        <v>2018</v>
      </c>
      <c r="E1283" s="4">
        <f ca="1">IFERROR(__xludf.DUMMYFUNCTION("""COMPUTED_VALUE"""),43348)</f>
        <v>43348</v>
      </c>
      <c r="F1283" s="1" t="str">
        <f ca="1">IFERROR(__xludf.DUMMYFUNCTION("""COMPUTED_VALUE"""),"Providence Career and Technical Academy")</f>
        <v>Providence Career and Technical Academy</v>
      </c>
      <c r="G1283" s="1">
        <f ca="1">IFERROR(__xludf.DUMMYFUNCTION("""COMPUTED_VALUE"""),1)</f>
        <v>1</v>
      </c>
      <c r="H1283" s="1">
        <f ca="1">IFERROR(__xludf.DUMMYFUNCTION("""COMPUTED_VALUE"""),0)</f>
        <v>0</v>
      </c>
      <c r="I1283" s="1">
        <f ca="1">IFERROR(__xludf.DUMMYFUNCTION("""COMPUTED_VALUE"""),1)</f>
        <v>1</v>
      </c>
      <c r="J1283" s="1">
        <f ca="1">IFERROR(__xludf.DUMMYFUNCTION("""COMPUTED_VALUE"""),0)</f>
        <v>0</v>
      </c>
      <c r="K1283" s="1" t="str">
        <f ca="1">IFERROR(__xludf.DUMMYFUNCTION("""COMPUTED_VALUE"""),"Fall")</f>
        <v>Fall</v>
      </c>
      <c r="L1283" s="1" t="str">
        <f ca="1">IFERROR(__xludf.DUMMYFUNCTION("""COMPUTED_VALUE"""),"Providence")</f>
        <v>Providence</v>
      </c>
      <c r="M1283" s="1" t="str">
        <f ca="1">IFERROR(__xludf.DUMMYFUNCTION("""COMPUTED_VALUE"""),"RI")</f>
        <v>RI</v>
      </c>
      <c r="N1283" s="1" t="str">
        <f ca="1">IFERROR(__xludf.DUMMYFUNCTION("""COMPUTED_VALUE"""),"High")</f>
        <v>High</v>
      </c>
      <c r="O1283" s="1" t="str">
        <f ca="1">IFERROR(__xludf.DUMMYFUNCTION("""COMPUTED_VALUE"""),"Front of School")</f>
        <v>Front of School</v>
      </c>
      <c r="P1283" s="1" t="str">
        <f ca="1">IFERROR(__xludf.DUMMYFUNCTION("""COMPUTED_VALUE"""),"Outside on School Property")</f>
        <v>Outside on School Property</v>
      </c>
      <c r="Q1283" s="1" t="str">
        <f ca="1">IFERROR(__xludf.DUMMYFUNCTION("""COMPUTED_VALUE"""),"Yes")</f>
        <v>Yes</v>
      </c>
      <c r="R1283" s="1" t="str">
        <f ca="1">IFERROR(__xludf.DUMMYFUNCTION("""COMPUTED_VALUE"""),"Dismissal")</f>
        <v>Dismissal</v>
      </c>
      <c r="S1283" s="5">
        <f ca="1">IFERROR(__xludf.DUMMYFUNCTION("""COMPUTED_VALUE"""),0.583333333333333)</f>
        <v>0.58333333333333304</v>
      </c>
      <c r="T1283" s="1">
        <f ca="1">IFERROR(__xludf.DUMMYFUNCTION("""COMPUTED_VALUE"""),1)</f>
        <v>1</v>
      </c>
      <c r="U1283" s="1" t="str">
        <f ca="1">IFERROR(__xludf.DUMMYFUNCTION("""COMPUTED_VALUE"""),"Shots during fight outside school")</f>
        <v>Shots during fight outside school</v>
      </c>
      <c r="V1283" s="1" t="str">
        <f ca="1">IFERROR(__xludf.DUMMYFUNCTION("""COMPUTED_VALUE"""),"Three juveniles were arguing in front of the school. One of them discharged a handgun and killed a juvenile bystander who was student of another school. Juveniles involved fled the scene. Shortly after, police responded to another crime scene, where the s"&amp;"hooter allegedly shot himself accidentally in the thigh, while fleeing the crime scene. Suspect claimed he was shot from a drive-by car but the nature of the wound did not corroborate the report. Police found a revolver nearby. He was arrested and charged"&amp;". Witnesses confirmed shooter's identity. Shooter was allegedly a member of the Hanover Boyz street gang and had been caught multiple times with weapons on school grounds, including a BB gun and a knife.")</f>
        <v>Three juveniles were arguing in front of the school. One of them discharged a handgun and killed a juvenile bystander who was student of another school. Juveniles involved fled the scene. Shortly after, police responded to another crime scene, where the shooter allegedly shot himself accidentally in the thigh, while fleeing the crime scene. Suspect claimed he was shot from a drive-by car but the nature of the wound did not corroborate the report. Police found a revolver nearby. He was arrested and charged. Witnesses confirmed shooter's identity. Shooter was allegedly a member of the Hanover Boyz street gang and had been caught multiple times with weapons on school grounds, including a BB gun and a knife.</v>
      </c>
      <c r="W1283" s="1" t="str">
        <f ca="1">IFERROR(__xludf.DUMMYFUNCTION("""COMPUTED_VALUE"""),"Escalation of Dispute")</f>
        <v>Escalation of Dispute</v>
      </c>
      <c r="X1283" s="1" t="str">
        <f ca="1">IFERROR(__xludf.DUMMYFUNCTION("""COMPUTED_VALUE"""),"Both")</f>
        <v>Both</v>
      </c>
      <c r="Y1283" s="1" t="str">
        <f ca="1">IFERROR(__xludf.DUMMYFUNCTION("""COMPUTED_VALUE"""),"Yes")</f>
        <v>Yes</v>
      </c>
      <c r="Z1283" s="1" t="str">
        <f ca="1">IFERROR(__xludf.DUMMYFUNCTION("""COMPUTED_VALUE"""),"Two teens fled the scene with shooter")</f>
        <v>Two teens fled the scene with shooter</v>
      </c>
      <c r="AA1283" s="1" t="str">
        <f ca="1">IFERROR(__xludf.DUMMYFUNCTION("""COMPUTED_VALUE"""),"No")</f>
        <v>No</v>
      </c>
      <c r="AB1283" s="1" t="str">
        <f ca="1">IFERROR(__xludf.DUMMYFUNCTION("""COMPUTED_VALUE"""),"No")</f>
        <v>No</v>
      </c>
      <c r="AC1283" s="1" t="str">
        <f ca="1">IFERROR(__xludf.DUMMYFUNCTION("""COMPUTED_VALUE"""),"No")</f>
        <v>No</v>
      </c>
      <c r="AD1283" s="1" t="str">
        <f ca="1">IFERROR(__xludf.DUMMYFUNCTION("""COMPUTED_VALUE"""),"No")</f>
        <v>No</v>
      </c>
      <c r="AE1283" s="1" t="str">
        <f ca="1">IFERROR(__xludf.DUMMYFUNCTION("""COMPUTED_VALUE"""),"No")</f>
        <v>No</v>
      </c>
      <c r="AF1283" s="1" t="str">
        <f ca="1">IFERROR(__xludf.DUMMYFUNCTION("""COMPUTED_VALUE"""),"Yes")</f>
        <v>Yes</v>
      </c>
      <c r="AG1283" s="1" t="str">
        <f ca="1">IFERROR(__xludf.DUMMYFUNCTION("""COMPUTED_VALUE"""),"No")</f>
        <v>No</v>
      </c>
      <c r="AH1283" s="1" t="str">
        <f ca="1">IFERROR(__xludf.DUMMYFUNCTION("""COMPUTED_VALUE"""),"&lt;10")</f>
        <v>&lt;10</v>
      </c>
    </row>
    <row r="1284" spans="1:34" ht="12.5">
      <c r="A1284" s="1" t="str">
        <f ca="1">IFERROR(__xludf.DUMMYFUNCTION("""COMPUTED_VALUE"""),"20180903NYLUN")</f>
        <v>20180903NYLUN</v>
      </c>
      <c r="B1284" s="1">
        <f ca="1">IFERROR(__xludf.DUMMYFUNCTION("""COMPUTED_VALUE"""),9)</f>
        <v>9</v>
      </c>
      <c r="C1284" s="1">
        <f ca="1">IFERROR(__xludf.DUMMYFUNCTION("""COMPUTED_VALUE"""),3)</f>
        <v>3</v>
      </c>
      <c r="D1284" s="1">
        <f ca="1">IFERROR(__xludf.DUMMYFUNCTION("""COMPUTED_VALUE"""),2018)</f>
        <v>2018</v>
      </c>
      <c r="E1284" s="4">
        <f ca="1">IFERROR(__xludf.DUMMYFUNCTION("""COMPUTED_VALUE"""),43346)</f>
        <v>43346</v>
      </c>
      <c r="F1284" s="1" t="str">
        <f ca="1">IFERROR(__xludf.DUMMYFUNCTION("""COMPUTED_VALUE"""),"Luisa Pineiro Fuentes School of Science and Discovery")</f>
        <v>Luisa Pineiro Fuentes School of Science and Discovery</v>
      </c>
      <c r="G1284" s="1">
        <f ca="1">IFERROR(__xludf.DUMMYFUNCTION("""COMPUTED_VALUE"""),1)</f>
        <v>1</v>
      </c>
      <c r="H1284" s="1">
        <f ca="1">IFERROR(__xludf.DUMMYFUNCTION("""COMPUTED_VALUE"""),0)</f>
        <v>0</v>
      </c>
      <c r="I1284" s="1">
        <f ca="1">IFERROR(__xludf.DUMMYFUNCTION("""COMPUTED_VALUE"""),1)</f>
        <v>1</v>
      </c>
      <c r="J1284" s="1">
        <f ca="1">IFERROR(__xludf.DUMMYFUNCTION("""COMPUTED_VALUE"""),0)</f>
        <v>0</v>
      </c>
      <c r="K1284" s="1" t="str">
        <f ca="1">IFERROR(__xludf.DUMMYFUNCTION("""COMPUTED_VALUE"""),"Fall")</f>
        <v>Fall</v>
      </c>
      <c r="L1284" s="1" t="str">
        <f ca="1">IFERROR(__xludf.DUMMYFUNCTION("""COMPUTED_VALUE"""),"New York")</f>
        <v>New York</v>
      </c>
      <c r="M1284" s="1" t="str">
        <f ca="1">IFERROR(__xludf.DUMMYFUNCTION("""COMPUTED_VALUE"""),"NY")</f>
        <v>NY</v>
      </c>
      <c r="N1284" s="1" t="str">
        <f ca="1">IFERROR(__xludf.DUMMYFUNCTION("""COMPUTED_VALUE"""),"Elementary")</f>
        <v>Elementary</v>
      </c>
      <c r="O1284" s="1" t="str">
        <f ca="1">IFERROR(__xludf.DUMMYFUNCTION("""COMPUTED_VALUE"""),"Field (General)")</f>
        <v>Field (General)</v>
      </c>
      <c r="P1284" s="1" t="str">
        <f ca="1">IFERROR(__xludf.DUMMYFUNCTION("""COMPUTED_VALUE"""),"Outside on School Property")</f>
        <v>Outside on School Property</v>
      </c>
      <c r="Q1284" s="1" t="str">
        <f ca="1">IFERROR(__xludf.DUMMYFUNCTION("""COMPUTED_VALUE"""),"No")</f>
        <v>No</v>
      </c>
      <c r="R1284" s="1" t="str">
        <f ca="1">IFERROR(__xludf.DUMMYFUNCTION("""COMPUTED_VALUE"""),"Evening")</f>
        <v>Evening</v>
      </c>
      <c r="S1284" s="5">
        <f ca="1">IFERROR(__xludf.DUMMYFUNCTION("""COMPUTED_VALUE"""),0.888888888888888)</f>
        <v>0.88888888888888795</v>
      </c>
      <c r="T1284" s="1">
        <f ca="1">IFERROR(__xludf.DUMMYFUNCTION("""COMPUTED_VALUE"""),1)</f>
        <v>1</v>
      </c>
      <c r="U1284" s="1" t="str">
        <f ca="1">IFERROR(__xludf.DUMMYFUNCTION("""COMPUTED_VALUE"""),"Non-student killed during argument outside of school (closed for holiday)")</f>
        <v>Non-student killed during argument outside of school (closed for holiday)</v>
      </c>
      <c r="V1284" s="1" t="str">
        <f ca="1">IFERROR(__xludf.DUMMYFUNCTION("""COMPUTED_VALUE"""),"34YOM was shot by unknown gunman during argument outside of school. School was closed for Labor Day and there was a cook-out block party being held on the campus.")</f>
        <v>34YOM was shot by unknown gunman during argument outside of school. School was closed for Labor Day and there was a cook-out block party being held on the campus.</v>
      </c>
      <c r="W1284" s="1" t="str">
        <f ca="1">IFERROR(__xludf.DUMMYFUNCTION("""COMPUTED_VALUE"""),"Escalation of Dispute")</f>
        <v>Escalation of Dispute</v>
      </c>
      <c r="X1284" s="1" t="str">
        <f ca="1">IFERROR(__xludf.DUMMYFUNCTION("""COMPUTED_VALUE"""),"Victims Targeted")</f>
        <v>Victims Targeted</v>
      </c>
      <c r="Y1284" s="1" t="str">
        <f ca="1">IFERROR(__xludf.DUMMYFUNCTION("""COMPUTED_VALUE"""),"No")</f>
        <v>No</v>
      </c>
      <c r="Z1284" s="1"/>
      <c r="AA1284" s="1" t="str">
        <f ca="1">IFERROR(__xludf.DUMMYFUNCTION("""COMPUTED_VALUE"""),"No")</f>
        <v>No</v>
      </c>
      <c r="AB1284" s="1" t="str">
        <f ca="1">IFERROR(__xludf.DUMMYFUNCTION("""COMPUTED_VALUE"""),"No")</f>
        <v>No</v>
      </c>
      <c r="AC1284" s="1" t="str">
        <f ca="1">IFERROR(__xludf.DUMMYFUNCTION("""COMPUTED_VALUE"""),"No")</f>
        <v>No</v>
      </c>
      <c r="AD1284" s="1" t="str">
        <f ca="1">IFERROR(__xludf.DUMMYFUNCTION("""COMPUTED_VALUE"""),"No")</f>
        <v>No</v>
      </c>
      <c r="AE1284" s="1" t="str">
        <f ca="1">IFERROR(__xludf.DUMMYFUNCTION("""COMPUTED_VALUE"""),"No")</f>
        <v>No</v>
      </c>
      <c r="AF1284" s="1" t="str">
        <f ca="1">IFERROR(__xludf.DUMMYFUNCTION("""COMPUTED_VALUE"""),"No")</f>
        <v>No</v>
      </c>
      <c r="AG1284" s="1" t="str">
        <f ca="1">IFERROR(__xludf.DUMMYFUNCTION("""COMPUTED_VALUE"""),"No")</f>
        <v>No</v>
      </c>
      <c r="AH1284" s="1" t="str">
        <f ca="1">IFERROR(__xludf.DUMMYFUNCTION("""COMPUTED_VALUE"""),"&lt;5")</f>
        <v>&lt;5</v>
      </c>
    </row>
    <row r="1285" spans="1:34" ht="12.5">
      <c r="A1285" s="1" t="str">
        <f ca="1">IFERROR(__xludf.DUMMYFUNCTION("""COMPUTED_VALUE"""),"20180831IANOE")</f>
        <v>20180831IANOE</v>
      </c>
      <c r="B1285" s="1">
        <f ca="1">IFERROR(__xludf.DUMMYFUNCTION("""COMPUTED_VALUE"""),8)</f>
        <v>8</v>
      </c>
      <c r="C1285" s="1">
        <f ca="1">IFERROR(__xludf.DUMMYFUNCTION("""COMPUTED_VALUE"""),31)</f>
        <v>31</v>
      </c>
      <c r="D1285" s="1">
        <f ca="1">IFERROR(__xludf.DUMMYFUNCTION("""COMPUTED_VALUE"""),2018)</f>
        <v>2018</v>
      </c>
      <c r="E1285" s="4">
        <f ca="1">IFERROR(__xludf.DUMMYFUNCTION("""COMPUTED_VALUE"""),43343)</f>
        <v>43343</v>
      </c>
      <c r="F1285" s="1" t="str">
        <f ca="1">IFERROR(__xludf.DUMMYFUNCTION("""COMPUTED_VALUE"""),"North Scott Junior High School")</f>
        <v>North Scott Junior High School</v>
      </c>
      <c r="G1285" s="1">
        <f ca="1">IFERROR(__xludf.DUMMYFUNCTION("""COMPUTED_VALUE"""),0)</f>
        <v>0</v>
      </c>
      <c r="H1285" s="1">
        <f ca="1">IFERROR(__xludf.DUMMYFUNCTION("""COMPUTED_VALUE"""),0)</f>
        <v>0</v>
      </c>
      <c r="I1285" s="1">
        <f ca="1">IFERROR(__xludf.DUMMYFUNCTION("""COMPUTED_VALUE"""),0)</f>
        <v>0</v>
      </c>
      <c r="J1285" s="1">
        <f ca="1">IFERROR(__xludf.DUMMYFUNCTION("""COMPUTED_VALUE"""),0)</f>
        <v>0</v>
      </c>
      <c r="K1285" s="1" t="str">
        <f ca="1">IFERROR(__xludf.DUMMYFUNCTION("""COMPUTED_VALUE"""),"Summer")</f>
        <v>Summer</v>
      </c>
      <c r="L1285" s="1" t="str">
        <f ca="1">IFERROR(__xludf.DUMMYFUNCTION("""COMPUTED_VALUE"""),"Eldridge")</f>
        <v>Eldridge</v>
      </c>
      <c r="M1285" s="1" t="str">
        <f ca="1">IFERROR(__xludf.DUMMYFUNCTION("""COMPUTED_VALUE"""),"IA")</f>
        <v>IA</v>
      </c>
      <c r="N1285" s="1" t="str">
        <f ca="1">IFERROR(__xludf.DUMMYFUNCTION("""COMPUTED_VALUE"""),"Junior High")</f>
        <v>Junior High</v>
      </c>
      <c r="O1285" s="1" t="str">
        <f ca="1">IFERROR(__xludf.DUMMYFUNCTION("""COMPUTED_VALUE"""),"Classroom")</f>
        <v>Classroom</v>
      </c>
      <c r="P1285" s="1" t="str">
        <f ca="1">IFERROR(__xludf.DUMMYFUNCTION("""COMPUTED_VALUE"""),"Inside School Building")</f>
        <v>Inside School Building</v>
      </c>
      <c r="Q1285" s="1" t="str">
        <f ca="1">IFERROR(__xludf.DUMMYFUNCTION("""COMPUTED_VALUE"""),"Yes")</f>
        <v>Yes</v>
      </c>
      <c r="R1285" s="1" t="str">
        <f ca="1">IFERROR(__xludf.DUMMYFUNCTION("""COMPUTED_VALUE"""),"Morning Classes")</f>
        <v>Morning Classes</v>
      </c>
      <c r="S1285" s="5">
        <f ca="1">IFERROR(__xludf.DUMMYFUNCTION("""COMPUTED_VALUE"""),0.354166666666666)</f>
        <v>0.35416666666666602</v>
      </c>
      <c r="T1285" s="1">
        <f ca="1">IFERROR(__xludf.DUMMYFUNCTION("""COMPUTED_VALUE"""),1)</f>
        <v>1</v>
      </c>
      <c r="U1285" s="1" t="str">
        <f ca="1">IFERROR(__xludf.DUMMYFUNCTION("""COMPUTED_VALUE"""),"Shooter was a student who attempted to shoot the teacher in class")</f>
        <v>Shooter was a student who attempted to shoot the teacher in class</v>
      </c>
      <c r="V1285" s="1" t="str">
        <f ca="1">IFERROR(__xludf.DUMMYFUNCTION("""COMPUTED_VALUE"""),"A 12YOM student pointed a handgun gun at students in class and ordered everyone to get on the floor. Shooter then pointed the gun at the teacher and pulled the trigger but the safety was on and the weapon did not go off. The teacher disarmed the shooter a"&amp;"nd he was arrested. Gun was taken from shooter's home. Father was arrested for ""control of a firearm by a felon"". Father had 3 prior felony convictions and was not allowed to own firearms.
 Shooter charged a youthful offender in adult court.")</f>
        <v>A 12YOM student pointed a handgun gun at students in class and ordered everyone to get on the floor. Shooter then pointed the gun at the teacher and pulled the trigger but the safety was on and the weapon did not go off. The teacher disarmed the shooter and he was arrested. Gun was taken from shooter's home. Father was arrested for "control of a firearm by a felon". Father had 3 prior felony convictions and was not allowed to own firearms.
 Shooter charged a youthful offender in adult court.</v>
      </c>
      <c r="W1285" s="1" t="str">
        <f ca="1">IFERROR(__xludf.DUMMYFUNCTION("""COMPUTED_VALUE"""),"Hostage/Standoff")</f>
        <v>Hostage/Standoff</v>
      </c>
      <c r="X1285" s="1" t="str">
        <f ca="1">IFERROR(__xludf.DUMMYFUNCTION("""COMPUTED_VALUE"""),"Victims Targeted")</f>
        <v>Victims Targeted</v>
      </c>
      <c r="Y1285" s="1" t="str">
        <f ca="1">IFERROR(__xludf.DUMMYFUNCTION("""COMPUTED_VALUE"""),"No")</f>
        <v>No</v>
      </c>
      <c r="Z1285" s="1"/>
      <c r="AA1285" s="1" t="str">
        <f ca="1">IFERROR(__xludf.DUMMYFUNCTION("""COMPUTED_VALUE"""),"No")</f>
        <v>No</v>
      </c>
      <c r="AB1285" s="1" t="str">
        <f ca="1">IFERROR(__xludf.DUMMYFUNCTION("""COMPUTED_VALUE"""),"No")</f>
        <v>No</v>
      </c>
      <c r="AC1285" s="1" t="str">
        <f ca="1">IFERROR(__xludf.DUMMYFUNCTION("""COMPUTED_VALUE"""),"No")</f>
        <v>No</v>
      </c>
      <c r="AD1285" s="1"/>
      <c r="AE1285" s="1"/>
      <c r="AF1285" s="1" t="str">
        <f ca="1">IFERROR(__xludf.DUMMYFUNCTION("""COMPUTED_VALUE"""),"No")</f>
        <v>No</v>
      </c>
      <c r="AG1285" s="1" t="str">
        <f ca="1">IFERROR(__xludf.DUMMYFUNCTION("""COMPUTED_VALUE"""),"Yes")</f>
        <v>Yes</v>
      </c>
      <c r="AH1285" s="1">
        <f ca="1">IFERROR(__xludf.DUMMYFUNCTION("""COMPUTED_VALUE"""),0)</f>
        <v>0</v>
      </c>
    </row>
    <row r="1286" spans="1:34" ht="12.5">
      <c r="A1286" s="1" t="str">
        <f ca="1">IFERROR(__xludf.DUMMYFUNCTION("""COMPUTED_VALUE"""),"20180831CABAS")</f>
        <v>20180831CABAS</v>
      </c>
      <c r="B1286" s="1">
        <f ca="1">IFERROR(__xludf.DUMMYFUNCTION("""COMPUTED_VALUE"""),8)</f>
        <v>8</v>
      </c>
      <c r="C1286" s="1">
        <f ca="1">IFERROR(__xludf.DUMMYFUNCTION("""COMPUTED_VALUE"""),31)</f>
        <v>31</v>
      </c>
      <c r="D1286" s="1">
        <f ca="1">IFERROR(__xludf.DUMMYFUNCTION("""COMPUTED_VALUE"""),2018)</f>
        <v>2018</v>
      </c>
      <c r="E1286" s="4">
        <f ca="1">IFERROR(__xludf.DUMMYFUNCTION("""COMPUTED_VALUE"""),43343)</f>
        <v>43343</v>
      </c>
      <c r="F1286" s="1" t="str">
        <f ca="1">IFERROR(__xludf.DUMMYFUNCTION("""COMPUTED_VALUE"""),"Balboa High School")</f>
        <v>Balboa High School</v>
      </c>
      <c r="G1286" s="1">
        <f ca="1">IFERROR(__xludf.DUMMYFUNCTION("""COMPUTED_VALUE"""),0)</f>
        <v>0</v>
      </c>
      <c r="H1286" s="1">
        <f ca="1">IFERROR(__xludf.DUMMYFUNCTION("""COMPUTED_VALUE"""),0)</f>
        <v>0</v>
      </c>
      <c r="I1286" s="1">
        <f ca="1">IFERROR(__xludf.DUMMYFUNCTION("""COMPUTED_VALUE"""),0)</f>
        <v>0</v>
      </c>
      <c r="J1286" s="1">
        <f ca="1">IFERROR(__xludf.DUMMYFUNCTION("""COMPUTED_VALUE"""),0)</f>
        <v>0</v>
      </c>
      <c r="K1286" s="1" t="str">
        <f ca="1">IFERROR(__xludf.DUMMYFUNCTION("""COMPUTED_VALUE"""),"Summer")</f>
        <v>Summer</v>
      </c>
      <c r="L1286" s="1" t="str">
        <f ca="1">IFERROR(__xludf.DUMMYFUNCTION("""COMPUTED_VALUE"""),"San Francisco")</f>
        <v>San Francisco</v>
      </c>
      <c r="M1286" s="1" t="str">
        <f ca="1">IFERROR(__xludf.DUMMYFUNCTION("""COMPUTED_VALUE"""),"CA")</f>
        <v>CA</v>
      </c>
      <c r="N1286" s="1" t="str">
        <f ca="1">IFERROR(__xludf.DUMMYFUNCTION("""COMPUTED_VALUE"""),"High")</f>
        <v>High</v>
      </c>
      <c r="O1286" s="1" t="str">
        <f ca="1">IFERROR(__xludf.DUMMYFUNCTION("""COMPUTED_VALUE"""),"Classroom")</f>
        <v>Classroom</v>
      </c>
      <c r="P1286" s="1" t="str">
        <f ca="1">IFERROR(__xludf.DUMMYFUNCTION("""COMPUTED_VALUE"""),"Inside School Building")</f>
        <v>Inside School Building</v>
      </c>
      <c r="Q1286" s="1" t="str">
        <f ca="1">IFERROR(__xludf.DUMMYFUNCTION("""COMPUTED_VALUE"""),"Yes")</f>
        <v>Yes</v>
      </c>
      <c r="R1286" s="1" t="str">
        <f ca="1">IFERROR(__xludf.DUMMYFUNCTION("""COMPUTED_VALUE"""),"Afternoon Classes")</f>
        <v>Afternoon Classes</v>
      </c>
      <c r="S1286" s="5">
        <f ca="1">IFERROR(__xludf.DUMMYFUNCTION("""COMPUTED_VALUE"""),0.632638888888888)</f>
        <v>0.63263888888888797</v>
      </c>
      <c r="T1286" s="1">
        <f ca="1">IFERROR(__xludf.DUMMYFUNCTION("""COMPUTED_VALUE"""),1)</f>
        <v>1</v>
      </c>
      <c r="U1286" s="1" t="str">
        <f ca="1">IFERROR(__xludf.DUMMYFUNCTION("""COMPUTED_VALUE"""),"Accidental discharge in classroom, student with gun fled")</f>
        <v>Accidental discharge in classroom, student with gun fled</v>
      </c>
      <c r="V1286" s="1" t="str">
        <f ca="1">IFERROR(__xludf.DUMMYFUNCTION("""COMPUTED_VALUE"""),"Student brought gun to school in backpack. Discharged in classroom. Shooter dropped the gun, fled the school and was later arrested when his mother took him to the police station. 2 other students arrested and charged with being accessories. School went o"&amp;"n lockdown and police conducted room by room search. Nearby Elementary school and Middle school were also locked down.")</f>
        <v>Student brought gun to school in backpack. Discharged in classroom. Shooter dropped the gun, fled the school and was later arrested when his mother took him to the police station. 2 other students arrested and charged with being accessories. School went on lockdown and police conducted room by room search. Nearby Elementary school and Middle school were also locked down.</v>
      </c>
      <c r="W1286" s="1" t="str">
        <f ca="1">IFERROR(__xludf.DUMMYFUNCTION("""COMPUTED_VALUE"""),"Accidental")</f>
        <v>Accidental</v>
      </c>
      <c r="X1286" s="1" t="str">
        <f ca="1">IFERROR(__xludf.DUMMYFUNCTION("""COMPUTED_VALUE"""),"Neither")</f>
        <v>Neither</v>
      </c>
      <c r="Y1286" s="1" t="str">
        <f ca="1">IFERROR(__xludf.DUMMYFUNCTION("""COMPUTED_VALUE"""),"Yes")</f>
        <v>Yes</v>
      </c>
      <c r="Z1286" s="1" t="str">
        <f ca="1">IFERROR(__xludf.DUMMYFUNCTION("""COMPUTED_VALUE"""),"2 other students charged")</f>
        <v>2 other students charged</v>
      </c>
      <c r="AA1286" s="1" t="str">
        <f ca="1">IFERROR(__xludf.DUMMYFUNCTION("""COMPUTED_VALUE"""),"No")</f>
        <v>No</v>
      </c>
      <c r="AB1286" s="1" t="str">
        <f ca="1">IFERROR(__xludf.DUMMYFUNCTION("""COMPUTED_VALUE"""),"No")</f>
        <v>No</v>
      </c>
      <c r="AC1286" s="1" t="str">
        <f ca="1">IFERROR(__xludf.DUMMYFUNCTION("""COMPUTED_VALUE"""),"No")</f>
        <v>No</v>
      </c>
      <c r="AD1286" s="1" t="str">
        <f ca="1">IFERROR(__xludf.DUMMYFUNCTION("""COMPUTED_VALUE"""),"No")</f>
        <v>No</v>
      </c>
      <c r="AE1286" s="1" t="str">
        <f ca="1">IFERROR(__xludf.DUMMYFUNCTION("""COMPUTED_VALUE"""),"No")</f>
        <v>No</v>
      </c>
      <c r="AF1286" s="1"/>
      <c r="AG1286" s="1" t="str">
        <f ca="1">IFERROR(__xludf.DUMMYFUNCTION("""COMPUTED_VALUE"""),"No")</f>
        <v>No</v>
      </c>
      <c r="AH1286" s="1">
        <f ca="1">IFERROR(__xludf.DUMMYFUNCTION("""COMPUTED_VALUE"""),1)</f>
        <v>1</v>
      </c>
    </row>
    <row r="1287" spans="1:34" ht="12.5">
      <c r="A1287" s="1" t="str">
        <f ca="1">IFERROR(__xludf.DUMMYFUNCTION("""COMPUTED_VALUE"""),"20180830NCVIC")</f>
        <v>20180830NCVIC</v>
      </c>
      <c r="B1287" s="1">
        <f ca="1">IFERROR(__xludf.DUMMYFUNCTION("""COMPUTED_VALUE"""),8)</f>
        <v>8</v>
      </c>
      <c r="C1287" s="1">
        <f ca="1">IFERROR(__xludf.DUMMYFUNCTION("""COMPUTED_VALUE"""),30)</f>
        <v>30</v>
      </c>
      <c r="D1287" s="1">
        <f ca="1">IFERROR(__xludf.DUMMYFUNCTION("""COMPUTED_VALUE"""),2018)</f>
        <v>2018</v>
      </c>
      <c r="E1287" s="4">
        <f ca="1">IFERROR(__xludf.DUMMYFUNCTION("""COMPUTED_VALUE"""),43342)</f>
        <v>43342</v>
      </c>
      <c r="F1287" s="1" t="str">
        <f ca="1">IFERROR(__xludf.DUMMYFUNCTION("""COMPUTED_VALUE"""),"Villa Heights Elementary School")</f>
        <v>Villa Heights Elementary School</v>
      </c>
      <c r="G1287" s="1">
        <f ca="1">IFERROR(__xludf.DUMMYFUNCTION("""COMPUTED_VALUE"""),0)</f>
        <v>0</v>
      </c>
      <c r="H1287" s="1">
        <f ca="1">IFERROR(__xludf.DUMMYFUNCTION("""COMPUTED_VALUE"""),0)</f>
        <v>0</v>
      </c>
      <c r="I1287" s="1">
        <f ca="1">IFERROR(__xludf.DUMMYFUNCTION("""COMPUTED_VALUE"""),0)</f>
        <v>0</v>
      </c>
      <c r="J1287" s="1">
        <f ca="1">IFERROR(__xludf.DUMMYFUNCTION("""COMPUTED_VALUE"""),0)</f>
        <v>0</v>
      </c>
      <c r="K1287" s="1" t="str">
        <f ca="1">IFERROR(__xludf.DUMMYFUNCTION("""COMPUTED_VALUE"""),"Summer")</f>
        <v>Summer</v>
      </c>
      <c r="L1287" s="1" t="str">
        <f ca="1">IFERROR(__xludf.DUMMYFUNCTION("""COMPUTED_VALUE"""),"Charlotte")</f>
        <v>Charlotte</v>
      </c>
      <c r="M1287" s="1" t="str">
        <f ca="1">IFERROR(__xludf.DUMMYFUNCTION("""COMPUTED_VALUE"""),"NC")</f>
        <v>NC</v>
      </c>
      <c r="N1287" s="1" t="str">
        <f ca="1">IFERROR(__xludf.DUMMYFUNCTION("""COMPUTED_VALUE"""),"Elementary")</f>
        <v>Elementary</v>
      </c>
      <c r="O1287" s="1" t="str">
        <f ca="1">IFERROR(__xludf.DUMMYFUNCTION("""COMPUTED_VALUE"""),"Parking Lot")</f>
        <v>Parking Lot</v>
      </c>
      <c r="P1287" s="1" t="str">
        <f ca="1">IFERROR(__xludf.DUMMYFUNCTION("""COMPUTED_VALUE"""),"Outside on School Property")</f>
        <v>Outside on School Property</v>
      </c>
      <c r="Q1287" s="1" t="str">
        <f ca="1">IFERROR(__xludf.DUMMYFUNCTION("""COMPUTED_VALUE"""),"Yes")</f>
        <v>Yes</v>
      </c>
      <c r="R1287" s="1" t="str">
        <f ca="1">IFERROR(__xludf.DUMMYFUNCTION("""COMPUTED_VALUE"""),"School Start")</f>
        <v>School Start</v>
      </c>
      <c r="S1287" s="5">
        <f ca="1">IFERROR(__xludf.DUMMYFUNCTION("""COMPUTED_VALUE"""),0.354166666666666)</f>
        <v>0.35416666666666602</v>
      </c>
      <c r="T1287" s="1">
        <f ca="1">IFERROR(__xludf.DUMMYFUNCTION("""COMPUTED_VALUE"""),1)</f>
        <v>1</v>
      </c>
      <c r="U1287" s="1" t="str">
        <f ca="1">IFERROR(__xludf.DUMMYFUNCTION("""COMPUTED_VALUE"""),"Woman shot at in parking lot by ex-boyfriend while dropping off child")</f>
        <v>Woman shot at in parking lot by ex-boyfriend while dropping off child</v>
      </c>
      <c r="V1287" s="1" t="str">
        <f ca="1">IFERROR(__xludf.DUMMYFUNCTION("""COMPUTED_VALUE"""),"34YOM fired multiple shots at ex-girlfriend while she was dropping off child at school and was in her car. School was locked down. All shots missed the target and no one was injured. One of the shots hit a nearby residence. Shooter fled the scene and was "&amp;"arrested later that day after a standoff at a private residence. Had previous felony charges against him and possible federal weapons charges.")</f>
        <v>34YOM fired multiple shots at ex-girlfriend while she was dropping off child at school and was in her car. School was locked down. All shots missed the target and no one was injured. One of the shots hit a nearby residence. Shooter fled the scene and was arrested later that day after a standoff at a private residence. Had previous felony charges against him and possible federal weapons charges.</v>
      </c>
      <c r="W1287" s="1" t="str">
        <f ca="1">IFERROR(__xludf.DUMMYFUNCTION("""COMPUTED_VALUE"""),"Domestic w/ Targeted Victim")</f>
        <v>Domestic w/ Targeted Victim</v>
      </c>
      <c r="X1287" s="1" t="str">
        <f ca="1">IFERROR(__xludf.DUMMYFUNCTION("""COMPUTED_VALUE"""),"Victims Targeted")</f>
        <v>Victims Targeted</v>
      </c>
      <c r="Y1287" s="1" t="str">
        <f ca="1">IFERROR(__xludf.DUMMYFUNCTION("""COMPUTED_VALUE"""),"No")</f>
        <v>No</v>
      </c>
      <c r="Z1287" s="1"/>
      <c r="AA1287" s="1" t="str">
        <f ca="1">IFERROR(__xludf.DUMMYFUNCTION("""COMPUTED_VALUE"""),"No")</f>
        <v>No</v>
      </c>
      <c r="AB1287" s="1" t="str">
        <f ca="1">IFERROR(__xludf.DUMMYFUNCTION("""COMPUTED_VALUE"""),"No")</f>
        <v>No</v>
      </c>
      <c r="AC1287" s="1" t="str">
        <f ca="1">IFERROR(__xludf.DUMMYFUNCTION("""COMPUTED_VALUE"""),"No")</f>
        <v>No</v>
      </c>
      <c r="AD1287" s="1" t="str">
        <f ca="1">IFERROR(__xludf.DUMMYFUNCTION("""COMPUTED_VALUE"""),"No")</f>
        <v>No</v>
      </c>
      <c r="AE1287" s="1" t="str">
        <f ca="1">IFERROR(__xludf.DUMMYFUNCTION("""COMPUTED_VALUE"""),"Yes")</f>
        <v>Yes</v>
      </c>
      <c r="AF1287" s="1" t="str">
        <f ca="1">IFERROR(__xludf.DUMMYFUNCTION("""COMPUTED_VALUE"""),"No")</f>
        <v>No</v>
      </c>
      <c r="AG1287" s="1" t="str">
        <f ca="1">IFERROR(__xludf.DUMMYFUNCTION("""COMPUTED_VALUE"""),"No")</f>
        <v>No</v>
      </c>
      <c r="AH1287" s="1" t="str">
        <f ca="1">IFERROR(__xludf.DUMMYFUNCTION("""COMPUTED_VALUE"""),"&lt;10")</f>
        <v>&lt;10</v>
      </c>
    </row>
    <row r="1288" spans="1:34" ht="12.5">
      <c r="A1288" s="1" t="str">
        <f ca="1">IFERROR(__xludf.DUMMYFUNCTION("""COMPUTED_VALUE"""),"20180830MIOTG")</f>
        <v>20180830MIOTG</v>
      </c>
      <c r="B1288" s="1">
        <f ca="1">IFERROR(__xludf.DUMMYFUNCTION("""COMPUTED_VALUE"""),8)</f>
        <v>8</v>
      </c>
      <c r="C1288" s="1">
        <f ca="1">IFERROR(__xludf.DUMMYFUNCTION("""COMPUTED_VALUE"""),30)</f>
        <v>30</v>
      </c>
      <c r="D1288" s="1">
        <f ca="1">IFERROR(__xludf.DUMMYFUNCTION("""COMPUTED_VALUE"""),2018)</f>
        <v>2018</v>
      </c>
      <c r="E1288" s="4">
        <f ca="1">IFERROR(__xludf.DUMMYFUNCTION("""COMPUTED_VALUE"""),43342)</f>
        <v>43342</v>
      </c>
      <c r="F1288" s="1" t="str">
        <f ca="1">IFERROR(__xludf.DUMMYFUNCTION("""COMPUTED_VALUE"""),"Ottawa Hills High School")</f>
        <v>Ottawa Hills High School</v>
      </c>
      <c r="G1288" s="1">
        <f ca="1">IFERROR(__xludf.DUMMYFUNCTION("""COMPUTED_VALUE"""),0)</f>
        <v>0</v>
      </c>
      <c r="H1288" s="1">
        <f ca="1">IFERROR(__xludf.DUMMYFUNCTION("""COMPUTED_VALUE"""),1)</f>
        <v>1</v>
      </c>
      <c r="I1288" s="1">
        <f ca="1">IFERROR(__xludf.DUMMYFUNCTION("""COMPUTED_VALUE"""),1)</f>
        <v>1</v>
      </c>
      <c r="J1288" s="1">
        <f ca="1">IFERROR(__xludf.DUMMYFUNCTION("""COMPUTED_VALUE"""),0)</f>
        <v>0</v>
      </c>
      <c r="K1288" s="1" t="str">
        <f ca="1">IFERROR(__xludf.DUMMYFUNCTION("""COMPUTED_VALUE"""),"Summer")</f>
        <v>Summer</v>
      </c>
      <c r="L1288" s="1" t="str">
        <f ca="1">IFERROR(__xludf.DUMMYFUNCTION("""COMPUTED_VALUE"""),"Grand Rapids")</f>
        <v>Grand Rapids</v>
      </c>
      <c r="M1288" s="1" t="str">
        <f ca="1">IFERROR(__xludf.DUMMYFUNCTION("""COMPUTED_VALUE"""),"MI")</f>
        <v>MI</v>
      </c>
      <c r="N1288" s="1" t="str">
        <f ca="1">IFERROR(__xludf.DUMMYFUNCTION("""COMPUTED_VALUE"""),"High")</f>
        <v>High</v>
      </c>
      <c r="O1288" s="1" t="str">
        <f ca="1">IFERROR(__xludf.DUMMYFUNCTION("""COMPUTED_VALUE"""),"Other")</f>
        <v>Other</v>
      </c>
      <c r="P1288" s="1" t="str">
        <f ca="1">IFERROR(__xludf.DUMMYFUNCTION("""COMPUTED_VALUE"""),"Outside on School Property")</f>
        <v>Outside on School Property</v>
      </c>
      <c r="Q1288" s="1" t="str">
        <f ca="1">IFERROR(__xludf.DUMMYFUNCTION("""COMPUTED_VALUE"""),"Yes")</f>
        <v>Yes</v>
      </c>
      <c r="R1288" s="1" t="str">
        <f ca="1">IFERROR(__xludf.DUMMYFUNCTION("""COMPUTED_VALUE"""),"Morning Classes")</f>
        <v>Morning Classes</v>
      </c>
      <c r="S1288" s="5">
        <f ca="1">IFERROR(__xludf.DUMMYFUNCTION("""COMPUTED_VALUE"""),0.4375)</f>
        <v>0.4375</v>
      </c>
      <c r="T1288" s="1">
        <f ca="1">IFERROR(__xludf.DUMMYFUNCTION("""COMPUTED_VALUE"""),1)</f>
        <v>1</v>
      </c>
      <c r="U1288" s="1" t="str">
        <f ca="1">IFERROR(__xludf.DUMMYFUNCTION("""COMPUTED_VALUE"""),"Two non-student teens shot at during drive-by outside of school")</f>
        <v>Two non-student teens shot at during drive-by outside of school</v>
      </c>
      <c r="V1288" s="1" t="str">
        <f ca="1">IFERROR(__xludf.DUMMYFUNCTION("""COMPUTED_VALUE"""),"Two 17YOM non-students were shot at by an unknown shooter in a vehicle outside of the school. One teen was injured. Both ran into the school to take shelter. Police received reports of an active shooter at the school and the school was locked down. Parent"&amp;"s rushed to the school when a school shooting was reported. No description of suspect.")</f>
        <v>Two 17YOM non-students were shot at by an unknown shooter in a vehicle outside of the school. One teen was injured. Both ran into the school to take shelter. Police received reports of an active shooter at the school and the school was locked down. Parents rushed to the school when a school shooting was reported. No description of suspect.</v>
      </c>
      <c r="W1288" s="1" t="str">
        <f ca="1">IFERROR(__xludf.DUMMYFUNCTION("""COMPUTED_VALUE"""),"Drive-by Shooting")</f>
        <v>Drive-by Shooting</v>
      </c>
      <c r="X1288" s="1" t="str">
        <f ca="1">IFERROR(__xludf.DUMMYFUNCTION("""COMPUTED_VALUE"""),"Victims Targeted")</f>
        <v>Victims Targeted</v>
      </c>
      <c r="Y1288" s="1"/>
      <c r="Z1288" s="1"/>
      <c r="AA1288" s="1" t="str">
        <f ca="1">IFERROR(__xludf.DUMMYFUNCTION("""COMPUTED_VALUE"""),"No")</f>
        <v>No</v>
      </c>
      <c r="AB1288" s="1" t="str">
        <f ca="1">IFERROR(__xludf.DUMMYFUNCTION("""COMPUTED_VALUE"""),"No")</f>
        <v>No</v>
      </c>
      <c r="AC1288" s="1" t="str">
        <f ca="1">IFERROR(__xludf.DUMMYFUNCTION("""COMPUTED_VALUE"""),"No")</f>
        <v>No</v>
      </c>
      <c r="AD1288" s="1" t="str">
        <f ca="1">IFERROR(__xludf.DUMMYFUNCTION("""COMPUTED_VALUE"""),"No")</f>
        <v>No</v>
      </c>
      <c r="AE1288" s="1" t="str">
        <f ca="1">IFERROR(__xludf.DUMMYFUNCTION("""COMPUTED_VALUE"""),"No")</f>
        <v>No</v>
      </c>
      <c r="AF1288" s="1" t="str">
        <f ca="1">IFERROR(__xludf.DUMMYFUNCTION("""COMPUTED_VALUE"""),"Yes")</f>
        <v>Yes</v>
      </c>
      <c r="AG1288" s="1" t="str">
        <f ca="1">IFERROR(__xludf.DUMMYFUNCTION("""COMPUTED_VALUE"""),"No")</f>
        <v>No</v>
      </c>
      <c r="AH1288" s="1">
        <f ca="1">IFERROR(__xludf.DUMMYFUNCTION("""COMPUTED_VALUE"""),6)</f>
        <v>6</v>
      </c>
    </row>
    <row r="1289" spans="1:34" ht="12.5">
      <c r="A1289" s="1" t="str">
        <f ca="1">IFERROR(__xludf.DUMMYFUNCTION("""COMPUTED_VALUE"""),"20180829DETOD")</f>
        <v>20180829DETOD</v>
      </c>
      <c r="B1289" s="1">
        <f ca="1">IFERROR(__xludf.DUMMYFUNCTION("""COMPUTED_VALUE"""),8)</f>
        <v>8</v>
      </c>
      <c r="C1289" s="1">
        <f ca="1">IFERROR(__xludf.DUMMYFUNCTION("""COMPUTED_VALUE"""),29)</f>
        <v>29</v>
      </c>
      <c r="D1289" s="1">
        <f ca="1">IFERROR(__xludf.DUMMYFUNCTION("""COMPUTED_VALUE"""),2018)</f>
        <v>2018</v>
      </c>
      <c r="E1289" s="4">
        <f ca="1">IFERROR(__xludf.DUMMYFUNCTION("""COMPUTED_VALUE"""),43341)</f>
        <v>43341</v>
      </c>
      <c r="F1289" s="1" t="str">
        <f ca="1">IFERROR(__xludf.DUMMYFUNCTION("""COMPUTED_VALUE"""),"Towne Point Elementary School")</f>
        <v>Towne Point Elementary School</v>
      </c>
      <c r="G1289" s="1">
        <f ca="1">IFERROR(__xludf.DUMMYFUNCTION("""COMPUTED_VALUE"""),1)</f>
        <v>1</v>
      </c>
      <c r="H1289" s="1">
        <f ca="1">IFERROR(__xludf.DUMMYFUNCTION("""COMPUTED_VALUE"""),0)</f>
        <v>0</v>
      </c>
      <c r="I1289" s="1">
        <f ca="1">IFERROR(__xludf.DUMMYFUNCTION("""COMPUTED_VALUE"""),1)</f>
        <v>1</v>
      </c>
      <c r="J1289" s="1">
        <f ca="1">IFERROR(__xludf.DUMMYFUNCTION("""COMPUTED_VALUE"""),0)</f>
        <v>0</v>
      </c>
      <c r="K1289" s="1" t="str">
        <f ca="1">IFERROR(__xludf.DUMMYFUNCTION("""COMPUTED_VALUE"""),"Summer")</f>
        <v>Summer</v>
      </c>
      <c r="L1289" s="1" t="str">
        <f ca="1">IFERROR(__xludf.DUMMYFUNCTION("""COMPUTED_VALUE"""),"Dover")</f>
        <v>Dover</v>
      </c>
      <c r="M1289" s="1" t="str">
        <f ca="1">IFERROR(__xludf.DUMMYFUNCTION("""COMPUTED_VALUE"""),"DE")</f>
        <v>DE</v>
      </c>
      <c r="N1289" s="1" t="str">
        <f ca="1">IFERROR(__xludf.DUMMYFUNCTION("""COMPUTED_VALUE"""),"Elementary")</f>
        <v>Elementary</v>
      </c>
      <c r="O1289" s="1" t="str">
        <f ca="1">IFERROR(__xludf.DUMMYFUNCTION("""COMPUTED_VALUE"""),"Parking Lot")</f>
        <v>Parking Lot</v>
      </c>
      <c r="P1289" s="1" t="str">
        <f ca="1">IFERROR(__xludf.DUMMYFUNCTION("""COMPUTED_VALUE"""),"Outside on School Property")</f>
        <v>Outside on School Property</v>
      </c>
      <c r="Q1289" s="1" t="str">
        <f ca="1">IFERROR(__xludf.DUMMYFUNCTION("""COMPUTED_VALUE"""),"No")</f>
        <v>No</v>
      </c>
      <c r="R1289" s="1" t="str">
        <f ca="1">IFERROR(__xludf.DUMMYFUNCTION("""COMPUTED_VALUE"""),"Evening")</f>
        <v>Evening</v>
      </c>
      <c r="S1289" s="5">
        <f ca="1">IFERROR(__xludf.DUMMYFUNCTION("""COMPUTED_VALUE"""),0.916666666666666)</f>
        <v>0.91666666666666596</v>
      </c>
      <c r="T1289" s="1">
        <f ca="1">IFERROR(__xludf.DUMMYFUNCTION("""COMPUTED_VALUE"""),1)</f>
        <v>1</v>
      </c>
      <c r="U1289" s="1" t="str">
        <f ca="1">IFERROR(__xludf.DUMMYFUNCTION("""COMPUTED_VALUE"""),"Adult male found shot dead outside of school, killed by school janitor")</f>
        <v>Adult male found shot dead outside of school, killed by school janitor</v>
      </c>
      <c r="V1289" s="1" t="str">
        <f ca="1">IFERROR(__xludf.DUMMYFUNCTION("""COMPUTED_VALUE"""),"Adult male shot to death at 10pm during domestic dispute. School was closed the next day out of caution. Police said the shooting was targeted and they had identified a suspect. School janitor arrested in another state on 8/30/18 and charged with murder.")</f>
        <v>Adult male shot to death at 10pm during domestic dispute. School was closed the next day out of caution. Police said the shooting was targeted and they had identified a suspect. School janitor arrested in another state on 8/30/18 and charged with murder.</v>
      </c>
      <c r="W1289" s="1" t="str">
        <f ca="1">IFERROR(__xludf.DUMMYFUNCTION("""COMPUTED_VALUE"""),"Domestic w/ Targeted Victim")</f>
        <v>Domestic w/ Targeted Victim</v>
      </c>
      <c r="X1289" s="1" t="str">
        <f ca="1">IFERROR(__xludf.DUMMYFUNCTION("""COMPUTED_VALUE"""),"Victims Targeted")</f>
        <v>Victims Targeted</v>
      </c>
      <c r="Y1289" s="1" t="str">
        <f ca="1">IFERROR(__xludf.DUMMYFUNCTION("""COMPUTED_VALUE"""),"No")</f>
        <v>No</v>
      </c>
      <c r="Z1289" s="1"/>
      <c r="AA1289" s="1" t="str">
        <f ca="1">IFERROR(__xludf.DUMMYFUNCTION("""COMPUTED_VALUE"""),"No")</f>
        <v>No</v>
      </c>
      <c r="AB1289" s="1" t="str">
        <f ca="1">IFERROR(__xludf.DUMMYFUNCTION("""COMPUTED_VALUE"""),"No")</f>
        <v>No</v>
      </c>
      <c r="AC1289" s="1" t="str">
        <f ca="1">IFERROR(__xludf.DUMMYFUNCTION("""COMPUTED_VALUE"""),"No")</f>
        <v>No</v>
      </c>
      <c r="AD1289" s="1" t="str">
        <f ca="1">IFERROR(__xludf.DUMMYFUNCTION("""COMPUTED_VALUE"""),"No")</f>
        <v>No</v>
      </c>
      <c r="AE1289" s="1" t="str">
        <f ca="1">IFERROR(__xludf.DUMMYFUNCTION("""COMPUTED_VALUE"""),"Yes")</f>
        <v>Yes</v>
      </c>
      <c r="AF1289" s="1" t="str">
        <f ca="1">IFERROR(__xludf.DUMMYFUNCTION("""COMPUTED_VALUE"""),"No")</f>
        <v>No</v>
      </c>
      <c r="AG1289" s="1" t="str">
        <f ca="1">IFERROR(__xludf.DUMMYFUNCTION("""COMPUTED_VALUE"""),"No")</f>
        <v>No</v>
      </c>
      <c r="AH1289" s="1"/>
    </row>
    <row r="1290" spans="1:34" ht="12.5">
      <c r="A1290" s="1" t="str">
        <f ca="1">IFERROR(__xludf.DUMMYFUNCTION("""COMPUTED_VALUE"""),"20180828COCOD")</f>
        <v>20180828COCOD</v>
      </c>
      <c r="B1290" s="1">
        <f ca="1">IFERROR(__xludf.DUMMYFUNCTION("""COMPUTED_VALUE"""),8)</f>
        <v>8</v>
      </c>
      <c r="C1290" s="1">
        <f ca="1">IFERROR(__xludf.DUMMYFUNCTION("""COMPUTED_VALUE"""),28)</f>
        <v>28</v>
      </c>
      <c r="D1290" s="1">
        <f ca="1">IFERROR(__xludf.DUMMYFUNCTION("""COMPUTED_VALUE"""),2018)</f>
        <v>2018</v>
      </c>
      <c r="E1290" s="4">
        <f ca="1">IFERROR(__xludf.DUMMYFUNCTION("""COMPUTED_VALUE"""),43340)</f>
        <v>43340</v>
      </c>
      <c r="F1290" s="1" t="str">
        <f ca="1">IFERROR(__xludf.DUMMYFUNCTION("""COMPUTED_VALUE"""),"Cole Middle School")</f>
        <v>Cole Middle School</v>
      </c>
      <c r="G1290" s="1">
        <f ca="1">IFERROR(__xludf.DUMMYFUNCTION("""COMPUTED_VALUE"""),0)</f>
        <v>0</v>
      </c>
      <c r="H1290" s="1">
        <f ca="1">IFERROR(__xludf.DUMMYFUNCTION("""COMPUTED_VALUE"""),1)</f>
        <v>1</v>
      </c>
      <c r="I1290" s="1">
        <f ca="1">IFERROR(__xludf.DUMMYFUNCTION("""COMPUTED_VALUE"""),1)</f>
        <v>1</v>
      </c>
      <c r="J1290" s="1">
        <f ca="1">IFERROR(__xludf.DUMMYFUNCTION("""COMPUTED_VALUE"""),0)</f>
        <v>0</v>
      </c>
      <c r="K1290" s="1" t="str">
        <f ca="1">IFERROR(__xludf.DUMMYFUNCTION("""COMPUTED_VALUE"""),"Summer")</f>
        <v>Summer</v>
      </c>
      <c r="L1290" s="1" t="str">
        <f ca="1">IFERROR(__xludf.DUMMYFUNCTION("""COMPUTED_VALUE"""),"Denver")</f>
        <v>Denver</v>
      </c>
      <c r="M1290" s="1" t="str">
        <f ca="1">IFERROR(__xludf.DUMMYFUNCTION("""COMPUTED_VALUE"""),"CO")</f>
        <v>CO</v>
      </c>
      <c r="N1290" s="1" t="str">
        <f ca="1">IFERROR(__xludf.DUMMYFUNCTION("""COMPUTED_VALUE"""),"Middle")</f>
        <v>Middle</v>
      </c>
      <c r="O1290" s="1" t="str">
        <f ca="1">IFERROR(__xludf.DUMMYFUNCTION("""COMPUTED_VALUE"""),"Outside on School Property")</f>
        <v>Outside on School Property</v>
      </c>
      <c r="P1290" s="1" t="str">
        <f ca="1">IFERROR(__xludf.DUMMYFUNCTION("""COMPUTED_VALUE"""),"Outside on School Property")</f>
        <v>Outside on School Property</v>
      </c>
      <c r="Q1290" s="1" t="str">
        <f ca="1">IFERROR(__xludf.DUMMYFUNCTION("""COMPUTED_VALUE"""),"Yes")</f>
        <v>Yes</v>
      </c>
      <c r="R1290" s="1" t="str">
        <f ca="1">IFERROR(__xludf.DUMMYFUNCTION("""COMPUTED_VALUE"""),"Afternoon Classes")</f>
        <v>Afternoon Classes</v>
      </c>
      <c r="S1290" s="5">
        <f ca="1">IFERROR(__xludf.DUMMYFUNCTION("""COMPUTED_VALUE"""),0.583333333333333)</f>
        <v>0.58333333333333304</v>
      </c>
      <c r="T1290" s="1">
        <f ca="1">IFERROR(__xludf.DUMMYFUNCTION("""COMPUTED_VALUE"""),1)</f>
        <v>1</v>
      </c>
      <c r="U1290" s="1" t="str">
        <f ca="1">IFERROR(__xludf.DUMMYFUNCTION("""COMPUTED_VALUE"""),"Shooting outside of school, school locked down")</f>
        <v>Shooting outside of school, school locked down</v>
      </c>
      <c r="V1290" s="1" t="str">
        <f ca="1">IFERROR(__xludf.DUMMYFUNCTION("""COMPUTED_VALUE"""),"7 shots fired during gang related shooting outside of middle school. School was locked down and students were released 90 minutes later in batches. Gunman fled. Victim was critically injured and not identified (teen, unclear if student).")</f>
        <v>7 shots fired during gang related shooting outside of middle school. School was locked down and students were released 90 minutes later in batches. Gunman fled. Victim was critically injured and not identified (teen, unclear if student).</v>
      </c>
      <c r="W1290" s="1" t="str">
        <f ca="1">IFERROR(__xludf.DUMMYFUNCTION("""COMPUTED_VALUE"""),"Escalation of Dispute")</f>
        <v>Escalation of Dispute</v>
      </c>
      <c r="X1290" s="1"/>
      <c r="Y1290" s="1" t="str">
        <f ca="1">IFERROR(__xludf.DUMMYFUNCTION("""COMPUTED_VALUE"""),"No")</f>
        <v>No</v>
      </c>
      <c r="Z1290" s="1"/>
      <c r="AA1290" s="1" t="str">
        <f ca="1">IFERROR(__xludf.DUMMYFUNCTION("""COMPUTED_VALUE"""),"No")</f>
        <v>No</v>
      </c>
      <c r="AB1290" s="1" t="str">
        <f ca="1">IFERROR(__xludf.DUMMYFUNCTION("""COMPUTED_VALUE"""),"No")</f>
        <v>No</v>
      </c>
      <c r="AC1290" s="1" t="str">
        <f ca="1">IFERROR(__xludf.DUMMYFUNCTION("""COMPUTED_VALUE"""),"No")</f>
        <v>No</v>
      </c>
      <c r="AD1290" s="1" t="str">
        <f ca="1">IFERROR(__xludf.DUMMYFUNCTION("""COMPUTED_VALUE"""),"No")</f>
        <v>No</v>
      </c>
      <c r="AE1290" s="1" t="str">
        <f ca="1">IFERROR(__xludf.DUMMYFUNCTION("""COMPUTED_VALUE"""),"No")</f>
        <v>No</v>
      </c>
      <c r="AF1290" s="1" t="str">
        <f ca="1">IFERROR(__xludf.DUMMYFUNCTION("""COMPUTED_VALUE"""),"Yes")</f>
        <v>Yes</v>
      </c>
      <c r="AG1290" s="1" t="str">
        <f ca="1">IFERROR(__xludf.DUMMYFUNCTION("""COMPUTED_VALUE"""),"No")</f>
        <v>No</v>
      </c>
      <c r="AH1290" s="1">
        <f ca="1">IFERROR(__xludf.DUMMYFUNCTION("""COMPUTED_VALUE"""),7)</f>
        <v>7</v>
      </c>
    </row>
    <row r="1291" spans="1:34" ht="12.5">
      <c r="A1291" s="1" t="str">
        <f ca="1">IFERROR(__xludf.DUMMYFUNCTION("""COMPUTED_VALUE"""),"20180824ILMEC")</f>
        <v>20180824ILMEC</v>
      </c>
      <c r="B1291" s="1">
        <f ca="1">IFERROR(__xludf.DUMMYFUNCTION("""COMPUTED_VALUE"""),8)</f>
        <v>8</v>
      </c>
      <c r="C1291" s="1">
        <f ca="1">IFERROR(__xludf.DUMMYFUNCTION("""COMPUTED_VALUE"""),24)</f>
        <v>24</v>
      </c>
      <c r="D1291" s="1">
        <f ca="1">IFERROR(__xludf.DUMMYFUNCTION("""COMPUTED_VALUE"""),2018)</f>
        <v>2018</v>
      </c>
      <c r="E1291" s="4">
        <f ca="1">IFERROR(__xludf.DUMMYFUNCTION("""COMPUTED_VALUE"""),43336)</f>
        <v>43336</v>
      </c>
      <c r="F1291" s="1" t="str">
        <f ca="1">IFERROR(__xludf.DUMMYFUNCTION("""COMPUTED_VALUE"""),"Metro East Lutheran High School")</f>
        <v>Metro East Lutheran High School</v>
      </c>
      <c r="G1291" s="1">
        <f ca="1">IFERROR(__xludf.DUMMYFUNCTION("""COMPUTED_VALUE"""),0)</f>
        <v>0</v>
      </c>
      <c r="H1291" s="1">
        <f ca="1">IFERROR(__xludf.DUMMYFUNCTION("""COMPUTED_VALUE"""),3)</f>
        <v>3</v>
      </c>
      <c r="I1291" s="1">
        <f ca="1">IFERROR(__xludf.DUMMYFUNCTION("""COMPUTED_VALUE"""),3)</f>
        <v>3</v>
      </c>
      <c r="J1291" s="1">
        <f ca="1">IFERROR(__xludf.DUMMYFUNCTION("""COMPUTED_VALUE"""),0)</f>
        <v>0</v>
      </c>
      <c r="K1291" s="1" t="str">
        <f ca="1">IFERROR(__xludf.DUMMYFUNCTION("""COMPUTED_VALUE"""),"Summer")</f>
        <v>Summer</v>
      </c>
      <c r="L1291" s="1" t="str">
        <f ca="1">IFERROR(__xludf.DUMMYFUNCTION("""COMPUTED_VALUE"""),"Chicago")</f>
        <v>Chicago</v>
      </c>
      <c r="M1291" s="1" t="str">
        <f ca="1">IFERROR(__xludf.DUMMYFUNCTION("""COMPUTED_VALUE"""),"IL")</f>
        <v>IL</v>
      </c>
      <c r="N1291" s="1" t="str">
        <f ca="1">IFERROR(__xludf.DUMMYFUNCTION("""COMPUTED_VALUE"""),"High")</f>
        <v>High</v>
      </c>
      <c r="O1291" s="1" t="str">
        <f ca="1">IFERROR(__xludf.DUMMYFUNCTION("""COMPUTED_VALUE"""),"Football Field/Track")</f>
        <v>Football Field/Track</v>
      </c>
      <c r="P1291" s="1" t="str">
        <f ca="1">IFERROR(__xludf.DUMMYFUNCTION("""COMPUTED_VALUE"""),"Outside on School Property")</f>
        <v>Outside on School Property</v>
      </c>
      <c r="Q1291" s="1" t="str">
        <f ca="1">IFERROR(__xludf.DUMMYFUNCTION("""COMPUTED_VALUE"""),"No")</f>
        <v>No</v>
      </c>
      <c r="R1291" s="1" t="str">
        <f ca="1">IFERROR(__xludf.DUMMYFUNCTION("""COMPUTED_VALUE"""),"Sport Event")</f>
        <v>Sport Event</v>
      </c>
      <c r="S1291" s="1"/>
      <c r="T1291" s="1">
        <f ca="1">IFERROR(__xludf.DUMMYFUNCTION("""COMPUTED_VALUE"""),1)</f>
        <v>1</v>
      </c>
      <c r="U1291" s="1" t="str">
        <f ca="1">IFERROR(__xludf.DUMMYFUNCTION("""COMPUTED_VALUE"""),"Gang related shooting outside stadium gate prior to football game, 30-50 shots fired, game cancelled")</f>
        <v>Gang related shooting outside stadium gate prior to football game, 30-50 shots fired, game cancelled</v>
      </c>
      <c r="V1291" s="1" t="str">
        <f ca="1">IFERROR(__xludf.DUMMYFUNCTION("""COMPUTED_VALUE"""),"30-50 shots were fired between gang members outside of the stadium gate prior to the football game. The game was cancelled.")</f>
        <v>30-50 shots were fired between gang members outside of the stadium gate prior to the football game. The game was cancelled.</v>
      </c>
      <c r="W1291" s="1" t="str">
        <f ca="1">IFERROR(__xludf.DUMMYFUNCTION("""COMPUTED_VALUE"""),"Escalation of Dispute")</f>
        <v>Escalation of Dispute</v>
      </c>
      <c r="X1291" s="1" t="str">
        <f ca="1">IFERROR(__xludf.DUMMYFUNCTION("""COMPUTED_VALUE"""),"Victims Targeted")</f>
        <v>Victims Targeted</v>
      </c>
      <c r="Y1291" s="1" t="str">
        <f ca="1">IFERROR(__xludf.DUMMYFUNCTION("""COMPUTED_VALUE"""),"Yes")</f>
        <v>Yes</v>
      </c>
      <c r="Z1291" s="1" t="str">
        <f ca="1">IFERROR(__xludf.DUMMYFUNCTION("""COMPUTED_VALUE"""),"Multiple gang members involved")</f>
        <v>Multiple gang members involved</v>
      </c>
      <c r="AA1291" s="1" t="str">
        <f ca="1">IFERROR(__xludf.DUMMYFUNCTION("""COMPUTED_VALUE"""),"No")</f>
        <v>No</v>
      </c>
      <c r="AB1291" s="1" t="str">
        <f ca="1">IFERROR(__xludf.DUMMYFUNCTION("""COMPUTED_VALUE"""),"No")</f>
        <v>No</v>
      </c>
      <c r="AC1291" s="1" t="str">
        <f ca="1">IFERROR(__xludf.DUMMYFUNCTION("""COMPUTED_VALUE"""),"No")</f>
        <v>No</v>
      </c>
      <c r="AD1291" s="1" t="str">
        <f ca="1">IFERROR(__xludf.DUMMYFUNCTION("""COMPUTED_VALUE"""),"No")</f>
        <v>No</v>
      </c>
      <c r="AE1291" s="1" t="str">
        <f ca="1">IFERROR(__xludf.DUMMYFUNCTION("""COMPUTED_VALUE"""),"No")</f>
        <v>No</v>
      </c>
      <c r="AF1291" s="1" t="str">
        <f ca="1">IFERROR(__xludf.DUMMYFUNCTION("""COMPUTED_VALUE"""),"Yes")</f>
        <v>Yes</v>
      </c>
      <c r="AG1291" s="1" t="str">
        <f ca="1">IFERROR(__xludf.DUMMYFUNCTION("""COMPUTED_VALUE"""),"No")</f>
        <v>No</v>
      </c>
      <c r="AH1291" s="1" t="str">
        <f ca="1">IFERROR(__xludf.DUMMYFUNCTION("""COMPUTED_VALUE"""),"30-50")</f>
        <v>30-50</v>
      </c>
    </row>
    <row r="1292" spans="1:34" ht="12.5">
      <c r="A1292" s="1" t="str">
        <f ca="1">IFERROR(__xludf.DUMMYFUNCTION("""COMPUTED_VALUE"""),"20180824FLRAJ")</f>
        <v>20180824FLRAJ</v>
      </c>
      <c r="B1292" s="1">
        <f ca="1">IFERROR(__xludf.DUMMYFUNCTION("""COMPUTED_VALUE"""),8)</f>
        <v>8</v>
      </c>
      <c r="C1292" s="1">
        <f ca="1">IFERROR(__xludf.DUMMYFUNCTION("""COMPUTED_VALUE"""),24)</f>
        <v>24</v>
      </c>
      <c r="D1292" s="1">
        <f ca="1">IFERROR(__xludf.DUMMYFUNCTION("""COMPUTED_VALUE"""),2018)</f>
        <v>2018</v>
      </c>
      <c r="E1292" s="4">
        <f ca="1">IFERROR(__xludf.DUMMYFUNCTION("""COMPUTED_VALUE"""),43336)</f>
        <v>43336</v>
      </c>
      <c r="F1292" s="1" t="str">
        <f ca="1">IFERROR(__xludf.DUMMYFUNCTION("""COMPUTED_VALUE"""),"Raines High School")</f>
        <v>Raines High School</v>
      </c>
      <c r="G1292" s="1">
        <f ca="1">IFERROR(__xludf.DUMMYFUNCTION("""COMPUTED_VALUE"""),1)</f>
        <v>1</v>
      </c>
      <c r="H1292" s="1">
        <f ca="1">IFERROR(__xludf.DUMMYFUNCTION("""COMPUTED_VALUE"""),2)</f>
        <v>2</v>
      </c>
      <c r="I1292" s="1">
        <f ca="1">IFERROR(__xludf.DUMMYFUNCTION("""COMPUTED_VALUE"""),3)</f>
        <v>3</v>
      </c>
      <c r="J1292" s="1">
        <f ca="1">IFERROR(__xludf.DUMMYFUNCTION("""COMPUTED_VALUE"""),0)</f>
        <v>0</v>
      </c>
      <c r="K1292" s="1" t="str">
        <f ca="1">IFERROR(__xludf.DUMMYFUNCTION("""COMPUTED_VALUE"""),"Summer")</f>
        <v>Summer</v>
      </c>
      <c r="L1292" s="1" t="str">
        <f ca="1">IFERROR(__xludf.DUMMYFUNCTION("""COMPUTED_VALUE"""),"Jacksonville")</f>
        <v>Jacksonville</v>
      </c>
      <c r="M1292" s="1" t="str">
        <f ca="1">IFERROR(__xludf.DUMMYFUNCTION("""COMPUTED_VALUE"""),"FL")</f>
        <v>FL</v>
      </c>
      <c r="N1292" s="1" t="str">
        <f ca="1">IFERROR(__xludf.DUMMYFUNCTION("""COMPUTED_VALUE"""),"High")</f>
        <v>High</v>
      </c>
      <c r="O1292" s="1" t="str">
        <f ca="1">IFERROR(__xludf.DUMMYFUNCTION("""COMPUTED_VALUE"""),"Football Field/Track")</f>
        <v>Football Field/Track</v>
      </c>
      <c r="P1292" s="1" t="str">
        <f ca="1">IFERROR(__xludf.DUMMYFUNCTION("""COMPUTED_VALUE"""),"Outside on School Property")</f>
        <v>Outside on School Property</v>
      </c>
      <c r="Q1292" s="1" t="str">
        <f ca="1">IFERROR(__xludf.DUMMYFUNCTION("""COMPUTED_VALUE"""),"No")</f>
        <v>No</v>
      </c>
      <c r="R1292" s="1" t="str">
        <f ca="1">IFERROR(__xludf.DUMMYFUNCTION("""COMPUTED_VALUE"""),"Sport Event")</f>
        <v>Sport Event</v>
      </c>
      <c r="S1292" s="5">
        <f ca="1">IFERROR(__xludf.DUMMYFUNCTION("""COMPUTED_VALUE"""),0.916666666666666)</f>
        <v>0.91666666666666596</v>
      </c>
      <c r="T1292" s="1">
        <f ca="1">IFERROR(__xludf.DUMMYFUNCTION("""COMPUTED_VALUE"""),1)</f>
        <v>1</v>
      </c>
      <c r="U1292" s="1" t="str">
        <f ca="1">IFERROR(__xludf.DUMMYFUNCTION("""COMPUTED_VALUE"""),"Two students from rival school and former student shot after football game")</f>
        <v>Two students from rival school and former student shot after football game</v>
      </c>
      <c r="V1292" s="1" t="str">
        <f ca="1">IFERROR(__xludf.DUMMYFUNCTION("""COMPUTED_VALUE"""),"Two students from the rival high school and a former student of the school where the shooting occurred where shot by an unknown gunman outside of the football stadium after the game. Metal detectors were used for screening all fan and 50 police officers w"&amp;"ere assigned to the game. Police reported the shooting occurred after a prior fight between the shooter and victims.")</f>
        <v>Two students from the rival high school and a former student of the school where the shooting occurred where shot by an unknown gunman outside of the football stadium after the game. Metal detectors were used for screening all fan and 50 police officers were assigned to the game. Police reported the shooting occurred after a prior fight between the shooter and victims.</v>
      </c>
      <c r="W1292" s="1" t="str">
        <f ca="1">IFERROR(__xludf.DUMMYFUNCTION("""COMPUTED_VALUE"""),"Escalation of Dispute")</f>
        <v>Escalation of Dispute</v>
      </c>
      <c r="X1292" s="1" t="str">
        <f ca="1">IFERROR(__xludf.DUMMYFUNCTION("""COMPUTED_VALUE"""),"Both")</f>
        <v>Both</v>
      </c>
      <c r="Y1292" s="1"/>
      <c r="Z1292" s="1"/>
      <c r="AA1292" s="1" t="str">
        <f ca="1">IFERROR(__xludf.DUMMYFUNCTION("""COMPUTED_VALUE"""),"No")</f>
        <v>No</v>
      </c>
      <c r="AB1292" s="1" t="str">
        <f ca="1">IFERROR(__xludf.DUMMYFUNCTION("""COMPUTED_VALUE"""),"No")</f>
        <v>No</v>
      </c>
      <c r="AC1292" s="1" t="str">
        <f ca="1">IFERROR(__xludf.DUMMYFUNCTION("""COMPUTED_VALUE"""),"No")</f>
        <v>No</v>
      </c>
      <c r="AD1292" s="1" t="str">
        <f ca="1">IFERROR(__xludf.DUMMYFUNCTION("""COMPUTED_VALUE"""),"No")</f>
        <v>No</v>
      </c>
      <c r="AE1292" s="1" t="str">
        <f ca="1">IFERROR(__xludf.DUMMYFUNCTION("""COMPUTED_VALUE"""),"No")</f>
        <v>No</v>
      </c>
      <c r="AF1292" s="1" t="str">
        <f ca="1">IFERROR(__xludf.DUMMYFUNCTION("""COMPUTED_VALUE"""),"Yes")</f>
        <v>Yes</v>
      </c>
      <c r="AG1292" s="1" t="str">
        <f ca="1">IFERROR(__xludf.DUMMYFUNCTION("""COMPUTED_VALUE"""),"No")</f>
        <v>No</v>
      </c>
      <c r="AH1292" s="1"/>
    </row>
    <row r="1293" spans="1:34" ht="12.5">
      <c r="A1293" s="1" t="str">
        <f ca="1">IFERROR(__xludf.DUMMYFUNCTION("""COMPUTED_VALUE"""),"20180823ALALM")</f>
        <v>20180823ALALM</v>
      </c>
      <c r="B1293" s="1">
        <f ca="1">IFERROR(__xludf.DUMMYFUNCTION("""COMPUTED_VALUE"""),8)</f>
        <v>8</v>
      </c>
      <c r="C1293" s="1">
        <f ca="1">IFERROR(__xludf.DUMMYFUNCTION("""COMPUTED_VALUE"""),23)</f>
        <v>23</v>
      </c>
      <c r="D1293" s="1">
        <f ca="1">IFERROR(__xludf.DUMMYFUNCTION("""COMPUTED_VALUE"""),2018)</f>
        <v>2018</v>
      </c>
      <c r="E1293" s="4">
        <f ca="1">IFERROR(__xludf.DUMMYFUNCTION("""COMPUTED_VALUE"""),43335)</f>
        <v>43335</v>
      </c>
      <c r="F1293" s="1" t="str">
        <f ca="1">IFERROR(__xludf.DUMMYFUNCTION("""COMPUTED_VALUE"""),"Alabama State University Stadium (high school game)")</f>
        <v>Alabama State University Stadium (high school game)</v>
      </c>
      <c r="G1293" s="1">
        <f ca="1">IFERROR(__xludf.DUMMYFUNCTION("""COMPUTED_VALUE"""),0)</f>
        <v>0</v>
      </c>
      <c r="H1293" s="1">
        <f ca="1">IFERROR(__xludf.DUMMYFUNCTION("""COMPUTED_VALUE"""),0)</f>
        <v>0</v>
      </c>
      <c r="I1293" s="1">
        <f ca="1">IFERROR(__xludf.DUMMYFUNCTION("""COMPUTED_VALUE"""),0)</f>
        <v>0</v>
      </c>
      <c r="J1293" s="1">
        <f ca="1">IFERROR(__xludf.DUMMYFUNCTION("""COMPUTED_VALUE"""),0)</f>
        <v>0</v>
      </c>
      <c r="K1293" s="1" t="str">
        <f ca="1">IFERROR(__xludf.DUMMYFUNCTION("""COMPUTED_VALUE"""),"Summer")</f>
        <v>Summer</v>
      </c>
      <c r="L1293" s="1" t="str">
        <f ca="1">IFERROR(__xludf.DUMMYFUNCTION("""COMPUTED_VALUE"""),"Montgomery")</f>
        <v>Montgomery</v>
      </c>
      <c r="M1293" s="1" t="str">
        <f ca="1">IFERROR(__xludf.DUMMYFUNCTION("""COMPUTED_VALUE"""),"AL")</f>
        <v>AL</v>
      </c>
      <c r="N1293" s="1" t="str">
        <f ca="1">IFERROR(__xludf.DUMMYFUNCTION("""COMPUTED_VALUE"""),"High")</f>
        <v>High</v>
      </c>
      <c r="O1293" s="1" t="str">
        <f ca="1">IFERROR(__xludf.DUMMYFUNCTION("""COMPUTED_VALUE"""),"Football Field/Track")</f>
        <v>Football Field/Track</v>
      </c>
      <c r="P1293" s="1" t="str">
        <f ca="1">IFERROR(__xludf.DUMMYFUNCTION("""COMPUTED_VALUE"""),"Outside on School Property")</f>
        <v>Outside on School Property</v>
      </c>
      <c r="Q1293" s="1" t="str">
        <f ca="1">IFERROR(__xludf.DUMMYFUNCTION("""COMPUTED_VALUE"""),"No")</f>
        <v>No</v>
      </c>
      <c r="R1293" s="1" t="str">
        <f ca="1">IFERROR(__xludf.DUMMYFUNCTION("""COMPUTED_VALUE"""),"Sport Event")</f>
        <v>Sport Event</v>
      </c>
      <c r="S1293" s="5">
        <f ca="1">IFERROR(__xludf.DUMMYFUNCTION("""COMPUTED_VALUE"""),0.895833333333333)</f>
        <v>0.89583333333333304</v>
      </c>
      <c r="T1293" s="1">
        <f ca="1">IFERROR(__xludf.DUMMYFUNCTION("""COMPUTED_VALUE"""),1)</f>
        <v>1</v>
      </c>
      <c r="U1293" s="1" t="str">
        <f ca="1">IFERROR(__xludf.DUMMYFUNCTION("""COMPUTED_VALUE"""),"Shots fired in walkway of stadium during high school football game")</f>
        <v>Shots fired in walkway of stadium during high school football game</v>
      </c>
      <c r="V1293" s="1" t="str">
        <f ca="1">IFERROR(__xludf.DUMMYFUNCTION("""COMPUTED_VALUE"""),"Shots fired in stadium walkway during high school football game. Teams ran off the field and the remainder of the game was canceled. Police were assigned to the stadium for the game. Unknown shooter fled the area. No injuries.")</f>
        <v>Shots fired in stadium walkway during high school football game. Teams ran off the field and the remainder of the game was canceled. Police were assigned to the stadium for the game. Unknown shooter fled the area. No injuries.</v>
      </c>
      <c r="W1293" s="1" t="str">
        <f ca="1">IFERROR(__xludf.DUMMYFUNCTION("""COMPUTED_VALUE"""),"Escalation of Dispute")</f>
        <v>Escalation of Dispute</v>
      </c>
      <c r="X1293" s="1"/>
      <c r="Y1293" s="1"/>
      <c r="Z1293" s="1"/>
      <c r="AA1293" s="1" t="str">
        <f ca="1">IFERROR(__xludf.DUMMYFUNCTION("""COMPUTED_VALUE"""),"No")</f>
        <v>No</v>
      </c>
      <c r="AB1293" s="1" t="str">
        <f ca="1">IFERROR(__xludf.DUMMYFUNCTION("""COMPUTED_VALUE"""),"No")</f>
        <v>No</v>
      </c>
      <c r="AC1293" s="1" t="str">
        <f ca="1">IFERROR(__xludf.DUMMYFUNCTION("""COMPUTED_VALUE"""),"No")</f>
        <v>No</v>
      </c>
      <c r="AD1293" s="1" t="str">
        <f ca="1">IFERROR(__xludf.DUMMYFUNCTION("""COMPUTED_VALUE"""),"No")</f>
        <v>No</v>
      </c>
      <c r="AE1293" s="1" t="str">
        <f ca="1">IFERROR(__xludf.DUMMYFUNCTION("""COMPUTED_VALUE"""),"No")</f>
        <v>No</v>
      </c>
      <c r="AF1293" s="1"/>
      <c r="AG1293" s="1" t="str">
        <f ca="1">IFERROR(__xludf.DUMMYFUNCTION("""COMPUTED_VALUE"""),"No")</f>
        <v>No</v>
      </c>
      <c r="AH1293" s="1"/>
    </row>
    <row r="1294" spans="1:34" ht="12.5">
      <c r="A1294" s="1" t="str">
        <f ca="1">IFERROR(__xludf.DUMMYFUNCTION("""COMPUTED_VALUE"""),"20180817FLPAW")</f>
        <v>20180817FLPAW</v>
      </c>
      <c r="B1294" s="1">
        <f ca="1">IFERROR(__xludf.DUMMYFUNCTION("""COMPUTED_VALUE"""),8)</f>
        <v>8</v>
      </c>
      <c r="C1294" s="1">
        <f ca="1">IFERROR(__xludf.DUMMYFUNCTION("""COMPUTED_VALUE"""),17)</f>
        <v>17</v>
      </c>
      <c r="D1294" s="1">
        <f ca="1">IFERROR(__xludf.DUMMYFUNCTION("""COMPUTED_VALUE"""),2018)</f>
        <v>2018</v>
      </c>
      <c r="E1294" s="4">
        <f ca="1">IFERROR(__xludf.DUMMYFUNCTION("""COMPUTED_VALUE"""),43329)</f>
        <v>43329</v>
      </c>
      <c r="F1294" s="1" t="str">
        <f ca="1">IFERROR(__xludf.DUMMYFUNCTION("""COMPUTED_VALUE"""),"Palm Beach Central High School")</f>
        <v>Palm Beach Central High School</v>
      </c>
      <c r="G1294" s="1">
        <f ca="1">IFERROR(__xludf.DUMMYFUNCTION("""COMPUTED_VALUE"""),0)</f>
        <v>0</v>
      </c>
      <c r="H1294" s="1">
        <f ca="1">IFERROR(__xludf.DUMMYFUNCTION("""COMPUTED_VALUE"""),2)</f>
        <v>2</v>
      </c>
      <c r="I1294" s="1">
        <f ca="1">IFERROR(__xludf.DUMMYFUNCTION("""COMPUTED_VALUE"""),2)</f>
        <v>2</v>
      </c>
      <c r="J1294" s="1">
        <f ca="1">IFERROR(__xludf.DUMMYFUNCTION("""COMPUTED_VALUE"""),0)</f>
        <v>0</v>
      </c>
      <c r="K1294" s="1" t="str">
        <f ca="1">IFERROR(__xludf.DUMMYFUNCTION("""COMPUTED_VALUE"""),"Summer")</f>
        <v>Summer</v>
      </c>
      <c r="L1294" s="1" t="str">
        <f ca="1">IFERROR(__xludf.DUMMYFUNCTION("""COMPUTED_VALUE"""),"Wellington")</f>
        <v>Wellington</v>
      </c>
      <c r="M1294" s="1" t="str">
        <f ca="1">IFERROR(__xludf.DUMMYFUNCTION("""COMPUTED_VALUE"""),"FL")</f>
        <v>FL</v>
      </c>
      <c r="N1294" s="1" t="str">
        <f ca="1">IFERROR(__xludf.DUMMYFUNCTION("""COMPUTED_VALUE"""),"High")</f>
        <v>High</v>
      </c>
      <c r="O1294" s="1" t="str">
        <f ca="1">IFERROR(__xludf.DUMMYFUNCTION("""COMPUTED_VALUE"""),"Football Field/Track")</f>
        <v>Football Field/Track</v>
      </c>
      <c r="P1294" s="1" t="str">
        <f ca="1">IFERROR(__xludf.DUMMYFUNCTION("""COMPUTED_VALUE"""),"Outside on School Property")</f>
        <v>Outside on School Property</v>
      </c>
      <c r="Q1294" s="1" t="str">
        <f ca="1">IFERROR(__xludf.DUMMYFUNCTION("""COMPUTED_VALUE"""),"No")</f>
        <v>No</v>
      </c>
      <c r="R1294" s="1" t="str">
        <f ca="1">IFERROR(__xludf.DUMMYFUNCTION("""COMPUTED_VALUE"""),"Sport Event")</f>
        <v>Sport Event</v>
      </c>
      <c r="S1294" s="5">
        <f ca="1">IFERROR(__xludf.DUMMYFUNCTION("""COMPUTED_VALUE"""),0.90625)</f>
        <v>0.90625</v>
      </c>
      <c r="T1294" s="1">
        <f ca="1">IFERROR(__xludf.DUMMYFUNCTION("""COMPUTED_VALUE"""),1)</f>
        <v>1</v>
      </c>
      <c r="U1294" s="1" t="str">
        <f ca="1">IFERROR(__xludf.DUMMYFUNCTION("""COMPUTED_VALUE"""),"4 shots fired during fight at football game under bleachers")</f>
        <v>4 shots fired during fight at football game under bleachers</v>
      </c>
      <c r="V1294" s="1" t="str">
        <f ca="1">IFERROR(__xludf.DUMMYFUNCTION("""COMPUTED_VALUE"""),"2 adult males shot during fight between a group of males under the bleachers during the football game. Students fled the stadium and game was stopped. Suspect and motive unknown.")</f>
        <v>2 adult males shot during fight between a group of males under the bleachers during the football game. Students fled the stadium and game was stopped. Suspect and motive unknown.</v>
      </c>
      <c r="W1294" s="1" t="str">
        <f ca="1">IFERROR(__xludf.DUMMYFUNCTION("""COMPUTED_VALUE"""),"Escalation of Dispute")</f>
        <v>Escalation of Dispute</v>
      </c>
      <c r="X1294" s="1" t="str">
        <f ca="1">IFERROR(__xludf.DUMMYFUNCTION("""COMPUTED_VALUE"""),"Victims Targeted")</f>
        <v>Victims Targeted</v>
      </c>
      <c r="Y1294" s="1"/>
      <c r="Z1294" s="1"/>
      <c r="AA1294" s="1" t="str">
        <f ca="1">IFERROR(__xludf.DUMMYFUNCTION("""COMPUTED_VALUE"""),"No")</f>
        <v>No</v>
      </c>
      <c r="AB1294" s="1" t="str">
        <f ca="1">IFERROR(__xludf.DUMMYFUNCTION("""COMPUTED_VALUE"""),"No")</f>
        <v>No</v>
      </c>
      <c r="AC1294" s="1" t="str">
        <f ca="1">IFERROR(__xludf.DUMMYFUNCTION("""COMPUTED_VALUE"""),"No")</f>
        <v>No</v>
      </c>
      <c r="AD1294" s="1" t="str">
        <f ca="1">IFERROR(__xludf.DUMMYFUNCTION("""COMPUTED_VALUE"""),"No")</f>
        <v>No</v>
      </c>
      <c r="AE1294" s="1" t="str">
        <f ca="1">IFERROR(__xludf.DUMMYFUNCTION("""COMPUTED_VALUE"""),"No")</f>
        <v>No</v>
      </c>
      <c r="AF1294" s="1" t="str">
        <f ca="1">IFERROR(__xludf.DUMMYFUNCTION("""COMPUTED_VALUE"""),"No")</f>
        <v>No</v>
      </c>
      <c r="AG1294" s="1" t="str">
        <f ca="1">IFERROR(__xludf.DUMMYFUNCTION("""COMPUTED_VALUE"""),"No")</f>
        <v>No</v>
      </c>
      <c r="AH1294" s="1">
        <f ca="1">IFERROR(__xludf.DUMMYFUNCTION("""COMPUTED_VALUE"""),4)</f>
        <v>4</v>
      </c>
    </row>
    <row r="1295" spans="1:34" ht="12.5">
      <c r="A1295" s="1" t="str">
        <f ca="1">IFERROR(__xludf.DUMMYFUNCTION("""COMPUTED_VALUE"""),"20180811TNANN")</f>
        <v>20180811TNANN</v>
      </c>
      <c r="B1295" s="1">
        <f ca="1">IFERROR(__xludf.DUMMYFUNCTION("""COMPUTED_VALUE"""),8)</f>
        <v>8</v>
      </c>
      <c r="C1295" s="1">
        <f ca="1">IFERROR(__xludf.DUMMYFUNCTION("""COMPUTED_VALUE"""),11)</f>
        <v>11</v>
      </c>
      <c r="D1295" s="1">
        <f ca="1">IFERROR(__xludf.DUMMYFUNCTION("""COMPUTED_VALUE"""),2018)</f>
        <v>2018</v>
      </c>
      <c r="E1295" s="4">
        <f ca="1">IFERROR(__xludf.DUMMYFUNCTION("""COMPUTED_VALUE"""),43323)</f>
        <v>43323</v>
      </c>
      <c r="F1295" s="1" t="str">
        <f ca="1">IFERROR(__xludf.DUMMYFUNCTION("""COMPUTED_VALUE"""),"Antioch High School")</f>
        <v>Antioch High School</v>
      </c>
      <c r="G1295" s="1">
        <f ca="1">IFERROR(__xludf.DUMMYFUNCTION("""COMPUTED_VALUE"""),0)</f>
        <v>0</v>
      </c>
      <c r="H1295" s="1">
        <f ca="1">IFERROR(__xludf.DUMMYFUNCTION("""COMPUTED_VALUE"""),1)</f>
        <v>1</v>
      </c>
      <c r="I1295" s="1">
        <f ca="1">IFERROR(__xludf.DUMMYFUNCTION("""COMPUTED_VALUE"""),1)</f>
        <v>1</v>
      </c>
      <c r="J1295" s="1">
        <f ca="1">IFERROR(__xludf.DUMMYFUNCTION("""COMPUTED_VALUE"""),0)</f>
        <v>0</v>
      </c>
      <c r="K1295" s="1" t="str">
        <f ca="1">IFERROR(__xludf.DUMMYFUNCTION("""COMPUTED_VALUE"""),"Summer")</f>
        <v>Summer</v>
      </c>
      <c r="L1295" s="1" t="str">
        <f ca="1">IFERROR(__xludf.DUMMYFUNCTION("""COMPUTED_VALUE"""),"Nashville")</f>
        <v>Nashville</v>
      </c>
      <c r="M1295" s="1" t="str">
        <f ca="1">IFERROR(__xludf.DUMMYFUNCTION("""COMPUTED_VALUE"""),"TN")</f>
        <v>TN</v>
      </c>
      <c r="N1295" s="1" t="str">
        <f ca="1">IFERROR(__xludf.DUMMYFUNCTION("""COMPUTED_VALUE"""),"High")</f>
        <v>High</v>
      </c>
      <c r="O1295" s="1" t="str">
        <f ca="1">IFERROR(__xludf.DUMMYFUNCTION("""COMPUTED_VALUE"""),"Football Field/Track")</f>
        <v>Football Field/Track</v>
      </c>
      <c r="P1295" s="1" t="str">
        <f ca="1">IFERROR(__xludf.DUMMYFUNCTION("""COMPUTED_VALUE"""),"Outside on School Property")</f>
        <v>Outside on School Property</v>
      </c>
      <c r="Q1295" s="1" t="str">
        <f ca="1">IFERROR(__xludf.DUMMYFUNCTION("""COMPUTED_VALUE"""),"No")</f>
        <v>No</v>
      </c>
      <c r="R1295" s="1" t="str">
        <f ca="1">IFERROR(__xludf.DUMMYFUNCTION("""COMPUTED_VALUE"""),"Sport Event")</f>
        <v>Sport Event</v>
      </c>
      <c r="S1295" s="5">
        <f ca="1">IFERROR(__xludf.DUMMYFUNCTION("""COMPUTED_VALUE"""),0.75)</f>
        <v>0.75</v>
      </c>
      <c r="T1295" s="1">
        <f ca="1">IFERROR(__xludf.DUMMYFUNCTION("""COMPUTED_VALUE"""),1)</f>
        <v>1</v>
      </c>
      <c r="U1295" s="1" t="str">
        <f ca="1">IFERROR(__xludf.DUMMYFUNCTION("""COMPUTED_VALUE"""),"Parent shot football coach during fight with other parent")</f>
        <v>Parent shot football coach during fight with other parent</v>
      </c>
      <c r="V1295" s="1" t="str">
        <f ca="1">IFERROR(__xludf.DUMMYFUNCTION("""COMPUTED_VALUE"""),"Two parents got involved in fight between two juveniles during youth football jamboree. During the fight, one parent pulled a pistol and fired multiple shots striking the football coach (not intended target). Shooter fled the scene.")</f>
        <v>Two parents got involved in fight between two juveniles during youth football jamboree. During the fight, one parent pulled a pistol and fired multiple shots striking the football coach (not intended target). Shooter fled the scene.</v>
      </c>
      <c r="W1295" s="1" t="str">
        <f ca="1">IFERROR(__xludf.DUMMYFUNCTION("""COMPUTED_VALUE"""),"Escalation of Dispute")</f>
        <v>Escalation of Dispute</v>
      </c>
      <c r="X1295" s="1" t="str">
        <f ca="1">IFERROR(__xludf.DUMMYFUNCTION("""COMPUTED_VALUE"""),"Both")</f>
        <v>Both</v>
      </c>
      <c r="Y1295" s="1" t="str">
        <f ca="1">IFERROR(__xludf.DUMMYFUNCTION("""COMPUTED_VALUE"""),"No")</f>
        <v>No</v>
      </c>
      <c r="Z1295" s="1"/>
      <c r="AA1295" s="1" t="str">
        <f ca="1">IFERROR(__xludf.DUMMYFUNCTION("""COMPUTED_VALUE"""),"No")</f>
        <v>No</v>
      </c>
      <c r="AB1295" s="1" t="str">
        <f ca="1">IFERROR(__xludf.DUMMYFUNCTION("""COMPUTED_VALUE"""),"No")</f>
        <v>No</v>
      </c>
      <c r="AC1295" s="1" t="str">
        <f ca="1">IFERROR(__xludf.DUMMYFUNCTION("""COMPUTED_VALUE"""),"No")</f>
        <v>No</v>
      </c>
      <c r="AD1295" s="1" t="str">
        <f ca="1">IFERROR(__xludf.DUMMYFUNCTION("""COMPUTED_VALUE"""),"No")</f>
        <v>No</v>
      </c>
      <c r="AE1295" s="1" t="str">
        <f ca="1">IFERROR(__xludf.DUMMYFUNCTION("""COMPUTED_VALUE"""),"No")</f>
        <v>No</v>
      </c>
      <c r="AF1295" s="1" t="str">
        <f ca="1">IFERROR(__xludf.DUMMYFUNCTION("""COMPUTED_VALUE"""),"No")</f>
        <v>No</v>
      </c>
      <c r="AG1295" s="1" t="str">
        <f ca="1">IFERROR(__xludf.DUMMYFUNCTION("""COMPUTED_VALUE"""),"No")</f>
        <v>No</v>
      </c>
      <c r="AH1295" s="1" t="str">
        <f ca="1">IFERROR(__xludf.DUMMYFUNCTION("""COMPUTED_VALUE"""),"&lt;10")</f>
        <v>&lt;10</v>
      </c>
    </row>
    <row r="1296" spans="1:34" ht="12.5">
      <c r="A1296" s="1" t="str">
        <f ca="1">IFERROR(__xludf.DUMMYFUNCTION("""COMPUTED_VALUE"""),"20180809NJLAM")</f>
        <v>20180809NJLAM</v>
      </c>
      <c r="B1296" s="1">
        <f ca="1">IFERROR(__xludf.DUMMYFUNCTION("""COMPUTED_VALUE"""),8)</f>
        <v>8</v>
      </c>
      <c r="C1296" s="1">
        <f ca="1">IFERROR(__xludf.DUMMYFUNCTION("""COMPUTED_VALUE"""),9)</f>
        <v>9</v>
      </c>
      <c r="D1296" s="1">
        <f ca="1">IFERROR(__xludf.DUMMYFUNCTION("""COMPUTED_VALUE"""),2018)</f>
        <v>2018</v>
      </c>
      <c r="E1296" s="4">
        <f ca="1">IFERROR(__xludf.DUMMYFUNCTION("""COMPUTED_VALUE"""),43321)</f>
        <v>43321</v>
      </c>
      <c r="F1296" s="1" t="str">
        <f ca="1">IFERROR(__xludf.DUMMYFUNCTION("""COMPUTED_VALUE"""),"Lakeside Middle School")</f>
        <v>Lakeside Middle School</v>
      </c>
      <c r="G1296" s="1">
        <f ca="1">IFERROR(__xludf.DUMMYFUNCTION("""COMPUTED_VALUE"""),1)</f>
        <v>1</v>
      </c>
      <c r="H1296" s="1">
        <f ca="1">IFERROR(__xludf.DUMMYFUNCTION("""COMPUTED_VALUE"""),0)</f>
        <v>0</v>
      </c>
      <c r="I1296" s="1">
        <f ca="1">IFERROR(__xludf.DUMMYFUNCTION("""COMPUTED_VALUE"""),1)</f>
        <v>1</v>
      </c>
      <c r="J1296" s="1">
        <f ca="1">IFERROR(__xludf.DUMMYFUNCTION("""COMPUTED_VALUE"""),0)</f>
        <v>0</v>
      </c>
      <c r="K1296" s="1" t="str">
        <f ca="1">IFERROR(__xludf.DUMMYFUNCTION("""COMPUTED_VALUE"""),"Summer")</f>
        <v>Summer</v>
      </c>
      <c r="L1296" s="1" t="str">
        <f ca="1">IFERROR(__xludf.DUMMYFUNCTION("""COMPUTED_VALUE"""),"Millville")</f>
        <v>Millville</v>
      </c>
      <c r="M1296" s="1" t="str">
        <f ca="1">IFERROR(__xludf.DUMMYFUNCTION("""COMPUTED_VALUE"""),"NJ")</f>
        <v>NJ</v>
      </c>
      <c r="N1296" s="1" t="str">
        <f ca="1">IFERROR(__xludf.DUMMYFUNCTION("""COMPUTED_VALUE"""),"Middle")</f>
        <v>Middle</v>
      </c>
      <c r="O1296" s="1" t="str">
        <f ca="1">IFERROR(__xludf.DUMMYFUNCTION("""COMPUTED_VALUE"""),"Parking Lot")</f>
        <v>Parking Lot</v>
      </c>
      <c r="P1296" s="1" t="str">
        <f ca="1">IFERROR(__xludf.DUMMYFUNCTION("""COMPUTED_VALUE"""),"Outside on School Property")</f>
        <v>Outside on School Property</v>
      </c>
      <c r="Q1296" s="1" t="str">
        <f ca="1">IFERROR(__xludf.DUMMYFUNCTION("""COMPUTED_VALUE"""),"No")</f>
        <v>No</v>
      </c>
      <c r="R1296" s="1" t="str">
        <f ca="1">IFERROR(__xludf.DUMMYFUNCTION("""COMPUTED_VALUE"""),"Sport Event")</f>
        <v>Sport Event</v>
      </c>
      <c r="S1296" s="5">
        <f ca="1">IFERROR(__xludf.DUMMYFUNCTION("""COMPUTED_VALUE"""),0.84375)</f>
        <v>0.84375</v>
      </c>
      <c r="T1296" s="1">
        <f ca="1">IFERROR(__xludf.DUMMYFUNCTION("""COMPUTED_VALUE"""),1)</f>
        <v>1</v>
      </c>
      <c r="U1296" s="1" t="str">
        <f ca="1">IFERROR(__xludf.DUMMYFUNCTION("""COMPUTED_VALUE"""),"Masked gunman shot football coach in school parking lot")</f>
        <v>Masked gunman shot football coach in school parking lot</v>
      </c>
      <c r="V1296" s="1" t="str">
        <f ca="1">IFERROR(__xludf.DUMMYFUNCTION("""COMPUTED_VALUE"""),"Unknown masked gunman shot and killed midget football coach in the school parking lot during practice. School was not in session at the time of the shooting. Shooter fled in a vehicle. Shooter later fired at police officer from the vehicle.")</f>
        <v>Unknown masked gunman shot and killed midget football coach in the school parking lot during practice. School was not in session at the time of the shooting. Shooter fled in a vehicle. Shooter later fired at police officer from the vehicle.</v>
      </c>
      <c r="W1296" s="1" t="str">
        <f ca="1">IFERROR(__xludf.DUMMYFUNCTION("""COMPUTED_VALUE"""),"Unknown")</f>
        <v>Unknown</v>
      </c>
      <c r="X1296" s="1" t="str">
        <f ca="1">IFERROR(__xludf.DUMMYFUNCTION("""COMPUTED_VALUE"""),"Victims Targeted")</f>
        <v>Victims Targeted</v>
      </c>
      <c r="Y1296" s="1"/>
      <c r="Z1296" s="1"/>
      <c r="AA1296" s="1" t="str">
        <f ca="1">IFERROR(__xludf.DUMMYFUNCTION("""COMPUTED_VALUE"""),"No")</f>
        <v>No</v>
      </c>
      <c r="AB1296" s="1" t="str">
        <f ca="1">IFERROR(__xludf.DUMMYFUNCTION("""COMPUTED_VALUE"""),"No")</f>
        <v>No</v>
      </c>
      <c r="AC1296" s="1" t="str">
        <f ca="1">IFERROR(__xludf.DUMMYFUNCTION("""COMPUTED_VALUE"""),"No")</f>
        <v>No</v>
      </c>
      <c r="AD1296" s="1" t="str">
        <f ca="1">IFERROR(__xludf.DUMMYFUNCTION("""COMPUTED_VALUE"""),"No")</f>
        <v>No</v>
      </c>
      <c r="AE1296" s="1" t="str">
        <f ca="1">IFERROR(__xludf.DUMMYFUNCTION("""COMPUTED_VALUE"""),"No")</f>
        <v>No</v>
      </c>
      <c r="AF1296" s="1"/>
      <c r="AG1296" s="1" t="str">
        <f ca="1">IFERROR(__xludf.DUMMYFUNCTION("""COMPUTED_VALUE"""),"No")</f>
        <v>No</v>
      </c>
      <c r="AH1296" s="1" t="str">
        <f ca="1">IFERROR(__xludf.DUMMYFUNCTION("""COMPUTED_VALUE"""),"&lt;10")</f>
        <v>&lt;10</v>
      </c>
    </row>
    <row r="1297" spans="1:34" ht="12.5">
      <c r="A1297" s="1" t="str">
        <f ca="1">IFERROR(__xludf.DUMMYFUNCTION("""COMPUTED_VALUE"""),"20180804MDEDE")</f>
        <v>20180804MDEDE</v>
      </c>
      <c r="B1297" s="1">
        <f ca="1">IFERROR(__xludf.DUMMYFUNCTION("""COMPUTED_VALUE"""),8)</f>
        <v>8</v>
      </c>
      <c r="C1297" s="1">
        <f ca="1">IFERROR(__xludf.DUMMYFUNCTION("""COMPUTED_VALUE"""),4)</f>
        <v>4</v>
      </c>
      <c r="D1297" s="1">
        <f ca="1">IFERROR(__xludf.DUMMYFUNCTION("""COMPUTED_VALUE"""),2018)</f>
        <v>2018</v>
      </c>
      <c r="E1297" s="4">
        <f ca="1">IFERROR(__xludf.DUMMYFUNCTION("""COMPUTED_VALUE"""),43316)</f>
        <v>43316</v>
      </c>
      <c r="F1297" s="1" t="str">
        <f ca="1">IFERROR(__xludf.DUMMYFUNCTION("""COMPUTED_VALUE"""),"Edgewood High School")</f>
        <v>Edgewood High School</v>
      </c>
      <c r="G1297" s="1">
        <f ca="1">IFERROR(__xludf.DUMMYFUNCTION("""COMPUTED_VALUE"""),1)</f>
        <v>1</v>
      </c>
      <c r="H1297" s="1">
        <f ca="1">IFERROR(__xludf.DUMMYFUNCTION("""COMPUTED_VALUE"""),0)</f>
        <v>0</v>
      </c>
      <c r="I1297" s="1">
        <f ca="1">IFERROR(__xludf.DUMMYFUNCTION("""COMPUTED_VALUE"""),1)</f>
        <v>1</v>
      </c>
      <c r="J1297" s="1">
        <f ca="1">IFERROR(__xludf.DUMMYFUNCTION("""COMPUTED_VALUE"""),0)</f>
        <v>0</v>
      </c>
      <c r="K1297" s="1" t="str">
        <f ca="1">IFERROR(__xludf.DUMMYFUNCTION("""COMPUTED_VALUE"""),"Summer")</f>
        <v>Summer</v>
      </c>
      <c r="L1297" s="1" t="str">
        <f ca="1">IFERROR(__xludf.DUMMYFUNCTION("""COMPUTED_VALUE"""),"Edgewood")</f>
        <v>Edgewood</v>
      </c>
      <c r="M1297" s="1" t="str">
        <f ca="1">IFERROR(__xludf.DUMMYFUNCTION("""COMPUTED_VALUE"""),"MD")</f>
        <v>MD</v>
      </c>
      <c r="N1297" s="1" t="str">
        <f ca="1">IFERROR(__xludf.DUMMYFUNCTION("""COMPUTED_VALUE"""),"High")</f>
        <v>High</v>
      </c>
      <c r="O1297" s="1" t="str">
        <f ca="1">IFERROR(__xludf.DUMMYFUNCTION("""COMPUTED_VALUE"""),"Parking Lot")</f>
        <v>Parking Lot</v>
      </c>
      <c r="P1297" s="1" t="str">
        <f ca="1">IFERROR(__xludf.DUMMYFUNCTION("""COMPUTED_VALUE"""),"Outside on School Property")</f>
        <v>Outside on School Property</v>
      </c>
      <c r="Q1297" s="1" t="str">
        <f ca="1">IFERROR(__xludf.DUMMYFUNCTION("""COMPUTED_VALUE"""),"No")</f>
        <v>No</v>
      </c>
      <c r="R1297" s="1" t="str">
        <f ca="1">IFERROR(__xludf.DUMMYFUNCTION("""COMPUTED_VALUE"""),"Not a School Day")</f>
        <v>Not a School Day</v>
      </c>
      <c r="S1297" s="5">
        <f ca="1">IFERROR(__xludf.DUMMYFUNCTION("""COMPUTED_VALUE"""),0.888194444444444)</f>
        <v>0.88819444444444395</v>
      </c>
      <c r="T1297" s="1">
        <f ca="1">IFERROR(__xludf.DUMMYFUNCTION("""COMPUTED_VALUE"""),1)</f>
        <v>1</v>
      </c>
      <c r="U1297" s="1" t="str">
        <f ca="1">IFERROR(__xludf.DUMMYFUNCTION("""COMPUTED_VALUE"""),"Man found dead in vehicle in school parking lot (GSW)")</f>
        <v>Man found dead in vehicle in school parking lot (GSW)</v>
      </c>
      <c r="V1297" s="1" t="str">
        <f ca="1">IFERROR(__xludf.DUMMYFUNCTION("""COMPUTED_VALUE"""),"19YOM was found shot in a car in the school parking lot.")</f>
        <v>19YOM was found shot in a car in the school parking lot.</v>
      </c>
      <c r="W1297" s="1" t="str">
        <f ca="1">IFERROR(__xludf.DUMMYFUNCTION("""COMPUTED_VALUE"""),"Unknown")</f>
        <v>Unknown</v>
      </c>
      <c r="X1297" s="1"/>
      <c r="Y1297" s="1"/>
      <c r="Z1297" s="1"/>
      <c r="AA1297" s="1" t="str">
        <f ca="1">IFERROR(__xludf.DUMMYFUNCTION("""COMPUTED_VALUE"""),"No")</f>
        <v>No</v>
      </c>
      <c r="AB1297" s="1" t="str">
        <f ca="1">IFERROR(__xludf.DUMMYFUNCTION("""COMPUTED_VALUE"""),"No")</f>
        <v>No</v>
      </c>
      <c r="AC1297" s="1" t="str">
        <f ca="1">IFERROR(__xludf.DUMMYFUNCTION("""COMPUTED_VALUE"""),"No")</f>
        <v>No</v>
      </c>
      <c r="AD1297" s="1"/>
      <c r="AE1297" s="1"/>
      <c r="AF1297" s="1"/>
      <c r="AG1297" s="1" t="str">
        <f ca="1">IFERROR(__xludf.DUMMYFUNCTION("""COMPUTED_VALUE"""),"No")</f>
        <v>No</v>
      </c>
      <c r="AH1297" s="1"/>
    </row>
    <row r="1298" spans="1:34" ht="12.5">
      <c r="A1298" s="1" t="str">
        <f ca="1">IFERROR(__xludf.DUMMYFUNCTION("""COMPUTED_VALUE"""),"20180803IALIO")</f>
        <v>20180803IALIO</v>
      </c>
      <c r="B1298" s="1">
        <f ca="1">IFERROR(__xludf.DUMMYFUNCTION("""COMPUTED_VALUE"""),8)</f>
        <v>8</v>
      </c>
      <c r="C1298" s="1">
        <f ca="1">IFERROR(__xludf.DUMMYFUNCTION("""COMPUTED_VALUE"""),3)</f>
        <v>3</v>
      </c>
      <c r="D1298" s="1">
        <f ca="1">IFERROR(__xludf.DUMMYFUNCTION("""COMPUTED_VALUE"""),2018)</f>
        <v>2018</v>
      </c>
      <c r="E1298" s="4">
        <f ca="1">IFERROR(__xludf.DUMMYFUNCTION("""COMPUTED_VALUE"""),43315)</f>
        <v>43315</v>
      </c>
      <c r="F1298" s="1" t="str">
        <f ca="1">IFERROR(__xludf.DUMMYFUNCTION("""COMPUTED_VALUE"""),"Liberty Elementary School")</f>
        <v>Liberty Elementary School</v>
      </c>
      <c r="G1298" s="1">
        <f ca="1">IFERROR(__xludf.DUMMYFUNCTION("""COMPUTED_VALUE"""),0)</f>
        <v>0</v>
      </c>
      <c r="H1298" s="1">
        <f ca="1">IFERROR(__xludf.DUMMYFUNCTION("""COMPUTED_VALUE"""),0)</f>
        <v>0</v>
      </c>
      <c r="I1298" s="1">
        <f ca="1">IFERROR(__xludf.DUMMYFUNCTION("""COMPUTED_VALUE"""),0)</f>
        <v>0</v>
      </c>
      <c r="J1298" s="1">
        <f ca="1">IFERROR(__xludf.DUMMYFUNCTION("""COMPUTED_VALUE"""),1)</f>
        <v>1</v>
      </c>
      <c r="K1298" s="1" t="str">
        <f ca="1">IFERROR(__xludf.DUMMYFUNCTION("""COMPUTED_VALUE"""),"Summer")</f>
        <v>Summer</v>
      </c>
      <c r="L1298" s="1" t="str">
        <f ca="1">IFERROR(__xludf.DUMMYFUNCTION("""COMPUTED_VALUE"""),"Ottumwa")</f>
        <v>Ottumwa</v>
      </c>
      <c r="M1298" s="1" t="str">
        <f ca="1">IFERROR(__xludf.DUMMYFUNCTION("""COMPUTED_VALUE"""),"IA")</f>
        <v>IA</v>
      </c>
      <c r="N1298" s="1" t="str">
        <f ca="1">IFERROR(__xludf.DUMMYFUNCTION("""COMPUTED_VALUE"""),"Elementary")</f>
        <v>Elementary</v>
      </c>
      <c r="O1298" s="1" t="str">
        <f ca="1">IFERROR(__xludf.DUMMYFUNCTION("""COMPUTED_VALUE"""),"Parking Lot")</f>
        <v>Parking Lot</v>
      </c>
      <c r="P1298" s="1" t="str">
        <f ca="1">IFERROR(__xludf.DUMMYFUNCTION("""COMPUTED_VALUE"""),"Off School Property")</f>
        <v>Off School Property</v>
      </c>
      <c r="Q1298" s="1" t="str">
        <f ca="1">IFERROR(__xludf.DUMMYFUNCTION("""COMPUTED_VALUE"""),"No")</f>
        <v>No</v>
      </c>
      <c r="R1298" s="1" t="str">
        <f ca="1">IFERROR(__xludf.DUMMYFUNCTION("""COMPUTED_VALUE"""),"Afternoon Classes")</f>
        <v>Afternoon Classes</v>
      </c>
      <c r="S1298" s="5">
        <f ca="1">IFERROR(__xludf.DUMMYFUNCTION("""COMPUTED_VALUE"""),0.583333333333333)</f>
        <v>0.58333333333333304</v>
      </c>
      <c r="T1298" s="1">
        <f ca="1">IFERROR(__xludf.DUMMYFUNCTION("""COMPUTED_VALUE"""),15)</f>
        <v>15</v>
      </c>
      <c r="U1298" s="1" t="str">
        <f ca="1">IFERROR(__xludf.DUMMYFUNCTION("""COMPUTED_VALUE"""),"3 men involved with robbery fired shot at police in the school parking lot while class was in session")</f>
        <v>3 men involved with robbery fired shot at police in the school parking lot while class was in session</v>
      </c>
      <c r="V1298" s="1" t="str">
        <f ca="1">IFERROR(__xludf.DUMMYFUNCTION("""COMPUTED_VALUE"""),"Three men were involved in an armed robbery that resulted in a man being shot and seriously injured. The police pursuit end in the parking lot of an elementary school when one of the men fired a rifle breaking the windows of a police cruiser. Police retur"&amp;"ned fire. The shooting occurred 100 feet from the occupied school building. Teachers heard the shots and went on lockdown. Suspects fled on foot into a field behind the school leading to a 3.5 hour manhunt before they were apprehended. Each were charged w"&amp;"ith 10 counts of attempted murder and other charges.")</f>
        <v>Three men were involved in an armed robbery that resulted in a man being shot and seriously injured. The police pursuit end in the parking lot of an elementary school when one of the men fired a rifle breaking the windows of a police cruiser. Police returned fire. The shooting occurred 100 feet from the occupied school building. Teachers heard the shots and went on lockdown. Suspects fled on foot into a field behind the school leading to a 3.5 hour manhunt before they were apprehended. Each were charged with 10 counts of attempted murder and other charges.</v>
      </c>
      <c r="W1298" s="1" t="str">
        <f ca="1">IFERROR(__xludf.DUMMYFUNCTION("""COMPUTED_VALUE"""),"Illegal Activity")</f>
        <v>Illegal Activity</v>
      </c>
      <c r="X1298" s="1" t="str">
        <f ca="1">IFERROR(__xludf.DUMMYFUNCTION("""COMPUTED_VALUE"""),"Random Shooting")</f>
        <v>Random Shooting</v>
      </c>
      <c r="Y1298" s="1" t="str">
        <f ca="1">IFERROR(__xludf.DUMMYFUNCTION("""COMPUTED_VALUE"""),"Yes")</f>
        <v>Yes</v>
      </c>
      <c r="Z1298" s="1" t="str">
        <f ca="1">IFERROR(__xludf.DUMMYFUNCTION("""COMPUTED_VALUE"""),"3 men arrested")</f>
        <v>3 men arrested</v>
      </c>
      <c r="AA1298" s="1" t="str">
        <f ca="1">IFERROR(__xludf.DUMMYFUNCTION("""COMPUTED_VALUE"""),"No")</f>
        <v>No</v>
      </c>
      <c r="AB1298" s="1" t="str">
        <f ca="1">IFERROR(__xludf.DUMMYFUNCTION("""COMPUTED_VALUE"""),"No")</f>
        <v>No</v>
      </c>
      <c r="AC1298" s="1" t="str">
        <f ca="1">IFERROR(__xludf.DUMMYFUNCTION("""COMPUTED_VALUE"""),"No")</f>
        <v>No</v>
      </c>
      <c r="AD1298" s="1" t="str">
        <f ca="1">IFERROR(__xludf.DUMMYFUNCTION("""COMPUTED_VALUE"""),"No")</f>
        <v>No</v>
      </c>
      <c r="AE1298" s="1" t="str">
        <f ca="1">IFERROR(__xludf.DUMMYFUNCTION("""COMPUTED_VALUE"""),"No")</f>
        <v>No</v>
      </c>
      <c r="AF1298" s="1" t="str">
        <f ca="1">IFERROR(__xludf.DUMMYFUNCTION("""COMPUTED_VALUE"""),"No")</f>
        <v>No</v>
      </c>
      <c r="AG1298" s="1" t="str">
        <f ca="1">IFERROR(__xludf.DUMMYFUNCTION("""COMPUTED_VALUE"""),"No")</f>
        <v>No</v>
      </c>
      <c r="AH1298" s="1"/>
    </row>
    <row r="1299" spans="1:34" ht="12.5">
      <c r="A1299" s="1" t="str">
        <f ca="1">IFERROR(__xludf.DUMMYFUNCTION("""COMPUTED_VALUE"""),"20180719WAWEY")</f>
        <v>20180719WAWEY</v>
      </c>
      <c r="B1299" s="1">
        <f ca="1">IFERROR(__xludf.DUMMYFUNCTION("""COMPUTED_VALUE"""),7)</f>
        <v>7</v>
      </c>
      <c r="C1299" s="1">
        <f ca="1">IFERROR(__xludf.DUMMYFUNCTION("""COMPUTED_VALUE"""),19)</f>
        <v>19</v>
      </c>
      <c r="D1299" s="1">
        <f ca="1">IFERROR(__xludf.DUMMYFUNCTION("""COMPUTED_VALUE"""),2018)</f>
        <v>2018</v>
      </c>
      <c r="E1299" s="4">
        <f ca="1">IFERROR(__xludf.DUMMYFUNCTION("""COMPUTED_VALUE"""),43300)</f>
        <v>43300</v>
      </c>
      <c r="F1299" s="1" t="str">
        <f ca="1">IFERROR(__xludf.DUMMYFUNCTION("""COMPUTED_VALUE"""),"West Valley Middle School")</f>
        <v>West Valley Middle School</v>
      </c>
      <c r="G1299" s="1">
        <f ca="1">IFERROR(__xludf.DUMMYFUNCTION("""COMPUTED_VALUE"""),1)</f>
        <v>1</v>
      </c>
      <c r="H1299" s="1">
        <f ca="1">IFERROR(__xludf.DUMMYFUNCTION("""COMPUTED_VALUE"""),0)</f>
        <v>0</v>
      </c>
      <c r="I1299" s="1">
        <f ca="1">IFERROR(__xludf.DUMMYFUNCTION("""COMPUTED_VALUE"""),1)</f>
        <v>1</v>
      </c>
      <c r="J1299" s="1">
        <f ca="1">IFERROR(__xludf.DUMMYFUNCTION("""COMPUTED_VALUE"""),0)</f>
        <v>0</v>
      </c>
      <c r="K1299" s="1" t="str">
        <f ca="1">IFERROR(__xludf.DUMMYFUNCTION("""COMPUTED_VALUE"""),"Summer")</f>
        <v>Summer</v>
      </c>
      <c r="L1299" s="1" t="str">
        <f ca="1">IFERROR(__xludf.DUMMYFUNCTION("""COMPUTED_VALUE"""),"Yakima")</f>
        <v>Yakima</v>
      </c>
      <c r="M1299" s="1" t="str">
        <f ca="1">IFERROR(__xludf.DUMMYFUNCTION("""COMPUTED_VALUE"""),"WA")</f>
        <v>WA</v>
      </c>
      <c r="N1299" s="1" t="str">
        <f ca="1">IFERROR(__xludf.DUMMYFUNCTION("""COMPUTED_VALUE"""),"Middle")</f>
        <v>Middle</v>
      </c>
      <c r="O1299" s="1" t="str">
        <f ca="1">IFERROR(__xludf.DUMMYFUNCTION("""COMPUTED_VALUE"""),"Beside Building")</f>
        <v>Beside Building</v>
      </c>
      <c r="P1299" s="1" t="str">
        <f ca="1">IFERROR(__xludf.DUMMYFUNCTION("""COMPUTED_VALUE"""),"Outside on School Property")</f>
        <v>Outside on School Property</v>
      </c>
      <c r="Q1299" s="1" t="str">
        <f ca="1">IFERROR(__xludf.DUMMYFUNCTION("""COMPUTED_VALUE"""),"No")</f>
        <v>No</v>
      </c>
      <c r="R1299" s="1" t="str">
        <f ca="1">IFERROR(__xludf.DUMMYFUNCTION("""COMPUTED_VALUE"""),"Evening")</f>
        <v>Evening</v>
      </c>
      <c r="S1299" s="5">
        <f ca="1">IFERROR(__xludf.DUMMYFUNCTION("""COMPUTED_VALUE"""),0.71875)</f>
        <v>0.71875</v>
      </c>
      <c r="T1299" s="1">
        <f ca="1">IFERROR(__xludf.DUMMYFUNCTION("""COMPUTED_VALUE"""),1)</f>
        <v>1</v>
      </c>
      <c r="U1299" s="1" t="str">
        <f ca="1">IFERROR(__xludf.DUMMYFUNCTION("""COMPUTED_VALUE"""),"Man found dead from GSW in vehicle outside of school")</f>
        <v>Man found dead from GSW in vehicle outside of school</v>
      </c>
      <c r="V1299" s="1" t="str">
        <f ca="1">IFERROR(__xludf.DUMMYFUNCTION("""COMPUTED_VALUE"""),"18YOM found dead from a gunshot wound in a crashed vehicle outside of the school.")</f>
        <v>18YOM found dead from a gunshot wound in a crashed vehicle outside of the school.</v>
      </c>
      <c r="W1299" s="1" t="str">
        <f ca="1">IFERROR(__xludf.DUMMYFUNCTION("""COMPUTED_VALUE"""),"Unknown")</f>
        <v>Unknown</v>
      </c>
      <c r="X1299" s="1"/>
      <c r="Y1299" s="1"/>
      <c r="Z1299" s="1"/>
      <c r="AA1299" s="1" t="str">
        <f ca="1">IFERROR(__xludf.DUMMYFUNCTION("""COMPUTED_VALUE"""),"No")</f>
        <v>No</v>
      </c>
      <c r="AB1299" s="1" t="str">
        <f ca="1">IFERROR(__xludf.DUMMYFUNCTION("""COMPUTED_VALUE"""),"No")</f>
        <v>No</v>
      </c>
      <c r="AC1299" s="1" t="str">
        <f ca="1">IFERROR(__xludf.DUMMYFUNCTION("""COMPUTED_VALUE"""),"No")</f>
        <v>No</v>
      </c>
      <c r="AD1299" s="1"/>
      <c r="AE1299" s="1"/>
      <c r="AF1299" s="1"/>
      <c r="AG1299" s="1" t="str">
        <f ca="1">IFERROR(__xludf.DUMMYFUNCTION("""COMPUTED_VALUE"""),"No")</f>
        <v>No</v>
      </c>
      <c r="AH1299" s="1"/>
    </row>
    <row r="1300" spans="1:34" ht="12.5">
      <c r="A1300" s="1" t="str">
        <f ca="1">IFERROR(__xludf.DUMMYFUNCTION("""COMPUTED_VALUE"""),"20180717WVHUH")</f>
        <v>20180717WVHUH</v>
      </c>
      <c r="B1300" s="1">
        <f ca="1">IFERROR(__xludf.DUMMYFUNCTION("""COMPUTED_VALUE"""),7)</f>
        <v>7</v>
      </c>
      <c r="C1300" s="1">
        <f ca="1">IFERROR(__xludf.DUMMYFUNCTION("""COMPUTED_VALUE"""),17)</f>
        <v>17</v>
      </c>
      <c r="D1300" s="1">
        <f ca="1">IFERROR(__xludf.DUMMYFUNCTION("""COMPUTED_VALUE"""),2018)</f>
        <v>2018</v>
      </c>
      <c r="E1300" s="4">
        <f ca="1">IFERROR(__xludf.DUMMYFUNCTION("""COMPUTED_VALUE"""),43298)</f>
        <v>43298</v>
      </c>
      <c r="F1300" s="1" t="str">
        <f ca="1">IFERROR(__xludf.DUMMYFUNCTION("""COMPUTED_VALUE"""),"Hurricane High School")</f>
        <v>Hurricane High School</v>
      </c>
      <c r="G1300" s="1">
        <f ca="1">IFERROR(__xludf.DUMMYFUNCTION("""COMPUTED_VALUE"""),0)</f>
        <v>0</v>
      </c>
      <c r="H1300" s="1">
        <f ca="1">IFERROR(__xludf.DUMMYFUNCTION("""COMPUTED_VALUE"""),0)</f>
        <v>0</v>
      </c>
      <c r="I1300" s="1">
        <f ca="1">IFERROR(__xludf.DUMMYFUNCTION("""COMPUTED_VALUE"""),0)</f>
        <v>0</v>
      </c>
      <c r="J1300" s="1">
        <f ca="1">IFERROR(__xludf.DUMMYFUNCTION("""COMPUTED_VALUE"""),0)</f>
        <v>0</v>
      </c>
      <c r="K1300" s="1" t="str">
        <f ca="1">IFERROR(__xludf.DUMMYFUNCTION("""COMPUTED_VALUE"""),"Summer")</f>
        <v>Summer</v>
      </c>
      <c r="L1300" s="1" t="str">
        <f ca="1">IFERROR(__xludf.DUMMYFUNCTION("""COMPUTED_VALUE"""),"Hurricane")</f>
        <v>Hurricane</v>
      </c>
      <c r="M1300" s="1" t="str">
        <f ca="1">IFERROR(__xludf.DUMMYFUNCTION("""COMPUTED_VALUE"""),"WV")</f>
        <v>WV</v>
      </c>
      <c r="N1300" s="1" t="str">
        <f ca="1">IFERROR(__xludf.DUMMYFUNCTION("""COMPUTED_VALUE"""),"High")</f>
        <v>High</v>
      </c>
      <c r="O1300" s="1" t="str">
        <f ca="1">IFERROR(__xludf.DUMMYFUNCTION("""COMPUTED_VALUE"""),"Parking Lot")</f>
        <v>Parking Lot</v>
      </c>
      <c r="P1300" s="1" t="str">
        <f ca="1">IFERROR(__xludf.DUMMYFUNCTION("""COMPUTED_VALUE"""),"Outside on School Property")</f>
        <v>Outside on School Property</v>
      </c>
      <c r="Q1300" s="1" t="str">
        <f ca="1">IFERROR(__xludf.DUMMYFUNCTION("""COMPUTED_VALUE"""),"No")</f>
        <v>No</v>
      </c>
      <c r="R1300" s="1" t="str">
        <f ca="1">IFERROR(__xludf.DUMMYFUNCTION("""COMPUTED_VALUE"""),"After School")</f>
        <v>After School</v>
      </c>
      <c r="S1300" s="5">
        <f ca="1">IFERROR(__xludf.DUMMYFUNCTION("""COMPUTED_VALUE"""),0.75)</f>
        <v>0.75</v>
      </c>
      <c r="T1300" s="1">
        <f ca="1">IFERROR(__xludf.DUMMYFUNCTION("""COMPUTED_VALUE"""),1)</f>
        <v>1</v>
      </c>
      <c r="U1300" s="1" t="str">
        <f ca="1">IFERROR(__xludf.DUMMYFUNCTION("""COMPUTED_VALUE"""),"Shot fired during argument behind the school")</f>
        <v>Shot fired during argument behind the school</v>
      </c>
      <c r="V1300" s="1" t="str">
        <f ca="1">IFERROR(__xludf.DUMMYFUNCTION("""COMPUTED_VALUE"""),"Shooter was arguing with another adult male in the school parking lot behind the high school when he fired a round from his handgun into the ground to scare the other man. Thompson was arrested and charged with wanton endangerment.")</f>
        <v>Shooter was arguing with another adult male in the school parking lot behind the high school when he fired a round from his handgun into the ground to scare the other man. Thompson was arrested and charged with wanton endangerment.</v>
      </c>
      <c r="W1300" s="1" t="str">
        <f ca="1">IFERROR(__xludf.DUMMYFUNCTION("""COMPUTED_VALUE"""),"Escalation of Dispute")</f>
        <v>Escalation of Dispute</v>
      </c>
      <c r="X1300" s="1" t="str">
        <f ca="1">IFERROR(__xludf.DUMMYFUNCTION("""COMPUTED_VALUE"""),"NA")</f>
        <v>NA</v>
      </c>
      <c r="Y1300" s="1" t="str">
        <f ca="1">IFERROR(__xludf.DUMMYFUNCTION("""COMPUTED_VALUE"""),"No")</f>
        <v>No</v>
      </c>
      <c r="Z1300" s="1"/>
      <c r="AA1300" s="1" t="str">
        <f ca="1">IFERROR(__xludf.DUMMYFUNCTION("""COMPUTED_VALUE"""),"No")</f>
        <v>No</v>
      </c>
      <c r="AB1300" s="1" t="str">
        <f ca="1">IFERROR(__xludf.DUMMYFUNCTION("""COMPUTED_VALUE"""),"No")</f>
        <v>No</v>
      </c>
      <c r="AC1300" s="1" t="str">
        <f ca="1">IFERROR(__xludf.DUMMYFUNCTION("""COMPUTED_VALUE"""),"No")</f>
        <v>No</v>
      </c>
      <c r="AD1300" s="1" t="str">
        <f ca="1">IFERROR(__xludf.DUMMYFUNCTION("""COMPUTED_VALUE"""),"No")</f>
        <v>No</v>
      </c>
      <c r="AE1300" s="1" t="str">
        <f ca="1">IFERROR(__xludf.DUMMYFUNCTION("""COMPUTED_VALUE"""),"No")</f>
        <v>No</v>
      </c>
      <c r="AF1300" s="1" t="str">
        <f ca="1">IFERROR(__xludf.DUMMYFUNCTION("""COMPUTED_VALUE"""),"No")</f>
        <v>No</v>
      </c>
      <c r="AG1300" s="1" t="str">
        <f ca="1">IFERROR(__xludf.DUMMYFUNCTION("""COMPUTED_VALUE"""),"No")</f>
        <v>No</v>
      </c>
      <c r="AH1300" s="1">
        <f ca="1">IFERROR(__xludf.DUMMYFUNCTION("""COMPUTED_VALUE"""),1)</f>
        <v>1</v>
      </c>
    </row>
    <row r="1301" spans="1:34" ht="12.5">
      <c r="A1301" s="1" t="str">
        <f ca="1">IFERROR(__xludf.DUMMYFUNCTION("""COMPUTED_VALUE"""),"20180711OHMIM")</f>
        <v>20180711OHMIM</v>
      </c>
      <c r="B1301" s="1">
        <f ca="1">IFERROR(__xludf.DUMMYFUNCTION("""COMPUTED_VALUE"""),7)</f>
        <v>7</v>
      </c>
      <c r="C1301" s="1">
        <f ca="1">IFERROR(__xludf.DUMMYFUNCTION("""COMPUTED_VALUE"""),11)</f>
        <v>11</v>
      </c>
      <c r="D1301" s="1">
        <f ca="1">IFERROR(__xludf.DUMMYFUNCTION("""COMPUTED_VALUE"""),2018)</f>
        <v>2018</v>
      </c>
      <c r="E1301" s="4">
        <f ca="1">IFERROR(__xludf.DUMMYFUNCTION("""COMPUTED_VALUE"""),43292)</f>
        <v>43292</v>
      </c>
      <c r="F1301" s="1" t="str">
        <f ca="1">IFERROR(__xludf.DUMMYFUNCTION("""COMPUTED_VALUE"""),"Milkovich Middle School")</f>
        <v>Milkovich Middle School</v>
      </c>
      <c r="G1301" s="1">
        <f ca="1">IFERROR(__xludf.DUMMYFUNCTION("""COMPUTED_VALUE"""),1)</f>
        <v>1</v>
      </c>
      <c r="H1301" s="1">
        <f ca="1">IFERROR(__xludf.DUMMYFUNCTION("""COMPUTED_VALUE"""),0)</f>
        <v>0</v>
      </c>
      <c r="I1301" s="1">
        <f ca="1">IFERROR(__xludf.DUMMYFUNCTION("""COMPUTED_VALUE"""),1)</f>
        <v>1</v>
      </c>
      <c r="J1301" s="1">
        <f ca="1">IFERROR(__xludf.DUMMYFUNCTION("""COMPUTED_VALUE"""),0)</f>
        <v>0</v>
      </c>
      <c r="K1301" s="1" t="str">
        <f ca="1">IFERROR(__xludf.DUMMYFUNCTION("""COMPUTED_VALUE"""),"Summer")</f>
        <v>Summer</v>
      </c>
      <c r="L1301" s="1" t="str">
        <f ca="1">IFERROR(__xludf.DUMMYFUNCTION("""COMPUTED_VALUE"""),"Maple Heights")</f>
        <v>Maple Heights</v>
      </c>
      <c r="M1301" s="1" t="str">
        <f ca="1">IFERROR(__xludf.DUMMYFUNCTION("""COMPUTED_VALUE"""),"OH")</f>
        <v>OH</v>
      </c>
      <c r="N1301" s="1" t="str">
        <f ca="1">IFERROR(__xludf.DUMMYFUNCTION("""COMPUTED_VALUE"""),"Middle")</f>
        <v>Middle</v>
      </c>
      <c r="O1301" s="1" t="str">
        <f ca="1">IFERROR(__xludf.DUMMYFUNCTION("""COMPUTED_VALUE"""),"Parking Lot")</f>
        <v>Parking Lot</v>
      </c>
      <c r="P1301" s="1" t="str">
        <f ca="1">IFERROR(__xludf.DUMMYFUNCTION("""COMPUTED_VALUE"""),"Outside on School Property")</f>
        <v>Outside on School Property</v>
      </c>
      <c r="Q1301" s="1" t="str">
        <f ca="1">IFERROR(__xludf.DUMMYFUNCTION("""COMPUTED_VALUE"""),"No")</f>
        <v>No</v>
      </c>
      <c r="R1301" s="1" t="str">
        <f ca="1">IFERROR(__xludf.DUMMYFUNCTION("""COMPUTED_VALUE"""),"Not a School Day")</f>
        <v>Not a School Day</v>
      </c>
      <c r="S1301" s="5">
        <f ca="1">IFERROR(__xludf.DUMMYFUNCTION("""COMPUTED_VALUE"""),0.854166666666666)</f>
        <v>0.85416666666666596</v>
      </c>
      <c r="T1301" s="1">
        <f ca="1">IFERROR(__xludf.DUMMYFUNCTION("""COMPUTED_VALUE"""),1)</f>
        <v>1</v>
      </c>
      <c r="U1301" s="1" t="str">
        <f ca="1">IFERROR(__xludf.DUMMYFUNCTION("""COMPUTED_VALUE"""),"Shots fired during large fight between teens")</f>
        <v>Shots fired during large fight between teens</v>
      </c>
      <c r="V1301" s="1" t="str">
        <f ca="1">IFERROR(__xludf.DUMMYFUNCTION("""COMPUTED_VALUE"""),"Police were called to the area for a large fight between teens. Upon arrival, they found the victim lying in the school parking lot suffering from a gunshot wound. Police performed CPR until paramedics arrived - victim was later pronounced dead at the hos"&amp;"pital. two suspects arrested - information not available via media reports.")</f>
        <v>Police were called to the area for a large fight between teens. Upon arrival, they found the victim lying in the school parking lot suffering from a gunshot wound. Police performed CPR until paramedics arrived - victim was later pronounced dead at the hospital. two suspects arrested - information not available via media reports.</v>
      </c>
      <c r="W1301" s="1" t="str">
        <f ca="1">IFERROR(__xludf.DUMMYFUNCTION("""COMPUTED_VALUE"""),"Escalation of Dispute")</f>
        <v>Escalation of Dispute</v>
      </c>
      <c r="X1301" s="1"/>
      <c r="Y1301" s="1"/>
      <c r="Z1301" s="1"/>
      <c r="AA1301" s="1" t="str">
        <f ca="1">IFERROR(__xludf.DUMMYFUNCTION("""COMPUTED_VALUE"""),"No")</f>
        <v>No</v>
      </c>
      <c r="AB1301" s="1" t="str">
        <f ca="1">IFERROR(__xludf.DUMMYFUNCTION("""COMPUTED_VALUE"""),"No")</f>
        <v>No</v>
      </c>
      <c r="AC1301" s="1" t="str">
        <f ca="1">IFERROR(__xludf.DUMMYFUNCTION("""COMPUTED_VALUE"""),"No")</f>
        <v>No</v>
      </c>
      <c r="AD1301" s="1"/>
      <c r="AE1301" s="1"/>
      <c r="AF1301" s="1" t="str">
        <f ca="1">IFERROR(__xludf.DUMMYFUNCTION("""COMPUTED_VALUE"""),"No")</f>
        <v>No</v>
      </c>
      <c r="AG1301" s="1" t="str">
        <f ca="1">IFERROR(__xludf.DUMMYFUNCTION("""COMPUTED_VALUE"""),"No")</f>
        <v>No</v>
      </c>
      <c r="AH1301" s="1"/>
    </row>
    <row r="1302" spans="1:34" ht="12.5">
      <c r="A1302" s="1" t="str">
        <f ca="1">IFERROR(__xludf.DUMMYFUNCTION("""COMPUTED_VALUE"""),"20180703KSSUO")</f>
        <v>20180703KSSUO</v>
      </c>
      <c r="B1302" s="1">
        <f ca="1">IFERROR(__xludf.DUMMYFUNCTION("""COMPUTED_VALUE"""),7)</f>
        <v>7</v>
      </c>
      <c r="C1302" s="1">
        <f ca="1">IFERROR(__xludf.DUMMYFUNCTION("""COMPUTED_VALUE"""),3)</f>
        <v>3</v>
      </c>
      <c r="D1302" s="1">
        <f ca="1">IFERROR(__xludf.DUMMYFUNCTION("""COMPUTED_VALUE"""),2018)</f>
        <v>2018</v>
      </c>
      <c r="E1302" s="4">
        <f ca="1">IFERROR(__xludf.DUMMYFUNCTION("""COMPUTED_VALUE"""),43284)</f>
        <v>43284</v>
      </c>
      <c r="F1302" s="1" t="str">
        <f ca="1">IFERROR(__xludf.DUMMYFUNCTION("""COMPUTED_VALUE"""),"Sunrise Point Elementary School")</f>
        <v>Sunrise Point Elementary School</v>
      </c>
      <c r="G1302" s="1">
        <f ca="1">IFERROR(__xludf.DUMMYFUNCTION("""COMPUTED_VALUE"""),1)</f>
        <v>1</v>
      </c>
      <c r="H1302" s="1">
        <f ca="1">IFERROR(__xludf.DUMMYFUNCTION("""COMPUTED_VALUE"""),1)</f>
        <v>1</v>
      </c>
      <c r="I1302" s="1">
        <f ca="1">IFERROR(__xludf.DUMMYFUNCTION("""COMPUTED_VALUE"""),2)</f>
        <v>2</v>
      </c>
      <c r="J1302" s="1">
        <f ca="1">IFERROR(__xludf.DUMMYFUNCTION("""COMPUTED_VALUE"""),0)</f>
        <v>0</v>
      </c>
      <c r="K1302" s="1" t="str">
        <f ca="1">IFERROR(__xludf.DUMMYFUNCTION("""COMPUTED_VALUE"""),"Summer")</f>
        <v>Summer</v>
      </c>
      <c r="L1302" s="1" t="str">
        <f ca="1">IFERROR(__xludf.DUMMYFUNCTION("""COMPUTED_VALUE"""),"Overland")</f>
        <v>Overland</v>
      </c>
      <c r="M1302" s="1" t="str">
        <f ca="1">IFERROR(__xludf.DUMMYFUNCTION("""COMPUTED_VALUE"""),"KS")</f>
        <v>KS</v>
      </c>
      <c r="N1302" s="1" t="str">
        <f ca="1">IFERROR(__xludf.DUMMYFUNCTION("""COMPUTED_VALUE"""),"Elementary")</f>
        <v>Elementary</v>
      </c>
      <c r="O1302" s="1" t="str">
        <f ca="1">IFERROR(__xludf.DUMMYFUNCTION("""COMPUTED_VALUE"""),"Beside Building")</f>
        <v>Beside Building</v>
      </c>
      <c r="P1302" s="1" t="str">
        <f ca="1">IFERROR(__xludf.DUMMYFUNCTION("""COMPUTED_VALUE"""),"Outside on School Property")</f>
        <v>Outside on School Property</v>
      </c>
      <c r="Q1302" s="1" t="str">
        <f ca="1">IFERROR(__xludf.DUMMYFUNCTION("""COMPUTED_VALUE"""),"No")</f>
        <v>No</v>
      </c>
      <c r="R1302" s="1" t="str">
        <f ca="1">IFERROR(__xludf.DUMMYFUNCTION("""COMPUTED_VALUE"""),"Not a School Day")</f>
        <v>Not a School Day</v>
      </c>
      <c r="S1302" s="5">
        <f ca="1">IFERROR(__xludf.DUMMYFUNCTION("""COMPUTED_VALUE"""),0.375)</f>
        <v>0.375</v>
      </c>
      <c r="T1302" s="1">
        <f ca="1">IFERROR(__xludf.DUMMYFUNCTION("""COMPUTED_VALUE"""),1)</f>
        <v>1</v>
      </c>
      <c r="U1302" s="1" t="str">
        <f ca="1">IFERROR(__xludf.DUMMYFUNCTION("""COMPUTED_VALUE"""),"Two construction contractors shot by coworker during argument at school")</f>
        <v>Two construction contractors shot by coworker during argument at school</v>
      </c>
      <c r="V1302" s="1" t="str">
        <f ca="1">IFERROR(__xludf.DUMMYFUNCTION("""COMPUTED_VALUE"""),"Two construction contractors were shot on the school grounds by a coworker during argument that escalated into shooting. Shooter fled, attempted a carjacking at a nearby car wash, fired shots without striking anyone, fled the area, and carjacked another v"&amp;"ehicle at gunpoint. Abandoned vehicle and was at large until arrested in front of a house (somehow connected to shooter). No kids at school or on school grounds at the time.")</f>
        <v>Two construction contractors were shot on the school grounds by a coworker during argument that escalated into shooting. Shooter fled, attempted a carjacking at a nearby car wash, fired shots without striking anyone, fled the area, and carjacked another vehicle at gunpoint. Abandoned vehicle and was at large until arrested in front of a house (somehow connected to shooter). No kids at school or on school grounds at the time.</v>
      </c>
      <c r="W1302" s="1" t="str">
        <f ca="1">IFERROR(__xludf.DUMMYFUNCTION("""COMPUTED_VALUE"""),"Escalation of Dispute")</f>
        <v>Escalation of Dispute</v>
      </c>
      <c r="X1302" s="1" t="str">
        <f ca="1">IFERROR(__xludf.DUMMYFUNCTION("""COMPUTED_VALUE"""),"Victims Targeted")</f>
        <v>Victims Targeted</v>
      </c>
      <c r="Y1302" s="1"/>
      <c r="Z1302" s="1"/>
      <c r="AA1302" s="1" t="str">
        <f ca="1">IFERROR(__xludf.DUMMYFUNCTION("""COMPUTED_VALUE"""),"No")</f>
        <v>No</v>
      </c>
      <c r="AB1302" s="1" t="str">
        <f ca="1">IFERROR(__xludf.DUMMYFUNCTION("""COMPUTED_VALUE"""),"No")</f>
        <v>No</v>
      </c>
      <c r="AC1302" s="1" t="str">
        <f ca="1">IFERROR(__xludf.DUMMYFUNCTION("""COMPUTED_VALUE"""),"No")</f>
        <v>No</v>
      </c>
      <c r="AD1302" s="1" t="str">
        <f ca="1">IFERROR(__xludf.DUMMYFUNCTION("""COMPUTED_VALUE"""),"No")</f>
        <v>No</v>
      </c>
      <c r="AE1302" s="1" t="str">
        <f ca="1">IFERROR(__xludf.DUMMYFUNCTION("""COMPUTED_VALUE"""),"No")</f>
        <v>No</v>
      </c>
      <c r="AF1302" s="1" t="str">
        <f ca="1">IFERROR(__xludf.DUMMYFUNCTION("""COMPUTED_VALUE"""),"No")</f>
        <v>No</v>
      </c>
      <c r="AG1302" s="1" t="str">
        <f ca="1">IFERROR(__xludf.DUMMYFUNCTION("""COMPUTED_VALUE"""),"No")</f>
        <v>No</v>
      </c>
      <c r="AH1302" s="1"/>
    </row>
    <row r="1303" spans="1:34" ht="12.5">
      <c r="A1303" s="1" t="str">
        <f ca="1">IFERROR(__xludf.DUMMYFUNCTION("""COMPUTED_VALUE"""),"20180701TNRAM")</f>
        <v>20180701TNRAM</v>
      </c>
      <c r="B1303" s="1">
        <f ca="1">IFERROR(__xludf.DUMMYFUNCTION("""COMPUTED_VALUE"""),7)</f>
        <v>7</v>
      </c>
      <c r="C1303" s="1">
        <f ca="1">IFERROR(__xludf.DUMMYFUNCTION("""COMPUTED_VALUE"""),1)</f>
        <v>1</v>
      </c>
      <c r="D1303" s="1">
        <f ca="1">IFERROR(__xludf.DUMMYFUNCTION("""COMPUTED_VALUE"""),2018)</f>
        <v>2018</v>
      </c>
      <c r="E1303" s="4">
        <f ca="1">IFERROR(__xludf.DUMMYFUNCTION("""COMPUTED_VALUE"""),43282)</f>
        <v>43282</v>
      </c>
      <c r="F1303" s="1" t="str">
        <f ca="1">IFERROR(__xludf.DUMMYFUNCTION("""COMPUTED_VALUE"""),"Raineshaven Elementary School")</f>
        <v>Raineshaven Elementary School</v>
      </c>
      <c r="G1303" s="1">
        <f ca="1">IFERROR(__xludf.DUMMYFUNCTION("""COMPUTED_VALUE"""),1)</f>
        <v>1</v>
      </c>
      <c r="H1303" s="1">
        <f ca="1">IFERROR(__xludf.DUMMYFUNCTION("""COMPUTED_VALUE"""),0)</f>
        <v>0</v>
      </c>
      <c r="I1303" s="1">
        <f ca="1">IFERROR(__xludf.DUMMYFUNCTION("""COMPUTED_VALUE"""),1)</f>
        <v>1</v>
      </c>
      <c r="J1303" s="1">
        <f ca="1">IFERROR(__xludf.DUMMYFUNCTION("""COMPUTED_VALUE"""),0)</f>
        <v>0</v>
      </c>
      <c r="K1303" s="1" t="str">
        <f ca="1">IFERROR(__xludf.DUMMYFUNCTION("""COMPUTED_VALUE"""),"Summer")</f>
        <v>Summer</v>
      </c>
      <c r="L1303" s="1" t="str">
        <f ca="1">IFERROR(__xludf.DUMMYFUNCTION("""COMPUTED_VALUE"""),"Memphis")</f>
        <v>Memphis</v>
      </c>
      <c r="M1303" s="1" t="str">
        <f ca="1">IFERROR(__xludf.DUMMYFUNCTION("""COMPUTED_VALUE"""),"TN")</f>
        <v>TN</v>
      </c>
      <c r="N1303" s="1" t="str">
        <f ca="1">IFERROR(__xludf.DUMMYFUNCTION("""COMPUTED_VALUE"""),"Elementary")</f>
        <v>Elementary</v>
      </c>
      <c r="O1303" s="1" t="str">
        <f ca="1">IFERROR(__xludf.DUMMYFUNCTION("""COMPUTED_VALUE"""),"Beside Building")</f>
        <v>Beside Building</v>
      </c>
      <c r="P1303" s="1" t="str">
        <f ca="1">IFERROR(__xludf.DUMMYFUNCTION("""COMPUTED_VALUE"""),"Outside on School Property")</f>
        <v>Outside on School Property</v>
      </c>
      <c r="Q1303" s="1" t="str">
        <f ca="1">IFERROR(__xludf.DUMMYFUNCTION("""COMPUTED_VALUE"""),"No")</f>
        <v>No</v>
      </c>
      <c r="R1303" s="1" t="str">
        <f ca="1">IFERROR(__xludf.DUMMYFUNCTION("""COMPUTED_VALUE"""),"Night")</f>
        <v>Night</v>
      </c>
      <c r="S1303" s="5">
        <f ca="1">IFERROR(__xludf.DUMMYFUNCTION("""COMPUTED_VALUE"""),0.875)</f>
        <v>0.875</v>
      </c>
      <c r="T1303" s="1">
        <f ca="1">IFERROR(__xludf.DUMMYFUNCTION("""COMPUTED_VALUE"""),1)</f>
        <v>1</v>
      </c>
      <c r="U1303" s="1" t="str">
        <f ca="1">IFERROR(__xludf.DUMMYFUNCTION("""COMPUTED_VALUE"""),"Victim shot in vehicle and crashed into school building")</f>
        <v>Victim shot in vehicle and crashed into school building</v>
      </c>
      <c r="V1303" s="1" t="str">
        <f ca="1">IFERROR(__xludf.DUMMYFUNCTION("""COMPUTED_VALUE"""),"Victim was shot in vehicle and then crashed into the school building.")</f>
        <v>Victim was shot in vehicle and then crashed into the school building.</v>
      </c>
      <c r="W1303" s="1" t="str">
        <f ca="1">IFERROR(__xludf.DUMMYFUNCTION("""COMPUTED_VALUE"""),"Unknown")</f>
        <v>Unknown</v>
      </c>
      <c r="X1303" s="1"/>
      <c r="Y1303" s="1"/>
      <c r="Z1303" s="1"/>
      <c r="AA1303" s="1" t="str">
        <f ca="1">IFERROR(__xludf.DUMMYFUNCTION("""COMPUTED_VALUE"""),"No")</f>
        <v>No</v>
      </c>
      <c r="AB1303" s="1" t="str">
        <f ca="1">IFERROR(__xludf.DUMMYFUNCTION("""COMPUTED_VALUE"""),"No")</f>
        <v>No</v>
      </c>
      <c r="AC1303" s="1" t="str">
        <f ca="1">IFERROR(__xludf.DUMMYFUNCTION("""COMPUTED_VALUE"""),"No")</f>
        <v>No</v>
      </c>
      <c r="AD1303" s="1" t="str">
        <f ca="1">IFERROR(__xludf.DUMMYFUNCTION("""COMPUTED_VALUE"""),"No")</f>
        <v>No</v>
      </c>
      <c r="AE1303" s="1"/>
      <c r="AF1303" s="1"/>
      <c r="AG1303" s="1" t="str">
        <f ca="1">IFERROR(__xludf.DUMMYFUNCTION("""COMPUTED_VALUE"""),"No")</f>
        <v>No</v>
      </c>
      <c r="AH1303" s="1"/>
    </row>
    <row r="1304" spans="1:34" ht="12.5">
      <c r="A1304" s="1" t="str">
        <f ca="1">IFERROR(__xludf.DUMMYFUNCTION("""COMPUTED_VALUE"""),"20180625OHFUS")</f>
        <v>20180625OHFUS</v>
      </c>
      <c r="B1304" s="1">
        <f ca="1">IFERROR(__xludf.DUMMYFUNCTION("""COMPUTED_VALUE"""),6)</f>
        <v>6</v>
      </c>
      <c r="C1304" s="1">
        <f ca="1">IFERROR(__xludf.DUMMYFUNCTION("""COMPUTED_VALUE"""),25)</f>
        <v>25</v>
      </c>
      <c r="D1304" s="1">
        <f ca="1">IFERROR(__xludf.DUMMYFUNCTION("""COMPUTED_VALUE"""),2018)</f>
        <v>2018</v>
      </c>
      <c r="E1304" s="4">
        <f ca="1">IFERROR(__xludf.DUMMYFUNCTION("""COMPUTED_VALUE"""),43276)</f>
        <v>43276</v>
      </c>
      <c r="F1304" s="1" t="str">
        <f ca="1">IFERROR(__xludf.DUMMYFUNCTION("""COMPUTED_VALUE"""),"Fulton Elementary School")</f>
        <v>Fulton Elementary School</v>
      </c>
      <c r="G1304" s="1">
        <f ca="1">IFERROR(__xludf.DUMMYFUNCTION("""COMPUTED_VALUE"""),0)</f>
        <v>0</v>
      </c>
      <c r="H1304" s="1">
        <f ca="1">IFERROR(__xludf.DUMMYFUNCTION("""COMPUTED_VALUE"""),1)</f>
        <v>1</v>
      </c>
      <c r="I1304" s="1">
        <f ca="1">IFERROR(__xludf.DUMMYFUNCTION("""COMPUTED_VALUE"""),1)</f>
        <v>1</v>
      </c>
      <c r="J1304" s="1">
        <f ca="1">IFERROR(__xludf.DUMMYFUNCTION("""COMPUTED_VALUE"""),0)</f>
        <v>0</v>
      </c>
      <c r="K1304" s="1" t="str">
        <f ca="1">IFERROR(__xludf.DUMMYFUNCTION("""COMPUTED_VALUE"""),"Summer")</f>
        <v>Summer</v>
      </c>
      <c r="L1304" s="1" t="str">
        <f ca="1">IFERROR(__xludf.DUMMYFUNCTION("""COMPUTED_VALUE"""),"Springfield")</f>
        <v>Springfield</v>
      </c>
      <c r="M1304" s="1" t="str">
        <f ca="1">IFERROR(__xludf.DUMMYFUNCTION("""COMPUTED_VALUE"""),"OH")</f>
        <v>OH</v>
      </c>
      <c r="N1304" s="1" t="str">
        <f ca="1">IFERROR(__xludf.DUMMYFUNCTION("""COMPUTED_VALUE"""),"Elementary")</f>
        <v>Elementary</v>
      </c>
      <c r="O1304" s="1" t="str">
        <f ca="1">IFERROR(__xludf.DUMMYFUNCTION("""COMPUTED_VALUE"""),"Parking Lot")</f>
        <v>Parking Lot</v>
      </c>
      <c r="P1304" s="1" t="str">
        <f ca="1">IFERROR(__xludf.DUMMYFUNCTION("""COMPUTED_VALUE"""),"Outside on School Property")</f>
        <v>Outside on School Property</v>
      </c>
      <c r="Q1304" s="1" t="str">
        <f ca="1">IFERROR(__xludf.DUMMYFUNCTION("""COMPUTED_VALUE"""),"No")</f>
        <v>No</v>
      </c>
      <c r="R1304" s="1" t="str">
        <f ca="1">IFERROR(__xludf.DUMMYFUNCTION("""COMPUTED_VALUE"""),"After School")</f>
        <v>After School</v>
      </c>
      <c r="S1304" s="5">
        <f ca="1">IFERROR(__xludf.DUMMYFUNCTION("""COMPUTED_VALUE"""),0.625)</f>
        <v>0.625</v>
      </c>
      <c r="T1304" s="1">
        <f ca="1">IFERROR(__xludf.DUMMYFUNCTION("""COMPUTED_VALUE"""),1)</f>
        <v>1</v>
      </c>
      <c r="U1304" s="1" t="str">
        <f ca="1">IFERROR(__xludf.DUMMYFUNCTION("""COMPUTED_VALUE"""),"Attempted robbery in school parking lot, gun jammed when shooter fired, victim ran over shooter with car")</f>
        <v>Attempted robbery in school parking lot, gun jammed when shooter fired, victim ran over shooter with car</v>
      </c>
      <c r="V1304" s="1" t="str">
        <f ca="1">IFERROR(__xludf.DUMMYFUNCTION("""COMPUTED_VALUE"""),"2 minors attempted to rob the victim in the parking lot. Minors were selling a cellphone and robbed the suspect. Shooter had a gun during the robbery and pulled the trigger but the gun jammed. The shooter tried to flee, the victim ran over the shooter whi"&amp;"le trying to catch up to him. The victim got out of the car and kicked the gun out of the shooter's hand. Police came and found drugs on the shooter. The second minor surrendered and refused that he knew the shooter brought a gun.")</f>
        <v>2 minors attempted to rob the victim in the parking lot. Minors were selling a cellphone and robbed the suspect. Shooter had a gun during the robbery and pulled the trigger but the gun jammed. The shooter tried to flee, the victim ran over the shooter while trying to catch up to him. The victim got out of the car and kicked the gun out of the shooter's hand. Police came and found drugs on the shooter. The second minor surrendered and refused that he knew the shooter brought a gun.</v>
      </c>
      <c r="W1304" s="1" t="str">
        <f ca="1">IFERROR(__xludf.DUMMYFUNCTION("""COMPUTED_VALUE"""),"Illegal Activity")</f>
        <v>Illegal Activity</v>
      </c>
      <c r="X1304" s="1" t="str">
        <f ca="1">IFERROR(__xludf.DUMMYFUNCTION("""COMPUTED_VALUE"""),"Victims Targeted")</f>
        <v>Victims Targeted</v>
      </c>
      <c r="Y1304" s="1"/>
      <c r="Z1304" s="1"/>
      <c r="AA1304" s="1" t="str">
        <f ca="1">IFERROR(__xludf.DUMMYFUNCTION("""COMPUTED_VALUE"""),"No")</f>
        <v>No</v>
      </c>
      <c r="AB1304" s="1" t="str">
        <f ca="1">IFERROR(__xludf.DUMMYFUNCTION("""COMPUTED_VALUE"""),"No")</f>
        <v>No</v>
      </c>
      <c r="AC1304" s="1" t="str">
        <f ca="1">IFERROR(__xludf.DUMMYFUNCTION("""COMPUTED_VALUE"""),"No")</f>
        <v>No</v>
      </c>
      <c r="AD1304" s="1" t="str">
        <f ca="1">IFERROR(__xludf.DUMMYFUNCTION("""COMPUTED_VALUE"""),"No")</f>
        <v>No</v>
      </c>
      <c r="AE1304" s="1" t="str">
        <f ca="1">IFERROR(__xludf.DUMMYFUNCTION("""COMPUTED_VALUE"""),"No")</f>
        <v>No</v>
      </c>
      <c r="AF1304" s="1" t="str">
        <f ca="1">IFERROR(__xludf.DUMMYFUNCTION("""COMPUTED_VALUE"""),"No")</f>
        <v>No</v>
      </c>
      <c r="AG1304" s="1" t="str">
        <f ca="1">IFERROR(__xludf.DUMMYFUNCTION("""COMPUTED_VALUE"""),"No")</f>
        <v>No</v>
      </c>
      <c r="AH1304" s="1">
        <f ca="1">IFERROR(__xludf.DUMMYFUNCTION("""COMPUTED_VALUE"""),0)</f>
        <v>0</v>
      </c>
    </row>
    <row r="1305" spans="1:34" ht="12.5">
      <c r="A1305" s="1" t="str">
        <f ca="1">IFERROR(__xludf.DUMMYFUNCTION("""COMPUTED_VALUE"""),"20180624MTSEM")</f>
        <v>20180624MTSEM</v>
      </c>
      <c r="B1305" s="1">
        <f ca="1">IFERROR(__xludf.DUMMYFUNCTION("""COMPUTED_VALUE"""),6)</f>
        <v>6</v>
      </c>
      <c r="C1305" s="1">
        <f ca="1">IFERROR(__xludf.DUMMYFUNCTION("""COMPUTED_VALUE"""),24)</f>
        <v>24</v>
      </c>
      <c r="D1305" s="1">
        <f ca="1">IFERROR(__xludf.DUMMYFUNCTION("""COMPUTED_VALUE"""),2018)</f>
        <v>2018</v>
      </c>
      <c r="E1305" s="4">
        <f ca="1">IFERROR(__xludf.DUMMYFUNCTION("""COMPUTED_VALUE"""),43275)</f>
        <v>43275</v>
      </c>
      <c r="F1305" s="1" t="str">
        <f ca="1">IFERROR(__xludf.DUMMYFUNCTION("""COMPUTED_VALUE"""),"Sentinel High School")</f>
        <v>Sentinel High School</v>
      </c>
      <c r="G1305" s="1">
        <f ca="1">IFERROR(__xludf.DUMMYFUNCTION("""COMPUTED_VALUE"""),0)</f>
        <v>0</v>
      </c>
      <c r="H1305" s="1">
        <f ca="1">IFERROR(__xludf.DUMMYFUNCTION("""COMPUTED_VALUE"""),2)</f>
        <v>2</v>
      </c>
      <c r="I1305" s="1">
        <f ca="1">IFERROR(__xludf.DUMMYFUNCTION("""COMPUTED_VALUE"""),2)</f>
        <v>2</v>
      </c>
      <c r="J1305" s="1">
        <f ca="1">IFERROR(__xludf.DUMMYFUNCTION("""COMPUTED_VALUE"""),0)</f>
        <v>0</v>
      </c>
      <c r="K1305" s="1" t="str">
        <f ca="1">IFERROR(__xludf.DUMMYFUNCTION("""COMPUTED_VALUE"""),"Summer")</f>
        <v>Summer</v>
      </c>
      <c r="L1305" s="1" t="str">
        <f ca="1">IFERROR(__xludf.DUMMYFUNCTION("""COMPUTED_VALUE"""),"Missoula")</f>
        <v>Missoula</v>
      </c>
      <c r="M1305" s="1" t="str">
        <f ca="1">IFERROR(__xludf.DUMMYFUNCTION("""COMPUTED_VALUE"""),"MT")</f>
        <v>MT</v>
      </c>
      <c r="N1305" s="1" t="str">
        <f ca="1">IFERROR(__xludf.DUMMYFUNCTION("""COMPUTED_VALUE"""),"High")</f>
        <v>High</v>
      </c>
      <c r="O1305" s="1" t="str">
        <f ca="1">IFERROR(__xludf.DUMMYFUNCTION("""COMPUTED_VALUE"""),"Field (General)")</f>
        <v>Field (General)</v>
      </c>
      <c r="P1305" s="1" t="str">
        <f ca="1">IFERROR(__xludf.DUMMYFUNCTION("""COMPUTED_VALUE"""),"Outside on School Property")</f>
        <v>Outside on School Property</v>
      </c>
      <c r="Q1305" s="1" t="str">
        <f ca="1">IFERROR(__xludf.DUMMYFUNCTION("""COMPUTED_VALUE"""),"No")</f>
        <v>No</v>
      </c>
      <c r="R1305" s="1" t="str">
        <f ca="1">IFERROR(__xludf.DUMMYFUNCTION("""COMPUTED_VALUE"""),"Sport Event")</f>
        <v>Sport Event</v>
      </c>
      <c r="S1305" s="5">
        <f ca="1">IFERROR(__xludf.DUMMYFUNCTION("""COMPUTED_VALUE"""),0.770833333333333)</f>
        <v>0.77083333333333304</v>
      </c>
      <c r="T1305" s="1">
        <f ca="1">IFERROR(__xludf.DUMMYFUNCTION("""COMPUTED_VALUE"""),1)</f>
        <v>1</v>
      </c>
      <c r="U1305" s="1" t="str">
        <f ca="1">IFERROR(__xludf.DUMMYFUNCTION("""COMPUTED_VALUE"""),"Two teens shot outside gym during open basketball practice; shooter fled; shooter and suspects had planned meeting just prior to shooting")</f>
        <v>Two teens shot outside gym during open basketball practice; shooter fled; shooter and suspects had planned meeting just prior to shooting</v>
      </c>
      <c r="V1305" s="1" t="str">
        <f ca="1">IFERROR(__xludf.DUMMYFUNCTION("""COMPUTED_VALUE"""),"17YOM shot 2 teens outside of school gym during weekend open basketball practice during illegal drug deal. Shooter fled and was later arrested. Two injured victims met the shooter in a secluded area near the gym before the shooting. Appeared targeted. The"&amp;" boy shot in the chest told an officer that the shooter “tried robbing us” and “took our money,” according to court records. Shooter had researched online how to rob drug dealers and was charged in two other related cases.")</f>
        <v>17YOM shot 2 teens outside of school gym during weekend open basketball practice during illegal drug deal. Shooter fled and was later arrested. Two injured victims met the shooter in a secluded area near the gym before the shooting. Appeared targeted. The boy shot in the chest told an officer that the shooter “tried robbing us” and “took our money,” according to court records. Shooter had researched online how to rob drug dealers and was charged in two other related cases.</v>
      </c>
      <c r="W1305" s="1" t="str">
        <f ca="1">IFERROR(__xludf.DUMMYFUNCTION("""COMPUTED_VALUE"""),"Illegal Activity")</f>
        <v>Illegal Activity</v>
      </c>
      <c r="X1305" s="1" t="str">
        <f ca="1">IFERROR(__xludf.DUMMYFUNCTION("""COMPUTED_VALUE"""),"Victims Targeted")</f>
        <v>Victims Targeted</v>
      </c>
      <c r="Y1305" s="1" t="str">
        <f ca="1">IFERROR(__xludf.DUMMYFUNCTION("""COMPUTED_VALUE"""),"No")</f>
        <v>No</v>
      </c>
      <c r="Z1305" s="1"/>
      <c r="AA1305" s="1" t="str">
        <f ca="1">IFERROR(__xludf.DUMMYFUNCTION("""COMPUTED_VALUE"""),"No")</f>
        <v>No</v>
      </c>
      <c r="AB1305" s="1" t="str">
        <f ca="1">IFERROR(__xludf.DUMMYFUNCTION("""COMPUTED_VALUE"""),"No")</f>
        <v>No</v>
      </c>
      <c r="AC1305" s="1" t="str">
        <f ca="1">IFERROR(__xludf.DUMMYFUNCTION("""COMPUTED_VALUE"""),"No")</f>
        <v>No</v>
      </c>
      <c r="AD1305" s="1" t="str">
        <f ca="1">IFERROR(__xludf.DUMMYFUNCTION("""COMPUTED_VALUE"""),"No")</f>
        <v>No</v>
      </c>
      <c r="AE1305" s="1" t="str">
        <f ca="1">IFERROR(__xludf.DUMMYFUNCTION("""COMPUTED_VALUE"""),"No")</f>
        <v>No</v>
      </c>
      <c r="AF1305" s="1" t="str">
        <f ca="1">IFERROR(__xludf.DUMMYFUNCTION("""COMPUTED_VALUE"""),"No")</f>
        <v>No</v>
      </c>
      <c r="AG1305" s="1" t="str">
        <f ca="1">IFERROR(__xludf.DUMMYFUNCTION("""COMPUTED_VALUE"""),"No")</f>
        <v>No</v>
      </c>
      <c r="AH1305" s="1">
        <f ca="1">IFERROR(__xludf.DUMMYFUNCTION("""COMPUTED_VALUE"""),4)</f>
        <v>4</v>
      </c>
    </row>
    <row r="1306" spans="1:34" ht="12.5">
      <c r="A1306" s="1" t="str">
        <f ca="1">IFERROR(__xludf.DUMMYFUNCTION("""COMPUTED_VALUE"""),"20180621TXSKD")</f>
        <v>20180621TXSKD</v>
      </c>
      <c r="B1306" s="1">
        <f ca="1">IFERROR(__xludf.DUMMYFUNCTION("""COMPUTED_VALUE"""),6)</f>
        <v>6</v>
      </c>
      <c r="C1306" s="1">
        <f ca="1">IFERROR(__xludf.DUMMYFUNCTION("""COMPUTED_VALUE"""),21)</f>
        <v>21</v>
      </c>
      <c r="D1306" s="1">
        <f ca="1">IFERROR(__xludf.DUMMYFUNCTION("""COMPUTED_VALUE"""),2018)</f>
        <v>2018</v>
      </c>
      <c r="E1306" s="4">
        <f ca="1">IFERROR(__xludf.DUMMYFUNCTION("""COMPUTED_VALUE"""),43272)</f>
        <v>43272</v>
      </c>
      <c r="F1306" s="1" t="str">
        <f ca="1">IFERROR(__xludf.DUMMYFUNCTION("""COMPUTED_VALUE"""),"Skyline High School")</f>
        <v>Skyline High School</v>
      </c>
      <c r="G1306" s="1">
        <f ca="1">IFERROR(__xludf.DUMMYFUNCTION("""COMPUTED_VALUE"""),0)</f>
        <v>0</v>
      </c>
      <c r="H1306" s="1">
        <f ca="1">IFERROR(__xludf.DUMMYFUNCTION("""COMPUTED_VALUE"""),1)</f>
        <v>1</v>
      </c>
      <c r="I1306" s="1">
        <f ca="1">IFERROR(__xludf.DUMMYFUNCTION("""COMPUTED_VALUE"""),1)</f>
        <v>1</v>
      </c>
      <c r="J1306" s="1">
        <f ca="1">IFERROR(__xludf.DUMMYFUNCTION("""COMPUTED_VALUE"""),0)</f>
        <v>0</v>
      </c>
      <c r="K1306" s="1" t="str">
        <f ca="1">IFERROR(__xludf.DUMMYFUNCTION("""COMPUTED_VALUE"""),"Summer")</f>
        <v>Summer</v>
      </c>
      <c r="L1306" s="1" t="str">
        <f ca="1">IFERROR(__xludf.DUMMYFUNCTION("""COMPUTED_VALUE"""),"Dallas")</f>
        <v>Dallas</v>
      </c>
      <c r="M1306" s="1" t="str">
        <f ca="1">IFERROR(__xludf.DUMMYFUNCTION("""COMPUTED_VALUE"""),"TX")</f>
        <v>TX</v>
      </c>
      <c r="N1306" s="1" t="str">
        <f ca="1">IFERROR(__xludf.DUMMYFUNCTION("""COMPUTED_VALUE"""),"High")</f>
        <v>High</v>
      </c>
      <c r="O1306" s="1" t="str">
        <f ca="1">IFERROR(__xludf.DUMMYFUNCTION("""COMPUTED_VALUE"""),"Football Field/Track")</f>
        <v>Football Field/Track</v>
      </c>
      <c r="P1306" s="1" t="str">
        <f ca="1">IFERROR(__xludf.DUMMYFUNCTION("""COMPUTED_VALUE"""),"Outside on School Property")</f>
        <v>Outside on School Property</v>
      </c>
      <c r="Q1306" s="1" t="str">
        <f ca="1">IFERROR(__xludf.DUMMYFUNCTION("""COMPUTED_VALUE"""),"No")</f>
        <v>No</v>
      </c>
      <c r="R1306" s="1" t="str">
        <f ca="1">IFERROR(__xludf.DUMMYFUNCTION("""COMPUTED_VALUE"""),"Before School")</f>
        <v>Before School</v>
      </c>
      <c r="S1306" s="5">
        <f ca="1">IFERROR(__xludf.DUMMYFUNCTION("""COMPUTED_VALUE"""),0.208333333333333)</f>
        <v>0.20833333333333301</v>
      </c>
      <c r="T1306" s="1">
        <f ca="1">IFERROR(__xludf.DUMMYFUNCTION("""COMPUTED_VALUE"""),1)</f>
        <v>1</v>
      </c>
      <c r="U1306" s="1" t="str">
        <f ca="1">IFERROR(__xludf.DUMMYFUNCTION("""COMPUTED_VALUE"""),"Victim shot while walking around track at school football field")</f>
        <v>Victim shot while walking around track at school football field</v>
      </c>
      <c r="V1306" s="1" t="str">
        <f ca="1">IFERROR(__xludf.DUMMYFUNCTION("""COMPUTED_VALUE"""),"16YOF shot in the ankle while walking around the track at the school football field at 5:00 AM. Suspect fired multiple shots and then fled the scene. The suspect did not know the shooter. Unidentified suspect in custody.")</f>
        <v>16YOF shot in the ankle while walking around the track at the school football field at 5:00 AM. Suspect fired multiple shots and then fled the scene. The suspect did not know the shooter. Unidentified suspect in custody.</v>
      </c>
      <c r="W1306" s="1" t="str">
        <f ca="1">IFERROR(__xludf.DUMMYFUNCTION("""COMPUTED_VALUE"""),"Unknown")</f>
        <v>Unknown</v>
      </c>
      <c r="X1306" s="1"/>
      <c r="Y1306" s="1"/>
      <c r="Z1306" s="1"/>
      <c r="AA1306" s="1" t="str">
        <f ca="1">IFERROR(__xludf.DUMMYFUNCTION("""COMPUTED_VALUE"""),"No")</f>
        <v>No</v>
      </c>
      <c r="AB1306" s="1" t="str">
        <f ca="1">IFERROR(__xludf.DUMMYFUNCTION("""COMPUTED_VALUE"""),"No")</f>
        <v>No</v>
      </c>
      <c r="AC1306" s="1" t="str">
        <f ca="1">IFERROR(__xludf.DUMMYFUNCTION("""COMPUTED_VALUE"""),"No")</f>
        <v>No</v>
      </c>
      <c r="AD1306" s="1" t="str">
        <f ca="1">IFERROR(__xludf.DUMMYFUNCTION("""COMPUTED_VALUE"""),"No")</f>
        <v>No</v>
      </c>
      <c r="AE1306" s="1" t="str">
        <f ca="1">IFERROR(__xludf.DUMMYFUNCTION("""COMPUTED_VALUE"""),"No")</f>
        <v>No</v>
      </c>
      <c r="AF1306" s="1"/>
      <c r="AG1306" s="1" t="str">
        <f ca="1">IFERROR(__xludf.DUMMYFUNCTION("""COMPUTED_VALUE"""),"No")</f>
        <v>No</v>
      </c>
      <c r="AH1306" s="1"/>
    </row>
    <row r="1307" spans="1:34" ht="12.5">
      <c r="A1307" s="1" t="str">
        <f ca="1">IFERROR(__xludf.DUMMYFUNCTION("""COMPUTED_VALUE"""),"20180617ORGRP")</f>
        <v>20180617ORGRP</v>
      </c>
      <c r="B1307" s="1">
        <f ca="1">IFERROR(__xludf.DUMMYFUNCTION("""COMPUTED_VALUE"""),6)</f>
        <v>6</v>
      </c>
      <c r="C1307" s="1">
        <f ca="1">IFERROR(__xludf.DUMMYFUNCTION("""COMPUTED_VALUE"""),17)</f>
        <v>17</v>
      </c>
      <c r="D1307" s="1">
        <f ca="1">IFERROR(__xludf.DUMMYFUNCTION("""COMPUTED_VALUE"""),2018)</f>
        <v>2018</v>
      </c>
      <c r="E1307" s="4">
        <f ca="1">IFERROR(__xludf.DUMMYFUNCTION("""COMPUTED_VALUE"""),43268)</f>
        <v>43268</v>
      </c>
      <c r="F1307" s="1" t="str">
        <f ca="1">IFERROR(__xludf.DUMMYFUNCTION("""COMPUTED_VALUE"""),"Grant High School")</f>
        <v>Grant High School</v>
      </c>
      <c r="G1307" s="1">
        <f ca="1">IFERROR(__xludf.DUMMYFUNCTION("""COMPUTED_VALUE"""),1)</f>
        <v>1</v>
      </c>
      <c r="H1307" s="1">
        <f ca="1">IFERROR(__xludf.DUMMYFUNCTION("""COMPUTED_VALUE"""),0)</f>
        <v>0</v>
      </c>
      <c r="I1307" s="1">
        <f ca="1">IFERROR(__xludf.DUMMYFUNCTION("""COMPUTED_VALUE"""),1)</f>
        <v>1</v>
      </c>
      <c r="J1307" s="1">
        <f ca="1">IFERROR(__xludf.DUMMYFUNCTION("""COMPUTED_VALUE"""),0)</f>
        <v>0</v>
      </c>
      <c r="K1307" s="1" t="str">
        <f ca="1">IFERROR(__xludf.DUMMYFUNCTION("""COMPUTED_VALUE"""),"Summer")</f>
        <v>Summer</v>
      </c>
      <c r="L1307" s="1" t="str">
        <f ca="1">IFERROR(__xludf.DUMMYFUNCTION("""COMPUTED_VALUE"""),"Portland")</f>
        <v>Portland</v>
      </c>
      <c r="M1307" s="1" t="str">
        <f ca="1">IFERROR(__xludf.DUMMYFUNCTION("""COMPUTED_VALUE"""),"OR")</f>
        <v>OR</v>
      </c>
      <c r="N1307" s="1" t="str">
        <f ca="1">IFERROR(__xludf.DUMMYFUNCTION("""COMPUTED_VALUE"""),"High")</f>
        <v>High</v>
      </c>
      <c r="O1307" s="1" t="str">
        <f ca="1">IFERROR(__xludf.DUMMYFUNCTION("""COMPUTED_VALUE"""),"Football Field/Track")</f>
        <v>Football Field/Track</v>
      </c>
      <c r="P1307" s="1" t="str">
        <f ca="1">IFERROR(__xludf.DUMMYFUNCTION("""COMPUTED_VALUE"""),"Outside on School Property")</f>
        <v>Outside on School Property</v>
      </c>
      <c r="Q1307" s="1" t="str">
        <f ca="1">IFERROR(__xludf.DUMMYFUNCTION("""COMPUTED_VALUE"""),"No")</f>
        <v>No</v>
      </c>
      <c r="R1307" s="1" t="str">
        <f ca="1">IFERROR(__xludf.DUMMYFUNCTION("""COMPUTED_VALUE"""),"Night")</f>
        <v>Night</v>
      </c>
      <c r="S1307" s="5">
        <f ca="1">IFERROR(__xludf.DUMMYFUNCTION("""COMPUTED_VALUE"""),0.197916666666666)</f>
        <v>0.19791666666666599</v>
      </c>
      <c r="T1307" s="1">
        <f ca="1">IFERROR(__xludf.DUMMYFUNCTION("""COMPUTED_VALUE"""),1)</f>
        <v>1</v>
      </c>
      <c r="U1307" s="1" t="str">
        <f ca="1">IFERROR(__xludf.DUMMYFUNCTION("""COMPUTED_VALUE"""),"Man found dead from GSW on the outdoor track")</f>
        <v>Man found dead from GSW on the outdoor track</v>
      </c>
      <c r="V1307" s="1" t="str">
        <f ca="1">IFERROR(__xludf.DUMMYFUNCTION("""COMPUTED_VALUE"""),"Portland police say a man was found shot to death on a high school track.")</f>
        <v>Portland police say a man was found shot to death on a high school track.</v>
      </c>
      <c r="W1307" s="1" t="str">
        <f ca="1">IFERROR(__xludf.DUMMYFUNCTION("""COMPUTED_VALUE"""),"Unknown")</f>
        <v>Unknown</v>
      </c>
      <c r="X1307" s="1"/>
      <c r="Y1307" s="1"/>
      <c r="Z1307" s="1"/>
      <c r="AA1307" s="1" t="str">
        <f ca="1">IFERROR(__xludf.DUMMYFUNCTION("""COMPUTED_VALUE"""),"No")</f>
        <v>No</v>
      </c>
      <c r="AB1307" s="1" t="str">
        <f ca="1">IFERROR(__xludf.DUMMYFUNCTION("""COMPUTED_VALUE"""),"No")</f>
        <v>No</v>
      </c>
      <c r="AC1307" s="1" t="str">
        <f ca="1">IFERROR(__xludf.DUMMYFUNCTION("""COMPUTED_VALUE"""),"No")</f>
        <v>No</v>
      </c>
      <c r="AD1307" s="1" t="str">
        <f ca="1">IFERROR(__xludf.DUMMYFUNCTION("""COMPUTED_VALUE"""),"No")</f>
        <v>No</v>
      </c>
      <c r="AE1307" s="1" t="str">
        <f ca="1">IFERROR(__xludf.DUMMYFUNCTION("""COMPUTED_VALUE"""),"No")</f>
        <v>No</v>
      </c>
      <c r="AF1307" s="1"/>
      <c r="AG1307" s="1" t="str">
        <f ca="1">IFERROR(__xludf.DUMMYFUNCTION("""COMPUTED_VALUE"""),"No")</f>
        <v>No</v>
      </c>
      <c r="AH1307" s="1"/>
    </row>
    <row r="1308" spans="1:34" ht="12.5">
      <c r="A1308" s="1" t="str">
        <f ca="1">IFERROR(__xludf.DUMMYFUNCTION("""COMPUTED_VALUE"""),"20180615OHVAB")</f>
        <v>20180615OHVAB</v>
      </c>
      <c r="B1308" s="1">
        <f ca="1">IFERROR(__xludf.DUMMYFUNCTION("""COMPUTED_VALUE"""),6)</f>
        <v>6</v>
      </c>
      <c r="C1308" s="1">
        <f ca="1">IFERROR(__xludf.DUMMYFUNCTION("""COMPUTED_VALUE"""),15)</f>
        <v>15</v>
      </c>
      <c r="D1308" s="1">
        <f ca="1">IFERROR(__xludf.DUMMYFUNCTION("""COMPUTED_VALUE"""),2018)</f>
        <v>2018</v>
      </c>
      <c r="E1308" s="4">
        <f ca="1">IFERROR(__xludf.DUMMYFUNCTION("""COMPUTED_VALUE"""),43266)</f>
        <v>43266</v>
      </c>
      <c r="F1308" s="1" t="str">
        <f ca="1">IFERROR(__xludf.DUMMYFUNCTION("""COMPUTED_VALUE"""),"Valley Elementary School")</f>
        <v>Valley Elementary School</v>
      </c>
      <c r="G1308" s="1">
        <f ca="1">IFERROR(__xludf.DUMMYFUNCTION("""COMPUTED_VALUE"""),0)</f>
        <v>0</v>
      </c>
      <c r="H1308" s="1">
        <f ca="1">IFERROR(__xludf.DUMMYFUNCTION("""COMPUTED_VALUE"""),0)</f>
        <v>0</v>
      </c>
      <c r="I1308" s="1">
        <f ca="1">IFERROR(__xludf.DUMMYFUNCTION("""COMPUTED_VALUE"""),0)</f>
        <v>0</v>
      </c>
      <c r="J1308" s="1">
        <f ca="1">IFERROR(__xludf.DUMMYFUNCTION("""COMPUTED_VALUE"""),0)</f>
        <v>0</v>
      </c>
      <c r="K1308" s="1" t="str">
        <f ca="1">IFERROR(__xludf.DUMMYFUNCTION("""COMPUTED_VALUE"""),"Summer")</f>
        <v>Summer</v>
      </c>
      <c r="L1308" s="1" t="str">
        <f ca="1">IFERROR(__xludf.DUMMYFUNCTION("""COMPUTED_VALUE"""),"Beaver Creek")</f>
        <v>Beaver Creek</v>
      </c>
      <c r="M1308" s="1" t="str">
        <f ca="1">IFERROR(__xludf.DUMMYFUNCTION("""COMPUTED_VALUE"""),"OH")</f>
        <v>OH</v>
      </c>
      <c r="N1308" s="1" t="str">
        <f ca="1">IFERROR(__xludf.DUMMYFUNCTION("""COMPUTED_VALUE"""),"Elementary")</f>
        <v>Elementary</v>
      </c>
      <c r="O1308" s="1" t="str">
        <f ca="1">IFERROR(__xludf.DUMMYFUNCTION("""COMPUTED_VALUE"""),"Basketball Court")</f>
        <v>Basketball Court</v>
      </c>
      <c r="P1308" s="1" t="str">
        <f ca="1">IFERROR(__xludf.DUMMYFUNCTION("""COMPUTED_VALUE"""),"Outside on School Property")</f>
        <v>Outside on School Property</v>
      </c>
      <c r="Q1308" s="1" t="str">
        <f ca="1">IFERROR(__xludf.DUMMYFUNCTION("""COMPUTED_VALUE"""),"No")</f>
        <v>No</v>
      </c>
      <c r="R1308" s="1" t="str">
        <f ca="1">IFERROR(__xludf.DUMMYFUNCTION("""COMPUTED_VALUE"""),"Night")</f>
        <v>Night</v>
      </c>
      <c r="S1308" s="5">
        <f ca="1">IFERROR(__xludf.DUMMYFUNCTION("""COMPUTED_VALUE"""),0.166666666666666)</f>
        <v>0.16666666666666599</v>
      </c>
      <c r="T1308" s="1">
        <f ca="1">IFERROR(__xludf.DUMMYFUNCTION("""COMPUTED_VALUE"""),1)</f>
        <v>1</v>
      </c>
      <c r="U1308" s="1" t="str">
        <f ca="1">IFERROR(__xludf.DUMMYFUNCTION("""COMPUTED_VALUE"""),"Shot fired during domestic dispute on basketball court")</f>
        <v>Shot fired during domestic dispute on basketball court</v>
      </c>
      <c r="V1308" s="1" t="str">
        <f ca="1">IFERROR(__xludf.DUMMYFUNCTION("""COMPUTED_VALUE"""),"17YOM fired shot at female during a domestic dispute on the basketball court of the elementary school at 4:00 AM. Shell casing was found but all parties involved were gone when police arrived. Shooter was arrested later.")</f>
        <v>17YOM fired shot at female during a domestic dispute on the basketball court of the elementary school at 4:00 AM. Shell casing was found but all parties involved were gone when police arrived. Shooter was arrested later.</v>
      </c>
      <c r="W1308" s="1" t="str">
        <f ca="1">IFERROR(__xludf.DUMMYFUNCTION("""COMPUTED_VALUE"""),"Domestic w/ Targeted Victim")</f>
        <v>Domestic w/ Targeted Victim</v>
      </c>
      <c r="X1308" s="1" t="str">
        <f ca="1">IFERROR(__xludf.DUMMYFUNCTION("""COMPUTED_VALUE"""),"Victims Targeted")</f>
        <v>Victims Targeted</v>
      </c>
      <c r="Y1308" s="1"/>
      <c r="Z1308" s="1"/>
      <c r="AA1308" s="1" t="str">
        <f ca="1">IFERROR(__xludf.DUMMYFUNCTION("""COMPUTED_VALUE"""),"No")</f>
        <v>No</v>
      </c>
      <c r="AB1308" s="1" t="str">
        <f ca="1">IFERROR(__xludf.DUMMYFUNCTION("""COMPUTED_VALUE"""),"No")</f>
        <v>No</v>
      </c>
      <c r="AC1308" s="1" t="str">
        <f ca="1">IFERROR(__xludf.DUMMYFUNCTION("""COMPUTED_VALUE"""),"No")</f>
        <v>No</v>
      </c>
      <c r="AD1308" s="1" t="str">
        <f ca="1">IFERROR(__xludf.DUMMYFUNCTION("""COMPUTED_VALUE"""),"No")</f>
        <v>No</v>
      </c>
      <c r="AE1308" s="1" t="str">
        <f ca="1">IFERROR(__xludf.DUMMYFUNCTION("""COMPUTED_VALUE"""),"Yes")</f>
        <v>Yes</v>
      </c>
      <c r="AF1308" s="1" t="str">
        <f ca="1">IFERROR(__xludf.DUMMYFUNCTION("""COMPUTED_VALUE"""),"No")</f>
        <v>No</v>
      </c>
      <c r="AG1308" s="1" t="str">
        <f ca="1">IFERROR(__xludf.DUMMYFUNCTION("""COMPUTED_VALUE"""),"No")</f>
        <v>No</v>
      </c>
      <c r="AH1308" s="1">
        <f ca="1">IFERROR(__xludf.DUMMYFUNCTION("""COMPUTED_VALUE"""),1)</f>
        <v>1</v>
      </c>
    </row>
    <row r="1309" spans="1:34" ht="12.5">
      <c r="A1309" s="1" t="str">
        <f ca="1">IFERROR(__xludf.DUMMYFUNCTION("""COMPUTED_VALUE"""),"20180601TXMCM")</f>
        <v>20180601TXMCM</v>
      </c>
      <c r="B1309" s="1">
        <f ca="1">IFERROR(__xludf.DUMMYFUNCTION("""COMPUTED_VALUE"""),6)</f>
        <v>6</v>
      </c>
      <c r="C1309" s="1">
        <f ca="1">IFERROR(__xludf.DUMMYFUNCTION("""COMPUTED_VALUE"""),1)</f>
        <v>1</v>
      </c>
      <c r="D1309" s="1">
        <f ca="1">IFERROR(__xludf.DUMMYFUNCTION("""COMPUTED_VALUE"""),2018)</f>
        <v>2018</v>
      </c>
      <c r="E1309" s="4">
        <f ca="1">IFERROR(__xludf.DUMMYFUNCTION("""COMPUTED_VALUE"""),43252)</f>
        <v>43252</v>
      </c>
      <c r="F1309" s="1" t="str">
        <f ca="1">IFERROR(__xludf.DUMMYFUNCTION("""COMPUTED_VALUE"""),"McKinney North High School")</f>
        <v>McKinney North High School</v>
      </c>
      <c r="G1309" s="1">
        <f ca="1">IFERROR(__xludf.DUMMYFUNCTION("""COMPUTED_VALUE"""),0)</f>
        <v>0</v>
      </c>
      <c r="H1309" s="1">
        <f ca="1">IFERROR(__xludf.DUMMYFUNCTION("""COMPUTED_VALUE"""),0)</f>
        <v>0</v>
      </c>
      <c r="I1309" s="1">
        <f ca="1">IFERROR(__xludf.DUMMYFUNCTION("""COMPUTED_VALUE"""),0)</f>
        <v>0</v>
      </c>
      <c r="J1309" s="1">
        <f ca="1">IFERROR(__xludf.DUMMYFUNCTION("""COMPUTED_VALUE"""),1)</f>
        <v>1</v>
      </c>
      <c r="K1309" s="1" t="str">
        <f ca="1">IFERROR(__xludf.DUMMYFUNCTION("""COMPUTED_VALUE"""),"Summer")</f>
        <v>Summer</v>
      </c>
      <c r="L1309" s="1" t="str">
        <f ca="1">IFERROR(__xludf.DUMMYFUNCTION("""COMPUTED_VALUE"""),"McKinney")</f>
        <v>McKinney</v>
      </c>
      <c r="M1309" s="1" t="str">
        <f ca="1">IFERROR(__xludf.DUMMYFUNCTION("""COMPUTED_VALUE"""),"TX")</f>
        <v>TX</v>
      </c>
      <c r="N1309" s="1" t="str">
        <f ca="1">IFERROR(__xludf.DUMMYFUNCTION("""COMPUTED_VALUE"""),"High")</f>
        <v>High</v>
      </c>
      <c r="O1309" s="1" t="str">
        <f ca="1">IFERROR(__xludf.DUMMYFUNCTION("""COMPUTED_VALUE"""),"Classroom")</f>
        <v>Classroom</v>
      </c>
      <c r="P1309" s="1" t="str">
        <f ca="1">IFERROR(__xludf.DUMMYFUNCTION("""COMPUTED_VALUE"""),"Inside School Building")</f>
        <v>Inside School Building</v>
      </c>
      <c r="Q1309" s="1" t="str">
        <f ca="1">IFERROR(__xludf.DUMMYFUNCTION("""COMPUTED_VALUE"""),"Yes")</f>
        <v>Yes</v>
      </c>
      <c r="R1309" s="1" t="str">
        <f ca="1">IFERROR(__xludf.DUMMYFUNCTION("""COMPUTED_VALUE"""),"Morning Classes")</f>
        <v>Morning Classes</v>
      </c>
      <c r="S1309" s="1"/>
      <c r="T1309" s="1">
        <f ca="1">IFERROR(__xludf.DUMMYFUNCTION("""COMPUTED_VALUE"""),1)</f>
        <v>1</v>
      </c>
      <c r="U1309" s="1" t="str">
        <f ca="1">IFERROR(__xludf.DUMMYFUNCTION("""COMPUTED_VALUE"""),"Student commit suicide in classroom")</f>
        <v>Student commit suicide in classroom</v>
      </c>
      <c r="V1309" s="1" t="str">
        <f ca="1">IFERROR(__xludf.DUMMYFUNCTION("""COMPUTED_VALUE"""),"Student commit suicide in classroom. Found by teacher and student. School locked down following single gunshot.")</f>
        <v>Student commit suicide in classroom. Found by teacher and student. School locked down following single gunshot.</v>
      </c>
      <c r="W1309" s="1" t="str">
        <f ca="1">IFERROR(__xludf.DUMMYFUNCTION("""COMPUTED_VALUE"""),"Suicide/Attempted")</f>
        <v>Suicide/Attempted</v>
      </c>
      <c r="X1309" s="1" t="str">
        <f ca="1">IFERROR(__xludf.DUMMYFUNCTION("""COMPUTED_VALUE"""),"Victims Targeted")</f>
        <v>Victims Targeted</v>
      </c>
      <c r="Y1309" s="1" t="str">
        <f ca="1">IFERROR(__xludf.DUMMYFUNCTION("""COMPUTED_VALUE"""),"No")</f>
        <v>No</v>
      </c>
      <c r="Z1309" s="1"/>
      <c r="AA1309" s="1" t="str">
        <f ca="1">IFERROR(__xludf.DUMMYFUNCTION("""COMPUTED_VALUE"""),"No")</f>
        <v>No</v>
      </c>
      <c r="AB1309" s="1" t="str">
        <f ca="1">IFERROR(__xludf.DUMMYFUNCTION("""COMPUTED_VALUE"""),"No")</f>
        <v>No</v>
      </c>
      <c r="AC1309" s="1" t="str">
        <f ca="1">IFERROR(__xludf.DUMMYFUNCTION("""COMPUTED_VALUE"""),"No")</f>
        <v>No</v>
      </c>
      <c r="AD1309" s="1" t="str">
        <f ca="1">IFERROR(__xludf.DUMMYFUNCTION("""COMPUTED_VALUE"""),"No")</f>
        <v>No</v>
      </c>
      <c r="AE1309" s="1" t="str">
        <f ca="1">IFERROR(__xludf.DUMMYFUNCTION("""COMPUTED_VALUE"""),"No")</f>
        <v>No</v>
      </c>
      <c r="AF1309" s="1" t="str">
        <f ca="1">IFERROR(__xludf.DUMMYFUNCTION("""COMPUTED_VALUE"""),"No")</f>
        <v>No</v>
      </c>
      <c r="AG1309" s="1" t="str">
        <f ca="1">IFERROR(__xludf.DUMMYFUNCTION("""COMPUTED_VALUE"""),"No")</f>
        <v>No</v>
      </c>
      <c r="AH1309" s="1">
        <f ca="1">IFERROR(__xludf.DUMMYFUNCTION("""COMPUTED_VALUE"""),1)</f>
        <v>1</v>
      </c>
    </row>
    <row r="1310" spans="1:34" ht="12.5">
      <c r="A1310" s="1" t="str">
        <f ca="1">IFERROR(__xludf.DUMMYFUNCTION("""COMPUTED_VALUE"""),"20180525INNON")</f>
        <v>20180525INNON</v>
      </c>
      <c r="B1310" s="1">
        <f ca="1">IFERROR(__xludf.DUMMYFUNCTION("""COMPUTED_VALUE"""),5)</f>
        <v>5</v>
      </c>
      <c r="C1310" s="1">
        <f ca="1">IFERROR(__xludf.DUMMYFUNCTION("""COMPUTED_VALUE"""),25)</f>
        <v>25</v>
      </c>
      <c r="D1310" s="1">
        <f ca="1">IFERROR(__xludf.DUMMYFUNCTION("""COMPUTED_VALUE"""),2018)</f>
        <v>2018</v>
      </c>
      <c r="E1310" s="4">
        <f ca="1">IFERROR(__xludf.DUMMYFUNCTION("""COMPUTED_VALUE"""),43245)</f>
        <v>43245</v>
      </c>
      <c r="F1310" s="1" t="str">
        <f ca="1">IFERROR(__xludf.DUMMYFUNCTION("""COMPUTED_VALUE"""),"Noblesville West Middle School")</f>
        <v>Noblesville West Middle School</v>
      </c>
      <c r="G1310" s="1">
        <f ca="1">IFERROR(__xludf.DUMMYFUNCTION("""COMPUTED_VALUE"""),0)</f>
        <v>0</v>
      </c>
      <c r="H1310" s="1">
        <f ca="1">IFERROR(__xludf.DUMMYFUNCTION("""COMPUTED_VALUE"""),2)</f>
        <v>2</v>
      </c>
      <c r="I1310" s="1">
        <f ca="1">IFERROR(__xludf.DUMMYFUNCTION("""COMPUTED_VALUE"""),2)</f>
        <v>2</v>
      </c>
      <c r="J1310" s="1">
        <f ca="1">IFERROR(__xludf.DUMMYFUNCTION("""COMPUTED_VALUE"""),0)</f>
        <v>0</v>
      </c>
      <c r="K1310" s="1" t="str">
        <f ca="1">IFERROR(__xludf.DUMMYFUNCTION("""COMPUTED_VALUE"""),"Spring")</f>
        <v>Spring</v>
      </c>
      <c r="L1310" s="1" t="str">
        <f ca="1">IFERROR(__xludf.DUMMYFUNCTION("""COMPUTED_VALUE"""),"Noblesville")</f>
        <v>Noblesville</v>
      </c>
      <c r="M1310" s="1" t="str">
        <f ca="1">IFERROR(__xludf.DUMMYFUNCTION("""COMPUTED_VALUE"""),"IN")</f>
        <v>IN</v>
      </c>
      <c r="N1310" s="1" t="str">
        <f ca="1">IFERROR(__xludf.DUMMYFUNCTION("""COMPUTED_VALUE"""),"Middle")</f>
        <v>Middle</v>
      </c>
      <c r="O1310" s="1" t="str">
        <f ca="1">IFERROR(__xludf.DUMMYFUNCTION("""COMPUTED_VALUE"""),"Classroom")</f>
        <v>Classroom</v>
      </c>
      <c r="P1310" s="1" t="str">
        <f ca="1">IFERROR(__xludf.DUMMYFUNCTION("""COMPUTED_VALUE"""),"Inside School Building")</f>
        <v>Inside School Building</v>
      </c>
      <c r="Q1310" s="1" t="str">
        <f ca="1">IFERROR(__xludf.DUMMYFUNCTION("""COMPUTED_VALUE"""),"Yes")</f>
        <v>Yes</v>
      </c>
      <c r="R1310" s="1" t="str">
        <f ca="1">IFERROR(__xludf.DUMMYFUNCTION("""COMPUTED_VALUE"""),"Morning Classes")</f>
        <v>Morning Classes</v>
      </c>
      <c r="S1310" s="5">
        <f ca="1">IFERROR(__xludf.DUMMYFUNCTION("""COMPUTED_VALUE"""),0.375)</f>
        <v>0.375</v>
      </c>
      <c r="T1310" s="1">
        <f ca="1">IFERROR(__xludf.DUMMYFUNCTION("""COMPUTED_VALUE"""),1)</f>
        <v>1</v>
      </c>
      <c r="U1310" s="1" t="str">
        <f ca="1">IFERROR(__xludf.DUMMYFUNCTION("""COMPUTED_VALUE"""),"Planned attack by student, stopped by teacher")</f>
        <v>Planned attack by student, stopped by teacher</v>
      </c>
      <c r="V1310" s="1" t="str">
        <f ca="1">IFERROR(__xludf.DUMMYFUNCTION("""COMPUTED_VALUE"""),"Shooter (male student) asked to be excused, walked back into classroom and pulled two handguns from his pockets. Shooter fired and wounded a female student. Teacher was holding a basketball and threw it at the shooter then tackled him. Teacher was shot 3 "&amp;"times while charging at the shooter. Teacher was able to hold the student down until police arrived. Shooter was reported as a ""nice funny guy"". Weapons: .22 and .45")</f>
        <v>Shooter (male student) asked to be excused, walked back into classroom and pulled two handguns from his pockets. Shooter fired and wounded a female student. Teacher was holding a basketball and threw it at the shooter then tackled him. Teacher was shot 3 times while charging at the shooter. Teacher was able to hold the student down until police arrived. Shooter was reported as a "nice funny guy". Weapons: .22 and .45</v>
      </c>
      <c r="W1310" s="1" t="str">
        <f ca="1">IFERROR(__xludf.DUMMYFUNCTION("""COMPUTED_VALUE"""),"Indiscriminate Shooting")</f>
        <v>Indiscriminate Shooting</v>
      </c>
      <c r="X1310" s="1" t="str">
        <f ca="1">IFERROR(__xludf.DUMMYFUNCTION("""COMPUTED_VALUE"""),"Victims Targeted")</f>
        <v>Victims Targeted</v>
      </c>
      <c r="Y1310" s="1" t="str">
        <f ca="1">IFERROR(__xludf.DUMMYFUNCTION("""COMPUTED_VALUE"""),"No")</f>
        <v>No</v>
      </c>
      <c r="Z1310" s="1"/>
      <c r="AA1310" s="1" t="str">
        <f ca="1">IFERROR(__xludf.DUMMYFUNCTION("""COMPUTED_VALUE"""),"No")</f>
        <v>No</v>
      </c>
      <c r="AB1310" s="1" t="str">
        <f ca="1">IFERROR(__xludf.DUMMYFUNCTION("""COMPUTED_VALUE"""),"No")</f>
        <v>No</v>
      </c>
      <c r="AC1310" s="1" t="str">
        <f ca="1">IFERROR(__xludf.DUMMYFUNCTION("""COMPUTED_VALUE"""),"No")</f>
        <v>No</v>
      </c>
      <c r="AD1310" s="1" t="str">
        <f ca="1">IFERROR(__xludf.DUMMYFUNCTION("""COMPUTED_VALUE"""),"No")</f>
        <v>No</v>
      </c>
      <c r="AE1310" s="1" t="str">
        <f ca="1">IFERROR(__xludf.DUMMYFUNCTION("""COMPUTED_VALUE"""),"No")</f>
        <v>No</v>
      </c>
      <c r="AF1310" s="1" t="str">
        <f ca="1">IFERROR(__xludf.DUMMYFUNCTION("""COMPUTED_VALUE"""),"No")</f>
        <v>No</v>
      </c>
      <c r="AG1310" s="1" t="str">
        <f ca="1">IFERROR(__xludf.DUMMYFUNCTION("""COMPUTED_VALUE"""),"Yes")</f>
        <v>Yes</v>
      </c>
      <c r="AH1310" s="1">
        <f ca="1">IFERROR(__xludf.DUMMYFUNCTION("""COMPUTED_VALUE"""),10)</f>
        <v>10</v>
      </c>
    </row>
    <row r="1311" spans="1:34" ht="12.5">
      <c r="A1311" s="1" t="str">
        <f ca="1">IFERROR(__xludf.DUMMYFUNCTION("""COMPUTED_VALUE"""),"20180521GABEG")</f>
        <v>20180521GABEG</v>
      </c>
      <c r="B1311" s="1">
        <f ca="1">IFERROR(__xludf.DUMMYFUNCTION("""COMPUTED_VALUE"""),5)</f>
        <v>5</v>
      </c>
      <c r="C1311" s="1">
        <f ca="1">IFERROR(__xludf.DUMMYFUNCTION("""COMPUTED_VALUE"""),21)</f>
        <v>21</v>
      </c>
      <c r="D1311" s="1">
        <f ca="1">IFERROR(__xludf.DUMMYFUNCTION("""COMPUTED_VALUE"""),2018)</f>
        <v>2018</v>
      </c>
      <c r="E1311" s="4">
        <f ca="1">IFERROR(__xludf.DUMMYFUNCTION("""COMPUTED_VALUE"""),43241)</f>
        <v>43241</v>
      </c>
      <c r="F1311" s="1" t="str">
        <f ca="1">IFERROR(__xludf.DUMMYFUNCTION("""COMPUTED_VALUE"""),"Beaverbrook Elementary School")</f>
        <v>Beaverbrook Elementary School</v>
      </c>
      <c r="G1311" s="1">
        <f ca="1">IFERROR(__xludf.DUMMYFUNCTION("""COMPUTED_VALUE"""),0)</f>
        <v>0</v>
      </c>
      <c r="H1311" s="1">
        <f ca="1">IFERROR(__xludf.DUMMYFUNCTION("""COMPUTED_VALUE"""),1)</f>
        <v>1</v>
      </c>
      <c r="I1311" s="1">
        <f ca="1">IFERROR(__xludf.DUMMYFUNCTION("""COMPUTED_VALUE"""),1)</f>
        <v>1</v>
      </c>
      <c r="J1311" s="1">
        <f ca="1">IFERROR(__xludf.DUMMYFUNCTION("""COMPUTED_VALUE"""),0)</f>
        <v>0</v>
      </c>
      <c r="K1311" s="1" t="str">
        <f ca="1">IFERROR(__xludf.DUMMYFUNCTION("""COMPUTED_VALUE"""),"Spring")</f>
        <v>Spring</v>
      </c>
      <c r="L1311" s="1" t="str">
        <f ca="1">IFERROR(__xludf.DUMMYFUNCTION("""COMPUTED_VALUE"""),"Griffin")</f>
        <v>Griffin</v>
      </c>
      <c r="M1311" s="1" t="str">
        <f ca="1">IFERROR(__xludf.DUMMYFUNCTION("""COMPUTED_VALUE"""),"GA")</f>
        <v>GA</v>
      </c>
      <c r="N1311" s="1" t="str">
        <f ca="1">IFERROR(__xludf.DUMMYFUNCTION("""COMPUTED_VALUE"""),"High")</f>
        <v>High</v>
      </c>
      <c r="O1311" s="1" t="str">
        <f ca="1">IFERROR(__xludf.DUMMYFUNCTION("""COMPUTED_VALUE"""),"Parking Lot")</f>
        <v>Parking Lot</v>
      </c>
      <c r="P1311" s="1" t="str">
        <f ca="1">IFERROR(__xludf.DUMMYFUNCTION("""COMPUTED_VALUE"""),"Outside on School Property")</f>
        <v>Outside on School Property</v>
      </c>
      <c r="Q1311" s="1" t="str">
        <f ca="1">IFERROR(__xludf.DUMMYFUNCTION("""COMPUTED_VALUE"""),"Yes")</f>
        <v>Yes</v>
      </c>
      <c r="R1311" s="1" t="str">
        <f ca="1">IFERROR(__xludf.DUMMYFUNCTION("""COMPUTED_VALUE"""),"Afternoon Classes")</f>
        <v>Afternoon Classes</v>
      </c>
      <c r="S1311" s="1"/>
      <c r="T1311" s="1">
        <f ca="1">IFERROR(__xludf.DUMMYFUNCTION("""COMPUTED_VALUE"""),1)</f>
        <v>1</v>
      </c>
      <c r="U1311" s="1" t="str">
        <f ca="1">IFERROR(__xludf.DUMMYFUNCTION("""COMPUTED_VALUE"""),"Woman shot in school parking lot")</f>
        <v>Woman shot in school parking lot</v>
      </c>
      <c r="V1311" s="1" t="str">
        <f ca="1">IFERROR(__xludf.DUMMYFUNCTION("""COMPUTED_VALUE"""),"Woman shot in the parking lot. Police said the shooting was unrelated to the school and students were not in danger. No suspect or motive identified. Unclear if shooting was intentional or targeted.")</f>
        <v>Woman shot in the parking lot. Police said the shooting was unrelated to the school and students were not in danger. No suspect or motive identified. Unclear if shooting was intentional or targeted.</v>
      </c>
      <c r="W1311" s="1" t="str">
        <f ca="1">IFERROR(__xludf.DUMMYFUNCTION("""COMPUTED_VALUE"""),"Unknown")</f>
        <v>Unknown</v>
      </c>
      <c r="X1311" s="1" t="str">
        <f ca="1">IFERROR(__xludf.DUMMYFUNCTION("""COMPUTED_VALUE"""),"Random Shooting")</f>
        <v>Random Shooting</v>
      </c>
      <c r="Y1311" s="1"/>
      <c r="Z1311" s="1"/>
      <c r="AA1311" s="1" t="str">
        <f ca="1">IFERROR(__xludf.DUMMYFUNCTION("""COMPUTED_VALUE"""),"No")</f>
        <v>No</v>
      </c>
      <c r="AB1311" s="1" t="str">
        <f ca="1">IFERROR(__xludf.DUMMYFUNCTION("""COMPUTED_VALUE"""),"No")</f>
        <v>No</v>
      </c>
      <c r="AC1311" s="1" t="str">
        <f ca="1">IFERROR(__xludf.DUMMYFUNCTION("""COMPUTED_VALUE"""),"No")</f>
        <v>No</v>
      </c>
      <c r="AD1311" s="1" t="str">
        <f ca="1">IFERROR(__xludf.DUMMYFUNCTION("""COMPUTED_VALUE"""),"No")</f>
        <v>No</v>
      </c>
      <c r="AE1311" s="1" t="str">
        <f ca="1">IFERROR(__xludf.DUMMYFUNCTION("""COMPUTED_VALUE"""),"No")</f>
        <v>No</v>
      </c>
      <c r="AF1311" s="1" t="str">
        <f ca="1">IFERROR(__xludf.DUMMYFUNCTION("""COMPUTED_VALUE"""),"No")</f>
        <v>No</v>
      </c>
      <c r="AG1311" s="1" t="str">
        <f ca="1">IFERROR(__xludf.DUMMYFUNCTION("""COMPUTED_VALUE"""),"No")</f>
        <v>No</v>
      </c>
      <c r="AH1311" s="1">
        <f ca="1">IFERROR(__xludf.DUMMYFUNCTION("""COMPUTED_VALUE"""),1)</f>
        <v>1</v>
      </c>
    </row>
    <row r="1312" spans="1:34" ht="12.5">
      <c r="A1312" s="1" t="str">
        <f ca="1">IFERROR(__xludf.DUMMYFUNCTION("""COMPUTED_VALUE"""),"20180518TXSAS")</f>
        <v>20180518TXSAS</v>
      </c>
      <c r="B1312" s="1">
        <f ca="1">IFERROR(__xludf.DUMMYFUNCTION("""COMPUTED_VALUE"""),5)</f>
        <v>5</v>
      </c>
      <c r="C1312" s="1">
        <f ca="1">IFERROR(__xludf.DUMMYFUNCTION("""COMPUTED_VALUE"""),18)</f>
        <v>18</v>
      </c>
      <c r="D1312" s="1">
        <f ca="1">IFERROR(__xludf.DUMMYFUNCTION("""COMPUTED_VALUE"""),2018)</f>
        <v>2018</v>
      </c>
      <c r="E1312" s="4">
        <f ca="1">IFERROR(__xludf.DUMMYFUNCTION("""COMPUTED_VALUE"""),43238)</f>
        <v>43238</v>
      </c>
      <c r="F1312" s="1" t="str">
        <f ca="1">IFERROR(__xludf.DUMMYFUNCTION("""COMPUTED_VALUE"""),"Santa Fe High School")</f>
        <v>Santa Fe High School</v>
      </c>
      <c r="G1312" s="1">
        <f ca="1">IFERROR(__xludf.DUMMYFUNCTION("""COMPUTED_VALUE"""),10)</f>
        <v>10</v>
      </c>
      <c r="H1312" s="1">
        <f ca="1">IFERROR(__xludf.DUMMYFUNCTION("""COMPUTED_VALUE"""),13)</f>
        <v>13</v>
      </c>
      <c r="I1312" s="1">
        <f ca="1">IFERROR(__xludf.DUMMYFUNCTION("""COMPUTED_VALUE"""),23)</f>
        <v>23</v>
      </c>
      <c r="J1312" s="1">
        <f ca="1">IFERROR(__xludf.DUMMYFUNCTION("""COMPUTED_VALUE"""),0)</f>
        <v>0</v>
      </c>
      <c r="K1312" s="1" t="str">
        <f ca="1">IFERROR(__xludf.DUMMYFUNCTION("""COMPUTED_VALUE"""),"Spring")</f>
        <v>Spring</v>
      </c>
      <c r="L1312" s="1" t="str">
        <f ca="1">IFERROR(__xludf.DUMMYFUNCTION("""COMPUTED_VALUE"""),"Santa Fe")</f>
        <v>Santa Fe</v>
      </c>
      <c r="M1312" s="1" t="str">
        <f ca="1">IFERROR(__xludf.DUMMYFUNCTION("""COMPUTED_VALUE"""),"TX")</f>
        <v>TX</v>
      </c>
      <c r="N1312" s="1" t="str">
        <f ca="1">IFERROR(__xludf.DUMMYFUNCTION("""COMPUTED_VALUE"""),"High")</f>
        <v>High</v>
      </c>
      <c r="O1312" s="1" t="str">
        <f ca="1">IFERROR(__xludf.DUMMYFUNCTION("""COMPUTED_VALUE"""),"Classroom")</f>
        <v>Classroom</v>
      </c>
      <c r="P1312" s="1" t="str">
        <f ca="1">IFERROR(__xludf.DUMMYFUNCTION("""COMPUTED_VALUE"""),"Inside School Building")</f>
        <v>Inside School Building</v>
      </c>
      <c r="Q1312" s="1" t="str">
        <f ca="1">IFERROR(__xludf.DUMMYFUNCTION("""COMPUTED_VALUE"""),"Yes")</f>
        <v>Yes</v>
      </c>
      <c r="R1312" s="1" t="str">
        <f ca="1">IFERROR(__xludf.DUMMYFUNCTION("""COMPUTED_VALUE"""),"Morning Classes")</f>
        <v>Morning Classes</v>
      </c>
      <c r="S1312" s="5">
        <f ca="1">IFERROR(__xludf.DUMMYFUNCTION("""COMPUTED_VALUE"""),0.322916666666666)</f>
        <v>0.32291666666666602</v>
      </c>
      <c r="T1312" s="1">
        <f ca="1">IFERROR(__xludf.DUMMYFUNCTION("""COMPUTED_VALUE"""),32)</f>
        <v>32</v>
      </c>
      <c r="U1312" s="1" t="str">
        <f ca="1">IFERROR(__xludf.DUMMYFUNCTION("""COMPUTED_VALUE"""),"Planned attack after bullying, 30 minute standoff with police before surrendering")</f>
        <v>Planned attack after bullying, 30 minute standoff with police before surrendering</v>
      </c>
      <c r="V1312" s="1" t="str">
        <f ca="1">IFERROR(__xludf.DUMMYFUNCTION("""COMPUTED_VALUE"""),"Shooter wore a black trench coat and walked into art classroom. Shot multiple teachers and students. Did not shoot students he liked so they could tell the story. Engaged by a SRO and shooter fired striking the SRO. Shooter was barricaded in classroom for"&amp;" approximately 30 minutes before surrendering to police. Shooter had extensive planning documents. IEDs were found at school and at shooter's home. Online postings about being ""born to kill"" and photos of extremist paraphernalia. Extensive bullying.")</f>
        <v>Shooter wore a black trench coat and walked into art classroom. Shot multiple teachers and students. Did not shoot students he liked so they could tell the story. Engaged by a SRO and shooter fired striking the SRO. Shooter was barricaded in classroom for approximately 30 minutes before surrendering to police. Shooter had extensive planning documents. IEDs were found at school and at shooter's home. Online postings about being "born to kill" and photos of extremist paraphernalia. Extensive bullying.</v>
      </c>
      <c r="W1312" s="1" t="str">
        <f ca="1">IFERROR(__xludf.DUMMYFUNCTION("""COMPUTED_VALUE"""),"Indiscriminate Shooting")</f>
        <v>Indiscriminate Shooting</v>
      </c>
      <c r="X1312" s="1" t="str">
        <f ca="1">IFERROR(__xludf.DUMMYFUNCTION("""COMPUTED_VALUE"""),"Both")</f>
        <v>Both</v>
      </c>
      <c r="Y1312" s="1" t="str">
        <f ca="1">IFERROR(__xludf.DUMMYFUNCTION("""COMPUTED_VALUE"""),"No")</f>
        <v>No</v>
      </c>
      <c r="Z1312" s="1"/>
      <c r="AA1312" s="1" t="str">
        <f ca="1">IFERROR(__xludf.DUMMYFUNCTION("""COMPUTED_VALUE"""),"No")</f>
        <v>No</v>
      </c>
      <c r="AB1312" s="1" t="str">
        <f ca="1">IFERROR(__xludf.DUMMYFUNCTION("""COMPUTED_VALUE"""),"Yes")</f>
        <v>Yes</v>
      </c>
      <c r="AC1312" s="1" t="str">
        <f ca="1">IFERROR(__xludf.DUMMYFUNCTION("""COMPUTED_VALUE"""),"No")</f>
        <v>No</v>
      </c>
      <c r="AD1312" s="1" t="str">
        <f ca="1">IFERROR(__xludf.DUMMYFUNCTION("""COMPUTED_VALUE"""),"Yes")</f>
        <v>Yes</v>
      </c>
      <c r="AE1312" s="1" t="str">
        <f ca="1">IFERROR(__xludf.DUMMYFUNCTION("""COMPUTED_VALUE"""),"No")</f>
        <v>No</v>
      </c>
      <c r="AF1312" s="1" t="str">
        <f ca="1">IFERROR(__xludf.DUMMYFUNCTION("""COMPUTED_VALUE"""),"No")</f>
        <v>No</v>
      </c>
      <c r="AG1312" s="1" t="str">
        <f ca="1">IFERROR(__xludf.DUMMYFUNCTION("""COMPUTED_VALUE"""),"Yes")</f>
        <v>Yes</v>
      </c>
      <c r="AH1312" s="1"/>
    </row>
    <row r="1313" spans="1:34" ht="12.5">
      <c r="A1313" s="1" t="str">
        <f ca="1">IFERROR(__xludf.DUMMYFUNCTION("""COMPUTED_VALUE"""),"20180518GAMOA")</f>
        <v>20180518GAMOA</v>
      </c>
      <c r="B1313" s="1">
        <f ca="1">IFERROR(__xludf.DUMMYFUNCTION("""COMPUTED_VALUE"""),5)</f>
        <v>5</v>
      </c>
      <c r="C1313" s="1">
        <f ca="1">IFERROR(__xludf.DUMMYFUNCTION("""COMPUTED_VALUE"""),18)</f>
        <v>18</v>
      </c>
      <c r="D1313" s="1">
        <f ca="1">IFERROR(__xludf.DUMMYFUNCTION("""COMPUTED_VALUE"""),2018)</f>
        <v>2018</v>
      </c>
      <c r="E1313" s="4">
        <f ca="1">IFERROR(__xludf.DUMMYFUNCTION("""COMPUTED_VALUE"""),43238)</f>
        <v>43238</v>
      </c>
      <c r="F1313" s="1" t="str">
        <f ca="1">IFERROR(__xludf.DUMMYFUNCTION("""COMPUTED_VALUE"""),"Mount Zion High School")</f>
        <v>Mount Zion High School</v>
      </c>
      <c r="G1313" s="1">
        <f ca="1">IFERROR(__xludf.DUMMYFUNCTION("""COMPUTED_VALUE"""),1)</f>
        <v>1</v>
      </c>
      <c r="H1313" s="1">
        <f ca="1">IFERROR(__xludf.DUMMYFUNCTION("""COMPUTED_VALUE"""),2)</f>
        <v>2</v>
      </c>
      <c r="I1313" s="1">
        <f ca="1">IFERROR(__xludf.DUMMYFUNCTION("""COMPUTED_VALUE"""),3)</f>
        <v>3</v>
      </c>
      <c r="J1313" s="1">
        <f ca="1">IFERROR(__xludf.DUMMYFUNCTION("""COMPUTED_VALUE"""),0)</f>
        <v>0</v>
      </c>
      <c r="K1313" s="1" t="str">
        <f ca="1">IFERROR(__xludf.DUMMYFUNCTION("""COMPUTED_VALUE"""),"Spring")</f>
        <v>Spring</v>
      </c>
      <c r="L1313" s="1" t="str">
        <f ca="1">IFERROR(__xludf.DUMMYFUNCTION("""COMPUTED_VALUE"""),"Atlanta")</f>
        <v>Atlanta</v>
      </c>
      <c r="M1313" s="1" t="str">
        <f ca="1">IFERROR(__xludf.DUMMYFUNCTION("""COMPUTED_VALUE"""),"GA")</f>
        <v>GA</v>
      </c>
      <c r="N1313" s="1" t="str">
        <f ca="1">IFERROR(__xludf.DUMMYFUNCTION("""COMPUTED_VALUE"""),"High")</f>
        <v>High</v>
      </c>
      <c r="O1313" s="1" t="str">
        <f ca="1">IFERROR(__xludf.DUMMYFUNCTION("""COMPUTED_VALUE"""),"Parking Lot")</f>
        <v>Parking Lot</v>
      </c>
      <c r="P1313" s="1" t="str">
        <f ca="1">IFERROR(__xludf.DUMMYFUNCTION("""COMPUTED_VALUE"""),"Outside on School Property")</f>
        <v>Outside on School Property</v>
      </c>
      <c r="Q1313" s="1" t="str">
        <f ca="1">IFERROR(__xludf.DUMMYFUNCTION("""COMPUTED_VALUE"""),"No")</f>
        <v>No</v>
      </c>
      <c r="R1313" s="1" t="str">
        <f ca="1">IFERROR(__xludf.DUMMYFUNCTION("""COMPUTED_VALUE"""),"School Event")</f>
        <v>School Event</v>
      </c>
      <c r="S1313" s="1"/>
      <c r="T1313" s="1">
        <f ca="1">IFERROR(__xludf.DUMMYFUNCTION("""COMPUTED_VALUE"""),1)</f>
        <v>1</v>
      </c>
      <c r="U1313" s="1" t="str">
        <f ca="1">IFERROR(__xludf.DUMMYFUNCTION("""COMPUTED_VALUE"""),"Shots fired during argument in school parking lot")</f>
        <v>Shots fired during argument in school parking lot</v>
      </c>
      <c r="V1313" s="1" t="str">
        <f ca="1">IFERROR(__xludf.DUMMYFUNCTION("""COMPUTED_VALUE"""),"Shots fired during an argument in the parking lot of the school following graduation. Woman in her 40's was shot multiple times and killed. Two other bystanders were hit by shots. Shooter was not identified and fled the scene.")</f>
        <v>Shots fired during an argument in the parking lot of the school following graduation. Woman in her 40's was shot multiple times and killed. Two other bystanders were hit by shots. Shooter was not identified and fled the scene.</v>
      </c>
      <c r="W1313" s="1" t="str">
        <f ca="1">IFERROR(__xludf.DUMMYFUNCTION("""COMPUTED_VALUE"""),"Escalation of Dispute")</f>
        <v>Escalation of Dispute</v>
      </c>
      <c r="X1313" s="1" t="str">
        <f ca="1">IFERROR(__xludf.DUMMYFUNCTION("""COMPUTED_VALUE"""),"Both")</f>
        <v>Both</v>
      </c>
      <c r="Y1313" s="1"/>
      <c r="Z1313" s="1"/>
      <c r="AA1313" s="1" t="str">
        <f ca="1">IFERROR(__xludf.DUMMYFUNCTION("""COMPUTED_VALUE"""),"No")</f>
        <v>No</v>
      </c>
      <c r="AB1313" s="1" t="str">
        <f ca="1">IFERROR(__xludf.DUMMYFUNCTION("""COMPUTED_VALUE"""),"No")</f>
        <v>No</v>
      </c>
      <c r="AC1313" s="1" t="str">
        <f ca="1">IFERROR(__xludf.DUMMYFUNCTION("""COMPUTED_VALUE"""),"No")</f>
        <v>No</v>
      </c>
      <c r="AD1313" s="1" t="str">
        <f ca="1">IFERROR(__xludf.DUMMYFUNCTION("""COMPUTED_VALUE"""),"No")</f>
        <v>No</v>
      </c>
      <c r="AE1313" s="1" t="str">
        <f ca="1">IFERROR(__xludf.DUMMYFUNCTION("""COMPUTED_VALUE"""),"No")</f>
        <v>No</v>
      </c>
      <c r="AF1313" s="1" t="str">
        <f ca="1">IFERROR(__xludf.DUMMYFUNCTION("""COMPUTED_VALUE"""),"No")</f>
        <v>No</v>
      </c>
      <c r="AG1313" s="1" t="str">
        <f ca="1">IFERROR(__xludf.DUMMYFUNCTION("""COMPUTED_VALUE"""),"No")</f>
        <v>No</v>
      </c>
      <c r="AH1313" s="1"/>
    </row>
    <row r="1314" spans="1:34" ht="12.5">
      <c r="A1314" s="1" t="str">
        <f ca="1">IFERROR(__xludf.DUMMYFUNCTION("""COMPUTED_VALUE"""),"20180517MOCEK")</f>
        <v>20180517MOCEK</v>
      </c>
      <c r="B1314" s="1">
        <f ca="1">IFERROR(__xludf.DUMMYFUNCTION("""COMPUTED_VALUE"""),5)</f>
        <v>5</v>
      </c>
      <c r="C1314" s="1">
        <f ca="1">IFERROR(__xludf.DUMMYFUNCTION("""COMPUTED_VALUE"""),17)</f>
        <v>17</v>
      </c>
      <c r="D1314" s="1">
        <f ca="1">IFERROR(__xludf.DUMMYFUNCTION("""COMPUTED_VALUE"""),2018)</f>
        <v>2018</v>
      </c>
      <c r="E1314" s="4">
        <f ca="1">IFERROR(__xludf.DUMMYFUNCTION("""COMPUTED_VALUE"""),43237)</f>
        <v>43237</v>
      </c>
      <c r="F1314" s="1" t="str">
        <f ca="1">IFERROR(__xludf.DUMMYFUNCTION("""COMPUTED_VALUE"""),"Central High School")</f>
        <v>Central High School</v>
      </c>
      <c r="G1314" s="1">
        <f ca="1">IFERROR(__xludf.DUMMYFUNCTION("""COMPUTED_VALUE"""),0)</f>
        <v>0</v>
      </c>
      <c r="H1314" s="1">
        <f ca="1">IFERROR(__xludf.DUMMYFUNCTION("""COMPUTED_VALUE"""),2)</f>
        <v>2</v>
      </c>
      <c r="I1314" s="1">
        <f ca="1">IFERROR(__xludf.DUMMYFUNCTION("""COMPUTED_VALUE"""),2)</f>
        <v>2</v>
      </c>
      <c r="J1314" s="1">
        <f ca="1">IFERROR(__xludf.DUMMYFUNCTION("""COMPUTED_VALUE"""),0)</f>
        <v>0</v>
      </c>
      <c r="K1314" s="1" t="str">
        <f ca="1">IFERROR(__xludf.DUMMYFUNCTION("""COMPUTED_VALUE"""),"Spring")</f>
        <v>Spring</v>
      </c>
      <c r="L1314" s="1" t="str">
        <f ca="1">IFERROR(__xludf.DUMMYFUNCTION("""COMPUTED_VALUE"""),"Kansas City")</f>
        <v>Kansas City</v>
      </c>
      <c r="M1314" s="1" t="str">
        <f ca="1">IFERROR(__xludf.DUMMYFUNCTION("""COMPUTED_VALUE"""),"MO")</f>
        <v>MO</v>
      </c>
      <c r="N1314" s="1" t="str">
        <f ca="1">IFERROR(__xludf.DUMMYFUNCTION("""COMPUTED_VALUE"""),"High")</f>
        <v>High</v>
      </c>
      <c r="O1314" s="1" t="str">
        <f ca="1">IFERROR(__xludf.DUMMYFUNCTION("""COMPUTED_VALUE"""),"Off School Property")</f>
        <v>Off School Property</v>
      </c>
      <c r="P1314" s="1" t="str">
        <f ca="1">IFERROR(__xludf.DUMMYFUNCTION("""COMPUTED_VALUE"""),"Off School Property")</f>
        <v>Off School Property</v>
      </c>
      <c r="Q1314" s="1" t="str">
        <f ca="1">IFERROR(__xludf.DUMMYFUNCTION("""COMPUTED_VALUE"""),"No")</f>
        <v>No</v>
      </c>
      <c r="R1314" s="1" t="str">
        <f ca="1">IFERROR(__xludf.DUMMYFUNCTION("""COMPUTED_VALUE"""),"School Event")</f>
        <v>School Event</v>
      </c>
      <c r="S1314" s="5">
        <f ca="1">IFERROR(__xludf.DUMMYFUNCTION("""COMPUTED_VALUE"""),0.854166666666666)</f>
        <v>0.85416666666666596</v>
      </c>
      <c r="T1314" s="1">
        <f ca="1">IFERROR(__xludf.DUMMYFUNCTION("""COMPUTED_VALUE"""),1)</f>
        <v>1</v>
      </c>
      <c r="U1314" s="1" t="str">
        <f ca="1">IFERROR(__xludf.DUMMYFUNCTION("""COMPUTED_VALUE"""),"Shooting during fight at school graduation")</f>
        <v>Shooting during fight at school graduation</v>
      </c>
      <c r="V1314" s="1" t="str">
        <f ca="1">IFERROR(__xludf.DUMMYFUNCTION("""COMPUTED_VALUE"""),"Shots fired during fight between 8 people outside of the high school graduation (held off-site at a church). One of the injured was a student. 6 police officers were assigned to the event. Suspect fled and was later arrested.")</f>
        <v>Shots fired during fight between 8 people outside of the high school graduation (held off-site at a church). One of the injured was a student. 6 police officers were assigned to the event. Suspect fled and was later arrested.</v>
      </c>
      <c r="W1314" s="1" t="str">
        <f ca="1">IFERROR(__xludf.DUMMYFUNCTION("""COMPUTED_VALUE"""),"Escalation of Dispute")</f>
        <v>Escalation of Dispute</v>
      </c>
      <c r="X1314" s="1"/>
      <c r="Y1314" s="1" t="str">
        <f ca="1">IFERROR(__xludf.DUMMYFUNCTION("""COMPUTED_VALUE"""),"Yes")</f>
        <v>Yes</v>
      </c>
      <c r="Z1314" s="1" t="str">
        <f ca="1">IFERROR(__xludf.DUMMYFUNCTION("""COMPUTED_VALUE"""),"Rasheed Henderson charged with fleeing a LEO")</f>
        <v>Rasheed Henderson charged with fleeing a LEO</v>
      </c>
      <c r="AA1314" s="1" t="str">
        <f ca="1">IFERROR(__xludf.DUMMYFUNCTION("""COMPUTED_VALUE"""),"No")</f>
        <v>No</v>
      </c>
      <c r="AB1314" s="1" t="str">
        <f ca="1">IFERROR(__xludf.DUMMYFUNCTION("""COMPUTED_VALUE"""),"No")</f>
        <v>No</v>
      </c>
      <c r="AC1314" s="1" t="str">
        <f ca="1">IFERROR(__xludf.DUMMYFUNCTION("""COMPUTED_VALUE"""),"No")</f>
        <v>No</v>
      </c>
      <c r="AD1314" s="1" t="str">
        <f ca="1">IFERROR(__xludf.DUMMYFUNCTION("""COMPUTED_VALUE"""),"No")</f>
        <v>No</v>
      </c>
      <c r="AE1314" s="1" t="str">
        <f ca="1">IFERROR(__xludf.DUMMYFUNCTION("""COMPUTED_VALUE"""),"No")</f>
        <v>No</v>
      </c>
      <c r="AF1314" s="1" t="str">
        <f ca="1">IFERROR(__xludf.DUMMYFUNCTION("""COMPUTED_VALUE"""),"No")</f>
        <v>No</v>
      </c>
      <c r="AG1314" s="1" t="str">
        <f ca="1">IFERROR(__xludf.DUMMYFUNCTION("""COMPUTED_VALUE"""),"No")</f>
        <v>No</v>
      </c>
      <c r="AH1314" s="1" t="str">
        <f ca="1">IFERROR(__xludf.DUMMYFUNCTION("""COMPUTED_VALUE"""),"&lt;10")</f>
        <v>&lt;10</v>
      </c>
    </row>
    <row r="1315" spans="1:34" ht="12.5">
      <c r="A1315" s="1" t="str">
        <f ca="1">IFERROR(__xludf.DUMMYFUNCTION("""COMPUTED_VALUE"""),"20180516ILDID")</f>
        <v>20180516ILDID</v>
      </c>
      <c r="B1315" s="1">
        <f ca="1">IFERROR(__xludf.DUMMYFUNCTION("""COMPUTED_VALUE"""),5)</f>
        <v>5</v>
      </c>
      <c r="C1315" s="1">
        <f ca="1">IFERROR(__xludf.DUMMYFUNCTION("""COMPUTED_VALUE"""),16)</f>
        <v>16</v>
      </c>
      <c r="D1315" s="1">
        <f ca="1">IFERROR(__xludf.DUMMYFUNCTION("""COMPUTED_VALUE"""),2018)</f>
        <v>2018</v>
      </c>
      <c r="E1315" s="4">
        <f ca="1">IFERROR(__xludf.DUMMYFUNCTION("""COMPUTED_VALUE"""),43236)</f>
        <v>43236</v>
      </c>
      <c r="F1315" s="1" t="str">
        <f ca="1">IFERROR(__xludf.DUMMYFUNCTION("""COMPUTED_VALUE"""),"Dixon High School")</f>
        <v>Dixon High School</v>
      </c>
      <c r="G1315" s="1">
        <f ca="1">IFERROR(__xludf.DUMMYFUNCTION("""COMPUTED_VALUE"""),0)</f>
        <v>0</v>
      </c>
      <c r="H1315" s="1">
        <f ca="1">IFERROR(__xludf.DUMMYFUNCTION("""COMPUTED_VALUE"""),1)</f>
        <v>1</v>
      </c>
      <c r="I1315" s="1">
        <f ca="1">IFERROR(__xludf.DUMMYFUNCTION("""COMPUTED_VALUE"""),1)</f>
        <v>1</v>
      </c>
      <c r="J1315" s="1">
        <f ca="1">IFERROR(__xludf.DUMMYFUNCTION("""COMPUTED_VALUE"""),0)</f>
        <v>0</v>
      </c>
      <c r="K1315" s="1" t="str">
        <f ca="1">IFERROR(__xludf.DUMMYFUNCTION("""COMPUTED_VALUE"""),"Spring")</f>
        <v>Spring</v>
      </c>
      <c r="L1315" s="1" t="str">
        <f ca="1">IFERROR(__xludf.DUMMYFUNCTION("""COMPUTED_VALUE"""),"Dixon")</f>
        <v>Dixon</v>
      </c>
      <c r="M1315" s="1" t="str">
        <f ca="1">IFERROR(__xludf.DUMMYFUNCTION("""COMPUTED_VALUE"""),"IL")</f>
        <v>IL</v>
      </c>
      <c r="N1315" s="1" t="str">
        <f ca="1">IFERROR(__xludf.DUMMYFUNCTION("""COMPUTED_VALUE"""),"High")</f>
        <v>High</v>
      </c>
      <c r="O1315" s="1" t="str">
        <f ca="1">IFERROR(__xludf.DUMMYFUNCTION("""COMPUTED_VALUE"""),"Gym")</f>
        <v>Gym</v>
      </c>
      <c r="P1315" s="1" t="str">
        <f ca="1">IFERROR(__xludf.DUMMYFUNCTION("""COMPUTED_VALUE"""),"Inside School Building")</f>
        <v>Inside School Building</v>
      </c>
      <c r="Q1315" s="1" t="str">
        <f ca="1">IFERROR(__xludf.DUMMYFUNCTION("""COMPUTED_VALUE"""),"Yes")</f>
        <v>Yes</v>
      </c>
      <c r="R1315" s="1" t="str">
        <f ca="1">IFERROR(__xludf.DUMMYFUNCTION("""COMPUTED_VALUE"""),"Morning Classes")</f>
        <v>Morning Classes</v>
      </c>
      <c r="S1315" s="5">
        <f ca="1">IFERROR(__xludf.DUMMYFUNCTION("""COMPUTED_VALUE"""),0.333333333333333)</f>
        <v>0.33333333333333298</v>
      </c>
      <c r="T1315" s="1">
        <f ca="1">IFERROR(__xludf.DUMMYFUNCTION("""COMPUTED_VALUE"""),2)</f>
        <v>2</v>
      </c>
      <c r="U1315" s="1" t="str">
        <f ca="1">IFERROR(__xludf.DUMMYFUNCTION("""COMPUTED_VALUE"""),"Shots fired during graduation rehearsal by shooter who was bullied")</f>
        <v>Shots fired during graduation rehearsal by shooter who was bullied</v>
      </c>
      <c r="V1315" s="1" t="str">
        <f ca="1">IFERROR(__xludf.DUMMYFUNCTION("""COMPUTED_VALUE"""),"Shooter fired several shots near the gym, where seniors were engaged in a graduation walk-through. Shooter ran out and was confronted by the SRO. They exchanged shots, Shooter received non-lethal wounds and was apprehended. Mother said he was bullied and "&amp;"beaten up in October by a 25 year-old, other kids just watched. Kicked-off from football team for smoking marijuana. Suspect was not expelled but had not been attending school for months. Students said he had been normal in the past but had become angry a"&amp;"nd high all the time.
 Investigators say Milby, then a DHS senior, took a 9mm semi-automatic rifle to graduation practice in the Lancaster Gym the morning of May 16, fired at gym teacher Andrew McKay, whom he encountered in a hallway, and fled seconds lat"&amp;"er when confronted and pursued by Dixon Police school resource officer Mark Dallas. Milby fired at Dallas outside the gym; Dallas returned fire, hitting Milby in the upper shoulder and hip. Milby was arrested near his car in Page Park. No one else was inj"&amp;"ured.
 Shooter found to be mentally unfit to stand trial and sent to psychiatric facility for treatment.")</f>
        <v>Shooter fired several shots near the gym, where seniors were engaged in a graduation walk-through. Shooter ran out and was confronted by the SRO. They exchanged shots, Shooter received non-lethal wounds and was apprehended. Mother said he was bullied and beaten up in October by a 25 year-old, other kids just watched. Kicked-off from football team for smoking marijuana. Suspect was not expelled but had not been attending school for months. Students said he had been normal in the past but had become angry and high all the time.
 Investigators say Milby, then a DHS senior, took a 9mm semi-automatic rifle to graduation practice in the Lancaster Gym the morning of May 16, fired at gym teacher Andrew McKay, whom he encountered in a hallway, and fled seconds later when confronted and pursued by Dixon Police school resource officer Mark Dallas. Milby fired at Dallas outside the gym; Dallas returned fire, hitting Milby in the upper shoulder and hip. Milby was arrested near his car in Page Park. No one else was injured.
 Shooter found to be mentally unfit to stand trial and sent to psychiatric facility for treatment.</v>
      </c>
      <c r="W1315" s="1" t="str">
        <f ca="1">IFERROR(__xludf.DUMMYFUNCTION("""COMPUTED_VALUE"""),"Indiscriminate Shooting")</f>
        <v>Indiscriminate Shooting</v>
      </c>
      <c r="X1315" s="1" t="str">
        <f ca="1">IFERROR(__xludf.DUMMYFUNCTION("""COMPUTED_VALUE"""),"Random Shooting")</f>
        <v>Random Shooting</v>
      </c>
      <c r="Y1315" s="1" t="str">
        <f ca="1">IFERROR(__xludf.DUMMYFUNCTION("""COMPUTED_VALUE"""),"No")</f>
        <v>No</v>
      </c>
      <c r="Z1315" s="1"/>
      <c r="AA1315" s="1" t="str">
        <f ca="1">IFERROR(__xludf.DUMMYFUNCTION("""COMPUTED_VALUE"""),"No")</f>
        <v>No</v>
      </c>
      <c r="AB1315" s="1" t="str">
        <f ca="1">IFERROR(__xludf.DUMMYFUNCTION("""COMPUTED_VALUE"""),"No")</f>
        <v>No</v>
      </c>
      <c r="AC1315" s="1" t="str">
        <f ca="1">IFERROR(__xludf.DUMMYFUNCTION("""COMPUTED_VALUE"""),"No")</f>
        <v>No</v>
      </c>
      <c r="AD1315" s="1" t="str">
        <f ca="1">IFERROR(__xludf.DUMMYFUNCTION("""COMPUTED_VALUE"""),"Yes")</f>
        <v>Yes</v>
      </c>
      <c r="AE1315" s="1" t="str">
        <f ca="1">IFERROR(__xludf.DUMMYFUNCTION("""COMPUTED_VALUE"""),"No")</f>
        <v>No</v>
      </c>
      <c r="AF1315" s="1" t="str">
        <f ca="1">IFERROR(__xludf.DUMMYFUNCTION("""COMPUTED_VALUE"""),"No")</f>
        <v>No</v>
      </c>
      <c r="AG1315" s="1" t="str">
        <f ca="1">IFERROR(__xludf.DUMMYFUNCTION("""COMPUTED_VALUE"""),"Yes")</f>
        <v>Yes</v>
      </c>
      <c r="AH1315" s="1"/>
    </row>
    <row r="1316" spans="1:34" ht="12.5">
      <c r="A1316" s="1" t="str">
        <f ca="1">IFERROR(__xludf.DUMMYFUNCTION("""COMPUTED_VALUE"""),"20180511CAHIP")</f>
        <v>20180511CAHIP</v>
      </c>
      <c r="B1316" s="1">
        <f ca="1">IFERROR(__xludf.DUMMYFUNCTION("""COMPUTED_VALUE"""),5)</f>
        <v>5</v>
      </c>
      <c r="C1316" s="1">
        <f ca="1">IFERROR(__xludf.DUMMYFUNCTION("""COMPUTED_VALUE"""),11)</f>
        <v>11</v>
      </c>
      <c r="D1316" s="1">
        <f ca="1">IFERROR(__xludf.DUMMYFUNCTION("""COMPUTED_VALUE"""),2018)</f>
        <v>2018</v>
      </c>
      <c r="E1316" s="4">
        <f ca="1">IFERROR(__xludf.DUMMYFUNCTION("""COMPUTED_VALUE"""),43231)</f>
        <v>43231</v>
      </c>
      <c r="F1316" s="1" t="str">
        <f ca="1">IFERROR(__xludf.DUMMYFUNCTION("""COMPUTED_VALUE"""),"Highland High School")</f>
        <v>Highland High School</v>
      </c>
      <c r="G1316" s="1">
        <f ca="1">IFERROR(__xludf.DUMMYFUNCTION("""COMPUTED_VALUE"""),0)</f>
        <v>0</v>
      </c>
      <c r="H1316" s="1">
        <f ca="1">IFERROR(__xludf.DUMMYFUNCTION("""COMPUTED_VALUE"""),1)</f>
        <v>1</v>
      </c>
      <c r="I1316" s="1">
        <f ca="1">IFERROR(__xludf.DUMMYFUNCTION("""COMPUTED_VALUE"""),1)</f>
        <v>1</v>
      </c>
      <c r="J1316" s="1">
        <f ca="1">IFERROR(__xludf.DUMMYFUNCTION("""COMPUTED_VALUE"""),0)</f>
        <v>0</v>
      </c>
      <c r="K1316" s="1" t="str">
        <f ca="1">IFERROR(__xludf.DUMMYFUNCTION("""COMPUTED_VALUE"""),"Spring")</f>
        <v>Spring</v>
      </c>
      <c r="L1316" s="1" t="str">
        <f ca="1">IFERROR(__xludf.DUMMYFUNCTION("""COMPUTED_VALUE"""),"Palmdale")</f>
        <v>Palmdale</v>
      </c>
      <c r="M1316" s="1" t="str">
        <f ca="1">IFERROR(__xludf.DUMMYFUNCTION("""COMPUTED_VALUE"""),"CA")</f>
        <v>CA</v>
      </c>
      <c r="N1316" s="1" t="str">
        <f ca="1">IFERROR(__xludf.DUMMYFUNCTION("""COMPUTED_VALUE"""),"High")</f>
        <v>High</v>
      </c>
      <c r="O1316" s="1" t="str">
        <f ca="1">IFERROR(__xludf.DUMMYFUNCTION("""COMPUTED_VALUE"""),"Bathroom")</f>
        <v>Bathroom</v>
      </c>
      <c r="P1316" s="1" t="str">
        <f ca="1">IFERROR(__xludf.DUMMYFUNCTION("""COMPUTED_VALUE"""),"Inside School Building")</f>
        <v>Inside School Building</v>
      </c>
      <c r="Q1316" s="1" t="str">
        <f ca="1">IFERROR(__xludf.DUMMYFUNCTION("""COMPUTED_VALUE"""),"No")</f>
        <v>No</v>
      </c>
      <c r="R1316" s="1" t="str">
        <f ca="1">IFERROR(__xludf.DUMMYFUNCTION("""COMPUTED_VALUE"""),"Before School")</f>
        <v>Before School</v>
      </c>
      <c r="S1316" s="5">
        <f ca="1">IFERROR(__xludf.DUMMYFUNCTION("""COMPUTED_VALUE"""),0.295138888888888)</f>
        <v>0.29513888888888801</v>
      </c>
      <c r="T1316" s="1">
        <f ca="1">IFERROR(__xludf.DUMMYFUNCTION("""COMPUTED_VALUE"""),1)</f>
        <v>1</v>
      </c>
      <c r="U1316" s="1" t="str">
        <f ca="1">IFERROR(__xludf.DUMMYFUNCTION("""COMPUTED_VALUE"""),"Former student fired 10 shots, striking one student, then pointed rifle at random students before walking out of school")</f>
        <v>Former student fired 10 shots, striking one student, then pointed rifle at random students before walking out of school</v>
      </c>
      <c r="V1316" s="1" t="str">
        <f ca="1">IFERROR(__xludf.DUMMYFUNCTION("""COMPUTED_VALUE"""),"Prior to the school day starting (before the SRO's shift started), the shooter (former student) fired 10 shots from the bathroom window striking one student in the shoulder. Shooter called his father immediately after the shooting to say he fired his gun "&amp;"into the air. Father called a friend who is a police officer and directed him to the shooter's location. The shooter fled the area and was apprehended at a nearby grocery store. The weapon was found near the school. A Highland High School student told rep"&amp;"orters he saw the suspect emerge from a bathroom with a rifle-type weapon, which he randomly pointed at people. The student said the suspect looked at him and told him to run, which he did, shouting at other students to do the same. 911 call for an active"&amp;" shooter at an elementary school at the same time, shooter may have called in false report as diversion. Shooter had transfered from the school 1 month prior. Earlier that morning, the suspect's mother also called the officer, saying they were having trou"&amp;"ble with her son and that he had ran away from home.")</f>
        <v>Prior to the school day starting (before the SRO's shift started), the shooter (former student) fired 10 shots from the bathroom window striking one student in the shoulder. Shooter called his father immediately after the shooting to say he fired his gun into the air. Father called a friend who is a police officer and directed him to the shooter's location. The shooter fled the area and was apprehended at a nearby grocery store. The weapon was found near the school. A Highland High School student told reporters he saw the suspect emerge from a bathroom with a rifle-type weapon, which he randomly pointed at people. The student said the suspect looked at him and told him to run, which he did, shouting at other students to do the same. 911 call for an active shooter at an elementary school at the same time, shooter may have called in false report as diversion. Shooter had transfered from the school 1 month prior. Earlier that morning, the suspect's mother also called the officer, saying they were having trouble with her son and that he had ran away from home.</v>
      </c>
      <c r="W1316" s="1" t="str">
        <f ca="1">IFERROR(__xludf.DUMMYFUNCTION("""COMPUTED_VALUE"""),"Indiscriminate Shooting")</f>
        <v>Indiscriminate Shooting</v>
      </c>
      <c r="X1316" s="1" t="str">
        <f ca="1">IFERROR(__xludf.DUMMYFUNCTION("""COMPUTED_VALUE"""),"Random Shooting")</f>
        <v>Random Shooting</v>
      </c>
      <c r="Y1316" s="1" t="str">
        <f ca="1">IFERROR(__xludf.DUMMYFUNCTION("""COMPUTED_VALUE"""),"No")</f>
        <v>No</v>
      </c>
      <c r="Z1316" s="1"/>
      <c r="AA1316" s="1" t="str">
        <f ca="1">IFERROR(__xludf.DUMMYFUNCTION("""COMPUTED_VALUE"""),"No")</f>
        <v>No</v>
      </c>
      <c r="AB1316" s="1" t="str">
        <f ca="1">IFERROR(__xludf.DUMMYFUNCTION("""COMPUTED_VALUE"""),"No")</f>
        <v>No</v>
      </c>
      <c r="AC1316" s="1" t="str">
        <f ca="1">IFERROR(__xludf.DUMMYFUNCTION("""COMPUTED_VALUE"""),"No")</f>
        <v>No</v>
      </c>
      <c r="AD1316" s="1"/>
      <c r="AE1316" s="1" t="str">
        <f ca="1">IFERROR(__xludf.DUMMYFUNCTION("""COMPUTED_VALUE"""),"No")</f>
        <v>No</v>
      </c>
      <c r="AF1316" s="1" t="str">
        <f ca="1">IFERROR(__xludf.DUMMYFUNCTION("""COMPUTED_VALUE"""),"No")</f>
        <v>No</v>
      </c>
      <c r="AG1316" s="1" t="str">
        <f ca="1">IFERROR(__xludf.DUMMYFUNCTION("""COMPUTED_VALUE"""),"Yes")</f>
        <v>Yes</v>
      </c>
      <c r="AH1316" s="1">
        <f ca="1">IFERROR(__xludf.DUMMYFUNCTION("""COMPUTED_VALUE"""),10)</f>
        <v>10</v>
      </c>
    </row>
    <row r="1317" spans="1:34" ht="12.5">
      <c r="A1317" s="1" t="str">
        <f ca="1">IFERROR(__xludf.DUMMYFUNCTION("""COMPUTED_VALUE"""),"20180505MIFOF")</f>
        <v>20180505MIFOF</v>
      </c>
      <c r="B1317" s="1">
        <f ca="1">IFERROR(__xludf.DUMMYFUNCTION("""COMPUTED_VALUE"""),5)</f>
        <v>5</v>
      </c>
      <c r="C1317" s="1">
        <f ca="1">IFERROR(__xludf.DUMMYFUNCTION("""COMPUTED_VALUE"""),5)</f>
        <v>5</v>
      </c>
      <c r="D1317" s="1">
        <f ca="1">IFERROR(__xludf.DUMMYFUNCTION("""COMPUTED_VALUE"""),2018)</f>
        <v>2018</v>
      </c>
      <c r="E1317" s="4">
        <f ca="1">IFERROR(__xludf.DUMMYFUNCTION("""COMPUTED_VALUE"""),43225)</f>
        <v>43225</v>
      </c>
      <c r="F1317" s="1" t="str">
        <f ca="1">IFERROR(__xludf.DUMMYFUNCTION("""COMPUTED_VALUE"""),"Fowlerville High School")</f>
        <v>Fowlerville High School</v>
      </c>
      <c r="G1317" s="1">
        <f ca="1">IFERROR(__xludf.DUMMYFUNCTION("""COMPUTED_VALUE"""),0)</f>
        <v>0</v>
      </c>
      <c r="H1317" s="1">
        <f ca="1">IFERROR(__xludf.DUMMYFUNCTION("""COMPUTED_VALUE"""),0)</f>
        <v>0</v>
      </c>
      <c r="I1317" s="1">
        <f ca="1">IFERROR(__xludf.DUMMYFUNCTION("""COMPUTED_VALUE"""),0)</f>
        <v>0</v>
      </c>
      <c r="J1317" s="1">
        <f ca="1">IFERROR(__xludf.DUMMYFUNCTION("""COMPUTED_VALUE"""),0)</f>
        <v>0</v>
      </c>
      <c r="K1317" s="1" t="str">
        <f ca="1">IFERROR(__xludf.DUMMYFUNCTION("""COMPUTED_VALUE"""),"Spring")</f>
        <v>Spring</v>
      </c>
      <c r="L1317" s="1" t="str">
        <f ca="1">IFERROR(__xludf.DUMMYFUNCTION("""COMPUTED_VALUE"""),"Fowlerville")</f>
        <v>Fowlerville</v>
      </c>
      <c r="M1317" s="1" t="str">
        <f ca="1">IFERROR(__xludf.DUMMYFUNCTION("""COMPUTED_VALUE"""),"MI")</f>
        <v>MI</v>
      </c>
      <c r="N1317" s="1" t="str">
        <f ca="1">IFERROR(__xludf.DUMMYFUNCTION("""COMPUTED_VALUE"""),"High")</f>
        <v>High</v>
      </c>
      <c r="O1317" s="1" t="str">
        <f ca="1">IFERROR(__xludf.DUMMYFUNCTION("""COMPUTED_VALUE"""),"Gym")</f>
        <v>Gym</v>
      </c>
      <c r="P1317" s="1" t="str">
        <f ca="1">IFERROR(__xludf.DUMMYFUNCTION("""COMPUTED_VALUE"""),"Inside School Building")</f>
        <v>Inside School Building</v>
      </c>
      <c r="Q1317" s="1" t="str">
        <f ca="1">IFERROR(__xludf.DUMMYFUNCTION("""COMPUTED_VALUE"""),"No")</f>
        <v>No</v>
      </c>
      <c r="R1317" s="1" t="str">
        <f ca="1">IFERROR(__xludf.DUMMYFUNCTION("""COMPUTED_VALUE"""),"Sport Event")</f>
        <v>Sport Event</v>
      </c>
      <c r="S1317" s="5">
        <f ca="1">IFERROR(__xludf.DUMMYFUNCTION("""COMPUTED_VALUE"""),0.625)</f>
        <v>0.625</v>
      </c>
      <c r="T1317" s="1">
        <f ca="1">IFERROR(__xludf.DUMMYFUNCTION("""COMPUTED_VALUE"""),1)</f>
        <v>1</v>
      </c>
      <c r="U1317" s="1" t="str">
        <f ca="1">IFERROR(__xludf.DUMMYFUNCTION("""COMPUTED_VALUE"""),"Off duty officers gun discharged at wrestling meet in school gym")</f>
        <v>Off duty officers gun discharged at wrestling meet in school gym</v>
      </c>
      <c r="V1317" s="1" t="str">
        <f ca="1">IFERROR(__xludf.DUMMYFUNCTION("""COMPUTED_VALUE"""),"Off duty police officers firearm discharged striking gym floor during a wrestling meet. No injuries.")</f>
        <v>Off duty police officers firearm discharged striking gym floor during a wrestling meet. No injuries.</v>
      </c>
      <c r="W1317" s="1" t="str">
        <f ca="1">IFERROR(__xludf.DUMMYFUNCTION("""COMPUTED_VALUE"""),"Accidental")</f>
        <v>Accidental</v>
      </c>
      <c r="X1317" s="1" t="str">
        <f ca="1">IFERROR(__xludf.DUMMYFUNCTION("""COMPUTED_VALUE"""),"Neither")</f>
        <v>Neither</v>
      </c>
      <c r="Y1317" s="1" t="str">
        <f ca="1">IFERROR(__xludf.DUMMYFUNCTION("""COMPUTED_VALUE"""),"No")</f>
        <v>No</v>
      </c>
      <c r="Z1317" s="1"/>
      <c r="AA1317" s="1" t="str">
        <f ca="1">IFERROR(__xludf.DUMMYFUNCTION("""COMPUTED_VALUE"""),"No")</f>
        <v>No</v>
      </c>
      <c r="AB1317" s="1" t="str">
        <f ca="1">IFERROR(__xludf.DUMMYFUNCTION("""COMPUTED_VALUE"""),"No")</f>
        <v>No</v>
      </c>
      <c r="AC1317" s="1" t="str">
        <f ca="1">IFERROR(__xludf.DUMMYFUNCTION("""COMPUTED_VALUE"""),"Yes")</f>
        <v>Yes</v>
      </c>
      <c r="AD1317" s="1" t="str">
        <f ca="1">IFERROR(__xludf.DUMMYFUNCTION("""COMPUTED_VALUE"""),"N/A")</f>
        <v>N/A</v>
      </c>
      <c r="AE1317" s="1" t="str">
        <f ca="1">IFERROR(__xludf.DUMMYFUNCTION("""COMPUTED_VALUE"""),"N/A")</f>
        <v>N/A</v>
      </c>
      <c r="AF1317" s="1" t="str">
        <f ca="1">IFERROR(__xludf.DUMMYFUNCTION("""COMPUTED_VALUE"""),"N/A")</f>
        <v>N/A</v>
      </c>
      <c r="AG1317" s="1" t="str">
        <f ca="1">IFERROR(__xludf.DUMMYFUNCTION("""COMPUTED_VALUE"""),"N/A")</f>
        <v>N/A</v>
      </c>
      <c r="AH1317" s="1">
        <f ca="1">IFERROR(__xludf.DUMMYFUNCTION("""COMPUTED_VALUE"""),1)</f>
        <v>1</v>
      </c>
    </row>
    <row r="1318" spans="1:34" ht="12.5">
      <c r="A1318" s="1" t="str">
        <f ca="1">IFERROR(__xludf.DUMMYFUNCTION("""COMPUTED_VALUE"""),"20180503TNWAW")</f>
        <v>20180503TNWAW</v>
      </c>
      <c r="B1318" s="1">
        <f ca="1">IFERROR(__xludf.DUMMYFUNCTION("""COMPUTED_VALUE"""),5)</f>
        <v>5</v>
      </c>
      <c r="C1318" s="1">
        <f ca="1">IFERROR(__xludf.DUMMYFUNCTION("""COMPUTED_VALUE"""),3)</f>
        <v>3</v>
      </c>
      <c r="D1318" s="1">
        <f ca="1">IFERROR(__xludf.DUMMYFUNCTION("""COMPUTED_VALUE"""),2018)</f>
        <v>2018</v>
      </c>
      <c r="E1318" s="4">
        <f ca="1">IFERROR(__xludf.DUMMYFUNCTION("""COMPUTED_VALUE"""),43223)</f>
        <v>43223</v>
      </c>
      <c r="F1318" s="1" t="str">
        <f ca="1">IFERROR(__xludf.DUMMYFUNCTION("""COMPUTED_VALUE"""),"Waynesboro Elementary School")</f>
        <v>Waynesboro Elementary School</v>
      </c>
      <c r="G1318" s="1">
        <f ca="1">IFERROR(__xludf.DUMMYFUNCTION("""COMPUTED_VALUE"""),0)</f>
        <v>0</v>
      </c>
      <c r="H1318" s="1">
        <f ca="1">IFERROR(__xludf.DUMMYFUNCTION("""COMPUTED_VALUE"""),0)</f>
        <v>0</v>
      </c>
      <c r="I1318" s="1">
        <f ca="1">IFERROR(__xludf.DUMMYFUNCTION("""COMPUTED_VALUE"""),0)</f>
        <v>0</v>
      </c>
      <c r="J1318" s="1">
        <f ca="1">IFERROR(__xludf.DUMMYFUNCTION("""COMPUTED_VALUE"""),0)</f>
        <v>0</v>
      </c>
      <c r="K1318" s="1" t="str">
        <f ca="1">IFERROR(__xludf.DUMMYFUNCTION("""COMPUTED_VALUE"""),"Spring")</f>
        <v>Spring</v>
      </c>
      <c r="L1318" s="1" t="str">
        <f ca="1">IFERROR(__xludf.DUMMYFUNCTION("""COMPUTED_VALUE"""),"Waynesboro")</f>
        <v>Waynesboro</v>
      </c>
      <c r="M1318" s="1" t="str">
        <f ca="1">IFERROR(__xludf.DUMMYFUNCTION("""COMPUTED_VALUE"""),"TN")</f>
        <v>TN</v>
      </c>
      <c r="N1318" s="1" t="str">
        <f ca="1">IFERROR(__xludf.DUMMYFUNCTION("""COMPUTED_VALUE"""),"High")</f>
        <v>High</v>
      </c>
      <c r="O1318" s="1" t="str">
        <f ca="1">IFERROR(__xludf.DUMMYFUNCTION("""COMPUTED_VALUE"""),"Bathroom")</f>
        <v>Bathroom</v>
      </c>
      <c r="P1318" s="1" t="str">
        <f ca="1">IFERROR(__xludf.DUMMYFUNCTION("""COMPUTED_VALUE"""),"Inside School Building")</f>
        <v>Inside School Building</v>
      </c>
      <c r="Q1318" s="1" t="str">
        <f ca="1">IFERROR(__xludf.DUMMYFUNCTION("""COMPUTED_VALUE"""),"Yes")</f>
        <v>Yes</v>
      </c>
      <c r="R1318" s="1" t="str">
        <f ca="1">IFERROR(__xludf.DUMMYFUNCTION("""COMPUTED_VALUE"""),"Morning Classes")</f>
        <v>Morning Classes</v>
      </c>
      <c r="S1318" s="1"/>
      <c r="T1318" s="1">
        <f ca="1">IFERROR(__xludf.DUMMYFUNCTION("""COMPUTED_VALUE"""),1)</f>
        <v>1</v>
      </c>
      <c r="U1318" s="1" t="str">
        <f ca="1">IFERROR(__xludf.DUMMYFUNCTION("""COMPUTED_VALUE"""),"Gun accidentally fired in the bathroom")</f>
        <v>Gun accidentally fired in the bathroom</v>
      </c>
      <c r="V1318" s="1" t="str">
        <f ca="1">IFERROR(__xludf.DUMMYFUNCTION("""COMPUTED_VALUE"""),"Student fired a single shot in the bathroom. No injuries. School was locked down.")</f>
        <v>Student fired a single shot in the bathroom. No injuries. School was locked down.</v>
      </c>
      <c r="W1318" s="1" t="str">
        <f ca="1">IFERROR(__xludf.DUMMYFUNCTION("""COMPUTED_VALUE"""),"Accidental")</f>
        <v>Accidental</v>
      </c>
      <c r="X1318" s="1" t="str">
        <f ca="1">IFERROR(__xludf.DUMMYFUNCTION("""COMPUTED_VALUE"""),"Neither")</f>
        <v>Neither</v>
      </c>
      <c r="Y1318" s="1" t="str">
        <f ca="1">IFERROR(__xludf.DUMMYFUNCTION("""COMPUTED_VALUE"""),"No")</f>
        <v>No</v>
      </c>
      <c r="Z1318" s="1"/>
      <c r="AA1318" s="1" t="str">
        <f ca="1">IFERROR(__xludf.DUMMYFUNCTION("""COMPUTED_VALUE"""),"No")</f>
        <v>No</v>
      </c>
      <c r="AB1318" s="1" t="str">
        <f ca="1">IFERROR(__xludf.DUMMYFUNCTION("""COMPUTED_VALUE"""),"No")</f>
        <v>No</v>
      </c>
      <c r="AC1318" s="1" t="str">
        <f ca="1">IFERROR(__xludf.DUMMYFUNCTION("""COMPUTED_VALUE"""),"No")</f>
        <v>No</v>
      </c>
      <c r="AD1318" s="1" t="str">
        <f ca="1">IFERROR(__xludf.DUMMYFUNCTION("""COMPUTED_VALUE"""),"No")</f>
        <v>No</v>
      </c>
      <c r="AE1318" s="1" t="str">
        <f ca="1">IFERROR(__xludf.DUMMYFUNCTION("""COMPUTED_VALUE"""),"No")</f>
        <v>No</v>
      </c>
      <c r="AF1318" s="1" t="str">
        <f ca="1">IFERROR(__xludf.DUMMYFUNCTION("""COMPUTED_VALUE"""),"No")</f>
        <v>No</v>
      </c>
      <c r="AG1318" s="1" t="str">
        <f ca="1">IFERROR(__xludf.DUMMYFUNCTION("""COMPUTED_VALUE"""),"No")</f>
        <v>No</v>
      </c>
      <c r="AH1318" s="1">
        <f ca="1">IFERROR(__xludf.DUMMYFUNCTION("""COMPUTED_VALUE"""),1)</f>
        <v>1</v>
      </c>
    </row>
    <row r="1319" spans="1:34" ht="12.5">
      <c r="A1319" s="1" t="str">
        <f ca="1">IFERROR(__xludf.DUMMYFUNCTION("""COMPUTED_VALUE"""),"20180503SDENW")</f>
        <v>20180503SDENW</v>
      </c>
      <c r="B1319" s="1">
        <f ca="1">IFERROR(__xludf.DUMMYFUNCTION("""COMPUTED_VALUE"""),5)</f>
        <v>5</v>
      </c>
      <c r="C1319" s="1">
        <f ca="1">IFERROR(__xludf.DUMMYFUNCTION("""COMPUTED_VALUE"""),3)</f>
        <v>3</v>
      </c>
      <c r="D1319" s="1">
        <f ca="1">IFERROR(__xludf.DUMMYFUNCTION("""COMPUTED_VALUE"""),2018)</f>
        <v>2018</v>
      </c>
      <c r="E1319" s="4">
        <f ca="1">IFERROR(__xludf.DUMMYFUNCTION("""COMPUTED_VALUE"""),43223)</f>
        <v>43223</v>
      </c>
      <c r="F1319" s="1" t="str">
        <f ca="1">IFERROR(__xludf.DUMMYFUNCTION("""COMPUTED_VALUE"""),"Enemy Swim Day School")</f>
        <v>Enemy Swim Day School</v>
      </c>
      <c r="G1319" s="1">
        <f ca="1">IFERROR(__xludf.DUMMYFUNCTION("""COMPUTED_VALUE"""),0)</f>
        <v>0</v>
      </c>
      <c r="H1319" s="1">
        <f ca="1">IFERROR(__xludf.DUMMYFUNCTION("""COMPUTED_VALUE"""),1)</f>
        <v>1</v>
      </c>
      <c r="I1319" s="1">
        <f ca="1">IFERROR(__xludf.DUMMYFUNCTION("""COMPUTED_VALUE"""),1)</f>
        <v>1</v>
      </c>
      <c r="J1319" s="1">
        <f ca="1">IFERROR(__xludf.DUMMYFUNCTION("""COMPUTED_VALUE"""),0)</f>
        <v>0</v>
      </c>
      <c r="K1319" s="1" t="str">
        <f ca="1">IFERROR(__xludf.DUMMYFUNCTION("""COMPUTED_VALUE"""),"Spring")</f>
        <v>Spring</v>
      </c>
      <c r="L1319" s="1" t="str">
        <f ca="1">IFERROR(__xludf.DUMMYFUNCTION("""COMPUTED_VALUE"""),"Waubay")</f>
        <v>Waubay</v>
      </c>
      <c r="M1319" s="1" t="str">
        <f ca="1">IFERROR(__xludf.DUMMYFUNCTION("""COMPUTED_VALUE"""),"SD")</f>
        <v>SD</v>
      </c>
      <c r="N1319" s="1" t="str">
        <f ca="1">IFERROR(__xludf.DUMMYFUNCTION("""COMPUTED_VALUE"""),"K-8")</f>
        <v>K-8</v>
      </c>
      <c r="O1319" s="1" t="str">
        <f ca="1">IFERROR(__xludf.DUMMYFUNCTION("""COMPUTED_VALUE"""),"Field (General)")</f>
        <v>Field (General)</v>
      </c>
      <c r="P1319" s="1" t="str">
        <f ca="1">IFERROR(__xludf.DUMMYFUNCTION("""COMPUTED_VALUE"""),"Outside on School Property")</f>
        <v>Outside on School Property</v>
      </c>
      <c r="Q1319" s="1" t="str">
        <f ca="1">IFERROR(__xludf.DUMMYFUNCTION("""COMPUTED_VALUE"""),"No")</f>
        <v>No</v>
      </c>
      <c r="R1319" s="1" t="str">
        <f ca="1">IFERROR(__xludf.DUMMYFUNCTION("""COMPUTED_VALUE"""),"Evening")</f>
        <v>Evening</v>
      </c>
      <c r="S1319" s="5">
        <f ca="1">IFERROR(__xludf.DUMMYFUNCTION("""COMPUTED_VALUE"""),0.913194444444444)</f>
        <v>0.91319444444444398</v>
      </c>
      <c r="T1319" s="1">
        <f ca="1">IFERROR(__xludf.DUMMYFUNCTION("""COMPUTED_VALUE"""),1)</f>
        <v>1</v>
      </c>
      <c r="U1319" s="1" t="str">
        <f ca="1">IFERROR(__xludf.DUMMYFUNCTION("""COMPUTED_VALUE"""),"School employee shot while walking around property, motive unknown")</f>
        <v>School employee shot while walking around property, motive unknown</v>
      </c>
      <c r="V1319" s="1" t="str">
        <f ca="1">IFERROR(__xludf.DUMMYFUNCTION("""COMPUTED_VALUE"""),"19 year old custodian was checking on the perimeter of the school when he was shot in the chest. Victim was taken to hospital, treated, and released. Suspect was later arrested. No additional information available related to the shooting. Occurred on trib"&amp;"al land.")</f>
        <v>19 year old custodian was checking on the perimeter of the school when he was shot in the chest. Victim was taken to hospital, treated, and released. Suspect was later arrested. No additional information available related to the shooting. Occurred on tribal land.</v>
      </c>
      <c r="W1319" s="1" t="str">
        <f ca="1">IFERROR(__xludf.DUMMYFUNCTION("""COMPUTED_VALUE"""),"Unknown")</f>
        <v>Unknown</v>
      </c>
      <c r="X1319" s="1"/>
      <c r="Y1319" s="1"/>
      <c r="Z1319" s="1"/>
      <c r="AA1319" s="1" t="str">
        <f ca="1">IFERROR(__xludf.DUMMYFUNCTION("""COMPUTED_VALUE"""),"No")</f>
        <v>No</v>
      </c>
      <c r="AB1319" s="1" t="str">
        <f ca="1">IFERROR(__xludf.DUMMYFUNCTION("""COMPUTED_VALUE"""),"No")</f>
        <v>No</v>
      </c>
      <c r="AC1319" s="1" t="str">
        <f ca="1">IFERROR(__xludf.DUMMYFUNCTION("""COMPUTED_VALUE"""),"No")</f>
        <v>No</v>
      </c>
      <c r="AD1319" s="1"/>
      <c r="AE1319" s="1"/>
      <c r="AF1319" s="1" t="str">
        <f ca="1">IFERROR(__xludf.DUMMYFUNCTION("""COMPUTED_VALUE"""),"No")</f>
        <v>No</v>
      </c>
      <c r="AG1319" s="1" t="str">
        <f ca="1">IFERROR(__xludf.DUMMYFUNCTION("""COMPUTED_VALUE"""),"No")</f>
        <v>No</v>
      </c>
      <c r="AH1319" s="1"/>
    </row>
    <row r="1320" spans="1:34" ht="12.5">
      <c r="A1320" s="1" t="str">
        <f ca="1">IFERROR(__xludf.DUMMYFUNCTION("""COMPUTED_VALUE"""),"20180425NMHIA")</f>
        <v>20180425NMHIA</v>
      </c>
      <c r="B1320" s="1">
        <f ca="1">IFERROR(__xludf.DUMMYFUNCTION("""COMPUTED_VALUE"""),4)</f>
        <v>4</v>
      </c>
      <c r="C1320" s="1">
        <f ca="1">IFERROR(__xludf.DUMMYFUNCTION("""COMPUTED_VALUE"""),25)</f>
        <v>25</v>
      </c>
      <c r="D1320" s="1">
        <f ca="1">IFERROR(__xludf.DUMMYFUNCTION("""COMPUTED_VALUE"""),2018)</f>
        <v>2018</v>
      </c>
      <c r="E1320" s="4">
        <f ca="1">IFERROR(__xludf.DUMMYFUNCTION("""COMPUTED_VALUE"""),43215)</f>
        <v>43215</v>
      </c>
      <c r="F1320" s="1" t="str">
        <f ca="1">IFERROR(__xludf.DUMMYFUNCTION("""COMPUTED_VALUE"""),"Highland High School")</f>
        <v>Highland High School</v>
      </c>
      <c r="G1320" s="1">
        <f ca="1">IFERROR(__xludf.DUMMYFUNCTION("""COMPUTED_VALUE"""),0)</f>
        <v>0</v>
      </c>
      <c r="H1320" s="1">
        <f ca="1">IFERROR(__xludf.DUMMYFUNCTION("""COMPUTED_VALUE"""),1)</f>
        <v>1</v>
      </c>
      <c r="I1320" s="1">
        <f ca="1">IFERROR(__xludf.DUMMYFUNCTION("""COMPUTED_VALUE"""),1)</f>
        <v>1</v>
      </c>
      <c r="J1320" s="1">
        <f ca="1">IFERROR(__xludf.DUMMYFUNCTION("""COMPUTED_VALUE"""),0)</f>
        <v>0</v>
      </c>
      <c r="K1320" s="1" t="str">
        <f ca="1">IFERROR(__xludf.DUMMYFUNCTION("""COMPUTED_VALUE"""),"Spring")</f>
        <v>Spring</v>
      </c>
      <c r="L1320" s="1" t="str">
        <f ca="1">IFERROR(__xludf.DUMMYFUNCTION("""COMPUTED_VALUE"""),"Albuquerque")</f>
        <v>Albuquerque</v>
      </c>
      <c r="M1320" s="1" t="str">
        <f ca="1">IFERROR(__xludf.DUMMYFUNCTION("""COMPUTED_VALUE"""),"NM")</f>
        <v>NM</v>
      </c>
      <c r="N1320" s="1" t="str">
        <f ca="1">IFERROR(__xludf.DUMMYFUNCTION("""COMPUTED_VALUE"""),"High")</f>
        <v>High</v>
      </c>
      <c r="O1320" s="1" t="str">
        <f ca="1">IFERROR(__xludf.DUMMYFUNCTION("""COMPUTED_VALUE"""),"Front of School")</f>
        <v>Front of School</v>
      </c>
      <c r="P1320" s="1" t="str">
        <f ca="1">IFERROR(__xludf.DUMMYFUNCTION("""COMPUTED_VALUE"""),"Outside on School Property")</f>
        <v>Outside on School Property</v>
      </c>
      <c r="Q1320" s="1" t="str">
        <f ca="1">IFERROR(__xludf.DUMMYFUNCTION("""COMPUTED_VALUE"""),"Yes")</f>
        <v>Yes</v>
      </c>
      <c r="R1320" s="1" t="str">
        <f ca="1">IFERROR(__xludf.DUMMYFUNCTION("""COMPUTED_VALUE"""),"Dismissal")</f>
        <v>Dismissal</v>
      </c>
      <c r="S1320" s="5">
        <f ca="1">IFERROR(__xludf.DUMMYFUNCTION("""COMPUTED_VALUE"""),0.604166666666666)</f>
        <v>0.60416666666666596</v>
      </c>
      <c r="T1320" s="1">
        <f ca="1">IFERROR(__xludf.DUMMYFUNCTION("""COMPUTED_VALUE"""),1)</f>
        <v>1</v>
      </c>
      <c r="U1320" s="1" t="str">
        <f ca="1">IFERROR(__xludf.DUMMYFUNCTION("""COMPUTED_VALUE"""),"Parent shot another parent during argument in pick-up line")</f>
        <v>Parent shot another parent during argument in pick-up line</v>
      </c>
      <c r="V1320" s="1" t="str">
        <f ca="1">IFERROR(__xludf.DUMMYFUNCTION("""COMPUTED_VALUE"""),"An adult parent shot another parent multiple times during an argument in the pick-up line of the school. Criminal charges were dropped. Both parents were barred from the campus. On 8/13/2021, the shooter's son shot and killed a student at his school using"&amp;" a weapon owned by the father/shooter.")</f>
        <v>An adult parent shot another parent multiple times during an argument in the pick-up line of the school. Criminal charges were dropped. Both parents were barred from the campus. On 8/13/2021, the shooter's son shot and killed a student at his school using a weapon owned by the father/shooter.</v>
      </c>
      <c r="W1320" s="1" t="str">
        <f ca="1">IFERROR(__xludf.DUMMYFUNCTION("""COMPUTED_VALUE"""),"Escalation of Dispute")</f>
        <v>Escalation of Dispute</v>
      </c>
      <c r="X1320" s="1" t="str">
        <f ca="1">IFERROR(__xludf.DUMMYFUNCTION("""COMPUTED_VALUE"""),"Victims Targeted")</f>
        <v>Victims Targeted</v>
      </c>
      <c r="Y1320" s="1" t="str">
        <f ca="1">IFERROR(__xludf.DUMMYFUNCTION("""COMPUTED_VALUE"""),"No")</f>
        <v>No</v>
      </c>
      <c r="Z1320" s="1"/>
      <c r="AA1320" s="1" t="str">
        <f ca="1">IFERROR(__xludf.DUMMYFUNCTION("""COMPUTED_VALUE"""),"No")</f>
        <v>No</v>
      </c>
      <c r="AB1320" s="1" t="str">
        <f ca="1">IFERROR(__xludf.DUMMYFUNCTION("""COMPUTED_VALUE"""),"No")</f>
        <v>No</v>
      </c>
      <c r="AC1320" s="1" t="str">
        <f ca="1">IFERROR(__xludf.DUMMYFUNCTION("""COMPUTED_VALUE"""),"No")</f>
        <v>No</v>
      </c>
      <c r="AD1320" s="1" t="str">
        <f ca="1">IFERROR(__xludf.DUMMYFUNCTION("""COMPUTED_VALUE"""),"No")</f>
        <v>No</v>
      </c>
      <c r="AE1320" s="1" t="str">
        <f ca="1">IFERROR(__xludf.DUMMYFUNCTION("""COMPUTED_VALUE"""),"No")</f>
        <v>No</v>
      </c>
      <c r="AF1320" s="1" t="str">
        <f ca="1">IFERROR(__xludf.DUMMYFUNCTION("""COMPUTED_VALUE"""),"No")</f>
        <v>No</v>
      </c>
      <c r="AG1320" s="1" t="str">
        <f ca="1">IFERROR(__xludf.DUMMYFUNCTION("""COMPUTED_VALUE"""),"No")</f>
        <v>No</v>
      </c>
      <c r="AH1320" s="1"/>
    </row>
    <row r="1321" spans="1:34" ht="12.5">
      <c r="A1321" s="1" t="str">
        <f ca="1">IFERROR(__xludf.DUMMYFUNCTION("""COMPUTED_VALUE"""),"20180423GABEA")</f>
        <v>20180423GABEA</v>
      </c>
      <c r="B1321" s="1">
        <f ca="1">IFERROR(__xludf.DUMMYFUNCTION("""COMPUTED_VALUE"""),4)</f>
        <v>4</v>
      </c>
      <c r="C1321" s="1">
        <f ca="1">IFERROR(__xludf.DUMMYFUNCTION("""COMPUTED_VALUE"""),23)</f>
        <v>23</v>
      </c>
      <c r="D1321" s="1">
        <f ca="1">IFERROR(__xludf.DUMMYFUNCTION("""COMPUTED_VALUE"""),2018)</f>
        <v>2018</v>
      </c>
      <c r="E1321" s="4">
        <f ca="1">IFERROR(__xludf.DUMMYFUNCTION("""COMPUTED_VALUE"""),43213)</f>
        <v>43213</v>
      </c>
      <c r="F1321" s="1" t="str">
        <f ca="1">IFERROR(__xludf.DUMMYFUNCTION("""COMPUTED_VALUE"""),"Benjamin E. Mays High School")</f>
        <v>Benjamin E. Mays High School</v>
      </c>
      <c r="G1321" s="1">
        <f ca="1">IFERROR(__xludf.DUMMYFUNCTION("""COMPUTED_VALUE"""),0)</f>
        <v>0</v>
      </c>
      <c r="H1321" s="1">
        <f ca="1">IFERROR(__xludf.DUMMYFUNCTION("""COMPUTED_VALUE"""),0)</f>
        <v>0</v>
      </c>
      <c r="I1321" s="1">
        <f ca="1">IFERROR(__xludf.DUMMYFUNCTION("""COMPUTED_VALUE"""),0)</f>
        <v>0</v>
      </c>
      <c r="J1321" s="1">
        <f ca="1">IFERROR(__xludf.DUMMYFUNCTION("""COMPUTED_VALUE"""),0)</f>
        <v>0</v>
      </c>
      <c r="K1321" s="1" t="str">
        <f ca="1">IFERROR(__xludf.DUMMYFUNCTION("""COMPUTED_VALUE"""),"Spring")</f>
        <v>Spring</v>
      </c>
      <c r="L1321" s="1" t="str">
        <f ca="1">IFERROR(__xludf.DUMMYFUNCTION("""COMPUTED_VALUE"""),"Atlanta")</f>
        <v>Atlanta</v>
      </c>
      <c r="M1321" s="1" t="str">
        <f ca="1">IFERROR(__xludf.DUMMYFUNCTION("""COMPUTED_VALUE"""),"GA")</f>
        <v>GA</v>
      </c>
      <c r="N1321" s="1" t="str">
        <f ca="1">IFERROR(__xludf.DUMMYFUNCTION("""COMPUTED_VALUE"""),"High")</f>
        <v>High</v>
      </c>
      <c r="O1321" s="1" t="str">
        <f ca="1">IFERROR(__xludf.DUMMYFUNCTION("""COMPUTED_VALUE"""),"Parking Lot")</f>
        <v>Parking Lot</v>
      </c>
      <c r="P1321" s="1" t="str">
        <f ca="1">IFERROR(__xludf.DUMMYFUNCTION("""COMPUTED_VALUE"""),"Outside on School Property")</f>
        <v>Outside on School Property</v>
      </c>
      <c r="Q1321" s="1" t="str">
        <f ca="1">IFERROR(__xludf.DUMMYFUNCTION("""COMPUTED_VALUE"""),"Yes")</f>
        <v>Yes</v>
      </c>
      <c r="R1321" s="1" t="str">
        <f ca="1">IFERROR(__xludf.DUMMYFUNCTION("""COMPUTED_VALUE"""),"Lunch")</f>
        <v>Lunch</v>
      </c>
      <c r="S1321" s="5">
        <f ca="1">IFERROR(__xludf.DUMMYFUNCTION("""COMPUTED_VALUE"""),0.541666666666666)</f>
        <v>0.54166666666666596</v>
      </c>
      <c r="T1321" s="1">
        <f ca="1">IFERROR(__xludf.DUMMYFUNCTION("""COMPUTED_VALUE"""),1)</f>
        <v>1</v>
      </c>
      <c r="U1321" s="1" t="str">
        <f ca="1">IFERROR(__xludf.DUMMYFUNCTION("""COMPUTED_VALUE"""),"Shot fired into air during a verbal argument between male and female students")</f>
        <v>Shot fired into air during a verbal argument between male and female students</v>
      </c>
      <c r="V1321" s="1" t="str">
        <f ca="1">IFERROR(__xludf.DUMMYFUNCTION("""COMPUTED_VALUE"""),"Shot fired into the air after a verbal altercation between a female student and an acquaintance male who was not a student. Shot broke car glass and the female was hurt. Male shooter fired in the air while fleeing the scene in a car.")</f>
        <v>Shot fired into the air after a verbal altercation between a female student and an acquaintance male who was not a student. Shot broke car glass and the female was hurt. Male shooter fired in the air while fleeing the scene in a car.</v>
      </c>
      <c r="W1321" s="1" t="str">
        <f ca="1">IFERROR(__xludf.DUMMYFUNCTION("""COMPUTED_VALUE"""),"Escalation of Dispute")</f>
        <v>Escalation of Dispute</v>
      </c>
      <c r="X1321" s="1" t="str">
        <f ca="1">IFERROR(__xludf.DUMMYFUNCTION("""COMPUTED_VALUE"""),"Victims Targeted")</f>
        <v>Victims Targeted</v>
      </c>
      <c r="Y1321" s="1"/>
      <c r="Z1321" s="1"/>
      <c r="AA1321" s="1" t="str">
        <f ca="1">IFERROR(__xludf.DUMMYFUNCTION("""COMPUTED_VALUE"""),"No")</f>
        <v>No</v>
      </c>
      <c r="AB1321" s="1" t="str">
        <f ca="1">IFERROR(__xludf.DUMMYFUNCTION("""COMPUTED_VALUE"""),"No")</f>
        <v>No</v>
      </c>
      <c r="AC1321" s="1" t="str">
        <f ca="1">IFERROR(__xludf.DUMMYFUNCTION("""COMPUTED_VALUE"""),"No")</f>
        <v>No</v>
      </c>
      <c r="AD1321" s="1" t="str">
        <f ca="1">IFERROR(__xludf.DUMMYFUNCTION("""COMPUTED_VALUE"""),"No")</f>
        <v>No</v>
      </c>
      <c r="AE1321" s="1" t="str">
        <f ca="1">IFERROR(__xludf.DUMMYFUNCTION("""COMPUTED_VALUE"""),"Yes")</f>
        <v>Yes</v>
      </c>
      <c r="AF1321" s="1" t="str">
        <f ca="1">IFERROR(__xludf.DUMMYFUNCTION("""COMPUTED_VALUE"""),"No")</f>
        <v>No</v>
      </c>
      <c r="AG1321" s="1" t="str">
        <f ca="1">IFERROR(__xludf.DUMMYFUNCTION("""COMPUTED_VALUE"""),"No")</f>
        <v>No</v>
      </c>
      <c r="AH1321" s="1">
        <f ca="1">IFERROR(__xludf.DUMMYFUNCTION("""COMPUTED_VALUE"""),1)</f>
        <v>1</v>
      </c>
    </row>
    <row r="1322" spans="1:34" ht="12.5">
      <c r="A1322" s="1" t="str">
        <f ca="1">IFERROR(__xludf.DUMMYFUNCTION("""COMPUTED_VALUE"""),"20180420FLFOO")</f>
        <v>20180420FLFOO</v>
      </c>
      <c r="B1322" s="1">
        <f ca="1">IFERROR(__xludf.DUMMYFUNCTION("""COMPUTED_VALUE"""),4)</f>
        <v>4</v>
      </c>
      <c r="C1322" s="1">
        <f ca="1">IFERROR(__xludf.DUMMYFUNCTION("""COMPUTED_VALUE"""),20)</f>
        <v>20</v>
      </c>
      <c r="D1322" s="1">
        <f ca="1">IFERROR(__xludf.DUMMYFUNCTION("""COMPUTED_VALUE"""),2018)</f>
        <v>2018</v>
      </c>
      <c r="E1322" s="4">
        <f ca="1">IFERROR(__xludf.DUMMYFUNCTION("""COMPUTED_VALUE"""),43210)</f>
        <v>43210</v>
      </c>
      <c r="F1322" s="1" t="str">
        <f ca="1">IFERROR(__xludf.DUMMYFUNCTION("""COMPUTED_VALUE"""),"Forest High School")</f>
        <v>Forest High School</v>
      </c>
      <c r="G1322" s="1">
        <f ca="1">IFERROR(__xludf.DUMMYFUNCTION("""COMPUTED_VALUE"""),0)</f>
        <v>0</v>
      </c>
      <c r="H1322" s="1">
        <f ca="1">IFERROR(__xludf.DUMMYFUNCTION("""COMPUTED_VALUE"""),1)</f>
        <v>1</v>
      </c>
      <c r="I1322" s="1">
        <f ca="1">IFERROR(__xludf.DUMMYFUNCTION("""COMPUTED_VALUE"""),1)</f>
        <v>1</v>
      </c>
      <c r="J1322" s="1">
        <f ca="1">IFERROR(__xludf.DUMMYFUNCTION("""COMPUTED_VALUE"""),0)</f>
        <v>0</v>
      </c>
      <c r="K1322" s="1" t="str">
        <f ca="1">IFERROR(__xludf.DUMMYFUNCTION("""COMPUTED_VALUE"""),"Spring")</f>
        <v>Spring</v>
      </c>
      <c r="L1322" s="1" t="str">
        <f ca="1">IFERROR(__xludf.DUMMYFUNCTION("""COMPUTED_VALUE"""),"Ocala")</f>
        <v>Ocala</v>
      </c>
      <c r="M1322" s="1" t="str">
        <f ca="1">IFERROR(__xludf.DUMMYFUNCTION("""COMPUTED_VALUE"""),"FL")</f>
        <v>FL</v>
      </c>
      <c r="N1322" s="1" t="str">
        <f ca="1">IFERROR(__xludf.DUMMYFUNCTION("""COMPUTED_VALUE"""),"High")</f>
        <v>High</v>
      </c>
      <c r="O1322" s="1" t="str">
        <f ca="1">IFERROR(__xludf.DUMMYFUNCTION("""COMPUTED_VALUE"""),"Classroom")</f>
        <v>Classroom</v>
      </c>
      <c r="P1322" s="1" t="str">
        <f ca="1">IFERROR(__xludf.DUMMYFUNCTION("""COMPUTED_VALUE"""),"Inside School Building")</f>
        <v>Inside School Building</v>
      </c>
      <c r="Q1322" s="1" t="str">
        <f ca="1">IFERROR(__xludf.DUMMYFUNCTION("""COMPUTED_VALUE"""),"Yes")</f>
        <v>Yes</v>
      </c>
      <c r="R1322" s="1" t="str">
        <f ca="1">IFERROR(__xludf.DUMMYFUNCTION("""COMPUTED_VALUE"""),"Morning Classes")</f>
        <v>Morning Classes</v>
      </c>
      <c r="S1322" s="5">
        <f ca="1">IFERROR(__xludf.DUMMYFUNCTION("""COMPUTED_VALUE"""),0.360416666666666)</f>
        <v>0.360416666666666</v>
      </c>
      <c r="T1322" s="1">
        <f ca="1">IFERROR(__xludf.DUMMYFUNCTION("""COMPUTED_VALUE"""),1)</f>
        <v>1</v>
      </c>
      <c r="U1322" s="1" t="str">
        <f ca="1">IFERROR(__xludf.DUMMYFUNCTION("""COMPUTED_VALUE"""),"Planned attack on school by heavily armed shooter")</f>
        <v>Planned attack on school by heavily armed shooter</v>
      </c>
      <c r="V1322" s="1" t="str">
        <f ca="1">IFERROR(__xludf.DUMMYFUNCTION("""COMPUTED_VALUE"""),"Shooter walked into Forest High School carrying a guitar case, according to the Marion County Sheriff's Office. Inside of the case was a sawed-off shotgun. Shooter fired the shotgun through a door, injuring a student, according to the sheriff's office. Af"&amp;"ter injuring the student, he stopped shooting and was taken into custody.")</f>
        <v>Shooter walked into Forest High School carrying a guitar case, according to the Marion County Sheriff's Office. Inside of the case was a sawed-off shotgun. Shooter fired the shotgun through a door, injuring a student, according to the sheriff's office. After injuring the student, he stopped shooting and was taken into custody.</v>
      </c>
      <c r="W1322" s="1" t="str">
        <f ca="1">IFERROR(__xludf.DUMMYFUNCTION("""COMPUTED_VALUE"""),"Indiscriminate Shooting")</f>
        <v>Indiscriminate Shooting</v>
      </c>
      <c r="X1322" s="1" t="str">
        <f ca="1">IFERROR(__xludf.DUMMYFUNCTION("""COMPUTED_VALUE"""),"Random Shooting")</f>
        <v>Random Shooting</v>
      </c>
      <c r="Y1322" s="1" t="str">
        <f ca="1">IFERROR(__xludf.DUMMYFUNCTION("""COMPUTED_VALUE"""),"No")</f>
        <v>No</v>
      </c>
      <c r="Z1322" s="1"/>
      <c r="AA1322" s="1" t="str">
        <f ca="1">IFERROR(__xludf.DUMMYFUNCTION("""COMPUTED_VALUE"""),"No")</f>
        <v>No</v>
      </c>
      <c r="AB1322" s="1" t="str">
        <f ca="1">IFERROR(__xludf.DUMMYFUNCTION("""COMPUTED_VALUE"""),"No")</f>
        <v>No</v>
      </c>
      <c r="AC1322" s="1" t="str">
        <f ca="1">IFERROR(__xludf.DUMMYFUNCTION("""COMPUTED_VALUE"""),"No")</f>
        <v>No</v>
      </c>
      <c r="AD1322" s="1" t="str">
        <f ca="1">IFERROR(__xludf.DUMMYFUNCTION("""COMPUTED_VALUE"""),"No")</f>
        <v>No</v>
      </c>
      <c r="AE1322" s="1" t="str">
        <f ca="1">IFERROR(__xludf.DUMMYFUNCTION("""COMPUTED_VALUE"""),"No")</f>
        <v>No</v>
      </c>
      <c r="AF1322" s="1" t="str">
        <f ca="1">IFERROR(__xludf.DUMMYFUNCTION("""COMPUTED_VALUE"""),"No")</f>
        <v>No</v>
      </c>
      <c r="AG1322" s="1" t="str">
        <f ca="1">IFERROR(__xludf.DUMMYFUNCTION("""COMPUTED_VALUE"""),"Yes")</f>
        <v>Yes</v>
      </c>
      <c r="AH1322" s="1"/>
    </row>
    <row r="1323" spans="1:34" ht="12.5">
      <c r="A1323" s="1" t="str">
        <f ca="1">IFERROR(__xludf.DUMMYFUNCTION("""COMPUTED_VALUE"""),"20180419MIJAJ")</f>
        <v>20180419MIJAJ</v>
      </c>
      <c r="B1323" s="1">
        <f ca="1">IFERROR(__xludf.DUMMYFUNCTION("""COMPUTED_VALUE"""),4)</f>
        <v>4</v>
      </c>
      <c r="C1323" s="1">
        <f ca="1">IFERROR(__xludf.DUMMYFUNCTION("""COMPUTED_VALUE"""),19)</f>
        <v>19</v>
      </c>
      <c r="D1323" s="1">
        <f ca="1">IFERROR(__xludf.DUMMYFUNCTION("""COMPUTED_VALUE"""),2018)</f>
        <v>2018</v>
      </c>
      <c r="E1323" s="4">
        <f ca="1">IFERROR(__xludf.DUMMYFUNCTION("""COMPUTED_VALUE"""),43209)</f>
        <v>43209</v>
      </c>
      <c r="F1323" s="1" t="str">
        <f ca="1">IFERROR(__xludf.DUMMYFUNCTION("""COMPUTED_VALUE"""),"Jackson High School")</f>
        <v>Jackson High School</v>
      </c>
      <c r="G1323" s="1">
        <f ca="1">IFERROR(__xludf.DUMMYFUNCTION("""COMPUTED_VALUE"""),0)</f>
        <v>0</v>
      </c>
      <c r="H1323" s="1">
        <f ca="1">IFERROR(__xludf.DUMMYFUNCTION("""COMPUTED_VALUE"""),0)</f>
        <v>0</v>
      </c>
      <c r="I1323" s="1">
        <f ca="1">IFERROR(__xludf.DUMMYFUNCTION("""COMPUTED_VALUE"""),0)</f>
        <v>0</v>
      </c>
      <c r="J1323" s="1">
        <f ca="1">IFERROR(__xludf.DUMMYFUNCTION("""COMPUTED_VALUE"""),0)</f>
        <v>0</v>
      </c>
      <c r="K1323" s="1" t="str">
        <f ca="1">IFERROR(__xludf.DUMMYFUNCTION("""COMPUTED_VALUE"""),"Spring")</f>
        <v>Spring</v>
      </c>
      <c r="L1323" s="1" t="str">
        <f ca="1">IFERROR(__xludf.DUMMYFUNCTION("""COMPUTED_VALUE"""),"Jackson")</f>
        <v>Jackson</v>
      </c>
      <c r="M1323" s="1" t="str">
        <f ca="1">IFERROR(__xludf.DUMMYFUNCTION("""COMPUTED_VALUE"""),"MI")</f>
        <v>MI</v>
      </c>
      <c r="N1323" s="1" t="str">
        <f ca="1">IFERROR(__xludf.DUMMYFUNCTION("""COMPUTED_VALUE"""),"High")</f>
        <v>High</v>
      </c>
      <c r="O1323" s="1" t="str">
        <f ca="1">IFERROR(__xludf.DUMMYFUNCTION("""COMPUTED_VALUE"""),"Off School Property")</f>
        <v>Off School Property</v>
      </c>
      <c r="P1323" s="1" t="str">
        <f ca="1">IFERROR(__xludf.DUMMYFUNCTION("""COMPUTED_VALUE"""),"Off School Property")</f>
        <v>Off School Property</v>
      </c>
      <c r="Q1323" s="1" t="str">
        <f ca="1">IFERROR(__xludf.DUMMYFUNCTION("""COMPUTED_VALUE"""),"Yes")</f>
        <v>Yes</v>
      </c>
      <c r="R1323" s="1" t="str">
        <f ca="1">IFERROR(__xludf.DUMMYFUNCTION("""COMPUTED_VALUE"""),"Afternoon Classes")</f>
        <v>Afternoon Classes</v>
      </c>
      <c r="S1323" s="5">
        <f ca="1">IFERROR(__xludf.DUMMYFUNCTION("""COMPUTED_VALUE"""),0.572222222222222)</f>
        <v>0.57222222222222197</v>
      </c>
      <c r="T1323" s="1">
        <f ca="1">IFERROR(__xludf.DUMMYFUNCTION("""COMPUTED_VALUE"""),1)</f>
        <v>1</v>
      </c>
      <c r="U1323" s="1" t="str">
        <f ca="1">IFERROR(__xludf.DUMMYFUNCTION("""COMPUTED_VALUE"""),"Two shots struck windows of occupied classroom")</f>
        <v>Two shots struck windows of occupied classroom</v>
      </c>
      <c r="V1323" s="1" t="str">
        <f ca="1">IFERROR(__xludf.DUMMYFUNCTION("""COMPUTED_VALUE"""),"Two shots broke windows of occupied classroom. No injuries. Police believed the shots were from a handgun fired at the apartment complex across the street. No motive or suspect. Did not appear school was target.")</f>
        <v>Two shots broke windows of occupied classroom. No injuries. Police believed the shots were from a handgun fired at the apartment complex across the street. No motive or suspect. Did not appear school was target.</v>
      </c>
      <c r="W1323" s="1" t="str">
        <f ca="1">IFERROR(__xludf.DUMMYFUNCTION("""COMPUTED_VALUE"""),"Unknown")</f>
        <v>Unknown</v>
      </c>
      <c r="X1323" s="1" t="str">
        <f ca="1">IFERROR(__xludf.DUMMYFUNCTION("""COMPUTED_VALUE"""),"Neither")</f>
        <v>Neither</v>
      </c>
      <c r="Y1323" s="1" t="str">
        <f ca="1">IFERROR(__xludf.DUMMYFUNCTION("""COMPUTED_VALUE"""),"Unknown")</f>
        <v>Unknown</v>
      </c>
      <c r="Z1323" s="1"/>
      <c r="AA1323" s="1" t="str">
        <f ca="1">IFERROR(__xludf.DUMMYFUNCTION("""COMPUTED_VALUE"""),"No")</f>
        <v>No</v>
      </c>
      <c r="AB1323" s="1" t="str">
        <f ca="1">IFERROR(__xludf.DUMMYFUNCTION("""COMPUTED_VALUE"""),"No")</f>
        <v>No</v>
      </c>
      <c r="AC1323" s="1" t="str">
        <f ca="1">IFERROR(__xludf.DUMMYFUNCTION("""COMPUTED_VALUE"""),"No")</f>
        <v>No</v>
      </c>
      <c r="AD1323" s="1" t="str">
        <f ca="1">IFERROR(__xludf.DUMMYFUNCTION("""COMPUTED_VALUE"""),"No")</f>
        <v>No</v>
      </c>
      <c r="AE1323" s="1" t="str">
        <f ca="1">IFERROR(__xludf.DUMMYFUNCTION("""COMPUTED_VALUE"""),"No")</f>
        <v>No</v>
      </c>
      <c r="AF1323" s="1"/>
      <c r="AG1323" s="1" t="str">
        <f ca="1">IFERROR(__xludf.DUMMYFUNCTION("""COMPUTED_VALUE"""),"No")</f>
        <v>No</v>
      </c>
      <c r="AH1323" s="1">
        <f ca="1">IFERROR(__xludf.DUMMYFUNCTION("""COMPUTED_VALUE"""),2)</f>
        <v>2</v>
      </c>
    </row>
    <row r="1324" spans="1:34" ht="12.5">
      <c r="A1324" s="1" t="str">
        <f ca="1">IFERROR(__xludf.DUMMYFUNCTION("""COMPUTED_VALUE"""),"20180412MORAR")</f>
        <v>20180412MORAR</v>
      </c>
      <c r="B1324" s="1">
        <f ca="1">IFERROR(__xludf.DUMMYFUNCTION("""COMPUTED_VALUE"""),4)</f>
        <v>4</v>
      </c>
      <c r="C1324" s="1">
        <f ca="1">IFERROR(__xludf.DUMMYFUNCTION("""COMPUTED_VALUE"""),12)</f>
        <v>12</v>
      </c>
      <c r="D1324" s="1">
        <f ca="1">IFERROR(__xludf.DUMMYFUNCTION("""COMPUTED_VALUE"""),2018)</f>
        <v>2018</v>
      </c>
      <c r="E1324" s="4">
        <f ca="1">IFERROR(__xludf.DUMMYFUNCTION("""COMPUTED_VALUE"""),43202)</f>
        <v>43202</v>
      </c>
      <c r="F1324" s="1" t="str">
        <f ca="1">IFERROR(__xludf.DUMMYFUNCTION("""COMPUTED_VALUE"""),"Rayton South Middle School")</f>
        <v>Rayton South Middle School</v>
      </c>
      <c r="G1324" s="1">
        <f ca="1">IFERROR(__xludf.DUMMYFUNCTION("""COMPUTED_VALUE"""),0)</f>
        <v>0</v>
      </c>
      <c r="H1324" s="1">
        <f ca="1">IFERROR(__xludf.DUMMYFUNCTION("""COMPUTED_VALUE"""),1)</f>
        <v>1</v>
      </c>
      <c r="I1324" s="1">
        <f ca="1">IFERROR(__xludf.DUMMYFUNCTION("""COMPUTED_VALUE"""),1)</f>
        <v>1</v>
      </c>
      <c r="J1324" s="1">
        <f ca="1">IFERROR(__xludf.DUMMYFUNCTION("""COMPUTED_VALUE"""),0)</f>
        <v>0</v>
      </c>
      <c r="K1324" s="1" t="str">
        <f ca="1">IFERROR(__xludf.DUMMYFUNCTION("""COMPUTED_VALUE"""),"Spring")</f>
        <v>Spring</v>
      </c>
      <c r="L1324" s="1" t="str">
        <f ca="1">IFERROR(__xludf.DUMMYFUNCTION("""COMPUTED_VALUE"""),"Rayton")</f>
        <v>Rayton</v>
      </c>
      <c r="M1324" s="1" t="str">
        <f ca="1">IFERROR(__xludf.DUMMYFUNCTION("""COMPUTED_VALUE"""),"MO")</f>
        <v>MO</v>
      </c>
      <c r="N1324" s="1" t="str">
        <f ca="1">IFERROR(__xludf.DUMMYFUNCTION("""COMPUTED_VALUE"""),"Middle")</f>
        <v>Middle</v>
      </c>
      <c r="O1324" s="1" t="str">
        <f ca="1">IFERROR(__xludf.DUMMYFUNCTION("""COMPUTED_VALUE"""),"Parking Lot")</f>
        <v>Parking Lot</v>
      </c>
      <c r="P1324" s="1" t="str">
        <f ca="1">IFERROR(__xludf.DUMMYFUNCTION("""COMPUTED_VALUE"""),"Outside on School Property")</f>
        <v>Outside on School Property</v>
      </c>
      <c r="Q1324" s="1" t="str">
        <f ca="1">IFERROR(__xludf.DUMMYFUNCTION("""COMPUTED_VALUE"""),"No")</f>
        <v>No</v>
      </c>
      <c r="R1324" s="1" t="str">
        <f ca="1">IFERROR(__xludf.DUMMYFUNCTION("""COMPUTED_VALUE"""),"Sport Event")</f>
        <v>Sport Event</v>
      </c>
      <c r="S1324" s="5">
        <f ca="1">IFERROR(__xludf.DUMMYFUNCTION("""COMPUTED_VALUE"""),0.729166666666666)</f>
        <v>0.72916666666666596</v>
      </c>
      <c r="T1324" s="1">
        <f ca="1">IFERROR(__xludf.DUMMYFUNCTION("""COMPUTED_VALUE"""),1)</f>
        <v>1</v>
      </c>
      <c r="U1324" s="1" t="str">
        <f ca="1">IFERROR(__xludf.DUMMYFUNCTION("""COMPUTED_VALUE"""),"Parent shot in parking lot")</f>
        <v>Parent shot in parking lot</v>
      </c>
      <c r="V1324" s="1" t="str">
        <f ca="1">IFERROR(__xludf.DUMMYFUNCTION("""COMPUTED_VALUE"""),"37 year old victim was shot in the parking lot of the school during a multiple school track meet. The unidentified shooter fled the scene in a car. No details about motive.")</f>
        <v>37 year old victim was shot in the parking lot of the school during a multiple school track meet. The unidentified shooter fled the scene in a car. No details about motive.</v>
      </c>
      <c r="W1324" s="1" t="str">
        <f ca="1">IFERROR(__xludf.DUMMYFUNCTION("""COMPUTED_VALUE"""),"Escalation of Dispute")</f>
        <v>Escalation of Dispute</v>
      </c>
      <c r="X1324" s="1" t="str">
        <f ca="1">IFERROR(__xludf.DUMMYFUNCTION("""COMPUTED_VALUE"""),"Victims Targeted")</f>
        <v>Victims Targeted</v>
      </c>
      <c r="Y1324" s="1"/>
      <c r="Z1324" s="1"/>
      <c r="AA1324" s="1" t="str">
        <f ca="1">IFERROR(__xludf.DUMMYFUNCTION("""COMPUTED_VALUE"""),"No")</f>
        <v>No</v>
      </c>
      <c r="AB1324" s="1" t="str">
        <f ca="1">IFERROR(__xludf.DUMMYFUNCTION("""COMPUTED_VALUE"""),"No")</f>
        <v>No</v>
      </c>
      <c r="AC1324" s="1" t="str">
        <f ca="1">IFERROR(__xludf.DUMMYFUNCTION("""COMPUTED_VALUE"""),"No")</f>
        <v>No</v>
      </c>
      <c r="AD1324" s="1" t="str">
        <f ca="1">IFERROR(__xludf.DUMMYFUNCTION("""COMPUTED_VALUE"""),"No")</f>
        <v>No</v>
      </c>
      <c r="AE1324" s="1" t="str">
        <f ca="1">IFERROR(__xludf.DUMMYFUNCTION("""COMPUTED_VALUE"""),"No")</f>
        <v>No</v>
      </c>
      <c r="AF1324" s="1" t="str">
        <f ca="1">IFERROR(__xludf.DUMMYFUNCTION("""COMPUTED_VALUE"""),"No")</f>
        <v>No</v>
      </c>
      <c r="AG1324" s="1" t="str">
        <f ca="1">IFERROR(__xludf.DUMMYFUNCTION("""COMPUTED_VALUE"""),"No")</f>
        <v>No</v>
      </c>
      <c r="AH1324" s="1"/>
    </row>
    <row r="1325" spans="1:34" ht="12.5">
      <c r="A1325" s="1" t="str">
        <f ca="1">IFERROR(__xludf.DUMMYFUNCTION("""COMPUTED_VALUE"""),"20180409NYGLG")</f>
        <v>20180409NYGLG</v>
      </c>
      <c r="B1325" s="1">
        <f ca="1">IFERROR(__xludf.DUMMYFUNCTION("""COMPUTED_VALUE"""),4)</f>
        <v>4</v>
      </c>
      <c r="C1325" s="1">
        <f ca="1">IFERROR(__xludf.DUMMYFUNCTION("""COMPUTED_VALUE"""),9)</f>
        <v>9</v>
      </c>
      <c r="D1325" s="1">
        <f ca="1">IFERROR(__xludf.DUMMYFUNCTION("""COMPUTED_VALUE"""),2018)</f>
        <v>2018</v>
      </c>
      <c r="E1325" s="4">
        <f ca="1">IFERROR(__xludf.DUMMYFUNCTION("""COMPUTED_VALUE"""),43199)</f>
        <v>43199</v>
      </c>
      <c r="F1325" s="1" t="str">
        <f ca="1">IFERROR(__xludf.DUMMYFUNCTION("""COMPUTED_VALUE"""),"Gloversville Middle School")</f>
        <v>Gloversville Middle School</v>
      </c>
      <c r="G1325" s="1">
        <f ca="1">IFERROR(__xludf.DUMMYFUNCTION("""COMPUTED_VALUE"""),0)</f>
        <v>0</v>
      </c>
      <c r="H1325" s="1">
        <f ca="1">IFERROR(__xludf.DUMMYFUNCTION("""COMPUTED_VALUE"""),1)</f>
        <v>1</v>
      </c>
      <c r="I1325" s="1">
        <f ca="1">IFERROR(__xludf.DUMMYFUNCTION("""COMPUTED_VALUE"""),1)</f>
        <v>1</v>
      </c>
      <c r="J1325" s="1">
        <f ca="1">IFERROR(__xludf.DUMMYFUNCTION("""COMPUTED_VALUE"""),0)</f>
        <v>0</v>
      </c>
      <c r="K1325" s="1" t="str">
        <f ca="1">IFERROR(__xludf.DUMMYFUNCTION("""COMPUTED_VALUE"""),"Spring")</f>
        <v>Spring</v>
      </c>
      <c r="L1325" s="1" t="str">
        <f ca="1">IFERROR(__xludf.DUMMYFUNCTION("""COMPUTED_VALUE"""),"Gloversville")</f>
        <v>Gloversville</v>
      </c>
      <c r="M1325" s="1" t="str">
        <f ca="1">IFERROR(__xludf.DUMMYFUNCTION("""COMPUTED_VALUE"""),"NY")</f>
        <v>NY</v>
      </c>
      <c r="N1325" s="1" t="str">
        <f ca="1">IFERROR(__xludf.DUMMYFUNCTION("""COMPUTED_VALUE"""),"Middle")</f>
        <v>Middle</v>
      </c>
      <c r="O1325" s="1" t="str">
        <f ca="1">IFERROR(__xludf.DUMMYFUNCTION("""COMPUTED_VALUE"""),"Hallway")</f>
        <v>Hallway</v>
      </c>
      <c r="P1325" s="1" t="str">
        <f ca="1">IFERROR(__xludf.DUMMYFUNCTION("""COMPUTED_VALUE"""),"Inside School Building")</f>
        <v>Inside School Building</v>
      </c>
      <c r="Q1325" s="1" t="str">
        <f ca="1">IFERROR(__xludf.DUMMYFUNCTION("""COMPUTED_VALUE"""),"Yes")</f>
        <v>Yes</v>
      </c>
      <c r="R1325" s="1" t="str">
        <f ca="1">IFERROR(__xludf.DUMMYFUNCTION("""COMPUTED_VALUE"""),"Morning Classes")</f>
        <v>Morning Classes</v>
      </c>
      <c r="S1325" s="5">
        <f ca="1">IFERROR(__xludf.DUMMYFUNCTION("""COMPUTED_VALUE"""),0.458333333333333)</f>
        <v>0.45833333333333298</v>
      </c>
      <c r="T1325" s="1"/>
      <c r="U1325" s="1" t="str">
        <f ca="1">IFERROR(__xludf.DUMMYFUNCTION("""COMPUTED_VALUE"""),"Shooter chased victim around school with BB gun")</f>
        <v>Shooter chased victim around school with BB gun</v>
      </c>
      <c r="V1325" s="1" t="str">
        <f ca="1">IFERROR(__xludf.DUMMYFUNCTION("""COMPUTED_VALUE"""),"Shooter allegedly chased the victim in the basement level of the school and fired a BB pistol multiple times at him causing minor injuries. The victim reported this to school officials and police officers later arrested the shooter and retrieved the gun f"&amp;"rom his home. Victim and Shooter provided conflicting accounts.")</f>
        <v>Shooter allegedly chased the victim in the basement level of the school and fired a BB pistol multiple times at him causing minor injuries. The victim reported this to school officials and police officers later arrested the shooter and retrieved the gun from his home. Victim and Shooter provided conflicting accounts.</v>
      </c>
      <c r="W1325" s="1" t="str">
        <f ca="1">IFERROR(__xludf.DUMMYFUNCTION("""COMPUTED_VALUE"""),"Escalation of Dispute")</f>
        <v>Escalation of Dispute</v>
      </c>
      <c r="X1325" s="1" t="str">
        <f ca="1">IFERROR(__xludf.DUMMYFUNCTION("""COMPUTED_VALUE"""),"Victims Targeted")</f>
        <v>Victims Targeted</v>
      </c>
      <c r="Y1325" s="1"/>
      <c r="Z1325" s="1"/>
      <c r="AA1325" s="1" t="str">
        <f ca="1">IFERROR(__xludf.DUMMYFUNCTION("""COMPUTED_VALUE"""),"No")</f>
        <v>No</v>
      </c>
      <c r="AB1325" s="1" t="str">
        <f ca="1">IFERROR(__xludf.DUMMYFUNCTION("""COMPUTED_VALUE"""),"No")</f>
        <v>No</v>
      </c>
      <c r="AC1325" s="1" t="str">
        <f ca="1">IFERROR(__xludf.DUMMYFUNCTION("""COMPUTED_VALUE"""),"No")</f>
        <v>No</v>
      </c>
      <c r="AD1325" s="1" t="str">
        <f ca="1">IFERROR(__xludf.DUMMYFUNCTION("""COMPUTED_VALUE"""),"No")</f>
        <v>No</v>
      </c>
      <c r="AE1325" s="1" t="str">
        <f ca="1">IFERROR(__xludf.DUMMYFUNCTION("""COMPUTED_VALUE"""),"No")</f>
        <v>No</v>
      </c>
      <c r="AF1325" s="1" t="str">
        <f ca="1">IFERROR(__xludf.DUMMYFUNCTION("""COMPUTED_VALUE"""),"No")</f>
        <v>No</v>
      </c>
      <c r="AG1325" s="1" t="str">
        <f ca="1">IFERROR(__xludf.DUMMYFUNCTION("""COMPUTED_VALUE"""),"No")</f>
        <v>No</v>
      </c>
      <c r="AH1325" s="1"/>
    </row>
    <row r="1326" spans="1:34" ht="12.5">
      <c r="A1326" s="1" t="str">
        <f ca="1">IFERROR(__xludf.DUMMYFUNCTION("""COMPUTED_VALUE"""),"20180329KYJOE")</f>
        <v>20180329KYJOE</v>
      </c>
      <c r="B1326" s="1">
        <f ca="1">IFERROR(__xludf.DUMMYFUNCTION("""COMPUTED_VALUE"""),3)</f>
        <v>3</v>
      </c>
      <c r="C1326" s="1">
        <f ca="1">IFERROR(__xludf.DUMMYFUNCTION("""COMPUTED_VALUE"""),29)</f>
        <v>29</v>
      </c>
      <c r="D1326" s="1">
        <f ca="1">IFERROR(__xludf.DUMMYFUNCTION("""COMPUTED_VALUE"""),2018)</f>
        <v>2018</v>
      </c>
      <c r="E1326" s="4">
        <f ca="1">IFERROR(__xludf.DUMMYFUNCTION("""COMPUTED_VALUE"""),43188)</f>
        <v>43188</v>
      </c>
      <c r="F1326" s="1" t="str">
        <f ca="1">IFERROR(__xludf.DUMMYFUNCTION("""COMPUTED_VALUE"""),"John Hardin High School")</f>
        <v>John Hardin High School</v>
      </c>
      <c r="G1326" s="1">
        <f ca="1">IFERROR(__xludf.DUMMYFUNCTION("""COMPUTED_VALUE"""),0)</f>
        <v>0</v>
      </c>
      <c r="H1326" s="1">
        <f ca="1">IFERROR(__xludf.DUMMYFUNCTION("""COMPUTED_VALUE"""),0)</f>
        <v>0</v>
      </c>
      <c r="I1326" s="1">
        <f ca="1">IFERROR(__xludf.DUMMYFUNCTION("""COMPUTED_VALUE"""),0)</f>
        <v>0</v>
      </c>
      <c r="J1326" s="1">
        <f ca="1">IFERROR(__xludf.DUMMYFUNCTION("""COMPUTED_VALUE"""),1)</f>
        <v>1</v>
      </c>
      <c r="K1326" s="1" t="str">
        <f ca="1">IFERROR(__xludf.DUMMYFUNCTION("""COMPUTED_VALUE"""),"Spring")</f>
        <v>Spring</v>
      </c>
      <c r="L1326" s="1" t="str">
        <f ca="1">IFERROR(__xludf.DUMMYFUNCTION("""COMPUTED_VALUE"""),"Elizabethtown")</f>
        <v>Elizabethtown</v>
      </c>
      <c r="M1326" s="1" t="str">
        <f ca="1">IFERROR(__xludf.DUMMYFUNCTION("""COMPUTED_VALUE"""),"KY")</f>
        <v>KY</v>
      </c>
      <c r="N1326" s="1" t="str">
        <f ca="1">IFERROR(__xludf.DUMMYFUNCTION("""COMPUTED_VALUE"""),"High")</f>
        <v>High</v>
      </c>
      <c r="O1326" s="1" t="str">
        <f ca="1">IFERROR(__xludf.DUMMYFUNCTION("""COMPUTED_VALUE"""),"Beside Building")</f>
        <v>Beside Building</v>
      </c>
      <c r="P1326" s="1" t="str">
        <f ca="1">IFERROR(__xludf.DUMMYFUNCTION("""COMPUTED_VALUE"""),"Outside on School Property")</f>
        <v>Outside on School Property</v>
      </c>
      <c r="Q1326" s="1" t="str">
        <f ca="1">IFERROR(__xludf.DUMMYFUNCTION("""COMPUTED_VALUE"""),"Yes")</f>
        <v>Yes</v>
      </c>
      <c r="R1326" s="1" t="str">
        <f ca="1">IFERROR(__xludf.DUMMYFUNCTION("""COMPUTED_VALUE"""),"Afternoon Classes")</f>
        <v>Afternoon Classes</v>
      </c>
      <c r="S1326" s="5">
        <f ca="1">IFERROR(__xludf.DUMMYFUNCTION("""COMPUTED_VALUE"""),0.541666666666666)</f>
        <v>0.54166666666666596</v>
      </c>
      <c r="T1326" s="1">
        <f ca="1">IFERROR(__xludf.DUMMYFUNCTION("""COMPUTED_VALUE"""),1)</f>
        <v>1</v>
      </c>
      <c r="U1326" s="1" t="str">
        <f ca="1">IFERROR(__xludf.DUMMYFUNCTION("""COMPUTED_VALUE"""),"Father of student killed mother at home, attempted to enter school and take child, shot and killed by officers")</f>
        <v>Father of student killed mother at home, attempted to enter school and take child, shot and killed by officers</v>
      </c>
      <c r="V1326" s="1" t="str">
        <f ca="1">IFERROR(__xludf.DUMMYFUNCTION("""COMPUTED_VALUE"""),"51YOM killed his wife at their home near the school. Police officers found her body and learned that he was headed to the school. 7 officers approached the suspect as he attempted to enter the school building. Suspect was shot and killed.")</f>
        <v>51YOM killed his wife at their home near the school. Police officers found her body and learned that he was headed to the school. 7 officers approached the suspect as he attempted to enter the school building. Suspect was shot and killed.</v>
      </c>
      <c r="W1326" s="1" t="str">
        <f ca="1">IFERROR(__xludf.DUMMYFUNCTION("""COMPUTED_VALUE"""),"Domestic w/ Targeted Victim")</f>
        <v>Domestic w/ Targeted Victim</v>
      </c>
      <c r="X1326" s="1"/>
      <c r="Y1326" s="1" t="str">
        <f ca="1">IFERROR(__xludf.DUMMYFUNCTION("""COMPUTED_VALUE"""),"No")</f>
        <v>No</v>
      </c>
      <c r="Z1326" s="1"/>
      <c r="AA1326" s="1" t="str">
        <f ca="1">IFERROR(__xludf.DUMMYFUNCTION("""COMPUTED_VALUE"""),"No")</f>
        <v>No</v>
      </c>
      <c r="AB1326" s="1" t="str">
        <f ca="1">IFERROR(__xludf.DUMMYFUNCTION("""COMPUTED_VALUE"""),"No")</f>
        <v>No</v>
      </c>
      <c r="AC1326" s="1" t="str">
        <f ca="1">IFERROR(__xludf.DUMMYFUNCTION("""COMPUTED_VALUE"""),"No")</f>
        <v>No</v>
      </c>
      <c r="AD1326" s="1" t="str">
        <f ca="1">IFERROR(__xludf.DUMMYFUNCTION("""COMPUTED_VALUE"""),"No")</f>
        <v>No</v>
      </c>
      <c r="AE1326" s="1" t="str">
        <f ca="1">IFERROR(__xludf.DUMMYFUNCTION("""COMPUTED_VALUE"""),"Yes")</f>
        <v>Yes</v>
      </c>
      <c r="AF1326" s="1" t="str">
        <f ca="1">IFERROR(__xludf.DUMMYFUNCTION("""COMPUTED_VALUE"""),"No")</f>
        <v>No</v>
      </c>
      <c r="AG1326" s="1" t="str">
        <f ca="1">IFERROR(__xludf.DUMMYFUNCTION("""COMPUTED_VALUE"""),"No")</f>
        <v>No</v>
      </c>
      <c r="AH1326" s="1"/>
    </row>
    <row r="1327" spans="1:34" ht="12.5">
      <c r="A1327" s="1" t="str">
        <f ca="1">IFERROR(__xludf.DUMMYFUNCTION("""COMPUTED_VALUE"""),"20180328MSEUE")</f>
        <v>20180328MSEUE</v>
      </c>
      <c r="B1327" s="1">
        <f ca="1">IFERROR(__xludf.DUMMYFUNCTION("""COMPUTED_VALUE"""),3)</f>
        <v>3</v>
      </c>
      <c r="C1327" s="1">
        <f ca="1">IFERROR(__xludf.DUMMYFUNCTION("""COMPUTED_VALUE"""),28)</f>
        <v>28</v>
      </c>
      <c r="D1327" s="1">
        <f ca="1">IFERROR(__xludf.DUMMYFUNCTION("""COMPUTED_VALUE"""),2018)</f>
        <v>2018</v>
      </c>
      <c r="E1327" s="4">
        <f ca="1">IFERROR(__xludf.DUMMYFUNCTION("""COMPUTED_VALUE"""),43187)</f>
        <v>43187</v>
      </c>
      <c r="F1327" s="1" t="str">
        <f ca="1">IFERROR(__xludf.DUMMYFUNCTION("""COMPUTED_VALUE"""),"Eupora High School")</f>
        <v>Eupora High School</v>
      </c>
      <c r="G1327" s="1">
        <f ca="1">IFERROR(__xludf.DUMMYFUNCTION("""COMPUTED_VALUE"""),0)</f>
        <v>0</v>
      </c>
      <c r="H1327" s="1">
        <f ca="1">IFERROR(__xludf.DUMMYFUNCTION("""COMPUTED_VALUE"""),0)</f>
        <v>0</v>
      </c>
      <c r="I1327" s="1">
        <f ca="1">IFERROR(__xludf.DUMMYFUNCTION("""COMPUTED_VALUE"""),0)</f>
        <v>0</v>
      </c>
      <c r="J1327" s="1">
        <f ca="1">IFERROR(__xludf.DUMMYFUNCTION("""COMPUTED_VALUE"""),0)</f>
        <v>0</v>
      </c>
      <c r="K1327" s="1" t="str">
        <f ca="1">IFERROR(__xludf.DUMMYFUNCTION("""COMPUTED_VALUE"""),"Spring")</f>
        <v>Spring</v>
      </c>
      <c r="L1327" s="1" t="str">
        <f ca="1">IFERROR(__xludf.DUMMYFUNCTION("""COMPUTED_VALUE"""),"Eupora")</f>
        <v>Eupora</v>
      </c>
      <c r="M1327" s="1" t="str">
        <f ca="1">IFERROR(__xludf.DUMMYFUNCTION("""COMPUTED_VALUE"""),"MS")</f>
        <v>MS</v>
      </c>
      <c r="N1327" s="1" t="str">
        <f ca="1">IFERROR(__xludf.DUMMYFUNCTION("""COMPUTED_VALUE"""),"High")</f>
        <v>High</v>
      </c>
      <c r="O1327" s="1" t="str">
        <f ca="1">IFERROR(__xludf.DUMMYFUNCTION("""COMPUTED_VALUE"""),"Field (General)")</f>
        <v>Field (General)</v>
      </c>
      <c r="P1327" s="1" t="str">
        <f ca="1">IFERROR(__xludf.DUMMYFUNCTION("""COMPUTED_VALUE"""),"Outside on School Property")</f>
        <v>Outside on School Property</v>
      </c>
      <c r="Q1327" s="1" t="str">
        <f ca="1">IFERROR(__xludf.DUMMYFUNCTION("""COMPUTED_VALUE"""),"No")</f>
        <v>No</v>
      </c>
      <c r="R1327" s="1" t="str">
        <f ca="1">IFERROR(__xludf.DUMMYFUNCTION("""COMPUTED_VALUE"""),"After School")</f>
        <v>After School</v>
      </c>
      <c r="S1327" s="5">
        <f ca="1">IFERROR(__xludf.DUMMYFUNCTION("""COMPUTED_VALUE"""),0.604166666666666)</f>
        <v>0.60416666666666596</v>
      </c>
      <c r="T1327" s="1"/>
      <c r="U1327" s="1" t="str">
        <f ca="1">IFERROR(__xludf.DUMMYFUNCTION("""COMPUTED_VALUE"""),"Fired shots from dirt bike at high school building")</f>
        <v>Fired shots from dirt bike at high school building</v>
      </c>
      <c r="V1327" s="1" t="str">
        <f ca="1">IFERROR(__xludf.DUMMYFUNCTION("""COMPUTED_VALUE"""),"Shooter was high on meth, rode a dirt bike to the school, and fired multiple shots at the school building from the dirt bike. Shooter fled the scene, threw the gun in a creek, and was found by law enforcement hiding in a bush at a nearby house. Shooter wa"&amp;"s former student. Shooter used illegal drugs daily. Possessed unregistered allegedly stolen firearms found at his home, the handgun was not recovered.")</f>
        <v>Shooter was high on meth, rode a dirt bike to the school, and fired multiple shots at the school building from the dirt bike. Shooter fled the scene, threw the gun in a creek, and was found by law enforcement hiding in a bush at a nearby house. Shooter was former student. Shooter used illegal drugs daily. Possessed unregistered allegedly stolen firearms found at his home, the handgun was not recovered.</v>
      </c>
      <c r="W1327" s="1" t="str">
        <f ca="1">IFERROR(__xludf.DUMMYFUNCTION("""COMPUTED_VALUE"""),"Illegal Activity")</f>
        <v>Illegal Activity</v>
      </c>
      <c r="X1327" s="1" t="str">
        <f ca="1">IFERROR(__xludf.DUMMYFUNCTION("""COMPUTED_VALUE"""),"Neither")</f>
        <v>Neither</v>
      </c>
      <c r="Y1327" s="1"/>
      <c r="Z1327" s="1"/>
      <c r="AA1327" s="1" t="str">
        <f ca="1">IFERROR(__xludf.DUMMYFUNCTION("""COMPUTED_VALUE"""),"No")</f>
        <v>No</v>
      </c>
      <c r="AB1327" s="1" t="str">
        <f ca="1">IFERROR(__xludf.DUMMYFUNCTION("""COMPUTED_VALUE"""),"No")</f>
        <v>No</v>
      </c>
      <c r="AC1327" s="1" t="str">
        <f ca="1">IFERROR(__xludf.DUMMYFUNCTION("""COMPUTED_VALUE"""),"No")</f>
        <v>No</v>
      </c>
      <c r="AD1327" s="1"/>
      <c r="AE1327" s="1" t="str">
        <f ca="1">IFERROR(__xludf.DUMMYFUNCTION("""COMPUTED_VALUE"""),"No")</f>
        <v>No</v>
      </c>
      <c r="AF1327" s="1" t="str">
        <f ca="1">IFERROR(__xludf.DUMMYFUNCTION("""COMPUTED_VALUE"""),"No")</f>
        <v>No</v>
      </c>
      <c r="AG1327" s="1" t="str">
        <f ca="1">IFERROR(__xludf.DUMMYFUNCTION("""COMPUTED_VALUE"""),"No")</f>
        <v>No</v>
      </c>
      <c r="AH1327" s="1">
        <f ca="1">IFERROR(__xludf.DUMMYFUNCTION("""COMPUTED_VALUE"""),6)</f>
        <v>6</v>
      </c>
    </row>
    <row r="1328" spans="1:34" ht="12.5">
      <c r="A1328" s="1" t="str">
        <f ca="1">IFERROR(__xludf.DUMMYFUNCTION("""COMPUTED_VALUE"""),"20180320MDGRG")</f>
        <v>20180320MDGRG</v>
      </c>
      <c r="B1328" s="1">
        <f ca="1">IFERROR(__xludf.DUMMYFUNCTION("""COMPUTED_VALUE"""),3)</f>
        <v>3</v>
      </c>
      <c r="C1328" s="1">
        <f ca="1">IFERROR(__xludf.DUMMYFUNCTION("""COMPUTED_VALUE"""),20)</f>
        <v>20</v>
      </c>
      <c r="D1328" s="1">
        <f ca="1">IFERROR(__xludf.DUMMYFUNCTION("""COMPUTED_VALUE"""),2018)</f>
        <v>2018</v>
      </c>
      <c r="E1328" s="4">
        <f ca="1">IFERROR(__xludf.DUMMYFUNCTION("""COMPUTED_VALUE"""),43179)</f>
        <v>43179</v>
      </c>
      <c r="F1328" s="1" t="str">
        <f ca="1">IFERROR(__xludf.DUMMYFUNCTION("""COMPUTED_VALUE"""),"Great Mills High School")</f>
        <v>Great Mills High School</v>
      </c>
      <c r="G1328" s="1">
        <f ca="1">IFERROR(__xludf.DUMMYFUNCTION("""COMPUTED_VALUE"""),1)</f>
        <v>1</v>
      </c>
      <c r="H1328" s="1">
        <f ca="1">IFERROR(__xludf.DUMMYFUNCTION("""COMPUTED_VALUE"""),1)</f>
        <v>1</v>
      </c>
      <c r="I1328" s="1">
        <f ca="1">IFERROR(__xludf.DUMMYFUNCTION("""COMPUTED_VALUE"""),2)</f>
        <v>2</v>
      </c>
      <c r="J1328" s="1">
        <f ca="1">IFERROR(__xludf.DUMMYFUNCTION("""COMPUTED_VALUE"""),1)</f>
        <v>1</v>
      </c>
      <c r="K1328" s="1" t="str">
        <f ca="1">IFERROR(__xludf.DUMMYFUNCTION("""COMPUTED_VALUE"""),"Spring")</f>
        <v>Spring</v>
      </c>
      <c r="L1328" s="1" t="str">
        <f ca="1">IFERROR(__xludf.DUMMYFUNCTION("""COMPUTED_VALUE"""),"Great Mills")</f>
        <v>Great Mills</v>
      </c>
      <c r="M1328" s="1" t="str">
        <f ca="1">IFERROR(__xludf.DUMMYFUNCTION("""COMPUTED_VALUE"""),"MD")</f>
        <v>MD</v>
      </c>
      <c r="N1328" s="1" t="str">
        <f ca="1">IFERROR(__xludf.DUMMYFUNCTION("""COMPUTED_VALUE"""),"High")</f>
        <v>High</v>
      </c>
      <c r="O1328" s="1" t="str">
        <f ca="1">IFERROR(__xludf.DUMMYFUNCTION("""COMPUTED_VALUE"""),"Hallway")</f>
        <v>Hallway</v>
      </c>
      <c r="P1328" s="1" t="str">
        <f ca="1">IFERROR(__xludf.DUMMYFUNCTION("""COMPUTED_VALUE"""),"Inside School Building")</f>
        <v>Inside School Building</v>
      </c>
      <c r="Q1328" s="1" t="str">
        <f ca="1">IFERROR(__xludf.DUMMYFUNCTION("""COMPUTED_VALUE"""),"Yes")</f>
        <v>Yes</v>
      </c>
      <c r="R1328" s="1" t="str">
        <f ca="1">IFERROR(__xludf.DUMMYFUNCTION("""COMPUTED_VALUE"""),"School Start")</f>
        <v>School Start</v>
      </c>
      <c r="S1328" s="5">
        <f ca="1">IFERROR(__xludf.DUMMYFUNCTION("""COMPUTED_VALUE"""),0.329861111111111)</f>
        <v>0.32986111111111099</v>
      </c>
      <c r="T1328" s="1">
        <f ca="1">IFERROR(__xludf.DUMMYFUNCTION("""COMPUTED_VALUE"""),1)</f>
        <v>1</v>
      </c>
      <c r="U1328" s="1" t="str">
        <f ca="1">IFERROR(__xludf.DUMMYFUNCTION("""COMPUTED_VALUE"""),"Shot girlfriend then self in school hallway after recent break-up")</f>
        <v>Shot girlfriend then self in school hallway after recent break-up</v>
      </c>
      <c r="V1328" s="1" t="str">
        <f ca="1">IFERROR(__xludf.DUMMYFUNCTION("""COMPUTED_VALUE"""),"Ex-girlfriend fatally shot with single round, other student accidently hit by single shot. Commit suicide immediately after when confronted by school resource officer. No social media posts or prior indications about plans for the shooting. No history of "&amp;"mental health issues. Straight A student. Father is active duty air force officer. Parents of victim claim in lawsuit that the shooter had physically attacked victim prior to the incident and the parents had reported fears of further violence to school of"&amp;"ficials.")</f>
        <v>Ex-girlfriend fatally shot with single round, other student accidently hit by single shot. Commit suicide immediately after when confronted by school resource officer. No social media posts or prior indications about plans for the shooting. No history of mental health issues. Straight A student. Father is active duty air force officer. Parents of victim claim in lawsuit that the shooter had physically attacked victim prior to the incident and the parents had reported fears of further violence to school officials.</v>
      </c>
      <c r="W1328" s="1" t="str">
        <f ca="1">IFERROR(__xludf.DUMMYFUNCTION("""COMPUTED_VALUE"""),"Murder/Suicide")</f>
        <v>Murder/Suicide</v>
      </c>
      <c r="X1328" s="1" t="str">
        <f ca="1">IFERROR(__xludf.DUMMYFUNCTION("""COMPUTED_VALUE"""),"Both")</f>
        <v>Both</v>
      </c>
      <c r="Y1328" s="1" t="str">
        <f ca="1">IFERROR(__xludf.DUMMYFUNCTION("""COMPUTED_VALUE"""),"No")</f>
        <v>No</v>
      </c>
      <c r="Z1328" s="1"/>
      <c r="AA1328" s="1" t="str">
        <f ca="1">IFERROR(__xludf.DUMMYFUNCTION("""COMPUTED_VALUE"""),"No")</f>
        <v>No</v>
      </c>
      <c r="AB1328" s="1" t="str">
        <f ca="1">IFERROR(__xludf.DUMMYFUNCTION("""COMPUTED_VALUE"""),"No")</f>
        <v>No</v>
      </c>
      <c r="AC1328" s="1" t="str">
        <f ca="1">IFERROR(__xludf.DUMMYFUNCTION("""COMPUTED_VALUE"""),"No")</f>
        <v>No</v>
      </c>
      <c r="AD1328" s="1" t="str">
        <f ca="1">IFERROR(__xludf.DUMMYFUNCTION("""COMPUTED_VALUE"""),"No")</f>
        <v>No</v>
      </c>
      <c r="AE1328" s="1" t="str">
        <f ca="1">IFERROR(__xludf.DUMMYFUNCTION("""COMPUTED_VALUE"""),"Yes")</f>
        <v>Yes</v>
      </c>
      <c r="AF1328" s="1" t="str">
        <f ca="1">IFERROR(__xludf.DUMMYFUNCTION("""COMPUTED_VALUE"""),"No")</f>
        <v>No</v>
      </c>
      <c r="AG1328" s="1" t="str">
        <f ca="1">IFERROR(__xludf.DUMMYFUNCTION("""COMPUTED_VALUE"""),"No")</f>
        <v>No</v>
      </c>
      <c r="AH1328" s="1"/>
    </row>
    <row r="1329" spans="1:34" ht="12.5">
      <c r="A1329" s="1" t="str">
        <f ca="1">IFERROR(__xludf.DUMMYFUNCTION("""COMPUTED_VALUE"""),"20180319VADOP")</f>
        <v>20180319VADOP</v>
      </c>
      <c r="B1329" s="1">
        <f ca="1">IFERROR(__xludf.DUMMYFUNCTION("""COMPUTED_VALUE"""),3)</f>
        <v>3</v>
      </c>
      <c r="C1329" s="1">
        <f ca="1">IFERROR(__xludf.DUMMYFUNCTION("""COMPUTED_VALUE"""),19)</f>
        <v>19</v>
      </c>
      <c r="D1329" s="1">
        <f ca="1">IFERROR(__xludf.DUMMYFUNCTION("""COMPUTED_VALUE"""),2018)</f>
        <v>2018</v>
      </c>
      <c r="E1329" s="4">
        <f ca="1">IFERROR(__xludf.DUMMYFUNCTION("""COMPUTED_VALUE"""),43178)</f>
        <v>43178</v>
      </c>
      <c r="F1329" s="1" t="str">
        <f ca="1">IFERROR(__xludf.DUMMYFUNCTION("""COMPUTED_VALUE"""),"Douglass Park Elementary School")</f>
        <v>Douglass Park Elementary School</v>
      </c>
      <c r="G1329" s="1">
        <f ca="1">IFERROR(__xludf.DUMMYFUNCTION("""COMPUTED_VALUE"""),0)</f>
        <v>0</v>
      </c>
      <c r="H1329" s="1">
        <f ca="1">IFERROR(__xludf.DUMMYFUNCTION("""COMPUTED_VALUE"""),1)</f>
        <v>1</v>
      </c>
      <c r="I1329" s="1">
        <f ca="1">IFERROR(__xludf.DUMMYFUNCTION("""COMPUTED_VALUE"""),1)</f>
        <v>1</v>
      </c>
      <c r="J1329" s="1">
        <f ca="1">IFERROR(__xludf.DUMMYFUNCTION("""COMPUTED_VALUE"""),0)</f>
        <v>0</v>
      </c>
      <c r="K1329" s="1" t="str">
        <f ca="1">IFERROR(__xludf.DUMMYFUNCTION("""COMPUTED_VALUE"""),"Spring")</f>
        <v>Spring</v>
      </c>
      <c r="L1329" s="1" t="str">
        <f ca="1">IFERROR(__xludf.DUMMYFUNCTION("""COMPUTED_VALUE"""),"Portsmouth")</f>
        <v>Portsmouth</v>
      </c>
      <c r="M1329" s="1" t="str">
        <f ca="1">IFERROR(__xludf.DUMMYFUNCTION("""COMPUTED_VALUE"""),"VA")</f>
        <v>VA</v>
      </c>
      <c r="N1329" s="1" t="str">
        <f ca="1">IFERROR(__xludf.DUMMYFUNCTION("""COMPUTED_VALUE"""),"Elementary")</f>
        <v>Elementary</v>
      </c>
      <c r="O1329" s="1" t="str">
        <f ca="1">IFERROR(__xludf.DUMMYFUNCTION("""COMPUTED_VALUE"""),"Parking Lot")</f>
        <v>Parking Lot</v>
      </c>
      <c r="P1329" s="1" t="str">
        <f ca="1">IFERROR(__xludf.DUMMYFUNCTION("""COMPUTED_VALUE"""),"Off School Property")</f>
        <v>Off School Property</v>
      </c>
      <c r="Q1329" s="1" t="str">
        <f ca="1">IFERROR(__xludf.DUMMYFUNCTION("""COMPUTED_VALUE"""),"No")</f>
        <v>No</v>
      </c>
      <c r="R1329" s="1" t="str">
        <f ca="1">IFERROR(__xludf.DUMMYFUNCTION("""COMPUTED_VALUE"""),"After School")</f>
        <v>After School</v>
      </c>
      <c r="S1329" s="5">
        <f ca="1">IFERROR(__xludf.DUMMYFUNCTION("""COMPUTED_VALUE"""),0.682638888888888)</f>
        <v>0.68263888888888802</v>
      </c>
      <c r="T1329" s="1">
        <f ca="1">IFERROR(__xludf.DUMMYFUNCTION("""COMPUTED_VALUE"""),1)</f>
        <v>1</v>
      </c>
      <c r="U1329" s="1" t="str">
        <f ca="1">IFERROR(__xludf.DUMMYFUNCTION("""COMPUTED_VALUE"""),"Adult shot outside of school picking up student")</f>
        <v>Adult shot outside of school picking up student</v>
      </c>
      <c r="V1329" s="1" t="str">
        <f ca="1">IFERROR(__xludf.DUMMYFUNCTION("""COMPUTED_VALUE"""),"Victim was struck in the leg by a bullet while picking up her daughter from school. The victim was on a sidewalk adjacent to the school. Police did not believe she was the target or the shooting was intentional. No suspect was identified. School went on l"&amp;"ockdown.")</f>
        <v>Victim was struck in the leg by a bullet while picking up her daughter from school. The victim was on a sidewalk adjacent to the school. Police did not believe she was the target or the shooting was intentional. No suspect was identified. School went on lockdown.</v>
      </c>
      <c r="W1329" s="1" t="str">
        <f ca="1">IFERROR(__xludf.DUMMYFUNCTION("""COMPUTED_VALUE"""),"Accidental")</f>
        <v>Accidental</v>
      </c>
      <c r="X1329" s="1" t="str">
        <f ca="1">IFERROR(__xludf.DUMMYFUNCTION("""COMPUTED_VALUE"""),"Random Shooting")</f>
        <v>Random Shooting</v>
      </c>
      <c r="Y1329" s="1"/>
      <c r="Z1329" s="1"/>
      <c r="AA1329" s="1" t="str">
        <f ca="1">IFERROR(__xludf.DUMMYFUNCTION("""COMPUTED_VALUE"""),"No")</f>
        <v>No</v>
      </c>
      <c r="AB1329" s="1" t="str">
        <f ca="1">IFERROR(__xludf.DUMMYFUNCTION("""COMPUTED_VALUE"""),"No")</f>
        <v>No</v>
      </c>
      <c r="AC1329" s="1" t="str">
        <f ca="1">IFERROR(__xludf.DUMMYFUNCTION("""COMPUTED_VALUE"""),"No")</f>
        <v>No</v>
      </c>
      <c r="AD1329" s="1" t="str">
        <f ca="1">IFERROR(__xludf.DUMMYFUNCTION("""COMPUTED_VALUE"""),"No")</f>
        <v>No</v>
      </c>
      <c r="AE1329" s="1" t="str">
        <f ca="1">IFERROR(__xludf.DUMMYFUNCTION("""COMPUTED_VALUE"""),"No")</f>
        <v>No</v>
      </c>
      <c r="AF1329" s="1" t="str">
        <f ca="1">IFERROR(__xludf.DUMMYFUNCTION("""COMPUTED_VALUE"""),"No")</f>
        <v>No</v>
      </c>
      <c r="AG1329" s="1" t="str">
        <f ca="1">IFERROR(__xludf.DUMMYFUNCTION("""COMPUTED_VALUE"""),"No")</f>
        <v>No</v>
      </c>
      <c r="AH1329" s="1">
        <f ca="1">IFERROR(__xludf.DUMMYFUNCTION("""COMPUTED_VALUE"""),1)</f>
        <v>1</v>
      </c>
    </row>
    <row r="1330" spans="1:34" ht="12.5">
      <c r="A1330" s="1" t="str">
        <f ca="1">IFERROR(__xludf.DUMMYFUNCTION("""COMPUTED_VALUE"""),"20180316MTBIM")</f>
        <v>20180316MTBIM</v>
      </c>
      <c r="B1330" s="1">
        <f ca="1">IFERROR(__xludf.DUMMYFUNCTION("""COMPUTED_VALUE"""),3)</f>
        <v>3</v>
      </c>
      <c r="C1330" s="1">
        <f ca="1">IFERROR(__xludf.DUMMYFUNCTION("""COMPUTED_VALUE"""),16)</f>
        <v>16</v>
      </c>
      <c r="D1330" s="1">
        <f ca="1">IFERROR(__xludf.DUMMYFUNCTION("""COMPUTED_VALUE"""),2018)</f>
        <v>2018</v>
      </c>
      <c r="E1330" s="4">
        <f ca="1">IFERROR(__xludf.DUMMYFUNCTION("""COMPUTED_VALUE"""),43175)</f>
        <v>43175</v>
      </c>
      <c r="F1330" s="1" t="str">
        <f ca="1">IFERROR(__xludf.DUMMYFUNCTION("""COMPUTED_VALUE"""),"Big Sky High School")</f>
        <v>Big Sky High School</v>
      </c>
      <c r="G1330" s="1">
        <f ca="1">IFERROR(__xludf.DUMMYFUNCTION("""COMPUTED_VALUE"""),0)</f>
        <v>0</v>
      </c>
      <c r="H1330" s="1">
        <f ca="1">IFERROR(__xludf.DUMMYFUNCTION("""COMPUTED_VALUE"""),0)</f>
        <v>0</v>
      </c>
      <c r="I1330" s="1">
        <f ca="1">IFERROR(__xludf.DUMMYFUNCTION("""COMPUTED_VALUE"""),0)</f>
        <v>0</v>
      </c>
      <c r="J1330" s="1">
        <f ca="1">IFERROR(__xludf.DUMMYFUNCTION("""COMPUTED_VALUE"""),0)</f>
        <v>0</v>
      </c>
      <c r="K1330" s="1" t="str">
        <f ca="1">IFERROR(__xludf.DUMMYFUNCTION("""COMPUTED_VALUE"""),"Spring")</f>
        <v>Spring</v>
      </c>
      <c r="L1330" s="1" t="str">
        <f ca="1">IFERROR(__xludf.DUMMYFUNCTION("""COMPUTED_VALUE"""),"Missoula")</f>
        <v>Missoula</v>
      </c>
      <c r="M1330" s="1" t="str">
        <f ca="1">IFERROR(__xludf.DUMMYFUNCTION("""COMPUTED_VALUE"""),"MT")</f>
        <v>MT</v>
      </c>
      <c r="N1330" s="1" t="str">
        <f ca="1">IFERROR(__xludf.DUMMYFUNCTION("""COMPUTED_VALUE"""),"High")</f>
        <v>High</v>
      </c>
      <c r="O1330" s="1" t="str">
        <f ca="1">IFERROR(__xludf.DUMMYFUNCTION("""COMPUTED_VALUE"""),"Parking Lot")</f>
        <v>Parking Lot</v>
      </c>
      <c r="P1330" s="1" t="str">
        <f ca="1">IFERROR(__xludf.DUMMYFUNCTION("""COMPUTED_VALUE"""),"Outside on School Property")</f>
        <v>Outside on School Property</v>
      </c>
      <c r="Q1330" s="1" t="str">
        <f ca="1">IFERROR(__xludf.DUMMYFUNCTION("""COMPUTED_VALUE"""),"Yes")</f>
        <v>Yes</v>
      </c>
      <c r="R1330" s="1" t="str">
        <f ca="1">IFERROR(__xludf.DUMMYFUNCTION("""COMPUTED_VALUE"""),"Lunch")</f>
        <v>Lunch</v>
      </c>
      <c r="S1330" s="5">
        <f ca="1">IFERROR(__xludf.DUMMYFUNCTION("""COMPUTED_VALUE"""),0.53125)</f>
        <v>0.53125</v>
      </c>
      <c r="T1330" s="1">
        <f ca="1">IFERROR(__xludf.DUMMYFUNCTION("""COMPUTED_VALUE"""),1)</f>
        <v>1</v>
      </c>
      <c r="U1330" s="1" t="str">
        <f ca="1">IFERROR(__xludf.DUMMYFUNCTION("""COMPUTED_VALUE"""),"SRO firing at student in vehicle in the parking lot")</f>
        <v>SRO firing at student in vehicle in the parking lot</v>
      </c>
      <c r="V1330" s="1" t="str">
        <f ca="1">IFERROR(__xludf.DUMMYFUNCTION("""COMPUTED_VALUE"""),"SRO fired weapon at a student in a vehicle who had attempted to run him over in the parking lot. Incident was reported as an active shooter at the school and it was not clear until hours later that it was the SRO who had fired the shots. The incident happ"&amp;"ened after an altercation between the student and staff related to a call from a parole officer concerning a gun. His bag was searched but he made it to his car before the officials. The student fled, his gun was recovered outside of school property as he"&amp;" ditched it. The student was on parole for previous charges (theft, criminal possession of drug paraphernalia and disorderly conduct).")</f>
        <v>SRO fired weapon at a student in a vehicle who had attempted to run him over in the parking lot. Incident was reported as an active shooter at the school and it was not clear until hours later that it was the SRO who had fired the shots. The incident happened after an altercation between the student and staff related to a call from a parole officer concerning a gun. His bag was searched but he made it to his car before the officials. The student fled, his gun was recovered outside of school property as he ditched it. The student was on parole for previous charges (theft, criminal possession of drug paraphernalia and disorderly conduct).</v>
      </c>
      <c r="W1330" s="1" t="str">
        <f ca="1">IFERROR(__xludf.DUMMYFUNCTION("""COMPUTED_VALUE"""),"Officer-Involved Shooting")</f>
        <v>Officer-Involved Shooting</v>
      </c>
      <c r="X1330" s="1" t="str">
        <f ca="1">IFERROR(__xludf.DUMMYFUNCTION("""COMPUTED_VALUE"""),"Victims Targeted")</f>
        <v>Victims Targeted</v>
      </c>
      <c r="Y1330" s="1" t="str">
        <f ca="1">IFERROR(__xludf.DUMMYFUNCTION("""COMPUTED_VALUE"""),"No")</f>
        <v>No</v>
      </c>
      <c r="Z1330" s="1"/>
      <c r="AA1330" s="1" t="str">
        <f ca="1">IFERROR(__xludf.DUMMYFUNCTION("""COMPUTED_VALUE"""),"No")</f>
        <v>No</v>
      </c>
      <c r="AB1330" s="1" t="str">
        <f ca="1">IFERROR(__xludf.DUMMYFUNCTION("""COMPUTED_VALUE"""),"No")</f>
        <v>No</v>
      </c>
      <c r="AC1330" s="1" t="str">
        <f ca="1">IFERROR(__xludf.DUMMYFUNCTION("""COMPUTED_VALUE"""),"Yes")</f>
        <v>Yes</v>
      </c>
      <c r="AD1330" s="1" t="str">
        <f ca="1">IFERROR(__xludf.DUMMYFUNCTION("""COMPUTED_VALUE"""),"N/A")</f>
        <v>N/A</v>
      </c>
      <c r="AE1330" s="1" t="str">
        <f ca="1">IFERROR(__xludf.DUMMYFUNCTION("""COMPUTED_VALUE"""),"N/A")</f>
        <v>N/A</v>
      </c>
      <c r="AF1330" s="1" t="str">
        <f ca="1">IFERROR(__xludf.DUMMYFUNCTION("""COMPUTED_VALUE"""),"N/A")</f>
        <v>N/A</v>
      </c>
      <c r="AG1330" s="1" t="str">
        <f ca="1">IFERROR(__xludf.DUMMYFUNCTION("""COMPUTED_VALUE"""),"N/A")</f>
        <v>N/A</v>
      </c>
      <c r="AH1330" s="1"/>
    </row>
    <row r="1331" spans="1:34" ht="12.5">
      <c r="A1331" s="1" t="str">
        <f ca="1">IFERROR(__xludf.DUMMYFUNCTION("""COMPUTED_VALUE"""),"20180313VAGEA")</f>
        <v>20180313VAGEA</v>
      </c>
      <c r="B1331" s="1">
        <f ca="1">IFERROR(__xludf.DUMMYFUNCTION("""COMPUTED_VALUE"""),3)</f>
        <v>3</v>
      </c>
      <c r="C1331" s="1">
        <f ca="1">IFERROR(__xludf.DUMMYFUNCTION("""COMPUTED_VALUE"""),13)</f>
        <v>13</v>
      </c>
      <c r="D1331" s="1">
        <f ca="1">IFERROR(__xludf.DUMMYFUNCTION("""COMPUTED_VALUE"""),2018)</f>
        <v>2018</v>
      </c>
      <c r="E1331" s="4">
        <f ca="1">IFERROR(__xludf.DUMMYFUNCTION("""COMPUTED_VALUE"""),43172)</f>
        <v>43172</v>
      </c>
      <c r="F1331" s="1" t="str">
        <f ca="1">IFERROR(__xludf.DUMMYFUNCTION("""COMPUTED_VALUE"""),"George Washington Middle School")</f>
        <v>George Washington Middle School</v>
      </c>
      <c r="G1331" s="1">
        <f ca="1">IFERROR(__xludf.DUMMYFUNCTION("""COMPUTED_VALUE"""),0)</f>
        <v>0</v>
      </c>
      <c r="H1331" s="1">
        <f ca="1">IFERROR(__xludf.DUMMYFUNCTION("""COMPUTED_VALUE"""),0)</f>
        <v>0</v>
      </c>
      <c r="I1331" s="1">
        <f ca="1">IFERROR(__xludf.DUMMYFUNCTION("""COMPUTED_VALUE"""),0)</f>
        <v>0</v>
      </c>
      <c r="J1331" s="1">
        <f ca="1">IFERROR(__xludf.DUMMYFUNCTION("""COMPUTED_VALUE"""),0)</f>
        <v>0</v>
      </c>
      <c r="K1331" s="1" t="str">
        <f ca="1">IFERROR(__xludf.DUMMYFUNCTION("""COMPUTED_VALUE"""),"Spring")</f>
        <v>Spring</v>
      </c>
      <c r="L1331" s="1" t="str">
        <f ca="1">IFERROR(__xludf.DUMMYFUNCTION("""COMPUTED_VALUE"""),"Alexandria")</f>
        <v>Alexandria</v>
      </c>
      <c r="M1331" s="1" t="str">
        <f ca="1">IFERROR(__xludf.DUMMYFUNCTION("""COMPUTED_VALUE"""),"VA")</f>
        <v>VA</v>
      </c>
      <c r="N1331" s="1" t="str">
        <f ca="1">IFERROR(__xludf.DUMMYFUNCTION("""COMPUTED_VALUE"""),"Middle")</f>
        <v>Middle</v>
      </c>
      <c r="O1331" s="1" t="str">
        <f ca="1">IFERROR(__xludf.DUMMYFUNCTION("""COMPUTED_VALUE"""),"Office")</f>
        <v>Office</v>
      </c>
      <c r="P1331" s="1" t="str">
        <f ca="1">IFERROR(__xludf.DUMMYFUNCTION("""COMPUTED_VALUE"""),"Inside School Building")</f>
        <v>Inside School Building</v>
      </c>
      <c r="Q1331" s="1" t="str">
        <f ca="1">IFERROR(__xludf.DUMMYFUNCTION("""COMPUTED_VALUE"""),"Yes")</f>
        <v>Yes</v>
      </c>
      <c r="R1331" s="1" t="str">
        <f ca="1">IFERROR(__xludf.DUMMYFUNCTION("""COMPUTED_VALUE"""),"Morning Classes")</f>
        <v>Morning Classes</v>
      </c>
      <c r="S1331" s="5">
        <f ca="1">IFERROR(__xludf.DUMMYFUNCTION("""COMPUTED_VALUE"""),0.381944444444444)</f>
        <v>0.38194444444444398</v>
      </c>
      <c r="T1331" s="1">
        <f ca="1">IFERROR(__xludf.DUMMYFUNCTION("""COMPUTED_VALUE"""),1)</f>
        <v>1</v>
      </c>
      <c r="U1331" s="1" t="str">
        <f ca="1">IFERROR(__xludf.DUMMYFUNCTION("""COMPUTED_VALUE"""),"Accidental discharge while SRO was cleaning weapon")</f>
        <v>Accidental discharge while SRO was cleaning weapon</v>
      </c>
      <c r="V1331" s="1" t="str">
        <f ca="1">IFERROR(__xludf.DUMMYFUNCTION("""COMPUTED_VALUE"""),"SRO accidental discharged service weapon inside the school. Turned himself in to police. Charged with reckless handling of a firearm.")</f>
        <v>SRO accidental discharged service weapon inside the school. Turned himself in to police. Charged with reckless handling of a firearm.</v>
      </c>
      <c r="W1331" s="1" t="str">
        <f ca="1">IFERROR(__xludf.DUMMYFUNCTION("""COMPUTED_VALUE"""),"Accidental")</f>
        <v>Accidental</v>
      </c>
      <c r="X1331" s="1" t="str">
        <f ca="1">IFERROR(__xludf.DUMMYFUNCTION("""COMPUTED_VALUE"""),"Neither")</f>
        <v>Neither</v>
      </c>
      <c r="Y1331" s="1" t="str">
        <f ca="1">IFERROR(__xludf.DUMMYFUNCTION("""COMPUTED_VALUE"""),"No")</f>
        <v>No</v>
      </c>
      <c r="Z1331" s="1"/>
      <c r="AA1331" s="1" t="str">
        <f ca="1">IFERROR(__xludf.DUMMYFUNCTION("""COMPUTED_VALUE"""),"No")</f>
        <v>No</v>
      </c>
      <c r="AB1331" s="1" t="str">
        <f ca="1">IFERROR(__xludf.DUMMYFUNCTION("""COMPUTED_VALUE"""),"No")</f>
        <v>No</v>
      </c>
      <c r="AC1331" s="1" t="str">
        <f ca="1">IFERROR(__xludf.DUMMYFUNCTION("""COMPUTED_VALUE"""),"No")</f>
        <v>No</v>
      </c>
      <c r="AD1331" s="1" t="str">
        <f ca="1">IFERROR(__xludf.DUMMYFUNCTION("""COMPUTED_VALUE"""),"No")</f>
        <v>No</v>
      </c>
      <c r="AE1331" s="1" t="str">
        <f ca="1">IFERROR(__xludf.DUMMYFUNCTION("""COMPUTED_VALUE"""),"No")</f>
        <v>No</v>
      </c>
      <c r="AF1331" s="1" t="str">
        <f ca="1">IFERROR(__xludf.DUMMYFUNCTION("""COMPUTED_VALUE"""),"No")</f>
        <v>No</v>
      </c>
      <c r="AG1331" s="1" t="str">
        <f ca="1">IFERROR(__xludf.DUMMYFUNCTION("""COMPUTED_VALUE"""),"No")</f>
        <v>No</v>
      </c>
      <c r="AH1331" s="1">
        <f ca="1">IFERROR(__xludf.DUMMYFUNCTION("""COMPUTED_VALUE"""),1)</f>
        <v>1</v>
      </c>
    </row>
    <row r="1332" spans="1:34" ht="12.5">
      <c r="A1332" s="1" t="str">
        <f ca="1">IFERROR(__xludf.DUMMYFUNCTION("""COMPUTED_VALUE"""),"20180313CASES")</f>
        <v>20180313CASES</v>
      </c>
      <c r="B1332" s="1">
        <f ca="1">IFERROR(__xludf.DUMMYFUNCTION("""COMPUTED_VALUE"""),3)</f>
        <v>3</v>
      </c>
      <c r="C1332" s="1">
        <f ca="1">IFERROR(__xludf.DUMMYFUNCTION("""COMPUTED_VALUE"""),13)</f>
        <v>13</v>
      </c>
      <c r="D1332" s="1">
        <f ca="1">IFERROR(__xludf.DUMMYFUNCTION("""COMPUTED_VALUE"""),2018)</f>
        <v>2018</v>
      </c>
      <c r="E1332" s="4">
        <f ca="1">IFERROR(__xludf.DUMMYFUNCTION("""COMPUTED_VALUE"""),43172)</f>
        <v>43172</v>
      </c>
      <c r="F1332" s="1" t="str">
        <f ca="1">IFERROR(__xludf.DUMMYFUNCTION("""COMPUTED_VALUE"""),"Seaside High School")</f>
        <v>Seaside High School</v>
      </c>
      <c r="G1332" s="1">
        <f ca="1">IFERROR(__xludf.DUMMYFUNCTION("""COMPUTED_VALUE"""),0)</f>
        <v>0</v>
      </c>
      <c r="H1332" s="1">
        <f ca="1">IFERROR(__xludf.DUMMYFUNCTION("""COMPUTED_VALUE"""),1)</f>
        <v>1</v>
      </c>
      <c r="I1332" s="1">
        <f ca="1">IFERROR(__xludf.DUMMYFUNCTION("""COMPUTED_VALUE"""),1)</f>
        <v>1</v>
      </c>
      <c r="J1332" s="1">
        <f ca="1">IFERROR(__xludf.DUMMYFUNCTION("""COMPUTED_VALUE"""),0)</f>
        <v>0</v>
      </c>
      <c r="K1332" s="1" t="str">
        <f ca="1">IFERROR(__xludf.DUMMYFUNCTION("""COMPUTED_VALUE"""),"Spring")</f>
        <v>Spring</v>
      </c>
      <c r="L1332" s="1" t="str">
        <f ca="1">IFERROR(__xludf.DUMMYFUNCTION("""COMPUTED_VALUE"""),"Seaside")</f>
        <v>Seaside</v>
      </c>
      <c r="M1332" s="1" t="str">
        <f ca="1">IFERROR(__xludf.DUMMYFUNCTION("""COMPUTED_VALUE"""),"CA")</f>
        <v>CA</v>
      </c>
      <c r="N1332" s="1" t="str">
        <f ca="1">IFERROR(__xludf.DUMMYFUNCTION("""COMPUTED_VALUE"""),"High")</f>
        <v>High</v>
      </c>
      <c r="O1332" s="1" t="str">
        <f ca="1">IFERROR(__xludf.DUMMYFUNCTION("""COMPUTED_VALUE"""),"Classroom")</f>
        <v>Classroom</v>
      </c>
      <c r="P1332" s="1" t="str">
        <f ca="1">IFERROR(__xludf.DUMMYFUNCTION("""COMPUTED_VALUE"""),"Inside School Building")</f>
        <v>Inside School Building</v>
      </c>
      <c r="Q1332" s="1" t="str">
        <f ca="1">IFERROR(__xludf.DUMMYFUNCTION("""COMPUTED_VALUE"""),"Yes")</f>
        <v>Yes</v>
      </c>
      <c r="R1332" s="1" t="str">
        <f ca="1">IFERROR(__xludf.DUMMYFUNCTION("""COMPUTED_VALUE"""),"Morning Classes")</f>
        <v>Morning Classes</v>
      </c>
      <c r="S1332" s="5">
        <f ca="1">IFERROR(__xludf.DUMMYFUNCTION("""COMPUTED_VALUE"""),0.555555555555555)</f>
        <v>0.55555555555555503</v>
      </c>
      <c r="T1332" s="1">
        <f ca="1">IFERROR(__xludf.DUMMYFUNCTION("""COMPUTED_VALUE"""),1)</f>
        <v>1</v>
      </c>
      <c r="U1332" s="1" t="str">
        <f ca="1">IFERROR(__xludf.DUMMYFUNCTION("""COMPUTED_VALUE"""),"Accidental discharge during teacher's gun safety demonstration")</f>
        <v>Accidental discharge during teacher's gun safety demonstration</v>
      </c>
      <c r="V1332" s="1" t="str">
        <f ca="1">IFERROR(__xludf.DUMMYFUNCTION("""COMPUTED_VALUE"""),"Teacher (reserve police officer) was showing gun as part of demonstration and firearm discharged in the ceiling. Bullet fragments struck 1 student, ceiling debris hurt 2 students, all have minor injuries. Guns not allowed on school premises in CA.")</f>
        <v>Teacher (reserve police officer) was showing gun as part of demonstration and firearm discharged in the ceiling. Bullet fragments struck 1 student, ceiling debris hurt 2 students, all have minor injuries. Guns not allowed on school premises in CA.</v>
      </c>
      <c r="W1332" s="1" t="str">
        <f ca="1">IFERROR(__xludf.DUMMYFUNCTION("""COMPUTED_VALUE"""),"Accidental")</f>
        <v>Accidental</v>
      </c>
      <c r="X1332" s="1" t="str">
        <f ca="1">IFERROR(__xludf.DUMMYFUNCTION("""COMPUTED_VALUE"""),"Random Shooting")</f>
        <v>Random Shooting</v>
      </c>
      <c r="Y1332" s="1" t="str">
        <f ca="1">IFERROR(__xludf.DUMMYFUNCTION("""COMPUTED_VALUE"""),"No")</f>
        <v>No</v>
      </c>
      <c r="Z1332" s="1"/>
      <c r="AA1332" s="1" t="str">
        <f ca="1">IFERROR(__xludf.DUMMYFUNCTION("""COMPUTED_VALUE"""),"No")</f>
        <v>No</v>
      </c>
      <c r="AB1332" s="1" t="str">
        <f ca="1">IFERROR(__xludf.DUMMYFUNCTION("""COMPUTED_VALUE"""),"No")</f>
        <v>No</v>
      </c>
      <c r="AC1332" s="1" t="str">
        <f ca="1">IFERROR(__xludf.DUMMYFUNCTION("""COMPUTED_VALUE"""),"No")</f>
        <v>No</v>
      </c>
      <c r="AD1332" s="1" t="str">
        <f ca="1">IFERROR(__xludf.DUMMYFUNCTION("""COMPUTED_VALUE"""),"No")</f>
        <v>No</v>
      </c>
      <c r="AE1332" s="1" t="str">
        <f ca="1">IFERROR(__xludf.DUMMYFUNCTION("""COMPUTED_VALUE"""),"No")</f>
        <v>No</v>
      </c>
      <c r="AF1332" s="1" t="str">
        <f ca="1">IFERROR(__xludf.DUMMYFUNCTION("""COMPUTED_VALUE"""),"No")</f>
        <v>No</v>
      </c>
      <c r="AG1332" s="1" t="str">
        <f ca="1">IFERROR(__xludf.DUMMYFUNCTION("""COMPUTED_VALUE"""),"No")</f>
        <v>No</v>
      </c>
      <c r="AH1332" s="1">
        <f ca="1">IFERROR(__xludf.DUMMYFUNCTION("""COMPUTED_VALUE"""),1)</f>
        <v>1</v>
      </c>
    </row>
    <row r="1333" spans="1:34" ht="12.5">
      <c r="A1333" s="1" t="str">
        <f ca="1">IFERROR(__xludf.DUMMYFUNCTION("""COMPUTED_VALUE"""),"20180309KYFRL")</f>
        <v>20180309KYFRL</v>
      </c>
      <c r="B1333" s="1">
        <f ca="1">IFERROR(__xludf.DUMMYFUNCTION("""COMPUTED_VALUE"""),3)</f>
        <v>3</v>
      </c>
      <c r="C1333" s="1">
        <f ca="1">IFERROR(__xludf.DUMMYFUNCTION("""COMPUTED_VALUE"""),9)</f>
        <v>9</v>
      </c>
      <c r="D1333" s="1">
        <f ca="1">IFERROR(__xludf.DUMMYFUNCTION("""COMPUTED_VALUE"""),2018)</f>
        <v>2018</v>
      </c>
      <c r="E1333" s="4">
        <f ca="1">IFERROR(__xludf.DUMMYFUNCTION("""COMPUTED_VALUE"""),43168)</f>
        <v>43168</v>
      </c>
      <c r="F1333" s="1" t="str">
        <f ca="1">IFERROR(__xludf.DUMMYFUNCTION("""COMPUTED_VALUE"""),"Frederick Douglass High School")</f>
        <v>Frederick Douglass High School</v>
      </c>
      <c r="G1333" s="1">
        <f ca="1">IFERROR(__xludf.DUMMYFUNCTION("""COMPUTED_VALUE"""),0)</f>
        <v>0</v>
      </c>
      <c r="H1333" s="1">
        <f ca="1">IFERROR(__xludf.DUMMYFUNCTION("""COMPUTED_VALUE"""),0)</f>
        <v>0</v>
      </c>
      <c r="I1333" s="1">
        <f ca="1">IFERROR(__xludf.DUMMYFUNCTION("""COMPUTED_VALUE"""),0)</f>
        <v>0</v>
      </c>
      <c r="J1333" s="1">
        <f ca="1">IFERROR(__xludf.DUMMYFUNCTION("""COMPUTED_VALUE"""),0)</f>
        <v>0</v>
      </c>
      <c r="K1333" s="1" t="str">
        <f ca="1">IFERROR(__xludf.DUMMYFUNCTION("""COMPUTED_VALUE"""),"Spring")</f>
        <v>Spring</v>
      </c>
      <c r="L1333" s="1" t="str">
        <f ca="1">IFERROR(__xludf.DUMMYFUNCTION("""COMPUTED_VALUE"""),"Lexington")</f>
        <v>Lexington</v>
      </c>
      <c r="M1333" s="1" t="str">
        <f ca="1">IFERROR(__xludf.DUMMYFUNCTION("""COMPUTED_VALUE"""),"KY")</f>
        <v>KY</v>
      </c>
      <c r="N1333" s="1" t="str">
        <f ca="1">IFERROR(__xludf.DUMMYFUNCTION("""COMPUTED_VALUE"""),"High")</f>
        <v>High</v>
      </c>
      <c r="O1333" s="1" t="str">
        <f ca="1">IFERROR(__xludf.DUMMYFUNCTION("""COMPUTED_VALUE"""),"Classroom")</f>
        <v>Classroom</v>
      </c>
      <c r="P1333" s="1" t="str">
        <f ca="1">IFERROR(__xludf.DUMMYFUNCTION("""COMPUTED_VALUE"""),"Inside School Building")</f>
        <v>Inside School Building</v>
      </c>
      <c r="Q1333" s="1" t="str">
        <f ca="1">IFERROR(__xludf.DUMMYFUNCTION("""COMPUTED_VALUE"""),"Yes")</f>
        <v>Yes</v>
      </c>
      <c r="R1333" s="1" t="str">
        <f ca="1">IFERROR(__xludf.DUMMYFUNCTION("""COMPUTED_VALUE"""),"Morning Classes")</f>
        <v>Morning Classes</v>
      </c>
      <c r="S1333" s="1"/>
      <c r="T1333" s="1">
        <f ca="1">IFERROR(__xludf.DUMMYFUNCTION("""COMPUTED_VALUE"""),1)</f>
        <v>1</v>
      </c>
      <c r="U1333" s="1" t="str">
        <f ca="1">IFERROR(__xludf.DUMMYFUNCTION("""COMPUTED_VALUE"""),"Student shot self in hand with firearm in classroom")</f>
        <v>Student shot self in hand with firearm in classroom</v>
      </c>
      <c r="V1333" s="1" t="str">
        <f ca="1">IFERROR(__xludf.DUMMYFUNCTION("""COMPUTED_VALUE"""),"Student was playing with a gun in the classroom and fired striking his hand. No other injuries. Student was detained and school was not locked down.")</f>
        <v>Student was playing with a gun in the classroom and fired striking his hand. No other injuries. Student was detained and school was not locked down.</v>
      </c>
      <c r="W1333" s="1" t="str">
        <f ca="1">IFERROR(__xludf.DUMMYFUNCTION("""COMPUTED_VALUE"""),"Accidental")</f>
        <v>Accidental</v>
      </c>
      <c r="X1333" s="1" t="str">
        <f ca="1">IFERROR(__xludf.DUMMYFUNCTION("""COMPUTED_VALUE"""),"Random Shooting")</f>
        <v>Random Shooting</v>
      </c>
      <c r="Y1333" s="1" t="str">
        <f ca="1">IFERROR(__xludf.DUMMYFUNCTION("""COMPUTED_VALUE"""),"No")</f>
        <v>No</v>
      </c>
      <c r="Z1333" s="1"/>
      <c r="AA1333" s="1" t="str">
        <f ca="1">IFERROR(__xludf.DUMMYFUNCTION("""COMPUTED_VALUE"""),"No")</f>
        <v>No</v>
      </c>
      <c r="AB1333" s="1" t="str">
        <f ca="1">IFERROR(__xludf.DUMMYFUNCTION("""COMPUTED_VALUE"""),"No")</f>
        <v>No</v>
      </c>
      <c r="AC1333" s="1" t="str">
        <f ca="1">IFERROR(__xludf.DUMMYFUNCTION("""COMPUTED_VALUE"""),"No")</f>
        <v>No</v>
      </c>
      <c r="AD1333" s="1" t="str">
        <f ca="1">IFERROR(__xludf.DUMMYFUNCTION("""COMPUTED_VALUE"""),"No")</f>
        <v>No</v>
      </c>
      <c r="AE1333" s="1" t="str">
        <f ca="1">IFERROR(__xludf.DUMMYFUNCTION("""COMPUTED_VALUE"""),"No")</f>
        <v>No</v>
      </c>
      <c r="AF1333" s="1" t="str">
        <f ca="1">IFERROR(__xludf.DUMMYFUNCTION("""COMPUTED_VALUE"""),"No")</f>
        <v>No</v>
      </c>
      <c r="AG1333" s="1" t="str">
        <f ca="1">IFERROR(__xludf.DUMMYFUNCTION("""COMPUTED_VALUE"""),"No")</f>
        <v>No</v>
      </c>
      <c r="AH1333" s="1">
        <f ca="1">IFERROR(__xludf.DUMMYFUNCTION("""COMPUTED_VALUE"""),1)</f>
        <v>1</v>
      </c>
    </row>
    <row r="1334" spans="1:34" ht="12.5">
      <c r="A1334" s="1" t="str">
        <f ca="1">IFERROR(__xludf.DUMMYFUNCTION("""COMPUTED_VALUE"""),"20180307ALHUB")</f>
        <v>20180307ALHUB</v>
      </c>
      <c r="B1334" s="1">
        <f ca="1">IFERROR(__xludf.DUMMYFUNCTION("""COMPUTED_VALUE"""),3)</f>
        <v>3</v>
      </c>
      <c r="C1334" s="1">
        <f ca="1">IFERROR(__xludf.DUMMYFUNCTION("""COMPUTED_VALUE"""),7)</f>
        <v>7</v>
      </c>
      <c r="D1334" s="1">
        <f ca="1">IFERROR(__xludf.DUMMYFUNCTION("""COMPUTED_VALUE"""),2018)</f>
        <v>2018</v>
      </c>
      <c r="E1334" s="4">
        <f ca="1">IFERROR(__xludf.DUMMYFUNCTION("""COMPUTED_VALUE"""),43166)</f>
        <v>43166</v>
      </c>
      <c r="F1334" s="1" t="str">
        <f ca="1">IFERROR(__xludf.DUMMYFUNCTION("""COMPUTED_VALUE"""),"Huffman High School")</f>
        <v>Huffman High School</v>
      </c>
      <c r="G1334" s="1">
        <f ca="1">IFERROR(__xludf.DUMMYFUNCTION("""COMPUTED_VALUE"""),1)</f>
        <v>1</v>
      </c>
      <c r="H1334" s="1">
        <f ca="1">IFERROR(__xludf.DUMMYFUNCTION("""COMPUTED_VALUE"""),0)</f>
        <v>0</v>
      </c>
      <c r="I1334" s="1">
        <f ca="1">IFERROR(__xludf.DUMMYFUNCTION("""COMPUTED_VALUE"""),1)</f>
        <v>1</v>
      </c>
      <c r="J1334" s="1">
        <f ca="1">IFERROR(__xludf.DUMMYFUNCTION("""COMPUTED_VALUE"""),0)</f>
        <v>0</v>
      </c>
      <c r="K1334" s="1" t="str">
        <f ca="1">IFERROR(__xludf.DUMMYFUNCTION("""COMPUTED_VALUE"""),"Spring")</f>
        <v>Spring</v>
      </c>
      <c r="L1334" s="1" t="str">
        <f ca="1">IFERROR(__xludf.DUMMYFUNCTION("""COMPUTED_VALUE"""),"Birmingham")</f>
        <v>Birmingham</v>
      </c>
      <c r="M1334" s="1" t="str">
        <f ca="1">IFERROR(__xludf.DUMMYFUNCTION("""COMPUTED_VALUE"""),"AL")</f>
        <v>AL</v>
      </c>
      <c r="N1334" s="1" t="str">
        <f ca="1">IFERROR(__xludf.DUMMYFUNCTION("""COMPUTED_VALUE"""),"High")</f>
        <v>High</v>
      </c>
      <c r="O1334" s="1" t="str">
        <f ca="1">IFERROR(__xludf.DUMMYFUNCTION("""COMPUTED_VALUE"""),"Inside School Building")</f>
        <v>Inside School Building</v>
      </c>
      <c r="P1334" s="1" t="str">
        <f ca="1">IFERROR(__xludf.DUMMYFUNCTION("""COMPUTED_VALUE"""),"Inside School Building")</f>
        <v>Inside School Building</v>
      </c>
      <c r="Q1334" s="1" t="str">
        <f ca="1">IFERROR(__xludf.DUMMYFUNCTION("""COMPUTED_VALUE"""),"Yes")</f>
        <v>Yes</v>
      </c>
      <c r="R1334" s="1" t="str">
        <f ca="1">IFERROR(__xludf.DUMMYFUNCTION("""COMPUTED_VALUE"""),"After School")</f>
        <v>After School</v>
      </c>
      <c r="S1334" s="5">
        <f ca="1">IFERROR(__xludf.DUMMYFUNCTION("""COMPUTED_VALUE"""),0.65625)</f>
        <v>0.65625</v>
      </c>
      <c r="T1334" s="1">
        <f ca="1">IFERROR(__xludf.DUMMYFUNCTION("""COMPUTED_VALUE"""),1)</f>
        <v>1</v>
      </c>
      <c r="U1334" s="1" t="str">
        <f ca="1">IFERROR(__xludf.DUMMYFUNCTION("""COMPUTED_VALUE"""),"Accidental discharge while showing off gun")</f>
        <v>Accidental discharge while showing off gun</v>
      </c>
      <c r="V1334" s="1" t="str">
        <f ca="1">IFERROR(__xludf.DUMMYFUNCTION("""COMPUTED_VALUE"""),"Accidental shooting, manslaughter charge, showing gun to other student and it accidentally discharged striking a female student. The shooter then accidently shot himself in the leg trying to put the gun away. Gun was found in a trash can behind the school"&amp;".")</f>
        <v>Accidental shooting, manslaughter charge, showing gun to other student and it accidentally discharged striking a female student. The shooter then accidently shot himself in the leg trying to put the gun away. Gun was found in a trash can behind the school.</v>
      </c>
      <c r="W1334" s="1" t="str">
        <f ca="1">IFERROR(__xludf.DUMMYFUNCTION("""COMPUTED_VALUE"""),"Accidental")</f>
        <v>Accidental</v>
      </c>
      <c r="X1334" s="1" t="str">
        <f ca="1">IFERROR(__xludf.DUMMYFUNCTION("""COMPUTED_VALUE"""),"Random Shooting")</f>
        <v>Random Shooting</v>
      </c>
      <c r="Y1334" s="1"/>
      <c r="Z1334" s="1"/>
      <c r="AA1334" s="1" t="str">
        <f ca="1">IFERROR(__xludf.DUMMYFUNCTION("""COMPUTED_VALUE"""),"No")</f>
        <v>No</v>
      </c>
      <c r="AB1334" s="1" t="str">
        <f ca="1">IFERROR(__xludf.DUMMYFUNCTION("""COMPUTED_VALUE"""),"No")</f>
        <v>No</v>
      </c>
      <c r="AC1334" s="1" t="str">
        <f ca="1">IFERROR(__xludf.DUMMYFUNCTION("""COMPUTED_VALUE"""),"No")</f>
        <v>No</v>
      </c>
      <c r="AD1334" s="1" t="str">
        <f ca="1">IFERROR(__xludf.DUMMYFUNCTION("""COMPUTED_VALUE"""),"No")</f>
        <v>No</v>
      </c>
      <c r="AE1334" s="1" t="str">
        <f ca="1">IFERROR(__xludf.DUMMYFUNCTION("""COMPUTED_VALUE"""),"No")</f>
        <v>No</v>
      </c>
      <c r="AF1334" s="1" t="str">
        <f ca="1">IFERROR(__xludf.DUMMYFUNCTION("""COMPUTED_VALUE"""),"No")</f>
        <v>No</v>
      </c>
      <c r="AG1334" s="1" t="str">
        <f ca="1">IFERROR(__xludf.DUMMYFUNCTION("""COMPUTED_VALUE"""),"No")</f>
        <v>No</v>
      </c>
      <c r="AH1334" s="1"/>
    </row>
    <row r="1335" spans="1:34" ht="12.5">
      <c r="A1335" s="1" t="str">
        <f ca="1">IFERROR(__xludf.DUMMYFUNCTION("""COMPUTED_VALUE"""),"20180305MOKIC")</f>
        <v>20180305MOKIC</v>
      </c>
      <c r="B1335" s="1">
        <f ca="1">IFERROR(__xludf.DUMMYFUNCTION("""COMPUTED_VALUE"""),3)</f>
        <v>3</v>
      </c>
      <c r="C1335" s="1">
        <f ca="1">IFERROR(__xludf.DUMMYFUNCTION("""COMPUTED_VALUE"""),5)</f>
        <v>5</v>
      </c>
      <c r="D1335" s="1">
        <f ca="1">IFERROR(__xludf.DUMMYFUNCTION("""COMPUTED_VALUE"""),2018)</f>
        <v>2018</v>
      </c>
      <c r="E1335" s="4">
        <f ca="1">IFERROR(__xludf.DUMMYFUNCTION("""COMPUTED_VALUE"""),43164)</f>
        <v>43164</v>
      </c>
      <c r="F1335" s="1" t="str">
        <f ca="1">IFERROR(__xludf.DUMMYFUNCTION("""COMPUTED_VALUE"""),"Kingston High School")</f>
        <v>Kingston High School</v>
      </c>
      <c r="G1335" s="1">
        <f ca="1">IFERROR(__xludf.DUMMYFUNCTION("""COMPUTED_VALUE"""),0)</f>
        <v>0</v>
      </c>
      <c r="H1335" s="1">
        <f ca="1">IFERROR(__xludf.DUMMYFUNCTION("""COMPUTED_VALUE"""),0)</f>
        <v>0</v>
      </c>
      <c r="I1335" s="1">
        <f ca="1">IFERROR(__xludf.DUMMYFUNCTION("""COMPUTED_VALUE"""),0)</f>
        <v>0</v>
      </c>
      <c r="J1335" s="1">
        <f ca="1">IFERROR(__xludf.DUMMYFUNCTION("""COMPUTED_VALUE"""),1)</f>
        <v>1</v>
      </c>
      <c r="K1335" s="1" t="str">
        <f ca="1">IFERROR(__xludf.DUMMYFUNCTION("""COMPUTED_VALUE"""),"Spring")</f>
        <v>Spring</v>
      </c>
      <c r="L1335" s="1" t="str">
        <f ca="1">IFERROR(__xludf.DUMMYFUNCTION("""COMPUTED_VALUE"""),"Cadet")</f>
        <v>Cadet</v>
      </c>
      <c r="M1335" s="1" t="str">
        <f ca="1">IFERROR(__xludf.DUMMYFUNCTION("""COMPUTED_VALUE"""),"MO")</f>
        <v>MO</v>
      </c>
      <c r="N1335" s="1" t="str">
        <f ca="1">IFERROR(__xludf.DUMMYFUNCTION("""COMPUTED_VALUE"""),"K-12")</f>
        <v>K-12</v>
      </c>
      <c r="O1335" s="1" t="str">
        <f ca="1">IFERROR(__xludf.DUMMYFUNCTION("""COMPUTED_VALUE"""),"Classroom")</f>
        <v>Classroom</v>
      </c>
      <c r="P1335" s="1" t="str">
        <f ca="1">IFERROR(__xludf.DUMMYFUNCTION("""COMPUTED_VALUE"""),"Inside School Building")</f>
        <v>Inside School Building</v>
      </c>
      <c r="Q1335" s="1" t="str">
        <f ca="1">IFERROR(__xludf.DUMMYFUNCTION("""COMPUTED_VALUE"""),"Yes")</f>
        <v>Yes</v>
      </c>
      <c r="R1335" s="1" t="str">
        <f ca="1">IFERROR(__xludf.DUMMYFUNCTION("""COMPUTED_VALUE"""),"School Start")</f>
        <v>School Start</v>
      </c>
      <c r="S1335" s="5">
        <f ca="1">IFERROR(__xludf.DUMMYFUNCTION("""COMPUTED_VALUE"""),0.319444444444444)</f>
        <v>0.31944444444444398</v>
      </c>
      <c r="T1335" s="1">
        <f ca="1">IFERROR(__xludf.DUMMYFUNCTION("""COMPUTED_VALUE"""),1)</f>
        <v>1</v>
      </c>
      <c r="U1335" s="1" t="str">
        <f ca="1">IFERROR(__xludf.DUMMYFUNCTION("""COMPUTED_VALUE"""),"Student shot self in bathroom")</f>
        <v>Student shot self in bathroom</v>
      </c>
      <c r="V1335" s="1" t="str">
        <f ca="1">IFERROR(__xludf.DUMMYFUNCTION("""COMPUTED_VALUE"""),"17YOM shot himself in the school bathroom at the start of the school day. Shooter had prior mental health issues and treatment.")</f>
        <v>17YOM shot himself in the school bathroom at the start of the school day. Shooter had prior mental health issues and treatment.</v>
      </c>
      <c r="W1335" s="1" t="str">
        <f ca="1">IFERROR(__xludf.DUMMYFUNCTION("""COMPUTED_VALUE"""),"Suicide/Attempted")</f>
        <v>Suicide/Attempted</v>
      </c>
      <c r="X1335" s="1" t="str">
        <f ca="1">IFERROR(__xludf.DUMMYFUNCTION("""COMPUTED_VALUE"""),"Victims Targeted")</f>
        <v>Victims Targeted</v>
      </c>
      <c r="Y1335" s="1" t="str">
        <f ca="1">IFERROR(__xludf.DUMMYFUNCTION("""COMPUTED_VALUE"""),"No")</f>
        <v>No</v>
      </c>
      <c r="Z1335" s="1"/>
      <c r="AA1335" s="1" t="str">
        <f ca="1">IFERROR(__xludf.DUMMYFUNCTION("""COMPUTED_VALUE"""),"No")</f>
        <v>No</v>
      </c>
      <c r="AB1335" s="1" t="str">
        <f ca="1">IFERROR(__xludf.DUMMYFUNCTION("""COMPUTED_VALUE"""),"No")</f>
        <v>No</v>
      </c>
      <c r="AC1335" s="1" t="str">
        <f ca="1">IFERROR(__xludf.DUMMYFUNCTION("""COMPUTED_VALUE"""),"No")</f>
        <v>No</v>
      </c>
      <c r="AD1335" s="1" t="str">
        <f ca="1">IFERROR(__xludf.DUMMYFUNCTION("""COMPUTED_VALUE"""),"No")</f>
        <v>No</v>
      </c>
      <c r="AE1335" s="1" t="str">
        <f ca="1">IFERROR(__xludf.DUMMYFUNCTION("""COMPUTED_VALUE"""),"No")</f>
        <v>No</v>
      </c>
      <c r="AF1335" s="1" t="str">
        <f ca="1">IFERROR(__xludf.DUMMYFUNCTION("""COMPUTED_VALUE"""),"No")</f>
        <v>No</v>
      </c>
      <c r="AG1335" s="1" t="str">
        <f ca="1">IFERROR(__xludf.DUMMYFUNCTION("""COMPUTED_VALUE"""),"No")</f>
        <v>No</v>
      </c>
      <c r="AH1335" s="1">
        <f ca="1">IFERROR(__xludf.DUMMYFUNCTION("""COMPUTED_VALUE"""),1)</f>
        <v>1</v>
      </c>
    </row>
    <row r="1336" spans="1:34" ht="12.5">
      <c r="A1336" s="1" t="str">
        <f ca="1">IFERROR(__xludf.DUMMYFUNCTION("""COMPUTED_VALUE"""),"20180228GADAD")</f>
        <v>20180228GADAD</v>
      </c>
      <c r="B1336" s="1">
        <f ca="1">IFERROR(__xludf.DUMMYFUNCTION("""COMPUTED_VALUE"""),2)</f>
        <v>2</v>
      </c>
      <c r="C1336" s="1">
        <f ca="1">IFERROR(__xludf.DUMMYFUNCTION("""COMPUTED_VALUE"""),28)</f>
        <v>28</v>
      </c>
      <c r="D1336" s="1">
        <f ca="1">IFERROR(__xludf.DUMMYFUNCTION("""COMPUTED_VALUE"""),2018)</f>
        <v>2018</v>
      </c>
      <c r="E1336" s="4">
        <f ca="1">IFERROR(__xludf.DUMMYFUNCTION("""COMPUTED_VALUE"""),43159)</f>
        <v>43159</v>
      </c>
      <c r="F1336" s="1" t="str">
        <f ca="1">IFERROR(__xludf.DUMMYFUNCTION("""COMPUTED_VALUE"""),"Dalton High School")</f>
        <v>Dalton High School</v>
      </c>
      <c r="G1336" s="1">
        <f ca="1">IFERROR(__xludf.DUMMYFUNCTION("""COMPUTED_VALUE"""),0)</f>
        <v>0</v>
      </c>
      <c r="H1336" s="1">
        <f ca="1">IFERROR(__xludf.DUMMYFUNCTION("""COMPUTED_VALUE"""),0)</f>
        <v>0</v>
      </c>
      <c r="I1336" s="1">
        <f ca="1">IFERROR(__xludf.DUMMYFUNCTION("""COMPUTED_VALUE"""),0)</f>
        <v>0</v>
      </c>
      <c r="J1336" s="1">
        <f ca="1">IFERROR(__xludf.DUMMYFUNCTION("""COMPUTED_VALUE"""),0)</f>
        <v>0</v>
      </c>
      <c r="K1336" s="1" t="str">
        <f ca="1">IFERROR(__xludf.DUMMYFUNCTION("""COMPUTED_VALUE"""),"Winter")</f>
        <v>Winter</v>
      </c>
      <c r="L1336" s="1" t="str">
        <f ca="1">IFERROR(__xludf.DUMMYFUNCTION("""COMPUTED_VALUE"""),"Dalton")</f>
        <v>Dalton</v>
      </c>
      <c r="M1336" s="1" t="str">
        <f ca="1">IFERROR(__xludf.DUMMYFUNCTION("""COMPUTED_VALUE"""),"GA")</f>
        <v>GA</v>
      </c>
      <c r="N1336" s="1" t="str">
        <f ca="1">IFERROR(__xludf.DUMMYFUNCTION("""COMPUTED_VALUE"""),"High")</f>
        <v>High</v>
      </c>
      <c r="O1336" s="1" t="str">
        <f ca="1">IFERROR(__xludf.DUMMYFUNCTION("""COMPUTED_VALUE"""),"Classroom")</f>
        <v>Classroom</v>
      </c>
      <c r="P1336" s="1" t="str">
        <f ca="1">IFERROR(__xludf.DUMMYFUNCTION("""COMPUTED_VALUE"""),"Inside School Building")</f>
        <v>Inside School Building</v>
      </c>
      <c r="Q1336" s="1" t="str">
        <f ca="1">IFERROR(__xludf.DUMMYFUNCTION("""COMPUTED_VALUE"""),"Yes")</f>
        <v>Yes</v>
      </c>
      <c r="R1336" s="1" t="str">
        <f ca="1">IFERROR(__xludf.DUMMYFUNCTION("""COMPUTED_VALUE"""),"Morning Classes")</f>
        <v>Morning Classes</v>
      </c>
      <c r="S1336" s="5">
        <f ca="1">IFERROR(__xludf.DUMMYFUNCTION("""COMPUTED_VALUE"""),0.479166666666666)</f>
        <v>0.47916666666666602</v>
      </c>
      <c r="T1336" s="1"/>
      <c r="U1336" s="1" t="str">
        <f ca="1">IFERROR(__xludf.DUMMYFUNCTION("""COMPUTED_VALUE"""),"Teacher with gun barricaded in classroom, surrendered to SRO after being talked down")</f>
        <v>Teacher with gun barricaded in classroom, surrendered to SRO after being talked down</v>
      </c>
      <c r="V1336" s="1" t="str">
        <f ca="1">IFERROR(__xludf.DUMMYFUNCTION("""COMPUTED_VALUE"""),"Shooter was a teacher at the school. He barricaded himself in his classroom and did not let students in. When the principal tried to unlock the door, the shooter told him he had a gun and shot out of the window. No one was shot. The SRO engaged the shoote"&amp;"r and convinced him to turn himself in. The shooter had a history of mental health issues and previous encounter with the police. In 2016, the police reported to the shooter's address where he had just set his car on fire and was in possession of an unloa"&amp;"ded rifle. His wife, son,and daughter reported that he was not himself and acted very upset. The son convinced him to drop the rifle. The shooter was taken for a mental health evaluation and all the guns from the house were confiscated but since no charge"&amp;"s were pressed, 2 of them were returned to the wife. Several months prior, the shooter reported to the police that he got someone killed. He allegedly had an online affair with a woman and mentioned 2 friends of his who may have killed her. The shooter re"&amp;"fused to name the friends and the police could not confirm the identity of such a woman; no charges were pressed. Another time, the shooter left school under the pretext he did not feel well, his son, co-workers, and police were looking for him; when they"&amp;" found him, he was on school grounds and non-responsive. The shooter was described as a good teacher and 2 weeks before the shooting, he allegedly told the students he was against arming teachers.")</f>
        <v>Shooter was a teacher at the school. He barricaded himself in his classroom and did not let students in. When the principal tried to unlock the door, the shooter told him he had a gun and shot out of the window. No one was shot. The SRO engaged the shooter and convinced him to turn himself in. The shooter had a history of mental health issues and previous encounter with the police. In 2016, the police reported to the shooter's address where he had just set his car on fire and was in possession of an unloaded rifle. His wife, son,and daughter reported that he was not himself and acted very upset. The son convinced him to drop the rifle. The shooter was taken for a mental health evaluation and all the guns from the house were confiscated but since no charges were pressed, 2 of them were returned to the wife. Several months prior, the shooter reported to the police that he got someone killed. He allegedly had an online affair with a woman and mentioned 2 friends of his who may have killed her. The shooter refused to name the friends and the police could not confirm the identity of such a woman; no charges were pressed. Another time, the shooter left school under the pretext he did not feel well, his son, co-workers, and police were looking for him; when they found him, he was on school grounds and non-responsive. The shooter was described as a good teacher and 2 weeks before the shooting, he allegedly told the students he was against arming teachers.</v>
      </c>
      <c r="W1336" s="1" t="str">
        <f ca="1">IFERROR(__xludf.DUMMYFUNCTION("""COMPUTED_VALUE"""),"Psychosis")</f>
        <v>Psychosis</v>
      </c>
      <c r="X1336" s="1" t="str">
        <f ca="1">IFERROR(__xludf.DUMMYFUNCTION("""COMPUTED_VALUE"""),"Neither")</f>
        <v>Neither</v>
      </c>
      <c r="Y1336" s="1" t="str">
        <f ca="1">IFERROR(__xludf.DUMMYFUNCTION("""COMPUTED_VALUE"""),"No")</f>
        <v>No</v>
      </c>
      <c r="Z1336" s="1"/>
      <c r="AA1336" s="1" t="str">
        <f ca="1">IFERROR(__xludf.DUMMYFUNCTION("""COMPUTED_VALUE"""),"No")</f>
        <v>No</v>
      </c>
      <c r="AB1336" s="1" t="str">
        <f ca="1">IFERROR(__xludf.DUMMYFUNCTION("""COMPUTED_VALUE"""),"Yes")</f>
        <v>Yes</v>
      </c>
      <c r="AC1336" s="1" t="str">
        <f ca="1">IFERROR(__xludf.DUMMYFUNCTION("""COMPUTED_VALUE"""),"No")</f>
        <v>No</v>
      </c>
      <c r="AD1336" s="1" t="str">
        <f ca="1">IFERROR(__xludf.DUMMYFUNCTION("""COMPUTED_VALUE"""),"No")</f>
        <v>No</v>
      </c>
      <c r="AE1336" s="1" t="str">
        <f ca="1">IFERROR(__xludf.DUMMYFUNCTION("""COMPUTED_VALUE"""),"No")</f>
        <v>No</v>
      </c>
      <c r="AF1336" s="1" t="str">
        <f ca="1">IFERROR(__xludf.DUMMYFUNCTION("""COMPUTED_VALUE"""),"No")</f>
        <v>No</v>
      </c>
      <c r="AG1336" s="1" t="str">
        <f ca="1">IFERROR(__xludf.DUMMYFUNCTION("""COMPUTED_VALUE"""),"Yes")</f>
        <v>Yes</v>
      </c>
      <c r="AH1336" s="1">
        <f ca="1">IFERROR(__xludf.DUMMYFUNCTION("""COMPUTED_VALUE"""),1)</f>
        <v>1</v>
      </c>
    </row>
    <row r="1337" spans="1:34" ht="12.5">
      <c r="A1337" s="1" t="str">
        <f ca="1">IFERROR(__xludf.DUMMYFUNCTION("""COMPUTED_VALUE"""),"20180226WAOAT")</f>
        <v>20180226WAOAT</v>
      </c>
      <c r="B1337" s="1">
        <f ca="1">IFERROR(__xludf.DUMMYFUNCTION("""COMPUTED_VALUE"""),2)</f>
        <v>2</v>
      </c>
      <c r="C1337" s="1">
        <f ca="1">IFERROR(__xludf.DUMMYFUNCTION("""COMPUTED_VALUE"""),26)</f>
        <v>26</v>
      </c>
      <c r="D1337" s="1">
        <f ca="1">IFERROR(__xludf.DUMMYFUNCTION("""COMPUTED_VALUE"""),2018)</f>
        <v>2018</v>
      </c>
      <c r="E1337" s="4">
        <f ca="1">IFERROR(__xludf.DUMMYFUNCTION("""COMPUTED_VALUE"""),43157)</f>
        <v>43157</v>
      </c>
      <c r="F1337" s="1" t="str">
        <f ca="1">IFERROR(__xludf.DUMMYFUNCTION("""COMPUTED_VALUE"""),"Oakland High School")</f>
        <v>Oakland High School</v>
      </c>
      <c r="G1337" s="1">
        <f ca="1">IFERROR(__xludf.DUMMYFUNCTION("""COMPUTED_VALUE"""),0)</f>
        <v>0</v>
      </c>
      <c r="H1337" s="1">
        <f ca="1">IFERROR(__xludf.DUMMYFUNCTION("""COMPUTED_VALUE"""),0)</f>
        <v>0</v>
      </c>
      <c r="I1337" s="1">
        <f ca="1">IFERROR(__xludf.DUMMYFUNCTION("""COMPUTED_VALUE"""),0)</f>
        <v>0</v>
      </c>
      <c r="J1337" s="1">
        <f ca="1">IFERROR(__xludf.DUMMYFUNCTION("""COMPUTED_VALUE"""),0)</f>
        <v>0</v>
      </c>
      <c r="K1337" s="1" t="str">
        <f ca="1">IFERROR(__xludf.DUMMYFUNCTION("""COMPUTED_VALUE"""),"Winter")</f>
        <v>Winter</v>
      </c>
      <c r="L1337" s="1" t="str">
        <f ca="1">IFERROR(__xludf.DUMMYFUNCTION("""COMPUTED_VALUE"""),"Tacoma")</f>
        <v>Tacoma</v>
      </c>
      <c r="M1337" s="1" t="str">
        <f ca="1">IFERROR(__xludf.DUMMYFUNCTION("""COMPUTED_VALUE"""),"WA")</f>
        <v>WA</v>
      </c>
      <c r="N1337" s="1" t="str">
        <f ca="1">IFERROR(__xludf.DUMMYFUNCTION("""COMPUTED_VALUE"""),"High")</f>
        <v>High</v>
      </c>
      <c r="O1337" s="1" t="str">
        <f ca="1">IFERROR(__xludf.DUMMYFUNCTION("""COMPUTED_VALUE"""),"Bathroom")</f>
        <v>Bathroom</v>
      </c>
      <c r="P1337" s="1" t="str">
        <f ca="1">IFERROR(__xludf.DUMMYFUNCTION("""COMPUTED_VALUE"""),"Inside School Building")</f>
        <v>Inside School Building</v>
      </c>
      <c r="Q1337" s="1" t="str">
        <f ca="1">IFERROR(__xludf.DUMMYFUNCTION("""COMPUTED_VALUE"""),"Yes")</f>
        <v>Yes</v>
      </c>
      <c r="R1337" s="1" t="str">
        <f ca="1">IFERROR(__xludf.DUMMYFUNCTION("""COMPUTED_VALUE"""),"Lunch")</f>
        <v>Lunch</v>
      </c>
      <c r="S1337" s="1"/>
      <c r="T1337" s="1">
        <f ca="1">IFERROR(__xludf.DUMMYFUNCTION("""COMPUTED_VALUE"""),1)</f>
        <v>1</v>
      </c>
      <c r="U1337" s="1" t="str">
        <f ca="1">IFERROR(__xludf.DUMMYFUNCTION("""COMPUTED_VALUE"""),"Gun discharged in bathroom striking floor, students fled")</f>
        <v>Gun discharged in bathroom striking floor, students fled</v>
      </c>
      <c r="V1337" s="1" t="str">
        <f ca="1">IFERROR(__xludf.DUMMYFUNCTION("""COMPUTED_VALUE"""),"Two students were inside the school bathroom. A gun discharged hitting the floor and both fled. Suspects were identified by CCTV footage. No injuries.")</f>
        <v>Two students were inside the school bathroom. A gun discharged hitting the floor and both fled. Suspects were identified by CCTV footage. No injuries.</v>
      </c>
      <c r="W1337" s="1" t="str">
        <f ca="1">IFERROR(__xludf.DUMMYFUNCTION("""COMPUTED_VALUE"""),"Accidental")</f>
        <v>Accidental</v>
      </c>
      <c r="X1337" s="1" t="str">
        <f ca="1">IFERROR(__xludf.DUMMYFUNCTION("""COMPUTED_VALUE"""),"Neither")</f>
        <v>Neither</v>
      </c>
      <c r="Y1337" s="1" t="str">
        <f ca="1">IFERROR(__xludf.DUMMYFUNCTION("""COMPUTED_VALUE"""),"Yes")</f>
        <v>Yes</v>
      </c>
      <c r="Z1337" s="1" t="str">
        <f ca="1">IFERROR(__xludf.DUMMYFUNCTION("""COMPUTED_VALUE"""),"Two fled after shooting and arrested")</f>
        <v>Two fled after shooting and arrested</v>
      </c>
      <c r="AA1337" s="1" t="str">
        <f ca="1">IFERROR(__xludf.DUMMYFUNCTION("""COMPUTED_VALUE"""),"No")</f>
        <v>No</v>
      </c>
      <c r="AB1337" s="1" t="str">
        <f ca="1">IFERROR(__xludf.DUMMYFUNCTION("""COMPUTED_VALUE"""),"No")</f>
        <v>No</v>
      </c>
      <c r="AC1337" s="1" t="str">
        <f ca="1">IFERROR(__xludf.DUMMYFUNCTION("""COMPUTED_VALUE"""),"No")</f>
        <v>No</v>
      </c>
      <c r="AD1337" s="1" t="str">
        <f ca="1">IFERROR(__xludf.DUMMYFUNCTION("""COMPUTED_VALUE"""),"No")</f>
        <v>No</v>
      </c>
      <c r="AE1337" s="1" t="str">
        <f ca="1">IFERROR(__xludf.DUMMYFUNCTION("""COMPUTED_VALUE"""),"No")</f>
        <v>No</v>
      </c>
      <c r="AF1337" s="1" t="str">
        <f ca="1">IFERROR(__xludf.DUMMYFUNCTION("""COMPUTED_VALUE"""),"No")</f>
        <v>No</v>
      </c>
      <c r="AG1337" s="1" t="str">
        <f ca="1">IFERROR(__xludf.DUMMYFUNCTION("""COMPUTED_VALUE"""),"No")</f>
        <v>No</v>
      </c>
      <c r="AH1337" s="1">
        <f ca="1">IFERROR(__xludf.DUMMYFUNCTION("""COMPUTED_VALUE"""),1)</f>
        <v>1</v>
      </c>
    </row>
    <row r="1338" spans="1:34" ht="12.5">
      <c r="A1338" s="1" t="str">
        <f ca="1">IFERROR(__xludf.DUMMYFUNCTION("""COMPUTED_VALUE"""),"20180220OHJAM")</f>
        <v>20180220OHJAM</v>
      </c>
      <c r="B1338" s="1">
        <f ca="1">IFERROR(__xludf.DUMMYFUNCTION("""COMPUTED_VALUE"""),2)</f>
        <v>2</v>
      </c>
      <c r="C1338" s="1">
        <f ca="1">IFERROR(__xludf.DUMMYFUNCTION("""COMPUTED_VALUE"""),20)</f>
        <v>20</v>
      </c>
      <c r="D1338" s="1">
        <f ca="1">IFERROR(__xludf.DUMMYFUNCTION("""COMPUTED_VALUE"""),2018)</f>
        <v>2018</v>
      </c>
      <c r="E1338" s="4">
        <f ca="1">IFERROR(__xludf.DUMMYFUNCTION("""COMPUTED_VALUE"""),43151)</f>
        <v>43151</v>
      </c>
      <c r="F1338" s="1" t="str">
        <f ca="1">IFERROR(__xludf.DUMMYFUNCTION("""COMPUTED_VALUE"""),"Jackson Memorial Middle School")</f>
        <v>Jackson Memorial Middle School</v>
      </c>
      <c r="G1338" s="1">
        <f ca="1">IFERROR(__xludf.DUMMYFUNCTION("""COMPUTED_VALUE"""),0)</f>
        <v>0</v>
      </c>
      <c r="H1338" s="1">
        <f ca="1">IFERROR(__xludf.DUMMYFUNCTION("""COMPUTED_VALUE"""),0)</f>
        <v>0</v>
      </c>
      <c r="I1338" s="1">
        <f ca="1">IFERROR(__xludf.DUMMYFUNCTION("""COMPUTED_VALUE"""),0)</f>
        <v>0</v>
      </c>
      <c r="J1338" s="1">
        <f ca="1">IFERROR(__xludf.DUMMYFUNCTION("""COMPUTED_VALUE"""),1)</f>
        <v>1</v>
      </c>
      <c r="K1338" s="1" t="str">
        <f ca="1">IFERROR(__xludf.DUMMYFUNCTION("""COMPUTED_VALUE"""),"Winter")</f>
        <v>Winter</v>
      </c>
      <c r="L1338" s="1" t="str">
        <f ca="1">IFERROR(__xludf.DUMMYFUNCTION("""COMPUTED_VALUE"""),"Massillon")</f>
        <v>Massillon</v>
      </c>
      <c r="M1338" s="1" t="str">
        <f ca="1">IFERROR(__xludf.DUMMYFUNCTION("""COMPUTED_VALUE"""),"OH")</f>
        <v>OH</v>
      </c>
      <c r="N1338" s="1" t="str">
        <f ca="1">IFERROR(__xludf.DUMMYFUNCTION("""COMPUTED_VALUE"""),"Middle")</f>
        <v>Middle</v>
      </c>
      <c r="O1338" s="1" t="str">
        <f ca="1">IFERROR(__xludf.DUMMYFUNCTION("""COMPUTED_VALUE"""),"Bathroom")</f>
        <v>Bathroom</v>
      </c>
      <c r="P1338" s="1" t="str">
        <f ca="1">IFERROR(__xludf.DUMMYFUNCTION("""COMPUTED_VALUE"""),"Inside School Building")</f>
        <v>Inside School Building</v>
      </c>
      <c r="Q1338" s="1" t="str">
        <f ca="1">IFERROR(__xludf.DUMMYFUNCTION("""COMPUTED_VALUE"""),"Yes")</f>
        <v>Yes</v>
      </c>
      <c r="R1338" s="1" t="str">
        <f ca="1">IFERROR(__xludf.DUMMYFUNCTION("""COMPUTED_VALUE"""),"School Start")</f>
        <v>School Start</v>
      </c>
      <c r="S1338" s="1"/>
      <c r="T1338" s="1">
        <f ca="1">IFERROR(__xludf.DUMMYFUNCTION("""COMPUTED_VALUE"""),1)</f>
        <v>1</v>
      </c>
      <c r="U1338" s="1" t="str">
        <f ca="1">IFERROR(__xludf.DUMMYFUNCTION("""COMPUTED_VALUE"""),"Planned attack, walked out of bathroom then immediately back in, shot himself in head")</f>
        <v>Planned attack, walked out of bathroom then immediately back in, shot himself in head</v>
      </c>
      <c r="V1338" s="1" t="str">
        <f ca="1">IFERROR(__xludf.DUMMYFUNCTION("""COMPUTED_VALUE"""),"13YOM planned attack on school. Went into school bathroom, got out rifle, walked out of bathroom, and then immediately walked back into the bathroom and shot himself in the head. Messages on his phone made reference to Marjory Stoneman and Columbine attac"&amp;"ks. Said he wanted to destroy something bigger but the school was an easy target and he wanted to leave a lasting impression on the world. Cellphone had 8 step attack plan. Backpack had bottle rockets and batteries. Investigation by police found that he d"&amp;"id not tell any other students about the plan ahead of time.")</f>
        <v>13YOM planned attack on school. Went into school bathroom, got out rifle, walked out of bathroom, and then immediately walked back into the bathroom and shot himself in the head. Messages on his phone made reference to Marjory Stoneman and Columbine attacks. Said he wanted to destroy something bigger but the school was an easy target and he wanted to leave a lasting impression on the world. Cellphone had 8 step attack plan. Backpack had bottle rockets and batteries. Investigation by police found that he did not tell any other students about the plan ahead of time.</v>
      </c>
      <c r="W1338" s="1" t="str">
        <f ca="1">IFERROR(__xludf.DUMMYFUNCTION("""COMPUTED_VALUE"""),"Indiscriminate Shooting")</f>
        <v>Indiscriminate Shooting</v>
      </c>
      <c r="X1338" s="1" t="str">
        <f ca="1">IFERROR(__xludf.DUMMYFUNCTION("""COMPUTED_VALUE"""),"Victims Targeted")</f>
        <v>Victims Targeted</v>
      </c>
      <c r="Y1338" s="1" t="str">
        <f ca="1">IFERROR(__xludf.DUMMYFUNCTION("""COMPUTED_VALUE"""),"No")</f>
        <v>No</v>
      </c>
      <c r="Z1338" s="1"/>
      <c r="AA1338" s="1" t="str">
        <f ca="1">IFERROR(__xludf.DUMMYFUNCTION("""COMPUTED_VALUE"""),"No")</f>
        <v>No</v>
      </c>
      <c r="AB1338" s="1" t="str">
        <f ca="1">IFERROR(__xludf.DUMMYFUNCTION("""COMPUTED_VALUE"""),"No")</f>
        <v>No</v>
      </c>
      <c r="AC1338" s="1" t="str">
        <f ca="1">IFERROR(__xludf.DUMMYFUNCTION("""COMPUTED_VALUE"""),"No")</f>
        <v>No</v>
      </c>
      <c r="AD1338" s="1"/>
      <c r="AE1338" s="1" t="str">
        <f ca="1">IFERROR(__xludf.DUMMYFUNCTION("""COMPUTED_VALUE"""),"No")</f>
        <v>No</v>
      </c>
      <c r="AF1338" s="1" t="str">
        <f ca="1">IFERROR(__xludf.DUMMYFUNCTION("""COMPUTED_VALUE"""),"No")</f>
        <v>No</v>
      </c>
      <c r="AG1338" s="1" t="str">
        <f ca="1">IFERROR(__xludf.DUMMYFUNCTION("""COMPUTED_VALUE"""),"No")</f>
        <v>No</v>
      </c>
      <c r="AH1338" s="1">
        <f ca="1">IFERROR(__xludf.DUMMYFUNCTION("""COMPUTED_VALUE"""),1)</f>
        <v>1</v>
      </c>
    </row>
    <row r="1339" spans="1:34" ht="12.5">
      <c r="A1339" s="1" t="str">
        <f ca="1">IFERROR(__xludf.DUMMYFUNCTION("""COMPUTED_VALUE"""),"20180215FLNOC")</f>
        <v>20180215FLNOC</v>
      </c>
      <c r="B1339" s="1">
        <f ca="1">IFERROR(__xludf.DUMMYFUNCTION("""COMPUTED_VALUE"""),2)</f>
        <v>2</v>
      </c>
      <c r="C1339" s="1">
        <f ca="1">IFERROR(__xludf.DUMMYFUNCTION("""COMPUTED_VALUE"""),15)</f>
        <v>15</v>
      </c>
      <c r="D1339" s="1">
        <f ca="1">IFERROR(__xludf.DUMMYFUNCTION("""COMPUTED_VALUE"""),2018)</f>
        <v>2018</v>
      </c>
      <c r="E1339" s="4">
        <f ca="1">IFERROR(__xludf.DUMMYFUNCTION("""COMPUTED_VALUE"""),43146)</f>
        <v>43146</v>
      </c>
      <c r="F1339" s="1" t="str">
        <f ca="1">IFERROR(__xludf.DUMMYFUNCTION("""COMPUTED_VALUE"""),"North Broward Preparatory School")</f>
        <v>North Broward Preparatory School</v>
      </c>
      <c r="G1339" s="1">
        <f ca="1">IFERROR(__xludf.DUMMYFUNCTION("""COMPUTED_VALUE"""),0)</f>
        <v>0</v>
      </c>
      <c r="H1339" s="1">
        <f ca="1">IFERROR(__xludf.DUMMYFUNCTION("""COMPUTED_VALUE"""),0)</f>
        <v>0</v>
      </c>
      <c r="I1339" s="1">
        <f ca="1">IFERROR(__xludf.DUMMYFUNCTION("""COMPUTED_VALUE"""),0)</f>
        <v>0</v>
      </c>
      <c r="J1339" s="1">
        <f ca="1">IFERROR(__xludf.DUMMYFUNCTION("""COMPUTED_VALUE"""),0)</f>
        <v>0</v>
      </c>
      <c r="K1339" s="1" t="str">
        <f ca="1">IFERROR(__xludf.DUMMYFUNCTION("""COMPUTED_VALUE"""),"Winter")</f>
        <v>Winter</v>
      </c>
      <c r="L1339" s="1" t="str">
        <f ca="1">IFERROR(__xludf.DUMMYFUNCTION("""COMPUTED_VALUE"""),"Coconut Creek")</f>
        <v>Coconut Creek</v>
      </c>
      <c r="M1339" s="1" t="str">
        <f ca="1">IFERROR(__xludf.DUMMYFUNCTION("""COMPUTED_VALUE"""),"FL")</f>
        <v>FL</v>
      </c>
      <c r="N1339" s="1" t="str">
        <f ca="1">IFERROR(__xludf.DUMMYFUNCTION("""COMPUTED_VALUE"""),"K-12")</f>
        <v>K-12</v>
      </c>
      <c r="O1339" s="1" t="str">
        <f ca="1">IFERROR(__xludf.DUMMYFUNCTION("""COMPUTED_VALUE"""),"Hallway")</f>
        <v>Hallway</v>
      </c>
      <c r="P1339" s="1" t="str">
        <f ca="1">IFERROR(__xludf.DUMMYFUNCTION("""COMPUTED_VALUE"""),"Inside School Building")</f>
        <v>Inside School Building</v>
      </c>
      <c r="Q1339" s="1" t="str">
        <f ca="1">IFERROR(__xludf.DUMMYFUNCTION("""COMPUTED_VALUE"""),"Yes")</f>
        <v>Yes</v>
      </c>
      <c r="R1339" s="1" t="str">
        <f ca="1">IFERROR(__xludf.DUMMYFUNCTION("""COMPUTED_VALUE"""),"Morning Classes")</f>
        <v>Morning Classes</v>
      </c>
      <c r="S1339" s="5">
        <f ca="1">IFERROR(__xludf.DUMMYFUNCTION("""COMPUTED_VALUE"""),0.395833333333333)</f>
        <v>0.39583333333333298</v>
      </c>
      <c r="T1339" s="1">
        <f ca="1">IFERROR(__xludf.DUMMYFUNCTION("""COMPUTED_VALUE"""),1)</f>
        <v>1</v>
      </c>
      <c r="U1339" s="1" t="str">
        <f ca="1">IFERROR(__xludf.DUMMYFUNCTION("""COMPUTED_VALUE"""),"Officer accidentally fired while responding to a call at the school")</f>
        <v>Officer accidentally fired while responding to a call at the school</v>
      </c>
      <c r="V1339" s="1" t="str">
        <f ca="1">IFERROR(__xludf.DUMMYFUNCTION("""COMPUTED_VALUE"""),"Police officer responding to reported shots fired at the school accidentally shot himself in the leg while inside the school. The shots fired called turned out to be false and the only shot fired was by the police officer injuring himself. School was lock"&amp;"ed down for an extended period of time and then dismissed.")</f>
        <v>Police officer responding to reported shots fired at the school accidentally shot himself in the leg while inside the school. The shots fired called turned out to be false and the only shot fired was by the police officer injuring himself. School was locked down for an extended period of time and then dismissed.</v>
      </c>
      <c r="W1339" s="1" t="str">
        <f ca="1">IFERROR(__xludf.DUMMYFUNCTION("""COMPUTED_VALUE"""),"Accidental")</f>
        <v>Accidental</v>
      </c>
      <c r="X1339" s="1" t="str">
        <f ca="1">IFERROR(__xludf.DUMMYFUNCTION("""COMPUTED_VALUE"""),"Random Shooting")</f>
        <v>Random Shooting</v>
      </c>
      <c r="Y1339" s="1" t="str">
        <f ca="1">IFERROR(__xludf.DUMMYFUNCTION("""COMPUTED_VALUE"""),"No")</f>
        <v>No</v>
      </c>
      <c r="Z1339" s="1"/>
      <c r="AA1339" s="1" t="str">
        <f ca="1">IFERROR(__xludf.DUMMYFUNCTION("""COMPUTED_VALUE"""),"No")</f>
        <v>No</v>
      </c>
      <c r="AB1339" s="1" t="str">
        <f ca="1">IFERROR(__xludf.DUMMYFUNCTION("""COMPUTED_VALUE"""),"No")</f>
        <v>No</v>
      </c>
      <c r="AC1339" s="1" t="str">
        <f ca="1">IFERROR(__xludf.DUMMYFUNCTION("""COMPUTED_VALUE"""),"Yes")</f>
        <v>Yes</v>
      </c>
      <c r="AD1339" s="1" t="str">
        <f ca="1">IFERROR(__xludf.DUMMYFUNCTION("""COMPUTED_VALUE"""),"N/A")</f>
        <v>N/A</v>
      </c>
      <c r="AE1339" s="1" t="str">
        <f ca="1">IFERROR(__xludf.DUMMYFUNCTION("""COMPUTED_VALUE"""),"N/A")</f>
        <v>N/A</v>
      </c>
      <c r="AF1339" s="1" t="str">
        <f ca="1">IFERROR(__xludf.DUMMYFUNCTION("""COMPUTED_VALUE"""),"N/A")</f>
        <v>N/A</v>
      </c>
      <c r="AG1339" s="1" t="str">
        <f ca="1">IFERROR(__xludf.DUMMYFUNCTION("""COMPUTED_VALUE"""),"No")</f>
        <v>No</v>
      </c>
      <c r="AH1339" s="1">
        <f ca="1">IFERROR(__xludf.DUMMYFUNCTION("""COMPUTED_VALUE"""),1)</f>
        <v>1</v>
      </c>
    </row>
    <row r="1340" spans="1:34" ht="12.5">
      <c r="A1340" s="1" t="str">
        <f ca="1">IFERROR(__xludf.DUMMYFUNCTION("""COMPUTED_VALUE"""),"20180214FLMAP")</f>
        <v>20180214FLMAP</v>
      </c>
      <c r="B1340" s="1">
        <f ca="1">IFERROR(__xludf.DUMMYFUNCTION("""COMPUTED_VALUE"""),2)</f>
        <v>2</v>
      </c>
      <c r="C1340" s="1">
        <f ca="1">IFERROR(__xludf.DUMMYFUNCTION("""COMPUTED_VALUE"""),14)</f>
        <v>14</v>
      </c>
      <c r="D1340" s="1">
        <f ca="1">IFERROR(__xludf.DUMMYFUNCTION("""COMPUTED_VALUE"""),2018)</f>
        <v>2018</v>
      </c>
      <c r="E1340" s="4">
        <f ca="1">IFERROR(__xludf.DUMMYFUNCTION("""COMPUTED_VALUE"""),43145)</f>
        <v>43145</v>
      </c>
      <c r="F1340" s="1" t="str">
        <f ca="1">IFERROR(__xludf.DUMMYFUNCTION("""COMPUTED_VALUE"""),"Marjory Stoneman Douglas High School")</f>
        <v>Marjory Stoneman Douglas High School</v>
      </c>
      <c r="G1340" s="1">
        <f ca="1">IFERROR(__xludf.DUMMYFUNCTION("""COMPUTED_VALUE"""),17)</f>
        <v>17</v>
      </c>
      <c r="H1340" s="1">
        <f ca="1">IFERROR(__xludf.DUMMYFUNCTION("""COMPUTED_VALUE"""),17)</f>
        <v>17</v>
      </c>
      <c r="I1340" s="1">
        <f ca="1">IFERROR(__xludf.DUMMYFUNCTION("""COMPUTED_VALUE"""),34)</f>
        <v>34</v>
      </c>
      <c r="J1340" s="1">
        <f ca="1">IFERROR(__xludf.DUMMYFUNCTION("""COMPUTED_VALUE"""),0)</f>
        <v>0</v>
      </c>
      <c r="K1340" s="1" t="str">
        <f ca="1">IFERROR(__xludf.DUMMYFUNCTION("""COMPUTED_VALUE"""),"Winter")</f>
        <v>Winter</v>
      </c>
      <c r="L1340" s="1" t="str">
        <f ca="1">IFERROR(__xludf.DUMMYFUNCTION("""COMPUTED_VALUE"""),"Parkland")</f>
        <v>Parkland</v>
      </c>
      <c r="M1340" s="1" t="str">
        <f ca="1">IFERROR(__xludf.DUMMYFUNCTION("""COMPUTED_VALUE"""),"FL")</f>
        <v>FL</v>
      </c>
      <c r="N1340" s="1" t="str">
        <f ca="1">IFERROR(__xludf.DUMMYFUNCTION("""COMPUTED_VALUE"""),"High")</f>
        <v>High</v>
      </c>
      <c r="O1340" s="1" t="str">
        <f ca="1">IFERROR(__xludf.DUMMYFUNCTION("""COMPUTED_VALUE"""),"Hallway")</f>
        <v>Hallway</v>
      </c>
      <c r="P1340" s="1" t="str">
        <f ca="1">IFERROR(__xludf.DUMMYFUNCTION("""COMPUTED_VALUE"""),"Inside School Building")</f>
        <v>Inside School Building</v>
      </c>
      <c r="Q1340" s="1" t="str">
        <f ca="1">IFERROR(__xludf.DUMMYFUNCTION("""COMPUTED_VALUE"""),"Yes")</f>
        <v>Yes</v>
      </c>
      <c r="R1340" s="1" t="str">
        <f ca="1">IFERROR(__xludf.DUMMYFUNCTION("""COMPUTED_VALUE"""),"Afternoon Classes")</f>
        <v>Afternoon Classes</v>
      </c>
      <c r="S1340" s="5">
        <f ca="1">IFERROR(__xludf.DUMMYFUNCTION("""COMPUTED_VALUE"""),0.597916666666666)</f>
        <v>0.59791666666666599</v>
      </c>
      <c r="T1340" s="1">
        <f ca="1">IFERROR(__xludf.DUMMYFUNCTION("""COMPUTED_VALUE"""),7)</f>
        <v>7</v>
      </c>
      <c r="U1340" s="1" t="str">
        <f ca="1">IFERROR(__xludf.DUMMYFUNCTION("""COMPUTED_VALUE"""),"Planned attack by former student")</f>
        <v>Planned attack by former student</v>
      </c>
      <c r="V1340" s="1" t="str">
        <f ca="1">IFERROR(__xludf.DUMMYFUNCTION("""COMPUTED_VALUE"""),"Former student. Planned attack. Pulled firearm to get students out of the classroom. Fired with AR15. Had extra ammunition. Dropped rifle inside the school and walked out with the other students. Later apprehended by law enforcement. History of mental hea"&amp;"lth issues including attempted suicide and depression (ingested gasoline and cut his wrists during live stream on the internet). Shooter did not post on social media about the plan for the shooting. Shooter had interest in other school shootings and poste"&amp;"d online about them. Investigated by FBI for online postings about school shootings.")</f>
        <v>Former student. Planned attack. Pulled firearm to get students out of the classroom. Fired with AR15. Had extra ammunition. Dropped rifle inside the school and walked out with the other students. Later apprehended by law enforcement. History of mental health issues including attempted suicide and depression (ingested gasoline and cut his wrists during live stream on the internet). Shooter did not post on social media about the plan for the shooting. Shooter had interest in other school shootings and posted online about them. Investigated by FBI for online postings about school shootings.</v>
      </c>
      <c r="W1340" s="1" t="str">
        <f ca="1">IFERROR(__xludf.DUMMYFUNCTION("""COMPUTED_VALUE"""),"Indiscriminate Shooting")</f>
        <v>Indiscriminate Shooting</v>
      </c>
      <c r="X1340" s="1" t="str">
        <f ca="1">IFERROR(__xludf.DUMMYFUNCTION("""COMPUTED_VALUE"""),"Random Shooting")</f>
        <v>Random Shooting</v>
      </c>
      <c r="Y1340" s="1" t="str">
        <f ca="1">IFERROR(__xludf.DUMMYFUNCTION("""COMPUTED_VALUE"""),"No")</f>
        <v>No</v>
      </c>
      <c r="Z1340" s="1"/>
      <c r="AA1340" s="1" t="str">
        <f ca="1">IFERROR(__xludf.DUMMYFUNCTION("""COMPUTED_VALUE"""),"No")</f>
        <v>No</v>
      </c>
      <c r="AB1340" s="1" t="str">
        <f ca="1">IFERROR(__xludf.DUMMYFUNCTION("""COMPUTED_VALUE"""),"No")</f>
        <v>No</v>
      </c>
      <c r="AC1340" s="1" t="str">
        <f ca="1">IFERROR(__xludf.DUMMYFUNCTION("""COMPUTED_VALUE"""),"No")</f>
        <v>No</v>
      </c>
      <c r="AD1340" s="1" t="str">
        <f ca="1">IFERROR(__xludf.DUMMYFUNCTION("""COMPUTED_VALUE"""),"No")</f>
        <v>No</v>
      </c>
      <c r="AE1340" s="1" t="str">
        <f ca="1">IFERROR(__xludf.DUMMYFUNCTION("""COMPUTED_VALUE"""),"No")</f>
        <v>No</v>
      </c>
      <c r="AF1340" s="1" t="str">
        <f ca="1">IFERROR(__xludf.DUMMYFUNCTION("""COMPUTED_VALUE"""),"No")</f>
        <v>No</v>
      </c>
      <c r="AG1340" s="1" t="str">
        <f ca="1">IFERROR(__xludf.DUMMYFUNCTION("""COMPUTED_VALUE"""),"Yes")</f>
        <v>Yes</v>
      </c>
      <c r="AH1340" s="1">
        <f ca="1">IFERROR(__xludf.DUMMYFUNCTION("""COMPUTED_VALUE"""),139)</f>
        <v>139</v>
      </c>
    </row>
    <row r="1341" spans="1:34" ht="12.5">
      <c r="A1341" s="1" t="str">
        <f ca="1">IFERROR(__xludf.DUMMYFUNCTION("""COMPUTED_VALUE"""),"20180209TNPEN")</f>
        <v>20180209TNPEN</v>
      </c>
      <c r="B1341" s="1">
        <f ca="1">IFERROR(__xludf.DUMMYFUNCTION("""COMPUTED_VALUE"""),2)</f>
        <v>2</v>
      </c>
      <c r="C1341" s="1">
        <f ca="1">IFERROR(__xludf.DUMMYFUNCTION("""COMPUTED_VALUE"""),9)</f>
        <v>9</v>
      </c>
      <c r="D1341" s="1">
        <f ca="1">IFERROR(__xludf.DUMMYFUNCTION("""COMPUTED_VALUE"""),2018)</f>
        <v>2018</v>
      </c>
      <c r="E1341" s="4">
        <f ca="1">IFERROR(__xludf.DUMMYFUNCTION("""COMPUTED_VALUE"""),43140)</f>
        <v>43140</v>
      </c>
      <c r="F1341" s="1" t="str">
        <f ca="1">IFERROR(__xludf.DUMMYFUNCTION("""COMPUTED_VALUE"""),"Peal-Cohn High School")</f>
        <v>Peal-Cohn High School</v>
      </c>
      <c r="G1341" s="1">
        <f ca="1">IFERROR(__xludf.DUMMYFUNCTION("""COMPUTED_VALUE"""),0)</f>
        <v>0</v>
      </c>
      <c r="H1341" s="1">
        <f ca="1">IFERROR(__xludf.DUMMYFUNCTION("""COMPUTED_VALUE"""),1)</f>
        <v>1</v>
      </c>
      <c r="I1341" s="1">
        <f ca="1">IFERROR(__xludf.DUMMYFUNCTION("""COMPUTED_VALUE"""),1)</f>
        <v>1</v>
      </c>
      <c r="J1341" s="1">
        <f ca="1">IFERROR(__xludf.DUMMYFUNCTION("""COMPUTED_VALUE"""),0)</f>
        <v>0</v>
      </c>
      <c r="K1341" s="1" t="str">
        <f ca="1">IFERROR(__xludf.DUMMYFUNCTION("""COMPUTED_VALUE"""),"Winter")</f>
        <v>Winter</v>
      </c>
      <c r="L1341" s="1" t="str">
        <f ca="1">IFERROR(__xludf.DUMMYFUNCTION("""COMPUTED_VALUE"""),"Nashville")</f>
        <v>Nashville</v>
      </c>
      <c r="M1341" s="1" t="str">
        <f ca="1">IFERROR(__xludf.DUMMYFUNCTION("""COMPUTED_VALUE"""),"TN")</f>
        <v>TN</v>
      </c>
      <c r="N1341" s="1" t="str">
        <f ca="1">IFERROR(__xludf.DUMMYFUNCTION("""COMPUTED_VALUE"""),"High")</f>
        <v>High</v>
      </c>
      <c r="O1341" s="1" t="str">
        <f ca="1">IFERROR(__xludf.DUMMYFUNCTION("""COMPUTED_VALUE"""),"Parking Lot")</f>
        <v>Parking Lot</v>
      </c>
      <c r="P1341" s="1" t="str">
        <f ca="1">IFERROR(__xludf.DUMMYFUNCTION("""COMPUTED_VALUE"""),"Outside on School Property")</f>
        <v>Outside on School Property</v>
      </c>
      <c r="Q1341" s="1" t="str">
        <f ca="1">IFERROR(__xludf.DUMMYFUNCTION("""COMPUTED_VALUE"""),"No")</f>
        <v>No</v>
      </c>
      <c r="R1341" s="1" t="str">
        <f ca="1">IFERROR(__xludf.DUMMYFUNCTION("""COMPUTED_VALUE"""),"Dismissal")</f>
        <v>Dismissal</v>
      </c>
      <c r="S1341" s="1"/>
      <c r="T1341" s="1">
        <f ca="1">IFERROR(__xludf.DUMMYFUNCTION("""COMPUTED_VALUE"""),1)</f>
        <v>1</v>
      </c>
      <c r="U1341" s="1" t="str">
        <f ca="1">IFERROR(__xludf.DUMMYFUNCTION("""COMPUTED_VALUE"""),"Gang related shooting in parking lot")</f>
        <v>Gang related shooting in parking lot</v>
      </c>
      <c r="V1341" s="1" t="str">
        <f ca="1">IFERROR(__xludf.DUMMYFUNCTION("""COMPUTED_VALUE"""),"Shooter fired 5 shots at the victim in the parking lot at the end of the school day and fled the scene by getting into a stolen vehicle. The motive remains unknown. The school has a frequent gang-related violence.")</f>
        <v>Shooter fired 5 shots at the victim in the parking lot at the end of the school day and fled the scene by getting into a stolen vehicle. The motive remains unknown. The school has a frequent gang-related violence.</v>
      </c>
      <c r="W1341" s="1" t="str">
        <f ca="1">IFERROR(__xludf.DUMMYFUNCTION("""COMPUTED_VALUE"""),"Escalation of Dispute")</f>
        <v>Escalation of Dispute</v>
      </c>
      <c r="X1341" s="1" t="str">
        <f ca="1">IFERROR(__xludf.DUMMYFUNCTION("""COMPUTED_VALUE"""),"Victims Targeted")</f>
        <v>Victims Targeted</v>
      </c>
      <c r="Y1341" s="1"/>
      <c r="Z1341" s="1"/>
      <c r="AA1341" s="1" t="str">
        <f ca="1">IFERROR(__xludf.DUMMYFUNCTION("""COMPUTED_VALUE"""),"No")</f>
        <v>No</v>
      </c>
      <c r="AB1341" s="1" t="str">
        <f ca="1">IFERROR(__xludf.DUMMYFUNCTION("""COMPUTED_VALUE"""),"No")</f>
        <v>No</v>
      </c>
      <c r="AC1341" s="1" t="str">
        <f ca="1">IFERROR(__xludf.DUMMYFUNCTION("""COMPUTED_VALUE"""),"No")</f>
        <v>No</v>
      </c>
      <c r="AD1341" s="1"/>
      <c r="AE1341" s="1" t="str">
        <f ca="1">IFERROR(__xludf.DUMMYFUNCTION("""COMPUTED_VALUE"""),"No")</f>
        <v>No</v>
      </c>
      <c r="AF1341" s="1" t="str">
        <f ca="1">IFERROR(__xludf.DUMMYFUNCTION("""COMPUTED_VALUE"""),"Yes")</f>
        <v>Yes</v>
      </c>
      <c r="AG1341" s="1" t="str">
        <f ca="1">IFERROR(__xludf.DUMMYFUNCTION("""COMPUTED_VALUE"""),"No")</f>
        <v>No</v>
      </c>
      <c r="AH1341" s="1">
        <f ca="1">IFERROR(__xludf.DUMMYFUNCTION("""COMPUTED_VALUE"""),5)</f>
        <v>5</v>
      </c>
    </row>
    <row r="1342" spans="1:34" ht="12.5">
      <c r="A1342" s="1" t="str">
        <f ca="1">IFERROR(__xludf.DUMMYFUNCTION("""COMPUTED_VALUE"""),"20180208NYTHN")</f>
        <v>20180208NYTHN</v>
      </c>
      <c r="B1342" s="1">
        <f ca="1">IFERROR(__xludf.DUMMYFUNCTION("""COMPUTED_VALUE"""),2)</f>
        <v>2</v>
      </c>
      <c r="C1342" s="1">
        <f ca="1">IFERROR(__xludf.DUMMYFUNCTION("""COMPUTED_VALUE"""),8)</f>
        <v>8</v>
      </c>
      <c r="D1342" s="1">
        <f ca="1">IFERROR(__xludf.DUMMYFUNCTION("""COMPUTED_VALUE"""),2018)</f>
        <v>2018</v>
      </c>
      <c r="E1342" s="4">
        <f ca="1">IFERROR(__xludf.DUMMYFUNCTION("""COMPUTED_VALUE"""),43139)</f>
        <v>43139</v>
      </c>
      <c r="F1342" s="1" t="str">
        <f ca="1">IFERROR(__xludf.DUMMYFUNCTION("""COMPUTED_VALUE"""),"The Metropolitan High School")</f>
        <v>The Metropolitan High School</v>
      </c>
      <c r="G1342" s="1">
        <f ca="1">IFERROR(__xludf.DUMMYFUNCTION("""COMPUTED_VALUE"""),0)</f>
        <v>0</v>
      </c>
      <c r="H1342" s="1">
        <f ca="1">IFERROR(__xludf.DUMMYFUNCTION("""COMPUTED_VALUE"""),0)</f>
        <v>0</v>
      </c>
      <c r="I1342" s="1">
        <f ca="1">IFERROR(__xludf.DUMMYFUNCTION("""COMPUTED_VALUE"""),0)</f>
        <v>0</v>
      </c>
      <c r="J1342" s="1">
        <f ca="1">IFERROR(__xludf.DUMMYFUNCTION("""COMPUTED_VALUE"""),0)</f>
        <v>0</v>
      </c>
      <c r="K1342" s="1" t="str">
        <f ca="1">IFERROR(__xludf.DUMMYFUNCTION("""COMPUTED_VALUE"""),"Winter")</f>
        <v>Winter</v>
      </c>
      <c r="L1342" s="1" t="str">
        <f ca="1">IFERROR(__xludf.DUMMYFUNCTION("""COMPUTED_VALUE"""),"New York")</f>
        <v>New York</v>
      </c>
      <c r="M1342" s="1" t="str">
        <f ca="1">IFERROR(__xludf.DUMMYFUNCTION("""COMPUTED_VALUE"""),"NY")</f>
        <v>NY</v>
      </c>
      <c r="N1342" s="1" t="str">
        <f ca="1">IFERROR(__xludf.DUMMYFUNCTION("""COMPUTED_VALUE"""),"High")</f>
        <v>High</v>
      </c>
      <c r="O1342" s="1" t="str">
        <f ca="1">IFERROR(__xludf.DUMMYFUNCTION("""COMPUTED_VALUE"""),"Classroom")</f>
        <v>Classroom</v>
      </c>
      <c r="P1342" s="1" t="str">
        <f ca="1">IFERROR(__xludf.DUMMYFUNCTION("""COMPUTED_VALUE"""),"Inside School Building")</f>
        <v>Inside School Building</v>
      </c>
      <c r="Q1342" s="1" t="str">
        <f ca="1">IFERROR(__xludf.DUMMYFUNCTION("""COMPUTED_VALUE"""),"Yes")</f>
        <v>Yes</v>
      </c>
      <c r="R1342" s="1" t="str">
        <f ca="1">IFERROR(__xludf.DUMMYFUNCTION("""COMPUTED_VALUE"""),"Afternoon Classes")</f>
        <v>Afternoon Classes</v>
      </c>
      <c r="S1342" s="5">
        <f ca="1">IFERROR(__xludf.DUMMYFUNCTION("""COMPUTED_VALUE"""),0.638888888888888)</f>
        <v>0.63888888888888795</v>
      </c>
      <c r="T1342" s="1">
        <f ca="1">IFERROR(__xludf.DUMMYFUNCTION("""COMPUTED_VALUE"""),1)</f>
        <v>1</v>
      </c>
      <c r="U1342" s="1" t="str">
        <f ca="1">IFERROR(__xludf.DUMMYFUNCTION("""COMPUTED_VALUE"""),"Single gun shot struck floor of classroom, student arrested")</f>
        <v>Single gun shot struck floor of classroom, student arrested</v>
      </c>
      <c r="V1342" s="1" t="str">
        <f ca="1">IFERROR(__xludf.DUMMYFUNCTION("""COMPUTED_VALUE"""),"Single gunshot struck floor of classroom. No injuries. 17YOM student arrested. Circumstances unknown.")</f>
        <v>Single gunshot struck floor of classroom. No injuries. 17YOM student arrested. Circumstances unknown.</v>
      </c>
      <c r="W1342" s="1" t="str">
        <f ca="1">IFERROR(__xludf.DUMMYFUNCTION("""COMPUTED_VALUE"""),"Accidental")</f>
        <v>Accidental</v>
      </c>
      <c r="X1342" s="1"/>
      <c r="Y1342" s="1" t="str">
        <f ca="1">IFERROR(__xludf.DUMMYFUNCTION("""COMPUTED_VALUE"""),"No")</f>
        <v>No</v>
      </c>
      <c r="Z1342" s="1"/>
      <c r="AA1342" s="1" t="str">
        <f ca="1">IFERROR(__xludf.DUMMYFUNCTION("""COMPUTED_VALUE"""),"No")</f>
        <v>No</v>
      </c>
      <c r="AB1342" s="1" t="str">
        <f ca="1">IFERROR(__xludf.DUMMYFUNCTION("""COMPUTED_VALUE"""),"No")</f>
        <v>No</v>
      </c>
      <c r="AC1342" s="1" t="str">
        <f ca="1">IFERROR(__xludf.DUMMYFUNCTION("""COMPUTED_VALUE"""),"No")</f>
        <v>No</v>
      </c>
      <c r="AD1342" s="1"/>
      <c r="AE1342" s="1"/>
      <c r="AF1342" s="1"/>
      <c r="AG1342" s="1" t="str">
        <f ca="1">IFERROR(__xludf.DUMMYFUNCTION("""COMPUTED_VALUE"""),"No")</f>
        <v>No</v>
      </c>
      <c r="AH1342" s="1">
        <f ca="1">IFERROR(__xludf.DUMMYFUNCTION("""COMPUTED_VALUE"""),1)</f>
        <v>1</v>
      </c>
    </row>
    <row r="1343" spans="1:34" ht="12.5">
      <c r="A1343" s="1" t="str">
        <f ca="1">IFERROR(__xludf.DUMMYFUNCTION("""COMPUTED_VALUE"""),"20180205MNHAM")</f>
        <v>20180205MNHAM</v>
      </c>
      <c r="B1343" s="1">
        <f ca="1">IFERROR(__xludf.DUMMYFUNCTION("""COMPUTED_VALUE"""),2)</f>
        <v>2</v>
      </c>
      <c r="C1343" s="1">
        <f ca="1">IFERROR(__xludf.DUMMYFUNCTION("""COMPUTED_VALUE"""),5)</f>
        <v>5</v>
      </c>
      <c r="D1343" s="1">
        <f ca="1">IFERROR(__xludf.DUMMYFUNCTION("""COMPUTED_VALUE"""),2018)</f>
        <v>2018</v>
      </c>
      <c r="E1343" s="4">
        <f ca="1">IFERROR(__xludf.DUMMYFUNCTION("""COMPUTED_VALUE"""),43136)</f>
        <v>43136</v>
      </c>
      <c r="F1343" s="1" t="str">
        <f ca="1">IFERROR(__xludf.DUMMYFUNCTION("""COMPUTED_VALUE"""),"Harmony Learning Center")</f>
        <v>Harmony Learning Center</v>
      </c>
      <c r="G1343" s="1">
        <f ca="1">IFERROR(__xludf.DUMMYFUNCTION("""COMPUTED_VALUE"""),0)</f>
        <v>0</v>
      </c>
      <c r="H1343" s="1">
        <f ca="1">IFERROR(__xludf.DUMMYFUNCTION("""COMPUTED_VALUE"""),0)</f>
        <v>0</v>
      </c>
      <c r="I1343" s="1">
        <f ca="1">IFERROR(__xludf.DUMMYFUNCTION("""COMPUTED_VALUE"""),0)</f>
        <v>0</v>
      </c>
      <c r="J1343" s="1">
        <f ca="1">IFERROR(__xludf.DUMMYFUNCTION("""COMPUTED_VALUE"""),0)</f>
        <v>0</v>
      </c>
      <c r="K1343" s="1" t="str">
        <f ca="1">IFERROR(__xludf.DUMMYFUNCTION("""COMPUTED_VALUE"""),"Winter")</f>
        <v>Winter</v>
      </c>
      <c r="L1343" s="1" t="str">
        <f ca="1">IFERROR(__xludf.DUMMYFUNCTION("""COMPUTED_VALUE"""),"Maplewood")</f>
        <v>Maplewood</v>
      </c>
      <c r="M1343" s="1" t="str">
        <f ca="1">IFERROR(__xludf.DUMMYFUNCTION("""COMPUTED_VALUE"""),"MN")</f>
        <v>MN</v>
      </c>
      <c r="N1343" s="1" t="str">
        <f ca="1">IFERROR(__xludf.DUMMYFUNCTION("""COMPUTED_VALUE"""),"Elementary")</f>
        <v>Elementary</v>
      </c>
      <c r="O1343" s="1" t="str">
        <f ca="1">IFERROR(__xludf.DUMMYFUNCTION("""COMPUTED_VALUE"""),"Front of School")</f>
        <v>Front of School</v>
      </c>
      <c r="P1343" s="1" t="str">
        <f ca="1">IFERROR(__xludf.DUMMYFUNCTION("""COMPUTED_VALUE"""),"Outside on School Property")</f>
        <v>Outside on School Property</v>
      </c>
      <c r="Q1343" s="1" t="str">
        <f ca="1">IFERROR(__xludf.DUMMYFUNCTION("""COMPUTED_VALUE"""),"Yes")</f>
        <v>Yes</v>
      </c>
      <c r="R1343" s="1" t="str">
        <f ca="1">IFERROR(__xludf.DUMMYFUNCTION("""COMPUTED_VALUE"""),"Afternoon Classes")</f>
        <v>Afternoon Classes</v>
      </c>
      <c r="S1343" s="5">
        <f ca="1">IFERROR(__xludf.DUMMYFUNCTION("""COMPUTED_VALUE"""),0.572916666666666)</f>
        <v>0.57291666666666596</v>
      </c>
      <c r="T1343" s="1">
        <f ca="1">IFERROR(__xludf.DUMMYFUNCTION("""COMPUTED_VALUE"""),1)</f>
        <v>1</v>
      </c>
      <c r="U1343" s="1" t="str">
        <f ca="1">IFERROR(__xludf.DUMMYFUNCTION("""COMPUTED_VALUE"""),"Student pulled trigger on gun in officer's holster")</f>
        <v>Student pulled trigger on gun in officer's holster</v>
      </c>
      <c r="V1343" s="1" t="str">
        <f ca="1">IFERROR(__xludf.DUMMYFUNCTION("""COMPUTED_VALUE"""),"3rd grade student pulled the trigger of a handgun in the officers holster and fired a shot into the ground. The officer was sitting on a bench and didn't realize the child was touching the gun. No injuries.")</f>
        <v>3rd grade student pulled the trigger of a handgun in the officers holster and fired a shot into the ground. The officer was sitting on a bench and didn't realize the child was touching the gun. No injuries.</v>
      </c>
      <c r="W1343" s="1" t="str">
        <f ca="1">IFERROR(__xludf.DUMMYFUNCTION("""COMPUTED_VALUE"""),"Accidental")</f>
        <v>Accidental</v>
      </c>
      <c r="X1343" s="1" t="str">
        <f ca="1">IFERROR(__xludf.DUMMYFUNCTION("""COMPUTED_VALUE"""),"Neither")</f>
        <v>Neither</v>
      </c>
      <c r="Y1343" s="1" t="str">
        <f ca="1">IFERROR(__xludf.DUMMYFUNCTION("""COMPUTED_VALUE"""),"No")</f>
        <v>No</v>
      </c>
      <c r="Z1343" s="1"/>
      <c r="AA1343" s="1" t="str">
        <f ca="1">IFERROR(__xludf.DUMMYFUNCTION("""COMPUTED_VALUE"""),"No")</f>
        <v>No</v>
      </c>
      <c r="AB1343" s="1" t="str">
        <f ca="1">IFERROR(__xludf.DUMMYFUNCTION("""COMPUTED_VALUE"""),"No")</f>
        <v>No</v>
      </c>
      <c r="AC1343" s="1" t="str">
        <f ca="1">IFERROR(__xludf.DUMMYFUNCTION("""COMPUTED_VALUE"""),"No")</f>
        <v>No</v>
      </c>
      <c r="AD1343" s="1" t="str">
        <f ca="1">IFERROR(__xludf.DUMMYFUNCTION("""COMPUTED_VALUE"""),"No")</f>
        <v>No</v>
      </c>
      <c r="AE1343" s="1" t="str">
        <f ca="1">IFERROR(__xludf.DUMMYFUNCTION("""COMPUTED_VALUE"""),"No")</f>
        <v>No</v>
      </c>
      <c r="AF1343" s="1" t="str">
        <f ca="1">IFERROR(__xludf.DUMMYFUNCTION("""COMPUTED_VALUE"""),"No")</f>
        <v>No</v>
      </c>
      <c r="AG1343" s="1" t="str">
        <f ca="1">IFERROR(__xludf.DUMMYFUNCTION("""COMPUTED_VALUE"""),"No")</f>
        <v>No</v>
      </c>
      <c r="AH1343" s="1">
        <f ca="1">IFERROR(__xludf.DUMMYFUNCTION("""COMPUTED_VALUE"""),1)</f>
        <v>1</v>
      </c>
    </row>
    <row r="1344" spans="1:34" ht="12.5">
      <c r="A1344" s="1" t="str">
        <f ca="1">IFERROR(__xludf.DUMMYFUNCTION("""COMPUTED_VALUE"""),"20180205MDOXO")</f>
        <v>20180205MDOXO</v>
      </c>
      <c r="B1344" s="1">
        <f ca="1">IFERROR(__xludf.DUMMYFUNCTION("""COMPUTED_VALUE"""),2)</f>
        <v>2</v>
      </c>
      <c r="C1344" s="1">
        <f ca="1">IFERROR(__xludf.DUMMYFUNCTION("""COMPUTED_VALUE"""),5)</f>
        <v>5</v>
      </c>
      <c r="D1344" s="1">
        <f ca="1">IFERROR(__xludf.DUMMYFUNCTION("""COMPUTED_VALUE"""),2018)</f>
        <v>2018</v>
      </c>
      <c r="E1344" s="4">
        <f ca="1">IFERROR(__xludf.DUMMYFUNCTION("""COMPUTED_VALUE"""),43136)</f>
        <v>43136</v>
      </c>
      <c r="F1344" s="1" t="str">
        <f ca="1">IFERROR(__xludf.DUMMYFUNCTION("""COMPUTED_VALUE"""),"Oxon Hill High School")</f>
        <v>Oxon Hill High School</v>
      </c>
      <c r="G1344" s="1">
        <f ca="1">IFERROR(__xludf.DUMMYFUNCTION("""COMPUTED_VALUE"""),0)</f>
        <v>0</v>
      </c>
      <c r="H1344" s="1">
        <f ca="1">IFERROR(__xludf.DUMMYFUNCTION("""COMPUTED_VALUE"""),1)</f>
        <v>1</v>
      </c>
      <c r="I1344" s="1">
        <f ca="1">IFERROR(__xludf.DUMMYFUNCTION("""COMPUTED_VALUE"""),1)</f>
        <v>1</v>
      </c>
      <c r="J1344" s="1">
        <f ca="1">IFERROR(__xludf.DUMMYFUNCTION("""COMPUTED_VALUE"""),0)</f>
        <v>0</v>
      </c>
      <c r="K1344" s="1" t="str">
        <f ca="1">IFERROR(__xludf.DUMMYFUNCTION("""COMPUTED_VALUE"""),"Winter")</f>
        <v>Winter</v>
      </c>
      <c r="L1344" s="1" t="str">
        <f ca="1">IFERROR(__xludf.DUMMYFUNCTION("""COMPUTED_VALUE"""),"Oxon Hill")</f>
        <v>Oxon Hill</v>
      </c>
      <c r="M1344" s="1" t="str">
        <f ca="1">IFERROR(__xludf.DUMMYFUNCTION("""COMPUTED_VALUE"""),"MD")</f>
        <v>MD</v>
      </c>
      <c r="N1344" s="1" t="str">
        <f ca="1">IFERROR(__xludf.DUMMYFUNCTION("""COMPUTED_VALUE"""),"High")</f>
        <v>High</v>
      </c>
      <c r="O1344" s="1" t="str">
        <f ca="1">IFERROR(__xludf.DUMMYFUNCTION("""COMPUTED_VALUE"""),"Parking Lot")</f>
        <v>Parking Lot</v>
      </c>
      <c r="P1344" s="1" t="str">
        <f ca="1">IFERROR(__xludf.DUMMYFUNCTION("""COMPUTED_VALUE"""),"Outside on School Property")</f>
        <v>Outside on School Property</v>
      </c>
      <c r="Q1344" s="1" t="str">
        <f ca="1">IFERROR(__xludf.DUMMYFUNCTION("""COMPUTED_VALUE"""),"No")</f>
        <v>No</v>
      </c>
      <c r="R1344" s="1" t="str">
        <f ca="1">IFERROR(__xludf.DUMMYFUNCTION("""COMPUTED_VALUE"""),"Evening")</f>
        <v>Evening</v>
      </c>
      <c r="S1344" s="1"/>
      <c r="T1344" s="1">
        <f ca="1">IFERROR(__xludf.DUMMYFUNCTION("""COMPUTED_VALUE"""),1)</f>
        <v>1</v>
      </c>
      <c r="U1344" s="1" t="str">
        <f ca="1">IFERROR(__xludf.DUMMYFUNCTION("""COMPUTED_VALUE"""),"Robbery in school parking lot")</f>
        <v>Robbery in school parking lot</v>
      </c>
      <c r="V1344" s="1" t="str">
        <f ca="1">IFERROR(__xludf.DUMMYFUNCTION("""COMPUTED_VALUE"""),"Three suspects attempted to rob the victim by luring him into a car parked on the school's parking lot. The victim was shot and ran to the school for help. The driver, who was the victim's ex-girlfriend, was later arrested along with one of the males.")</f>
        <v>Three suspects attempted to rob the victim by luring him into a car parked on the school's parking lot. The victim was shot and ran to the school for help. The driver, who was the victim's ex-girlfriend, was later arrested along with one of the males.</v>
      </c>
      <c r="W1344" s="1" t="str">
        <f ca="1">IFERROR(__xludf.DUMMYFUNCTION("""COMPUTED_VALUE"""),"Illegal Activity")</f>
        <v>Illegal Activity</v>
      </c>
      <c r="X1344" s="1" t="str">
        <f ca="1">IFERROR(__xludf.DUMMYFUNCTION("""COMPUTED_VALUE"""),"Victims Targeted")</f>
        <v>Victims Targeted</v>
      </c>
      <c r="Y1344" s="1"/>
      <c r="Z1344" s="1"/>
      <c r="AA1344" s="1" t="str">
        <f ca="1">IFERROR(__xludf.DUMMYFUNCTION("""COMPUTED_VALUE"""),"No")</f>
        <v>No</v>
      </c>
      <c r="AB1344" s="1" t="str">
        <f ca="1">IFERROR(__xludf.DUMMYFUNCTION("""COMPUTED_VALUE"""),"No")</f>
        <v>No</v>
      </c>
      <c r="AC1344" s="1" t="str">
        <f ca="1">IFERROR(__xludf.DUMMYFUNCTION("""COMPUTED_VALUE"""),"No")</f>
        <v>No</v>
      </c>
      <c r="AD1344" s="1"/>
      <c r="AE1344" s="1" t="str">
        <f ca="1">IFERROR(__xludf.DUMMYFUNCTION("""COMPUTED_VALUE"""),"No")</f>
        <v>No</v>
      </c>
      <c r="AF1344" s="1" t="str">
        <f ca="1">IFERROR(__xludf.DUMMYFUNCTION("""COMPUTED_VALUE"""),"No")</f>
        <v>No</v>
      </c>
      <c r="AG1344" s="1" t="str">
        <f ca="1">IFERROR(__xludf.DUMMYFUNCTION("""COMPUTED_VALUE"""),"No")</f>
        <v>No</v>
      </c>
      <c r="AH1344" s="1">
        <f ca="1">IFERROR(__xludf.DUMMYFUNCTION("""COMPUTED_VALUE"""),1)</f>
        <v>1</v>
      </c>
    </row>
    <row r="1345" spans="1:34" ht="12.5">
      <c r="A1345" s="1" t="str">
        <f ca="1">IFERROR(__xludf.DUMMYFUNCTION("""COMPUTED_VALUE"""),"20180201CASAL")</f>
        <v>20180201CASAL</v>
      </c>
      <c r="B1345" s="1">
        <f ca="1">IFERROR(__xludf.DUMMYFUNCTION("""COMPUTED_VALUE"""),2)</f>
        <v>2</v>
      </c>
      <c r="C1345" s="1">
        <f ca="1">IFERROR(__xludf.DUMMYFUNCTION("""COMPUTED_VALUE"""),1)</f>
        <v>1</v>
      </c>
      <c r="D1345" s="1">
        <f ca="1">IFERROR(__xludf.DUMMYFUNCTION("""COMPUTED_VALUE"""),2018)</f>
        <v>2018</v>
      </c>
      <c r="E1345" s="4">
        <f ca="1">IFERROR(__xludf.DUMMYFUNCTION("""COMPUTED_VALUE"""),43132)</f>
        <v>43132</v>
      </c>
      <c r="F1345" s="1" t="str">
        <f ca="1">IFERROR(__xludf.DUMMYFUNCTION("""COMPUTED_VALUE"""),"Salvador B. Castro Middle School")</f>
        <v>Salvador B. Castro Middle School</v>
      </c>
      <c r="G1345" s="1">
        <f ca="1">IFERROR(__xludf.DUMMYFUNCTION("""COMPUTED_VALUE"""),0)</f>
        <v>0</v>
      </c>
      <c r="H1345" s="1">
        <f ca="1">IFERROR(__xludf.DUMMYFUNCTION("""COMPUTED_VALUE"""),2)</f>
        <v>2</v>
      </c>
      <c r="I1345" s="1">
        <f ca="1">IFERROR(__xludf.DUMMYFUNCTION("""COMPUTED_VALUE"""),2)</f>
        <v>2</v>
      </c>
      <c r="J1345" s="1">
        <f ca="1">IFERROR(__xludf.DUMMYFUNCTION("""COMPUTED_VALUE"""),0)</f>
        <v>0</v>
      </c>
      <c r="K1345" s="1" t="str">
        <f ca="1">IFERROR(__xludf.DUMMYFUNCTION("""COMPUTED_VALUE"""),"Winter")</f>
        <v>Winter</v>
      </c>
      <c r="L1345" s="1" t="str">
        <f ca="1">IFERROR(__xludf.DUMMYFUNCTION("""COMPUTED_VALUE"""),"Los Angeles")</f>
        <v>Los Angeles</v>
      </c>
      <c r="M1345" s="1" t="str">
        <f ca="1">IFERROR(__xludf.DUMMYFUNCTION("""COMPUTED_VALUE"""),"CA")</f>
        <v>CA</v>
      </c>
      <c r="N1345" s="1" t="str">
        <f ca="1">IFERROR(__xludf.DUMMYFUNCTION("""COMPUTED_VALUE"""),"Middle")</f>
        <v>Middle</v>
      </c>
      <c r="O1345" s="1" t="str">
        <f ca="1">IFERROR(__xludf.DUMMYFUNCTION("""COMPUTED_VALUE"""),"Classroom")</f>
        <v>Classroom</v>
      </c>
      <c r="P1345" s="1" t="str">
        <f ca="1">IFERROR(__xludf.DUMMYFUNCTION("""COMPUTED_VALUE"""),"Inside School Building")</f>
        <v>Inside School Building</v>
      </c>
      <c r="Q1345" s="1" t="str">
        <f ca="1">IFERROR(__xludf.DUMMYFUNCTION("""COMPUTED_VALUE"""),"Yes")</f>
        <v>Yes</v>
      </c>
      <c r="R1345" s="1" t="str">
        <f ca="1">IFERROR(__xludf.DUMMYFUNCTION("""COMPUTED_VALUE"""),"Morning Classes")</f>
        <v>Morning Classes</v>
      </c>
      <c r="S1345" s="5">
        <f ca="1">IFERROR(__xludf.DUMMYFUNCTION("""COMPUTED_VALUE"""),0.371527777777777)</f>
        <v>0.37152777777777701</v>
      </c>
      <c r="T1345" s="1">
        <f ca="1">IFERROR(__xludf.DUMMYFUNCTION("""COMPUTED_VALUE"""),1)</f>
        <v>1</v>
      </c>
      <c r="U1345" s="1" t="str">
        <f ca="1">IFERROR(__xludf.DUMMYFUNCTION("""COMPUTED_VALUE"""),"Accidental Discharge Inside of Backpack; possible bullying")</f>
        <v>Accidental Discharge Inside of Backpack; possible bullying</v>
      </c>
      <c r="V1345" s="1" t="str">
        <f ca="1">IFERROR(__xludf.DUMMYFUNCTION("""COMPUTED_VALUE"""),"Gun inside 12-year-old female student's backpack discharged inside the classroom striking two students. Two other students and a teacher suffered minor abrasions. Shooter may have been bullied and showed the gun off to other students that day.")</f>
        <v>Gun inside 12-year-old female student's backpack discharged inside the classroom striking two students. Two other students and a teacher suffered minor abrasions. Shooter may have been bullied and showed the gun off to other students that day.</v>
      </c>
      <c r="W1345" s="1" t="str">
        <f ca="1">IFERROR(__xludf.DUMMYFUNCTION("""COMPUTED_VALUE"""),"Accidental")</f>
        <v>Accidental</v>
      </c>
      <c r="X1345" s="1" t="str">
        <f ca="1">IFERROR(__xludf.DUMMYFUNCTION("""COMPUTED_VALUE"""),"Random Shooting")</f>
        <v>Random Shooting</v>
      </c>
      <c r="Y1345" s="1" t="str">
        <f ca="1">IFERROR(__xludf.DUMMYFUNCTION("""COMPUTED_VALUE"""),"No")</f>
        <v>No</v>
      </c>
      <c r="Z1345" s="1"/>
      <c r="AA1345" s="1" t="str">
        <f ca="1">IFERROR(__xludf.DUMMYFUNCTION("""COMPUTED_VALUE"""),"No")</f>
        <v>No</v>
      </c>
      <c r="AB1345" s="1" t="str">
        <f ca="1">IFERROR(__xludf.DUMMYFUNCTION("""COMPUTED_VALUE"""),"No")</f>
        <v>No</v>
      </c>
      <c r="AC1345" s="1" t="str">
        <f ca="1">IFERROR(__xludf.DUMMYFUNCTION("""COMPUTED_VALUE"""),"No")</f>
        <v>No</v>
      </c>
      <c r="AD1345" s="1" t="str">
        <f ca="1">IFERROR(__xludf.DUMMYFUNCTION("""COMPUTED_VALUE"""),"Yes")</f>
        <v>Yes</v>
      </c>
      <c r="AE1345" s="1" t="str">
        <f ca="1">IFERROR(__xludf.DUMMYFUNCTION("""COMPUTED_VALUE"""),"No")</f>
        <v>No</v>
      </c>
      <c r="AF1345" s="1" t="str">
        <f ca="1">IFERROR(__xludf.DUMMYFUNCTION("""COMPUTED_VALUE"""),"No")</f>
        <v>No</v>
      </c>
      <c r="AG1345" s="1" t="str">
        <f ca="1">IFERROR(__xludf.DUMMYFUNCTION("""COMPUTED_VALUE"""),"No")</f>
        <v>No</v>
      </c>
      <c r="AH1345" s="1">
        <f ca="1">IFERROR(__xludf.DUMMYFUNCTION("""COMPUTED_VALUE"""),1)</f>
        <v>1</v>
      </c>
    </row>
    <row r="1346" spans="1:34" ht="12.5">
      <c r="A1346" s="1" t="str">
        <f ca="1">IFERROR(__xludf.DUMMYFUNCTION("""COMPUTED_VALUE"""),"20180131PALIP")</f>
        <v>20180131PALIP</v>
      </c>
      <c r="B1346" s="1">
        <f ca="1">IFERROR(__xludf.DUMMYFUNCTION("""COMPUTED_VALUE"""),1)</f>
        <v>1</v>
      </c>
      <c r="C1346" s="1">
        <f ca="1">IFERROR(__xludf.DUMMYFUNCTION("""COMPUTED_VALUE"""),31)</f>
        <v>31</v>
      </c>
      <c r="D1346" s="1">
        <f ca="1">IFERROR(__xludf.DUMMYFUNCTION("""COMPUTED_VALUE"""),2018)</f>
        <v>2018</v>
      </c>
      <c r="E1346" s="4">
        <f ca="1">IFERROR(__xludf.DUMMYFUNCTION("""COMPUTED_VALUE"""),43131)</f>
        <v>43131</v>
      </c>
      <c r="F1346" s="1" t="str">
        <f ca="1">IFERROR(__xludf.DUMMYFUNCTION("""COMPUTED_VALUE"""),"Lincoln High School")</f>
        <v>Lincoln High School</v>
      </c>
      <c r="G1346" s="1">
        <f ca="1">IFERROR(__xludf.DUMMYFUNCTION("""COMPUTED_VALUE"""),1)</f>
        <v>1</v>
      </c>
      <c r="H1346" s="1">
        <f ca="1">IFERROR(__xludf.DUMMYFUNCTION("""COMPUTED_VALUE"""),0)</f>
        <v>0</v>
      </c>
      <c r="I1346" s="1">
        <f ca="1">IFERROR(__xludf.DUMMYFUNCTION("""COMPUTED_VALUE"""),1)</f>
        <v>1</v>
      </c>
      <c r="J1346" s="1">
        <f ca="1">IFERROR(__xludf.DUMMYFUNCTION("""COMPUTED_VALUE"""),0)</f>
        <v>0</v>
      </c>
      <c r="K1346" s="1" t="str">
        <f ca="1">IFERROR(__xludf.DUMMYFUNCTION("""COMPUTED_VALUE"""),"Winter")</f>
        <v>Winter</v>
      </c>
      <c r="L1346" s="1" t="str">
        <f ca="1">IFERROR(__xludf.DUMMYFUNCTION("""COMPUTED_VALUE"""),"Philadelphia")</f>
        <v>Philadelphia</v>
      </c>
      <c r="M1346" s="1" t="str">
        <f ca="1">IFERROR(__xludf.DUMMYFUNCTION("""COMPUTED_VALUE"""),"PA")</f>
        <v>PA</v>
      </c>
      <c r="N1346" s="1" t="str">
        <f ca="1">IFERROR(__xludf.DUMMYFUNCTION("""COMPUTED_VALUE"""),"High")</f>
        <v>High</v>
      </c>
      <c r="O1346" s="1" t="str">
        <f ca="1">IFERROR(__xludf.DUMMYFUNCTION("""COMPUTED_VALUE"""),"Parking Lot")</f>
        <v>Parking Lot</v>
      </c>
      <c r="P1346" s="1" t="str">
        <f ca="1">IFERROR(__xludf.DUMMYFUNCTION("""COMPUTED_VALUE"""),"Outside on School Property")</f>
        <v>Outside on School Property</v>
      </c>
      <c r="Q1346" s="1" t="str">
        <f ca="1">IFERROR(__xludf.DUMMYFUNCTION("""COMPUTED_VALUE"""),"No")</f>
        <v>No</v>
      </c>
      <c r="R1346" s="1" t="str">
        <f ca="1">IFERROR(__xludf.DUMMYFUNCTION("""COMPUTED_VALUE"""),"Sport Event")</f>
        <v>Sport Event</v>
      </c>
      <c r="S1346" s="5">
        <f ca="1">IFERROR(__xludf.DUMMYFUNCTION("""COMPUTED_VALUE"""),0.660416666666666)</f>
        <v>0.66041666666666599</v>
      </c>
      <c r="T1346" s="1">
        <f ca="1">IFERROR(__xludf.DUMMYFUNCTION("""COMPUTED_VALUE"""),1)</f>
        <v>1</v>
      </c>
      <c r="U1346" s="1" t="str">
        <f ca="1">IFERROR(__xludf.DUMMYFUNCTION("""COMPUTED_VALUE"""),"Fight in parking lot after basketball game")</f>
        <v>Fight in parking lot after basketball game</v>
      </c>
      <c r="V1346" s="1" t="str">
        <f ca="1">IFERROR(__xludf.DUMMYFUNCTION("""COMPUTED_VALUE"""),"Large fight in parking lot following basketball game between rival schools. Shots were fired from at least 3 different weapons. 32 year old male not involved in the fights was struck and killed. No suspects identified.")</f>
        <v>Large fight in parking lot following basketball game between rival schools. Shots were fired from at least 3 different weapons. 32 year old male not involved in the fights was struck and killed. No suspects identified.</v>
      </c>
      <c r="W1346" s="1" t="str">
        <f ca="1">IFERROR(__xludf.DUMMYFUNCTION("""COMPUTED_VALUE"""),"Escalation of Dispute")</f>
        <v>Escalation of Dispute</v>
      </c>
      <c r="X1346" s="1" t="str">
        <f ca="1">IFERROR(__xludf.DUMMYFUNCTION("""COMPUTED_VALUE"""),"Random Shooting")</f>
        <v>Random Shooting</v>
      </c>
      <c r="Y1346" s="1"/>
      <c r="Z1346" s="1"/>
      <c r="AA1346" s="1" t="str">
        <f ca="1">IFERROR(__xludf.DUMMYFUNCTION("""COMPUTED_VALUE"""),"No")</f>
        <v>No</v>
      </c>
      <c r="AB1346" s="1" t="str">
        <f ca="1">IFERROR(__xludf.DUMMYFUNCTION("""COMPUTED_VALUE"""),"No")</f>
        <v>No</v>
      </c>
      <c r="AC1346" s="1" t="str">
        <f ca="1">IFERROR(__xludf.DUMMYFUNCTION("""COMPUTED_VALUE"""),"No")</f>
        <v>No</v>
      </c>
      <c r="AD1346" s="1"/>
      <c r="AE1346" s="1" t="str">
        <f ca="1">IFERROR(__xludf.DUMMYFUNCTION("""COMPUTED_VALUE"""),"No")</f>
        <v>No</v>
      </c>
      <c r="AF1346" s="1" t="str">
        <f ca="1">IFERROR(__xludf.DUMMYFUNCTION("""COMPUTED_VALUE"""),"Yes")</f>
        <v>Yes</v>
      </c>
      <c r="AG1346" s="1" t="str">
        <f ca="1">IFERROR(__xludf.DUMMYFUNCTION("""COMPUTED_VALUE"""),"No")</f>
        <v>No</v>
      </c>
      <c r="AH1346" s="1"/>
    </row>
    <row r="1347" spans="1:34" ht="12.5">
      <c r="A1347" s="1" t="str">
        <f ca="1">IFERROR(__xludf.DUMMYFUNCTION("""COMPUTED_VALUE"""),"20180126MIDED")</f>
        <v>20180126MIDED</v>
      </c>
      <c r="B1347" s="1">
        <f ca="1">IFERROR(__xludf.DUMMYFUNCTION("""COMPUTED_VALUE"""),1)</f>
        <v>1</v>
      </c>
      <c r="C1347" s="1">
        <f ca="1">IFERROR(__xludf.DUMMYFUNCTION("""COMPUTED_VALUE"""),26)</f>
        <v>26</v>
      </c>
      <c r="D1347" s="1">
        <f ca="1">IFERROR(__xludf.DUMMYFUNCTION("""COMPUTED_VALUE"""),2018)</f>
        <v>2018</v>
      </c>
      <c r="E1347" s="4">
        <f ca="1">IFERROR(__xludf.DUMMYFUNCTION("""COMPUTED_VALUE"""),43126)</f>
        <v>43126</v>
      </c>
      <c r="F1347" s="1" t="str">
        <f ca="1">IFERROR(__xludf.DUMMYFUNCTION("""COMPUTED_VALUE"""),"Dearborn High School")</f>
        <v>Dearborn High School</v>
      </c>
      <c r="G1347" s="1">
        <f ca="1">IFERROR(__xludf.DUMMYFUNCTION("""COMPUTED_VALUE"""),0)</f>
        <v>0</v>
      </c>
      <c r="H1347" s="1">
        <f ca="1">IFERROR(__xludf.DUMMYFUNCTION("""COMPUTED_VALUE"""),0)</f>
        <v>0</v>
      </c>
      <c r="I1347" s="1">
        <f ca="1">IFERROR(__xludf.DUMMYFUNCTION("""COMPUTED_VALUE"""),0)</f>
        <v>0</v>
      </c>
      <c r="J1347" s="1">
        <f ca="1">IFERROR(__xludf.DUMMYFUNCTION("""COMPUTED_VALUE"""),0)</f>
        <v>0</v>
      </c>
      <c r="K1347" s="1" t="str">
        <f ca="1">IFERROR(__xludf.DUMMYFUNCTION("""COMPUTED_VALUE"""),"Winter")</f>
        <v>Winter</v>
      </c>
      <c r="L1347" s="1" t="str">
        <f ca="1">IFERROR(__xludf.DUMMYFUNCTION("""COMPUTED_VALUE"""),"Dearborn")</f>
        <v>Dearborn</v>
      </c>
      <c r="M1347" s="1" t="str">
        <f ca="1">IFERROR(__xludf.DUMMYFUNCTION("""COMPUTED_VALUE"""),"MI")</f>
        <v>MI</v>
      </c>
      <c r="N1347" s="1" t="str">
        <f ca="1">IFERROR(__xludf.DUMMYFUNCTION("""COMPUTED_VALUE"""),"High")</f>
        <v>High</v>
      </c>
      <c r="O1347" s="1" t="str">
        <f ca="1">IFERROR(__xludf.DUMMYFUNCTION("""COMPUTED_VALUE"""),"Parking Lot")</f>
        <v>Parking Lot</v>
      </c>
      <c r="P1347" s="1" t="str">
        <f ca="1">IFERROR(__xludf.DUMMYFUNCTION("""COMPUTED_VALUE"""),"Outside on School Property")</f>
        <v>Outside on School Property</v>
      </c>
      <c r="Q1347" s="1" t="str">
        <f ca="1">IFERROR(__xludf.DUMMYFUNCTION("""COMPUTED_VALUE"""),"No")</f>
        <v>No</v>
      </c>
      <c r="R1347" s="1" t="str">
        <f ca="1">IFERROR(__xludf.DUMMYFUNCTION("""COMPUTED_VALUE"""),"Sport Event")</f>
        <v>Sport Event</v>
      </c>
      <c r="S1347" s="5">
        <f ca="1">IFERROR(__xludf.DUMMYFUNCTION("""COMPUTED_VALUE"""),0.833333333333333)</f>
        <v>0.83333333333333304</v>
      </c>
      <c r="T1347" s="1">
        <f ca="1">IFERROR(__xludf.DUMMYFUNCTION("""COMPUTED_VALUE"""),1)</f>
        <v>1</v>
      </c>
      <c r="U1347" s="1" t="str">
        <f ca="1">IFERROR(__xludf.DUMMYFUNCTION("""COMPUTED_VALUE"""),"Fight in the hallway between students resulted in shooting in the parking lot")</f>
        <v>Fight in the hallway between students resulted in shooting in the parking lot</v>
      </c>
      <c r="V1347" s="1" t="str">
        <f ca="1">IFERROR(__xludf.DUMMYFUNCTION("""COMPUTED_VALUE"""),"Fight in the hallway of the school during a basketball game. Fight involved students from two different schools. Shots were fired later in the parking lot but no one was injured. Unknown suspect.")</f>
        <v>Fight in the hallway of the school during a basketball game. Fight involved students from two different schools. Shots were fired later in the parking lot but no one was injured. Unknown suspect.</v>
      </c>
      <c r="W1347" s="1" t="str">
        <f ca="1">IFERROR(__xludf.DUMMYFUNCTION("""COMPUTED_VALUE"""),"Escalation of Dispute")</f>
        <v>Escalation of Dispute</v>
      </c>
      <c r="X1347" s="1"/>
      <c r="Y1347" s="1" t="str">
        <f ca="1">IFERROR(__xludf.DUMMYFUNCTION("""COMPUTED_VALUE"""),"Yes")</f>
        <v>Yes</v>
      </c>
      <c r="Z1347" s="1" t="str">
        <f ca="1">IFERROR(__xludf.DUMMYFUNCTION("""COMPUTED_VALUE"""),"Group of students")</f>
        <v>Group of students</v>
      </c>
      <c r="AA1347" s="1" t="str">
        <f ca="1">IFERROR(__xludf.DUMMYFUNCTION("""COMPUTED_VALUE"""),"No")</f>
        <v>No</v>
      </c>
      <c r="AB1347" s="1" t="str">
        <f ca="1">IFERROR(__xludf.DUMMYFUNCTION("""COMPUTED_VALUE"""),"No")</f>
        <v>No</v>
      </c>
      <c r="AC1347" s="1" t="str">
        <f ca="1">IFERROR(__xludf.DUMMYFUNCTION("""COMPUTED_VALUE"""),"No")</f>
        <v>No</v>
      </c>
      <c r="AD1347" s="1" t="str">
        <f ca="1">IFERROR(__xludf.DUMMYFUNCTION("""COMPUTED_VALUE"""),"No")</f>
        <v>No</v>
      </c>
      <c r="AE1347" s="1" t="str">
        <f ca="1">IFERROR(__xludf.DUMMYFUNCTION("""COMPUTED_VALUE"""),"No")</f>
        <v>No</v>
      </c>
      <c r="AF1347" s="1" t="str">
        <f ca="1">IFERROR(__xludf.DUMMYFUNCTION("""COMPUTED_VALUE"""),"Yes")</f>
        <v>Yes</v>
      </c>
      <c r="AG1347" s="1" t="str">
        <f ca="1">IFERROR(__xludf.DUMMYFUNCTION("""COMPUTED_VALUE"""),"No")</f>
        <v>No</v>
      </c>
      <c r="AH1347" s="1"/>
    </row>
    <row r="1348" spans="1:34" ht="12.5">
      <c r="A1348" s="1" t="str">
        <f ca="1">IFERROR(__xludf.DUMMYFUNCTION("""COMPUTED_VALUE"""),"20180125ALMUM")</f>
        <v>20180125ALMUM</v>
      </c>
      <c r="B1348" s="1">
        <f ca="1">IFERROR(__xludf.DUMMYFUNCTION("""COMPUTED_VALUE"""),1)</f>
        <v>1</v>
      </c>
      <c r="C1348" s="1">
        <f ca="1">IFERROR(__xludf.DUMMYFUNCTION("""COMPUTED_VALUE"""),25)</f>
        <v>25</v>
      </c>
      <c r="D1348" s="1">
        <f ca="1">IFERROR(__xludf.DUMMYFUNCTION("""COMPUTED_VALUE"""),2018)</f>
        <v>2018</v>
      </c>
      <c r="E1348" s="4">
        <f ca="1">IFERROR(__xludf.DUMMYFUNCTION("""COMPUTED_VALUE"""),43125)</f>
        <v>43125</v>
      </c>
      <c r="F1348" s="1" t="str">
        <f ca="1">IFERROR(__xludf.DUMMYFUNCTION("""COMPUTED_VALUE"""),"Murphy High School")</f>
        <v>Murphy High School</v>
      </c>
      <c r="G1348" s="1">
        <f ca="1">IFERROR(__xludf.DUMMYFUNCTION("""COMPUTED_VALUE"""),0)</f>
        <v>0</v>
      </c>
      <c r="H1348" s="1">
        <f ca="1">IFERROR(__xludf.DUMMYFUNCTION("""COMPUTED_VALUE"""),0)</f>
        <v>0</v>
      </c>
      <c r="I1348" s="1">
        <f ca="1">IFERROR(__xludf.DUMMYFUNCTION("""COMPUTED_VALUE"""),0)</f>
        <v>0</v>
      </c>
      <c r="J1348" s="1">
        <f ca="1">IFERROR(__xludf.DUMMYFUNCTION("""COMPUTED_VALUE"""),0)</f>
        <v>0</v>
      </c>
      <c r="K1348" s="1" t="str">
        <f ca="1">IFERROR(__xludf.DUMMYFUNCTION("""COMPUTED_VALUE"""),"Winter")</f>
        <v>Winter</v>
      </c>
      <c r="L1348" s="1" t="str">
        <f ca="1">IFERROR(__xludf.DUMMYFUNCTION("""COMPUTED_VALUE"""),"Mobile")</f>
        <v>Mobile</v>
      </c>
      <c r="M1348" s="1" t="str">
        <f ca="1">IFERROR(__xludf.DUMMYFUNCTION("""COMPUTED_VALUE"""),"AL")</f>
        <v>AL</v>
      </c>
      <c r="N1348" s="1" t="str">
        <f ca="1">IFERROR(__xludf.DUMMYFUNCTION("""COMPUTED_VALUE"""),"High")</f>
        <v>High</v>
      </c>
      <c r="O1348" s="1" t="str">
        <f ca="1">IFERROR(__xludf.DUMMYFUNCTION("""COMPUTED_VALUE"""),"Beside Building")</f>
        <v>Beside Building</v>
      </c>
      <c r="P1348" s="1" t="str">
        <f ca="1">IFERROR(__xludf.DUMMYFUNCTION("""COMPUTED_VALUE"""),"Outside on School Property")</f>
        <v>Outside on School Property</v>
      </c>
      <c r="Q1348" s="1" t="str">
        <f ca="1">IFERROR(__xludf.DUMMYFUNCTION("""COMPUTED_VALUE"""),"Yes")</f>
        <v>Yes</v>
      </c>
      <c r="R1348" s="1" t="str">
        <f ca="1">IFERROR(__xludf.DUMMYFUNCTION("""COMPUTED_VALUE"""),"Morning Classes")</f>
        <v>Morning Classes</v>
      </c>
      <c r="S1348" s="5">
        <f ca="1">IFERROR(__xludf.DUMMYFUNCTION("""COMPUTED_VALUE"""),0.472222222222222)</f>
        <v>0.47222222222222199</v>
      </c>
      <c r="T1348" s="1">
        <f ca="1">IFERROR(__xludf.DUMMYFUNCTION("""COMPUTED_VALUE"""),1)</f>
        <v>1</v>
      </c>
      <c r="U1348" s="1" t="str">
        <f ca="1">IFERROR(__xludf.DUMMYFUNCTION("""COMPUTED_VALUE"""),"Argument escalated")</f>
        <v>Argument escalated</v>
      </c>
      <c r="V1348" s="1" t="str">
        <f ca="1">IFERROR(__xludf.DUMMYFUNCTION("""COMPUTED_VALUE"""),"An altercation between 2 students escalated, shooter pulled a gun and pointed it at the other student and members of the staff, who were trying to calm him down. Shooter went outside and shot several shots in the air. School principal also engaged the sho"&amp;"oter, who was arrested shortly after. School went on lockdown immediately after the shots were fired. No one was hurt.")</f>
        <v>An altercation between 2 students escalated, shooter pulled a gun and pointed it at the other student and members of the staff, who were trying to calm him down. Shooter went outside and shot several shots in the air. School principal also engaged the shooter, who was arrested shortly after. School went on lockdown immediately after the shots were fired. No one was hurt.</v>
      </c>
      <c r="W1348" s="1" t="str">
        <f ca="1">IFERROR(__xludf.DUMMYFUNCTION("""COMPUTED_VALUE"""),"Escalation of Dispute")</f>
        <v>Escalation of Dispute</v>
      </c>
      <c r="X1348" s="1" t="str">
        <f ca="1">IFERROR(__xludf.DUMMYFUNCTION("""COMPUTED_VALUE"""),"Victims Targeted")</f>
        <v>Victims Targeted</v>
      </c>
      <c r="Y1348" s="1" t="str">
        <f ca="1">IFERROR(__xludf.DUMMYFUNCTION("""COMPUTED_VALUE"""),"No")</f>
        <v>No</v>
      </c>
      <c r="Z1348" s="1"/>
      <c r="AA1348" s="1" t="str">
        <f ca="1">IFERROR(__xludf.DUMMYFUNCTION("""COMPUTED_VALUE"""),"No")</f>
        <v>No</v>
      </c>
      <c r="AB1348" s="1" t="str">
        <f ca="1">IFERROR(__xludf.DUMMYFUNCTION("""COMPUTED_VALUE"""),"No")</f>
        <v>No</v>
      </c>
      <c r="AC1348" s="1" t="str">
        <f ca="1">IFERROR(__xludf.DUMMYFUNCTION("""COMPUTED_VALUE"""),"No")</f>
        <v>No</v>
      </c>
      <c r="AD1348" s="1"/>
      <c r="AE1348" s="1" t="str">
        <f ca="1">IFERROR(__xludf.DUMMYFUNCTION("""COMPUTED_VALUE"""),"No")</f>
        <v>No</v>
      </c>
      <c r="AF1348" s="1" t="str">
        <f ca="1">IFERROR(__xludf.DUMMYFUNCTION("""COMPUTED_VALUE"""),"No")</f>
        <v>No</v>
      </c>
      <c r="AG1348" s="1" t="str">
        <f ca="1">IFERROR(__xludf.DUMMYFUNCTION("""COMPUTED_VALUE"""),"No")</f>
        <v>No</v>
      </c>
      <c r="AH1348" s="1"/>
    </row>
    <row r="1349" spans="1:34" ht="12.5">
      <c r="A1349" s="1" t="str">
        <f ca="1">IFERROR(__xludf.DUMMYFUNCTION("""COMPUTED_VALUE"""),"20180123KYMAB")</f>
        <v>20180123KYMAB</v>
      </c>
      <c r="B1349" s="1">
        <f ca="1">IFERROR(__xludf.DUMMYFUNCTION("""COMPUTED_VALUE"""),1)</f>
        <v>1</v>
      </c>
      <c r="C1349" s="1">
        <f ca="1">IFERROR(__xludf.DUMMYFUNCTION("""COMPUTED_VALUE"""),23)</f>
        <v>23</v>
      </c>
      <c r="D1349" s="1">
        <f ca="1">IFERROR(__xludf.DUMMYFUNCTION("""COMPUTED_VALUE"""),2018)</f>
        <v>2018</v>
      </c>
      <c r="E1349" s="4">
        <f ca="1">IFERROR(__xludf.DUMMYFUNCTION("""COMPUTED_VALUE"""),43123)</f>
        <v>43123</v>
      </c>
      <c r="F1349" s="1" t="str">
        <f ca="1">IFERROR(__xludf.DUMMYFUNCTION("""COMPUTED_VALUE"""),"Marshall County High School")</f>
        <v>Marshall County High School</v>
      </c>
      <c r="G1349" s="1">
        <f ca="1">IFERROR(__xludf.DUMMYFUNCTION("""COMPUTED_VALUE"""),2)</f>
        <v>2</v>
      </c>
      <c r="H1349" s="1">
        <f ca="1">IFERROR(__xludf.DUMMYFUNCTION("""COMPUTED_VALUE"""),18)</f>
        <v>18</v>
      </c>
      <c r="I1349" s="1">
        <f ca="1">IFERROR(__xludf.DUMMYFUNCTION("""COMPUTED_VALUE"""),20)</f>
        <v>20</v>
      </c>
      <c r="J1349" s="1">
        <f ca="1">IFERROR(__xludf.DUMMYFUNCTION("""COMPUTED_VALUE"""),0)</f>
        <v>0</v>
      </c>
      <c r="K1349" s="1" t="str">
        <f ca="1">IFERROR(__xludf.DUMMYFUNCTION("""COMPUTED_VALUE"""),"Winter")</f>
        <v>Winter</v>
      </c>
      <c r="L1349" s="1" t="str">
        <f ca="1">IFERROR(__xludf.DUMMYFUNCTION("""COMPUTED_VALUE"""),"Benton")</f>
        <v>Benton</v>
      </c>
      <c r="M1349" s="1" t="str">
        <f ca="1">IFERROR(__xludf.DUMMYFUNCTION("""COMPUTED_VALUE"""),"KY")</f>
        <v>KY</v>
      </c>
      <c r="N1349" s="1" t="str">
        <f ca="1">IFERROR(__xludf.DUMMYFUNCTION("""COMPUTED_VALUE"""),"High")</f>
        <v>High</v>
      </c>
      <c r="O1349" s="1" t="str">
        <f ca="1">IFERROR(__xludf.DUMMYFUNCTION("""COMPUTED_VALUE"""),"Hallway")</f>
        <v>Hallway</v>
      </c>
      <c r="P1349" s="1" t="str">
        <f ca="1">IFERROR(__xludf.DUMMYFUNCTION("""COMPUTED_VALUE"""),"Inside School Building")</f>
        <v>Inside School Building</v>
      </c>
      <c r="Q1349" s="1" t="str">
        <f ca="1">IFERROR(__xludf.DUMMYFUNCTION("""COMPUTED_VALUE"""),"Yes")</f>
        <v>Yes</v>
      </c>
      <c r="R1349" s="1" t="str">
        <f ca="1">IFERROR(__xludf.DUMMYFUNCTION("""COMPUTED_VALUE"""),"School Start")</f>
        <v>School Start</v>
      </c>
      <c r="S1349" s="5">
        <f ca="1">IFERROR(__xludf.DUMMYFUNCTION("""COMPUTED_VALUE"""),0.33125)</f>
        <v>0.33124999999999999</v>
      </c>
      <c r="T1349" s="1">
        <f ca="1">IFERROR(__xludf.DUMMYFUNCTION("""COMPUTED_VALUE"""),3)</f>
        <v>3</v>
      </c>
      <c r="U1349" s="1" t="str">
        <f ca="1">IFERROR(__xludf.DUMMYFUNCTION("""COMPUTED_VALUE"""),"Planned attack. Shooting was science experiment to see how people reacted; belief human life has no purpose.")</f>
        <v>Planned attack. Shooting was science experiment to see how people reacted; belief human life has no purpose.</v>
      </c>
      <c r="V1349" s="1" t="str">
        <f ca="1">IFERROR(__xludf.DUMMYFUNCTION("""COMPUTED_VALUE"""),"Shooter brought a gun, 2 mags, and a hunting knife to school to defend self from students after he ran out of bullets. Started shooting inside the building.Told police he had been thinking about shooting for week. After he stopped shooting, heevacuated wi"&amp;"th the other students then surrendered without fighting. Thought about suicide but didn't want additional trauma to his family. Played games related to WW2. Interested in science and thought of the shooting as an experiment to test reactions, and was curi"&amp;"ous about prison life. Step-sister claims he was bullied.")</f>
        <v>Shooter brought a gun, 2 mags, and a hunting knife to school to defend self from students after he ran out of bullets. Started shooting inside the building.Told police he had been thinking about shooting for week. After he stopped shooting, heevacuated with the other students then surrendered without fighting. Thought about suicide but didn't want additional trauma to his family. Played games related to WW2. Interested in science and thought of the shooting as an experiment to test reactions, and was curious about prison life. Step-sister claims he was bullied.</v>
      </c>
      <c r="W1349" s="1" t="str">
        <f ca="1">IFERROR(__xludf.DUMMYFUNCTION("""COMPUTED_VALUE"""),"Indiscriminate Shooting")</f>
        <v>Indiscriminate Shooting</v>
      </c>
      <c r="X1349" s="1" t="str">
        <f ca="1">IFERROR(__xludf.DUMMYFUNCTION("""COMPUTED_VALUE"""),"Random Shooting")</f>
        <v>Random Shooting</v>
      </c>
      <c r="Y1349" s="1" t="str">
        <f ca="1">IFERROR(__xludf.DUMMYFUNCTION("""COMPUTED_VALUE"""),"No")</f>
        <v>No</v>
      </c>
      <c r="Z1349" s="1"/>
      <c r="AA1349" s="1" t="str">
        <f ca="1">IFERROR(__xludf.DUMMYFUNCTION("""COMPUTED_VALUE"""),"No")</f>
        <v>No</v>
      </c>
      <c r="AB1349" s="1" t="str">
        <f ca="1">IFERROR(__xludf.DUMMYFUNCTION("""COMPUTED_VALUE"""),"No")</f>
        <v>No</v>
      </c>
      <c r="AC1349" s="1" t="str">
        <f ca="1">IFERROR(__xludf.DUMMYFUNCTION("""COMPUTED_VALUE"""),"No")</f>
        <v>No</v>
      </c>
      <c r="AD1349" s="1"/>
      <c r="AE1349" s="1" t="str">
        <f ca="1">IFERROR(__xludf.DUMMYFUNCTION("""COMPUTED_VALUE"""),"No")</f>
        <v>No</v>
      </c>
      <c r="AF1349" s="1" t="str">
        <f ca="1">IFERROR(__xludf.DUMMYFUNCTION("""COMPUTED_VALUE"""),"No")</f>
        <v>No</v>
      </c>
      <c r="AG1349" s="1" t="str">
        <f ca="1">IFERROR(__xludf.DUMMYFUNCTION("""COMPUTED_VALUE"""),"Yes")</f>
        <v>Yes</v>
      </c>
      <c r="AH1349" s="1"/>
    </row>
    <row r="1350" spans="1:34" ht="12.5">
      <c r="A1350" s="1" t="str">
        <f ca="1">IFERROR(__xludf.DUMMYFUNCTION("""COMPUTED_VALUE"""),"20180122TXITI")</f>
        <v>20180122TXITI</v>
      </c>
      <c r="B1350" s="1">
        <f ca="1">IFERROR(__xludf.DUMMYFUNCTION("""COMPUTED_VALUE"""),1)</f>
        <v>1</v>
      </c>
      <c r="C1350" s="1">
        <f ca="1">IFERROR(__xludf.DUMMYFUNCTION("""COMPUTED_VALUE"""),22)</f>
        <v>22</v>
      </c>
      <c r="D1350" s="1">
        <f ca="1">IFERROR(__xludf.DUMMYFUNCTION("""COMPUTED_VALUE"""),2018)</f>
        <v>2018</v>
      </c>
      <c r="E1350" s="4">
        <f ca="1">IFERROR(__xludf.DUMMYFUNCTION("""COMPUTED_VALUE"""),43122)</f>
        <v>43122</v>
      </c>
      <c r="F1350" s="1" t="str">
        <f ca="1">IFERROR(__xludf.DUMMYFUNCTION("""COMPUTED_VALUE"""),"Italy High School")</f>
        <v>Italy High School</v>
      </c>
      <c r="G1350" s="1">
        <f ca="1">IFERROR(__xludf.DUMMYFUNCTION("""COMPUTED_VALUE"""),0)</f>
        <v>0</v>
      </c>
      <c r="H1350" s="1">
        <f ca="1">IFERROR(__xludf.DUMMYFUNCTION("""COMPUTED_VALUE"""),1)</f>
        <v>1</v>
      </c>
      <c r="I1350" s="1">
        <f ca="1">IFERROR(__xludf.DUMMYFUNCTION("""COMPUTED_VALUE"""),1)</f>
        <v>1</v>
      </c>
      <c r="J1350" s="1">
        <f ca="1">IFERROR(__xludf.DUMMYFUNCTION("""COMPUTED_VALUE"""),0)</f>
        <v>0</v>
      </c>
      <c r="K1350" s="1" t="str">
        <f ca="1">IFERROR(__xludf.DUMMYFUNCTION("""COMPUTED_VALUE"""),"Winter")</f>
        <v>Winter</v>
      </c>
      <c r="L1350" s="1" t="str">
        <f ca="1">IFERROR(__xludf.DUMMYFUNCTION("""COMPUTED_VALUE"""),"Italy")</f>
        <v>Italy</v>
      </c>
      <c r="M1350" s="1" t="str">
        <f ca="1">IFERROR(__xludf.DUMMYFUNCTION("""COMPUTED_VALUE"""),"TX")</f>
        <v>TX</v>
      </c>
      <c r="N1350" s="1" t="str">
        <f ca="1">IFERROR(__xludf.DUMMYFUNCTION("""COMPUTED_VALUE"""),"High")</f>
        <v>High</v>
      </c>
      <c r="O1350" s="1" t="str">
        <f ca="1">IFERROR(__xludf.DUMMYFUNCTION("""COMPUTED_VALUE"""),"Cafeteria")</f>
        <v>Cafeteria</v>
      </c>
      <c r="P1350" s="1" t="str">
        <f ca="1">IFERROR(__xludf.DUMMYFUNCTION("""COMPUTED_VALUE"""),"Inside School Building")</f>
        <v>Inside School Building</v>
      </c>
      <c r="Q1350" s="1" t="str">
        <f ca="1">IFERROR(__xludf.DUMMYFUNCTION("""COMPUTED_VALUE"""),"Yes")</f>
        <v>Yes</v>
      </c>
      <c r="R1350" s="1" t="str">
        <f ca="1">IFERROR(__xludf.DUMMYFUNCTION("""COMPUTED_VALUE"""),"Before School")</f>
        <v>Before School</v>
      </c>
      <c r="S1350" s="5">
        <f ca="1">IFERROR(__xludf.DUMMYFUNCTION("""COMPUTED_VALUE"""),0.328472222222222)</f>
        <v>0.328472222222222</v>
      </c>
      <c r="T1350" s="1">
        <f ca="1">IFERROR(__xludf.DUMMYFUNCTION("""COMPUTED_VALUE"""),1)</f>
        <v>1</v>
      </c>
      <c r="U1350" s="1" t="str">
        <f ca="1">IFERROR(__xludf.DUMMYFUNCTION("""COMPUTED_VALUE"""),"Shot ex-girlfriend after break-up")</f>
        <v>Shot ex-girlfriend after break-up</v>
      </c>
      <c r="V1350" s="1" t="str">
        <f ca="1">IFERROR(__xludf.DUMMYFUNCTION("""COMPUTED_VALUE"""),"Shooter wore a black trench coat and fired multiple shots at the victim in the cafeteria. Shooter was confronted by a school employee and fled. Had violent past episodes in school and other students described the shooter as violent. Victims parents notifi"&amp;"ed the school that the shooter had attempted to attack the victim with scissors. Shooter had previously written a hit list that was found by school officials. Break-up likely contributed to the shooting.  In court, the victim said she had hugged the shoot"&amp;"er, asked him to sit and told him he appeared angry. She said that’s when he drew back, told her, “Sorry it had to end this way,” and shot her repeatedly. Students said they had reported problems with the shooter to school officials before the shooting.")</f>
        <v>Shooter wore a black trench coat and fired multiple shots at the victim in the cafeteria. Shooter was confronted by a school employee and fled. Had violent past episodes in school and other students described the shooter as violent. Victims parents notified the school that the shooter had attempted to attack the victim with scissors. Shooter had previously written a hit list that was found by school officials. Break-up likely contributed to the shooting.  In court, the victim said she had hugged the shooter, asked him to sit and told him he appeared angry. She said that’s when he drew back, told her, “Sorry it had to end this way,” and shot her repeatedly. Students said they had reported problems with the shooter to school officials before the shooting.</v>
      </c>
      <c r="W1350" s="1" t="str">
        <f ca="1">IFERROR(__xludf.DUMMYFUNCTION("""COMPUTED_VALUE"""),"Domestic w/ Targeted Victim")</f>
        <v>Domestic w/ Targeted Victim</v>
      </c>
      <c r="X1350" s="1" t="str">
        <f ca="1">IFERROR(__xludf.DUMMYFUNCTION("""COMPUTED_VALUE"""),"Victims Targeted")</f>
        <v>Victims Targeted</v>
      </c>
      <c r="Y1350" s="1" t="str">
        <f ca="1">IFERROR(__xludf.DUMMYFUNCTION("""COMPUTED_VALUE"""),"No")</f>
        <v>No</v>
      </c>
      <c r="Z1350" s="1"/>
      <c r="AA1350" s="1" t="str">
        <f ca="1">IFERROR(__xludf.DUMMYFUNCTION("""COMPUTED_VALUE"""),"No")</f>
        <v>No</v>
      </c>
      <c r="AB1350" s="1" t="str">
        <f ca="1">IFERROR(__xludf.DUMMYFUNCTION("""COMPUTED_VALUE"""),"No")</f>
        <v>No</v>
      </c>
      <c r="AC1350" s="1" t="str">
        <f ca="1">IFERROR(__xludf.DUMMYFUNCTION("""COMPUTED_VALUE"""),"No")</f>
        <v>No</v>
      </c>
      <c r="AD1350" s="1" t="str">
        <f ca="1">IFERROR(__xludf.DUMMYFUNCTION("""COMPUTED_VALUE"""),"No")</f>
        <v>No</v>
      </c>
      <c r="AE1350" s="1" t="str">
        <f ca="1">IFERROR(__xludf.DUMMYFUNCTION("""COMPUTED_VALUE"""),"Yes")</f>
        <v>Yes</v>
      </c>
      <c r="AF1350" s="1" t="str">
        <f ca="1">IFERROR(__xludf.DUMMYFUNCTION("""COMPUTED_VALUE"""),"No")</f>
        <v>No</v>
      </c>
      <c r="AG1350" s="1" t="str">
        <f ca="1">IFERROR(__xludf.DUMMYFUNCTION("""COMPUTED_VALUE"""),"Yes")</f>
        <v>Yes</v>
      </c>
      <c r="AH1350" s="1"/>
    </row>
    <row r="1351" spans="1:34" ht="12.5">
      <c r="A1351" s="1" t="str">
        <f ca="1">IFERROR(__xludf.DUMMYFUNCTION("""COMPUTED_VALUE"""),"20180122LANEN")</f>
        <v>20180122LANEN</v>
      </c>
      <c r="B1351" s="1">
        <f ca="1">IFERROR(__xludf.DUMMYFUNCTION("""COMPUTED_VALUE"""),1)</f>
        <v>1</v>
      </c>
      <c r="C1351" s="1">
        <f ca="1">IFERROR(__xludf.DUMMYFUNCTION("""COMPUTED_VALUE"""),22)</f>
        <v>22</v>
      </c>
      <c r="D1351" s="1">
        <f ca="1">IFERROR(__xludf.DUMMYFUNCTION("""COMPUTED_VALUE"""),2018)</f>
        <v>2018</v>
      </c>
      <c r="E1351" s="4">
        <f ca="1">IFERROR(__xludf.DUMMYFUNCTION("""COMPUTED_VALUE"""),43122)</f>
        <v>43122</v>
      </c>
      <c r="F1351" s="1" t="str">
        <f ca="1">IFERROR(__xludf.DUMMYFUNCTION("""COMPUTED_VALUE"""),"NET Charter High School")</f>
        <v>NET Charter High School</v>
      </c>
      <c r="G1351" s="1">
        <f ca="1">IFERROR(__xludf.DUMMYFUNCTION("""COMPUTED_VALUE"""),0)</f>
        <v>0</v>
      </c>
      <c r="H1351" s="1">
        <f ca="1">IFERROR(__xludf.DUMMYFUNCTION("""COMPUTED_VALUE"""),0)</f>
        <v>0</v>
      </c>
      <c r="I1351" s="1">
        <f ca="1">IFERROR(__xludf.DUMMYFUNCTION("""COMPUTED_VALUE"""),0)</f>
        <v>0</v>
      </c>
      <c r="J1351" s="1">
        <f ca="1">IFERROR(__xludf.DUMMYFUNCTION("""COMPUTED_VALUE"""),0)</f>
        <v>0</v>
      </c>
      <c r="K1351" s="1" t="str">
        <f ca="1">IFERROR(__xludf.DUMMYFUNCTION("""COMPUTED_VALUE"""),"Winter")</f>
        <v>Winter</v>
      </c>
      <c r="L1351" s="1" t="str">
        <f ca="1">IFERROR(__xludf.DUMMYFUNCTION("""COMPUTED_VALUE"""),"New Orleans")</f>
        <v>New Orleans</v>
      </c>
      <c r="M1351" s="1" t="str">
        <f ca="1">IFERROR(__xludf.DUMMYFUNCTION("""COMPUTED_VALUE"""),"LA")</f>
        <v>LA</v>
      </c>
      <c r="N1351" s="1" t="str">
        <f ca="1">IFERROR(__xludf.DUMMYFUNCTION("""COMPUTED_VALUE"""),"High")</f>
        <v>High</v>
      </c>
      <c r="O1351" s="1" t="str">
        <f ca="1">IFERROR(__xludf.DUMMYFUNCTION("""COMPUTED_VALUE"""),"Front of School")</f>
        <v>Front of School</v>
      </c>
      <c r="P1351" s="1" t="str">
        <f ca="1">IFERROR(__xludf.DUMMYFUNCTION("""COMPUTED_VALUE"""),"Outside on School Property")</f>
        <v>Outside on School Property</v>
      </c>
      <c r="Q1351" s="1" t="str">
        <f ca="1">IFERROR(__xludf.DUMMYFUNCTION("""COMPUTED_VALUE"""),"Yes")</f>
        <v>Yes</v>
      </c>
      <c r="R1351" s="1" t="str">
        <f ca="1">IFERROR(__xludf.DUMMYFUNCTION("""COMPUTED_VALUE"""),"Afternoon Classes")</f>
        <v>Afternoon Classes</v>
      </c>
      <c r="S1351" s="5">
        <f ca="1">IFERROR(__xludf.DUMMYFUNCTION("""COMPUTED_VALUE"""),0.5625)</f>
        <v>0.5625</v>
      </c>
      <c r="T1351" s="1">
        <f ca="1">IFERROR(__xludf.DUMMYFUNCTION("""COMPUTED_VALUE"""),1)</f>
        <v>1</v>
      </c>
      <c r="U1351" s="1" t="str">
        <f ca="1">IFERROR(__xludf.DUMMYFUNCTION("""COMPUTED_VALUE"""),"Drive-by shooting in front of school")</f>
        <v>Drive-by shooting in front of school</v>
      </c>
      <c r="V1351" s="1" t="str">
        <f ca="1">IFERROR(__xludf.DUMMYFUNCTION("""COMPUTED_VALUE"""),"Drive-by shooting. Occupant of a pickup truck fired at a group of students outside the school. None were injured from the shooting, one student had superficial abrasions. Police reported it was likely gang related. One student tested positive for gunpowde"&amp;"r residue but his involvement was not confirmed; another student had ammo and was arrested.")</f>
        <v>Drive-by shooting. Occupant of a pickup truck fired at a group of students outside the school. None were injured from the shooting, one student had superficial abrasions. Police reported it was likely gang related. One student tested positive for gunpowder residue but his involvement was not confirmed; another student had ammo and was arrested.</v>
      </c>
      <c r="W1351" s="1" t="str">
        <f ca="1">IFERROR(__xludf.DUMMYFUNCTION("""COMPUTED_VALUE"""),"Drive-by Shooting")</f>
        <v>Drive-by Shooting</v>
      </c>
      <c r="X1351" s="1" t="str">
        <f ca="1">IFERROR(__xludf.DUMMYFUNCTION("""COMPUTED_VALUE"""),"Victims Targeted")</f>
        <v>Victims Targeted</v>
      </c>
      <c r="Y1351" s="1"/>
      <c r="Z1351" s="1"/>
      <c r="AA1351" s="1" t="str">
        <f ca="1">IFERROR(__xludf.DUMMYFUNCTION("""COMPUTED_VALUE"""),"No")</f>
        <v>No</v>
      </c>
      <c r="AB1351" s="1" t="str">
        <f ca="1">IFERROR(__xludf.DUMMYFUNCTION("""COMPUTED_VALUE"""),"No")</f>
        <v>No</v>
      </c>
      <c r="AC1351" s="1" t="str">
        <f ca="1">IFERROR(__xludf.DUMMYFUNCTION("""COMPUTED_VALUE"""),"No")</f>
        <v>No</v>
      </c>
      <c r="AD1351" s="1" t="str">
        <f ca="1">IFERROR(__xludf.DUMMYFUNCTION("""COMPUTED_VALUE"""),"No")</f>
        <v>No</v>
      </c>
      <c r="AE1351" s="1" t="str">
        <f ca="1">IFERROR(__xludf.DUMMYFUNCTION("""COMPUTED_VALUE"""),"No")</f>
        <v>No</v>
      </c>
      <c r="AF1351" s="1" t="str">
        <f ca="1">IFERROR(__xludf.DUMMYFUNCTION("""COMPUTED_VALUE"""),"Yes")</f>
        <v>Yes</v>
      </c>
      <c r="AG1351" s="1" t="str">
        <f ca="1">IFERROR(__xludf.DUMMYFUNCTION("""COMPUTED_VALUE"""),"No")</f>
        <v>No</v>
      </c>
      <c r="AH1351" s="1"/>
    </row>
    <row r="1352" spans="1:34" ht="12.5">
      <c r="A1352" s="1" t="str">
        <f ca="1">IFERROR(__xludf.DUMMYFUNCTION("""COMPUTED_VALUE"""),"20180116VTMOM")</f>
        <v>20180116VTMOM</v>
      </c>
      <c r="B1352" s="1">
        <f ca="1">IFERROR(__xludf.DUMMYFUNCTION("""COMPUTED_VALUE"""),1)</f>
        <v>1</v>
      </c>
      <c r="C1352" s="1">
        <f ca="1">IFERROR(__xludf.DUMMYFUNCTION("""COMPUTED_VALUE"""),16)</f>
        <v>16</v>
      </c>
      <c r="D1352" s="1">
        <f ca="1">IFERROR(__xludf.DUMMYFUNCTION("""COMPUTED_VALUE"""),2018)</f>
        <v>2018</v>
      </c>
      <c r="E1352" s="4">
        <f ca="1">IFERROR(__xludf.DUMMYFUNCTION("""COMPUTED_VALUE"""),43116)</f>
        <v>43116</v>
      </c>
      <c r="F1352" s="1" t="str">
        <f ca="1">IFERROR(__xludf.DUMMYFUNCTION("""COMPUTED_VALUE"""),"Montpelier High School")</f>
        <v>Montpelier High School</v>
      </c>
      <c r="G1352" s="1">
        <f ca="1">IFERROR(__xludf.DUMMYFUNCTION("""COMPUTED_VALUE"""),0)</f>
        <v>0</v>
      </c>
      <c r="H1352" s="1">
        <f ca="1">IFERROR(__xludf.DUMMYFUNCTION("""COMPUTED_VALUE"""),0)</f>
        <v>0</v>
      </c>
      <c r="I1352" s="1">
        <f ca="1">IFERROR(__xludf.DUMMYFUNCTION("""COMPUTED_VALUE"""),0)</f>
        <v>0</v>
      </c>
      <c r="J1352" s="1">
        <f ca="1">IFERROR(__xludf.DUMMYFUNCTION("""COMPUTED_VALUE"""),1)</f>
        <v>1</v>
      </c>
      <c r="K1352" s="1" t="str">
        <f ca="1">IFERROR(__xludf.DUMMYFUNCTION("""COMPUTED_VALUE"""),"Winter")</f>
        <v>Winter</v>
      </c>
      <c r="L1352" s="1" t="str">
        <f ca="1">IFERROR(__xludf.DUMMYFUNCTION("""COMPUTED_VALUE"""),"Montpelier")</f>
        <v>Montpelier</v>
      </c>
      <c r="M1352" s="1" t="str">
        <f ca="1">IFERROR(__xludf.DUMMYFUNCTION("""COMPUTED_VALUE"""),"VT")</f>
        <v>VT</v>
      </c>
      <c r="N1352" s="1" t="str">
        <f ca="1">IFERROR(__xludf.DUMMYFUNCTION("""COMPUTED_VALUE"""),"High")</f>
        <v>High</v>
      </c>
      <c r="O1352" s="1" t="str">
        <f ca="1">IFERROR(__xludf.DUMMYFUNCTION("""COMPUTED_VALUE"""),"Outside on School Property")</f>
        <v>Outside on School Property</v>
      </c>
      <c r="P1352" s="1" t="str">
        <f ca="1">IFERROR(__xludf.DUMMYFUNCTION("""COMPUTED_VALUE"""),"Outside on School Property")</f>
        <v>Outside on School Property</v>
      </c>
      <c r="Q1352" s="1" t="str">
        <f ca="1">IFERROR(__xludf.DUMMYFUNCTION("""COMPUTED_VALUE"""),"Yes")</f>
        <v>Yes</v>
      </c>
      <c r="R1352" s="1" t="str">
        <f ca="1">IFERROR(__xludf.DUMMYFUNCTION("""COMPUTED_VALUE"""),"Morning Classes")</f>
        <v>Morning Classes</v>
      </c>
      <c r="S1352" s="5">
        <f ca="1">IFERROR(__xludf.DUMMYFUNCTION("""COMPUTED_VALUE"""),0.395833333333333)</f>
        <v>0.39583333333333298</v>
      </c>
      <c r="T1352" s="1">
        <f ca="1">IFERROR(__xludf.DUMMYFUNCTION("""COMPUTED_VALUE"""),4)</f>
        <v>4</v>
      </c>
      <c r="U1352" s="1" t="str">
        <f ca="1">IFERROR(__xludf.DUMMYFUNCTION("""COMPUTED_VALUE"""),"Armed bank robber shot by officers outside of school")</f>
        <v>Armed bank robber shot by officers outside of school</v>
      </c>
      <c r="V1352" s="1" t="str">
        <f ca="1">IFERROR(__xludf.DUMMYFUNCTION("""COMPUTED_VALUE"""),"Suspect robbed bank and ran onto school property. Police caught up to him and ordered him to drop weapon. When he refused and raised the gun toward the officers, they shot him.")</f>
        <v>Suspect robbed bank and ran onto school property. Police caught up to him and ordered him to drop weapon. When he refused and raised the gun toward the officers, they shot him.</v>
      </c>
      <c r="W1352" s="1" t="str">
        <f ca="1">IFERROR(__xludf.DUMMYFUNCTION("""COMPUTED_VALUE"""),"Illegal Activity")</f>
        <v>Illegal Activity</v>
      </c>
      <c r="X1352" s="1" t="str">
        <f ca="1">IFERROR(__xludf.DUMMYFUNCTION("""COMPUTED_VALUE"""),"Victims Targeted")</f>
        <v>Victims Targeted</v>
      </c>
      <c r="Y1352" s="1" t="str">
        <f ca="1">IFERROR(__xludf.DUMMYFUNCTION("""COMPUTED_VALUE"""),"No")</f>
        <v>No</v>
      </c>
      <c r="Z1352" s="1"/>
      <c r="AA1352" s="1" t="str">
        <f ca="1">IFERROR(__xludf.DUMMYFUNCTION("""COMPUTED_VALUE"""),"No")</f>
        <v>No</v>
      </c>
      <c r="AB1352" s="1" t="str">
        <f ca="1">IFERROR(__xludf.DUMMYFUNCTION("""COMPUTED_VALUE"""),"No")</f>
        <v>No</v>
      </c>
      <c r="AC1352" s="1" t="str">
        <f ca="1">IFERROR(__xludf.DUMMYFUNCTION("""COMPUTED_VALUE"""),"Yes")</f>
        <v>Yes</v>
      </c>
      <c r="AD1352" s="1" t="str">
        <f ca="1">IFERROR(__xludf.DUMMYFUNCTION("""COMPUTED_VALUE"""),"N/A")</f>
        <v>N/A</v>
      </c>
      <c r="AE1352" s="1" t="str">
        <f ca="1">IFERROR(__xludf.DUMMYFUNCTION("""COMPUTED_VALUE"""),"N/A")</f>
        <v>N/A</v>
      </c>
      <c r="AF1352" s="1" t="str">
        <f ca="1">IFERROR(__xludf.DUMMYFUNCTION("""COMPUTED_VALUE"""),"N/A")</f>
        <v>N/A</v>
      </c>
      <c r="AG1352" s="1" t="str">
        <f ca="1">IFERROR(__xludf.DUMMYFUNCTION("""COMPUTED_VALUE"""),"No")</f>
        <v>No</v>
      </c>
      <c r="AH1352" s="1" t="str">
        <f ca="1">IFERROR(__xludf.DUMMYFUNCTION("""COMPUTED_VALUE"""),"21-23")</f>
        <v>21-23</v>
      </c>
    </row>
    <row r="1353" spans="1:34" ht="12.5">
      <c r="A1353" s="1" t="str">
        <f ca="1">IFERROR(__xludf.DUMMYFUNCTION("""COMPUTED_VALUE"""),"20180109AZCOS")</f>
        <v>20180109AZCOS</v>
      </c>
      <c r="B1353" s="1">
        <f ca="1">IFERROR(__xludf.DUMMYFUNCTION("""COMPUTED_VALUE"""),1)</f>
        <v>1</v>
      </c>
      <c r="C1353" s="1">
        <f ca="1">IFERROR(__xludf.DUMMYFUNCTION("""COMPUTED_VALUE"""),9)</f>
        <v>9</v>
      </c>
      <c r="D1353" s="1">
        <f ca="1">IFERROR(__xludf.DUMMYFUNCTION("""COMPUTED_VALUE"""),2018)</f>
        <v>2018</v>
      </c>
      <c r="E1353" s="4">
        <f ca="1">IFERROR(__xludf.DUMMYFUNCTION("""COMPUTED_VALUE"""),43109)</f>
        <v>43109</v>
      </c>
      <c r="F1353" s="1" t="str">
        <f ca="1">IFERROR(__xludf.DUMMYFUNCTION("""COMPUTED_VALUE"""),"Coronado Elementary School")</f>
        <v>Coronado Elementary School</v>
      </c>
      <c r="G1353" s="1">
        <f ca="1">IFERROR(__xludf.DUMMYFUNCTION("""COMPUTED_VALUE"""),0)</f>
        <v>0</v>
      </c>
      <c r="H1353" s="1">
        <f ca="1">IFERROR(__xludf.DUMMYFUNCTION("""COMPUTED_VALUE"""),0)</f>
        <v>0</v>
      </c>
      <c r="I1353" s="1">
        <f ca="1">IFERROR(__xludf.DUMMYFUNCTION("""COMPUTED_VALUE"""),0)</f>
        <v>0</v>
      </c>
      <c r="J1353" s="1">
        <f ca="1">IFERROR(__xludf.DUMMYFUNCTION("""COMPUTED_VALUE"""),1)</f>
        <v>1</v>
      </c>
      <c r="K1353" s="1" t="str">
        <f ca="1">IFERROR(__xludf.DUMMYFUNCTION("""COMPUTED_VALUE"""),"Winter")</f>
        <v>Winter</v>
      </c>
      <c r="L1353" s="1" t="str">
        <f ca="1">IFERROR(__xludf.DUMMYFUNCTION("""COMPUTED_VALUE"""),"Sierra Vista")</f>
        <v>Sierra Vista</v>
      </c>
      <c r="M1353" s="1" t="str">
        <f ca="1">IFERROR(__xludf.DUMMYFUNCTION("""COMPUTED_VALUE"""),"AZ")</f>
        <v>AZ</v>
      </c>
      <c r="N1353" s="1" t="str">
        <f ca="1">IFERROR(__xludf.DUMMYFUNCTION("""COMPUTED_VALUE"""),"Elementary")</f>
        <v>Elementary</v>
      </c>
      <c r="O1353" s="1" t="str">
        <f ca="1">IFERROR(__xludf.DUMMYFUNCTION("""COMPUTED_VALUE"""),"Inside School Building")</f>
        <v>Inside School Building</v>
      </c>
      <c r="P1353" s="1" t="str">
        <f ca="1">IFERROR(__xludf.DUMMYFUNCTION("""COMPUTED_VALUE"""),"Inside School Building")</f>
        <v>Inside School Building</v>
      </c>
      <c r="Q1353" s="1" t="str">
        <f ca="1">IFERROR(__xludf.DUMMYFUNCTION("""COMPUTED_VALUE"""),"Yes")</f>
        <v>Yes</v>
      </c>
      <c r="R1353" s="1" t="str">
        <f ca="1">IFERROR(__xludf.DUMMYFUNCTION("""COMPUTED_VALUE"""),"Morning Classes")</f>
        <v>Morning Classes</v>
      </c>
      <c r="S1353" s="5">
        <f ca="1">IFERROR(__xludf.DUMMYFUNCTION("""COMPUTED_VALUE"""),0.388888888888888)</f>
        <v>0.38888888888888801</v>
      </c>
      <c r="T1353" s="1">
        <f ca="1">IFERROR(__xludf.DUMMYFUNCTION("""COMPUTED_VALUE"""),1)</f>
        <v>1</v>
      </c>
      <c r="U1353" s="1" t="str">
        <f ca="1">IFERROR(__xludf.DUMMYFUNCTION("""COMPUTED_VALUE"""),"Suicide inside of school")</f>
        <v>Suicide inside of school</v>
      </c>
      <c r="V1353" s="1" t="str">
        <f ca="1">IFERROR(__xludf.DUMMYFUNCTION("""COMPUTED_VALUE"""),"Shooter fired single self-inflicted gunshot wound inside the school. School was locked down. No other students were injured. Gun belonged to a family member")</f>
        <v>Shooter fired single self-inflicted gunshot wound inside the school. School was locked down. No other students were injured. Gun belonged to a family member</v>
      </c>
      <c r="W1353" s="1" t="str">
        <f ca="1">IFERROR(__xludf.DUMMYFUNCTION("""COMPUTED_VALUE"""),"Suicide/Attempted")</f>
        <v>Suicide/Attempted</v>
      </c>
      <c r="X1353" s="1" t="str">
        <f ca="1">IFERROR(__xludf.DUMMYFUNCTION("""COMPUTED_VALUE"""),"Victims Targeted")</f>
        <v>Victims Targeted</v>
      </c>
      <c r="Y1353" s="1" t="str">
        <f ca="1">IFERROR(__xludf.DUMMYFUNCTION("""COMPUTED_VALUE"""),"No")</f>
        <v>No</v>
      </c>
      <c r="Z1353" s="1"/>
      <c r="AA1353" s="1" t="str">
        <f ca="1">IFERROR(__xludf.DUMMYFUNCTION("""COMPUTED_VALUE"""),"No")</f>
        <v>No</v>
      </c>
      <c r="AB1353" s="1" t="str">
        <f ca="1">IFERROR(__xludf.DUMMYFUNCTION("""COMPUTED_VALUE"""),"No")</f>
        <v>No</v>
      </c>
      <c r="AC1353" s="1" t="str">
        <f ca="1">IFERROR(__xludf.DUMMYFUNCTION("""COMPUTED_VALUE"""),"No")</f>
        <v>No</v>
      </c>
      <c r="AD1353" s="1"/>
      <c r="AE1353" s="1" t="str">
        <f ca="1">IFERROR(__xludf.DUMMYFUNCTION("""COMPUTED_VALUE"""),"No")</f>
        <v>No</v>
      </c>
      <c r="AF1353" s="1" t="str">
        <f ca="1">IFERROR(__xludf.DUMMYFUNCTION("""COMPUTED_VALUE"""),"No")</f>
        <v>No</v>
      </c>
      <c r="AG1353" s="1" t="str">
        <f ca="1">IFERROR(__xludf.DUMMYFUNCTION("""COMPUTED_VALUE"""),"No")</f>
        <v>No</v>
      </c>
      <c r="AH1353" s="1">
        <f ca="1">IFERROR(__xludf.DUMMYFUNCTION("""COMPUTED_VALUE"""),1)</f>
        <v>1</v>
      </c>
    </row>
    <row r="1354" spans="1:34" ht="12.5">
      <c r="A1354" s="1" t="str">
        <f ca="1">IFERROR(__xludf.DUMMYFUNCTION("""COMPUTED_VALUE"""),"20180105IAFOF")</f>
        <v>20180105IAFOF</v>
      </c>
      <c r="B1354" s="1">
        <f ca="1">IFERROR(__xludf.DUMMYFUNCTION("""COMPUTED_VALUE"""),1)</f>
        <v>1</v>
      </c>
      <c r="C1354" s="1">
        <f ca="1">IFERROR(__xludf.DUMMYFUNCTION("""COMPUTED_VALUE"""),5)</f>
        <v>5</v>
      </c>
      <c r="D1354" s="1">
        <f ca="1">IFERROR(__xludf.DUMMYFUNCTION("""COMPUTED_VALUE"""),2018)</f>
        <v>2018</v>
      </c>
      <c r="E1354" s="4">
        <f ca="1">IFERROR(__xludf.DUMMYFUNCTION("""COMPUTED_VALUE"""),43105)</f>
        <v>43105</v>
      </c>
      <c r="F1354" s="1" t="str">
        <f ca="1">IFERROR(__xludf.DUMMYFUNCTION("""COMPUTED_VALUE"""),"Forest City School Bus")</f>
        <v>Forest City School Bus</v>
      </c>
      <c r="G1354" s="1">
        <f ca="1">IFERROR(__xludf.DUMMYFUNCTION("""COMPUTED_VALUE"""),0)</f>
        <v>0</v>
      </c>
      <c r="H1354" s="1">
        <f ca="1">IFERROR(__xludf.DUMMYFUNCTION("""COMPUTED_VALUE"""),0)</f>
        <v>0</v>
      </c>
      <c r="I1354" s="1">
        <f ca="1">IFERROR(__xludf.DUMMYFUNCTION("""COMPUTED_VALUE"""),0)</f>
        <v>0</v>
      </c>
      <c r="J1354" s="1">
        <f ca="1">IFERROR(__xludf.DUMMYFUNCTION("""COMPUTED_VALUE"""),0)</f>
        <v>0</v>
      </c>
      <c r="K1354" s="1" t="str">
        <f ca="1">IFERROR(__xludf.DUMMYFUNCTION("""COMPUTED_VALUE"""),"Winter")</f>
        <v>Winter</v>
      </c>
      <c r="L1354" s="1" t="str">
        <f ca="1">IFERROR(__xludf.DUMMYFUNCTION("""COMPUTED_VALUE"""),"Forest City")</f>
        <v>Forest City</v>
      </c>
      <c r="M1354" s="1" t="str">
        <f ca="1">IFERROR(__xludf.DUMMYFUNCTION("""COMPUTED_VALUE"""),"IA")</f>
        <v>IA</v>
      </c>
      <c r="N1354" s="1"/>
      <c r="O1354" s="1" t="str">
        <f ca="1">IFERROR(__xludf.DUMMYFUNCTION("""COMPUTED_VALUE"""),"School Bus")</f>
        <v>School Bus</v>
      </c>
      <c r="P1354" s="1" t="str">
        <f ca="1">IFERROR(__xludf.DUMMYFUNCTION("""COMPUTED_VALUE"""),"School Bus")</f>
        <v>School Bus</v>
      </c>
      <c r="Q1354" s="1" t="str">
        <f ca="1">IFERROR(__xludf.DUMMYFUNCTION("""COMPUTED_VALUE"""),"Yes")</f>
        <v>Yes</v>
      </c>
      <c r="R1354" s="1" t="str">
        <f ca="1">IFERROR(__xludf.DUMMYFUNCTION("""COMPUTED_VALUE"""),"Before School")</f>
        <v>Before School</v>
      </c>
      <c r="S1354" s="1"/>
      <c r="T1354" s="1">
        <f ca="1">IFERROR(__xludf.DUMMYFUNCTION("""COMPUTED_VALUE"""),1)</f>
        <v>1</v>
      </c>
      <c r="U1354" s="1" t="str">
        <f ca="1">IFERROR(__xludf.DUMMYFUNCTION("""COMPUTED_VALUE"""),"Shot occupied school bus with high-powered air rifle breaking window")</f>
        <v>Shot occupied school bus with high-powered air rifle breaking window</v>
      </c>
      <c r="V1354" s="1" t="str">
        <f ca="1">IFERROR(__xludf.DUMMYFUNCTION("""COMPUTED_VALUE"""),"33YOM fired high powered air-rifle at occupied school bus breaking a window. No injuries.")</f>
        <v>33YOM fired high powered air-rifle at occupied school bus breaking a window. No injuries.</v>
      </c>
      <c r="W1354" s="1" t="str">
        <f ca="1">IFERROR(__xludf.DUMMYFUNCTION("""COMPUTED_VALUE"""),"Intentional Property Damage")</f>
        <v>Intentional Property Damage</v>
      </c>
      <c r="X1354" s="1" t="str">
        <f ca="1">IFERROR(__xludf.DUMMYFUNCTION("""COMPUTED_VALUE"""),"Neither")</f>
        <v>Neither</v>
      </c>
      <c r="Y1354" s="1" t="str">
        <f ca="1">IFERROR(__xludf.DUMMYFUNCTION("""COMPUTED_VALUE"""),"No")</f>
        <v>No</v>
      </c>
      <c r="Z1354" s="1"/>
      <c r="AA1354" s="1" t="str">
        <f ca="1">IFERROR(__xludf.DUMMYFUNCTION("""COMPUTED_VALUE"""),"No")</f>
        <v>No</v>
      </c>
      <c r="AB1354" s="1" t="str">
        <f ca="1">IFERROR(__xludf.DUMMYFUNCTION("""COMPUTED_VALUE"""),"No")</f>
        <v>No</v>
      </c>
      <c r="AC1354" s="1" t="str">
        <f ca="1">IFERROR(__xludf.DUMMYFUNCTION("""COMPUTED_VALUE"""),"No")</f>
        <v>No</v>
      </c>
      <c r="AD1354" s="1" t="str">
        <f ca="1">IFERROR(__xludf.DUMMYFUNCTION("""COMPUTED_VALUE"""),"No")</f>
        <v>No</v>
      </c>
      <c r="AE1354" s="1" t="str">
        <f ca="1">IFERROR(__xludf.DUMMYFUNCTION("""COMPUTED_VALUE"""),"No")</f>
        <v>No</v>
      </c>
      <c r="AF1354" s="1" t="str">
        <f ca="1">IFERROR(__xludf.DUMMYFUNCTION("""COMPUTED_VALUE"""),"No")</f>
        <v>No</v>
      </c>
      <c r="AG1354" s="1" t="str">
        <f ca="1">IFERROR(__xludf.DUMMYFUNCTION("""COMPUTED_VALUE"""),"No")</f>
        <v>No</v>
      </c>
      <c r="AH1354" s="1">
        <f ca="1">IFERROR(__xludf.DUMMYFUNCTION("""COMPUTED_VALUE"""),1)</f>
        <v>1</v>
      </c>
    </row>
    <row r="1355" spans="1:34" ht="12.5">
      <c r="A1355" s="1" t="str">
        <f ca="1">IFERROR(__xludf.DUMMYFUNCTION("""COMPUTED_VALUE"""),"20180104WANES")</f>
        <v>20180104WANES</v>
      </c>
      <c r="B1355" s="1">
        <f ca="1">IFERROR(__xludf.DUMMYFUNCTION("""COMPUTED_VALUE"""),1)</f>
        <v>1</v>
      </c>
      <c r="C1355" s="1">
        <f ca="1">IFERROR(__xludf.DUMMYFUNCTION("""COMPUTED_VALUE"""),4)</f>
        <v>4</v>
      </c>
      <c r="D1355" s="1">
        <f ca="1">IFERROR(__xludf.DUMMYFUNCTION("""COMPUTED_VALUE"""),2018)</f>
        <v>2018</v>
      </c>
      <c r="E1355" s="4">
        <f ca="1">IFERROR(__xludf.DUMMYFUNCTION("""COMPUTED_VALUE"""),43104)</f>
        <v>43104</v>
      </c>
      <c r="F1355" s="1" t="str">
        <f ca="1">IFERROR(__xludf.DUMMYFUNCTION("""COMPUTED_VALUE"""),"New Start High School")</f>
        <v>New Start High School</v>
      </c>
      <c r="G1355" s="1">
        <f ca="1">IFERROR(__xludf.DUMMYFUNCTION("""COMPUTED_VALUE"""),0)</f>
        <v>0</v>
      </c>
      <c r="H1355" s="1">
        <f ca="1">IFERROR(__xludf.DUMMYFUNCTION("""COMPUTED_VALUE"""),0)</f>
        <v>0</v>
      </c>
      <c r="I1355" s="1">
        <f ca="1">IFERROR(__xludf.DUMMYFUNCTION("""COMPUTED_VALUE"""),0)</f>
        <v>0</v>
      </c>
      <c r="J1355" s="1">
        <f ca="1">IFERROR(__xludf.DUMMYFUNCTION("""COMPUTED_VALUE"""),0)</f>
        <v>0</v>
      </c>
      <c r="K1355" s="1" t="str">
        <f ca="1">IFERROR(__xludf.DUMMYFUNCTION("""COMPUTED_VALUE"""),"Winter")</f>
        <v>Winter</v>
      </c>
      <c r="L1355" s="1" t="str">
        <f ca="1">IFERROR(__xludf.DUMMYFUNCTION("""COMPUTED_VALUE"""),"Seattle")</f>
        <v>Seattle</v>
      </c>
      <c r="M1355" s="1" t="str">
        <f ca="1">IFERROR(__xludf.DUMMYFUNCTION("""COMPUTED_VALUE"""),"WA")</f>
        <v>WA</v>
      </c>
      <c r="N1355" s="1" t="str">
        <f ca="1">IFERROR(__xludf.DUMMYFUNCTION("""COMPUTED_VALUE"""),"High")</f>
        <v>High</v>
      </c>
      <c r="O1355" s="1" t="str">
        <f ca="1">IFERROR(__xludf.DUMMYFUNCTION("""COMPUTED_VALUE"""),"Front of School")</f>
        <v>Front of School</v>
      </c>
      <c r="P1355" s="1" t="str">
        <f ca="1">IFERROR(__xludf.DUMMYFUNCTION("""COMPUTED_VALUE"""),"Outside on School Property")</f>
        <v>Outside on School Property</v>
      </c>
      <c r="Q1355" s="1" t="str">
        <f ca="1">IFERROR(__xludf.DUMMYFUNCTION("""COMPUTED_VALUE"""),"Yes")</f>
        <v>Yes</v>
      </c>
      <c r="R1355" s="1" t="str">
        <f ca="1">IFERROR(__xludf.DUMMYFUNCTION("""COMPUTED_VALUE"""),"Afternoon Classes")</f>
        <v>Afternoon Classes</v>
      </c>
      <c r="S1355" s="5">
        <f ca="1">IFERROR(__xludf.DUMMYFUNCTION("""COMPUTED_VALUE"""),0.5625)</f>
        <v>0.5625</v>
      </c>
      <c r="T1355" s="1">
        <f ca="1">IFERROR(__xludf.DUMMYFUNCTION("""COMPUTED_VALUE"""),1)</f>
        <v>1</v>
      </c>
      <c r="U1355" s="1" t="str">
        <f ca="1">IFERROR(__xludf.DUMMYFUNCTION("""COMPUTED_VALUE"""),"Damage to school property")</f>
        <v>Damage to school property</v>
      </c>
      <c r="V1355" s="1" t="str">
        <f ca="1">IFERROR(__xludf.DUMMYFUNCTION("""COMPUTED_VALUE"""),"Shots fired outside high school during the school day. One round struck the school's admin office.")</f>
        <v>Shots fired outside high school during the school day. One round struck the school's admin office.</v>
      </c>
      <c r="W1355" s="1" t="str">
        <f ca="1">IFERROR(__xludf.DUMMYFUNCTION("""COMPUTED_VALUE"""),"Intentional Property Damage")</f>
        <v>Intentional Property Damage</v>
      </c>
      <c r="X1355" s="1" t="str">
        <f ca="1">IFERROR(__xludf.DUMMYFUNCTION("""COMPUTED_VALUE"""),"NA")</f>
        <v>NA</v>
      </c>
      <c r="Y1355" s="1"/>
      <c r="Z1355" s="1"/>
      <c r="AA1355" s="1" t="str">
        <f ca="1">IFERROR(__xludf.DUMMYFUNCTION("""COMPUTED_VALUE"""),"No")</f>
        <v>No</v>
      </c>
      <c r="AB1355" s="1" t="str">
        <f ca="1">IFERROR(__xludf.DUMMYFUNCTION("""COMPUTED_VALUE"""),"No")</f>
        <v>No</v>
      </c>
      <c r="AC1355" s="1" t="str">
        <f ca="1">IFERROR(__xludf.DUMMYFUNCTION("""COMPUTED_VALUE"""),"No")</f>
        <v>No</v>
      </c>
      <c r="AD1355" s="1" t="str">
        <f ca="1">IFERROR(__xludf.DUMMYFUNCTION("""COMPUTED_VALUE"""),"N/A")</f>
        <v>N/A</v>
      </c>
      <c r="AE1355" s="1" t="str">
        <f ca="1">IFERROR(__xludf.DUMMYFUNCTION("""COMPUTED_VALUE"""),"N/A")</f>
        <v>N/A</v>
      </c>
      <c r="AF1355" s="1"/>
      <c r="AG1355" s="1" t="str">
        <f ca="1">IFERROR(__xludf.DUMMYFUNCTION("""COMPUTED_VALUE"""),"No")</f>
        <v>No</v>
      </c>
      <c r="AH1355" s="1">
        <f ca="1">IFERROR(__xludf.DUMMYFUNCTION("""COMPUTED_VALUE"""),2)</f>
        <v>2</v>
      </c>
    </row>
    <row r="1356" spans="1:34" ht="12.5">
      <c r="A1356" s="1"/>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row>
    <row r="1357" spans="1:34" ht="12.5">
      <c r="A1357" s="1"/>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row>
    <row r="1358" spans="1:34" ht="12.5">
      <c r="A1358" s="1"/>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row>
    <row r="1359" spans="1:34" ht="12.5">
      <c r="A1359" s="1"/>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row>
    <row r="1360" spans="1:34" ht="12.5">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row>
    <row r="1361" spans="1:34" ht="12.5">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row>
    <row r="1362" spans="1:34" ht="12.5">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row>
    <row r="1363" spans="1:34" ht="12.5">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row>
    <row r="1364" spans="1:34" ht="12.5">
      <c r="A1364" s="1"/>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row>
    <row r="1365" spans="1:34" ht="12.5">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row>
    <row r="1366" spans="1:34" ht="12.5">
      <c r="A1366" s="1"/>
      <c r="B1366" s="1"/>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row>
    <row r="1367" spans="1:34" ht="12.5">
      <c r="A1367" s="1"/>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row>
    <row r="1368" spans="1:34" ht="12.5">
      <c r="A1368" s="1"/>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row>
    <row r="1369" spans="1:34" ht="12.5">
      <c r="A1369" s="1"/>
      <c r="B1369" s="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row>
    <row r="1370" spans="1:34" ht="12.5">
      <c r="A1370" s="1"/>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row>
    <row r="1371" spans="1:34" ht="12.5">
      <c r="A1371" s="1"/>
      <c r="B1371" s="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row>
    <row r="1372" spans="1:34" ht="12.5">
      <c r="A1372" s="1"/>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row>
    <row r="1373" spans="1:34" ht="12.5">
      <c r="A1373" s="1"/>
      <c r="B1373" s="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row>
    <row r="1374" spans="1:34" ht="12.5">
      <c r="A1374" s="1"/>
      <c r="B1374" s="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row>
    <row r="1375" spans="1:34" ht="12.5">
      <c r="A1375" s="1"/>
      <c r="B1375" s="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row>
    <row r="1376" spans="1:34" ht="12.5">
      <c r="A1376" s="1"/>
      <c r="B1376" s="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row>
    <row r="1377" spans="1:34" ht="12.5">
      <c r="A1377" s="1"/>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row>
    <row r="1378" spans="1:34" ht="12.5">
      <c r="A1378" s="1"/>
      <c r="B1378" s="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row>
    <row r="1379" spans="1:34" ht="12.5">
      <c r="A1379" s="1"/>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row>
    <row r="1380" spans="1:34" ht="12.5">
      <c r="A1380" s="1"/>
      <c r="B1380" s="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row>
    <row r="1381" spans="1:34" ht="12.5">
      <c r="A1381" s="1"/>
      <c r="B1381" s="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row>
    <row r="1382" spans="1:34" ht="12.5">
      <c r="A1382" s="1"/>
      <c r="B1382" s="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row>
    <row r="1383" spans="1:34" ht="12.5">
      <c r="A1383" s="1"/>
      <c r="B1383" s="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row>
    <row r="1384" spans="1:34" ht="12.5">
      <c r="A1384" s="1"/>
      <c r="B1384" s="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row>
    <row r="1385" spans="1:34" ht="12.5">
      <c r="A1385" s="1"/>
      <c r="B1385" s="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row>
    <row r="1386" spans="1:34" ht="12.5">
      <c r="A1386" s="1"/>
      <c r="B1386" s="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row>
    <row r="1387" spans="1:34" ht="12.5">
      <c r="A1387" s="1"/>
      <c r="B1387" s="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row>
    <row r="1388" spans="1:34" ht="12.5">
      <c r="A1388" s="1"/>
      <c r="B1388" s="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row>
    <row r="1389" spans="1:34" ht="12.5">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row>
    <row r="1390" spans="1:34" ht="12.5">
      <c r="A1390" s="1"/>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row>
    <row r="1391" spans="1:34" ht="12.5">
      <c r="A1391" s="1"/>
      <c r="B1391" s="1"/>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row>
    <row r="1392" spans="1:34" ht="12.5">
      <c r="A1392" s="1"/>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row>
    <row r="1393" spans="1:34" ht="12.5">
      <c r="A1393" s="1"/>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row>
    <row r="1394" spans="1:34" ht="12.5">
      <c r="A1394" s="1"/>
      <c r="B1394" s="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row>
    <row r="1395" spans="1:34" ht="12.5">
      <c r="A1395" s="1"/>
      <c r="B1395" s="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row>
    <row r="1396" spans="1:34" ht="12.5">
      <c r="A1396" s="1"/>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row>
    <row r="1397" spans="1:34" ht="12.5">
      <c r="A1397" s="1"/>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row>
    <row r="1398" spans="1:34" ht="12.5">
      <c r="A1398" s="1"/>
      <c r="B1398" s="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row>
    <row r="1399" spans="1:34" ht="12.5">
      <c r="A1399" s="1"/>
      <c r="B1399" s="1"/>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row>
    <row r="1400" spans="1:34" ht="12.5">
      <c r="A1400" s="1"/>
      <c r="B1400" s="1"/>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row>
    <row r="1401" spans="1:34" ht="12.5">
      <c r="A1401" s="1"/>
      <c r="B1401" s="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row>
    <row r="1402" spans="1:34" ht="12.5">
      <c r="A1402" s="1"/>
      <c r="B1402" s="1"/>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row>
    <row r="1403" spans="1:34" ht="12.5">
      <c r="A1403" s="1"/>
      <c r="B1403" s="1"/>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row>
    <row r="1404" spans="1:34" ht="12.5">
      <c r="A1404" s="1"/>
      <c r="B1404" s="1"/>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row>
    <row r="1405" spans="1:34" ht="12.5">
      <c r="A1405" s="1"/>
      <c r="B1405" s="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row>
    <row r="1406" spans="1:34" ht="12.5">
      <c r="A1406" s="1"/>
      <c r="B1406" s="1"/>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row>
    <row r="1407" spans="1:34" ht="12.5">
      <c r="A1407" s="1"/>
      <c r="B1407" s="1"/>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row>
    <row r="1408" spans="1:34" ht="12.5">
      <c r="A1408" s="1"/>
      <c r="B1408" s="1"/>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row>
    <row r="1409" spans="1:34" ht="12.5">
      <c r="A1409" s="1"/>
      <c r="B1409" s="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row>
    <row r="1410" spans="1:34" ht="12.5">
      <c r="A1410" s="1"/>
      <c r="B1410" s="1"/>
      <c r="C1410" s="1"/>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row>
    <row r="1411" spans="1:34" ht="12.5">
      <c r="A1411" s="1"/>
      <c r="B1411" s="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row>
    <row r="1412" spans="1:34" ht="12.5">
      <c r="A1412" s="1"/>
      <c r="B1412" s="1"/>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row>
    <row r="1413" spans="1:34" ht="12.5">
      <c r="A1413" s="1"/>
      <c r="B1413" s="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row>
    <row r="1414" spans="1:34" ht="12.5">
      <c r="A1414" s="1"/>
      <c r="B1414" s="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row>
    <row r="1415" spans="1:34" ht="12.5">
      <c r="A1415" s="1"/>
      <c r="B1415" s="1"/>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row>
    <row r="1416" spans="1:34" ht="12.5">
      <c r="A1416" s="1"/>
      <c r="B1416" s="1"/>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row>
    <row r="1417" spans="1:34" ht="12.5">
      <c r="A1417" s="1"/>
      <c r="B1417" s="1"/>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row>
    <row r="1418" spans="1:34" ht="12.5">
      <c r="A1418" s="1"/>
      <c r="B1418" s="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row>
    <row r="1419" spans="1:34" ht="12.5">
      <c r="A1419" s="1"/>
      <c r="B1419" s="1"/>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row>
    <row r="1420" spans="1:34" ht="12.5">
      <c r="A1420" s="1"/>
      <c r="B1420" s="1"/>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row>
    <row r="1421" spans="1:34" ht="12.5">
      <c r="A1421" s="1"/>
      <c r="B1421" s="1"/>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row>
    <row r="1422" spans="1:34" ht="12.5">
      <c r="A1422" s="1"/>
      <c r="B1422" s="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row>
    <row r="1423" spans="1:34" ht="12.5">
      <c r="A1423" s="1"/>
      <c r="B1423" s="1"/>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row>
    <row r="1424" spans="1:34" ht="12.5">
      <c r="A1424" s="1"/>
      <c r="B1424" s="1"/>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row>
    <row r="1425" spans="1:34" ht="12.5">
      <c r="A1425" s="1"/>
      <c r="B1425" s="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row>
    <row r="1426" spans="1:34" ht="12.5">
      <c r="A1426" s="1"/>
      <c r="B1426" s="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row>
    <row r="1427" spans="1:34" ht="12.5">
      <c r="A1427" s="1"/>
      <c r="B1427" s="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row>
    <row r="1428" spans="1:34" ht="12.5">
      <c r="A1428" s="1"/>
      <c r="B1428" s="1"/>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row>
    <row r="1429" spans="1:34" ht="12.5">
      <c r="A1429" s="1"/>
      <c r="B1429" s="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row>
    <row r="1430" spans="1:34" ht="12.5">
      <c r="A1430" s="1"/>
      <c r="B1430" s="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row>
    <row r="1431" spans="1:34" ht="12.5">
      <c r="A1431" s="1"/>
      <c r="B1431" s="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row>
    <row r="1432" spans="1:34" ht="12.5">
      <c r="A1432" s="1"/>
      <c r="B1432" s="1"/>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row>
    <row r="1433" spans="1:34" ht="12.5">
      <c r="A1433" s="1"/>
      <c r="B1433" s="1"/>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row>
    <row r="1434" spans="1:34" ht="12.5">
      <c r="A1434" s="1"/>
      <c r="B1434" s="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row>
    <row r="1435" spans="1:34" ht="12.5">
      <c r="A1435" s="1"/>
      <c r="B1435" s="1"/>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row>
    <row r="1436" spans="1:34" ht="12.5">
      <c r="A1436" s="1"/>
      <c r="B1436" s="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row>
    <row r="1437" spans="1:34" ht="12.5">
      <c r="A1437" s="1"/>
      <c r="B1437" s="1"/>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row>
    <row r="1438" spans="1:34" ht="12.5">
      <c r="A1438" s="1"/>
      <c r="B1438" s="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row>
    <row r="1439" spans="1:34" ht="12.5">
      <c r="A1439" s="1"/>
      <c r="B1439" s="1"/>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row>
    <row r="1440" spans="1:34" ht="12.5">
      <c r="A1440" s="1"/>
      <c r="B1440" s="1"/>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row>
    <row r="1441" spans="1:34" ht="12.5">
      <c r="A1441" s="1"/>
      <c r="B1441" s="1"/>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row>
    <row r="1442" spans="1:34" ht="12.5">
      <c r="A1442" s="1"/>
      <c r="B1442" s="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row>
    <row r="1443" spans="1:34" ht="12.5">
      <c r="A1443" s="1"/>
      <c r="B1443" s="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row>
    <row r="1444" spans="1:34" ht="12.5">
      <c r="A1444" s="1"/>
      <c r="B1444" s="1"/>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row>
    <row r="1445" spans="1:34" ht="12.5">
      <c r="A1445" s="1"/>
      <c r="B1445" s="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row>
    <row r="1446" spans="1:34" ht="12.5">
      <c r="A1446" s="1"/>
      <c r="B1446" s="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row>
    <row r="1447" spans="1:34" ht="12.5">
      <c r="A1447" s="1"/>
      <c r="B1447" s="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row>
    <row r="1448" spans="1:34" ht="12.5">
      <c r="A1448" s="1"/>
      <c r="B1448" s="1"/>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row>
    <row r="1449" spans="1:34" ht="12.5">
      <c r="A1449" s="1"/>
      <c r="B1449" s="1"/>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row>
    <row r="1450" spans="1:34" ht="12.5">
      <c r="A1450" s="1"/>
      <c r="B1450" s="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row>
    <row r="1451" spans="1:34" ht="12.5">
      <c r="A1451" s="1"/>
      <c r="B1451" s="1"/>
      <c r="C1451" s="1"/>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row>
    <row r="1452" spans="1:34" ht="12.5">
      <c r="A1452" s="1"/>
      <c r="B1452" s="1"/>
      <c r="C1452" s="1"/>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row>
    <row r="1453" spans="1:34" ht="12.5">
      <c r="A1453" s="1"/>
      <c r="B1453" s="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row>
    <row r="1454" spans="1:34" ht="12.5">
      <c r="A1454" s="1"/>
      <c r="B1454" s="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row>
    <row r="1455" spans="1:34" ht="12.5">
      <c r="A1455" s="1"/>
      <c r="B1455" s="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row>
    <row r="1456" spans="1:34" ht="12.5">
      <c r="A1456" s="1"/>
      <c r="B1456" s="1"/>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row>
    <row r="1457" spans="1:34" ht="12.5">
      <c r="A1457" s="1"/>
      <c r="B1457" s="1"/>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row>
    <row r="1458" spans="1:34" ht="12.5">
      <c r="A1458" s="1"/>
      <c r="B1458" s="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row>
    <row r="1459" spans="1:34" ht="12.5">
      <c r="A1459" s="1"/>
      <c r="B1459" s="1"/>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row>
    <row r="1460" spans="1:34" ht="12.5">
      <c r="A1460" s="1"/>
      <c r="B1460" s="1"/>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row>
    <row r="1461" spans="1:34" ht="12.5">
      <c r="A1461" s="1"/>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row>
    <row r="1462" spans="1:34" ht="12.5">
      <c r="A1462" s="1"/>
      <c r="B1462" s="1"/>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row>
    <row r="1463" spans="1:34" ht="12.5">
      <c r="A1463" s="1"/>
      <c r="B1463" s="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row>
    <row r="1464" spans="1:34" ht="12.5">
      <c r="A1464" s="1"/>
      <c r="B1464" s="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row>
    <row r="1465" spans="1:34" ht="12.5">
      <c r="A1465" s="1"/>
      <c r="B1465" s="1"/>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row>
    <row r="1466" spans="1:34" ht="12.5">
      <c r="A1466" s="1"/>
      <c r="B1466" s="1"/>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row>
    <row r="1467" spans="1:34" ht="12.5">
      <c r="A1467" s="1"/>
      <c r="B1467" s="1"/>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row>
    <row r="1468" spans="1:34" ht="12.5">
      <c r="A1468" s="1"/>
      <c r="B1468" s="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row>
    <row r="1469" spans="1:34" ht="12.5">
      <c r="A1469" s="1"/>
      <c r="B1469" s="1"/>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row>
    <row r="1470" spans="1:34" ht="12.5">
      <c r="A1470" s="1"/>
      <c r="B1470" s="1"/>
      <c r="C1470" s="1"/>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row>
    <row r="1471" spans="1:34" ht="12.5">
      <c r="A1471" s="1"/>
      <c r="B1471" s="1"/>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row>
    <row r="1472" spans="1:34" ht="12.5">
      <c r="A1472" s="1"/>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row>
    <row r="1473" spans="1:34" ht="12.5">
      <c r="A1473" s="1"/>
      <c r="B1473" s="1"/>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row>
    <row r="1474" spans="1:34" ht="12.5">
      <c r="A1474" s="1"/>
      <c r="B1474" s="1"/>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row>
    <row r="1475" spans="1:34" ht="12.5">
      <c r="A1475" s="1"/>
      <c r="B1475" s="1"/>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row>
    <row r="1476" spans="1:34" ht="12.5">
      <c r="A1476" s="1"/>
      <c r="B1476" s="1"/>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row>
    <row r="1477" spans="1:34" ht="12.5">
      <c r="A1477" s="1"/>
      <c r="B1477" s="1"/>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row>
    <row r="1478" spans="1:34" ht="12.5">
      <c r="A1478" s="1"/>
      <c r="B1478" s="1"/>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row>
    <row r="1479" spans="1:34" ht="12.5">
      <c r="A1479" s="1"/>
      <c r="B1479" s="1"/>
      <c r="C1479" s="1"/>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row>
    <row r="1480" spans="1:34" ht="12.5">
      <c r="A1480" s="1"/>
      <c r="B1480" s="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row>
    <row r="1481" spans="1:34" ht="12.5">
      <c r="A1481" s="1"/>
      <c r="B1481" s="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row>
    <row r="1482" spans="1:34" ht="12.5">
      <c r="A1482" s="1"/>
      <c r="B1482" s="1"/>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row>
    <row r="1483" spans="1:34" ht="12.5">
      <c r="A1483" s="1"/>
      <c r="B1483" s="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row>
    <row r="1484" spans="1:34" ht="12.5">
      <c r="A1484" s="1"/>
      <c r="B1484" s="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row>
    <row r="1485" spans="1:34" ht="12.5">
      <c r="A1485" s="1"/>
      <c r="B1485" s="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row>
    <row r="1486" spans="1:34" ht="12.5">
      <c r="A1486" s="1"/>
      <c r="B1486" s="1"/>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row>
    <row r="1487" spans="1:34" ht="12.5">
      <c r="A1487" s="1"/>
      <c r="B1487" s="1"/>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row>
    <row r="1488" spans="1:34" ht="12.5">
      <c r="A1488" s="1"/>
      <c r="B1488" s="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row>
    <row r="1489" spans="1:34" ht="12.5">
      <c r="A1489" s="1"/>
      <c r="B1489" s="1"/>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row>
    <row r="1490" spans="1:34" ht="12.5">
      <c r="A1490" s="1"/>
      <c r="B1490" s="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row>
    <row r="1491" spans="1:34" ht="12.5">
      <c r="A1491" s="1"/>
      <c r="B1491" s="1"/>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row>
    <row r="1492" spans="1:34" ht="12.5">
      <c r="A1492" s="1"/>
      <c r="B1492" s="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row>
    <row r="1493" spans="1:34" ht="12.5">
      <c r="A1493" s="1"/>
      <c r="B1493" s="1"/>
      <c r="C1493" s="1"/>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row>
    <row r="1494" spans="1:34" ht="12.5">
      <c r="A1494" s="1"/>
      <c r="B1494" s="1"/>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row>
    <row r="1495" spans="1:34" ht="12.5">
      <c r="A1495" s="1"/>
      <c r="B1495" s="1"/>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row>
    <row r="1496" spans="1:34" ht="12.5">
      <c r="A1496" s="1"/>
      <c r="B1496" s="1"/>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row>
    <row r="1497" spans="1:34" ht="12.5">
      <c r="A1497" s="1"/>
      <c r="B1497" s="1"/>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row>
    <row r="1498" spans="1:34" ht="12.5">
      <c r="A1498" s="1"/>
      <c r="B1498" s="1"/>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row>
    <row r="1499" spans="1:34" ht="12.5">
      <c r="A1499" s="1"/>
      <c r="B1499" s="1"/>
      <c r="C1499" s="1"/>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row>
    <row r="1500" spans="1:34" ht="12.5">
      <c r="A1500" s="1"/>
      <c r="B1500" s="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row>
    <row r="1501" spans="1:34" ht="12.5">
      <c r="A1501" s="1"/>
      <c r="B1501" s="1"/>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row>
    <row r="1502" spans="1:34" ht="12.5">
      <c r="A1502" s="1"/>
      <c r="B1502" s="1"/>
      <c r="C1502" s="1"/>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row>
    <row r="1503" spans="1:34" ht="12.5">
      <c r="A1503" s="1"/>
      <c r="B1503" s="1"/>
      <c r="C1503" s="1"/>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row>
    <row r="1504" spans="1:34" ht="12.5">
      <c r="A1504" s="1"/>
      <c r="B1504" s="1"/>
      <c r="C1504" s="1"/>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row>
    <row r="1505" spans="1:34" ht="12.5">
      <c r="A1505" s="1"/>
      <c r="B1505" s="1"/>
      <c r="C1505" s="1"/>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row>
    <row r="1506" spans="1:34" ht="12.5">
      <c r="A1506" s="1"/>
      <c r="B1506" s="1"/>
      <c r="C1506" s="1"/>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row>
    <row r="1507" spans="1:34" ht="12.5">
      <c r="A1507" s="1"/>
      <c r="B1507" s="1"/>
      <c r="C1507" s="1"/>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row>
    <row r="1508" spans="1:34" ht="12.5">
      <c r="A1508" s="1"/>
      <c r="B1508" s="1"/>
      <c r="C1508" s="1"/>
      <c r="D1508" s="1"/>
      <c r="E1508" s="1"/>
      <c r="F1508" s="1"/>
      <c r="G1508" s="1"/>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row>
    <row r="1509" spans="1:34" ht="12.5">
      <c r="A1509" s="1"/>
      <c r="B1509" s="1"/>
      <c r="C1509" s="1"/>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row>
    <row r="1510" spans="1:34" ht="12.5">
      <c r="A1510" s="1"/>
      <c r="B1510" s="1"/>
      <c r="C1510" s="1"/>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row>
    <row r="1511" spans="1:34" ht="12.5">
      <c r="A1511" s="1"/>
      <c r="B1511" s="1"/>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row>
    <row r="1512" spans="1:34" ht="12.5">
      <c r="A1512" s="1"/>
      <c r="B1512" s="1"/>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row>
    <row r="1513" spans="1:34" ht="12.5">
      <c r="A1513" s="1"/>
      <c r="B1513" s="1"/>
      <c r="C1513" s="1"/>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row>
    <row r="1514" spans="1:34" ht="12.5">
      <c r="A1514" s="1"/>
      <c r="B1514" s="1"/>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row>
    <row r="1515" spans="1:34" ht="12.5">
      <c r="A1515" s="1"/>
      <c r="B1515" s="1"/>
      <c r="C1515" s="1"/>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row>
    <row r="1516" spans="1:34" ht="12.5">
      <c r="A1516" s="1"/>
      <c r="B1516" s="1"/>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row>
    <row r="1517" spans="1:34" ht="12.5">
      <c r="A1517" s="1"/>
      <c r="B1517" s="1"/>
      <c r="C1517" s="1"/>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row>
    <row r="1518" spans="1:34" ht="12.5">
      <c r="A1518" s="1"/>
      <c r="B1518" s="1"/>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row>
    <row r="1519" spans="1:34" ht="12.5">
      <c r="A1519" s="1"/>
      <c r="B1519" s="1"/>
      <c r="C1519" s="1"/>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row>
    <row r="1520" spans="1:34" ht="12.5">
      <c r="A1520" s="1"/>
      <c r="B1520" s="1"/>
      <c r="C1520" s="1"/>
      <c r="D1520" s="1"/>
      <c r="E1520" s="1"/>
      <c r="F1520" s="1"/>
      <c r="G1520" s="1"/>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row>
    <row r="1521" spans="1:34" ht="12.5">
      <c r="A1521" s="1"/>
      <c r="B1521" s="1"/>
      <c r="C1521" s="1"/>
      <c r="D1521" s="1"/>
      <c r="E1521" s="1"/>
      <c r="F1521" s="1"/>
      <c r="G1521" s="1"/>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row>
    <row r="1522" spans="1:34" ht="12.5">
      <c r="A1522" s="1"/>
      <c r="B1522" s="1"/>
      <c r="C1522" s="1"/>
      <c r="D1522" s="1"/>
      <c r="E1522" s="1"/>
      <c r="F1522" s="1"/>
      <c r="G1522" s="1"/>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row>
    <row r="1523" spans="1:34" ht="12.5">
      <c r="A1523" s="1"/>
      <c r="B1523" s="1"/>
      <c r="C1523" s="1"/>
      <c r="D1523" s="1"/>
      <c r="E1523" s="1"/>
      <c r="F1523" s="1"/>
      <c r="G1523" s="1"/>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row>
    <row r="1524" spans="1:34" ht="12.5">
      <c r="A1524" s="1"/>
      <c r="B1524" s="1"/>
      <c r="C1524" s="1"/>
      <c r="D1524" s="1"/>
      <c r="E1524" s="1"/>
      <c r="F1524" s="1"/>
      <c r="G1524" s="1"/>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row>
    <row r="1525" spans="1:34" ht="12.5">
      <c r="A1525" s="1"/>
      <c r="B1525" s="1"/>
      <c r="C1525" s="1"/>
      <c r="D1525" s="1"/>
      <c r="E1525" s="1"/>
      <c r="F1525" s="1"/>
      <c r="G1525" s="1"/>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row>
    <row r="1526" spans="1:34" ht="12.5">
      <c r="A1526" s="1"/>
      <c r="B1526" s="1"/>
      <c r="C1526" s="1"/>
      <c r="D1526" s="1"/>
      <c r="E1526" s="1"/>
      <c r="F1526" s="1"/>
      <c r="G1526" s="1"/>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row>
    <row r="1527" spans="1:34" ht="12.5">
      <c r="A1527" s="1"/>
      <c r="B1527" s="1"/>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row>
    <row r="1528" spans="1:34" ht="12.5">
      <c r="A1528" s="1"/>
      <c r="B1528" s="1"/>
      <c r="C1528" s="1"/>
      <c r="D1528" s="1"/>
      <c r="E1528" s="1"/>
      <c r="F1528" s="1"/>
      <c r="G1528" s="1"/>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row>
    <row r="1529" spans="1:34" ht="12.5">
      <c r="A1529" s="1"/>
      <c r="B1529" s="1"/>
      <c r="C1529" s="1"/>
      <c r="D1529" s="1"/>
      <c r="E1529" s="1"/>
      <c r="F1529" s="1"/>
      <c r="G1529" s="1"/>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row>
    <row r="1530" spans="1:34" ht="12.5">
      <c r="A1530" s="1"/>
      <c r="B1530" s="1"/>
      <c r="C1530" s="1"/>
      <c r="D1530" s="1"/>
      <c r="E1530" s="1"/>
      <c r="F1530" s="1"/>
      <c r="G1530" s="1"/>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row>
    <row r="1531" spans="1:34" ht="12.5">
      <c r="A1531" s="1"/>
      <c r="B1531" s="1"/>
      <c r="C1531" s="1"/>
      <c r="D1531" s="1"/>
      <c r="E1531" s="1"/>
      <c r="F1531" s="1"/>
      <c r="G1531" s="1"/>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row>
    <row r="1532" spans="1:34" ht="12.5">
      <c r="A1532" s="1"/>
      <c r="B1532" s="1"/>
      <c r="C1532" s="1"/>
      <c r="D1532" s="1"/>
      <c r="E1532" s="1"/>
      <c r="F1532" s="1"/>
      <c r="G1532" s="1"/>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row>
    <row r="1533" spans="1:34" ht="12.5">
      <c r="A1533" s="1"/>
      <c r="B1533" s="1"/>
      <c r="C1533" s="1"/>
      <c r="D1533" s="1"/>
      <c r="E1533" s="1"/>
      <c r="F1533" s="1"/>
      <c r="G1533" s="1"/>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row>
    <row r="1534" spans="1:34" ht="12.5">
      <c r="A1534" s="1"/>
      <c r="B1534" s="1"/>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row>
    <row r="1535" spans="1:34" ht="12.5">
      <c r="A1535" s="1"/>
      <c r="B1535" s="1"/>
      <c r="C1535" s="1"/>
      <c r="D1535" s="1"/>
      <c r="E1535" s="1"/>
      <c r="F1535" s="1"/>
      <c r="G1535" s="1"/>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row>
    <row r="1536" spans="1:34" ht="12.5">
      <c r="A1536" s="1"/>
      <c r="B1536" s="1"/>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row>
    <row r="1537" spans="1:34" ht="12.5">
      <c r="A1537" s="1"/>
      <c r="B1537" s="1"/>
      <c r="C1537" s="1"/>
      <c r="D1537" s="1"/>
      <c r="E1537" s="1"/>
      <c r="F1537" s="1"/>
      <c r="G1537" s="1"/>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row>
    <row r="1538" spans="1:34" ht="12.5">
      <c r="A1538" s="1"/>
      <c r="B1538" s="1"/>
      <c r="C1538" s="1"/>
      <c r="D1538" s="1"/>
      <c r="E1538" s="1"/>
      <c r="F1538" s="1"/>
      <c r="G1538" s="1"/>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row>
    <row r="1539" spans="1:34" ht="12.5">
      <c r="A1539" s="1"/>
      <c r="B1539" s="1"/>
      <c r="C1539" s="1"/>
      <c r="D1539" s="1"/>
      <c r="E1539" s="1"/>
      <c r="F1539" s="1"/>
      <c r="G1539" s="1"/>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row>
    <row r="1540" spans="1:34" ht="12.5">
      <c r="A1540" s="1"/>
      <c r="B1540" s="1"/>
      <c r="C1540" s="1"/>
      <c r="D1540" s="1"/>
      <c r="E1540" s="1"/>
      <c r="F1540" s="1"/>
      <c r="G1540" s="1"/>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row>
    <row r="1541" spans="1:34" ht="12.5">
      <c r="A1541" s="1"/>
      <c r="B1541" s="1"/>
      <c r="C1541" s="1"/>
      <c r="D1541" s="1"/>
      <c r="E1541" s="1"/>
      <c r="F1541" s="1"/>
      <c r="G1541" s="1"/>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row>
    <row r="1542" spans="1:34" ht="12.5">
      <c r="A1542" s="1"/>
      <c r="B1542" s="1"/>
      <c r="C1542" s="1"/>
      <c r="D1542" s="1"/>
      <c r="E1542" s="1"/>
      <c r="F1542" s="1"/>
      <c r="G1542" s="1"/>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row>
    <row r="1543" spans="1:34" ht="12.5">
      <c r="A1543" s="1"/>
      <c r="B1543" s="1"/>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row>
    <row r="1544" spans="1:34" ht="12.5">
      <c r="A1544" s="1"/>
      <c r="B1544" s="1"/>
      <c r="C1544" s="1"/>
      <c r="D1544" s="1"/>
      <c r="E1544" s="1"/>
      <c r="F1544" s="1"/>
      <c r="G1544" s="1"/>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row>
    <row r="1545" spans="1:34" ht="12.5">
      <c r="A1545" s="1"/>
      <c r="B1545" s="1"/>
      <c r="C1545" s="1"/>
      <c r="D1545" s="1"/>
      <c r="E1545" s="1"/>
      <c r="F1545" s="1"/>
      <c r="G1545" s="1"/>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row>
    <row r="1546" spans="1:34" ht="12.5">
      <c r="A1546" s="1"/>
      <c r="B1546" s="1"/>
      <c r="C1546" s="1"/>
      <c r="D1546" s="1"/>
      <c r="E1546" s="1"/>
      <c r="F1546" s="1"/>
      <c r="G1546" s="1"/>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row>
    <row r="1547" spans="1:34" ht="12.5">
      <c r="A1547" s="1"/>
      <c r="B1547" s="1"/>
      <c r="C1547" s="1"/>
      <c r="D1547" s="1"/>
      <c r="E1547" s="1"/>
      <c r="F1547" s="1"/>
      <c r="G1547" s="1"/>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row>
    <row r="1548" spans="1:34" ht="12.5">
      <c r="A1548" s="1"/>
      <c r="B1548" s="1"/>
      <c r="C1548" s="1"/>
      <c r="D1548" s="1"/>
      <c r="E1548" s="1"/>
      <c r="F1548" s="1"/>
      <c r="G1548" s="1"/>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row>
    <row r="1549" spans="1:34" ht="12.5">
      <c r="A1549" s="1"/>
      <c r="B1549" s="1"/>
      <c r="C1549" s="1"/>
      <c r="D1549" s="1"/>
      <c r="E1549" s="1"/>
      <c r="F1549" s="1"/>
      <c r="G1549" s="1"/>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row>
    <row r="1550" spans="1:34" ht="12.5">
      <c r="A1550" s="1"/>
      <c r="B1550" s="1"/>
      <c r="C1550" s="1"/>
      <c r="D1550" s="1"/>
      <c r="E1550" s="1"/>
      <c r="F1550" s="1"/>
      <c r="G1550" s="1"/>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row>
    <row r="1551" spans="1:34" ht="12.5">
      <c r="A1551" s="1"/>
      <c r="B1551" s="1"/>
      <c r="C1551" s="1"/>
      <c r="D1551" s="1"/>
      <c r="E1551" s="1"/>
      <c r="F1551" s="1"/>
      <c r="G1551" s="1"/>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row>
    <row r="1552" spans="1:34" ht="12.5">
      <c r="A1552" s="1"/>
      <c r="B1552" s="1"/>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row>
    <row r="1553" spans="1:34" ht="12.5">
      <c r="A1553" s="1"/>
      <c r="B1553" s="1"/>
      <c r="C1553" s="1"/>
      <c r="D1553" s="1"/>
      <c r="E1553" s="1"/>
      <c r="F1553" s="1"/>
      <c r="G1553" s="1"/>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row>
    <row r="1554" spans="1:34" ht="12.5">
      <c r="A1554" s="1"/>
      <c r="B1554" s="1"/>
      <c r="C1554" s="1"/>
      <c r="D1554" s="1"/>
      <c r="E1554" s="1"/>
      <c r="F1554" s="1"/>
      <c r="G1554" s="1"/>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row>
    <row r="1555" spans="1:34" ht="12.5">
      <c r="A1555" s="1"/>
      <c r="B1555" s="1"/>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row>
    <row r="1556" spans="1:34" ht="12.5">
      <c r="A1556" s="1"/>
      <c r="B1556" s="1"/>
      <c r="C1556" s="1"/>
      <c r="D1556" s="1"/>
      <c r="E1556" s="1"/>
      <c r="F1556" s="1"/>
      <c r="G1556" s="1"/>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row>
    <row r="1557" spans="1:34" ht="12.5">
      <c r="A1557" s="1"/>
      <c r="B1557" s="1"/>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row>
    <row r="1558" spans="1:34" ht="12.5">
      <c r="A1558" s="1"/>
      <c r="B1558" s="1"/>
      <c r="C1558" s="1"/>
      <c r="D1558" s="1"/>
      <c r="E1558" s="1"/>
      <c r="F1558" s="1"/>
      <c r="G1558" s="1"/>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row>
    <row r="1559" spans="1:34" ht="12.5">
      <c r="A1559" s="1"/>
      <c r="B1559" s="1"/>
      <c r="C1559" s="1"/>
      <c r="D1559" s="1"/>
      <c r="E1559" s="1"/>
      <c r="F1559" s="1"/>
      <c r="G1559" s="1"/>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row>
    <row r="1560" spans="1:34" ht="12.5">
      <c r="A1560" s="1"/>
      <c r="B1560" s="1"/>
      <c r="C1560" s="1"/>
      <c r="D1560" s="1"/>
      <c r="E1560" s="1"/>
      <c r="F1560" s="1"/>
      <c r="G1560" s="1"/>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row>
    <row r="1561" spans="1:34" ht="12.5">
      <c r="A1561" s="1"/>
      <c r="B1561" s="1"/>
      <c r="C1561" s="1"/>
      <c r="D1561" s="1"/>
      <c r="E1561" s="1"/>
      <c r="F1561" s="1"/>
      <c r="G1561" s="1"/>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row>
    <row r="1562" spans="1:34" ht="12.5">
      <c r="A1562" s="1"/>
      <c r="B1562" s="1"/>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row>
    <row r="1563" spans="1:34" ht="12.5">
      <c r="A1563" s="1"/>
      <c r="B1563" s="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row>
    <row r="1564" spans="1:34" ht="12.5">
      <c r="A1564" s="1"/>
      <c r="B1564" s="1"/>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row>
    <row r="1565" spans="1:34" ht="12.5">
      <c r="A1565" s="1"/>
      <c r="B1565" s="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row>
    <row r="1566" spans="1:34" ht="12.5">
      <c r="A1566" s="1"/>
      <c r="B1566" s="1"/>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row>
    <row r="1567" spans="1:34" ht="12.5">
      <c r="A1567" s="1"/>
      <c r="B1567" s="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row>
    <row r="1568" spans="1:34" ht="12.5">
      <c r="A1568" s="1"/>
      <c r="B1568" s="1"/>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row>
    <row r="1569" spans="1:34" ht="12.5">
      <c r="A1569" s="1"/>
      <c r="B1569" s="1"/>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row>
    <row r="1570" spans="1:34" ht="12.5">
      <c r="A1570" s="1"/>
      <c r="B1570" s="1"/>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row>
    <row r="1571" spans="1:34" ht="12.5">
      <c r="A1571" s="1"/>
      <c r="B1571" s="1"/>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row>
    <row r="1572" spans="1:34" ht="12.5">
      <c r="A1572" s="1"/>
      <c r="B1572" s="1"/>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row>
    <row r="1573" spans="1:34" ht="12.5">
      <c r="A1573" s="1"/>
      <c r="B1573" s="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row>
    <row r="1574" spans="1:34" ht="12.5">
      <c r="A1574" s="1"/>
      <c r="B1574" s="1"/>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row>
    <row r="1575" spans="1:34" ht="12.5">
      <c r="A1575" s="1"/>
      <c r="B1575" s="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row>
    <row r="1576" spans="1:34" ht="12.5">
      <c r="A1576" s="1"/>
      <c r="B1576" s="1"/>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row>
    <row r="1577" spans="1:34" ht="12.5">
      <c r="A1577" s="1"/>
      <c r="B1577" s="1"/>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row>
    <row r="1578" spans="1:34" ht="12.5">
      <c r="A1578" s="1"/>
      <c r="B1578" s="1"/>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row>
    <row r="1579" spans="1:34" ht="12.5">
      <c r="A1579" s="1"/>
      <c r="B1579" s="1"/>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row>
    <row r="1580" spans="1:34" ht="12.5">
      <c r="A1580" s="1"/>
      <c r="B1580" s="1"/>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row>
    <row r="1581" spans="1:34" ht="12.5">
      <c r="A1581" s="1"/>
      <c r="B1581" s="1"/>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row>
    <row r="1582" spans="1:34" ht="12.5">
      <c r="A1582" s="1"/>
      <c r="B1582" s="1"/>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row>
    <row r="1583" spans="1:34" ht="12.5">
      <c r="A1583" s="1"/>
      <c r="B1583" s="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row>
    <row r="1584" spans="1:34" ht="12.5">
      <c r="A1584" s="1"/>
      <c r="B1584" s="1"/>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row>
    <row r="1585" spans="1:34" ht="12.5">
      <c r="A1585" s="1"/>
      <c r="B1585" s="1"/>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row>
    <row r="1586" spans="1:34" ht="12.5">
      <c r="A1586" s="1"/>
      <c r="B1586" s="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row>
    <row r="1587" spans="1:34" ht="12.5">
      <c r="A1587" s="1"/>
      <c r="B1587" s="1"/>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row>
    <row r="1588" spans="1:34" ht="12.5">
      <c r="A1588" s="1"/>
      <c r="B1588" s="1"/>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row>
    <row r="1589" spans="1:34" ht="12.5">
      <c r="A1589" s="1"/>
      <c r="B1589" s="1"/>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row>
    <row r="1590" spans="1:34" ht="12.5">
      <c r="A1590" s="1"/>
      <c r="B1590" s="1"/>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row>
    <row r="1591" spans="1:34" ht="12.5">
      <c r="A1591" s="1"/>
      <c r="B1591" s="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row>
    <row r="1592" spans="1:34" ht="12.5">
      <c r="A1592" s="1"/>
      <c r="B1592" s="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row>
    <row r="1593" spans="1:34" ht="12.5">
      <c r="A1593" s="1"/>
      <c r="B1593" s="1"/>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row>
    <row r="1594" spans="1:34" ht="12.5">
      <c r="A1594" s="1"/>
      <c r="B1594" s="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row>
    <row r="1595" spans="1:34" ht="12.5">
      <c r="A1595" s="1"/>
      <c r="B1595" s="1"/>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row>
    <row r="1596" spans="1:34" ht="12.5">
      <c r="A1596" s="1"/>
      <c r="B1596" s="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row>
    <row r="1597" spans="1:34" ht="12.5">
      <c r="A1597" s="1"/>
      <c r="B1597" s="1"/>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row>
    <row r="1598" spans="1:34" ht="12.5">
      <c r="A1598" s="1"/>
      <c r="B1598" s="1"/>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row>
    <row r="1599" spans="1:34" ht="12.5">
      <c r="A1599" s="1"/>
      <c r="B1599" s="1"/>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row>
    <row r="1600" spans="1:34" ht="12.5">
      <c r="A1600" s="1"/>
      <c r="B1600" s="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row>
    <row r="1601" spans="1:34" ht="12.5">
      <c r="A1601" s="1"/>
      <c r="B1601" s="1"/>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row>
    <row r="1602" spans="1:34" ht="12.5">
      <c r="A1602" s="1"/>
      <c r="B1602" s="1"/>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row>
    <row r="1603" spans="1:34" ht="12.5">
      <c r="A1603" s="1"/>
      <c r="B1603" s="1"/>
      <c r="C1603" s="1"/>
      <c r="D1603" s="1"/>
      <c r="E1603" s="1"/>
      <c r="F1603" s="1"/>
      <c r="G1603" s="1"/>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row>
    <row r="1604" spans="1:34" ht="12.5">
      <c r="A1604" s="1"/>
      <c r="B1604" s="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row>
    <row r="1605" spans="1:34" ht="12.5">
      <c r="A1605" s="1"/>
      <c r="B1605" s="1"/>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row>
    <row r="1606" spans="1:34" ht="12.5">
      <c r="A1606" s="1"/>
      <c r="B1606" s="1"/>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row>
    <row r="1607" spans="1:34" ht="12.5">
      <c r="A1607" s="1"/>
      <c r="B1607" s="1"/>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row>
    <row r="1608" spans="1:34" ht="12.5">
      <c r="A1608" s="1"/>
      <c r="B1608" s="1"/>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row>
    <row r="1609" spans="1:34" ht="12.5">
      <c r="A1609" s="1"/>
      <c r="B1609" s="1"/>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row>
    <row r="1610" spans="1:34" ht="12.5">
      <c r="A1610" s="1"/>
      <c r="B1610" s="1"/>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row>
    <row r="1611" spans="1:34" ht="12.5">
      <c r="A1611" s="1"/>
      <c r="B1611" s="1"/>
      <c r="C1611" s="1"/>
      <c r="D1611" s="1"/>
      <c r="E1611" s="1"/>
      <c r="F1611" s="1"/>
      <c r="G1611" s="1"/>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row>
    <row r="1612" spans="1:34" ht="12.5">
      <c r="A1612" s="1"/>
      <c r="B1612" s="1"/>
      <c r="C1612" s="1"/>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row>
    <row r="1613" spans="1:34" ht="12.5">
      <c r="A1613" s="1"/>
      <c r="B1613" s="1"/>
      <c r="C1613" s="1"/>
      <c r="D1613" s="1"/>
      <c r="E1613" s="1"/>
      <c r="F1613" s="1"/>
      <c r="G1613" s="1"/>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row>
    <row r="1614" spans="1:34" ht="12.5">
      <c r="A1614" s="1"/>
      <c r="B1614" s="1"/>
      <c r="C1614" s="1"/>
      <c r="D1614" s="1"/>
      <c r="E1614" s="1"/>
      <c r="F1614" s="1"/>
      <c r="G1614" s="1"/>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row>
    <row r="1615" spans="1:34" ht="12.5">
      <c r="A1615" s="1"/>
      <c r="B1615" s="1"/>
      <c r="C1615" s="1"/>
      <c r="D1615" s="1"/>
      <c r="E1615" s="1"/>
      <c r="F1615" s="1"/>
      <c r="G1615" s="1"/>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row>
    <row r="1616" spans="1:34" ht="12.5">
      <c r="A1616" s="1"/>
      <c r="B1616" s="1"/>
      <c r="C1616" s="1"/>
      <c r="D1616" s="1"/>
      <c r="E1616" s="1"/>
      <c r="F1616" s="1"/>
      <c r="G1616" s="1"/>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row>
    <row r="1617" spans="1:34" ht="12.5">
      <c r="A1617" s="1"/>
      <c r="B1617" s="1"/>
      <c r="C1617" s="1"/>
      <c r="D1617" s="1"/>
      <c r="E1617" s="1"/>
      <c r="F1617" s="1"/>
      <c r="G1617" s="1"/>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row>
    <row r="1618" spans="1:34" ht="12.5">
      <c r="A1618" s="1"/>
      <c r="B1618" s="1"/>
      <c r="C1618" s="1"/>
      <c r="D1618" s="1"/>
      <c r="E1618" s="1"/>
      <c r="F1618" s="1"/>
      <c r="G1618" s="1"/>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row>
    <row r="1619" spans="1:34" ht="12.5">
      <c r="A1619" s="1"/>
      <c r="B1619" s="1"/>
      <c r="C1619" s="1"/>
      <c r="D1619" s="1"/>
      <c r="E1619" s="1"/>
      <c r="F1619" s="1"/>
      <c r="G1619" s="1"/>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row>
    <row r="1620" spans="1:34" ht="12.5">
      <c r="A1620" s="1"/>
      <c r="B1620" s="1"/>
      <c r="C1620" s="1"/>
      <c r="D1620" s="1"/>
      <c r="E1620" s="1"/>
      <c r="F1620" s="1"/>
      <c r="G1620" s="1"/>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row>
    <row r="1621" spans="1:34" ht="12.5">
      <c r="A1621" s="1"/>
      <c r="B1621" s="1"/>
      <c r="C1621" s="1"/>
      <c r="D1621" s="1"/>
      <c r="E1621" s="1"/>
      <c r="F1621" s="1"/>
      <c r="G1621" s="1"/>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row>
    <row r="1622" spans="1:34" ht="12.5">
      <c r="A1622" s="1"/>
      <c r="B1622" s="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row>
    <row r="1623" spans="1:34" ht="12.5">
      <c r="A1623" s="1"/>
      <c r="B1623" s="1"/>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row>
    <row r="1624" spans="1:34" ht="12.5">
      <c r="A1624" s="1"/>
      <c r="B1624" s="1"/>
      <c r="C1624" s="1"/>
      <c r="D1624" s="1"/>
      <c r="E1624" s="1"/>
      <c r="F1624" s="1"/>
      <c r="G1624" s="1"/>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row>
    <row r="1625" spans="1:34" ht="12.5">
      <c r="A1625" s="1"/>
      <c r="B1625" s="1"/>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row>
    <row r="1626" spans="1:34" ht="12.5">
      <c r="A1626" s="1"/>
      <c r="B1626" s="1"/>
      <c r="C1626" s="1"/>
      <c r="D1626" s="1"/>
      <c r="E1626" s="1"/>
      <c r="F1626" s="1"/>
      <c r="G1626" s="1"/>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row>
    <row r="1627" spans="1:34" ht="12.5">
      <c r="A1627" s="1"/>
      <c r="B1627" s="1"/>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row>
    <row r="1628" spans="1:34" ht="12.5">
      <c r="A1628" s="1"/>
      <c r="B1628" s="1"/>
      <c r="C1628" s="1"/>
      <c r="D1628" s="1"/>
      <c r="E1628" s="1"/>
      <c r="F1628" s="1"/>
      <c r="G1628" s="1"/>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row>
    <row r="1629" spans="1:34" ht="12.5">
      <c r="A1629" s="1"/>
      <c r="B1629" s="1"/>
      <c r="C1629" s="1"/>
      <c r="D1629" s="1"/>
      <c r="E1629" s="1"/>
      <c r="F1629" s="1"/>
      <c r="G1629" s="1"/>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row>
    <row r="1630" spans="1:34" ht="12.5">
      <c r="A1630" s="1"/>
      <c r="B1630" s="1"/>
      <c r="C1630" s="1"/>
      <c r="D1630" s="1"/>
      <c r="E1630" s="1"/>
      <c r="F1630" s="1"/>
      <c r="G1630" s="1"/>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row>
    <row r="1631" spans="1:34" ht="12.5">
      <c r="A1631" s="1"/>
      <c r="B1631" s="1"/>
      <c r="C1631" s="1"/>
      <c r="D1631" s="1"/>
      <c r="E1631" s="1"/>
      <c r="F1631" s="1"/>
      <c r="G1631" s="1"/>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row>
    <row r="1632" spans="1:34" ht="12.5">
      <c r="A1632" s="1"/>
      <c r="B1632" s="1"/>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row>
    <row r="1633" spans="1:34" ht="12.5">
      <c r="A1633" s="1"/>
      <c r="B1633" s="1"/>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row>
    <row r="1634" spans="1:34" ht="12.5">
      <c r="A1634" s="1"/>
      <c r="B1634" s="1"/>
      <c r="C1634" s="1"/>
      <c r="D1634" s="1"/>
      <c r="E1634" s="1"/>
      <c r="F1634" s="1"/>
      <c r="G1634" s="1"/>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row>
    <row r="1635" spans="1:34" ht="12.5">
      <c r="A1635" s="1"/>
      <c r="B1635" s="1"/>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row>
    <row r="1636" spans="1:34" ht="12.5">
      <c r="A1636" s="1"/>
      <c r="B1636" s="1"/>
      <c r="C1636" s="1"/>
      <c r="D1636" s="1"/>
      <c r="E1636" s="1"/>
      <c r="F1636" s="1"/>
      <c r="G1636" s="1"/>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row>
    <row r="1637" spans="1:34" ht="12.5">
      <c r="A1637" s="1"/>
      <c r="B1637" s="1"/>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row>
    <row r="1638" spans="1:34" ht="12.5">
      <c r="A1638" s="1"/>
      <c r="B1638" s="1"/>
      <c r="C1638" s="1"/>
      <c r="D1638" s="1"/>
      <c r="E1638" s="1"/>
      <c r="F1638" s="1"/>
      <c r="G1638" s="1"/>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row>
    <row r="1639" spans="1:34" ht="12.5">
      <c r="A1639" s="1"/>
      <c r="B1639" s="1"/>
      <c r="C1639" s="1"/>
      <c r="D1639" s="1"/>
      <c r="E1639" s="1"/>
      <c r="F1639" s="1"/>
      <c r="G1639" s="1"/>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row>
    <row r="1640" spans="1:34" ht="12.5">
      <c r="A1640" s="1"/>
      <c r="B1640" s="1"/>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row>
    <row r="1641" spans="1:34" ht="12.5">
      <c r="A1641" s="1"/>
      <c r="B1641" s="1"/>
      <c r="C1641" s="1"/>
      <c r="D1641" s="1"/>
      <c r="E1641" s="1"/>
      <c r="F1641" s="1"/>
      <c r="G1641" s="1"/>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row>
    <row r="1642" spans="1:34" ht="12.5">
      <c r="A1642" s="1"/>
      <c r="B1642" s="1"/>
      <c r="C1642" s="1"/>
      <c r="D1642" s="1"/>
      <c r="E1642" s="1"/>
      <c r="F1642" s="1"/>
      <c r="G1642" s="1"/>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row>
    <row r="1643" spans="1:34" ht="12.5">
      <c r="A1643" s="1"/>
      <c r="B1643" s="1"/>
      <c r="C1643" s="1"/>
      <c r="D1643" s="1"/>
      <c r="E1643" s="1"/>
      <c r="F1643" s="1"/>
      <c r="G1643" s="1"/>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row>
    <row r="1644" spans="1:34" ht="12.5">
      <c r="A1644" s="1"/>
      <c r="B1644" s="1"/>
      <c r="C1644" s="1"/>
      <c r="D1644" s="1"/>
      <c r="E1644" s="1"/>
      <c r="F1644" s="1"/>
      <c r="G1644" s="1"/>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row>
    <row r="1645" spans="1:34" ht="12.5">
      <c r="A1645" s="1"/>
      <c r="B1645" s="1"/>
      <c r="C1645" s="1"/>
      <c r="D1645" s="1"/>
      <c r="E1645" s="1"/>
      <c r="F1645" s="1"/>
      <c r="G1645" s="1"/>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row>
    <row r="1646" spans="1:34" ht="12.5">
      <c r="A1646" s="1"/>
      <c r="B1646" s="1"/>
      <c r="C1646" s="1"/>
      <c r="D1646" s="1"/>
      <c r="E1646" s="1"/>
      <c r="F1646" s="1"/>
      <c r="G1646" s="1"/>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row>
    <row r="1647" spans="1:34" ht="12.5">
      <c r="A1647" s="1"/>
      <c r="B1647" s="1"/>
      <c r="C1647" s="1"/>
      <c r="D1647" s="1"/>
      <c r="E1647" s="1"/>
      <c r="F1647" s="1"/>
      <c r="G1647" s="1"/>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row>
    <row r="1648" spans="1:34" ht="12.5">
      <c r="A1648" s="1"/>
      <c r="B1648" s="1"/>
      <c r="C1648" s="1"/>
      <c r="D1648" s="1"/>
      <c r="E1648" s="1"/>
      <c r="F1648" s="1"/>
      <c r="G1648" s="1"/>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row>
    <row r="1649" spans="1:34" ht="12.5">
      <c r="A1649" s="1"/>
      <c r="B1649" s="1"/>
      <c r="C1649" s="1"/>
      <c r="D1649" s="1"/>
      <c r="E1649" s="1"/>
      <c r="F1649" s="1"/>
      <c r="G1649" s="1"/>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row>
    <row r="1650" spans="1:34" ht="12.5">
      <c r="A1650" s="1"/>
      <c r="B1650" s="1"/>
      <c r="C1650" s="1"/>
      <c r="D1650" s="1"/>
      <c r="E1650" s="1"/>
      <c r="F1650" s="1"/>
      <c r="G1650" s="1"/>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row>
    <row r="1651" spans="1:34" ht="12.5">
      <c r="A1651" s="1"/>
      <c r="B1651" s="1"/>
      <c r="C1651" s="1"/>
      <c r="D1651" s="1"/>
      <c r="E1651" s="1"/>
      <c r="F1651" s="1"/>
      <c r="G1651" s="1"/>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row>
    <row r="1652" spans="1:34" ht="12.5">
      <c r="A1652" s="1"/>
      <c r="B1652" s="1"/>
      <c r="C1652" s="1"/>
      <c r="D1652" s="1"/>
      <c r="E1652" s="1"/>
      <c r="F1652" s="1"/>
      <c r="G1652" s="1"/>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row>
    <row r="1653" spans="1:34" ht="12.5">
      <c r="A1653" s="1"/>
      <c r="B1653" s="1"/>
      <c r="C1653" s="1"/>
      <c r="D1653" s="1"/>
      <c r="E1653" s="1"/>
      <c r="F1653" s="1"/>
      <c r="G1653" s="1"/>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row>
    <row r="1654" spans="1:34" ht="12.5">
      <c r="A1654" s="1"/>
      <c r="B1654" s="1"/>
      <c r="C1654" s="1"/>
      <c r="D1654" s="1"/>
      <c r="E1654" s="1"/>
      <c r="F1654" s="1"/>
      <c r="G1654" s="1"/>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row>
    <row r="1655" spans="1:34" ht="12.5">
      <c r="A1655" s="1"/>
      <c r="B1655" s="1"/>
      <c r="C1655" s="1"/>
      <c r="D1655" s="1"/>
      <c r="E1655" s="1"/>
      <c r="F1655" s="1"/>
      <c r="G1655" s="1"/>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row>
    <row r="1656" spans="1:34" ht="12.5">
      <c r="A1656" s="1"/>
      <c r="B1656" s="1"/>
      <c r="C1656" s="1"/>
      <c r="D1656" s="1"/>
      <c r="E1656" s="1"/>
      <c r="F1656" s="1"/>
      <c r="G1656" s="1"/>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row>
    <row r="1657" spans="1:34" ht="12.5">
      <c r="A1657" s="1"/>
      <c r="B1657" s="1"/>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row>
    <row r="1658" spans="1:34" ht="12.5">
      <c r="A1658" s="1"/>
      <c r="B1658" s="1"/>
      <c r="C1658" s="1"/>
      <c r="D1658" s="1"/>
      <c r="E1658" s="1"/>
      <c r="F1658" s="1"/>
      <c r="G1658" s="1"/>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row>
    <row r="1659" spans="1:34" ht="12.5">
      <c r="A1659" s="1"/>
      <c r="B1659" s="1"/>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row>
    <row r="1660" spans="1:34" ht="12.5">
      <c r="A1660" s="1"/>
      <c r="B1660" s="1"/>
      <c r="C1660" s="1"/>
      <c r="D1660" s="1"/>
      <c r="E1660" s="1"/>
      <c r="F1660" s="1"/>
      <c r="G1660" s="1"/>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row>
    <row r="1661" spans="1:34" ht="12.5">
      <c r="A1661" s="1"/>
      <c r="B1661" s="1"/>
      <c r="C1661" s="1"/>
      <c r="D1661" s="1"/>
      <c r="E1661" s="1"/>
      <c r="F1661" s="1"/>
      <c r="G1661" s="1"/>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row>
    <row r="1662" spans="1:34" ht="12.5">
      <c r="A1662" s="1"/>
      <c r="B1662" s="1"/>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row>
    <row r="1663" spans="1:34" ht="12.5">
      <c r="A1663" s="1"/>
      <c r="B1663" s="1"/>
      <c r="C1663" s="1"/>
      <c r="D1663" s="1"/>
      <c r="E1663" s="1"/>
      <c r="F1663" s="1"/>
      <c r="G1663" s="1"/>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row>
    <row r="1664" spans="1:34" ht="12.5">
      <c r="A1664" s="1"/>
      <c r="B1664" s="1"/>
      <c r="C1664" s="1"/>
      <c r="D1664" s="1"/>
      <c r="E1664" s="1"/>
      <c r="F1664" s="1"/>
      <c r="G1664" s="1"/>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row>
    <row r="1665" spans="1:34" ht="12.5">
      <c r="A1665" s="1"/>
      <c r="B1665" s="1"/>
      <c r="C1665" s="1"/>
      <c r="D1665" s="1"/>
      <c r="E1665" s="1"/>
      <c r="F1665" s="1"/>
      <c r="G1665" s="1"/>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row>
    <row r="1666" spans="1:34" ht="12.5">
      <c r="A1666" s="1"/>
      <c r="B1666" s="1"/>
      <c r="C1666" s="1"/>
      <c r="D1666" s="1"/>
      <c r="E1666" s="1"/>
      <c r="F1666" s="1"/>
      <c r="G1666" s="1"/>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row>
    <row r="1667" spans="1:34" ht="12.5">
      <c r="A1667" s="1"/>
      <c r="B1667" s="1"/>
      <c r="C1667" s="1"/>
      <c r="D1667" s="1"/>
      <c r="E1667" s="1"/>
      <c r="F1667" s="1"/>
      <c r="G1667" s="1"/>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row>
    <row r="1668" spans="1:34" ht="12.5">
      <c r="A1668" s="1"/>
      <c r="B1668" s="1"/>
      <c r="C1668" s="1"/>
      <c r="D1668" s="1"/>
      <c r="E1668" s="1"/>
      <c r="F1668" s="1"/>
      <c r="G1668" s="1"/>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row>
    <row r="1669" spans="1:34" ht="12.5">
      <c r="A1669" s="1"/>
      <c r="B1669" s="1"/>
      <c r="C1669" s="1"/>
      <c r="D1669" s="1"/>
      <c r="E1669" s="1"/>
      <c r="F1669" s="1"/>
      <c r="G1669" s="1"/>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row>
    <row r="1670" spans="1:34" ht="12.5">
      <c r="A1670" s="1"/>
      <c r="B1670" s="1"/>
      <c r="C1670" s="1"/>
      <c r="D1670" s="1"/>
      <c r="E1670" s="1"/>
      <c r="F1670" s="1"/>
      <c r="G1670" s="1"/>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row>
    <row r="1671" spans="1:34" ht="12.5">
      <c r="A1671" s="1"/>
      <c r="B1671" s="1"/>
      <c r="C1671" s="1"/>
      <c r="D1671" s="1"/>
      <c r="E1671" s="1"/>
      <c r="F1671" s="1"/>
      <c r="G1671" s="1"/>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row>
    <row r="1672" spans="1:34" ht="12.5">
      <c r="A1672" s="1"/>
      <c r="B1672" s="1"/>
      <c r="C1672" s="1"/>
      <c r="D1672" s="1"/>
      <c r="E1672" s="1"/>
      <c r="F1672" s="1"/>
      <c r="G1672" s="1"/>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row>
    <row r="1673" spans="1:34" ht="12.5">
      <c r="A1673" s="1"/>
      <c r="B1673" s="1"/>
      <c r="C1673" s="1"/>
      <c r="D1673" s="1"/>
      <c r="E1673" s="1"/>
      <c r="F1673" s="1"/>
      <c r="G1673" s="1"/>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row>
    <row r="1674" spans="1:34" ht="12.5">
      <c r="A1674" s="1"/>
      <c r="B1674" s="1"/>
      <c r="C1674" s="1"/>
      <c r="D1674" s="1"/>
      <c r="E1674" s="1"/>
      <c r="F1674" s="1"/>
      <c r="G1674" s="1"/>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row>
    <row r="1675" spans="1:34" ht="12.5">
      <c r="A1675" s="1"/>
      <c r="B1675" s="1"/>
      <c r="C1675" s="1"/>
      <c r="D1675" s="1"/>
      <c r="E1675" s="1"/>
      <c r="F1675" s="1"/>
      <c r="G1675" s="1"/>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row>
    <row r="1676" spans="1:34" ht="12.5">
      <c r="A1676" s="1"/>
      <c r="B1676" s="1"/>
      <c r="C1676" s="1"/>
      <c r="D1676" s="1"/>
      <c r="E1676" s="1"/>
      <c r="F1676" s="1"/>
      <c r="G1676" s="1"/>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row>
    <row r="1677" spans="1:34" ht="12.5">
      <c r="A1677" s="1"/>
      <c r="B1677" s="1"/>
      <c r="C1677" s="1"/>
      <c r="D1677" s="1"/>
      <c r="E1677" s="1"/>
      <c r="F1677" s="1"/>
      <c r="G1677" s="1"/>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row>
    <row r="1678" spans="1:34" ht="12.5">
      <c r="A1678" s="1"/>
      <c r="B1678" s="1"/>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row>
    <row r="1679" spans="1:34" ht="12.5">
      <c r="A1679" s="1"/>
      <c r="B1679" s="1"/>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row>
    <row r="1680" spans="1:34" ht="12.5">
      <c r="A1680" s="1"/>
      <c r="B1680" s="1"/>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row>
    <row r="1681" spans="1:34" ht="12.5">
      <c r="A1681" s="1"/>
      <c r="B1681" s="1"/>
      <c r="C1681" s="1"/>
      <c r="D1681" s="1"/>
      <c r="E1681" s="1"/>
      <c r="F1681" s="1"/>
      <c r="G1681" s="1"/>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row>
    <row r="1682" spans="1:34" ht="12.5">
      <c r="A1682" s="1"/>
      <c r="B1682" s="1"/>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row>
    <row r="1683" spans="1:34" ht="12.5">
      <c r="A1683" s="1"/>
      <c r="B1683" s="1"/>
      <c r="C1683" s="1"/>
      <c r="D1683" s="1"/>
      <c r="E1683" s="1"/>
      <c r="F1683" s="1"/>
      <c r="G1683" s="1"/>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row>
    <row r="1684" spans="1:34" ht="12.5">
      <c r="A1684" s="1"/>
      <c r="B1684" s="1"/>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row>
    <row r="1685" spans="1:34" ht="12.5">
      <c r="A1685" s="1"/>
      <c r="B1685" s="1"/>
      <c r="C1685" s="1"/>
      <c r="D1685" s="1"/>
      <c r="E1685" s="1"/>
      <c r="F1685" s="1"/>
      <c r="G1685" s="1"/>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row>
    <row r="1686" spans="1:34" ht="12.5">
      <c r="A1686" s="1"/>
      <c r="B1686" s="1"/>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row>
    <row r="1687" spans="1:34" ht="12.5">
      <c r="A1687" s="1"/>
      <c r="B1687" s="1"/>
      <c r="C1687" s="1"/>
      <c r="D1687" s="1"/>
      <c r="E1687" s="1"/>
      <c r="F1687" s="1"/>
      <c r="G1687" s="1"/>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row>
    <row r="1688" spans="1:34" ht="12.5">
      <c r="A1688" s="1"/>
      <c r="B1688" s="1"/>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row>
    <row r="1689" spans="1:34" ht="12.5">
      <c r="A1689" s="1"/>
      <c r="B1689" s="1"/>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row>
    <row r="1690" spans="1:34" ht="12.5">
      <c r="A1690" s="1"/>
      <c r="B1690" s="1"/>
      <c r="C1690" s="1"/>
      <c r="D1690" s="1"/>
      <c r="E1690" s="1"/>
      <c r="F1690" s="1"/>
      <c r="G1690" s="1"/>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row>
    <row r="1691" spans="1:34" ht="12.5">
      <c r="A1691" s="1"/>
      <c r="B1691" s="1"/>
      <c r="C1691" s="1"/>
      <c r="D1691" s="1"/>
      <c r="E1691" s="1"/>
      <c r="F1691" s="1"/>
      <c r="G1691" s="1"/>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row>
    <row r="1692" spans="1:34" ht="12.5">
      <c r="A1692" s="1"/>
      <c r="B1692" s="1"/>
      <c r="C1692" s="1"/>
      <c r="D1692" s="1"/>
      <c r="E1692" s="1"/>
      <c r="F1692" s="1"/>
      <c r="G1692" s="1"/>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row>
    <row r="1693" spans="1:34" ht="12.5">
      <c r="A1693" s="1"/>
      <c r="B1693" s="1"/>
      <c r="C1693" s="1"/>
      <c r="D1693" s="1"/>
      <c r="E1693" s="1"/>
      <c r="F1693" s="1"/>
      <c r="G1693" s="1"/>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row>
    <row r="1694" spans="1:34" ht="12.5">
      <c r="A1694" s="1"/>
      <c r="B1694" s="1"/>
      <c r="C1694" s="1"/>
      <c r="D1694" s="1"/>
      <c r="E1694" s="1"/>
      <c r="F1694" s="1"/>
      <c r="G1694" s="1"/>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row>
    <row r="1695" spans="1:34" ht="12.5">
      <c r="A1695" s="1"/>
      <c r="B1695" s="1"/>
      <c r="C1695" s="1"/>
      <c r="D1695" s="1"/>
      <c r="E1695" s="1"/>
      <c r="F1695" s="1"/>
      <c r="G1695" s="1"/>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row>
    <row r="1696" spans="1:34" ht="12.5">
      <c r="A1696" s="1"/>
      <c r="B1696" s="1"/>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row>
    <row r="1697" spans="1:34" ht="12.5">
      <c r="A1697" s="1"/>
      <c r="B1697" s="1"/>
      <c r="C1697" s="1"/>
      <c r="D1697" s="1"/>
      <c r="E1697" s="1"/>
      <c r="F1697" s="1"/>
      <c r="G1697" s="1"/>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row>
    <row r="1698" spans="1:34" ht="12.5">
      <c r="A1698" s="1"/>
      <c r="B1698" s="1"/>
      <c r="C1698" s="1"/>
      <c r="D1698" s="1"/>
      <c r="E1698" s="1"/>
      <c r="F1698" s="1"/>
      <c r="G1698" s="1"/>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row>
    <row r="1699" spans="1:34" ht="12.5">
      <c r="A1699" s="1"/>
      <c r="B1699" s="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row>
    <row r="1700" spans="1:34" ht="12.5">
      <c r="A1700" s="1"/>
      <c r="B1700" s="1"/>
      <c r="C1700" s="1"/>
      <c r="D1700" s="1"/>
      <c r="E1700" s="1"/>
      <c r="F1700" s="1"/>
      <c r="G1700" s="1"/>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row>
    <row r="1701" spans="1:34" ht="12.5">
      <c r="A1701" s="1"/>
      <c r="B1701" s="1"/>
      <c r="C1701" s="1"/>
      <c r="D1701" s="1"/>
      <c r="E1701" s="1"/>
      <c r="F1701" s="1"/>
      <c r="G1701" s="1"/>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row>
    <row r="1702" spans="1:34" ht="12.5">
      <c r="A1702" s="1"/>
      <c r="B1702" s="1"/>
      <c r="C1702" s="1"/>
      <c r="D1702" s="1"/>
      <c r="E1702" s="1"/>
      <c r="F1702" s="1"/>
      <c r="G1702" s="1"/>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row>
    <row r="1703" spans="1:34" ht="12.5">
      <c r="A1703" s="1"/>
      <c r="B1703" s="1"/>
      <c r="C1703" s="1"/>
      <c r="D1703" s="1"/>
      <c r="E1703" s="1"/>
      <c r="F1703" s="1"/>
      <c r="G1703" s="1"/>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row>
    <row r="1704" spans="1:34" ht="12.5">
      <c r="A1704" s="1"/>
      <c r="B1704" s="1"/>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row>
    <row r="1705" spans="1:34" ht="12.5">
      <c r="A1705" s="1"/>
      <c r="B1705" s="1"/>
      <c r="C1705" s="1"/>
      <c r="D1705" s="1"/>
      <c r="E1705" s="1"/>
      <c r="F1705" s="1"/>
      <c r="G1705" s="1"/>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row>
    <row r="1706" spans="1:34" ht="12.5">
      <c r="A1706" s="1"/>
      <c r="B1706" s="1"/>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row>
    <row r="1707" spans="1:34" ht="12.5">
      <c r="A1707" s="1"/>
      <c r="B1707" s="1"/>
      <c r="C1707" s="1"/>
      <c r="D1707" s="1"/>
      <c r="E1707" s="1"/>
      <c r="F1707" s="1"/>
      <c r="G1707" s="1"/>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row>
    <row r="1708" spans="1:34" ht="12.5">
      <c r="A1708" s="1"/>
      <c r="B1708" s="1"/>
      <c r="C1708" s="1"/>
      <c r="D1708" s="1"/>
      <c r="E1708" s="1"/>
      <c r="F1708" s="1"/>
      <c r="G1708" s="1"/>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row>
    <row r="1709" spans="1:34" ht="12.5">
      <c r="A1709" s="1"/>
      <c r="B1709" s="1"/>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row>
    <row r="1710" spans="1:34" ht="12.5">
      <c r="A1710" s="1"/>
      <c r="B1710" s="1"/>
      <c r="C1710" s="1"/>
      <c r="D1710" s="1"/>
      <c r="E1710" s="1"/>
      <c r="F1710" s="1"/>
      <c r="G1710" s="1"/>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row>
    <row r="1711" spans="1:34" ht="12.5">
      <c r="A1711" s="1"/>
      <c r="B1711" s="1"/>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row>
    <row r="1712" spans="1:34" ht="12.5">
      <c r="A1712" s="1"/>
      <c r="B1712" s="1"/>
      <c r="C1712" s="1"/>
      <c r="D1712" s="1"/>
      <c r="E1712" s="1"/>
      <c r="F1712" s="1"/>
      <c r="G1712" s="1"/>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row>
    <row r="1713" spans="1:34" ht="12.5">
      <c r="A1713" s="1"/>
      <c r="B1713" s="1"/>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row>
    <row r="1714" spans="1:34" ht="12.5">
      <c r="A1714" s="1"/>
      <c r="B1714" s="1"/>
      <c r="C1714" s="1"/>
      <c r="D1714" s="1"/>
      <c r="E1714" s="1"/>
      <c r="F1714" s="1"/>
      <c r="G1714" s="1"/>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row>
    <row r="1715" spans="1:34" ht="12.5">
      <c r="A1715" s="1"/>
      <c r="B1715" s="1"/>
      <c r="C1715" s="1"/>
      <c r="D1715" s="1"/>
      <c r="E1715" s="1"/>
      <c r="F1715" s="1"/>
      <c r="G1715" s="1"/>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row>
    <row r="1716" spans="1:34" ht="12.5">
      <c r="A1716" s="1"/>
      <c r="B1716" s="1"/>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row>
    <row r="1717" spans="1:34" ht="12.5">
      <c r="A1717" s="1"/>
      <c r="B1717" s="1"/>
      <c r="C1717" s="1"/>
      <c r="D1717" s="1"/>
      <c r="E1717" s="1"/>
      <c r="F1717" s="1"/>
      <c r="G1717" s="1"/>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row>
    <row r="1718" spans="1:34" ht="12.5">
      <c r="A1718" s="1"/>
      <c r="B1718" s="1"/>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row>
    <row r="1719" spans="1:34" ht="12.5">
      <c r="A1719" s="1"/>
      <c r="B1719" s="1"/>
      <c r="C1719" s="1"/>
      <c r="D1719" s="1"/>
      <c r="E1719" s="1"/>
      <c r="F1719" s="1"/>
      <c r="G1719" s="1"/>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row>
    <row r="1720" spans="1:34" ht="12.5">
      <c r="A1720" s="1"/>
      <c r="B1720" s="1"/>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row>
    <row r="1721" spans="1:34" ht="12.5">
      <c r="A1721" s="1"/>
      <c r="B1721" s="1"/>
      <c r="C1721" s="1"/>
      <c r="D1721" s="1"/>
      <c r="E1721" s="1"/>
      <c r="F1721" s="1"/>
      <c r="G1721" s="1"/>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row>
    <row r="1722" spans="1:34" ht="12.5">
      <c r="A1722" s="1"/>
      <c r="B1722" s="1"/>
      <c r="C1722" s="1"/>
      <c r="D1722" s="1"/>
      <c r="E1722" s="1"/>
      <c r="F1722" s="1"/>
      <c r="G1722" s="1"/>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row>
    <row r="1723" spans="1:34" ht="12.5">
      <c r="A1723" s="1"/>
      <c r="B1723" s="1"/>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row>
    <row r="1724" spans="1:34" ht="12.5">
      <c r="A1724" s="1"/>
      <c r="B1724" s="1"/>
      <c r="C1724" s="1"/>
      <c r="D1724" s="1"/>
      <c r="E1724" s="1"/>
      <c r="F1724" s="1"/>
      <c r="G1724" s="1"/>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row>
    <row r="1725" spans="1:34" ht="12.5">
      <c r="A1725" s="1"/>
      <c r="B1725" s="1"/>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row>
    <row r="1726" spans="1:34" ht="12.5">
      <c r="A1726" s="1"/>
      <c r="B1726" s="1"/>
      <c r="C1726" s="1"/>
      <c r="D1726" s="1"/>
      <c r="E1726" s="1"/>
      <c r="F1726" s="1"/>
      <c r="G1726" s="1"/>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row>
    <row r="1727" spans="1:34" ht="12.5">
      <c r="A1727" s="1"/>
      <c r="B1727" s="1"/>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row>
    <row r="1728" spans="1:34" ht="12.5">
      <c r="A1728" s="1"/>
      <c r="B1728" s="1"/>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row>
    <row r="1729" spans="1:34" ht="12.5">
      <c r="A1729" s="1"/>
      <c r="B1729" s="1"/>
      <c r="C1729" s="1"/>
      <c r="D1729" s="1"/>
      <c r="E1729" s="1"/>
      <c r="F1729" s="1"/>
      <c r="G1729" s="1"/>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row>
    <row r="1730" spans="1:34" ht="12.5">
      <c r="A1730" s="1"/>
      <c r="B1730" s="1"/>
      <c r="C1730" s="1"/>
      <c r="D1730" s="1"/>
      <c r="E1730" s="1"/>
      <c r="F1730" s="1"/>
      <c r="G1730" s="1"/>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row>
    <row r="1731" spans="1:34" ht="12.5">
      <c r="A1731" s="1"/>
      <c r="B1731" s="1"/>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row>
    <row r="1732" spans="1:34" ht="12.5">
      <c r="A1732" s="1"/>
      <c r="B1732" s="1"/>
      <c r="C1732" s="1"/>
      <c r="D1732" s="1"/>
      <c r="E1732" s="1"/>
      <c r="F1732" s="1"/>
      <c r="G1732" s="1"/>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row>
    <row r="1733" spans="1:34" ht="12.5">
      <c r="A1733" s="1"/>
      <c r="B1733" s="1"/>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row>
    <row r="1734" spans="1:34" ht="12.5">
      <c r="A1734" s="1"/>
      <c r="B1734" s="1"/>
      <c r="C1734" s="1"/>
      <c r="D1734" s="1"/>
      <c r="E1734" s="1"/>
      <c r="F1734" s="1"/>
      <c r="G1734" s="1"/>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row>
    <row r="1735" spans="1:34" ht="12.5">
      <c r="A1735" s="1"/>
      <c r="B1735" s="1"/>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row>
    <row r="1736" spans="1:34" ht="12.5">
      <c r="A1736" s="1"/>
      <c r="B1736" s="1"/>
      <c r="C1736" s="1"/>
      <c r="D1736" s="1"/>
      <c r="E1736" s="1"/>
      <c r="F1736" s="1"/>
      <c r="G1736" s="1"/>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row>
    <row r="1737" spans="1:34" ht="12.5">
      <c r="A1737" s="1"/>
      <c r="B1737" s="1"/>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row>
    <row r="1738" spans="1:34" ht="12.5">
      <c r="A1738" s="1"/>
      <c r="B1738" s="1"/>
      <c r="C1738" s="1"/>
      <c r="D1738" s="1"/>
      <c r="E1738" s="1"/>
      <c r="F1738" s="1"/>
      <c r="G1738" s="1"/>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row>
    <row r="1739" spans="1:34" ht="12.5">
      <c r="A1739" s="1"/>
      <c r="B1739" s="1"/>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row>
    <row r="1740" spans="1:34" ht="12.5">
      <c r="A1740" s="1"/>
      <c r="B1740" s="1"/>
      <c r="C1740" s="1"/>
      <c r="D1740" s="1"/>
      <c r="E1740" s="1"/>
      <c r="F1740" s="1"/>
      <c r="G1740" s="1"/>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row>
    <row r="1741" spans="1:34" ht="12.5">
      <c r="A1741" s="1"/>
      <c r="B1741" s="1"/>
      <c r="C1741" s="1"/>
      <c r="D1741" s="1"/>
      <c r="E1741" s="1"/>
      <c r="F1741" s="1"/>
      <c r="G1741" s="1"/>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row>
    <row r="1742" spans="1:34" ht="12.5">
      <c r="A1742" s="1"/>
      <c r="B1742" s="1"/>
      <c r="C1742" s="1"/>
      <c r="D1742" s="1"/>
      <c r="E1742" s="1"/>
      <c r="F1742" s="1"/>
      <c r="G1742" s="1"/>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row>
    <row r="1743" spans="1:34" ht="12.5">
      <c r="A1743" s="1"/>
      <c r="B1743" s="1"/>
      <c r="C1743" s="1"/>
      <c r="D1743" s="1"/>
      <c r="E1743" s="1"/>
      <c r="F1743" s="1"/>
      <c r="G1743" s="1"/>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row>
    <row r="1744" spans="1:34" ht="12.5">
      <c r="A1744" s="1"/>
      <c r="B1744" s="1"/>
      <c r="C1744" s="1"/>
      <c r="D1744" s="1"/>
      <c r="E1744" s="1"/>
      <c r="F1744" s="1"/>
      <c r="G1744" s="1"/>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row>
    <row r="1745" spans="1:34" ht="12.5">
      <c r="A1745" s="1"/>
      <c r="B1745" s="1"/>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row>
    <row r="1746" spans="1:34" ht="12.5">
      <c r="A1746" s="1"/>
      <c r="B1746" s="1"/>
      <c r="C1746" s="1"/>
      <c r="D1746" s="1"/>
      <c r="E1746" s="1"/>
      <c r="F1746" s="1"/>
      <c r="G1746" s="1"/>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row>
    <row r="1747" spans="1:34" ht="12.5">
      <c r="A1747" s="1"/>
      <c r="B1747" s="1"/>
      <c r="C1747" s="1"/>
      <c r="D1747" s="1"/>
      <c r="E1747" s="1"/>
      <c r="F1747" s="1"/>
      <c r="G1747" s="1"/>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row>
    <row r="1748" spans="1:34" ht="12.5">
      <c r="A1748" s="1"/>
      <c r="B1748" s="1"/>
      <c r="C1748" s="1"/>
      <c r="D1748" s="1"/>
      <c r="E1748" s="1"/>
      <c r="F1748" s="1"/>
      <c r="G1748" s="1"/>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row>
    <row r="1749" spans="1:34" ht="12.5">
      <c r="A1749" s="1"/>
      <c r="B1749" s="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row>
    <row r="1750" spans="1:34" ht="12.5">
      <c r="A1750" s="1"/>
      <c r="B1750" s="1"/>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row>
    <row r="1751" spans="1:34" ht="12.5">
      <c r="A1751" s="1"/>
      <c r="B1751" s="1"/>
      <c r="C1751" s="1"/>
      <c r="D1751" s="1"/>
      <c r="E1751" s="1"/>
      <c r="F1751" s="1"/>
      <c r="G1751" s="1"/>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row>
    <row r="1752" spans="1:34" ht="12.5">
      <c r="A1752" s="1"/>
      <c r="B1752" s="1"/>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row>
    <row r="1753" spans="1:34" ht="12.5">
      <c r="A1753" s="1"/>
      <c r="B1753" s="1"/>
      <c r="C1753" s="1"/>
      <c r="D1753" s="1"/>
      <c r="E1753" s="1"/>
      <c r="F1753" s="1"/>
      <c r="G1753" s="1"/>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row>
    <row r="1754" spans="1:34" ht="12.5">
      <c r="A1754" s="1"/>
      <c r="B1754" s="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row>
    <row r="1755" spans="1:34" ht="12.5">
      <c r="A1755" s="1"/>
      <c r="B1755" s="1"/>
      <c r="C1755" s="1"/>
      <c r="D1755" s="1"/>
      <c r="E1755" s="1"/>
      <c r="F1755" s="1"/>
      <c r="G1755" s="1"/>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row>
    <row r="1756" spans="1:34" ht="12.5">
      <c r="A1756" s="1"/>
      <c r="B1756" s="1"/>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row>
    <row r="1757" spans="1:34" ht="12.5">
      <c r="A1757" s="1"/>
      <c r="B1757" s="1"/>
      <c r="C1757" s="1"/>
      <c r="D1757" s="1"/>
      <c r="E1757" s="1"/>
      <c r="F1757" s="1"/>
      <c r="G1757" s="1"/>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row>
    <row r="1758" spans="1:34" ht="12.5">
      <c r="A1758" s="1"/>
      <c r="B1758" s="1"/>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row>
    <row r="1759" spans="1:34" ht="12.5">
      <c r="A1759" s="1"/>
      <c r="B1759" s="1"/>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row>
    <row r="1760" spans="1:34" ht="12.5">
      <c r="A1760" s="1"/>
      <c r="B1760" s="1"/>
      <c r="C1760" s="1"/>
      <c r="D1760" s="1"/>
      <c r="E1760" s="1"/>
      <c r="F1760" s="1"/>
      <c r="G1760" s="1"/>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row>
    <row r="1761" spans="1:34" ht="12.5">
      <c r="A1761" s="1"/>
      <c r="B1761" s="1"/>
      <c r="C1761" s="1"/>
      <c r="D1761" s="1"/>
      <c r="E1761" s="1"/>
      <c r="F1761" s="1"/>
      <c r="G1761" s="1"/>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row>
    <row r="1762" spans="1:34" ht="12.5">
      <c r="A1762" s="1"/>
      <c r="B1762" s="1"/>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row>
    <row r="1763" spans="1:34" ht="12.5">
      <c r="A1763" s="1"/>
      <c r="B1763" s="1"/>
      <c r="C1763" s="1"/>
      <c r="D1763" s="1"/>
      <c r="E1763" s="1"/>
      <c r="F1763" s="1"/>
      <c r="G1763" s="1"/>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row>
    <row r="1764" spans="1:34" ht="12.5">
      <c r="A1764" s="1"/>
      <c r="B1764" s="1"/>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row>
    <row r="1765" spans="1:34" ht="12.5">
      <c r="A1765" s="1"/>
      <c r="B1765" s="1"/>
      <c r="C1765" s="1"/>
      <c r="D1765" s="1"/>
      <c r="E1765" s="1"/>
      <c r="F1765" s="1"/>
      <c r="G1765" s="1"/>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row>
    <row r="1766" spans="1:34" ht="12.5">
      <c r="A1766" s="1"/>
      <c r="B1766" s="1"/>
      <c r="C1766" s="1"/>
      <c r="D1766" s="1"/>
      <c r="E1766" s="1"/>
      <c r="F1766" s="1"/>
      <c r="G1766" s="1"/>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row>
    <row r="1767" spans="1:34" ht="12.5">
      <c r="A1767" s="1"/>
      <c r="B1767" s="1"/>
      <c r="C1767" s="1"/>
      <c r="D1767" s="1"/>
      <c r="E1767" s="1"/>
      <c r="F1767" s="1"/>
      <c r="G1767" s="1"/>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row>
    <row r="1768" spans="1:34" ht="12.5">
      <c r="A1768" s="1"/>
      <c r="B1768" s="1"/>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row>
    <row r="1769" spans="1:34" ht="12.5">
      <c r="A1769" s="1"/>
      <c r="B1769" s="1"/>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row>
    <row r="1770" spans="1:34" ht="12.5">
      <c r="A1770" s="1"/>
      <c r="B1770" s="1"/>
      <c r="C1770" s="1"/>
      <c r="D1770" s="1"/>
      <c r="E1770" s="1"/>
      <c r="F1770" s="1"/>
      <c r="G1770" s="1"/>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row>
    <row r="1771" spans="1:34" ht="12.5">
      <c r="A1771" s="1"/>
      <c r="B1771" s="1"/>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row>
    <row r="1772" spans="1:34" ht="12.5">
      <c r="A1772" s="1"/>
      <c r="B1772" s="1"/>
      <c r="C1772" s="1"/>
      <c r="D1772" s="1"/>
      <c r="E1772" s="1"/>
      <c r="F1772" s="1"/>
      <c r="G1772" s="1"/>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row>
    <row r="1773" spans="1:34" ht="12.5">
      <c r="A1773" s="1"/>
      <c r="B1773" s="1"/>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row>
    <row r="1774" spans="1:34" ht="12.5">
      <c r="A1774" s="1"/>
      <c r="B1774" s="1"/>
      <c r="C1774" s="1"/>
      <c r="D1774" s="1"/>
      <c r="E1774" s="1"/>
      <c r="F1774" s="1"/>
      <c r="G1774" s="1"/>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row>
    <row r="1775" spans="1:34" ht="12.5">
      <c r="A1775" s="1"/>
      <c r="B1775" s="1"/>
      <c r="C1775" s="1"/>
      <c r="D1775" s="1"/>
      <c r="E1775" s="1"/>
      <c r="F1775" s="1"/>
      <c r="G1775" s="1"/>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row>
    <row r="1776" spans="1:34" ht="12.5">
      <c r="A1776" s="1"/>
      <c r="B1776" s="1"/>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row>
    <row r="1777" spans="1:34" ht="12.5">
      <c r="A1777" s="1"/>
      <c r="B1777" s="1"/>
      <c r="C1777" s="1"/>
      <c r="D1777" s="1"/>
      <c r="E1777" s="1"/>
      <c r="F1777" s="1"/>
      <c r="G1777" s="1"/>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row>
    <row r="1778" spans="1:34" ht="12.5">
      <c r="A1778" s="1"/>
      <c r="B1778" s="1"/>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row>
    <row r="1779" spans="1:34" ht="12.5">
      <c r="A1779" s="1"/>
      <c r="B1779" s="1"/>
      <c r="C1779" s="1"/>
      <c r="D1779" s="1"/>
      <c r="E1779" s="1"/>
      <c r="F1779" s="1"/>
      <c r="G1779" s="1"/>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row>
    <row r="1780" spans="1:34" ht="12.5">
      <c r="A1780" s="1"/>
      <c r="B1780" s="1"/>
      <c r="C1780" s="1"/>
      <c r="D1780" s="1"/>
      <c r="E1780" s="1"/>
      <c r="F1780" s="1"/>
      <c r="G1780" s="1"/>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row>
    <row r="1781" spans="1:34" ht="12.5">
      <c r="A1781" s="1"/>
      <c r="B1781" s="1"/>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row>
    <row r="1782" spans="1:34" ht="12.5">
      <c r="A1782" s="1"/>
      <c r="B1782" s="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row>
    <row r="1783" spans="1:34" ht="12.5">
      <c r="A1783" s="1"/>
      <c r="B1783" s="1"/>
      <c r="C1783" s="1"/>
      <c r="D1783" s="1"/>
      <c r="E1783" s="1"/>
      <c r="F1783" s="1"/>
      <c r="G1783" s="1"/>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row>
    <row r="1784" spans="1:34" ht="12.5">
      <c r="A1784" s="1"/>
      <c r="B1784" s="1"/>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row>
    <row r="1785" spans="1:34" ht="12.5">
      <c r="A1785" s="1"/>
      <c r="B1785" s="1"/>
      <c r="C1785" s="1"/>
      <c r="D1785" s="1"/>
      <c r="E1785" s="1"/>
      <c r="F1785" s="1"/>
      <c r="G1785" s="1"/>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row>
    <row r="1786" spans="1:34" ht="12.5">
      <c r="A1786" s="1"/>
      <c r="B1786" s="1"/>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row>
    <row r="1787" spans="1:34" ht="12.5">
      <c r="A1787" s="1"/>
      <c r="B1787" s="1"/>
      <c r="C1787" s="1"/>
      <c r="D1787" s="1"/>
      <c r="E1787" s="1"/>
      <c r="F1787" s="1"/>
      <c r="G1787" s="1"/>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row>
    <row r="1788" spans="1:34" ht="12.5">
      <c r="A1788" s="1"/>
      <c r="B1788" s="1"/>
      <c r="C1788" s="1"/>
      <c r="D1788" s="1"/>
      <c r="E1788" s="1"/>
      <c r="F1788" s="1"/>
      <c r="G1788" s="1"/>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row>
    <row r="1789" spans="1:34" ht="12.5">
      <c r="A1789" s="1"/>
      <c r="B1789" s="1"/>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row>
    <row r="1790" spans="1:34" ht="12.5">
      <c r="A1790" s="1"/>
      <c r="B1790" s="1"/>
      <c r="C1790" s="1"/>
      <c r="D1790" s="1"/>
      <c r="E1790" s="1"/>
      <c r="F1790" s="1"/>
      <c r="G1790" s="1"/>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row>
    <row r="1791" spans="1:34" ht="12.5">
      <c r="A1791" s="1"/>
      <c r="B1791" s="1"/>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row>
    <row r="1792" spans="1:34" ht="12.5">
      <c r="A1792" s="1"/>
      <c r="B1792" s="1"/>
      <c r="C1792" s="1"/>
      <c r="D1792" s="1"/>
      <c r="E1792" s="1"/>
      <c r="F1792" s="1"/>
      <c r="G1792" s="1"/>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row>
    <row r="1793" spans="1:34" ht="12.5">
      <c r="A1793" s="1"/>
      <c r="B1793" s="1"/>
      <c r="C1793" s="1"/>
      <c r="D1793" s="1"/>
      <c r="E1793" s="1"/>
      <c r="F1793" s="1"/>
      <c r="G1793" s="1"/>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row>
    <row r="1794" spans="1:34" ht="12.5">
      <c r="A1794" s="1"/>
      <c r="B1794" s="1"/>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row>
    <row r="1795" spans="1:34" ht="12.5">
      <c r="A1795" s="1"/>
      <c r="B1795" s="1"/>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row>
    <row r="1796" spans="1:34" ht="12.5">
      <c r="A1796" s="1"/>
      <c r="B1796" s="1"/>
      <c r="C1796" s="1"/>
      <c r="D1796" s="1"/>
      <c r="E1796" s="1"/>
      <c r="F1796" s="1"/>
      <c r="G1796" s="1"/>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row>
    <row r="1797" spans="1:34" ht="12.5">
      <c r="A1797" s="1"/>
      <c r="B1797" s="1"/>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row>
    <row r="1798" spans="1:34" ht="12.5">
      <c r="A1798" s="1"/>
      <c r="B1798" s="1"/>
      <c r="C1798" s="1"/>
      <c r="D1798" s="1"/>
      <c r="E1798" s="1"/>
      <c r="F1798" s="1"/>
      <c r="G1798" s="1"/>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row>
    <row r="1799" spans="1:34" ht="12.5">
      <c r="A1799" s="1"/>
      <c r="B1799" s="1"/>
      <c r="C1799" s="1"/>
      <c r="D1799" s="1"/>
      <c r="E1799" s="1"/>
      <c r="F1799" s="1"/>
      <c r="G1799" s="1"/>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row>
    <row r="1800" spans="1:34" ht="12.5">
      <c r="A1800" s="1"/>
      <c r="B1800" s="1"/>
      <c r="C1800" s="1"/>
      <c r="D1800" s="1"/>
      <c r="E1800" s="1"/>
      <c r="F1800" s="1"/>
      <c r="G1800" s="1"/>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row>
    <row r="1801" spans="1:34" ht="12.5">
      <c r="A1801" s="1"/>
      <c r="B1801" s="1"/>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row>
    <row r="1802" spans="1:34" ht="12.5">
      <c r="A1802" s="1"/>
      <c r="B1802" s="1"/>
      <c r="C1802" s="1"/>
      <c r="D1802" s="1"/>
      <c r="E1802" s="1"/>
      <c r="F1802" s="1"/>
      <c r="G1802" s="1"/>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row>
    <row r="1803" spans="1:34" ht="12.5">
      <c r="A1803" s="1"/>
      <c r="B1803" s="1"/>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row>
    <row r="1804" spans="1:34" ht="12.5">
      <c r="A1804" s="1"/>
      <c r="B1804" s="1"/>
      <c r="C1804" s="1"/>
      <c r="D1804" s="1"/>
      <c r="E1804" s="1"/>
      <c r="F1804" s="1"/>
      <c r="G1804" s="1"/>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row>
    <row r="1805" spans="1:34" ht="12.5">
      <c r="A1805" s="1"/>
      <c r="B1805" s="1"/>
      <c r="C1805" s="1"/>
      <c r="D1805" s="1"/>
      <c r="E1805" s="1"/>
      <c r="F1805" s="1"/>
      <c r="G1805" s="1"/>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row>
    <row r="1806" spans="1:34" ht="12.5">
      <c r="A1806" s="1"/>
      <c r="B1806" s="1"/>
      <c r="C1806" s="1"/>
      <c r="D1806" s="1"/>
      <c r="E1806" s="1"/>
      <c r="F1806" s="1"/>
      <c r="G1806" s="1"/>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row>
    <row r="1807" spans="1:34" ht="12.5">
      <c r="A1807" s="1"/>
      <c r="B1807" s="1"/>
      <c r="C1807" s="1"/>
      <c r="D1807" s="1"/>
      <c r="E1807" s="1"/>
      <c r="F1807" s="1"/>
      <c r="G1807" s="1"/>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row>
    <row r="1808" spans="1:34" ht="12.5">
      <c r="A1808" s="1"/>
      <c r="B1808" s="1"/>
      <c r="C1808" s="1"/>
      <c r="D1808" s="1"/>
      <c r="E1808" s="1"/>
      <c r="F1808" s="1"/>
      <c r="G1808" s="1"/>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row>
    <row r="1809" spans="1:34" ht="12.5">
      <c r="A1809" s="1"/>
      <c r="B1809" s="1"/>
      <c r="C1809" s="1"/>
      <c r="D1809" s="1"/>
      <c r="E1809" s="1"/>
      <c r="F1809" s="1"/>
      <c r="G1809" s="1"/>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row>
    <row r="1810" spans="1:34" ht="12.5">
      <c r="A1810" s="1"/>
      <c r="B1810" s="1"/>
      <c r="C1810" s="1"/>
      <c r="D1810" s="1"/>
      <c r="E1810" s="1"/>
      <c r="F1810" s="1"/>
      <c r="G1810" s="1"/>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row>
    <row r="1811" spans="1:34" ht="12.5">
      <c r="A1811" s="1"/>
      <c r="B1811" s="1"/>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row>
    <row r="1812" spans="1:34" ht="12.5">
      <c r="A1812" s="1"/>
      <c r="B1812" s="1"/>
      <c r="C1812" s="1"/>
      <c r="D1812" s="1"/>
      <c r="E1812" s="1"/>
      <c r="F1812" s="1"/>
      <c r="G1812" s="1"/>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row>
    <row r="1813" spans="1:34" ht="12.5">
      <c r="A1813" s="1"/>
      <c r="B1813" s="1"/>
      <c r="C1813" s="1"/>
      <c r="D1813" s="1"/>
      <c r="E1813" s="1"/>
      <c r="F1813" s="1"/>
      <c r="G1813" s="1"/>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row>
    <row r="1814" spans="1:34" ht="12.5">
      <c r="A1814" s="1"/>
      <c r="B1814" s="1"/>
      <c r="C1814" s="1"/>
      <c r="D1814" s="1"/>
      <c r="E1814" s="1"/>
      <c r="F1814" s="1"/>
      <c r="G1814" s="1"/>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row>
    <row r="1815" spans="1:34" ht="12.5">
      <c r="A1815" s="1"/>
      <c r="B1815" s="1"/>
      <c r="C1815" s="1"/>
      <c r="D1815" s="1"/>
      <c r="E1815" s="1"/>
      <c r="F1815" s="1"/>
      <c r="G1815" s="1"/>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row>
    <row r="1816" spans="1:34" ht="12.5">
      <c r="A1816" s="1"/>
      <c r="B1816" s="1"/>
      <c r="C1816" s="1"/>
      <c r="D1816" s="1"/>
      <c r="E1816" s="1"/>
      <c r="F1816" s="1"/>
      <c r="G1816" s="1"/>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row>
    <row r="1817" spans="1:34" ht="12.5">
      <c r="A1817" s="1"/>
      <c r="B1817" s="1"/>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row>
    <row r="1818" spans="1:34" ht="12.5">
      <c r="A1818" s="1"/>
      <c r="B1818" s="1"/>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row>
    <row r="1819" spans="1:34" ht="12.5">
      <c r="A1819" s="1"/>
      <c r="B1819" s="1"/>
      <c r="C1819" s="1"/>
      <c r="D1819" s="1"/>
      <c r="E1819" s="1"/>
      <c r="F1819" s="1"/>
      <c r="G1819" s="1"/>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row>
    <row r="1820" spans="1:34" ht="12.5">
      <c r="A1820" s="1"/>
      <c r="B1820" s="1"/>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row>
    <row r="1821" spans="1:34" ht="12.5">
      <c r="A1821" s="1"/>
      <c r="B1821" s="1"/>
      <c r="C1821" s="1"/>
      <c r="D1821" s="1"/>
      <c r="E1821" s="1"/>
      <c r="F1821" s="1"/>
      <c r="G1821" s="1"/>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row>
    <row r="1822" spans="1:34" ht="12.5">
      <c r="A1822" s="1"/>
      <c r="B1822" s="1"/>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row>
    <row r="1823" spans="1:34" ht="12.5">
      <c r="A1823" s="1"/>
      <c r="B1823" s="1"/>
      <c r="C1823" s="1"/>
      <c r="D1823" s="1"/>
      <c r="E1823" s="1"/>
      <c r="F1823" s="1"/>
      <c r="G1823" s="1"/>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row>
    <row r="1824" spans="1:34" ht="12.5">
      <c r="A1824" s="1"/>
      <c r="B1824" s="1"/>
      <c r="C1824" s="1"/>
      <c r="D1824" s="1"/>
      <c r="E1824" s="1"/>
      <c r="F1824" s="1"/>
      <c r="G1824" s="1"/>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row>
    <row r="1825" spans="1:34" ht="12.5">
      <c r="A1825" s="1"/>
      <c r="B1825" s="1"/>
      <c r="C1825" s="1"/>
      <c r="D1825" s="1"/>
      <c r="E1825" s="1"/>
      <c r="F1825" s="1"/>
      <c r="G1825" s="1"/>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row>
    <row r="1826" spans="1:34" ht="12.5">
      <c r="A1826" s="1"/>
      <c r="B1826" s="1"/>
      <c r="C1826" s="1"/>
      <c r="D1826" s="1"/>
      <c r="E1826" s="1"/>
      <c r="F1826" s="1"/>
      <c r="G1826" s="1"/>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row>
    <row r="1827" spans="1:34" ht="12.5">
      <c r="A1827" s="1"/>
      <c r="B1827" s="1"/>
      <c r="C1827" s="1"/>
      <c r="D1827" s="1"/>
      <c r="E1827" s="1"/>
      <c r="F1827" s="1"/>
      <c r="G1827" s="1"/>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row>
    <row r="1828" spans="1:34" ht="12.5">
      <c r="A1828" s="1"/>
      <c r="B1828" s="1"/>
      <c r="C1828" s="1"/>
      <c r="D1828" s="1"/>
      <c r="E1828" s="1"/>
      <c r="F1828" s="1"/>
      <c r="G1828" s="1"/>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row>
    <row r="1829" spans="1:34" ht="12.5">
      <c r="A1829" s="1"/>
      <c r="B1829" s="1"/>
      <c r="C1829" s="1"/>
      <c r="D1829" s="1"/>
      <c r="E1829" s="1"/>
      <c r="F1829" s="1"/>
      <c r="G1829" s="1"/>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row>
    <row r="1830" spans="1:34" ht="12.5">
      <c r="A1830" s="1"/>
      <c r="B1830" s="1"/>
      <c r="C1830" s="1"/>
      <c r="D1830" s="1"/>
      <c r="E1830" s="1"/>
      <c r="F1830" s="1"/>
      <c r="G1830" s="1"/>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row>
    <row r="1831" spans="1:34" ht="12.5">
      <c r="A1831" s="1"/>
      <c r="B1831" s="1"/>
      <c r="C1831" s="1"/>
      <c r="D1831" s="1"/>
      <c r="E1831" s="1"/>
      <c r="F1831" s="1"/>
      <c r="G1831" s="1"/>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row>
    <row r="1832" spans="1:34" ht="12.5">
      <c r="A1832" s="1"/>
      <c r="B1832" s="1"/>
      <c r="C1832" s="1"/>
      <c r="D1832" s="1"/>
      <c r="E1832" s="1"/>
      <c r="F1832" s="1"/>
      <c r="G1832" s="1"/>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row>
    <row r="1833" spans="1:34" ht="12.5">
      <c r="A1833" s="1"/>
      <c r="B1833" s="1"/>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row>
    <row r="1834" spans="1:34" ht="12.5">
      <c r="A1834" s="1"/>
      <c r="B1834" s="1"/>
      <c r="C1834" s="1"/>
      <c r="D1834" s="1"/>
      <c r="E1834" s="1"/>
      <c r="F1834" s="1"/>
      <c r="G1834" s="1"/>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row>
    <row r="1835" spans="1:34" ht="12.5">
      <c r="A1835" s="1"/>
      <c r="B1835" s="1"/>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row>
    <row r="1836" spans="1:34" ht="12.5">
      <c r="A1836" s="1"/>
      <c r="B1836" s="1"/>
      <c r="C1836" s="1"/>
      <c r="D1836" s="1"/>
      <c r="E1836" s="1"/>
      <c r="F1836" s="1"/>
      <c r="G1836" s="1"/>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row>
    <row r="1837" spans="1:34" ht="12.5">
      <c r="A1837" s="1"/>
      <c r="B1837" s="1"/>
      <c r="C1837" s="1"/>
      <c r="D1837" s="1"/>
      <c r="E1837" s="1"/>
      <c r="F1837" s="1"/>
      <c r="G1837" s="1"/>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row>
    <row r="1838" spans="1:34" ht="12.5">
      <c r="A1838" s="1"/>
      <c r="B1838" s="1"/>
      <c r="C1838" s="1"/>
      <c r="D1838" s="1"/>
      <c r="E1838" s="1"/>
      <c r="F1838" s="1"/>
      <c r="G1838" s="1"/>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row>
    <row r="1839" spans="1:34" ht="12.5">
      <c r="A1839" s="1"/>
      <c r="B1839" s="1"/>
      <c r="C1839" s="1"/>
      <c r="D1839" s="1"/>
      <c r="E1839" s="1"/>
      <c r="F1839" s="1"/>
      <c r="G1839" s="1"/>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row>
    <row r="1840" spans="1:34" ht="12.5">
      <c r="A1840" s="1"/>
      <c r="B1840" s="1"/>
      <c r="C1840" s="1"/>
      <c r="D1840" s="1"/>
      <c r="E1840" s="1"/>
      <c r="F1840" s="1"/>
      <c r="G1840" s="1"/>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row>
    <row r="1841" spans="1:34" ht="12.5">
      <c r="A1841" s="1"/>
      <c r="B1841" s="1"/>
      <c r="C1841" s="1"/>
      <c r="D1841" s="1"/>
      <c r="E1841" s="1"/>
      <c r="F1841" s="1"/>
      <c r="G1841" s="1"/>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row>
    <row r="1842" spans="1:34" ht="12.5">
      <c r="A1842" s="1"/>
      <c r="B1842" s="1"/>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row>
    <row r="1843" spans="1:34" ht="12.5">
      <c r="A1843" s="1"/>
      <c r="B1843" s="1"/>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row>
    <row r="1844" spans="1:34" ht="12.5">
      <c r="A1844" s="1"/>
      <c r="B1844" s="1"/>
      <c r="C1844" s="1"/>
      <c r="D1844" s="1"/>
      <c r="E1844" s="1"/>
      <c r="F1844" s="1"/>
      <c r="G1844" s="1"/>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row>
    <row r="1845" spans="1:34" ht="12.5">
      <c r="A1845" s="1"/>
      <c r="B1845" s="1"/>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row>
    <row r="1846" spans="1:34" ht="12.5">
      <c r="A1846" s="1"/>
      <c r="B1846" s="1"/>
      <c r="C1846" s="1"/>
      <c r="D1846" s="1"/>
      <c r="E1846" s="1"/>
      <c r="F1846" s="1"/>
      <c r="G1846" s="1"/>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row>
    <row r="1847" spans="1:34" ht="12.5">
      <c r="A1847" s="1"/>
      <c r="B1847" s="1"/>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row>
    <row r="1848" spans="1:34" ht="12.5">
      <c r="A1848" s="1"/>
      <c r="B1848" s="1"/>
      <c r="C1848" s="1"/>
      <c r="D1848" s="1"/>
      <c r="E1848" s="1"/>
      <c r="F1848" s="1"/>
      <c r="G1848" s="1"/>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row>
    <row r="1849" spans="1:34" ht="12.5">
      <c r="A1849" s="1"/>
      <c r="B1849" s="1"/>
      <c r="C1849" s="1"/>
      <c r="D1849" s="1"/>
      <c r="E1849" s="1"/>
      <c r="F1849" s="1"/>
      <c r="G1849" s="1"/>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row>
    <row r="1850" spans="1:34" ht="12.5">
      <c r="A1850" s="1"/>
      <c r="B1850" s="1"/>
      <c r="C1850" s="1"/>
      <c r="D1850" s="1"/>
      <c r="E1850" s="1"/>
      <c r="F1850" s="1"/>
      <c r="G1850" s="1"/>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row>
    <row r="1851" spans="1:34" ht="12.5">
      <c r="A1851" s="1"/>
      <c r="B1851" s="1"/>
      <c r="C1851" s="1"/>
      <c r="D1851" s="1"/>
      <c r="E1851" s="1"/>
      <c r="F1851" s="1"/>
      <c r="G1851" s="1"/>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row>
    <row r="1852" spans="1:34" ht="12.5">
      <c r="A1852" s="1"/>
      <c r="B1852" s="1"/>
      <c r="C1852" s="1"/>
      <c r="D1852" s="1"/>
      <c r="E1852" s="1"/>
      <c r="F1852" s="1"/>
      <c r="G1852" s="1"/>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row>
    <row r="1853" spans="1:34" ht="12.5">
      <c r="A1853" s="1"/>
      <c r="B1853" s="1"/>
      <c r="C1853" s="1"/>
      <c r="D1853" s="1"/>
      <c r="E1853" s="1"/>
      <c r="F1853" s="1"/>
      <c r="G1853" s="1"/>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row>
    <row r="1854" spans="1:34" ht="12.5">
      <c r="A1854" s="1"/>
      <c r="B1854" s="1"/>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row>
    <row r="1855" spans="1:34" ht="12.5">
      <c r="A1855" s="1"/>
      <c r="B1855" s="1"/>
      <c r="C1855" s="1"/>
      <c r="D1855" s="1"/>
      <c r="E1855" s="1"/>
      <c r="F1855" s="1"/>
      <c r="G1855" s="1"/>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row>
    <row r="1856" spans="1:34" ht="12.5">
      <c r="A1856" s="1"/>
      <c r="B1856" s="1"/>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row>
    <row r="1857" spans="1:34" ht="12.5">
      <c r="A1857" s="1"/>
      <c r="B1857" s="1"/>
      <c r="C1857" s="1"/>
      <c r="D1857" s="1"/>
      <c r="E1857" s="1"/>
      <c r="F1857" s="1"/>
      <c r="G1857" s="1"/>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row>
    <row r="1858" spans="1:34" ht="12.5">
      <c r="A1858" s="1"/>
      <c r="B1858" s="1"/>
      <c r="C1858" s="1"/>
      <c r="D1858" s="1"/>
      <c r="E1858" s="1"/>
      <c r="F1858" s="1"/>
      <c r="G1858" s="1"/>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row>
    <row r="1859" spans="1:34" ht="12.5">
      <c r="A1859" s="1"/>
      <c r="B1859" s="1"/>
      <c r="C1859" s="1"/>
      <c r="D1859" s="1"/>
      <c r="E1859" s="1"/>
      <c r="F1859" s="1"/>
      <c r="G1859" s="1"/>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row>
    <row r="1860" spans="1:34" ht="12.5">
      <c r="A1860" s="1"/>
      <c r="B1860" s="1"/>
      <c r="C1860" s="1"/>
      <c r="D1860" s="1"/>
      <c r="E1860" s="1"/>
      <c r="F1860" s="1"/>
      <c r="G1860" s="1"/>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row>
    <row r="1861" spans="1:34" ht="12.5">
      <c r="A1861" s="1"/>
      <c r="B1861" s="1"/>
      <c r="C1861" s="1"/>
      <c r="D1861" s="1"/>
      <c r="E1861" s="1"/>
      <c r="F1861" s="1"/>
      <c r="G1861" s="1"/>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row>
    <row r="1862" spans="1:34" ht="12.5">
      <c r="A1862" s="1"/>
      <c r="B1862" s="1"/>
      <c r="C1862" s="1"/>
      <c r="D1862" s="1"/>
      <c r="E1862" s="1"/>
      <c r="F1862" s="1"/>
      <c r="G1862" s="1"/>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row>
    <row r="1863" spans="1:34" ht="12.5">
      <c r="A1863" s="1"/>
      <c r="B1863" s="1"/>
      <c r="C1863" s="1"/>
      <c r="D1863" s="1"/>
      <c r="E1863" s="1"/>
      <c r="F1863" s="1"/>
      <c r="G1863" s="1"/>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row>
    <row r="1864" spans="1:34" ht="12.5">
      <c r="A1864" s="1"/>
      <c r="B1864" s="1"/>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row>
    <row r="1865" spans="1:34" ht="12.5">
      <c r="A1865" s="1"/>
      <c r="B1865" s="1"/>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row>
    <row r="1866" spans="1:34" ht="12.5">
      <c r="A1866" s="1"/>
      <c r="B1866" s="1"/>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row>
    <row r="1867" spans="1:34" ht="12.5">
      <c r="A1867" s="1"/>
      <c r="B1867" s="1"/>
      <c r="C1867" s="1"/>
      <c r="D1867" s="1"/>
      <c r="E1867" s="1"/>
      <c r="F1867" s="1"/>
      <c r="G1867" s="1"/>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row>
    <row r="1868" spans="1:34" ht="12.5">
      <c r="A1868" s="1"/>
      <c r="B1868" s="1"/>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row>
    <row r="1869" spans="1:34" ht="12.5">
      <c r="A1869" s="1"/>
      <c r="B1869" s="1"/>
      <c r="C1869" s="1"/>
      <c r="D1869" s="1"/>
      <c r="E1869" s="1"/>
      <c r="F1869" s="1"/>
      <c r="G1869" s="1"/>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row>
    <row r="1870" spans="1:34" ht="12.5">
      <c r="A1870" s="1"/>
      <c r="B1870" s="1"/>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row>
    <row r="1871" spans="1:34" ht="12.5">
      <c r="A1871" s="1"/>
      <c r="B1871" s="1"/>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row>
    <row r="1872" spans="1:34" ht="12.5">
      <c r="A1872" s="1"/>
      <c r="B1872" s="1"/>
      <c r="C1872" s="1"/>
      <c r="D1872" s="1"/>
      <c r="E1872" s="1"/>
      <c r="F1872" s="1"/>
      <c r="G1872" s="1"/>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row>
    <row r="1873" spans="1:34" ht="12.5">
      <c r="A1873" s="1"/>
      <c r="B1873" s="1"/>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row>
    <row r="1874" spans="1:34" ht="12.5">
      <c r="A1874" s="1"/>
      <c r="B1874" s="1"/>
      <c r="C1874" s="1"/>
      <c r="D1874" s="1"/>
      <c r="E1874" s="1"/>
      <c r="F1874" s="1"/>
      <c r="G1874" s="1"/>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row>
    <row r="1875" spans="1:34" ht="12.5">
      <c r="A1875" s="1"/>
      <c r="B1875" s="1"/>
      <c r="C1875" s="1"/>
      <c r="D1875" s="1"/>
      <c r="E1875" s="1"/>
      <c r="F1875" s="1"/>
      <c r="G1875" s="1"/>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row>
    <row r="1876" spans="1:34" ht="12.5">
      <c r="A1876" s="1"/>
      <c r="B1876" s="1"/>
      <c r="C1876" s="1"/>
      <c r="D1876" s="1"/>
      <c r="E1876" s="1"/>
      <c r="F1876" s="1"/>
      <c r="G1876" s="1"/>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row>
    <row r="1877" spans="1:34" ht="12.5">
      <c r="A1877" s="1"/>
      <c r="B1877" s="1"/>
      <c r="C1877" s="1"/>
      <c r="D1877" s="1"/>
      <c r="E1877" s="1"/>
      <c r="F1877" s="1"/>
      <c r="G1877" s="1"/>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row>
    <row r="1878" spans="1:34" ht="12.5">
      <c r="A1878" s="1"/>
      <c r="B1878" s="1"/>
      <c r="C1878" s="1"/>
      <c r="D1878" s="1"/>
      <c r="E1878" s="1"/>
      <c r="F1878" s="1"/>
      <c r="G1878" s="1"/>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row>
    <row r="1879" spans="1:34" ht="12.5">
      <c r="A1879" s="1"/>
      <c r="B1879" s="1"/>
      <c r="C1879" s="1"/>
      <c r="D1879" s="1"/>
      <c r="E1879" s="1"/>
      <c r="F1879" s="1"/>
      <c r="G1879" s="1"/>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row>
    <row r="1880" spans="1:34" ht="12.5">
      <c r="A1880" s="1"/>
      <c r="B1880" s="1"/>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row>
    <row r="1881" spans="1:34" ht="12.5">
      <c r="A1881" s="1"/>
      <c r="B1881" s="1"/>
      <c r="C1881" s="1"/>
      <c r="D1881" s="1"/>
      <c r="E1881" s="1"/>
      <c r="F1881" s="1"/>
      <c r="G1881" s="1"/>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row>
    <row r="1882" spans="1:34" ht="12.5">
      <c r="A1882" s="1"/>
      <c r="B1882" s="1"/>
      <c r="C1882" s="1"/>
      <c r="D1882" s="1"/>
      <c r="E1882" s="1"/>
      <c r="F1882" s="1"/>
      <c r="G1882" s="1"/>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row>
    <row r="1883" spans="1:34" ht="12.5">
      <c r="A1883" s="1"/>
      <c r="B1883" s="1"/>
      <c r="C1883" s="1"/>
      <c r="D1883" s="1"/>
      <c r="E1883" s="1"/>
      <c r="F1883" s="1"/>
      <c r="G1883" s="1"/>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row>
    <row r="1884" spans="1:34" ht="12.5">
      <c r="A1884" s="1"/>
      <c r="B1884" s="1"/>
      <c r="C1884" s="1"/>
      <c r="D1884" s="1"/>
      <c r="E1884" s="1"/>
      <c r="F1884" s="1"/>
      <c r="G1884" s="1"/>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row>
    <row r="1885" spans="1:34" ht="12.5">
      <c r="A1885" s="1"/>
      <c r="B1885" s="1"/>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row>
    <row r="1886" spans="1:34" ht="12.5">
      <c r="A1886" s="1"/>
      <c r="B1886" s="1"/>
      <c r="C1886" s="1"/>
      <c r="D1886" s="1"/>
      <c r="E1886" s="1"/>
      <c r="F1886" s="1"/>
      <c r="G1886" s="1"/>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row>
    <row r="1887" spans="1:34" ht="12.5">
      <c r="A1887" s="1"/>
      <c r="B1887" s="1"/>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row>
    <row r="1888" spans="1:34" ht="12.5">
      <c r="A1888" s="1"/>
      <c r="B1888" s="1"/>
      <c r="C1888" s="1"/>
      <c r="D1888" s="1"/>
      <c r="E1888" s="1"/>
      <c r="F1888" s="1"/>
      <c r="G1888" s="1"/>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row>
    <row r="1889" spans="1:34" ht="12.5">
      <c r="A1889" s="1"/>
      <c r="B1889" s="1"/>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row>
    <row r="1890" spans="1:34" ht="12.5">
      <c r="A1890" s="1"/>
      <c r="B1890" s="1"/>
      <c r="C1890" s="1"/>
      <c r="D1890" s="1"/>
      <c r="E1890" s="1"/>
      <c r="F1890" s="1"/>
      <c r="G1890" s="1"/>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row>
    <row r="1891" spans="1:34" ht="12.5">
      <c r="A1891" s="1"/>
      <c r="B1891" s="1"/>
      <c r="C1891" s="1"/>
      <c r="D1891" s="1"/>
      <c r="E1891" s="1"/>
      <c r="F1891" s="1"/>
      <c r="G1891" s="1"/>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row>
    <row r="1892" spans="1:34" ht="12.5">
      <c r="A1892" s="1"/>
      <c r="B1892" s="1"/>
      <c r="C1892" s="1"/>
      <c r="D1892" s="1"/>
      <c r="E1892" s="1"/>
      <c r="F1892" s="1"/>
      <c r="G1892" s="1"/>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row>
    <row r="1893" spans="1:34" ht="12.5">
      <c r="A1893" s="1"/>
      <c r="B1893" s="1"/>
      <c r="C1893" s="1"/>
      <c r="D1893" s="1"/>
      <c r="E1893" s="1"/>
      <c r="F1893" s="1"/>
      <c r="G1893" s="1"/>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row>
    <row r="1894" spans="1:34" ht="12.5">
      <c r="A1894" s="1"/>
      <c r="B1894" s="1"/>
      <c r="C1894" s="1"/>
      <c r="D1894" s="1"/>
      <c r="E1894" s="1"/>
      <c r="F1894" s="1"/>
      <c r="G1894" s="1"/>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row>
    <row r="1895" spans="1:34" ht="12.5">
      <c r="A1895" s="1"/>
      <c r="B1895" s="1"/>
      <c r="C1895" s="1"/>
      <c r="D1895" s="1"/>
      <c r="E1895" s="1"/>
      <c r="F1895" s="1"/>
      <c r="G1895" s="1"/>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row>
    <row r="1896" spans="1:34" ht="12.5">
      <c r="A1896" s="1"/>
      <c r="B1896" s="1"/>
      <c r="C1896" s="1"/>
      <c r="D1896" s="1"/>
      <c r="E1896" s="1"/>
      <c r="F1896" s="1"/>
      <c r="G1896" s="1"/>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row>
    <row r="1897" spans="1:34" ht="12.5">
      <c r="A1897" s="1"/>
      <c r="B1897" s="1"/>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row>
    <row r="1898" spans="1:34" ht="12.5">
      <c r="A1898" s="1"/>
      <c r="B1898" s="1"/>
      <c r="C1898" s="1"/>
      <c r="D1898" s="1"/>
      <c r="E1898" s="1"/>
      <c r="F1898" s="1"/>
      <c r="G1898" s="1"/>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row>
    <row r="1899" spans="1:34" ht="12.5">
      <c r="A1899" s="1"/>
      <c r="B1899" s="1"/>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row>
    <row r="1900" spans="1:34" ht="12.5">
      <c r="A1900" s="1"/>
      <c r="B1900" s="1"/>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row>
    <row r="1901" spans="1:34" ht="12.5">
      <c r="A1901" s="1"/>
      <c r="B1901" s="1"/>
      <c r="C1901" s="1"/>
      <c r="D1901" s="1"/>
      <c r="E1901" s="1"/>
      <c r="F1901" s="1"/>
      <c r="G1901" s="1"/>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row>
    <row r="1902" spans="1:34" ht="12.5">
      <c r="A1902" s="1"/>
      <c r="B1902" s="1"/>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row>
    <row r="1903" spans="1:34" ht="12.5">
      <c r="A1903" s="1"/>
      <c r="B1903" s="1"/>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row>
    <row r="1904" spans="1:34" ht="12.5">
      <c r="A1904" s="1"/>
      <c r="B1904" s="1"/>
      <c r="C1904" s="1"/>
      <c r="D1904" s="1"/>
      <c r="E1904" s="1"/>
      <c r="F1904" s="1"/>
      <c r="G1904" s="1"/>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row>
    <row r="1905" spans="1:34" ht="12.5">
      <c r="A1905" s="1"/>
      <c r="B1905" s="1"/>
      <c r="C1905" s="1"/>
      <c r="D1905" s="1"/>
      <c r="E1905" s="1"/>
      <c r="F1905" s="1"/>
      <c r="G1905" s="1"/>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row>
    <row r="1906" spans="1:34" ht="12.5">
      <c r="A1906" s="1"/>
      <c r="B1906" s="1"/>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row>
    <row r="1907" spans="1:34" ht="12.5">
      <c r="A1907" s="1"/>
      <c r="B1907" s="1"/>
      <c r="C1907" s="1"/>
      <c r="D1907" s="1"/>
      <c r="E1907" s="1"/>
      <c r="F1907" s="1"/>
      <c r="G1907" s="1"/>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row>
    <row r="1908" spans="1:34" ht="12.5">
      <c r="A1908" s="1"/>
      <c r="B1908" s="1"/>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row>
    <row r="1909" spans="1:34" ht="12.5">
      <c r="A1909" s="1"/>
      <c r="B1909" s="1"/>
      <c r="C1909" s="1"/>
      <c r="D1909" s="1"/>
      <c r="E1909" s="1"/>
      <c r="F1909" s="1"/>
      <c r="G1909" s="1"/>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row>
    <row r="1910" spans="1:34" ht="12.5">
      <c r="A1910" s="1"/>
      <c r="B1910" s="1"/>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row>
    <row r="1911" spans="1:34" ht="12.5">
      <c r="A1911" s="1"/>
      <c r="B1911" s="1"/>
      <c r="C1911" s="1"/>
      <c r="D1911" s="1"/>
      <c r="E1911" s="1"/>
      <c r="F1911" s="1"/>
      <c r="G1911" s="1"/>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row>
    <row r="1912" spans="1:34" ht="12.5">
      <c r="A1912" s="1"/>
      <c r="B1912" s="1"/>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row>
    <row r="1913" spans="1:34" ht="12.5">
      <c r="A1913" s="1"/>
      <c r="B1913" s="1"/>
      <c r="C1913" s="1"/>
      <c r="D1913" s="1"/>
      <c r="E1913" s="1"/>
      <c r="F1913" s="1"/>
      <c r="G1913" s="1"/>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row>
    <row r="1914" spans="1:34" ht="12.5">
      <c r="A1914" s="1"/>
      <c r="B1914" s="1"/>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row>
    <row r="1915" spans="1:34" ht="12.5">
      <c r="A1915" s="1"/>
      <c r="B1915" s="1"/>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row>
    <row r="1916" spans="1:34" ht="12.5">
      <c r="A1916" s="1"/>
      <c r="B1916" s="1"/>
      <c r="C1916" s="1"/>
      <c r="D1916" s="1"/>
      <c r="E1916" s="1"/>
      <c r="F1916" s="1"/>
      <c r="G1916" s="1"/>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row>
    <row r="1917" spans="1:34" ht="12.5">
      <c r="A1917" s="1"/>
      <c r="B1917" s="1"/>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row>
    <row r="1918" spans="1:34" ht="12.5">
      <c r="A1918" s="1"/>
      <c r="B1918" s="1"/>
      <c r="C1918" s="1"/>
      <c r="D1918" s="1"/>
      <c r="E1918" s="1"/>
      <c r="F1918" s="1"/>
      <c r="G1918" s="1"/>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row>
    <row r="1919" spans="1:34" ht="12.5">
      <c r="A1919" s="1"/>
      <c r="B1919" s="1"/>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row>
    <row r="1920" spans="1:34" ht="12.5">
      <c r="A1920" s="1"/>
      <c r="B1920" s="1"/>
      <c r="C1920" s="1"/>
      <c r="D1920" s="1"/>
      <c r="E1920" s="1"/>
      <c r="F1920" s="1"/>
      <c r="G1920" s="1"/>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row>
    <row r="1921" spans="1:34" ht="12.5">
      <c r="A1921" s="1"/>
      <c r="B1921" s="1"/>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row>
    <row r="1922" spans="1:34" ht="12.5">
      <c r="A1922" s="1"/>
      <c r="B1922" s="1"/>
      <c r="C1922" s="1"/>
      <c r="D1922" s="1"/>
      <c r="E1922" s="1"/>
      <c r="F1922" s="1"/>
      <c r="G1922" s="1"/>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row>
    <row r="1923" spans="1:34" ht="12.5">
      <c r="A1923" s="1"/>
      <c r="B1923" s="1"/>
      <c r="C1923" s="1"/>
      <c r="D1923" s="1"/>
      <c r="E1923" s="1"/>
      <c r="F1923" s="1"/>
      <c r="G1923" s="1"/>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row>
    <row r="1924" spans="1:34" ht="12.5">
      <c r="A1924" s="1"/>
      <c r="B1924" s="1"/>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row>
    <row r="1925" spans="1:34" ht="12.5">
      <c r="A1925" s="1"/>
      <c r="B1925" s="1"/>
      <c r="C1925" s="1"/>
      <c r="D1925" s="1"/>
      <c r="E1925" s="1"/>
      <c r="F1925" s="1"/>
      <c r="G1925" s="1"/>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row>
    <row r="1926" spans="1:34" ht="12.5">
      <c r="A1926" s="1"/>
      <c r="B1926" s="1"/>
      <c r="C1926" s="1"/>
      <c r="D1926" s="1"/>
      <c r="E1926" s="1"/>
      <c r="F1926" s="1"/>
      <c r="G1926" s="1"/>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row>
    <row r="1927" spans="1:34" ht="12.5">
      <c r="A1927" s="1"/>
      <c r="B1927" s="1"/>
      <c r="C1927" s="1"/>
      <c r="D1927" s="1"/>
      <c r="E1927" s="1"/>
      <c r="F1927" s="1"/>
      <c r="G1927" s="1"/>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row>
    <row r="1928" spans="1:34" ht="12.5">
      <c r="A1928" s="1"/>
      <c r="B1928" s="1"/>
      <c r="C1928" s="1"/>
      <c r="D1928" s="1"/>
      <c r="E1928" s="1"/>
      <c r="F1928" s="1"/>
      <c r="G1928" s="1"/>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row>
    <row r="1929" spans="1:34" ht="12.5">
      <c r="A1929" s="1"/>
      <c r="B1929" s="1"/>
      <c r="C1929" s="1"/>
      <c r="D1929" s="1"/>
      <c r="E1929" s="1"/>
      <c r="F1929" s="1"/>
      <c r="G1929" s="1"/>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row>
    <row r="1930" spans="1:34" ht="12.5">
      <c r="A1930" s="1"/>
      <c r="B1930" s="1"/>
      <c r="C1930" s="1"/>
      <c r="D1930" s="1"/>
      <c r="E1930" s="1"/>
      <c r="F1930" s="1"/>
      <c r="G1930" s="1"/>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row>
    <row r="1931" spans="1:34" ht="12.5">
      <c r="A1931" s="1"/>
      <c r="B1931" s="1"/>
      <c r="C1931" s="1"/>
      <c r="D1931" s="1"/>
      <c r="E1931" s="1"/>
      <c r="F1931" s="1"/>
      <c r="G1931" s="1"/>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row>
    <row r="1932" spans="1:34" ht="12.5">
      <c r="A1932" s="1"/>
      <c r="B1932" s="1"/>
      <c r="C1932" s="1"/>
      <c r="D1932" s="1"/>
      <c r="E1932" s="1"/>
      <c r="F1932" s="1"/>
      <c r="G1932" s="1"/>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row>
    <row r="1933" spans="1:34" ht="12.5">
      <c r="A1933" s="1"/>
      <c r="B1933" s="1"/>
      <c r="C1933" s="1"/>
      <c r="D1933" s="1"/>
      <c r="E1933" s="1"/>
      <c r="F1933" s="1"/>
      <c r="G1933" s="1"/>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row>
    <row r="1934" spans="1:34" ht="12.5">
      <c r="A1934" s="1"/>
      <c r="B1934" s="1"/>
      <c r="C1934" s="1"/>
      <c r="D1934" s="1"/>
      <c r="E1934" s="1"/>
      <c r="F1934" s="1"/>
      <c r="G1934" s="1"/>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row>
    <row r="1935" spans="1:34" ht="12.5">
      <c r="A1935" s="1"/>
      <c r="B1935" s="1"/>
      <c r="C1935" s="1"/>
      <c r="D1935" s="1"/>
      <c r="E1935" s="1"/>
      <c r="F1935" s="1"/>
      <c r="G1935" s="1"/>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row>
    <row r="1936" spans="1:34" ht="12.5">
      <c r="A1936" s="1"/>
      <c r="B1936" s="1"/>
      <c r="C1936" s="1"/>
      <c r="D1936" s="1"/>
      <c r="E1936" s="1"/>
      <c r="F1936" s="1"/>
      <c r="G1936" s="1"/>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row>
    <row r="1937" spans="1:34" ht="12.5">
      <c r="A1937" s="1"/>
      <c r="B1937" s="1"/>
      <c r="C1937" s="1"/>
      <c r="D1937" s="1"/>
      <c r="E1937" s="1"/>
      <c r="F1937" s="1"/>
      <c r="G1937" s="1"/>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row>
    <row r="1938" spans="1:34" ht="12.5">
      <c r="A1938" s="1"/>
      <c r="B1938" s="1"/>
      <c r="C1938" s="1"/>
      <c r="D1938" s="1"/>
      <c r="E1938" s="1"/>
      <c r="F1938" s="1"/>
      <c r="G1938" s="1"/>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row>
    <row r="1939" spans="1:34" ht="12.5">
      <c r="A1939" s="1"/>
      <c r="B1939" s="1"/>
      <c r="C1939" s="1"/>
      <c r="D1939" s="1"/>
      <c r="E1939" s="1"/>
      <c r="F1939" s="1"/>
      <c r="G1939" s="1"/>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row>
    <row r="1940" spans="1:34" ht="12.5">
      <c r="A1940" s="1"/>
      <c r="B1940" s="1"/>
      <c r="C1940" s="1"/>
      <c r="D1940" s="1"/>
      <c r="E1940" s="1"/>
      <c r="F1940" s="1"/>
      <c r="G1940" s="1"/>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row>
    <row r="1941" spans="1:34" ht="12.5">
      <c r="A1941" s="1"/>
      <c r="B1941" s="1"/>
      <c r="C1941" s="1"/>
      <c r="D1941" s="1"/>
      <c r="E1941" s="1"/>
      <c r="F1941" s="1"/>
      <c r="G1941" s="1"/>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row>
    <row r="1942" spans="1:34" ht="12.5">
      <c r="A1942" s="1"/>
      <c r="B1942" s="1"/>
      <c r="C1942" s="1"/>
      <c r="D1942" s="1"/>
      <c r="E1942" s="1"/>
      <c r="F1942" s="1"/>
      <c r="G1942" s="1"/>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row>
    <row r="1943" spans="1:34" ht="12.5">
      <c r="A1943" s="1"/>
      <c r="B1943" s="1"/>
      <c r="C1943" s="1"/>
      <c r="D1943" s="1"/>
      <c r="E1943" s="1"/>
      <c r="F1943" s="1"/>
      <c r="G1943" s="1"/>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row>
    <row r="1944" spans="1:34" ht="12.5">
      <c r="A1944" s="1"/>
      <c r="B1944" s="1"/>
      <c r="C1944" s="1"/>
      <c r="D1944" s="1"/>
      <c r="E1944" s="1"/>
      <c r="F1944" s="1"/>
      <c r="G1944" s="1"/>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row>
    <row r="1945" spans="1:34" ht="12.5">
      <c r="A1945" s="1"/>
      <c r="B1945" s="1"/>
      <c r="C1945" s="1"/>
      <c r="D1945" s="1"/>
      <c r="E1945" s="1"/>
      <c r="F1945" s="1"/>
      <c r="G1945" s="1"/>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row>
    <row r="1946" spans="1:34" ht="12.5">
      <c r="A1946" s="1"/>
      <c r="B1946" s="1"/>
      <c r="C1946" s="1"/>
      <c r="D1946" s="1"/>
      <c r="E1946" s="1"/>
      <c r="F1946" s="1"/>
      <c r="G1946" s="1"/>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row>
    <row r="1947" spans="1:34" ht="12.5">
      <c r="A1947" s="1"/>
      <c r="B1947" s="1"/>
      <c r="C1947" s="1"/>
      <c r="D1947" s="1"/>
      <c r="E1947" s="1"/>
      <c r="F1947" s="1"/>
      <c r="G1947" s="1"/>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row>
    <row r="1948" spans="1:34" ht="12.5">
      <c r="A1948" s="1"/>
      <c r="B1948" s="1"/>
      <c r="C1948" s="1"/>
      <c r="D1948" s="1"/>
      <c r="E1948" s="1"/>
      <c r="F1948" s="1"/>
      <c r="G1948" s="1"/>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row>
    <row r="1949" spans="1:34" ht="12.5">
      <c r="A1949" s="1"/>
      <c r="B1949" s="1"/>
      <c r="C1949" s="1"/>
      <c r="D1949" s="1"/>
      <c r="E1949" s="1"/>
      <c r="F1949" s="1"/>
      <c r="G1949" s="1"/>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row>
    <row r="1950" spans="1:34" ht="12.5">
      <c r="A1950" s="1"/>
      <c r="B1950" s="1"/>
      <c r="C1950" s="1"/>
      <c r="D1950" s="1"/>
      <c r="E1950" s="1"/>
      <c r="F1950" s="1"/>
      <c r="G1950" s="1"/>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row>
    <row r="1951" spans="1:34" ht="12.5">
      <c r="A1951" s="1"/>
      <c r="B1951" s="1"/>
      <c r="C1951" s="1"/>
      <c r="D1951" s="1"/>
      <c r="E1951" s="1"/>
      <c r="F1951" s="1"/>
      <c r="G1951" s="1"/>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row>
    <row r="1952" spans="1:34" ht="12.5">
      <c r="A1952" s="1"/>
      <c r="B1952" s="1"/>
      <c r="C1952" s="1"/>
      <c r="D1952" s="1"/>
      <c r="E1952" s="1"/>
      <c r="F1952" s="1"/>
      <c r="G1952" s="1"/>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row>
    <row r="1953" spans="1:34" ht="12.5">
      <c r="A1953" s="1"/>
      <c r="B1953" s="1"/>
      <c r="C1953" s="1"/>
      <c r="D1953" s="1"/>
      <c r="E1953" s="1"/>
      <c r="F1953" s="1"/>
      <c r="G1953" s="1"/>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row>
    <row r="1954" spans="1:34" ht="12.5">
      <c r="A1954" s="1"/>
      <c r="B1954" s="1"/>
      <c r="C1954" s="1"/>
      <c r="D1954" s="1"/>
      <c r="E1954" s="1"/>
      <c r="F1954" s="1"/>
      <c r="G1954" s="1"/>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row>
    <row r="1955" spans="1:34" ht="12.5">
      <c r="A1955" s="1"/>
      <c r="B1955" s="1"/>
      <c r="C1955" s="1"/>
      <c r="D1955" s="1"/>
      <c r="E1955" s="1"/>
      <c r="F1955" s="1"/>
      <c r="G1955" s="1"/>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row>
    <row r="1956" spans="1:34" ht="12.5">
      <c r="A1956" s="1"/>
      <c r="B1956" s="1"/>
      <c r="C1956" s="1"/>
      <c r="D1956" s="1"/>
      <c r="E1956" s="1"/>
      <c r="F1956" s="1"/>
      <c r="G1956" s="1"/>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row>
    <row r="1957" spans="1:34" ht="12.5">
      <c r="A1957" s="1"/>
      <c r="B1957" s="1"/>
      <c r="C1957" s="1"/>
      <c r="D1957" s="1"/>
      <c r="E1957" s="1"/>
      <c r="F1957" s="1"/>
      <c r="G1957" s="1"/>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row>
    <row r="1958" spans="1:34" ht="12.5">
      <c r="A1958" s="1"/>
      <c r="B1958" s="1"/>
      <c r="C1958" s="1"/>
      <c r="D1958" s="1"/>
      <c r="E1958" s="1"/>
      <c r="F1958" s="1"/>
      <c r="G1958" s="1"/>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row>
    <row r="1959" spans="1:34" ht="12.5">
      <c r="A1959" s="1"/>
      <c r="B1959" s="1"/>
      <c r="C1959" s="1"/>
      <c r="D1959" s="1"/>
      <c r="E1959" s="1"/>
      <c r="F1959" s="1"/>
      <c r="G1959" s="1"/>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row>
    <row r="1960" spans="1:34" ht="12.5">
      <c r="A1960" s="1"/>
      <c r="B1960" s="1"/>
      <c r="C1960" s="1"/>
      <c r="D1960" s="1"/>
      <c r="E1960" s="1"/>
      <c r="F1960" s="1"/>
      <c r="G1960" s="1"/>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row>
    <row r="1961" spans="1:34" ht="12.5">
      <c r="A1961" s="1"/>
      <c r="B1961" s="1"/>
      <c r="C1961" s="1"/>
      <c r="D1961" s="1"/>
      <c r="E1961" s="1"/>
      <c r="F1961" s="1"/>
      <c r="G1961" s="1"/>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row>
    <row r="1962" spans="1:34" ht="12.5">
      <c r="A1962" s="1"/>
      <c r="B1962" s="1"/>
      <c r="C1962" s="1"/>
      <c r="D1962" s="1"/>
      <c r="E1962" s="1"/>
      <c r="F1962" s="1"/>
      <c r="G1962" s="1"/>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row>
    <row r="1963" spans="1:34" ht="12.5">
      <c r="A1963" s="1"/>
      <c r="B1963" s="1"/>
      <c r="C1963" s="1"/>
      <c r="D1963" s="1"/>
      <c r="E1963" s="1"/>
      <c r="F1963" s="1"/>
      <c r="G1963" s="1"/>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row>
    <row r="1964" spans="1:34" ht="12.5">
      <c r="A1964" s="1"/>
      <c r="B1964" s="1"/>
      <c r="C1964" s="1"/>
      <c r="D1964" s="1"/>
      <c r="E1964" s="1"/>
      <c r="F1964" s="1"/>
      <c r="G1964" s="1"/>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row>
    <row r="1965" spans="1:34" ht="12.5">
      <c r="A1965" s="1"/>
      <c r="B1965" s="1"/>
      <c r="C1965" s="1"/>
      <c r="D1965" s="1"/>
      <c r="E1965" s="1"/>
      <c r="F1965" s="1"/>
      <c r="G1965" s="1"/>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row>
    <row r="1966" spans="1:34" ht="12.5">
      <c r="A1966" s="1"/>
      <c r="B1966" s="1"/>
      <c r="C1966" s="1"/>
      <c r="D1966" s="1"/>
      <c r="E1966" s="1"/>
      <c r="F1966" s="1"/>
      <c r="G1966" s="1"/>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row>
    <row r="1967" spans="1:34" ht="12.5">
      <c r="A1967" s="1"/>
      <c r="B1967" s="1"/>
      <c r="C1967" s="1"/>
      <c r="D1967" s="1"/>
      <c r="E1967" s="1"/>
      <c r="F1967" s="1"/>
      <c r="G1967" s="1"/>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row>
    <row r="1968" spans="1:34" ht="12.5">
      <c r="A1968" s="1"/>
      <c r="B1968" s="1"/>
      <c r="C1968" s="1"/>
      <c r="D1968" s="1"/>
      <c r="E1968" s="1"/>
      <c r="F1968" s="1"/>
      <c r="G1968" s="1"/>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row>
    <row r="1969" spans="1:34" ht="12.5">
      <c r="A1969" s="1"/>
      <c r="B1969" s="1"/>
      <c r="C1969" s="1"/>
      <c r="D1969" s="1"/>
      <c r="E1969" s="1"/>
      <c r="F1969" s="1"/>
      <c r="G1969" s="1"/>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row>
    <row r="1970" spans="1:34" ht="12.5">
      <c r="A1970" s="1"/>
      <c r="B1970" s="1"/>
      <c r="C1970" s="1"/>
      <c r="D1970" s="1"/>
      <c r="E1970" s="1"/>
      <c r="F1970" s="1"/>
      <c r="G1970" s="1"/>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row>
    <row r="1971" spans="1:34" ht="12.5">
      <c r="A1971" s="1"/>
      <c r="B1971" s="1"/>
      <c r="C1971" s="1"/>
      <c r="D1971" s="1"/>
      <c r="E1971" s="1"/>
      <c r="F1971" s="1"/>
      <c r="G1971" s="1"/>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row>
    <row r="1972" spans="1:34" ht="12.5">
      <c r="A1972" s="1"/>
      <c r="B1972" s="1"/>
      <c r="C1972" s="1"/>
      <c r="D1972" s="1"/>
      <c r="E1972" s="1"/>
      <c r="F1972" s="1"/>
      <c r="G1972" s="1"/>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row>
    <row r="1973" spans="1:34" ht="12.5">
      <c r="A1973" s="1"/>
      <c r="B1973" s="1"/>
      <c r="C1973" s="1"/>
      <c r="D1973" s="1"/>
      <c r="E1973" s="1"/>
      <c r="F1973" s="1"/>
      <c r="G1973" s="1"/>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row>
    <row r="1974" spans="1:34" ht="12.5">
      <c r="A1974" s="1"/>
      <c r="B1974" s="1"/>
      <c r="C1974" s="1"/>
      <c r="D1974" s="1"/>
      <c r="E1974" s="1"/>
      <c r="F1974" s="1"/>
      <c r="G1974" s="1"/>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row>
    <row r="1975" spans="1:34" ht="12.5">
      <c r="A1975" s="1"/>
      <c r="B1975" s="1"/>
      <c r="C1975" s="1"/>
      <c r="D1975" s="1"/>
      <c r="E1975" s="1"/>
      <c r="F1975" s="1"/>
      <c r="G1975" s="1"/>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row>
    <row r="1976" spans="1:34" ht="12.5">
      <c r="A1976" s="1"/>
      <c r="B1976" s="1"/>
      <c r="C1976" s="1"/>
      <c r="D1976" s="1"/>
      <c r="E1976" s="1"/>
      <c r="F1976" s="1"/>
      <c r="G1976" s="1"/>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row>
    <row r="1977" spans="1:34" ht="12.5">
      <c r="A1977" s="1"/>
      <c r="B1977" s="1"/>
      <c r="C1977" s="1"/>
      <c r="D1977" s="1"/>
      <c r="E1977" s="1"/>
      <c r="F1977" s="1"/>
      <c r="G1977" s="1"/>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row>
    <row r="1978" spans="1:34" ht="12.5">
      <c r="A1978" s="1"/>
      <c r="B1978" s="1"/>
      <c r="C1978" s="1"/>
      <c r="D1978" s="1"/>
      <c r="E1978" s="1"/>
      <c r="F1978" s="1"/>
      <c r="G1978" s="1"/>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row>
    <row r="1979" spans="1:34" ht="12.5">
      <c r="A1979" s="1"/>
      <c r="B1979" s="1"/>
      <c r="C1979" s="1"/>
      <c r="D1979" s="1"/>
      <c r="E1979" s="1"/>
      <c r="F1979" s="1"/>
      <c r="G1979" s="1"/>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row>
    <row r="1980" spans="1:34" ht="12.5">
      <c r="A1980" s="1"/>
      <c r="B1980" s="1"/>
      <c r="C1980" s="1"/>
      <c r="D1980" s="1"/>
      <c r="E1980" s="1"/>
      <c r="F1980" s="1"/>
      <c r="G1980" s="1"/>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row>
    <row r="1981" spans="1:34" ht="12.5">
      <c r="A1981" s="1"/>
      <c r="B1981" s="1"/>
      <c r="C1981" s="1"/>
      <c r="D1981" s="1"/>
      <c r="E1981" s="1"/>
      <c r="F1981" s="1"/>
      <c r="G1981" s="1"/>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row>
    <row r="1982" spans="1:34" ht="12.5">
      <c r="A1982" s="1"/>
      <c r="B1982" s="1"/>
      <c r="C1982" s="1"/>
      <c r="D1982" s="1"/>
      <c r="E1982" s="1"/>
      <c r="F1982" s="1"/>
      <c r="G1982" s="1"/>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row>
    <row r="1983" spans="1:34" ht="12.5">
      <c r="A1983" s="1"/>
      <c r="B1983" s="1"/>
      <c r="C1983" s="1"/>
      <c r="D1983" s="1"/>
      <c r="E1983" s="1"/>
      <c r="F1983" s="1"/>
      <c r="G1983" s="1"/>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row>
    <row r="1984" spans="1:34" ht="12.5">
      <c r="A1984" s="1"/>
      <c r="B1984" s="1"/>
      <c r="C1984" s="1"/>
      <c r="D1984" s="1"/>
      <c r="E1984" s="1"/>
      <c r="F1984" s="1"/>
      <c r="G1984" s="1"/>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row>
    <row r="1985" spans="1:34" ht="12.5">
      <c r="A1985" s="1"/>
      <c r="B1985" s="1"/>
      <c r="C1985" s="1"/>
      <c r="D1985" s="1"/>
      <c r="E1985" s="1"/>
      <c r="F1985" s="1"/>
      <c r="G1985" s="1"/>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row>
    <row r="1986" spans="1:34" ht="12.5">
      <c r="A1986" s="1"/>
      <c r="B1986" s="1"/>
      <c r="C1986" s="1"/>
      <c r="D1986" s="1"/>
      <c r="E1986" s="1"/>
      <c r="F1986" s="1"/>
      <c r="G1986" s="1"/>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row>
    <row r="1987" spans="1:34" ht="12.5">
      <c r="A1987" s="1"/>
      <c r="B1987" s="1"/>
      <c r="C1987" s="1"/>
      <c r="D1987" s="1"/>
      <c r="E1987" s="1"/>
      <c r="F1987" s="1"/>
      <c r="G1987" s="1"/>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row>
    <row r="1988" spans="1:34" ht="12.5">
      <c r="A1988" s="1"/>
      <c r="B1988" s="1"/>
      <c r="C1988" s="1"/>
      <c r="D1988" s="1"/>
      <c r="E1988" s="1"/>
      <c r="F1988" s="1"/>
      <c r="G1988" s="1"/>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row>
    <row r="1989" spans="1:34" ht="12.5">
      <c r="A1989" s="1"/>
      <c r="B1989" s="1"/>
      <c r="C1989" s="1"/>
      <c r="D1989" s="1"/>
      <c r="E1989" s="1"/>
      <c r="F1989" s="1"/>
      <c r="G1989" s="1"/>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row>
    <row r="1990" spans="1:34" ht="12.5">
      <c r="A1990" s="1"/>
      <c r="B1990" s="1"/>
      <c r="C1990" s="1"/>
      <c r="D1990" s="1"/>
      <c r="E1990" s="1"/>
      <c r="F1990" s="1"/>
      <c r="G1990" s="1"/>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row>
    <row r="1991" spans="1:34" ht="12.5">
      <c r="A1991" s="1"/>
      <c r="B1991" s="1"/>
      <c r="C1991" s="1"/>
      <c r="D1991" s="1"/>
      <c r="E1991" s="1"/>
      <c r="F1991" s="1"/>
      <c r="G1991" s="1"/>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row>
    <row r="1992" spans="1:34" ht="12.5">
      <c r="A1992" s="1"/>
      <c r="B1992" s="1"/>
      <c r="C1992" s="1"/>
      <c r="D1992" s="1"/>
      <c r="E1992" s="1"/>
      <c r="F1992" s="1"/>
      <c r="G1992" s="1"/>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row>
    <row r="1993" spans="1:34" ht="12.5">
      <c r="A1993" s="1"/>
      <c r="B1993" s="1"/>
      <c r="C1993" s="1"/>
      <c r="D1993" s="1"/>
      <c r="E1993" s="1"/>
      <c r="F1993" s="1"/>
      <c r="G1993" s="1"/>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row>
    <row r="1994" spans="1:34" ht="12.5">
      <c r="A1994" s="1"/>
      <c r="B1994" s="1"/>
      <c r="C1994" s="1"/>
      <c r="D1994" s="1"/>
      <c r="E1994" s="1"/>
      <c r="F1994" s="1"/>
      <c r="G1994" s="1"/>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row>
    <row r="1995" spans="1:34" ht="12.5">
      <c r="A1995" s="1"/>
      <c r="B1995" s="1"/>
      <c r="C1995" s="1"/>
      <c r="D1995" s="1"/>
      <c r="E1995" s="1"/>
      <c r="F1995" s="1"/>
      <c r="G1995" s="1"/>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row>
    <row r="1996" spans="1:34" ht="12.5">
      <c r="A1996" s="1"/>
      <c r="B1996" s="1"/>
      <c r="C1996" s="1"/>
      <c r="D1996" s="1"/>
      <c r="E1996" s="1"/>
      <c r="F1996" s="1"/>
      <c r="G1996" s="1"/>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row>
    <row r="1997" spans="1:34" ht="12.5">
      <c r="A1997" s="1"/>
      <c r="B1997" s="1"/>
      <c r="C1997" s="1"/>
      <c r="D1997" s="1"/>
      <c r="E1997" s="1"/>
      <c r="F1997" s="1"/>
      <c r="G1997" s="1"/>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row>
    <row r="1998" spans="1:34" ht="12.5">
      <c r="A1998" s="1"/>
      <c r="B1998" s="1"/>
      <c r="C1998" s="1"/>
      <c r="D1998" s="1"/>
      <c r="E1998" s="1"/>
      <c r="F1998" s="1"/>
      <c r="G1998" s="1"/>
      <c r="H1998" s="1"/>
      <c r="I1998" s="1"/>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row>
    <row r="1999" spans="1:34" ht="12.5">
      <c r="A1999" s="1"/>
      <c r="B1999" s="1"/>
      <c r="C1999" s="1"/>
      <c r="D1999" s="1"/>
      <c r="E1999" s="1"/>
      <c r="F1999" s="1"/>
      <c r="G1999" s="1"/>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row>
    <row r="2000" spans="1:34" ht="12.5">
      <c r="A2000" s="1"/>
      <c r="B2000" s="1"/>
      <c r="C2000" s="1"/>
      <c r="D2000" s="1"/>
      <c r="E2000" s="1"/>
      <c r="F2000" s="1"/>
      <c r="G2000" s="1"/>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row>
    <row r="2001" spans="1:34" ht="12.5">
      <c r="A2001" s="1"/>
      <c r="B2001" s="1"/>
      <c r="C2001" s="1"/>
      <c r="D2001" s="1"/>
      <c r="E2001" s="1"/>
      <c r="F2001" s="1"/>
      <c r="G2001" s="1"/>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row>
    <row r="2002" spans="1:34" ht="12.5">
      <c r="A2002" s="1"/>
      <c r="B2002" s="1"/>
      <c r="C2002" s="1"/>
      <c r="D2002" s="1"/>
      <c r="E2002" s="1"/>
      <c r="F2002" s="1"/>
      <c r="G2002" s="1"/>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row>
    <row r="2003" spans="1:34" ht="12.5">
      <c r="A2003" s="1"/>
      <c r="B2003" s="1"/>
      <c r="C2003" s="1"/>
      <c r="D2003" s="1"/>
      <c r="E2003" s="1"/>
      <c r="F2003" s="1"/>
      <c r="G2003" s="1"/>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row>
    <row r="2004" spans="1:34" ht="12.5">
      <c r="A2004" s="1"/>
      <c r="B2004" s="1"/>
      <c r="C2004" s="1"/>
      <c r="D2004" s="1"/>
      <c r="E2004" s="1"/>
      <c r="F2004" s="1"/>
      <c r="G2004" s="1"/>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row>
    <row r="2005" spans="1:34" ht="12.5">
      <c r="A2005" s="1"/>
      <c r="B2005" s="1"/>
      <c r="C2005" s="1"/>
      <c r="D2005" s="1"/>
      <c r="E2005" s="1"/>
      <c r="F2005" s="1"/>
      <c r="G2005" s="1"/>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row>
    <row r="2006" spans="1:34" ht="12.5">
      <c r="A2006" s="1"/>
      <c r="B2006" s="1"/>
      <c r="C2006" s="1"/>
      <c r="D2006" s="1"/>
      <c r="E2006" s="1"/>
      <c r="F2006" s="1"/>
      <c r="G2006" s="1"/>
      <c r="H2006" s="1"/>
      <c r="I2006" s="1"/>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row>
    <row r="2007" spans="1:34" ht="12.5">
      <c r="A2007" s="1"/>
      <c r="B2007" s="1"/>
      <c r="C2007" s="1"/>
      <c r="D2007" s="1"/>
      <c r="E2007" s="1"/>
      <c r="F2007" s="1"/>
      <c r="G2007" s="1"/>
      <c r="H2007" s="1"/>
      <c r="I2007" s="1"/>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row>
    <row r="2008" spans="1:34" ht="12.5">
      <c r="A2008" s="1"/>
      <c r="B2008" s="1"/>
      <c r="C2008" s="1"/>
      <c r="D2008" s="1"/>
      <c r="E2008" s="1"/>
      <c r="F2008" s="1"/>
      <c r="G2008" s="1"/>
      <c r="H2008" s="1"/>
      <c r="I2008" s="1"/>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row>
    <row r="2009" spans="1:34" ht="12.5">
      <c r="A2009" s="1"/>
      <c r="B2009" s="1"/>
      <c r="C2009" s="1"/>
      <c r="D2009" s="1"/>
      <c r="E2009" s="1"/>
      <c r="F2009" s="1"/>
      <c r="G2009" s="1"/>
      <c r="H2009" s="1"/>
      <c r="I2009" s="1"/>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row>
    <row r="2010" spans="1:34" ht="12.5">
      <c r="A2010" s="1"/>
      <c r="B2010" s="1"/>
      <c r="C2010" s="1"/>
      <c r="D2010" s="1"/>
      <c r="E2010" s="1"/>
      <c r="F2010" s="1"/>
      <c r="G2010" s="1"/>
      <c r="H2010" s="1"/>
      <c r="I2010" s="1"/>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row>
    <row r="2011" spans="1:34" ht="12.5">
      <c r="A2011" s="1"/>
      <c r="B2011" s="1"/>
      <c r="C2011" s="1"/>
      <c r="D2011" s="1"/>
      <c r="E2011" s="1"/>
      <c r="F2011" s="1"/>
      <c r="G2011" s="1"/>
      <c r="H2011" s="1"/>
      <c r="I2011" s="1"/>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row>
    <row r="2012" spans="1:34" ht="12.5">
      <c r="A2012" s="1"/>
      <c r="B2012" s="1"/>
      <c r="C2012" s="1"/>
      <c r="D2012" s="1"/>
      <c r="E2012" s="1"/>
      <c r="F2012" s="1"/>
      <c r="G2012" s="1"/>
      <c r="H2012" s="1"/>
      <c r="I2012" s="1"/>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row>
    <row r="2013" spans="1:34" ht="12.5">
      <c r="A2013" s="1"/>
      <c r="B2013" s="1"/>
      <c r="C2013" s="1"/>
      <c r="D2013" s="1"/>
      <c r="E2013" s="1"/>
      <c r="F2013" s="1"/>
      <c r="G2013" s="1"/>
      <c r="H2013" s="1"/>
      <c r="I2013" s="1"/>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row>
    <row r="2014" spans="1:34" ht="12.5">
      <c r="A2014" s="1"/>
      <c r="B2014" s="1"/>
      <c r="C2014" s="1"/>
      <c r="D2014" s="1"/>
      <c r="E2014" s="1"/>
      <c r="F2014" s="1"/>
      <c r="G2014" s="1"/>
      <c r="H2014" s="1"/>
      <c r="I2014" s="1"/>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row>
    <row r="2015" spans="1:34" ht="12.5">
      <c r="A2015" s="1"/>
      <c r="B2015" s="1"/>
      <c r="C2015" s="1"/>
      <c r="D2015" s="1"/>
      <c r="E2015" s="1"/>
      <c r="F2015" s="1"/>
      <c r="G2015" s="1"/>
      <c r="H2015" s="1"/>
      <c r="I2015" s="1"/>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row>
    <row r="2016" spans="1:34" ht="12.5">
      <c r="A2016" s="1"/>
      <c r="B2016" s="1"/>
      <c r="C2016" s="1"/>
      <c r="D2016" s="1"/>
      <c r="E2016" s="1"/>
      <c r="F2016" s="1"/>
      <c r="G2016" s="1"/>
      <c r="H2016" s="1"/>
      <c r="I2016" s="1"/>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row>
    <row r="2017" spans="1:34" ht="12.5">
      <c r="A2017" s="1"/>
      <c r="B2017" s="1"/>
      <c r="C2017" s="1"/>
      <c r="D2017" s="1"/>
      <c r="E2017" s="1"/>
      <c r="F2017" s="1"/>
      <c r="G2017" s="1"/>
      <c r="H2017" s="1"/>
      <c r="I2017" s="1"/>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row>
    <row r="2018" spans="1:34" ht="12.5">
      <c r="A2018" s="1"/>
      <c r="B2018" s="1"/>
      <c r="C2018" s="1"/>
      <c r="D2018" s="1"/>
      <c r="E2018" s="1"/>
      <c r="F2018" s="1"/>
      <c r="G2018" s="1"/>
      <c r="H2018" s="1"/>
      <c r="I2018" s="1"/>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row>
    <row r="2019" spans="1:34" ht="12.5">
      <c r="A2019" s="1"/>
      <c r="B2019" s="1"/>
      <c r="C2019" s="1"/>
      <c r="D2019" s="1"/>
      <c r="E2019" s="1"/>
      <c r="F2019" s="1"/>
      <c r="G2019" s="1"/>
      <c r="H2019" s="1"/>
      <c r="I2019" s="1"/>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row>
    <row r="2020" spans="1:34" ht="12.5">
      <c r="A2020" s="1"/>
      <c r="B2020" s="1"/>
      <c r="C2020" s="1"/>
      <c r="D2020" s="1"/>
      <c r="E2020" s="1"/>
      <c r="F2020" s="1"/>
      <c r="G2020" s="1"/>
      <c r="H2020" s="1"/>
      <c r="I2020" s="1"/>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row>
    <row r="2021" spans="1:34" ht="12.5">
      <c r="A2021" s="1"/>
      <c r="B2021" s="1"/>
      <c r="C2021" s="1"/>
      <c r="D2021" s="1"/>
      <c r="E2021" s="1"/>
      <c r="F2021" s="1"/>
      <c r="G2021" s="1"/>
      <c r="H2021" s="1"/>
      <c r="I2021" s="1"/>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row>
    <row r="2022" spans="1:34" ht="12.5">
      <c r="A2022" s="1"/>
      <c r="B2022" s="1"/>
      <c r="C2022" s="1"/>
      <c r="D2022" s="1"/>
      <c r="E2022" s="1"/>
      <c r="F2022" s="1"/>
      <c r="G2022" s="1"/>
      <c r="H2022" s="1"/>
      <c r="I2022" s="1"/>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row>
    <row r="2023" spans="1:34" ht="12.5">
      <c r="A2023" s="1"/>
      <c r="B2023" s="1"/>
      <c r="C2023" s="1"/>
      <c r="D2023" s="1"/>
      <c r="E2023" s="1"/>
      <c r="F2023" s="1"/>
      <c r="G2023" s="1"/>
      <c r="H2023" s="1"/>
      <c r="I2023" s="1"/>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row>
    <row r="2024" spans="1:34" ht="12.5">
      <c r="A2024" s="1"/>
      <c r="B2024" s="1"/>
      <c r="C2024" s="1"/>
      <c r="D2024" s="1"/>
      <c r="E2024" s="1"/>
      <c r="F2024" s="1"/>
      <c r="G2024" s="1"/>
      <c r="H2024" s="1"/>
      <c r="I2024" s="1"/>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row>
    <row r="2025" spans="1:34" ht="12.5">
      <c r="A2025" s="1"/>
      <c r="B2025" s="1"/>
      <c r="C2025" s="1"/>
      <c r="D2025" s="1"/>
      <c r="E2025" s="1"/>
      <c r="F2025" s="1"/>
      <c r="G2025" s="1"/>
      <c r="H2025" s="1"/>
      <c r="I2025" s="1"/>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row>
    <row r="2026" spans="1:34" ht="12.5">
      <c r="A2026" s="1"/>
      <c r="B2026" s="1"/>
      <c r="C2026" s="1"/>
      <c r="D2026" s="1"/>
      <c r="E2026" s="1"/>
      <c r="F2026" s="1"/>
      <c r="G2026" s="1"/>
      <c r="H2026" s="1"/>
      <c r="I2026" s="1"/>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row>
    <row r="2027" spans="1:34" ht="12.5">
      <c r="A2027" s="1"/>
      <c r="B2027" s="1"/>
      <c r="C2027" s="1"/>
      <c r="D2027" s="1"/>
      <c r="E2027" s="1"/>
      <c r="F2027" s="1"/>
      <c r="G2027" s="1"/>
      <c r="H2027" s="1"/>
      <c r="I2027" s="1"/>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row>
    <row r="2028" spans="1:34" ht="12.5">
      <c r="A2028" s="1"/>
      <c r="B2028" s="1"/>
      <c r="C2028" s="1"/>
      <c r="D2028" s="1"/>
      <c r="E2028" s="1"/>
      <c r="F2028" s="1"/>
      <c r="G2028" s="1"/>
      <c r="H2028" s="1"/>
      <c r="I2028" s="1"/>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row>
    <row r="2029" spans="1:34" ht="12.5">
      <c r="A2029" s="1"/>
      <c r="B2029" s="1"/>
      <c r="C2029" s="1"/>
      <c r="D2029" s="1"/>
      <c r="E2029" s="1"/>
      <c r="F2029" s="1"/>
      <c r="G2029" s="1"/>
      <c r="H2029" s="1"/>
      <c r="I2029" s="1"/>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row>
    <row r="2030" spans="1:34" ht="12.5">
      <c r="A2030" s="1"/>
      <c r="B2030" s="1"/>
      <c r="C2030" s="1"/>
      <c r="D2030" s="1"/>
      <c r="E2030" s="1"/>
      <c r="F2030" s="1"/>
      <c r="G2030" s="1"/>
      <c r="H2030" s="1"/>
      <c r="I2030" s="1"/>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row>
    <row r="2031" spans="1:34" ht="12.5">
      <c r="A2031" s="1"/>
      <c r="B2031" s="1"/>
      <c r="C2031" s="1"/>
      <c r="D2031" s="1"/>
      <c r="E2031" s="1"/>
      <c r="F2031" s="1"/>
      <c r="G2031" s="1"/>
      <c r="H2031" s="1"/>
      <c r="I2031" s="1"/>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row>
    <row r="2032" spans="1:34" ht="12.5">
      <c r="A2032" s="1"/>
      <c r="B2032" s="1"/>
      <c r="C2032" s="1"/>
      <c r="D2032" s="1"/>
      <c r="E2032" s="1"/>
      <c r="F2032" s="1"/>
      <c r="G2032" s="1"/>
      <c r="H2032" s="1"/>
      <c r="I2032" s="1"/>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row>
    <row r="2033" spans="1:34" ht="12.5">
      <c r="A2033" s="1"/>
      <c r="B2033" s="1"/>
      <c r="C2033" s="1"/>
      <c r="D2033" s="1"/>
      <c r="E2033" s="1"/>
      <c r="F2033" s="1"/>
      <c r="G2033" s="1"/>
      <c r="H2033" s="1"/>
      <c r="I2033" s="1"/>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row>
    <row r="2034" spans="1:34" ht="12.5">
      <c r="A2034" s="1"/>
      <c r="B2034" s="1"/>
      <c r="C2034" s="1"/>
      <c r="D2034" s="1"/>
      <c r="E2034" s="1"/>
      <c r="F2034" s="1"/>
      <c r="G2034" s="1"/>
      <c r="H2034" s="1"/>
      <c r="I2034" s="1"/>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row>
    <row r="2035" spans="1:34" ht="12.5">
      <c r="A2035" s="1"/>
      <c r="B2035" s="1"/>
      <c r="C2035" s="1"/>
      <c r="D2035" s="1"/>
      <c r="E2035" s="1"/>
      <c r="F2035" s="1"/>
      <c r="G2035" s="1"/>
      <c r="H2035" s="1"/>
      <c r="I2035" s="1"/>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row>
    <row r="2036" spans="1:34" ht="12.5">
      <c r="A2036" s="1"/>
      <c r="B2036" s="1"/>
      <c r="C2036" s="1"/>
      <c r="D2036" s="1"/>
      <c r="E2036" s="1"/>
      <c r="F2036" s="1"/>
      <c r="G2036" s="1"/>
      <c r="H2036" s="1"/>
      <c r="I2036" s="1"/>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row>
    <row r="2037" spans="1:34" ht="12.5">
      <c r="A2037" s="1"/>
      <c r="B2037" s="1"/>
      <c r="C2037" s="1"/>
      <c r="D2037" s="1"/>
      <c r="E2037" s="1"/>
      <c r="F2037" s="1"/>
      <c r="G2037" s="1"/>
      <c r="H2037" s="1"/>
      <c r="I2037" s="1"/>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row>
    <row r="2038" spans="1:34" ht="12.5">
      <c r="A2038" s="1"/>
      <c r="B2038" s="1"/>
      <c r="C2038" s="1"/>
      <c r="D2038" s="1"/>
      <c r="E2038" s="1"/>
      <c r="F2038" s="1"/>
      <c r="G2038" s="1"/>
      <c r="H2038" s="1"/>
      <c r="I2038" s="1"/>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row>
    <row r="2039" spans="1:34" ht="12.5">
      <c r="A2039" s="1"/>
      <c r="B2039" s="1"/>
      <c r="C2039" s="1"/>
      <c r="D2039" s="1"/>
      <c r="E2039" s="1"/>
      <c r="F2039" s="1"/>
      <c r="G2039" s="1"/>
      <c r="H2039" s="1"/>
      <c r="I2039" s="1"/>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row>
    <row r="2040" spans="1:34" ht="12.5">
      <c r="A2040" s="1"/>
      <c r="B2040" s="1"/>
      <c r="C2040" s="1"/>
      <c r="D2040" s="1"/>
      <c r="E2040" s="1"/>
      <c r="F2040" s="1"/>
      <c r="G2040" s="1"/>
      <c r="H2040" s="1"/>
      <c r="I2040" s="1"/>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row>
    <row r="2041" spans="1:34" ht="12.5">
      <c r="A2041" s="1"/>
      <c r="B2041" s="1"/>
      <c r="C2041" s="1"/>
      <c r="D2041" s="1"/>
      <c r="E2041" s="1"/>
      <c r="F2041" s="1"/>
      <c r="G2041" s="1"/>
      <c r="H2041" s="1"/>
      <c r="I2041" s="1"/>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row>
    <row r="2042" spans="1:34" ht="12.5">
      <c r="A2042" s="1"/>
      <c r="B2042" s="1"/>
      <c r="C2042" s="1"/>
      <c r="D2042" s="1"/>
      <c r="E2042" s="1"/>
      <c r="F2042" s="1"/>
      <c r="G2042" s="1"/>
      <c r="H2042" s="1"/>
      <c r="I2042" s="1"/>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row>
    <row r="2043" spans="1:34" ht="12.5">
      <c r="A2043" s="1"/>
      <c r="B2043" s="1"/>
      <c r="C2043" s="1"/>
      <c r="D2043" s="1"/>
      <c r="E2043" s="1"/>
      <c r="F2043" s="1"/>
      <c r="G2043" s="1"/>
      <c r="H2043" s="1"/>
      <c r="I2043" s="1"/>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row>
    <row r="2044" spans="1:34" ht="12.5">
      <c r="A2044" s="1"/>
      <c r="B2044" s="1"/>
      <c r="C2044" s="1"/>
      <c r="D2044" s="1"/>
      <c r="E2044" s="1"/>
      <c r="F2044" s="1"/>
      <c r="G2044" s="1"/>
      <c r="H2044" s="1"/>
      <c r="I2044" s="1"/>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row>
    <row r="2045" spans="1:34" ht="12.5">
      <c r="A2045" s="1"/>
      <c r="B2045" s="1"/>
      <c r="C2045" s="1"/>
      <c r="D2045" s="1"/>
      <c r="E2045" s="1"/>
      <c r="F2045" s="1"/>
      <c r="G2045" s="1"/>
      <c r="H2045" s="1"/>
      <c r="I2045" s="1"/>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row>
    <row r="2046" spans="1:34" ht="12.5">
      <c r="A2046" s="1"/>
      <c r="B2046" s="1"/>
      <c r="C2046" s="1"/>
      <c r="D2046" s="1"/>
      <c r="E2046" s="1"/>
      <c r="F2046" s="1"/>
      <c r="G2046" s="1"/>
      <c r="H2046" s="1"/>
      <c r="I2046" s="1"/>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row>
    <row r="2047" spans="1:34" ht="12.5">
      <c r="A2047" s="1"/>
      <c r="B2047" s="1"/>
      <c r="C2047" s="1"/>
      <c r="D2047" s="1"/>
      <c r="E2047" s="1"/>
      <c r="F2047" s="1"/>
      <c r="G2047" s="1"/>
      <c r="H2047" s="1"/>
      <c r="I2047" s="1"/>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row>
    <row r="2048" spans="1:34" ht="12.5">
      <c r="A2048" s="1"/>
      <c r="B2048" s="1"/>
      <c r="C2048" s="1"/>
      <c r="D2048" s="1"/>
      <c r="E2048" s="1"/>
      <c r="F2048" s="1"/>
      <c r="G2048" s="1"/>
      <c r="H2048" s="1"/>
      <c r="I2048" s="1"/>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row>
    <row r="2049" spans="1:34" ht="12.5">
      <c r="A2049" s="1"/>
      <c r="B2049" s="1"/>
      <c r="C2049" s="1"/>
      <c r="D2049" s="1"/>
      <c r="E2049" s="1"/>
      <c r="F2049" s="1"/>
      <c r="G2049" s="1"/>
      <c r="H2049" s="1"/>
      <c r="I2049" s="1"/>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row>
    <row r="2050" spans="1:34" ht="12.5">
      <c r="A2050" s="1"/>
      <c r="B2050" s="1"/>
      <c r="C2050" s="1"/>
      <c r="D2050" s="1"/>
      <c r="E2050" s="1"/>
      <c r="F2050" s="1"/>
      <c r="G2050" s="1"/>
      <c r="H2050" s="1"/>
      <c r="I2050" s="1"/>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row>
    <row r="2051" spans="1:34" ht="12.5">
      <c r="A2051" s="1"/>
      <c r="B2051" s="1"/>
      <c r="C2051" s="1"/>
      <c r="D2051" s="1"/>
      <c r="E2051" s="1"/>
      <c r="F2051" s="1"/>
      <c r="G2051" s="1"/>
      <c r="H2051" s="1"/>
      <c r="I2051" s="1"/>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row>
    <row r="2052" spans="1:34" ht="12.5">
      <c r="A2052" s="1"/>
      <c r="B2052" s="1"/>
      <c r="C2052" s="1"/>
      <c r="D2052" s="1"/>
      <c r="E2052" s="1"/>
      <c r="F2052" s="1"/>
      <c r="G2052" s="1"/>
      <c r="H2052" s="1"/>
      <c r="I2052" s="1"/>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row>
    <row r="2053" spans="1:34" ht="12.5">
      <c r="A2053" s="1"/>
      <c r="B2053" s="1"/>
      <c r="C2053" s="1"/>
      <c r="D2053" s="1"/>
      <c r="E2053" s="1"/>
      <c r="F2053" s="1"/>
      <c r="G2053" s="1"/>
      <c r="H2053" s="1"/>
      <c r="I2053" s="1"/>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row>
    <row r="2054" spans="1:34" ht="12.5">
      <c r="A2054" s="1"/>
      <c r="B2054" s="1"/>
      <c r="C2054" s="1"/>
      <c r="D2054" s="1"/>
      <c r="E2054" s="1"/>
      <c r="F2054" s="1"/>
      <c r="G2054" s="1"/>
      <c r="H2054" s="1"/>
      <c r="I2054" s="1"/>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row>
    <row r="2055" spans="1:34" ht="12.5">
      <c r="A2055" s="1"/>
      <c r="B2055" s="1"/>
      <c r="C2055" s="1"/>
      <c r="D2055" s="1"/>
      <c r="E2055" s="1"/>
      <c r="F2055" s="1"/>
      <c r="G2055" s="1"/>
      <c r="H2055" s="1"/>
      <c r="I2055" s="1"/>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row>
    <row r="2056" spans="1:34" ht="12.5">
      <c r="A2056" s="1"/>
      <c r="B2056" s="1"/>
      <c r="C2056" s="1"/>
      <c r="D2056" s="1"/>
      <c r="E2056" s="1"/>
      <c r="F2056" s="1"/>
      <c r="G2056" s="1"/>
      <c r="H2056" s="1"/>
      <c r="I2056" s="1"/>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row>
    <row r="2057" spans="1:34" ht="12.5">
      <c r="A2057" s="1"/>
      <c r="B2057" s="1"/>
      <c r="C2057" s="1"/>
      <c r="D2057" s="1"/>
      <c r="E2057" s="1"/>
      <c r="F2057" s="1"/>
      <c r="G2057" s="1"/>
      <c r="H2057" s="1"/>
      <c r="I2057" s="1"/>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row>
    <row r="2058" spans="1:34" ht="12.5">
      <c r="A2058" s="1"/>
      <c r="B2058" s="1"/>
      <c r="C2058" s="1"/>
      <c r="D2058" s="1"/>
      <c r="E2058" s="1"/>
      <c r="F2058" s="1"/>
      <c r="G2058" s="1"/>
      <c r="H2058" s="1"/>
      <c r="I2058" s="1"/>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row>
    <row r="2059" spans="1:34" ht="12.5">
      <c r="A2059" s="1"/>
      <c r="B2059" s="1"/>
      <c r="C2059" s="1"/>
      <c r="D2059" s="1"/>
      <c r="E2059" s="1"/>
      <c r="F2059" s="1"/>
      <c r="G2059" s="1"/>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row>
    <row r="2060" spans="1:34" ht="12.5">
      <c r="A2060" s="1"/>
      <c r="B2060" s="1"/>
      <c r="C2060" s="1"/>
      <c r="D2060" s="1"/>
      <c r="E2060" s="1"/>
      <c r="F2060" s="1"/>
      <c r="G2060" s="1"/>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row>
    <row r="2061" spans="1:34" ht="12.5">
      <c r="A2061" s="1"/>
      <c r="B2061" s="1"/>
      <c r="C2061" s="1"/>
      <c r="D2061" s="1"/>
      <c r="E2061" s="1"/>
      <c r="F2061" s="1"/>
      <c r="G2061" s="1"/>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row>
    <row r="2062" spans="1:34" ht="12.5">
      <c r="A2062" s="1"/>
      <c r="B2062" s="1"/>
      <c r="C2062" s="1"/>
      <c r="D2062" s="1"/>
      <c r="E2062" s="1"/>
      <c r="F2062" s="1"/>
      <c r="G2062" s="1"/>
      <c r="H2062" s="1"/>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row>
    <row r="2063" spans="1:34" ht="12.5">
      <c r="A2063" s="1"/>
      <c r="B2063" s="1"/>
      <c r="C2063" s="1"/>
      <c r="D2063" s="1"/>
      <c r="E2063" s="1"/>
      <c r="F2063" s="1"/>
      <c r="G2063" s="1"/>
      <c r="H2063" s="1"/>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row>
    <row r="2064" spans="1:34" ht="12.5">
      <c r="A2064" s="1"/>
      <c r="B2064" s="1"/>
      <c r="C2064" s="1"/>
      <c r="D2064" s="1"/>
      <c r="E2064" s="1"/>
      <c r="F2064" s="1"/>
      <c r="G2064" s="1"/>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row>
    <row r="2065" spans="1:34" ht="12.5">
      <c r="A2065" s="1"/>
      <c r="B2065" s="1"/>
      <c r="C2065" s="1"/>
      <c r="D2065" s="1"/>
      <c r="E2065" s="1"/>
      <c r="F2065" s="1"/>
      <c r="G2065" s="1"/>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row>
    <row r="2066" spans="1:34" ht="12.5">
      <c r="A2066" s="1"/>
      <c r="B2066" s="1"/>
      <c r="C2066" s="1"/>
      <c r="D2066" s="1"/>
      <c r="E2066" s="1"/>
      <c r="F2066" s="1"/>
      <c r="G2066" s="1"/>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row>
    <row r="2067" spans="1:34" ht="12.5">
      <c r="A2067" s="1"/>
      <c r="B2067" s="1"/>
      <c r="C2067" s="1"/>
      <c r="D2067" s="1"/>
      <c r="E2067" s="1"/>
      <c r="F2067" s="1"/>
      <c r="G2067" s="1"/>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row>
    <row r="2068" spans="1:34" ht="12.5">
      <c r="A2068" s="1"/>
      <c r="B2068" s="1"/>
      <c r="C2068" s="1"/>
      <c r="D2068" s="1"/>
      <c r="E2068" s="1"/>
      <c r="F2068" s="1"/>
      <c r="G2068" s="1"/>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row>
    <row r="2069" spans="1:34" ht="12.5">
      <c r="A2069" s="1"/>
      <c r="B2069" s="1"/>
      <c r="C2069" s="1"/>
      <c r="D2069" s="1"/>
      <c r="E2069" s="1"/>
      <c r="F2069" s="1"/>
      <c r="G2069" s="1"/>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row>
    <row r="2070" spans="1:34" ht="12.5">
      <c r="A2070" s="1"/>
      <c r="B2070" s="1"/>
      <c r="C2070" s="1"/>
      <c r="D2070" s="1"/>
      <c r="E2070" s="1"/>
      <c r="F2070" s="1"/>
      <c r="G2070" s="1"/>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row>
    <row r="2071" spans="1:34" ht="12.5">
      <c r="A2071" s="1"/>
      <c r="B2071" s="1"/>
      <c r="C2071" s="1"/>
      <c r="D2071" s="1"/>
      <c r="E2071" s="1"/>
      <c r="F2071" s="1"/>
      <c r="G2071" s="1"/>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row>
    <row r="2072" spans="1:34" ht="12.5">
      <c r="A2072" s="1"/>
      <c r="B2072" s="1"/>
      <c r="C2072" s="1"/>
      <c r="D2072" s="1"/>
      <c r="E2072" s="1"/>
      <c r="F2072" s="1"/>
      <c r="G2072" s="1"/>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row>
    <row r="2073" spans="1:34" ht="12.5">
      <c r="A2073" s="1"/>
      <c r="B2073" s="1"/>
      <c r="C2073" s="1"/>
      <c r="D2073" s="1"/>
      <c r="E2073" s="1"/>
      <c r="F2073" s="1"/>
      <c r="G2073" s="1"/>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row>
    <row r="2074" spans="1:34" ht="12.5">
      <c r="A2074" s="1"/>
      <c r="B2074" s="1"/>
      <c r="C2074" s="1"/>
      <c r="D2074" s="1"/>
      <c r="E2074" s="1"/>
      <c r="F2074" s="1"/>
      <c r="G2074" s="1"/>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row>
    <row r="2075" spans="1:34" ht="12.5">
      <c r="A2075" s="1"/>
      <c r="B2075" s="1"/>
      <c r="C2075" s="1"/>
      <c r="D2075" s="1"/>
      <c r="E2075" s="1"/>
      <c r="F2075" s="1"/>
      <c r="G2075" s="1"/>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row>
    <row r="2076" spans="1:34" ht="12.5">
      <c r="A2076" s="1"/>
      <c r="B2076" s="1"/>
      <c r="C2076" s="1"/>
      <c r="D2076" s="1"/>
      <c r="E2076" s="1"/>
      <c r="F2076" s="1"/>
      <c r="G2076" s="1"/>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row>
    <row r="2077" spans="1:34" ht="12.5">
      <c r="A2077" s="1"/>
      <c r="B2077" s="1"/>
      <c r="C2077" s="1"/>
      <c r="D2077" s="1"/>
      <c r="E2077" s="1"/>
      <c r="F2077" s="1"/>
      <c r="G2077" s="1"/>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row>
    <row r="2078" spans="1:34" ht="12.5">
      <c r="A2078" s="1"/>
      <c r="B2078" s="1"/>
      <c r="C2078" s="1"/>
      <c r="D2078" s="1"/>
      <c r="E2078" s="1"/>
      <c r="F2078" s="1"/>
      <c r="G2078" s="1"/>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row>
    <row r="2079" spans="1:34" ht="12.5">
      <c r="A2079" s="1"/>
      <c r="B2079" s="1"/>
      <c r="C2079" s="1"/>
      <c r="D2079" s="1"/>
      <c r="E2079" s="1"/>
      <c r="F2079" s="1"/>
      <c r="G2079" s="1"/>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row>
    <row r="2080" spans="1:34" ht="12.5">
      <c r="A2080" s="1"/>
      <c r="B2080" s="1"/>
      <c r="C2080" s="1"/>
      <c r="D2080" s="1"/>
      <c r="E2080" s="1"/>
      <c r="F2080" s="1"/>
      <c r="G2080" s="1"/>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row>
    <row r="2081" spans="1:34" ht="12.5">
      <c r="A2081" s="1"/>
      <c r="B2081" s="1"/>
      <c r="C2081" s="1"/>
      <c r="D2081" s="1"/>
      <c r="E2081" s="1"/>
      <c r="F2081" s="1"/>
      <c r="G2081" s="1"/>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row>
    <row r="2082" spans="1:34" ht="12.5">
      <c r="A2082" s="1"/>
      <c r="B2082" s="1"/>
      <c r="C2082" s="1"/>
      <c r="D2082" s="1"/>
      <c r="E2082" s="1"/>
      <c r="F2082" s="1"/>
      <c r="G2082" s="1"/>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row>
    <row r="2083" spans="1:34" ht="12.5">
      <c r="A2083" s="1"/>
      <c r="B2083" s="1"/>
      <c r="C2083" s="1"/>
      <c r="D2083" s="1"/>
      <c r="E2083" s="1"/>
      <c r="F2083" s="1"/>
      <c r="G2083" s="1"/>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row>
    <row r="2084" spans="1:34" ht="12.5">
      <c r="A2084" s="1"/>
      <c r="B2084" s="1"/>
      <c r="C2084" s="1"/>
      <c r="D2084" s="1"/>
      <c r="E2084" s="1"/>
      <c r="F2084" s="1"/>
      <c r="G2084" s="1"/>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row>
    <row r="2085" spans="1:34" ht="12.5">
      <c r="A2085" s="1"/>
      <c r="B2085" s="1"/>
      <c r="C2085" s="1"/>
      <c r="D2085" s="1"/>
      <c r="E2085" s="1"/>
      <c r="F2085" s="1"/>
      <c r="G2085" s="1"/>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row>
    <row r="2086" spans="1:34" ht="12.5">
      <c r="A2086" s="1"/>
      <c r="B2086" s="1"/>
      <c r="C2086" s="1"/>
      <c r="D2086" s="1"/>
      <c r="E2086" s="1"/>
      <c r="F2086" s="1"/>
      <c r="G2086" s="1"/>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row>
    <row r="2087" spans="1:34" ht="12.5">
      <c r="A2087" s="1"/>
      <c r="B2087" s="1"/>
      <c r="C2087" s="1"/>
      <c r="D2087" s="1"/>
      <c r="E2087" s="1"/>
      <c r="F2087" s="1"/>
      <c r="G2087" s="1"/>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row>
    <row r="2088" spans="1:34" ht="12.5">
      <c r="A2088" s="1"/>
      <c r="B2088" s="1"/>
      <c r="C2088" s="1"/>
      <c r="D2088" s="1"/>
      <c r="E2088" s="1"/>
      <c r="F2088" s="1"/>
      <c r="G2088" s="1"/>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row>
    <row r="2089" spans="1:34" ht="12.5">
      <c r="A2089" s="1"/>
      <c r="B2089" s="1"/>
      <c r="C2089" s="1"/>
      <c r="D2089" s="1"/>
      <c r="E2089" s="1"/>
      <c r="F2089" s="1"/>
      <c r="G2089" s="1"/>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row>
    <row r="2090" spans="1:34" ht="12.5">
      <c r="A2090" s="1"/>
      <c r="B2090" s="1"/>
      <c r="C2090" s="1"/>
      <c r="D2090" s="1"/>
      <c r="E2090" s="1"/>
      <c r="F2090" s="1"/>
      <c r="G2090" s="1"/>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row>
    <row r="2091" spans="1:34" ht="12.5">
      <c r="A2091" s="1"/>
      <c r="B2091" s="1"/>
      <c r="C2091" s="1"/>
      <c r="D2091" s="1"/>
      <c r="E2091" s="1"/>
      <c r="F2091" s="1"/>
      <c r="G2091" s="1"/>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row>
    <row r="2092" spans="1:34" ht="12.5">
      <c r="A2092" s="1"/>
      <c r="B2092" s="1"/>
      <c r="C2092" s="1"/>
      <c r="D2092" s="1"/>
      <c r="E2092" s="1"/>
      <c r="F2092" s="1"/>
      <c r="G2092" s="1"/>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row>
    <row r="2093" spans="1:34" ht="12.5">
      <c r="A2093" s="1"/>
      <c r="B2093" s="1"/>
      <c r="C2093" s="1"/>
      <c r="D2093" s="1"/>
      <c r="E2093" s="1"/>
      <c r="F2093" s="1"/>
      <c r="G2093" s="1"/>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row>
    <row r="2094" spans="1:34" ht="12.5">
      <c r="A2094" s="1"/>
      <c r="B2094" s="1"/>
      <c r="C2094" s="1"/>
      <c r="D2094" s="1"/>
      <c r="E2094" s="1"/>
      <c r="F2094" s="1"/>
      <c r="G2094" s="1"/>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row>
    <row r="2095" spans="1:34" ht="12.5">
      <c r="A2095" s="1"/>
      <c r="B2095" s="1"/>
      <c r="C2095" s="1"/>
      <c r="D2095" s="1"/>
      <c r="E2095" s="1"/>
      <c r="F2095" s="1"/>
      <c r="G2095" s="1"/>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row>
    <row r="2096" spans="1:34" ht="12.5">
      <c r="A2096" s="1"/>
      <c r="B2096" s="1"/>
      <c r="C2096" s="1"/>
      <c r="D2096" s="1"/>
      <c r="E2096" s="1"/>
      <c r="F2096" s="1"/>
      <c r="G2096" s="1"/>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row>
    <row r="2097" spans="1:34" ht="12.5">
      <c r="A2097" s="1"/>
      <c r="B2097" s="1"/>
      <c r="C2097" s="1"/>
      <c r="D2097" s="1"/>
      <c r="E2097" s="1"/>
      <c r="F2097" s="1"/>
      <c r="G2097" s="1"/>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row>
    <row r="2098" spans="1:34" ht="12.5">
      <c r="A2098" s="1"/>
      <c r="B2098" s="1"/>
      <c r="C2098" s="1"/>
      <c r="D2098" s="1"/>
      <c r="E2098" s="1"/>
      <c r="F2098" s="1"/>
      <c r="G2098" s="1"/>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row>
    <row r="2099" spans="1:34" ht="12.5">
      <c r="A2099" s="1"/>
      <c r="B2099" s="1"/>
      <c r="C2099" s="1"/>
      <c r="D2099" s="1"/>
      <c r="E2099" s="1"/>
      <c r="F2099" s="1"/>
      <c r="G2099" s="1"/>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row>
    <row r="2100" spans="1:34" ht="12.5">
      <c r="A2100" s="1"/>
      <c r="B2100" s="1"/>
      <c r="C2100" s="1"/>
      <c r="D2100" s="1"/>
      <c r="E2100" s="1"/>
      <c r="F2100" s="1"/>
      <c r="G2100" s="1"/>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row>
    <row r="2101" spans="1:34" ht="12.5">
      <c r="A2101" s="1"/>
      <c r="B2101" s="1"/>
      <c r="C2101" s="1"/>
      <c r="D2101" s="1"/>
      <c r="E2101" s="1"/>
      <c r="F2101" s="1"/>
      <c r="G2101" s="1"/>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row>
    <row r="2102" spans="1:34" ht="12.5">
      <c r="A2102" s="1"/>
      <c r="B2102" s="1"/>
      <c r="C2102" s="1"/>
      <c r="D2102" s="1"/>
      <c r="E2102" s="1"/>
      <c r="F2102" s="1"/>
      <c r="G2102" s="1"/>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row>
    <row r="2103" spans="1:34" ht="12.5">
      <c r="A2103" s="1"/>
      <c r="B2103" s="1"/>
      <c r="C2103" s="1"/>
      <c r="D2103" s="1"/>
      <c r="E2103" s="1"/>
      <c r="F2103" s="1"/>
      <c r="G2103" s="1"/>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row>
    <row r="2104" spans="1:34" ht="12.5">
      <c r="A2104" s="1"/>
      <c r="B2104" s="1"/>
      <c r="C2104" s="1"/>
      <c r="D2104" s="1"/>
      <c r="E2104" s="1"/>
      <c r="F2104" s="1"/>
      <c r="G2104" s="1"/>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row>
    <row r="2105" spans="1:34" ht="12.5">
      <c r="A2105" s="1"/>
      <c r="B2105" s="1"/>
      <c r="C2105" s="1"/>
      <c r="D2105" s="1"/>
      <c r="E2105" s="1"/>
      <c r="F2105" s="1"/>
      <c r="G2105" s="1"/>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row>
    <row r="2106" spans="1:34" ht="12.5">
      <c r="A2106" s="1"/>
      <c r="B2106" s="1"/>
      <c r="C2106" s="1"/>
      <c r="D2106" s="1"/>
      <c r="E2106" s="1"/>
      <c r="F2106" s="1"/>
      <c r="G2106" s="1"/>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row>
    <row r="2107" spans="1:34" ht="12.5">
      <c r="A2107" s="1"/>
      <c r="B2107" s="1"/>
      <c r="C2107" s="1"/>
      <c r="D2107" s="1"/>
      <c r="E2107" s="1"/>
      <c r="F2107" s="1"/>
      <c r="G2107" s="1"/>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row>
    <row r="2108" spans="1:34" ht="12.5">
      <c r="A2108" s="1"/>
      <c r="B2108" s="1"/>
      <c r="C2108" s="1"/>
      <c r="D2108" s="1"/>
      <c r="E2108" s="1"/>
      <c r="F2108" s="1"/>
      <c r="G2108" s="1"/>
      <c r="H2108" s="1"/>
      <c r="I2108" s="1"/>
      <c r="J2108" s="1"/>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row>
    <row r="2109" spans="1:34" ht="12.5">
      <c r="A2109" s="1"/>
      <c r="B2109" s="1"/>
      <c r="C2109" s="1"/>
      <c r="D2109" s="1"/>
      <c r="E2109" s="1"/>
      <c r="F2109" s="1"/>
      <c r="G2109" s="1"/>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row>
    <row r="2110" spans="1:34" ht="12.5">
      <c r="A2110" s="1"/>
      <c r="B2110" s="1"/>
      <c r="C2110" s="1"/>
      <c r="D2110" s="1"/>
      <c r="E2110" s="1"/>
      <c r="F2110" s="1"/>
      <c r="G2110" s="1"/>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row>
    <row r="2111" spans="1:34" ht="12.5">
      <c r="A2111" s="1"/>
      <c r="B2111" s="1"/>
      <c r="C2111" s="1"/>
      <c r="D2111" s="1"/>
      <c r="E2111" s="1"/>
      <c r="F2111" s="1"/>
      <c r="G2111" s="1"/>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row>
    <row r="2112" spans="1:34" ht="12.5">
      <c r="A2112" s="1"/>
      <c r="B2112" s="1"/>
      <c r="C2112" s="1"/>
      <c r="D2112" s="1"/>
      <c r="E2112" s="1"/>
      <c r="F2112" s="1"/>
      <c r="G2112" s="1"/>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row>
    <row r="2113" spans="1:34" ht="12.5">
      <c r="A2113" s="1"/>
      <c r="B2113" s="1"/>
      <c r="C2113" s="1"/>
      <c r="D2113" s="1"/>
      <c r="E2113" s="1"/>
      <c r="F2113" s="1"/>
      <c r="G2113" s="1"/>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row>
    <row r="2114" spans="1:34" ht="12.5">
      <c r="A2114" s="1"/>
      <c r="B2114" s="1"/>
      <c r="C2114" s="1"/>
      <c r="D2114" s="1"/>
      <c r="E2114" s="1"/>
      <c r="F2114" s="1"/>
      <c r="G2114" s="1"/>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row>
    <row r="2115" spans="1:34" ht="12.5">
      <c r="A2115" s="1"/>
      <c r="B2115" s="1"/>
      <c r="C2115" s="1"/>
      <c r="D2115" s="1"/>
      <c r="E2115" s="1"/>
      <c r="F2115" s="1"/>
      <c r="G2115" s="1"/>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row>
    <row r="2116" spans="1:34" ht="12.5">
      <c r="A2116" s="1"/>
      <c r="B2116" s="1"/>
      <c r="C2116" s="1"/>
      <c r="D2116" s="1"/>
      <c r="E2116" s="1"/>
      <c r="F2116" s="1"/>
      <c r="G2116" s="1"/>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row>
    <row r="2117" spans="1:34" ht="12.5">
      <c r="A2117" s="1"/>
      <c r="B2117" s="1"/>
      <c r="C2117" s="1"/>
      <c r="D2117" s="1"/>
      <c r="E2117" s="1"/>
      <c r="F2117" s="1"/>
      <c r="G2117" s="1"/>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row>
    <row r="2118" spans="1:34" ht="12.5">
      <c r="A2118" s="1"/>
      <c r="B2118" s="1"/>
      <c r="C2118" s="1"/>
      <c r="D2118" s="1"/>
      <c r="E2118" s="1"/>
      <c r="F2118" s="1"/>
      <c r="G2118" s="1"/>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row>
    <row r="2119" spans="1:34" ht="12.5">
      <c r="A2119" s="1"/>
      <c r="B2119" s="1"/>
      <c r="C2119" s="1"/>
      <c r="D2119" s="1"/>
      <c r="E2119" s="1"/>
      <c r="F2119" s="1"/>
      <c r="G2119" s="1"/>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row>
    <row r="2120" spans="1:34" ht="12.5">
      <c r="A2120" s="1"/>
      <c r="B2120" s="1"/>
      <c r="C2120" s="1"/>
      <c r="D2120" s="1"/>
      <c r="E2120" s="1"/>
      <c r="F2120" s="1"/>
      <c r="G2120" s="1"/>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row>
    <row r="2121" spans="1:34" ht="12.5">
      <c r="A2121" s="1"/>
      <c r="B2121" s="1"/>
      <c r="C2121" s="1"/>
      <c r="D2121" s="1"/>
      <c r="E2121" s="1"/>
      <c r="F2121" s="1"/>
      <c r="G2121" s="1"/>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row>
    <row r="2122" spans="1:34" ht="12.5">
      <c r="A2122" s="1"/>
      <c r="B2122" s="1"/>
      <c r="C2122" s="1"/>
      <c r="D2122" s="1"/>
      <c r="E2122" s="1"/>
      <c r="F2122" s="1"/>
      <c r="G2122" s="1"/>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row>
    <row r="2123" spans="1:34" ht="12.5">
      <c r="A2123" s="1"/>
      <c r="B2123" s="1"/>
      <c r="C2123" s="1"/>
      <c r="D2123" s="1"/>
      <c r="E2123" s="1"/>
      <c r="F2123" s="1"/>
      <c r="G2123" s="1"/>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row>
    <row r="2124" spans="1:34" ht="12.5">
      <c r="A2124" s="1"/>
      <c r="B2124" s="1"/>
      <c r="C2124" s="1"/>
      <c r="D2124" s="1"/>
      <c r="E2124" s="1"/>
      <c r="F2124" s="1"/>
      <c r="G2124" s="1"/>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row>
    <row r="2125" spans="1:34" ht="12.5">
      <c r="A2125" s="1"/>
      <c r="B2125" s="1"/>
      <c r="C2125" s="1"/>
      <c r="D2125" s="1"/>
      <c r="E2125" s="1"/>
      <c r="F2125" s="1"/>
      <c r="G2125" s="1"/>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row>
    <row r="2126" spans="1:34" ht="12.5">
      <c r="A2126" s="1"/>
      <c r="B2126" s="1"/>
      <c r="C2126" s="1"/>
      <c r="D2126" s="1"/>
      <c r="E2126" s="1"/>
      <c r="F2126" s="1"/>
      <c r="G2126" s="1"/>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row>
    <row r="2127" spans="1:34" ht="12.5">
      <c r="A2127" s="1"/>
      <c r="B2127" s="1"/>
      <c r="C2127" s="1"/>
      <c r="D2127" s="1"/>
      <c r="E2127" s="1"/>
      <c r="F2127" s="1"/>
      <c r="G2127" s="1"/>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row>
    <row r="2128" spans="1:34" ht="12.5">
      <c r="A2128" s="1"/>
      <c r="B2128" s="1"/>
      <c r="C2128" s="1"/>
      <c r="D2128" s="1"/>
      <c r="E2128" s="1"/>
      <c r="F2128" s="1"/>
      <c r="G2128" s="1"/>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row>
    <row r="2129" spans="1:34" ht="12.5">
      <c r="A2129" s="1"/>
      <c r="B2129" s="1"/>
      <c r="C2129" s="1"/>
      <c r="D2129" s="1"/>
      <c r="E2129" s="1"/>
      <c r="F2129" s="1"/>
      <c r="G2129" s="1"/>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row>
    <row r="2130" spans="1:34" ht="12.5">
      <c r="A2130" s="1"/>
      <c r="B2130" s="1"/>
      <c r="C2130" s="1"/>
      <c r="D2130" s="1"/>
      <c r="E2130" s="1"/>
      <c r="F2130" s="1"/>
      <c r="G2130" s="1"/>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row>
    <row r="2131" spans="1:34" ht="12.5">
      <c r="A2131" s="1"/>
      <c r="B2131" s="1"/>
      <c r="C2131" s="1"/>
      <c r="D2131" s="1"/>
      <c r="E2131" s="1"/>
      <c r="F2131" s="1"/>
      <c r="G2131" s="1"/>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row>
    <row r="2132" spans="1:34" ht="12.5">
      <c r="A2132" s="1"/>
      <c r="B2132" s="1"/>
      <c r="C2132" s="1"/>
      <c r="D2132" s="1"/>
      <c r="E2132" s="1"/>
      <c r="F2132" s="1"/>
      <c r="G2132" s="1"/>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row>
    <row r="2133" spans="1:34" ht="12.5">
      <c r="A2133" s="1"/>
      <c r="B2133" s="1"/>
      <c r="C2133" s="1"/>
      <c r="D2133" s="1"/>
      <c r="E2133" s="1"/>
      <c r="F2133" s="1"/>
      <c r="G2133" s="1"/>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row>
    <row r="2134" spans="1:34" ht="12.5">
      <c r="A2134" s="1"/>
      <c r="B2134" s="1"/>
      <c r="C2134" s="1"/>
      <c r="D2134" s="1"/>
      <c r="E2134" s="1"/>
      <c r="F2134" s="1"/>
      <c r="G2134" s="1"/>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row>
    <row r="2135" spans="1:34" ht="12.5">
      <c r="A2135" s="1"/>
      <c r="B2135" s="1"/>
      <c r="C2135" s="1"/>
      <c r="D2135" s="1"/>
      <c r="E2135" s="1"/>
      <c r="F2135" s="1"/>
      <c r="G2135" s="1"/>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row>
    <row r="2136" spans="1:34" ht="12.5">
      <c r="A2136" s="1"/>
      <c r="B2136" s="1"/>
      <c r="C2136" s="1"/>
      <c r="D2136" s="1"/>
      <c r="E2136" s="1"/>
      <c r="F2136" s="1"/>
      <c r="G2136" s="1"/>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row>
    <row r="2137" spans="1:34" ht="12.5">
      <c r="A2137" s="1"/>
      <c r="B2137" s="1"/>
      <c r="C2137" s="1"/>
      <c r="D2137" s="1"/>
      <c r="E2137" s="1"/>
      <c r="F2137" s="1"/>
      <c r="G2137" s="1"/>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row>
    <row r="2138" spans="1:34" ht="12.5">
      <c r="A2138" s="1"/>
      <c r="B2138" s="1"/>
      <c r="C2138" s="1"/>
      <c r="D2138" s="1"/>
      <c r="E2138" s="1"/>
      <c r="F2138" s="1"/>
      <c r="G2138" s="1"/>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row>
    <row r="2139" spans="1:34" ht="12.5">
      <c r="A2139" s="1"/>
      <c r="B2139" s="1"/>
      <c r="C2139" s="1"/>
      <c r="D2139" s="1"/>
      <c r="E2139" s="1"/>
      <c r="F2139" s="1"/>
      <c r="G2139" s="1"/>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row>
    <row r="2140" spans="1:34" ht="12.5">
      <c r="A2140" s="1"/>
      <c r="B2140" s="1"/>
      <c r="C2140" s="1"/>
      <c r="D2140" s="1"/>
      <c r="E2140" s="1"/>
      <c r="F2140" s="1"/>
      <c r="G2140" s="1"/>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row>
    <row r="2141" spans="1:34" ht="12.5">
      <c r="A2141" s="1"/>
      <c r="B2141" s="1"/>
      <c r="C2141" s="1"/>
      <c r="D2141" s="1"/>
      <c r="E2141" s="1"/>
      <c r="F2141" s="1"/>
      <c r="G2141" s="1"/>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row>
    <row r="2142" spans="1:34" ht="12.5">
      <c r="A2142" s="1"/>
      <c r="B2142" s="1"/>
      <c r="C2142" s="1"/>
      <c r="D2142" s="1"/>
      <c r="E2142" s="1"/>
      <c r="F2142" s="1"/>
      <c r="G2142" s="1"/>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row>
    <row r="2143" spans="1:34" ht="12.5">
      <c r="A2143" s="1"/>
      <c r="B2143" s="1"/>
      <c r="C2143" s="1"/>
      <c r="D2143" s="1"/>
      <c r="E2143" s="1"/>
      <c r="F2143" s="1"/>
      <c r="G2143" s="1"/>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row>
    <row r="2144" spans="1:34" ht="12.5">
      <c r="A2144" s="1"/>
      <c r="B2144" s="1"/>
      <c r="C2144" s="1"/>
      <c r="D2144" s="1"/>
      <c r="E2144" s="1"/>
      <c r="F2144" s="1"/>
      <c r="G2144" s="1"/>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row>
    <row r="2145" spans="1:34" ht="12.5">
      <c r="A2145" s="1"/>
      <c r="B2145" s="1"/>
      <c r="C2145" s="1"/>
      <c r="D2145" s="1"/>
      <c r="E2145" s="1"/>
      <c r="F2145" s="1"/>
      <c r="G2145" s="1"/>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row>
    <row r="2146" spans="1:34" ht="12.5">
      <c r="A2146" s="1"/>
      <c r="B2146" s="1"/>
      <c r="C2146" s="1"/>
      <c r="D2146" s="1"/>
      <c r="E2146" s="1"/>
      <c r="F2146" s="1"/>
      <c r="G2146" s="1"/>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row>
    <row r="2147" spans="1:34" ht="12.5">
      <c r="A2147" s="1"/>
      <c r="B2147" s="1"/>
      <c r="C2147" s="1"/>
      <c r="D2147" s="1"/>
      <c r="E2147" s="1"/>
      <c r="F2147" s="1"/>
      <c r="G2147" s="1"/>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row>
    <row r="2148" spans="1:34" ht="12.5">
      <c r="A2148" s="1"/>
      <c r="B2148" s="1"/>
      <c r="C2148" s="1"/>
      <c r="D2148" s="1"/>
      <c r="E2148" s="1"/>
      <c r="F2148" s="1"/>
      <c r="G2148" s="1"/>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row>
    <row r="2149" spans="1:34" ht="12.5">
      <c r="A2149" s="1"/>
      <c r="B2149" s="1"/>
      <c r="C2149" s="1"/>
      <c r="D2149" s="1"/>
      <c r="E2149" s="1"/>
      <c r="F2149" s="1"/>
      <c r="G2149" s="1"/>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row>
    <row r="2150" spans="1:34" ht="12.5">
      <c r="A2150" s="1"/>
      <c r="B2150" s="1"/>
      <c r="C2150" s="1"/>
      <c r="D2150" s="1"/>
      <c r="E2150" s="1"/>
      <c r="F2150" s="1"/>
      <c r="G2150" s="1"/>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row>
    <row r="2151" spans="1:34" ht="12.5">
      <c r="A2151" s="1"/>
      <c r="B2151" s="1"/>
      <c r="C2151" s="1"/>
      <c r="D2151" s="1"/>
      <c r="E2151" s="1"/>
      <c r="F2151" s="1"/>
      <c r="G2151" s="1"/>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row>
    <row r="2152" spans="1:34" ht="12.5">
      <c r="A2152" s="1"/>
      <c r="B2152" s="1"/>
      <c r="C2152" s="1"/>
      <c r="D2152" s="1"/>
      <c r="E2152" s="1"/>
      <c r="F2152" s="1"/>
      <c r="G2152" s="1"/>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row>
    <row r="2153" spans="1:34" ht="12.5">
      <c r="A2153" s="1"/>
      <c r="B2153" s="1"/>
      <c r="C2153" s="1"/>
      <c r="D2153" s="1"/>
      <c r="E2153" s="1"/>
      <c r="F2153" s="1"/>
      <c r="G2153" s="1"/>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row>
    <row r="2154" spans="1:34" ht="12.5">
      <c r="A2154" s="1"/>
      <c r="B2154" s="1"/>
      <c r="C2154" s="1"/>
      <c r="D2154" s="1"/>
      <c r="E2154" s="1"/>
      <c r="F2154" s="1"/>
      <c r="G2154" s="1"/>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row>
    <row r="2155" spans="1:34" ht="12.5">
      <c r="A2155" s="1"/>
      <c r="B2155" s="1"/>
      <c r="C2155" s="1"/>
      <c r="D2155" s="1"/>
      <c r="E2155" s="1"/>
      <c r="F2155" s="1"/>
      <c r="G2155" s="1"/>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row>
    <row r="2156" spans="1:34" ht="12.5">
      <c r="A2156" s="1"/>
      <c r="B2156" s="1"/>
      <c r="C2156" s="1"/>
      <c r="D2156" s="1"/>
      <c r="E2156" s="1"/>
      <c r="F2156" s="1"/>
      <c r="G2156" s="1"/>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row>
    <row r="2157" spans="1:34" ht="12.5">
      <c r="A2157" s="1"/>
      <c r="B2157" s="1"/>
      <c r="C2157" s="1"/>
      <c r="D2157" s="1"/>
      <c r="E2157" s="1"/>
      <c r="F2157" s="1"/>
      <c r="G2157" s="1"/>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row>
    <row r="2158" spans="1:34" ht="12.5">
      <c r="A2158" s="1"/>
      <c r="B2158" s="1"/>
      <c r="C2158" s="1"/>
      <c r="D2158" s="1"/>
      <c r="E2158" s="1"/>
      <c r="F2158" s="1"/>
      <c r="G2158" s="1"/>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row>
    <row r="2159" spans="1:34" ht="12.5">
      <c r="A2159" s="1"/>
      <c r="B2159" s="1"/>
      <c r="C2159" s="1"/>
      <c r="D2159" s="1"/>
      <c r="E2159" s="1"/>
      <c r="F2159" s="1"/>
      <c r="G2159" s="1"/>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row>
    <row r="2160" spans="1:34" ht="12.5">
      <c r="A2160" s="1"/>
      <c r="B2160" s="1"/>
      <c r="C2160" s="1"/>
      <c r="D2160" s="1"/>
      <c r="E2160" s="1"/>
      <c r="F2160" s="1"/>
      <c r="G2160" s="1"/>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row>
    <row r="2161" spans="1:34" ht="12.5">
      <c r="A2161" s="1"/>
      <c r="B2161" s="1"/>
      <c r="C2161" s="1"/>
      <c r="D2161" s="1"/>
      <c r="E2161" s="1"/>
      <c r="F2161" s="1"/>
      <c r="G2161" s="1"/>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row>
    <row r="2162" spans="1:34" ht="12.5">
      <c r="A2162" s="1"/>
      <c r="B2162" s="1"/>
      <c r="C2162" s="1"/>
      <c r="D2162" s="1"/>
      <c r="E2162" s="1"/>
      <c r="F2162" s="1"/>
      <c r="G2162" s="1"/>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row>
    <row r="2163" spans="1:34" ht="12.5">
      <c r="A2163" s="1"/>
      <c r="B2163" s="1"/>
      <c r="C2163" s="1"/>
      <c r="D2163" s="1"/>
      <c r="E2163" s="1"/>
      <c r="F2163" s="1"/>
      <c r="G2163" s="1"/>
      <c r="H2163" s="1"/>
      <c r="I2163" s="1"/>
      <c r="J2163" s="1"/>
      <c r="K2163" s="1"/>
      <c r="L2163" s="1"/>
      <c r="M2163" s="1"/>
      <c r="N2163" s="1"/>
      <c r="O2163" s="1"/>
      <c r="P2163" s="1"/>
      <c r="Q2163" s="1"/>
      <c r="R2163" s="1"/>
      <c r="S2163" s="1"/>
      <c r="T2163" s="1"/>
      <c r="U2163" s="1"/>
      <c r="V2163" s="1"/>
      <c r="W2163" s="1"/>
      <c r="X2163" s="1"/>
      <c r="Y2163" s="1"/>
      <c r="Z2163" s="1"/>
      <c r="AA2163" s="1"/>
      <c r="AB2163" s="1"/>
      <c r="AC2163" s="1"/>
      <c r="AD2163" s="1"/>
      <c r="AE2163" s="1"/>
      <c r="AF2163" s="1"/>
      <c r="AG2163" s="1"/>
      <c r="AH2163" s="1"/>
    </row>
    <row r="2164" spans="1:34" ht="12.5">
      <c r="A2164" s="1"/>
      <c r="B2164" s="1"/>
      <c r="C2164" s="1"/>
      <c r="D2164" s="1"/>
      <c r="E2164" s="1"/>
      <c r="F2164" s="1"/>
      <c r="G2164" s="1"/>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c r="AE2164" s="1"/>
      <c r="AF2164" s="1"/>
      <c r="AG2164" s="1"/>
      <c r="AH2164" s="1"/>
    </row>
    <row r="2165" spans="1:34" ht="12.5">
      <c r="A2165" s="1"/>
      <c r="B2165" s="1"/>
      <c r="C2165" s="1"/>
      <c r="D2165" s="1"/>
      <c r="E2165" s="1"/>
      <c r="F2165" s="1"/>
      <c r="G2165" s="1"/>
      <c r="H2165" s="1"/>
      <c r="I2165" s="1"/>
      <c r="J2165" s="1"/>
      <c r="K2165" s="1"/>
      <c r="L2165" s="1"/>
      <c r="M2165" s="1"/>
      <c r="N2165" s="1"/>
      <c r="O2165" s="1"/>
      <c r="P2165" s="1"/>
      <c r="Q2165" s="1"/>
      <c r="R2165" s="1"/>
      <c r="S2165" s="1"/>
      <c r="T2165" s="1"/>
      <c r="U2165" s="1"/>
      <c r="V2165" s="1"/>
      <c r="W2165" s="1"/>
      <c r="X2165" s="1"/>
      <c r="Y2165" s="1"/>
      <c r="Z2165" s="1"/>
      <c r="AA2165" s="1"/>
      <c r="AB2165" s="1"/>
      <c r="AC2165" s="1"/>
      <c r="AD2165" s="1"/>
      <c r="AE2165" s="1"/>
      <c r="AF2165" s="1"/>
      <c r="AG2165" s="1"/>
      <c r="AH2165" s="1"/>
    </row>
    <row r="2166" spans="1:34" ht="12.5">
      <c r="A2166" s="1"/>
      <c r="B2166" s="1"/>
      <c r="C2166" s="1"/>
      <c r="D2166" s="1"/>
      <c r="E2166" s="1"/>
      <c r="F2166" s="1"/>
      <c r="G2166" s="1"/>
      <c r="H2166" s="1"/>
      <c r="I2166" s="1"/>
      <c r="J2166" s="1"/>
      <c r="K2166" s="1"/>
      <c r="L2166" s="1"/>
      <c r="M2166" s="1"/>
      <c r="N2166" s="1"/>
      <c r="O2166" s="1"/>
      <c r="P2166" s="1"/>
      <c r="Q2166" s="1"/>
      <c r="R2166" s="1"/>
      <c r="S2166" s="1"/>
      <c r="T2166" s="1"/>
      <c r="U2166" s="1"/>
      <c r="V2166" s="1"/>
      <c r="W2166" s="1"/>
      <c r="X2166" s="1"/>
      <c r="Y2166" s="1"/>
      <c r="Z2166" s="1"/>
      <c r="AA2166" s="1"/>
      <c r="AB2166" s="1"/>
      <c r="AC2166" s="1"/>
      <c r="AD2166" s="1"/>
      <c r="AE2166" s="1"/>
      <c r="AF2166" s="1"/>
      <c r="AG2166" s="1"/>
      <c r="AH2166" s="1"/>
    </row>
    <row r="2167" spans="1:34" ht="12.5">
      <c r="A2167" s="1"/>
      <c r="B2167" s="1"/>
      <c r="C2167" s="1"/>
      <c r="D2167" s="1"/>
      <c r="E2167" s="1"/>
      <c r="F2167" s="1"/>
      <c r="G2167" s="1"/>
      <c r="H2167" s="1"/>
      <c r="I2167" s="1"/>
      <c r="J2167" s="1"/>
      <c r="K2167" s="1"/>
      <c r="L2167" s="1"/>
      <c r="M2167" s="1"/>
      <c r="N2167" s="1"/>
      <c r="O2167" s="1"/>
      <c r="P2167" s="1"/>
      <c r="Q2167" s="1"/>
      <c r="R2167" s="1"/>
      <c r="S2167" s="1"/>
      <c r="T2167" s="1"/>
      <c r="U2167" s="1"/>
      <c r="V2167" s="1"/>
      <c r="W2167" s="1"/>
      <c r="X2167" s="1"/>
      <c r="Y2167" s="1"/>
      <c r="Z2167" s="1"/>
      <c r="AA2167" s="1"/>
      <c r="AB2167" s="1"/>
      <c r="AC2167" s="1"/>
      <c r="AD2167" s="1"/>
      <c r="AE2167" s="1"/>
      <c r="AF2167" s="1"/>
      <c r="AG2167" s="1"/>
      <c r="AH2167" s="1"/>
    </row>
    <row r="2168" spans="1:34" ht="12.5">
      <c r="A2168" s="1"/>
      <c r="B2168" s="1"/>
      <c r="C2168" s="1"/>
      <c r="D2168" s="1"/>
      <c r="E2168" s="1"/>
      <c r="F2168" s="1"/>
      <c r="G2168" s="1"/>
      <c r="H2168" s="1"/>
      <c r="I2168" s="1"/>
      <c r="J2168" s="1"/>
      <c r="K2168" s="1"/>
      <c r="L2168" s="1"/>
      <c r="M2168" s="1"/>
      <c r="N2168" s="1"/>
      <c r="O2168" s="1"/>
      <c r="P2168" s="1"/>
      <c r="Q2168" s="1"/>
      <c r="R2168" s="1"/>
      <c r="S2168" s="1"/>
      <c r="T2168" s="1"/>
      <c r="U2168" s="1"/>
      <c r="V2168" s="1"/>
      <c r="W2168" s="1"/>
      <c r="X2168" s="1"/>
      <c r="Y2168" s="1"/>
      <c r="Z2168" s="1"/>
      <c r="AA2168" s="1"/>
      <c r="AB2168" s="1"/>
      <c r="AC2168" s="1"/>
      <c r="AD2168" s="1"/>
      <c r="AE2168" s="1"/>
      <c r="AF2168" s="1"/>
      <c r="AG2168" s="1"/>
      <c r="AH2168" s="1"/>
    </row>
    <row r="2169" spans="1:34" ht="12.5">
      <c r="A2169" s="1"/>
      <c r="B2169" s="1"/>
      <c r="C2169" s="1"/>
      <c r="D2169" s="1"/>
      <c r="E2169" s="1"/>
      <c r="F2169" s="1"/>
      <c r="G2169" s="1"/>
      <c r="H2169" s="1"/>
      <c r="I2169" s="1"/>
      <c r="J2169" s="1"/>
      <c r="K2169" s="1"/>
      <c r="L2169" s="1"/>
      <c r="M2169" s="1"/>
      <c r="N2169" s="1"/>
      <c r="O2169" s="1"/>
      <c r="P2169" s="1"/>
      <c r="Q2169" s="1"/>
      <c r="R2169" s="1"/>
      <c r="S2169" s="1"/>
      <c r="T2169" s="1"/>
      <c r="U2169" s="1"/>
      <c r="V2169" s="1"/>
      <c r="W2169" s="1"/>
      <c r="X2169" s="1"/>
      <c r="Y2169" s="1"/>
      <c r="Z2169" s="1"/>
      <c r="AA2169" s="1"/>
      <c r="AB2169" s="1"/>
      <c r="AC2169" s="1"/>
      <c r="AD2169" s="1"/>
      <c r="AE2169" s="1"/>
      <c r="AF2169" s="1"/>
      <c r="AG2169" s="1"/>
      <c r="AH2169" s="1"/>
    </row>
    <row r="2170" spans="1:34" ht="12.5">
      <c r="A2170" s="1"/>
      <c r="B2170" s="1"/>
      <c r="C2170" s="1"/>
      <c r="D2170" s="1"/>
      <c r="E2170" s="1"/>
      <c r="F2170" s="1"/>
      <c r="G2170" s="1"/>
      <c r="H2170" s="1"/>
      <c r="I2170" s="1"/>
      <c r="J2170" s="1"/>
      <c r="K2170" s="1"/>
      <c r="L2170" s="1"/>
      <c r="M2170" s="1"/>
      <c r="N2170" s="1"/>
      <c r="O2170" s="1"/>
      <c r="P2170" s="1"/>
      <c r="Q2170" s="1"/>
      <c r="R2170" s="1"/>
      <c r="S2170" s="1"/>
      <c r="T2170" s="1"/>
      <c r="U2170" s="1"/>
      <c r="V2170" s="1"/>
      <c r="W2170" s="1"/>
      <c r="X2170" s="1"/>
      <c r="Y2170" s="1"/>
      <c r="Z2170" s="1"/>
      <c r="AA2170" s="1"/>
      <c r="AB2170" s="1"/>
      <c r="AC2170" s="1"/>
      <c r="AD2170" s="1"/>
      <c r="AE2170" s="1"/>
      <c r="AF2170" s="1"/>
      <c r="AG2170" s="1"/>
      <c r="AH2170" s="1"/>
    </row>
    <row r="2171" spans="1:34" ht="12.5">
      <c r="A2171" s="1"/>
      <c r="B2171" s="1"/>
      <c r="C2171" s="1"/>
      <c r="D2171" s="1"/>
      <c r="E2171" s="1"/>
      <c r="F2171" s="1"/>
      <c r="G2171" s="1"/>
      <c r="H2171" s="1"/>
      <c r="I2171" s="1"/>
      <c r="J2171" s="1"/>
      <c r="K2171" s="1"/>
      <c r="L2171" s="1"/>
      <c r="M2171" s="1"/>
      <c r="N2171" s="1"/>
      <c r="O2171" s="1"/>
      <c r="P2171" s="1"/>
      <c r="Q2171" s="1"/>
      <c r="R2171" s="1"/>
      <c r="S2171" s="1"/>
      <c r="T2171" s="1"/>
      <c r="U2171" s="1"/>
      <c r="V2171" s="1"/>
      <c r="W2171" s="1"/>
      <c r="X2171" s="1"/>
      <c r="Y2171" s="1"/>
      <c r="Z2171" s="1"/>
      <c r="AA2171" s="1"/>
      <c r="AB2171" s="1"/>
      <c r="AC2171" s="1"/>
      <c r="AD2171" s="1"/>
      <c r="AE2171" s="1"/>
      <c r="AF2171" s="1"/>
      <c r="AG2171" s="1"/>
      <c r="AH2171" s="1"/>
    </row>
    <row r="2172" spans="1:34" ht="12.5">
      <c r="A2172" s="1"/>
      <c r="B2172" s="1"/>
      <c r="C2172" s="1"/>
      <c r="D2172" s="1"/>
      <c r="E2172" s="1"/>
      <c r="F2172" s="1"/>
      <c r="G2172" s="1"/>
      <c r="H2172" s="1"/>
      <c r="I2172" s="1"/>
      <c r="J2172" s="1"/>
      <c r="K2172" s="1"/>
      <c r="L2172" s="1"/>
      <c r="M2172" s="1"/>
      <c r="N2172" s="1"/>
      <c r="O2172" s="1"/>
      <c r="P2172" s="1"/>
      <c r="Q2172" s="1"/>
      <c r="R2172" s="1"/>
      <c r="S2172" s="1"/>
      <c r="T2172" s="1"/>
      <c r="U2172" s="1"/>
      <c r="V2172" s="1"/>
      <c r="W2172" s="1"/>
      <c r="X2172" s="1"/>
      <c r="Y2172" s="1"/>
      <c r="Z2172" s="1"/>
      <c r="AA2172" s="1"/>
      <c r="AB2172" s="1"/>
      <c r="AC2172" s="1"/>
      <c r="AD2172" s="1"/>
      <c r="AE2172" s="1"/>
      <c r="AF2172" s="1"/>
      <c r="AG2172" s="1"/>
      <c r="AH2172" s="1"/>
    </row>
    <row r="2173" spans="1:34" ht="12.5">
      <c r="A2173" s="1"/>
      <c r="B2173" s="1"/>
      <c r="C2173" s="1"/>
      <c r="D2173" s="1"/>
      <c r="E2173" s="1"/>
      <c r="F2173" s="1"/>
      <c r="G2173" s="1"/>
      <c r="H2173" s="1"/>
      <c r="I2173" s="1"/>
      <c r="J2173" s="1"/>
      <c r="K2173" s="1"/>
      <c r="L2173" s="1"/>
      <c r="M2173" s="1"/>
      <c r="N2173" s="1"/>
      <c r="O2173" s="1"/>
      <c r="P2173" s="1"/>
      <c r="Q2173" s="1"/>
      <c r="R2173" s="1"/>
      <c r="S2173" s="1"/>
      <c r="T2173" s="1"/>
      <c r="U2173" s="1"/>
      <c r="V2173" s="1"/>
      <c r="W2173" s="1"/>
      <c r="X2173" s="1"/>
      <c r="Y2173" s="1"/>
      <c r="Z2173" s="1"/>
      <c r="AA2173" s="1"/>
      <c r="AB2173" s="1"/>
      <c r="AC2173" s="1"/>
      <c r="AD2173" s="1"/>
      <c r="AE2173" s="1"/>
      <c r="AF2173" s="1"/>
      <c r="AG2173" s="1"/>
      <c r="AH2173" s="1"/>
    </row>
    <row r="2174" spans="1:34" ht="12.5">
      <c r="A2174" s="1"/>
      <c r="B2174" s="1"/>
      <c r="C2174" s="1"/>
      <c r="D2174" s="1"/>
      <c r="E2174" s="1"/>
      <c r="F2174" s="1"/>
      <c r="G2174" s="1"/>
      <c r="H2174" s="1"/>
      <c r="I2174" s="1"/>
      <c r="J2174" s="1"/>
      <c r="K2174" s="1"/>
      <c r="L2174" s="1"/>
      <c r="M2174" s="1"/>
      <c r="N2174" s="1"/>
      <c r="O2174" s="1"/>
      <c r="P2174" s="1"/>
      <c r="Q2174" s="1"/>
      <c r="R2174" s="1"/>
      <c r="S2174" s="1"/>
      <c r="T2174" s="1"/>
      <c r="U2174" s="1"/>
      <c r="V2174" s="1"/>
      <c r="W2174" s="1"/>
      <c r="X2174" s="1"/>
      <c r="Y2174" s="1"/>
      <c r="Z2174" s="1"/>
      <c r="AA2174" s="1"/>
      <c r="AB2174" s="1"/>
      <c r="AC2174" s="1"/>
      <c r="AD2174" s="1"/>
      <c r="AE2174" s="1"/>
      <c r="AF2174" s="1"/>
      <c r="AG2174" s="1"/>
      <c r="AH2174" s="1"/>
    </row>
    <row r="2175" spans="1:34" ht="12.5">
      <c r="A2175" s="1"/>
      <c r="B2175" s="1"/>
      <c r="C2175" s="1"/>
      <c r="D2175" s="1"/>
      <c r="E2175" s="1"/>
      <c r="F2175" s="1"/>
      <c r="G2175" s="1"/>
      <c r="H2175" s="1"/>
      <c r="I2175" s="1"/>
      <c r="J2175" s="1"/>
      <c r="K2175" s="1"/>
      <c r="L2175" s="1"/>
      <c r="M2175" s="1"/>
      <c r="N2175" s="1"/>
      <c r="O2175" s="1"/>
      <c r="P2175" s="1"/>
      <c r="Q2175" s="1"/>
      <c r="R2175" s="1"/>
      <c r="S2175" s="1"/>
      <c r="T2175" s="1"/>
      <c r="U2175" s="1"/>
      <c r="V2175" s="1"/>
      <c r="W2175" s="1"/>
      <c r="X2175" s="1"/>
      <c r="Y2175" s="1"/>
      <c r="Z2175" s="1"/>
      <c r="AA2175" s="1"/>
      <c r="AB2175" s="1"/>
      <c r="AC2175" s="1"/>
      <c r="AD2175" s="1"/>
      <c r="AE2175" s="1"/>
      <c r="AF2175" s="1"/>
      <c r="AG2175" s="1"/>
      <c r="AH2175" s="1"/>
    </row>
    <row r="2176" spans="1:34" ht="12.5">
      <c r="A2176" s="1"/>
      <c r="B2176" s="1"/>
      <c r="C2176" s="1"/>
      <c r="D2176" s="1"/>
      <c r="E2176" s="1"/>
      <c r="F2176" s="1"/>
      <c r="G2176" s="1"/>
      <c r="H2176" s="1"/>
      <c r="I2176" s="1"/>
      <c r="J2176" s="1"/>
      <c r="K2176" s="1"/>
      <c r="L2176" s="1"/>
      <c r="M2176" s="1"/>
      <c r="N2176" s="1"/>
      <c r="O2176" s="1"/>
      <c r="P2176" s="1"/>
      <c r="Q2176" s="1"/>
      <c r="R2176" s="1"/>
      <c r="S2176" s="1"/>
      <c r="T2176" s="1"/>
      <c r="U2176" s="1"/>
      <c r="V2176" s="1"/>
      <c r="W2176" s="1"/>
      <c r="X2176" s="1"/>
      <c r="Y2176" s="1"/>
      <c r="Z2176" s="1"/>
      <c r="AA2176" s="1"/>
      <c r="AB2176" s="1"/>
      <c r="AC2176" s="1"/>
      <c r="AD2176" s="1"/>
      <c r="AE2176" s="1"/>
      <c r="AF2176" s="1"/>
      <c r="AG2176" s="1"/>
      <c r="AH2176" s="1"/>
    </row>
    <row r="2177" spans="1:34" ht="12.5">
      <c r="A2177" s="1"/>
      <c r="B2177" s="1"/>
      <c r="C2177" s="1"/>
      <c r="D2177" s="1"/>
      <c r="E2177" s="1"/>
      <c r="F2177" s="1"/>
      <c r="G2177" s="1"/>
      <c r="H2177" s="1"/>
      <c r="I2177" s="1"/>
      <c r="J2177" s="1"/>
      <c r="K2177" s="1"/>
      <c r="L2177" s="1"/>
      <c r="M2177" s="1"/>
      <c r="N2177" s="1"/>
      <c r="O2177" s="1"/>
      <c r="P2177" s="1"/>
      <c r="Q2177" s="1"/>
      <c r="R2177" s="1"/>
      <c r="S2177" s="1"/>
      <c r="T2177" s="1"/>
      <c r="U2177" s="1"/>
      <c r="V2177" s="1"/>
      <c r="W2177" s="1"/>
      <c r="X2177" s="1"/>
      <c r="Y2177" s="1"/>
      <c r="Z2177" s="1"/>
      <c r="AA2177" s="1"/>
      <c r="AB2177" s="1"/>
      <c r="AC2177" s="1"/>
      <c r="AD2177" s="1"/>
      <c r="AE2177" s="1"/>
      <c r="AF2177" s="1"/>
      <c r="AG2177" s="1"/>
      <c r="AH2177" s="1"/>
    </row>
    <row r="2178" spans="1:34" ht="12.5">
      <c r="A2178" s="1"/>
      <c r="B2178" s="1"/>
      <c r="C2178" s="1"/>
      <c r="D2178" s="1"/>
      <c r="E2178" s="1"/>
      <c r="F2178" s="1"/>
      <c r="G2178" s="1"/>
      <c r="H2178" s="1"/>
      <c r="I2178" s="1"/>
      <c r="J2178" s="1"/>
      <c r="K2178" s="1"/>
      <c r="L2178" s="1"/>
      <c r="M2178" s="1"/>
      <c r="N2178" s="1"/>
      <c r="O2178" s="1"/>
      <c r="P2178" s="1"/>
      <c r="Q2178" s="1"/>
      <c r="R2178" s="1"/>
      <c r="S2178" s="1"/>
      <c r="T2178" s="1"/>
      <c r="U2178" s="1"/>
      <c r="V2178" s="1"/>
      <c r="W2178" s="1"/>
      <c r="X2178" s="1"/>
      <c r="Y2178" s="1"/>
      <c r="Z2178" s="1"/>
      <c r="AA2178" s="1"/>
      <c r="AB2178" s="1"/>
      <c r="AC2178" s="1"/>
      <c r="AD2178" s="1"/>
      <c r="AE2178" s="1"/>
      <c r="AF2178" s="1"/>
      <c r="AG2178" s="1"/>
      <c r="AH2178" s="1"/>
    </row>
    <row r="2179" spans="1:34" ht="12.5">
      <c r="A2179" s="1"/>
      <c r="B2179" s="1"/>
      <c r="C2179" s="1"/>
      <c r="D2179" s="1"/>
      <c r="E2179" s="1"/>
      <c r="F2179" s="1"/>
      <c r="G2179" s="1"/>
      <c r="H2179" s="1"/>
      <c r="I2179" s="1"/>
      <c r="J2179" s="1"/>
      <c r="K2179" s="1"/>
      <c r="L2179" s="1"/>
      <c r="M2179" s="1"/>
      <c r="N2179" s="1"/>
      <c r="O2179" s="1"/>
      <c r="P2179" s="1"/>
      <c r="Q2179" s="1"/>
      <c r="R2179" s="1"/>
      <c r="S2179" s="1"/>
      <c r="T2179" s="1"/>
      <c r="U2179" s="1"/>
      <c r="V2179" s="1"/>
      <c r="W2179" s="1"/>
      <c r="X2179" s="1"/>
      <c r="Y2179" s="1"/>
      <c r="Z2179" s="1"/>
      <c r="AA2179" s="1"/>
      <c r="AB2179" s="1"/>
      <c r="AC2179" s="1"/>
      <c r="AD2179" s="1"/>
      <c r="AE2179" s="1"/>
      <c r="AF2179" s="1"/>
      <c r="AG2179" s="1"/>
      <c r="AH2179" s="1"/>
    </row>
    <row r="2180" spans="1:34" ht="12.5">
      <c r="A2180" s="1"/>
      <c r="B2180" s="1"/>
      <c r="C2180" s="1"/>
      <c r="D2180" s="1"/>
      <c r="E2180" s="1"/>
      <c r="F2180" s="1"/>
      <c r="G2180" s="1"/>
      <c r="H2180" s="1"/>
      <c r="I2180" s="1"/>
      <c r="J2180" s="1"/>
      <c r="K2180" s="1"/>
      <c r="L2180" s="1"/>
      <c r="M2180" s="1"/>
      <c r="N2180" s="1"/>
      <c r="O2180" s="1"/>
      <c r="P2180" s="1"/>
      <c r="Q2180" s="1"/>
      <c r="R2180" s="1"/>
      <c r="S2180" s="1"/>
      <c r="T2180" s="1"/>
      <c r="U2180" s="1"/>
      <c r="V2180" s="1"/>
      <c r="W2180" s="1"/>
      <c r="X2180" s="1"/>
      <c r="Y2180" s="1"/>
      <c r="Z2180" s="1"/>
      <c r="AA2180" s="1"/>
      <c r="AB2180" s="1"/>
      <c r="AC2180" s="1"/>
      <c r="AD2180" s="1"/>
      <c r="AE2180" s="1"/>
      <c r="AF2180" s="1"/>
      <c r="AG2180" s="1"/>
      <c r="AH2180" s="1"/>
    </row>
    <row r="2181" spans="1:34" ht="12.5">
      <c r="A2181" s="1"/>
      <c r="B2181" s="1"/>
      <c r="C2181" s="1"/>
      <c r="D2181" s="1"/>
      <c r="E2181" s="1"/>
      <c r="F2181" s="1"/>
      <c r="G2181" s="1"/>
      <c r="H2181" s="1"/>
      <c r="I2181" s="1"/>
      <c r="J2181" s="1"/>
      <c r="K2181" s="1"/>
      <c r="L2181" s="1"/>
      <c r="M2181" s="1"/>
      <c r="N2181" s="1"/>
      <c r="O2181" s="1"/>
      <c r="P2181" s="1"/>
      <c r="Q2181" s="1"/>
      <c r="R2181" s="1"/>
      <c r="S2181" s="1"/>
      <c r="T2181" s="1"/>
      <c r="U2181" s="1"/>
      <c r="V2181" s="1"/>
      <c r="W2181" s="1"/>
      <c r="X2181" s="1"/>
      <c r="Y2181" s="1"/>
      <c r="Z2181" s="1"/>
      <c r="AA2181" s="1"/>
      <c r="AB2181" s="1"/>
      <c r="AC2181" s="1"/>
      <c r="AD2181" s="1"/>
      <c r="AE2181" s="1"/>
      <c r="AF2181" s="1"/>
      <c r="AG2181" s="1"/>
      <c r="AH2181" s="1"/>
    </row>
    <row r="2182" spans="1:34" ht="12.5">
      <c r="A2182" s="1"/>
      <c r="B2182" s="1"/>
      <c r="C2182" s="1"/>
      <c r="D2182" s="1"/>
      <c r="E2182" s="1"/>
      <c r="F2182" s="1"/>
      <c r="G2182" s="1"/>
      <c r="H2182" s="1"/>
      <c r="I2182" s="1"/>
      <c r="J2182" s="1"/>
      <c r="K2182" s="1"/>
      <c r="L2182" s="1"/>
      <c r="M2182" s="1"/>
      <c r="N2182" s="1"/>
      <c r="O2182" s="1"/>
      <c r="P2182" s="1"/>
      <c r="Q2182" s="1"/>
      <c r="R2182" s="1"/>
      <c r="S2182" s="1"/>
      <c r="T2182" s="1"/>
      <c r="U2182" s="1"/>
      <c r="V2182" s="1"/>
      <c r="W2182" s="1"/>
      <c r="X2182" s="1"/>
      <c r="Y2182" s="1"/>
      <c r="Z2182" s="1"/>
      <c r="AA2182" s="1"/>
      <c r="AB2182" s="1"/>
      <c r="AC2182" s="1"/>
      <c r="AD2182" s="1"/>
      <c r="AE2182" s="1"/>
      <c r="AF2182" s="1"/>
      <c r="AG2182" s="1"/>
      <c r="AH2182" s="1"/>
    </row>
    <row r="2183" spans="1:34" ht="12.5">
      <c r="A2183" s="1"/>
      <c r="B2183" s="1"/>
      <c r="C2183" s="1"/>
      <c r="D2183" s="1"/>
      <c r="E2183" s="1"/>
      <c r="F2183" s="1"/>
      <c r="G2183" s="1"/>
      <c r="H2183" s="1"/>
      <c r="I2183" s="1"/>
      <c r="J2183" s="1"/>
      <c r="K2183" s="1"/>
      <c r="L2183" s="1"/>
      <c r="M2183" s="1"/>
      <c r="N2183" s="1"/>
      <c r="O2183" s="1"/>
      <c r="P2183" s="1"/>
      <c r="Q2183" s="1"/>
      <c r="R2183" s="1"/>
      <c r="S2183" s="1"/>
      <c r="T2183" s="1"/>
      <c r="U2183" s="1"/>
      <c r="V2183" s="1"/>
      <c r="W2183" s="1"/>
      <c r="X2183" s="1"/>
      <c r="Y2183" s="1"/>
      <c r="Z2183" s="1"/>
      <c r="AA2183" s="1"/>
      <c r="AB2183" s="1"/>
      <c r="AC2183" s="1"/>
      <c r="AD2183" s="1"/>
      <c r="AE2183" s="1"/>
      <c r="AF2183" s="1"/>
      <c r="AG2183" s="1"/>
      <c r="AH2183" s="1"/>
    </row>
    <row r="2184" spans="1:34" ht="12.5">
      <c r="A2184" s="1"/>
      <c r="B2184" s="1"/>
      <c r="C2184" s="1"/>
      <c r="D2184" s="1"/>
      <c r="E2184" s="1"/>
      <c r="F2184" s="1"/>
      <c r="G2184" s="1"/>
      <c r="H2184" s="1"/>
      <c r="I2184" s="1"/>
      <c r="J2184" s="1"/>
      <c r="K2184" s="1"/>
      <c r="L2184" s="1"/>
      <c r="M2184" s="1"/>
      <c r="N2184" s="1"/>
      <c r="O2184" s="1"/>
      <c r="P2184" s="1"/>
      <c r="Q2184" s="1"/>
      <c r="R2184" s="1"/>
      <c r="S2184" s="1"/>
      <c r="T2184" s="1"/>
      <c r="U2184" s="1"/>
      <c r="V2184" s="1"/>
      <c r="W2184" s="1"/>
      <c r="X2184" s="1"/>
      <c r="Y2184" s="1"/>
      <c r="Z2184" s="1"/>
      <c r="AA2184" s="1"/>
      <c r="AB2184" s="1"/>
      <c r="AC2184" s="1"/>
      <c r="AD2184" s="1"/>
      <c r="AE2184" s="1"/>
      <c r="AF2184" s="1"/>
      <c r="AG2184" s="1"/>
      <c r="AH2184" s="1"/>
    </row>
    <row r="2185" spans="1:34" ht="12.5">
      <c r="A2185" s="1"/>
      <c r="B2185" s="1"/>
      <c r="C2185" s="1"/>
      <c r="D2185" s="1"/>
      <c r="E2185" s="1"/>
      <c r="F2185" s="1"/>
      <c r="G2185" s="1"/>
      <c r="H2185" s="1"/>
      <c r="I2185" s="1"/>
      <c r="J2185" s="1"/>
      <c r="K2185" s="1"/>
      <c r="L2185" s="1"/>
      <c r="M2185" s="1"/>
      <c r="N2185" s="1"/>
      <c r="O2185" s="1"/>
      <c r="P2185" s="1"/>
      <c r="Q2185" s="1"/>
      <c r="R2185" s="1"/>
      <c r="S2185" s="1"/>
      <c r="T2185" s="1"/>
      <c r="U2185" s="1"/>
      <c r="V2185" s="1"/>
      <c r="W2185" s="1"/>
      <c r="X2185" s="1"/>
      <c r="Y2185" s="1"/>
      <c r="Z2185" s="1"/>
      <c r="AA2185" s="1"/>
      <c r="AB2185" s="1"/>
      <c r="AC2185" s="1"/>
      <c r="AD2185" s="1"/>
      <c r="AE2185" s="1"/>
      <c r="AF2185" s="1"/>
      <c r="AG2185" s="1"/>
      <c r="AH2185" s="1"/>
    </row>
    <row r="2186" spans="1:34" ht="12.5">
      <c r="A2186" s="1"/>
      <c r="B2186" s="1"/>
      <c r="C2186" s="1"/>
      <c r="D2186" s="1"/>
      <c r="E2186" s="1"/>
      <c r="F2186" s="1"/>
      <c r="G2186" s="1"/>
      <c r="H2186" s="1"/>
      <c r="I2186" s="1"/>
      <c r="J2186" s="1"/>
      <c r="K2186" s="1"/>
      <c r="L2186" s="1"/>
      <c r="M2186" s="1"/>
      <c r="N2186" s="1"/>
      <c r="O2186" s="1"/>
      <c r="P2186" s="1"/>
      <c r="Q2186" s="1"/>
      <c r="R2186" s="1"/>
      <c r="S2186" s="1"/>
      <c r="T2186" s="1"/>
      <c r="U2186" s="1"/>
      <c r="V2186" s="1"/>
      <c r="W2186" s="1"/>
      <c r="X2186" s="1"/>
      <c r="Y2186" s="1"/>
      <c r="Z2186" s="1"/>
      <c r="AA2186" s="1"/>
      <c r="AB2186" s="1"/>
      <c r="AC2186" s="1"/>
      <c r="AD2186" s="1"/>
      <c r="AE2186" s="1"/>
      <c r="AF2186" s="1"/>
      <c r="AG2186" s="1"/>
      <c r="AH2186" s="1"/>
    </row>
    <row r="2187" spans="1:34" ht="12.5">
      <c r="A2187" s="1"/>
      <c r="B2187" s="1"/>
      <c r="C2187" s="1"/>
      <c r="D2187" s="1"/>
      <c r="E2187" s="1"/>
      <c r="F2187" s="1"/>
      <c r="G2187" s="1"/>
      <c r="H2187" s="1"/>
      <c r="I2187" s="1"/>
      <c r="J2187" s="1"/>
      <c r="K2187" s="1"/>
      <c r="L2187" s="1"/>
      <c r="M2187" s="1"/>
      <c r="N2187" s="1"/>
      <c r="O2187" s="1"/>
      <c r="P2187" s="1"/>
      <c r="Q2187" s="1"/>
      <c r="R2187" s="1"/>
      <c r="S2187" s="1"/>
      <c r="T2187" s="1"/>
      <c r="U2187" s="1"/>
      <c r="V2187" s="1"/>
      <c r="W2187" s="1"/>
      <c r="X2187" s="1"/>
      <c r="Y2187" s="1"/>
      <c r="Z2187" s="1"/>
      <c r="AA2187" s="1"/>
      <c r="AB2187" s="1"/>
      <c r="AC2187" s="1"/>
      <c r="AD2187" s="1"/>
      <c r="AE2187" s="1"/>
      <c r="AF2187" s="1"/>
      <c r="AG2187" s="1"/>
      <c r="AH2187" s="1"/>
    </row>
    <row r="2188" spans="1:34" ht="12.5">
      <c r="A2188" s="1"/>
      <c r="B2188" s="1"/>
      <c r="C2188" s="1"/>
      <c r="D2188" s="1"/>
      <c r="E2188" s="1"/>
      <c r="F2188" s="1"/>
      <c r="G2188" s="1"/>
      <c r="H2188" s="1"/>
      <c r="I2188" s="1"/>
      <c r="J2188" s="1"/>
      <c r="K2188" s="1"/>
      <c r="L2188" s="1"/>
      <c r="M2188" s="1"/>
      <c r="N2188" s="1"/>
      <c r="O2188" s="1"/>
      <c r="P2188" s="1"/>
      <c r="Q2188" s="1"/>
      <c r="R2188" s="1"/>
      <c r="S2188" s="1"/>
      <c r="T2188" s="1"/>
      <c r="U2188" s="1"/>
      <c r="V2188" s="1"/>
      <c r="W2188" s="1"/>
      <c r="X2188" s="1"/>
      <c r="Y2188" s="1"/>
      <c r="Z2188" s="1"/>
      <c r="AA2188" s="1"/>
      <c r="AB2188" s="1"/>
      <c r="AC2188" s="1"/>
      <c r="AD2188" s="1"/>
      <c r="AE2188" s="1"/>
      <c r="AF2188" s="1"/>
      <c r="AG2188" s="1"/>
      <c r="AH2188" s="1"/>
    </row>
    <row r="2189" spans="1:34" ht="12.5">
      <c r="A2189" s="1"/>
      <c r="B2189" s="1"/>
      <c r="C2189" s="1"/>
      <c r="D2189" s="1"/>
      <c r="E2189" s="1"/>
      <c r="F2189" s="1"/>
      <c r="G2189" s="1"/>
      <c r="H2189" s="1"/>
      <c r="I2189" s="1"/>
      <c r="J2189" s="1"/>
      <c r="K2189" s="1"/>
      <c r="L2189" s="1"/>
      <c r="M2189" s="1"/>
      <c r="N2189" s="1"/>
      <c r="O2189" s="1"/>
      <c r="P2189" s="1"/>
      <c r="Q2189" s="1"/>
      <c r="R2189" s="1"/>
      <c r="S2189" s="1"/>
      <c r="T2189" s="1"/>
      <c r="U2189" s="1"/>
      <c r="V2189" s="1"/>
      <c r="W2189" s="1"/>
      <c r="X2189" s="1"/>
      <c r="Y2189" s="1"/>
      <c r="Z2189" s="1"/>
      <c r="AA2189" s="1"/>
      <c r="AB2189" s="1"/>
      <c r="AC2189" s="1"/>
      <c r="AD2189" s="1"/>
      <c r="AE2189" s="1"/>
      <c r="AF2189" s="1"/>
      <c r="AG2189" s="1"/>
      <c r="AH2189" s="1"/>
    </row>
    <row r="2190" spans="1:34" ht="12.5">
      <c r="A2190" s="1"/>
      <c r="B2190" s="1"/>
      <c r="C2190" s="1"/>
      <c r="D2190" s="1"/>
      <c r="E2190" s="1"/>
      <c r="F2190" s="1"/>
      <c r="G2190" s="1"/>
      <c r="H2190" s="1"/>
      <c r="I2190" s="1"/>
      <c r="J2190" s="1"/>
      <c r="K2190" s="1"/>
      <c r="L2190" s="1"/>
      <c r="M2190" s="1"/>
      <c r="N2190" s="1"/>
      <c r="O2190" s="1"/>
      <c r="P2190" s="1"/>
      <c r="Q2190" s="1"/>
      <c r="R2190" s="1"/>
      <c r="S2190" s="1"/>
      <c r="T2190" s="1"/>
      <c r="U2190" s="1"/>
      <c r="V2190" s="1"/>
      <c r="W2190" s="1"/>
      <c r="X2190" s="1"/>
      <c r="Y2190" s="1"/>
      <c r="Z2190" s="1"/>
      <c r="AA2190" s="1"/>
      <c r="AB2190" s="1"/>
      <c r="AC2190" s="1"/>
      <c r="AD2190" s="1"/>
      <c r="AE2190" s="1"/>
      <c r="AF2190" s="1"/>
      <c r="AG2190" s="1"/>
      <c r="AH2190" s="1"/>
    </row>
    <row r="2191" spans="1:34" ht="12.5">
      <c r="A2191" s="1"/>
      <c r="B2191" s="1"/>
      <c r="C2191" s="1"/>
      <c r="D2191" s="1"/>
      <c r="E2191" s="1"/>
      <c r="F2191" s="1"/>
      <c r="G2191" s="1"/>
      <c r="H2191" s="1"/>
      <c r="I2191" s="1"/>
      <c r="J2191" s="1"/>
      <c r="K2191" s="1"/>
      <c r="L2191" s="1"/>
      <c r="M2191" s="1"/>
      <c r="N2191" s="1"/>
      <c r="O2191" s="1"/>
      <c r="P2191" s="1"/>
      <c r="Q2191" s="1"/>
      <c r="R2191" s="1"/>
      <c r="S2191" s="1"/>
      <c r="T2191" s="1"/>
      <c r="U2191" s="1"/>
      <c r="V2191" s="1"/>
      <c r="W2191" s="1"/>
      <c r="X2191" s="1"/>
      <c r="Y2191" s="1"/>
      <c r="Z2191" s="1"/>
      <c r="AA2191" s="1"/>
      <c r="AB2191" s="1"/>
      <c r="AC2191" s="1"/>
      <c r="AD2191" s="1"/>
      <c r="AE2191" s="1"/>
      <c r="AF2191" s="1"/>
      <c r="AG2191" s="1"/>
      <c r="AH2191" s="1"/>
    </row>
    <row r="2192" spans="1:34" ht="12.5">
      <c r="A2192" s="1"/>
      <c r="B2192" s="1"/>
      <c r="C2192" s="1"/>
      <c r="D2192" s="1"/>
      <c r="E2192" s="1"/>
      <c r="F2192" s="1"/>
      <c r="G2192" s="1"/>
      <c r="H2192" s="1"/>
      <c r="I2192" s="1"/>
      <c r="J2192" s="1"/>
      <c r="K2192" s="1"/>
      <c r="L2192" s="1"/>
      <c r="M2192" s="1"/>
      <c r="N2192" s="1"/>
      <c r="O2192" s="1"/>
      <c r="P2192" s="1"/>
      <c r="Q2192" s="1"/>
      <c r="R2192" s="1"/>
      <c r="S2192" s="1"/>
      <c r="T2192" s="1"/>
      <c r="U2192" s="1"/>
      <c r="V2192" s="1"/>
      <c r="W2192" s="1"/>
      <c r="X2192" s="1"/>
      <c r="Y2192" s="1"/>
      <c r="Z2192" s="1"/>
      <c r="AA2192" s="1"/>
      <c r="AB2192" s="1"/>
      <c r="AC2192" s="1"/>
      <c r="AD2192" s="1"/>
      <c r="AE2192" s="1"/>
      <c r="AF2192" s="1"/>
      <c r="AG2192" s="1"/>
      <c r="AH2192" s="1"/>
    </row>
    <row r="2193" spans="1:34" ht="12.5">
      <c r="A2193" s="1"/>
      <c r="B2193" s="1"/>
      <c r="C2193" s="1"/>
      <c r="D2193" s="1"/>
      <c r="E2193" s="1"/>
      <c r="F2193" s="1"/>
      <c r="G2193" s="1"/>
      <c r="H2193" s="1"/>
      <c r="I2193" s="1"/>
      <c r="J2193" s="1"/>
      <c r="K2193" s="1"/>
      <c r="L2193" s="1"/>
      <c r="M2193" s="1"/>
      <c r="N2193" s="1"/>
      <c r="O2193" s="1"/>
      <c r="P2193" s="1"/>
      <c r="Q2193" s="1"/>
      <c r="R2193" s="1"/>
      <c r="S2193" s="1"/>
      <c r="T2193" s="1"/>
      <c r="U2193" s="1"/>
      <c r="V2193" s="1"/>
      <c r="W2193" s="1"/>
      <c r="X2193" s="1"/>
      <c r="Y2193" s="1"/>
      <c r="Z2193" s="1"/>
      <c r="AA2193" s="1"/>
      <c r="AB2193" s="1"/>
      <c r="AC2193" s="1"/>
      <c r="AD2193" s="1"/>
      <c r="AE2193" s="1"/>
      <c r="AF2193" s="1"/>
      <c r="AG2193" s="1"/>
      <c r="AH2193" s="1"/>
    </row>
    <row r="2194" spans="1:34" ht="12.5">
      <c r="A2194" s="1"/>
      <c r="B2194" s="1"/>
      <c r="C2194" s="1"/>
      <c r="D2194" s="1"/>
      <c r="E2194" s="1"/>
      <c r="F2194" s="1"/>
      <c r="G2194" s="1"/>
      <c r="H2194" s="1"/>
      <c r="I2194" s="1"/>
      <c r="J2194" s="1"/>
      <c r="K2194" s="1"/>
      <c r="L2194" s="1"/>
      <c r="M2194" s="1"/>
      <c r="N2194" s="1"/>
      <c r="O2194" s="1"/>
      <c r="P2194" s="1"/>
      <c r="Q2194" s="1"/>
      <c r="R2194" s="1"/>
      <c r="S2194" s="1"/>
      <c r="T2194" s="1"/>
      <c r="U2194" s="1"/>
      <c r="V2194" s="1"/>
      <c r="W2194" s="1"/>
      <c r="X2194" s="1"/>
      <c r="Y2194" s="1"/>
      <c r="Z2194" s="1"/>
      <c r="AA2194" s="1"/>
      <c r="AB2194" s="1"/>
      <c r="AC2194" s="1"/>
      <c r="AD2194" s="1"/>
      <c r="AE2194" s="1"/>
      <c r="AF2194" s="1"/>
      <c r="AG2194" s="1"/>
      <c r="AH2194" s="1"/>
    </row>
    <row r="2195" spans="1:34" ht="12.5">
      <c r="A2195" s="1"/>
      <c r="B2195" s="1"/>
      <c r="C2195" s="1"/>
      <c r="D2195" s="1"/>
      <c r="E2195" s="1"/>
      <c r="F2195" s="1"/>
      <c r="G2195" s="1"/>
      <c r="H2195" s="1"/>
      <c r="I2195" s="1"/>
      <c r="J2195" s="1"/>
      <c r="K2195" s="1"/>
      <c r="L2195" s="1"/>
      <c r="M2195" s="1"/>
      <c r="N2195" s="1"/>
      <c r="O2195" s="1"/>
      <c r="P2195" s="1"/>
      <c r="Q2195" s="1"/>
      <c r="R2195" s="1"/>
      <c r="S2195" s="1"/>
      <c r="T2195" s="1"/>
      <c r="U2195" s="1"/>
      <c r="V2195" s="1"/>
      <c r="W2195" s="1"/>
      <c r="X2195" s="1"/>
      <c r="Y2195" s="1"/>
      <c r="Z2195" s="1"/>
      <c r="AA2195" s="1"/>
      <c r="AB2195" s="1"/>
      <c r="AC2195" s="1"/>
      <c r="AD2195" s="1"/>
      <c r="AE2195" s="1"/>
      <c r="AF2195" s="1"/>
      <c r="AG2195" s="1"/>
      <c r="AH2195" s="1"/>
    </row>
    <row r="2196" spans="1:34" ht="12.5">
      <c r="A2196" s="1"/>
      <c r="B2196" s="1"/>
      <c r="C2196" s="1"/>
      <c r="D2196" s="1"/>
      <c r="E2196" s="1"/>
      <c r="F2196" s="1"/>
      <c r="G2196" s="1"/>
      <c r="H2196" s="1"/>
      <c r="I2196" s="1"/>
      <c r="J2196" s="1"/>
      <c r="K2196" s="1"/>
      <c r="L2196" s="1"/>
      <c r="M2196" s="1"/>
      <c r="N2196" s="1"/>
      <c r="O2196" s="1"/>
      <c r="P2196" s="1"/>
      <c r="Q2196" s="1"/>
      <c r="R2196" s="1"/>
      <c r="S2196" s="1"/>
      <c r="T2196" s="1"/>
      <c r="U2196" s="1"/>
      <c r="V2196" s="1"/>
      <c r="W2196" s="1"/>
      <c r="X2196" s="1"/>
      <c r="Y2196" s="1"/>
      <c r="Z2196" s="1"/>
      <c r="AA2196" s="1"/>
      <c r="AB2196" s="1"/>
      <c r="AC2196" s="1"/>
      <c r="AD2196" s="1"/>
      <c r="AE2196" s="1"/>
      <c r="AF2196" s="1"/>
      <c r="AG2196" s="1"/>
      <c r="AH2196" s="1"/>
    </row>
    <row r="2197" spans="1:34" ht="12.5">
      <c r="A2197" s="1"/>
      <c r="B2197" s="1"/>
      <c r="C2197" s="1"/>
      <c r="D2197" s="1"/>
      <c r="E2197" s="1"/>
      <c r="F2197" s="1"/>
      <c r="G2197" s="1"/>
      <c r="H2197" s="1"/>
      <c r="I2197" s="1"/>
      <c r="J2197" s="1"/>
      <c r="K2197" s="1"/>
      <c r="L2197" s="1"/>
      <c r="M2197" s="1"/>
      <c r="N2197" s="1"/>
      <c r="O2197" s="1"/>
      <c r="P2197" s="1"/>
      <c r="Q2197" s="1"/>
      <c r="R2197" s="1"/>
      <c r="S2197" s="1"/>
      <c r="T2197" s="1"/>
      <c r="U2197" s="1"/>
      <c r="V2197" s="1"/>
      <c r="W2197" s="1"/>
      <c r="X2197" s="1"/>
      <c r="Y2197" s="1"/>
      <c r="Z2197" s="1"/>
      <c r="AA2197" s="1"/>
      <c r="AB2197" s="1"/>
      <c r="AC2197" s="1"/>
      <c r="AD2197" s="1"/>
      <c r="AE2197" s="1"/>
      <c r="AF2197" s="1"/>
      <c r="AG2197" s="1"/>
      <c r="AH2197" s="1"/>
    </row>
    <row r="2198" spans="1:34" ht="12.5">
      <c r="A2198" s="1"/>
      <c r="B2198" s="1"/>
      <c r="C2198" s="1"/>
      <c r="D2198" s="1"/>
      <c r="E2198" s="1"/>
      <c r="F2198" s="1"/>
      <c r="G2198" s="1"/>
      <c r="H2198" s="1"/>
      <c r="I2198" s="1"/>
      <c r="J2198" s="1"/>
      <c r="K2198" s="1"/>
      <c r="L2198" s="1"/>
      <c r="M2198" s="1"/>
      <c r="N2198" s="1"/>
      <c r="O2198" s="1"/>
      <c r="P2198" s="1"/>
      <c r="Q2198" s="1"/>
      <c r="R2198" s="1"/>
      <c r="S2198" s="1"/>
      <c r="T2198" s="1"/>
      <c r="U2198" s="1"/>
      <c r="V2198" s="1"/>
      <c r="W2198" s="1"/>
      <c r="X2198" s="1"/>
      <c r="Y2198" s="1"/>
      <c r="Z2198" s="1"/>
      <c r="AA2198" s="1"/>
      <c r="AB2198" s="1"/>
      <c r="AC2198" s="1"/>
      <c r="AD2198" s="1"/>
      <c r="AE2198" s="1"/>
      <c r="AF2198" s="1"/>
      <c r="AG2198" s="1"/>
      <c r="AH2198" s="1"/>
    </row>
    <row r="2199" spans="1:34" ht="12.5">
      <c r="A2199" s="1"/>
      <c r="B2199" s="1"/>
      <c r="C2199" s="1"/>
      <c r="D2199" s="1"/>
      <c r="E2199" s="1"/>
      <c r="F2199" s="1"/>
      <c r="G2199" s="1"/>
      <c r="H2199" s="1"/>
      <c r="I2199" s="1"/>
      <c r="J2199" s="1"/>
      <c r="K2199" s="1"/>
      <c r="L2199" s="1"/>
      <c r="M2199" s="1"/>
      <c r="N2199" s="1"/>
      <c r="O2199" s="1"/>
      <c r="P2199" s="1"/>
      <c r="Q2199" s="1"/>
      <c r="R2199" s="1"/>
      <c r="S2199" s="1"/>
      <c r="T2199" s="1"/>
      <c r="U2199" s="1"/>
      <c r="V2199" s="1"/>
      <c r="W2199" s="1"/>
      <c r="X2199" s="1"/>
      <c r="Y2199" s="1"/>
      <c r="Z2199" s="1"/>
      <c r="AA2199" s="1"/>
      <c r="AB2199" s="1"/>
      <c r="AC2199" s="1"/>
      <c r="AD2199" s="1"/>
      <c r="AE2199" s="1"/>
      <c r="AF2199" s="1"/>
      <c r="AG2199" s="1"/>
      <c r="AH2199" s="1"/>
    </row>
    <row r="2200" spans="1:34" ht="12.5">
      <c r="A2200" s="1"/>
      <c r="B2200" s="1"/>
      <c r="C2200" s="1"/>
      <c r="D2200" s="1"/>
      <c r="E2200" s="1"/>
      <c r="F2200" s="1"/>
      <c r="G2200" s="1"/>
      <c r="H2200" s="1"/>
      <c r="I2200" s="1"/>
      <c r="J2200" s="1"/>
      <c r="K2200" s="1"/>
      <c r="L2200" s="1"/>
      <c r="M2200" s="1"/>
      <c r="N2200" s="1"/>
      <c r="O2200" s="1"/>
      <c r="P2200" s="1"/>
      <c r="Q2200" s="1"/>
      <c r="R2200" s="1"/>
      <c r="S2200" s="1"/>
      <c r="T2200" s="1"/>
      <c r="U2200" s="1"/>
      <c r="V2200" s="1"/>
      <c r="W2200" s="1"/>
      <c r="X2200" s="1"/>
      <c r="Y2200" s="1"/>
      <c r="Z2200" s="1"/>
      <c r="AA2200" s="1"/>
      <c r="AB2200" s="1"/>
      <c r="AC2200" s="1"/>
      <c r="AD2200" s="1"/>
      <c r="AE2200" s="1"/>
      <c r="AF2200" s="1"/>
      <c r="AG2200" s="1"/>
      <c r="AH2200" s="1"/>
    </row>
    <row r="2201" spans="1:34" ht="12.5">
      <c r="A2201" s="1"/>
      <c r="B2201" s="1"/>
      <c r="C2201" s="1"/>
      <c r="D2201" s="1"/>
      <c r="E2201" s="1"/>
      <c r="F2201" s="1"/>
      <c r="G2201" s="1"/>
      <c r="H2201" s="1"/>
      <c r="I2201" s="1"/>
      <c r="J2201" s="1"/>
      <c r="K2201" s="1"/>
      <c r="L2201" s="1"/>
      <c r="M2201" s="1"/>
      <c r="N2201" s="1"/>
      <c r="O2201" s="1"/>
      <c r="P2201" s="1"/>
      <c r="Q2201" s="1"/>
      <c r="R2201" s="1"/>
      <c r="S2201" s="1"/>
      <c r="T2201" s="1"/>
      <c r="U2201" s="1"/>
      <c r="V2201" s="1"/>
      <c r="W2201" s="1"/>
      <c r="X2201" s="1"/>
      <c r="Y2201" s="1"/>
      <c r="Z2201" s="1"/>
      <c r="AA2201" s="1"/>
      <c r="AB2201" s="1"/>
      <c r="AC2201" s="1"/>
      <c r="AD2201" s="1"/>
      <c r="AE2201" s="1"/>
      <c r="AF2201" s="1"/>
      <c r="AG2201" s="1"/>
      <c r="AH2201" s="1"/>
    </row>
    <row r="2202" spans="1:34" ht="12.5">
      <c r="A2202" s="1"/>
      <c r="B2202" s="1"/>
      <c r="C2202" s="1"/>
      <c r="D2202" s="1"/>
      <c r="E2202" s="1"/>
      <c r="F2202" s="1"/>
      <c r="G2202" s="1"/>
      <c r="H2202" s="1"/>
      <c r="I2202" s="1"/>
      <c r="J2202" s="1"/>
      <c r="K2202" s="1"/>
      <c r="L2202" s="1"/>
      <c r="M2202" s="1"/>
      <c r="N2202" s="1"/>
      <c r="O2202" s="1"/>
      <c r="P2202" s="1"/>
      <c r="Q2202" s="1"/>
      <c r="R2202" s="1"/>
      <c r="S2202" s="1"/>
      <c r="T2202" s="1"/>
      <c r="U2202" s="1"/>
      <c r="V2202" s="1"/>
      <c r="W2202" s="1"/>
      <c r="X2202" s="1"/>
      <c r="Y2202" s="1"/>
      <c r="Z2202" s="1"/>
      <c r="AA2202" s="1"/>
      <c r="AB2202" s="1"/>
      <c r="AC2202" s="1"/>
      <c r="AD2202" s="1"/>
      <c r="AE2202" s="1"/>
      <c r="AF2202" s="1"/>
      <c r="AG2202" s="1"/>
      <c r="AH2202" s="1"/>
    </row>
    <row r="2203" spans="1:34" ht="12.5">
      <c r="A2203" s="1"/>
      <c r="B2203" s="1"/>
      <c r="C2203" s="1"/>
      <c r="D2203" s="1"/>
      <c r="E2203" s="1"/>
      <c r="F2203" s="1"/>
      <c r="G2203" s="1"/>
      <c r="H2203" s="1"/>
      <c r="I2203" s="1"/>
      <c r="J2203" s="1"/>
      <c r="K2203" s="1"/>
      <c r="L2203" s="1"/>
      <c r="M2203" s="1"/>
      <c r="N2203" s="1"/>
      <c r="O2203" s="1"/>
      <c r="P2203" s="1"/>
      <c r="Q2203" s="1"/>
      <c r="R2203" s="1"/>
      <c r="S2203" s="1"/>
      <c r="T2203" s="1"/>
      <c r="U2203" s="1"/>
      <c r="V2203" s="1"/>
      <c r="W2203" s="1"/>
      <c r="X2203" s="1"/>
      <c r="Y2203" s="1"/>
      <c r="Z2203" s="1"/>
      <c r="AA2203" s="1"/>
      <c r="AB2203" s="1"/>
      <c r="AC2203" s="1"/>
      <c r="AD2203" s="1"/>
      <c r="AE2203" s="1"/>
      <c r="AF2203" s="1"/>
      <c r="AG2203" s="1"/>
      <c r="AH2203" s="1"/>
    </row>
    <row r="2204" spans="1:34" ht="12.5">
      <c r="A2204" s="1"/>
      <c r="B2204" s="1"/>
      <c r="C2204" s="1"/>
      <c r="D2204" s="1"/>
      <c r="E2204" s="1"/>
      <c r="F2204" s="1"/>
      <c r="G2204" s="1"/>
      <c r="H2204" s="1"/>
      <c r="I2204" s="1"/>
      <c r="J2204" s="1"/>
      <c r="K2204" s="1"/>
      <c r="L2204" s="1"/>
      <c r="M2204" s="1"/>
      <c r="N2204" s="1"/>
      <c r="O2204" s="1"/>
      <c r="P2204" s="1"/>
      <c r="Q2204" s="1"/>
      <c r="R2204" s="1"/>
      <c r="S2204" s="1"/>
      <c r="T2204" s="1"/>
      <c r="U2204" s="1"/>
      <c r="V2204" s="1"/>
      <c r="W2204" s="1"/>
      <c r="X2204" s="1"/>
      <c r="Y2204" s="1"/>
      <c r="Z2204" s="1"/>
      <c r="AA2204" s="1"/>
      <c r="AB2204" s="1"/>
      <c r="AC2204" s="1"/>
      <c r="AD2204" s="1"/>
      <c r="AE2204" s="1"/>
      <c r="AF2204" s="1"/>
      <c r="AG2204" s="1"/>
      <c r="AH2204" s="1"/>
    </row>
    <row r="2205" spans="1:34" ht="12.5">
      <c r="A2205" s="1"/>
      <c r="B2205" s="1"/>
      <c r="C2205" s="1"/>
      <c r="D2205" s="1"/>
      <c r="E2205" s="1"/>
      <c r="F2205" s="1"/>
      <c r="G2205" s="1"/>
      <c r="H2205" s="1"/>
      <c r="I2205" s="1"/>
      <c r="J2205" s="1"/>
      <c r="K2205" s="1"/>
      <c r="L2205" s="1"/>
      <c r="M2205" s="1"/>
      <c r="N2205" s="1"/>
      <c r="O2205" s="1"/>
      <c r="P2205" s="1"/>
      <c r="Q2205" s="1"/>
      <c r="R2205" s="1"/>
      <c r="S2205" s="1"/>
      <c r="T2205" s="1"/>
      <c r="U2205" s="1"/>
      <c r="V2205" s="1"/>
      <c r="W2205" s="1"/>
      <c r="X2205" s="1"/>
      <c r="Y2205" s="1"/>
      <c r="Z2205" s="1"/>
      <c r="AA2205" s="1"/>
      <c r="AB2205" s="1"/>
      <c r="AC2205" s="1"/>
      <c r="AD2205" s="1"/>
      <c r="AE2205" s="1"/>
      <c r="AF2205" s="1"/>
      <c r="AG2205" s="1"/>
      <c r="AH2205" s="1"/>
    </row>
    <row r="2206" spans="1:34" ht="12.5">
      <c r="A2206" s="1"/>
      <c r="B2206" s="1"/>
      <c r="C2206" s="1"/>
      <c r="D2206" s="1"/>
      <c r="E2206" s="1"/>
      <c r="F2206" s="1"/>
      <c r="G2206" s="1"/>
      <c r="H2206" s="1"/>
      <c r="I2206" s="1"/>
      <c r="J2206" s="1"/>
      <c r="K2206" s="1"/>
      <c r="L2206" s="1"/>
      <c r="M2206" s="1"/>
      <c r="N2206" s="1"/>
      <c r="O2206" s="1"/>
      <c r="P2206" s="1"/>
      <c r="Q2206" s="1"/>
      <c r="R2206" s="1"/>
      <c r="S2206" s="1"/>
      <c r="T2206" s="1"/>
      <c r="U2206" s="1"/>
      <c r="V2206" s="1"/>
      <c r="W2206" s="1"/>
      <c r="X2206" s="1"/>
      <c r="Y2206" s="1"/>
      <c r="Z2206" s="1"/>
      <c r="AA2206" s="1"/>
      <c r="AB2206" s="1"/>
      <c r="AC2206" s="1"/>
      <c r="AD2206" s="1"/>
      <c r="AE2206" s="1"/>
      <c r="AF2206" s="1"/>
      <c r="AG2206" s="1"/>
      <c r="AH2206" s="1"/>
    </row>
    <row r="2207" spans="1:34" ht="12.5">
      <c r="A2207" s="1"/>
      <c r="B2207" s="1"/>
      <c r="C2207" s="1"/>
      <c r="D2207" s="1"/>
      <c r="E2207" s="1"/>
      <c r="F2207" s="1"/>
      <c r="G2207" s="1"/>
      <c r="H2207" s="1"/>
      <c r="I2207" s="1"/>
      <c r="J2207" s="1"/>
      <c r="K2207" s="1"/>
      <c r="L2207" s="1"/>
      <c r="M2207" s="1"/>
      <c r="N2207" s="1"/>
      <c r="O2207" s="1"/>
      <c r="P2207" s="1"/>
      <c r="Q2207" s="1"/>
      <c r="R2207" s="1"/>
      <c r="S2207" s="1"/>
      <c r="T2207" s="1"/>
      <c r="U2207" s="1"/>
      <c r="V2207" s="1"/>
      <c r="W2207" s="1"/>
      <c r="X2207" s="1"/>
      <c r="Y2207" s="1"/>
      <c r="Z2207" s="1"/>
      <c r="AA2207" s="1"/>
      <c r="AB2207" s="1"/>
      <c r="AC2207" s="1"/>
      <c r="AD2207" s="1"/>
      <c r="AE2207" s="1"/>
      <c r="AF2207" s="1"/>
      <c r="AG2207" s="1"/>
      <c r="AH2207" s="1"/>
    </row>
    <row r="2208" spans="1:34" ht="12.5">
      <c r="A2208" s="1"/>
      <c r="B2208" s="1"/>
      <c r="C2208" s="1"/>
      <c r="D2208" s="1"/>
      <c r="E2208" s="1"/>
      <c r="F2208" s="1"/>
      <c r="G2208" s="1"/>
      <c r="H2208" s="1"/>
      <c r="I2208" s="1"/>
      <c r="J2208" s="1"/>
      <c r="K2208" s="1"/>
      <c r="L2208" s="1"/>
      <c r="M2208" s="1"/>
      <c r="N2208" s="1"/>
      <c r="O2208" s="1"/>
      <c r="P2208" s="1"/>
      <c r="Q2208" s="1"/>
      <c r="R2208" s="1"/>
      <c r="S2208" s="1"/>
      <c r="T2208" s="1"/>
      <c r="U2208" s="1"/>
      <c r="V2208" s="1"/>
      <c r="W2208" s="1"/>
      <c r="X2208" s="1"/>
      <c r="Y2208" s="1"/>
      <c r="Z2208" s="1"/>
      <c r="AA2208" s="1"/>
      <c r="AB2208" s="1"/>
      <c r="AC2208" s="1"/>
      <c r="AD2208" s="1"/>
      <c r="AE2208" s="1"/>
      <c r="AF2208" s="1"/>
      <c r="AG2208" s="1"/>
      <c r="AH2208" s="1"/>
    </row>
    <row r="2209" spans="1:34" ht="12.5">
      <c r="A2209" s="1"/>
      <c r="B2209" s="1"/>
      <c r="C2209" s="1"/>
      <c r="D2209" s="1"/>
      <c r="E2209" s="1"/>
      <c r="F2209" s="1"/>
      <c r="G2209" s="1"/>
      <c r="H2209" s="1"/>
      <c r="I2209" s="1"/>
      <c r="J2209" s="1"/>
      <c r="K2209" s="1"/>
      <c r="L2209" s="1"/>
      <c r="M2209" s="1"/>
      <c r="N2209" s="1"/>
      <c r="O2209" s="1"/>
      <c r="P2209" s="1"/>
      <c r="Q2209" s="1"/>
      <c r="R2209" s="1"/>
      <c r="S2209" s="1"/>
      <c r="T2209" s="1"/>
      <c r="U2209" s="1"/>
      <c r="V2209" s="1"/>
      <c r="W2209" s="1"/>
      <c r="X2209" s="1"/>
      <c r="Y2209" s="1"/>
      <c r="Z2209" s="1"/>
      <c r="AA2209" s="1"/>
      <c r="AB2209" s="1"/>
      <c r="AC2209" s="1"/>
      <c r="AD2209" s="1"/>
      <c r="AE2209" s="1"/>
      <c r="AF2209" s="1"/>
      <c r="AG2209" s="1"/>
      <c r="AH2209" s="1"/>
    </row>
    <row r="2210" spans="1:34" ht="12.5">
      <c r="A2210" s="1"/>
      <c r="B2210" s="1"/>
      <c r="C2210" s="1"/>
      <c r="D2210" s="1"/>
      <c r="E2210" s="1"/>
      <c r="F2210" s="1"/>
      <c r="G2210" s="1"/>
      <c r="H2210" s="1"/>
      <c r="I2210" s="1"/>
      <c r="J2210" s="1"/>
      <c r="K2210" s="1"/>
      <c r="L2210" s="1"/>
      <c r="M2210" s="1"/>
      <c r="N2210" s="1"/>
      <c r="O2210" s="1"/>
      <c r="P2210" s="1"/>
      <c r="Q2210" s="1"/>
      <c r="R2210" s="1"/>
      <c r="S2210" s="1"/>
      <c r="T2210" s="1"/>
      <c r="U2210" s="1"/>
      <c r="V2210" s="1"/>
      <c r="W2210" s="1"/>
      <c r="X2210" s="1"/>
      <c r="Y2210" s="1"/>
      <c r="Z2210" s="1"/>
      <c r="AA2210" s="1"/>
      <c r="AB2210" s="1"/>
      <c r="AC2210" s="1"/>
      <c r="AD2210" s="1"/>
      <c r="AE2210" s="1"/>
      <c r="AF2210" s="1"/>
      <c r="AG2210" s="1"/>
      <c r="AH2210" s="1"/>
    </row>
    <row r="2211" spans="1:34" ht="12.5">
      <c r="A2211" s="1"/>
      <c r="B2211" s="1"/>
      <c r="C2211" s="1"/>
      <c r="D2211" s="1"/>
      <c r="E2211" s="1"/>
      <c r="F2211" s="1"/>
      <c r="G2211" s="1"/>
      <c r="H2211" s="1"/>
      <c r="I2211" s="1"/>
      <c r="J2211" s="1"/>
      <c r="K2211" s="1"/>
      <c r="L2211" s="1"/>
      <c r="M2211" s="1"/>
      <c r="N2211" s="1"/>
      <c r="O2211" s="1"/>
      <c r="P2211" s="1"/>
      <c r="Q2211" s="1"/>
      <c r="R2211" s="1"/>
      <c r="S2211" s="1"/>
      <c r="T2211" s="1"/>
      <c r="U2211" s="1"/>
      <c r="V2211" s="1"/>
      <c r="W2211" s="1"/>
      <c r="X2211" s="1"/>
      <c r="Y2211" s="1"/>
      <c r="Z2211" s="1"/>
      <c r="AA2211" s="1"/>
      <c r="AB2211" s="1"/>
      <c r="AC2211" s="1"/>
      <c r="AD2211" s="1"/>
      <c r="AE2211" s="1"/>
      <c r="AF2211" s="1"/>
      <c r="AG2211" s="1"/>
      <c r="AH2211" s="1"/>
    </row>
    <row r="2212" spans="1:34" ht="12.5">
      <c r="A2212" s="1"/>
      <c r="B2212" s="1"/>
      <c r="C2212" s="1"/>
      <c r="D2212" s="1"/>
      <c r="E2212" s="1"/>
      <c r="F2212" s="1"/>
      <c r="G2212" s="1"/>
      <c r="H2212" s="1"/>
      <c r="I2212" s="1"/>
      <c r="J2212" s="1"/>
      <c r="K2212" s="1"/>
      <c r="L2212" s="1"/>
      <c r="M2212" s="1"/>
      <c r="N2212" s="1"/>
      <c r="O2212" s="1"/>
      <c r="P2212" s="1"/>
      <c r="Q2212" s="1"/>
      <c r="R2212" s="1"/>
      <c r="S2212" s="1"/>
      <c r="T2212" s="1"/>
      <c r="U2212" s="1"/>
      <c r="V2212" s="1"/>
      <c r="W2212" s="1"/>
      <c r="X2212" s="1"/>
      <c r="Y2212" s="1"/>
      <c r="Z2212" s="1"/>
      <c r="AA2212" s="1"/>
      <c r="AB2212" s="1"/>
      <c r="AC2212" s="1"/>
      <c r="AD2212" s="1"/>
      <c r="AE2212" s="1"/>
      <c r="AF2212" s="1"/>
      <c r="AG2212" s="1"/>
      <c r="AH2212" s="1"/>
    </row>
    <row r="2213" spans="1:34" ht="12.5">
      <c r="A2213" s="1"/>
      <c r="B2213" s="1"/>
      <c r="C2213" s="1"/>
      <c r="D2213" s="1"/>
      <c r="E2213" s="1"/>
      <c r="F2213" s="1"/>
      <c r="G2213" s="1"/>
      <c r="H2213" s="1"/>
      <c r="I2213" s="1"/>
      <c r="J2213" s="1"/>
      <c r="K2213" s="1"/>
      <c r="L2213" s="1"/>
      <c r="M2213" s="1"/>
      <c r="N2213" s="1"/>
      <c r="O2213" s="1"/>
      <c r="P2213" s="1"/>
      <c r="Q2213" s="1"/>
      <c r="R2213" s="1"/>
      <c r="S2213" s="1"/>
      <c r="T2213" s="1"/>
      <c r="U2213" s="1"/>
      <c r="V2213" s="1"/>
      <c r="W2213" s="1"/>
      <c r="X2213" s="1"/>
      <c r="Y2213" s="1"/>
      <c r="Z2213" s="1"/>
      <c r="AA2213" s="1"/>
      <c r="AB2213" s="1"/>
      <c r="AC2213" s="1"/>
      <c r="AD2213" s="1"/>
      <c r="AE2213" s="1"/>
      <c r="AF2213" s="1"/>
      <c r="AG2213" s="1"/>
      <c r="AH2213" s="1"/>
    </row>
    <row r="2214" spans="1:34" ht="12.5">
      <c r="A2214" s="1"/>
      <c r="B2214" s="1"/>
      <c r="C2214" s="1"/>
      <c r="D2214" s="1"/>
      <c r="E2214" s="1"/>
      <c r="F2214" s="1"/>
      <c r="G2214" s="1"/>
      <c r="H2214" s="1"/>
      <c r="I2214" s="1"/>
      <c r="J2214" s="1"/>
      <c r="K2214" s="1"/>
      <c r="L2214" s="1"/>
      <c r="M2214" s="1"/>
      <c r="N2214" s="1"/>
      <c r="O2214" s="1"/>
      <c r="P2214" s="1"/>
      <c r="Q2214" s="1"/>
      <c r="R2214" s="1"/>
      <c r="S2214" s="1"/>
      <c r="T2214" s="1"/>
      <c r="U2214" s="1"/>
      <c r="V2214" s="1"/>
      <c r="W2214" s="1"/>
      <c r="X2214" s="1"/>
      <c r="Y2214" s="1"/>
      <c r="Z2214" s="1"/>
      <c r="AA2214" s="1"/>
      <c r="AB2214" s="1"/>
      <c r="AC2214" s="1"/>
      <c r="AD2214" s="1"/>
      <c r="AE2214" s="1"/>
      <c r="AF2214" s="1"/>
      <c r="AG2214" s="1"/>
      <c r="AH2214" s="1"/>
    </row>
    <row r="2215" spans="1:34" ht="12.5">
      <c r="A2215" s="1"/>
      <c r="B2215" s="1"/>
      <c r="C2215" s="1"/>
      <c r="D2215" s="1"/>
      <c r="E2215" s="1"/>
      <c r="F2215" s="1"/>
      <c r="G2215" s="1"/>
      <c r="H2215" s="1"/>
      <c r="I2215" s="1"/>
      <c r="J2215" s="1"/>
      <c r="K2215" s="1"/>
      <c r="L2215" s="1"/>
      <c r="M2215" s="1"/>
      <c r="N2215" s="1"/>
      <c r="O2215" s="1"/>
      <c r="P2215" s="1"/>
      <c r="Q2215" s="1"/>
      <c r="R2215" s="1"/>
      <c r="S2215" s="1"/>
      <c r="T2215" s="1"/>
      <c r="U2215" s="1"/>
      <c r="V2215" s="1"/>
      <c r="W2215" s="1"/>
      <c r="X2215" s="1"/>
      <c r="Y2215" s="1"/>
      <c r="Z2215" s="1"/>
      <c r="AA2215" s="1"/>
      <c r="AB2215" s="1"/>
      <c r="AC2215" s="1"/>
      <c r="AD2215" s="1"/>
      <c r="AE2215" s="1"/>
      <c r="AF2215" s="1"/>
      <c r="AG2215" s="1"/>
      <c r="AH2215" s="1"/>
    </row>
    <row r="2216" spans="1:34" ht="12.5">
      <c r="A2216" s="1"/>
      <c r="B2216" s="1"/>
      <c r="C2216" s="1"/>
      <c r="D2216" s="1"/>
      <c r="E2216" s="1"/>
      <c r="F2216" s="1"/>
      <c r="G2216" s="1"/>
      <c r="H2216" s="1"/>
      <c r="I2216" s="1"/>
      <c r="J2216" s="1"/>
      <c r="K2216" s="1"/>
      <c r="L2216" s="1"/>
      <c r="M2216" s="1"/>
      <c r="N2216" s="1"/>
      <c r="O2216" s="1"/>
      <c r="P2216" s="1"/>
      <c r="Q2216" s="1"/>
      <c r="R2216" s="1"/>
      <c r="S2216" s="1"/>
      <c r="T2216" s="1"/>
      <c r="U2216" s="1"/>
      <c r="V2216" s="1"/>
      <c r="W2216" s="1"/>
      <c r="X2216" s="1"/>
      <c r="Y2216" s="1"/>
      <c r="Z2216" s="1"/>
      <c r="AA2216" s="1"/>
      <c r="AB2216" s="1"/>
      <c r="AC2216" s="1"/>
      <c r="AD2216" s="1"/>
      <c r="AE2216" s="1"/>
      <c r="AF2216" s="1"/>
      <c r="AG2216" s="1"/>
      <c r="AH2216" s="1"/>
    </row>
    <row r="2217" spans="1:34" ht="12.5">
      <c r="A2217" s="1"/>
      <c r="B2217" s="1"/>
      <c r="C2217" s="1"/>
      <c r="D2217" s="1"/>
      <c r="E2217" s="1"/>
      <c r="F2217" s="1"/>
      <c r="G2217" s="1"/>
      <c r="H2217" s="1"/>
      <c r="I2217" s="1"/>
      <c r="J2217" s="1"/>
      <c r="K2217" s="1"/>
      <c r="L2217" s="1"/>
      <c r="M2217" s="1"/>
      <c r="N2217" s="1"/>
      <c r="O2217" s="1"/>
      <c r="P2217" s="1"/>
      <c r="Q2217" s="1"/>
      <c r="R2217" s="1"/>
      <c r="S2217" s="1"/>
      <c r="T2217" s="1"/>
      <c r="U2217" s="1"/>
      <c r="V2217" s="1"/>
      <c r="W2217" s="1"/>
      <c r="X2217" s="1"/>
      <c r="Y2217" s="1"/>
      <c r="Z2217" s="1"/>
      <c r="AA2217" s="1"/>
      <c r="AB2217" s="1"/>
      <c r="AC2217" s="1"/>
      <c r="AD2217" s="1"/>
      <c r="AE2217" s="1"/>
      <c r="AF2217" s="1"/>
      <c r="AG2217" s="1"/>
      <c r="AH2217" s="1"/>
    </row>
    <row r="2218" spans="1:34" ht="12.5">
      <c r="A2218" s="1"/>
      <c r="B2218" s="1"/>
      <c r="C2218" s="1"/>
      <c r="D2218" s="1"/>
      <c r="E2218" s="1"/>
      <c r="F2218" s="1"/>
      <c r="G2218" s="1"/>
      <c r="H2218" s="1"/>
      <c r="I2218" s="1"/>
      <c r="J2218" s="1"/>
      <c r="K2218" s="1"/>
      <c r="L2218" s="1"/>
      <c r="M2218" s="1"/>
      <c r="N2218" s="1"/>
      <c r="O2218" s="1"/>
      <c r="P2218" s="1"/>
      <c r="Q2218" s="1"/>
      <c r="R2218" s="1"/>
      <c r="S2218" s="1"/>
      <c r="T2218" s="1"/>
      <c r="U2218" s="1"/>
      <c r="V2218" s="1"/>
      <c r="W2218" s="1"/>
      <c r="X2218" s="1"/>
      <c r="Y2218" s="1"/>
      <c r="Z2218" s="1"/>
      <c r="AA2218" s="1"/>
      <c r="AB2218" s="1"/>
      <c r="AC2218" s="1"/>
      <c r="AD2218" s="1"/>
      <c r="AE2218" s="1"/>
      <c r="AF2218" s="1"/>
      <c r="AG2218" s="1"/>
      <c r="AH2218" s="1"/>
    </row>
    <row r="2219" spans="1:34" ht="12.5">
      <c r="A2219" s="1"/>
      <c r="B2219" s="1"/>
      <c r="C2219" s="1"/>
      <c r="D2219" s="1"/>
      <c r="E2219" s="1"/>
      <c r="F2219" s="1"/>
      <c r="G2219" s="1"/>
      <c r="H2219" s="1"/>
      <c r="I2219" s="1"/>
      <c r="J2219" s="1"/>
      <c r="K2219" s="1"/>
      <c r="L2219" s="1"/>
      <c r="M2219" s="1"/>
      <c r="N2219" s="1"/>
      <c r="O2219" s="1"/>
      <c r="P2219" s="1"/>
      <c r="Q2219" s="1"/>
      <c r="R2219" s="1"/>
      <c r="S2219" s="1"/>
      <c r="T2219" s="1"/>
      <c r="U2219" s="1"/>
      <c r="V2219" s="1"/>
      <c r="W2219" s="1"/>
      <c r="X2219" s="1"/>
      <c r="Y2219" s="1"/>
      <c r="Z2219" s="1"/>
      <c r="AA2219" s="1"/>
      <c r="AB2219" s="1"/>
      <c r="AC2219" s="1"/>
      <c r="AD2219" s="1"/>
      <c r="AE2219" s="1"/>
      <c r="AF2219" s="1"/>
      <c r="AG2219" s="1"/>
      <c r="AH2219" s="1"/>
    </row>
    <row r="2220" spans="1:34" ht="12.5">
      <c r="A2220" s="1"/>
      <c r="B2220" s="1"/>
      <c r="C2220" s="1"/>
      <c r="D2220" s="1"/>
      <c r="E2220" s="1"/>
      <c r="F2220" s="1"/>
      <c r="G2220" s="1"/>
      <c r="H2220" s="1"/>
      <c r="I2220" s="1"/>
      <c r="J2220" s="1"/>
      <c r="K2220" s="1"/>
      <c r="L2220" s="1"/>
      <c r="M2220" s="1"/>
      <c r="N2220" s="1"/>
      <c r="O2220" s="1"/>
      <c r="P2220" s="1"/>
      <c r="Q2220" s="1"/>
      <c r="R2220" s="1"/>
      <c r="S2220" s="1"/>
      <c r="T2220" s="1"/>
      <c r="U2220" s="1"/>
      <c r="V2220" s="1"/>
      <c r="W2220" s="1"/>
      <c r="X2220" s="1"/>
      <c r="Y2220" s="1"/>
      <c r="Z2220" s="1"/>
      <c r="AA2220" s="1"/>
      <c r="AB2220" s="1"/>
      <c r="AC2220" s="1"/>
      <c r="AD2220" s="1"/>
      <c r="AE2220" s="1"/>
      <c r="AF2220" s="1"/>
      <c r="AG2220" s="1"/>
      <c r="AH2220" s="1"/>
    </row>
    <row r="2221" spans="1:34" ht="12.5">
      <c r="A2221" s="1"/>
      <c r="B2221" s="1"/>
      <c r="C2221" s="1"/>
      <c r="D2221" s="1"/>
      <c r="E2221" s="1"/>
      <c r="F2221" s="1"/>
      <c r="G2221" s="1"/>
      <c r="H2221" s="1"/>
      <c r="I2221" s="1"/>
      <c r="J2221" s="1"/>
      <c r="K2221" s="1"/>
      <c r="L2221" s="1"/>
      <c r="M2221" s="1"/>
      <c r="N2221" s="1"/>
      <c r="O2221" s="1"/>
      <c r="P2221" s="1"/>
      <c r="Q2221" s="1"/>
      <c r="R2221" s="1"/>
      <c r="S2221" s="1"/>
      <c r="T2221" s="1"/>
      <c r="U2221" s="1"/>
      <c r="V2221" s="1"/>
      <c r="W2221" s="1"/>
      <c r="X2221" s="1"/>
      <c r="Y2221" s="1"/>
      <c r="Z2221" s="1"/>
      <c r="AA2221" s="1"/>
      <c r="AB2221" s="1"/>
      <c r="AC2221" s="1"/>
      <c r="AD2221" s="1"/>
      <c r="AE2221" s="1"/>
      <c r="AF2221" s="1"/>
      <c r="AG2221" s="1"/>
      <c r="AH2221" s="1"/>
    </row>
    <row r="2222" spans="1:34" ht="12.5">
      <c r="A2222" s="1"/>
      <c r="B2222" s="1"/>
      <c r="C2222" s="1"/>
      <c r="D2222" s="1"/>
      <c r="E2222" s="1"/>
      <c r="F2222" s="1"/>
      <c r="G2222" s="1"/>
      <c r="H2222" s="1"/>
      <c r="I2222" s="1"/>
      <c r="J2222" s="1"/>
      <c r="K2222" s="1"/>
      <c r="L2222" s="1"/>
      <c r="M2222" s="1"/>
      <c r="N2222" s="1"/>
      <c r="O2222" s="1"/>
      <c r="P2222" s="1"/>
      <c r="Q2222" s="1"/>
      <c r="R2222" s="1"/>
      <c r="S2222" s="1"/>
      <c r="T2222" s="1"/>
      <c r="U2222" s="1"/>
      <c r="V2222" s="1"/>
      <c r="W2222" s="1"/>
      <c r="X2222" s="1"/>
      <c r="Y2222" s="1"/>
      <c r="Z2222" s="1"/>
      <c r="AA2222" s="1"/>
      <c r="AB2222" s="1"/>
      <c r="AC2222" s="1"/>
      <c r="AD2222" s="1"/>
      <c r="AE2222" s="1"/>
      <c r="AF2222" s="1"/>
      <c r="AG2222" s="1"/>
      <c r="AH2222" s="1"/>
    </row>
    <row r="2223" spans="1:34" ht="12.5">
      <c r="A2223" s="1"/>
      <c r="B2223" s="1"/>
      <c r="C2223" s="1"/>
      <c r="D2223" s="1"/>
      <c r="E2223" s="1"/>
      <c r="F2223" s="1"/>
      <c r="G2223" s="1"/>
      <c r="H2223" s="1"/>
      <c r="I2223" s="1"/>
      <c r="J2223" s="1"/>
      <c r="K2223" s="1"/>
      <c r="L2223" s="1"/>
      <c r="M2223" s="1"/>
      <c r="N2223" s="1"/>
      <c r="O2223" s="1"/>
      <c r="P2223" s="1"/>
      <c r="Q2223" s="1"/>
      <c r="R2223" s="1"/>
      <c r="S2223" s="1"/>
      <c r="T2223" s="1"/>
      <c r="U2223" s="1"/>
      <c r="V2223" s="1"/>
      <c r="W2223" s="1"/>
      <c r="X2223" s="1"/>
      <c r="Y2223" s="1"/>
      <c r="Z2223" s="1"/>
      <c r="AA2223" s="1"/>
      <c r="AB2223" s="1"/>
      <c r="AC2223" s="1"/>
      <c r="AD2223" s="1"/>
      <c r="AE2223" s="1"/>
      <c r="AF2223" s="1"/>
      <c r="AG2223" s="1"/>
      <c r="AH2223" s="1"/>
    </row>
    <row r="2224" spans="1:34" ht="12.5">
      <c r="A2224" s="1"/>
      <c r="B2224" s="1"/>
      <c r="C2224" s="1"/>
      <c r="D2224" s="1"/>
      <c r="E2224" s="1"/>
      <c r="F2224" s="1"/>
      <c r="G2224" s="1"/>
      <c r="H2224" s="1"/>
      <c r="I2224" s="1"/>
      <c r="J2224" s="1"/>
      <c r="K2224" s="1"/>
      <c r="L2224" s="1"/>
      <c r="M2224" s="1"/>
      <c r="N2224" s="1"/>
      <c r="O2224" s="1"/>
      <c r="P2224" s="1"/>
      <c r="Q2224" s="1"/>
      <c r="R2224" s="1"/>
      <c r="S2224" s="1"/>
      <c r="T2224" s="1"/>
      <c r="U2224" s="1"/>
      <c r="V2224" s="1"/>
      <c r="W2224" s="1"/>
      <c r="X2224" s="1"/>
      <c r="Y2224" s="1"/>
      <c r="Z2224" s="1"/>
      <c r="AA2224" s="1"/>
      <c r="AB2224" s="1"/>
      <c r="AC2224" s="1"/>
      <c r="AD2224" s="1"/>
      <c r="AE2224" s="1"/>
      <c r="AF2224" s="1"/>
      <c r="AG2224" s="1"/>
      <c r="AH2224" s="1"/>
    </row>
    <row r="2225" spans="1:34" ht="12.5">
      <c r="A2225" s="1"/>
      <c r="B2225" s="1"/>
      <c r="C2225" s="1"/>
      <c r="D2225" s="1"/>
      <c r="E2225" s="1"/>
      <c r="F2225" s="1"/>
      <c r="G2225" s="1"/>
      <c r="H2225" s="1"/>
      <c r="I2225" s="1"/>
      <c r="J2225" s="1"/>
      <c r="K2225" s="1"/>
      <c r="L2225" s="1"/>
      <c r="M2225" s="1"/>
      <c r="N2225" s="1"/>
      <c r="O2225" s="1"/>
      <c r="P2225" s="1"/>
      <c r="Q2225" s="1"/>
      <c r="R2225" s="1"/>
      <c r="S2225" s="1"/>
      <c r="T2225" s="1"/>
      <c r="U2225" s="1"/>
      <c r="V2225" s="1"/>
      <c r="W2225" s="1"/>
      <c r="X2225" s="1"/>
      <c r="Y2225" s="1"/>
      <c r="Z2225" s="1"/>
      <c r="AA2225" s="1"/>
      <c r="AB2225" s="1"/>
      <c r="AC2225" s="1"/>
      <c r="AD2225" s="1"/>
      <c r="AE2225" s="1"/>
      <c r="AF2225" s="1"/>
      <c r="AG2225" s="1"/>
      <c r="AH2225" s="1"/>
    </row>
    <row r="2226" spans="1:34" ht="12.5">
      <c r="A2226" s="1"/>
      <c r="B2226" s="1"/>
      <c r="C2226" s="1"/>
      <c r="D2226" s="1"/>
      <c r="E2226" s="1"/>
      <c r="F2226" s="1"/>
      <c r="G2226" s="1"/>
      <c r="H2226" s="1"/>
      <c r="I2226" s="1"/>
      <c r="J2226" s="1"/>
      <c r="K2226" s="1"/>
      <c r="L2226" s="1"/>
      <c r="M2226" s="1"/>
      <c r="N2226" s="1"/>
      <c r="O2226" s="1"/>
      <c r="P2226" s="1"/>
      <c r="Q2226" s="1"/>
      <c r="R2226" s="1"/>
      <c r="S2226" s="1"/>
      <c r="T2226" s="1"/>
      <c r="U2226" s="1"/>
      <c r="V2226" s="1"/>
      <c r="W2226" s="1"/>
      <c r="X2226" s="1"/>
      <c r="Y2226" s="1"/>
      <c r="Z2226" s="1"/>
      <c r="AA2226" s="1"/>
      <c r="AB2226" s="1"/>
      <c r="AC2226" s="1"/>
      <c r="AD2226" s="1"/>
      <c r="AE2226" s="1"/>
      <c r="AF2226" s="1"/>
      <c r="AG2226" s="1"/>
      <c r="AH2226" s="1"/>
    </row>
    <row r="2227" spans="1:34" ht="12.5">
      <c r="A2227" s="1"/>
      <c r="B2227" s="1"/>
      <c r="C2227" s="1"/>
      <c r="D2227" s="1"/>
      <c r="E2227" s="1"/>
      <c r="F2227" s="1"/>
      <c r="G2227" s="1"/>
      <c r="H2227" s="1"/>
      <c r="I2227" s="1"/>
      <c r="J2227" s="1"/>
      <c r="K2227" s="1"/>
      <c r="L2227" s="1"/>
      <c r="M2227" s="1"/>
      <c r="N2227" s="1"/>
      <c r="O2227" s="1"/>
      <c r="P2227" s="1"/>
      <c r="Q2227" s="1"/>
      <c r="R2227" s="1"/>
      <c r="S2227" s="1"/>
      <c r="T2227" s="1"/>
      <c r="U2227" s="1"/>
      <c r="V2227" s="1"/>
      <c r="W2227" s="1"/>
      <c r="X2227" s="1"/>
      <c r="Y2227" s="1"/>
      <c r="Z2227" s="1"/>
      <c r="AA2227" s="1"/>
      <c r="AB2227" s="1"/>
      <c r="AC2227" s="1"/>
      <c r="AD2227" s="1"/>
      <c r="AE2227" s="1"/>
      <c r="AF2227" s="1"/>
      <c r="AG2227" s="1"/>
      <c r="AH2227" s="1"/>
    </row>
    <row r="2228" spans="1:34" ht="12.5">
      <c r="A2228" s="1"/>
      <c r="B2228" s="1"/>
      <c r="C2228" s="1"/>
      <c r="D2228" s="1"/>
      <c r="E2228" s="1"/>
      <c r="F2228" s="1"/>
      <c r="G2228" s="1"/>
      <c r="H2228" s="1"/>
      <c r="I2228" s="1"/>
      <c r="J2228" s="1"/>
      <c r="K2228" s="1"/>
      <c r="L2228" s="1"/>
      <c r="M2228" s="1"/>
      <c r="N2228" s="1"/>
      <c r="O2228" s="1"/>
      <c r="P2228" s="1"/>
      <c r="Q2228" s="1"/>
      <c r="R2228" s="1"/>
      <c r="S2228" s="1"/>
      <c r="T2228" s="1"/>
      <c r="U2228" s="1"/>
      <c r="V2228" s="1"/>
      <c r="W2228" s="1"/>
      <c r="X2228" s="1"/>
      <c r="Y2228" s="1"/>
      <c r="Z2228" s="1"/>
      <c r="AA2228" s="1"/>
      <c r="AB2228" s="1"/>
      <c r="AC2228" s="1"/>
      <c r="AD2228" s="1"/>
      <c r="AE2228" s="1"/>
      <c r="AF2228" s="1"/>
      <c r="AG2228" s="1"/>
      <c r="AH2228" s="1"/>
    </row>
    <row r="2229" spans="1:34" ht="12.5">
      <c r="A2229" s="1"/>
      <c r="B2229" s="1"/>
      <c r="C2229" s="1"/>
      <c r="D2229" s="1"/>
      <c r="E2229" s="1"/>
      <c r="F2229" s="1"/>
      <c r="G2229" s="1"/>
      <c r="H2229" s="1"/>
      <c r="I2229" s="1"/>
      <c r="J2229" s="1"/>
      <c r="K2229" s="1"/>
      <c r="L2229" s="1"/>
      <c r="M2229" s="1"/>
      <c r="N2229" s="1"/>
      <c r="O2229" s="1"/>
      <c r="P2229" s="1"/>
      <c r="Q2229" s="1"/>
      <c r="R2229" s="1"/>
      <c r="S2229" s="1"/>
      <c r="T2229" s="1"/>
      <c r="U2229" s="1"/>
      <c r="V2229" s="1"/>
      <c r="W2229" s="1"/>
      <c r="X2229" s="1"/>
      <c r="Y2229" s="1"/>
      <c r="Z2229" s="1"/>
      <c r="AA2229" s="1"/>
      <c r="AB2229" s="1"/>
      <c r="AC2229" s="1"/>
      <c r="AD2229" s="1"/>
      <c r="AE2229" s="1"/>
      <c r="AF2229" s="1"/>
      <c r="AG2229" s="1"/>
      <c r="AH2229" s="1"/>
    </row>
    <row r="2230" spans="1:34" ht="12.5">
      <c r="A2230" s="1"/>
      <c r="B2230" s="1"/>
      <c r="C2230" s="1"/>
      <c r="D2230" s="1"/>
      <c r="E2230" s="1"/>
      <c r="F2230" s="1"/>
      <c r="G2230" s="1"/>
      <c r="H2230" s="1"/>
      <c r="I2230" s="1"/>
      <c r="J2230" s="1"/>
      <c r="K2230" s="1"/>
      <c r="L2230" s="1"/>
      <c r="M2230" s="1"/>
      <c r="N2230" s="1"/>
      <c r="O2230" s="1"/>
      <c r="P2230" s="1"/>
      <c r="Q2230" s="1"/>
      <c r="R2230" s="1"/>
      <c r="S2230" s="1"/>
      <c r="T2230" s="1"/>
      <c r="U2230" s="1"/>
      <c r="V2230" s="1"/>
      <c r="W2230" s="1"/>
      <c r="X2230" s="1"/>
      <c r="Y2230" s="1"/>
      <c r="Z2230" s="1"/>
      <c r="AA2230" s="1"/>
      <c r="AB2230" s="1"/>
      <c r="AC2230" s="1"/>
      <c r="AD2230" s="1"/>
      <c r="AE2230" s="1"/>
      <c r="AF2230" s="1"/>
      <c r="AG2230" s="1"/>
      <c r="AH2230" s="1"/>
    </row>
    <row r="2231" spans="1:34" ht="12.5">
      <c r="A2231" s="1"/>
      <c r="B2231" s="1"/>
      <c r="C2231" s="1"/>
      <c r="D2231" s="1"/>
      <c r="E2231" s="1"/>
      <c r="F2231" s="1"/>
      <c r="G2231" s="1"/>
      <c r="H2231" s="1"/>
      <c r="I2231" s="1"/>
      <c r="J2231" s="1"/>
      <c r="K2231" s="1"/>
      <c r="L2231" s="1"/>
      <c r="M2231" s="1"/>
      <c r="N2231" s="1"/>
      <c r="O2231" s="1"/>
      <c r="P2231" s="1"/>
      <c r="Q2231" s="1"/>
      <c r="R2231" s="1"/>
      <c r="S2231" s="1"/>
      <c r="T2231" s="1"/>
      <c r="U2231" s="1"/>
      <c r="V2231" s="1"/>
      <c r="W2231" s="1"/>
      <c r="X2231" s="1"/>
      <c r="Y2231" s="1"/>
      <c r="Z2231" s="1"/>
      <c r="AA2231" s="1"/>
      <c r="AB2231" s="1"/>
      <c r="AC2231" s="1"/>
      <c r="AD2231" s="1"/>
      <c r="AE2231" s="1"/>
      <c r="AF2231" s="1"/>
      <c r="AG2231" s="1"/>
      <c r="AH2231" s="1"/>
    </row>
    <row r="2232" spans="1:34" ht="12.5">
      <c r="A2232" s="1"/>
      <c r="B2232" s="1"/>
      <c r="C2232" s="1"/>
      <c r="D2232" s="1"/>
      <c r="E2232" s="1"/>
      <c r="F2232" s="1"/>
      <c r="G2232" s="1"/>
      <c r="H2232" s="1"/>
      <c r="I2232" s="1"/>
      <c r="J2232" s="1"/>
      <c r="K2232" s="1"/>
      <c r="L2232" s="1"/>
      <c r="M2232" s="1"/>
      <c r="N2232" s="1"/>
      <c r="O2232" s="1"/>
      <c r="P2232" s="1"/>
      <c r="Q2232" s="1"/>
      <c r="R2232" s="1"/>
      <c r="S2232" s="1"/>
      <c r="T2232" s="1"/>
      <c r="U2232" s="1"/>
      <c r="V2232" s="1"/>
      <c r="W2232" s="1"/>
      <c r="X2232" s="1"/>
      <c r="Y2232" s="1"/>
      <c r="Z2232" s="1"/>
      <c r="AA2232" s="1"/>
      <c r="AB2232" s="1"/>
      <c r="AC2232" s="1"/>
      <c r="AD2232" s="1"/>
      <c r="AE2232" s="1"/>
      <c r="AF2232" s="1"/>
      <c r="AG2232" s="1"/>
      <c r="AH2232" s="1"/>
    </row>
    <row r="2233" spans="1:34" ht="12.5">
      <c r="A2233" s="1"/>
      <c r="B2233" s="1"/>
      <c r="C2233" s="1"/>
      <c r="D2233" s="1"/>
      <c r="E2233" s="1"/>
      <c r="F2233" s="1"/>
      <c r="G2233" s="1"/>
      <c r="H2233" s="1"/>
      <c r="I2233" s="1"/>
      <c r="J2233" s="1"/>
      <c r="K2233" s="1"/>
      <c r="L2233" s="1"/>
      <c r="M2233" s="1"/>
      <c r="N2233" s="1"/>
      <c r="O2233" s="1"/>
      <c r="P2233" s="1"/>
      <c r="Q2233" s="1"/>
      <c r="R2233" s="1"/>
      <c r="S2233" s="1"/>
      <c r="T2233" s="1"/>
      <c r="U2233" s="1"/>
      <c r="V2233" s="1"/>
      <c r="W2233" s="1"/>
      <c r="X2233" s="1"/>
      <c r="Y2233" s="1"/>
      <c r="Z2233" s="1"/>
      <c r="AA2233" s="1"/>
      <c r="AB2233" s="1"/>
      <c r="AC2233" s="1"/>
      <c r="AD2233" s="1"/>
      <c r="AE2233" s="1"/>
      <c r="AF2233" s="1"/>
      <c r="AG2233" s="1"/>
      <c r="AH2233" s="1"/>
    </row>
    <row r="2234" spans="1:34" ht="12.5">
      <c r="A2234" s="1"/>
      <c r="B2234" s="1"/>
      <c r="C2234" s="1"/>
      <c r="D2234" s="1"/>
      <c r="E2234" s="1"/>
      <c r="F2234" s="1"/>
      <c r="G2234" s="1"/>
      <c r="H2234" s="1"/>
      <c r="I2234" s="1"/>
      <c r="J2234" s="1"/>
      <c r="K2234" s="1"/>
      <c r="L2234" s="1"/>
      <c r="M2234" s="1"/>
      <c r="N2234" s="1"/>
      <c r="O2234" s="1"/>
      <c r="P2234" s="1"/>
      <c r="Q2234" s="1"/>
      <c r="R2234" s="1"/>
      <c r="S2234" s="1"/>
      <c r="T2234" s="1"/>
      <c r="U2234" s="1"/>
      <c r="V2234" s="1"/>
      <c r="W2234" s="1"/>
      <c r="X2234" s="1"/>
      <c r="Y2234" s="1"/>
      <c r="Z2234" s="1"/>
      <c r="AA2234" s="1"/>
      <c r="AB2234" s="1"/>
      <c r="AC2234" s="1"/>
      <c r="AD2234" s="1"/>
      <c r="AE2234" s="1"/>
      <c r="AF2234" s="1"/>
      <c r="AG2234" s="1"/>
      <c r="AH2234" s="1"/>
    </row>
    <row r="2235" spans="1:34" ht="12.5">
      <c r="A2235" s="1"/>
      <c r="B2235" s="1"/>
      <c r="C2235" s="1"/>
      <c r="D2235" s="1"/>
      <c r="E2235" s="1"/>
      <c r="F2235" s="1"/>
      <c r="G2235" s="1"/>
      <c r="H2235" s="1"/>
      <c r="I2235" s="1"/>
      <c r="J2235" s="1"/>
      <c r="K2235" s="1"/>
      <c r="L2235" s="1"/>
      <c r="M2235" s="1"/>
      <c r="N2235" s="1"/>
      <c r="O2235" s="1"/>
      <c r="P2235" s="1"/>
      <c r="Q2235" s="1"/>
      <c r="R2235" s="1"/>
      <c r="S2235" s="1"/>
      <c r="T2235" s="1"/>
      <c r="U2235" s="1"/>
      <c r="V2235" s="1"/>
      <c r="W2235" s="1"/>
      <c r="X2235" s="1"/>
      <c r="Y2235" s="1"/>
      <c r="Z2235" s="1"/>
      <c r="AA2235" s="1"/>
      <c r="AB2235" s="1"/>
      <c r="AC2235" s="1"/>
      <c r="AD2235" s="1"/>
      <c r="AE2235" s="1"/>
      <c r="AF2235" s="1"/>
      <c r="AG2235" s="1"/>
      <c r="AH2235" s="1"/>
    </row>
    <row r="2236" spans="1:34" ht="12.5">
      <c r="A2236" s="1"/>
      <c r="B2236" s="1"/>
      <c r="C2236" s="1"/>
      <c r="D2236" s="1"/>
      <c r="E2236" s="1"/>
      <c r="F2236" s="1"/>
      <c r="G2236" s="1"/>
      <c r="H2236" s="1"/>
      <c r="I2236" s="1"/>
      <c r="J2236" s="1"/>
      <c r="K2236" s="1"/>
      <c r="L2236" s="1"/>
      <c r="M2236" s="1"/>
      <c r="N2236" s="1"/>
      <c r="O2236" s="1"/>
      <c r="P2236" s="1"/>
      <c r="Q2236" s="1"/>
      <c r="R2236" s="1"/>
      <c r="S2236" s="1"/>
      <c r="T2236" s="1"/>
      <c r="U2236" s="1"/>
      <c r="V2236" s="1"/>
      <c r="W2236" s="1"/>
      <c r="X2236" s="1"/>
      <c r="Y2236" s="1"/>
      <c r="Z2236" s="1"/>
      <c r="AA2236" s="1"/>
      <c r="AB2236" s="1"/>
      <c r="AC2236" s="1"/>
      <c r="AD2236" s="1"/>
      <c r="AE2236" s="1"/>
      <c r="AF2236" s="1"/>
      <c r="AG2236" s="1"/>
      <c r="AH2236" s="1"/>
    </row>
    <row r="2237" spans="1:34" ht="12.5">
      <c r="A2237" s="1"/>
      <c r="B2237" s="1"/>
      <c r="C2237" s="1"/>
      <c r="D2237" s="1"/>
      <c r="E2237" s="1"/>
      <c r="F2237" s="1"/>
      <c r="G2237" s="1"/>
      <c r="H2237" s="1"/>
      <c r="I2237" s="1"/>
      <c r="J2237" s="1"/>
      <c r="K2237" s="1"/>
      <c r="L2237" s="1"/>
      <c r="M2237" s="1"/>
      <c r="N2237" s="1"/>
      <c r="O2237" s="1"/>
      <c r="P2237" s="1"/>
      <c r="Q2237" s="1"/>
      <c r="R2237" s="1"/>
      <c r="S2237" s="1"/>
      <c r="T2237" s="1"/>
      <c r="U2237" s="1"/>
      <c r="V2237" s="1"/>
      <c r="W2237" s="1"/>
      <c r="X2237" s="1"/>
      <c r="Y2237" s="1"/>
      <c r="Z2237" s="1"/>
      <c r="AA2237" s="1"/>
      <c r="AB2237" s="1"/>
      <c r="AC2237" s="1"/>
      <c r="AD2237" s="1"/>
      <c r="AE2237" s="1"/>
      <c r="AF2237" s="1"/>
      <c r="AG2237" s="1"/>
      <c r="AH2237" s="1"/>
    </row>
    <row r="2238" spans="1:34" ht="12.5">
      <c r="A2238" s="1"/>
      <c r="B2238" s="1"/>
      <c r="C2238" s="1"/>
      <c r="D2238" s="1"/>
      <c r="E2238" s="1"/>
      <c r="F2238" s="1"/>
      <c r="G2238" s="1"/>
      <c r="H2238" s="1"/>
      <c r="I2238" s="1"/>
      <c r="J2238" s="1"/>
      <c r="K2238" s="1"/>
      <c r="L2238" s="1"/>
      <c r="M2238" s="1"/>
      <c r="N2238" s="1"/>
      <c r="O2238" s="1"/>
      <c r="P2238" s="1"/>
      <c r="Q2238" s="1"/>
      <c r="R2238" s="1"/>
      <c r="S2238" s="1"/>
      <c r="T2238" s="1"/>
      <c r="U2238" s="1"/>
      <c r="V2238" s="1"/>
      <c r="W2238" s="1"/>
      <c r="X2238" s="1"/>
      <c r="Y2238" s="1"/>
      <c r="Z2238" s="1"/>
      <c r="AA2238" s="1"/>
      <c r="AB2238" s="1"/>
      <c r="AC2238" s="1"/>
      <c r="AD2238" s="1"/>
      <c r="AE2238" s="1"/>
      <c r="AF2238" s="1"/>
      <c r="AG2238" s="1"/>
      <c r="AH2238" s="1"/>
    </row>
    <row r="2239" spans="1:34" ht="12.5">
      <c r="A2239" s="1"/>
      <c r="B2239" s="1"/>
      <c r="C2239" s="1"/>
      <c r="D2239" s="1"/>
      <c r="E2239" s="1"/>
      <c r="F2239" s="1"/>
      <c r="G2239" s="1"/>
      <c r="H2239" s="1"/>
      <c r="I2239" s="1"/>
      <c r="J2239" s="1"/>
      <c r="K2239" s="1"/>
      <c r="L2239" s="1"/>
      <c r="M2239" s="1"/>
      <c r="N2239" s="1"/>
      <c r="O2239" s="1"/>
      <c r="P2239" s="1"/>
      <c r="Q2239" s="1"/>
      <c r="R2239" s="1"/>
      <c r="S2239" s="1"/>
      <c r="T2239" s="1"/>
      <c r="U2239" s="1"/>
      <c r="V2239" s="1"/>
      <c r="W2239" s="1"/>
      <c r="X2239" s="1"/>
      <c r="Y2239" s="1"/>
      <c r="Z2239" s="1"/>
      <c r="AA2239" s="1"/>
      <c r="AB2239" s="1"/>
      <c r="AC2239" s="1"/>
      <c r="AD2239" s="1"/>
      <c r="AE2239" s="1"/>
      <c r="AF2239" s="1"/>
      <c r="AG2239" s="1"/>
      <c r="AH2239" s="1"/>
    </row>
    <row r="2240" spans="1:34" ht="12.5">
      <c r="A2240" s="1"/>
      <c r="B2240" s="1"/>
      <c r="C2240" s="1"/>
      <c r="D2240" s="1"/>
      <c r="E2240" s="1"/>
      <c r="F2240" s="1"/>
      <c r="G2240" s="1"/>
      <c r="H2240" s="1"/>
      <c r="I2240" s="1"/>
      <c r="J2240" s="1"/>
      <c r="K2240" s="1"/>
      <c r="L2240" s="1"/>
      <c r="M2240" s="1"/>
      <c r="N2240" s="1"/>
      <c r="O2240" s="1"/>
      <c r="P2240" s="1"/>
      <c r="Q2240" s="1"/>
      <c r="R2240" s="1"/>
      <c r="S2240" s="1"/>
      <c r="T2240" s="1"/>
      <c r="U2240" s="1"/>
      <c r="V2240" s="1"/>
      <c r="W2240" s="1"/>
      <c r="X2240" s="1"/>
      <c r="Y2240" s="1"/>
      <c r="Z2240" s="1"/>
      <c r="AA2240" s="1"/>
      <c r="AB2240" s="1"/>
      <c r="AC2240" s="1"/>
      <c r="AD2240" s="1"/>
      <c r="AE2240" s="1"/>
      <c r="AF2240" s="1"/>
      <c r="AG2240" s="1"/>
      <c r="AH2240" s="1"/>
    </row>
    <row r="2241" spans="1:34" ht="12.5">
      <c r="A2241" s="1"/>
      <c r="B2241" s="1"/>
      <c r="C2241" s="1"/>
      <c r="D2241" s="1"/>
      <c r="E2241" s="1"/>
      <c r="F2241" s="1"/>
      <c r="G2241" s="1"/>
      <c r="H2241" s="1"/>
      <c r="I2241" s="1"/>
      <c r="J2241" s="1"/>
      <c r="K2241" s="1"/>
      <c r="L2241" s="1"/>
      <c r="M2241" s="1"/>
      <c r="N2241" s="1"/>
      <c r="O2241" s="1"/>
      <c r="P2241" s="1"/>
      <c r="Q2241" s="1"/>
      <c r="R2241" s="1"/>
      <c r="S2241" s="1"/>
      <c r="T2241" s="1"/>
      <c r="U2241" s="1"/>
      <c r="V2241" s="1"/>
      <c r="W2241" s="1"/>
      <c r="X2241" s="1"/>
      <c r="Y2241" s="1"/>
      <c r="Z2241" s="1"/>
      <c r="AA2241" s="1"/>
      <c r="AB2241" s="1"/>
      <c r="AC2241" s="1"/>
      <c r="AD2241" s="1"/>
      <c r="AE2241" s="1"/>
      <c r="AF2241" s="1"/>
      <c r="AG2241" s="1"/>
      <c r="AH2241" s="1"/>
    </row>
    <row r="2242" spans="1:34" ht="12.5">
      <c r="A2242" s="1"/>
      <c r="B2242" s="1"/>
      <c r="C2242" s="1"/>
      <c r="D2242" s="1"/>
      <c r="E2242" s="1"/>
      <c r="F2242" s="1"/>
      <c r="G2242" s="1"/>
      <c r="H2242" s="1"/>
      <c r="I2242" s="1"/>
      <c r="J2242" s="1"/>
      <c r="K2242" s="1"/>
      <c r="L2242" s="1"/>
      <c r="M2242" s="1"/>
      <c r="N2242" s="1"/>
      <c r="O2242" s="1"/>
      <c r="P2242" s="1"/>
      <c r="Q2242" s="1"/>
      <c r="R2242" s="1"/>
      <c r="S2242" s="1"/>
      <c r="T2242" s="1"/>
      <c r="U2242" s="1"/>
      <c r="V2242" s="1"/>
      <c r="W2242" s="1"/>
      <c r="X2242" s="1"/>
      <c r="Y2242" s="1"/>
      <c r="Z2242" s="1"/>
      <c r="AA2242" s="1"/>
      <c r="AB2242" s="1"/>
      <c r="AC2242" s="1"/>
      <c r="AD2242" s="1"/>
      <c r="AE2242" s="1"/>
      <c r="AF2242" s="1"/>
      <c r="AG2242" s="1"/>
      <c r="AH2242" s="1"/>
    </row>
    <row r="2243" spans="1:34" ht="12.5">
      <c r="A2243" s="1"/>
      <c r="B2243" s="1"/>
      <c r="C2243" s="1"/>
      <c r="D2243" s="1"/>
      <c r="E2243" s="1"/>
      <c r="F2243" s="1"/>
      <c r="G2243" s="1"/>
      <c r="H2243" s="1"/>
      <c r="I2243" s="1"/>
      <c r="J2243" s="1"/>
      <c r="K2243" s="1"/>
      <c r="L2243" s="1"/>
      <c r="M2243" s="1"/>
      <c r="N2243" s="1"/>
      <c r="O2243" s="1"/>
      <c r="P2243" s="1"/>
      <c r="Q2243" s="1"/>
      <c r="R2243" s="1"/>
      <c r="S2243" s="1"/>
      <c r="T2243" s="1"/>
      <c r="U2243" s="1"/>
      <c r="V2243" s="1"/>
      <c r="W2243" s="1"/>
      <c r="X2243" s="1"/>
      <c r="Y2243" s="1"/>
      <c r="Z2243" s="1"/>
      <c r="AA2243" s="1"/>
      <c r="AB2243" s="1"/>
      <c r="AC2243" s="1"/>
      <c r="AD2243" s="1"/>
      <c r="AE2243" s="1"/>
      <c r="AF2243" s="1"/>
      <c r="AG2243" s="1"/>
      <c r="AH2243" s="1"/>
    </row>
    <row r="2244" spans="1:34" ht="12.5">
      <c r="A2244" s="1"/>
      <c r="B2244" s="1"/>
      <c r="C2244" s="1"/>
      <c r="D2244" s="1"/>
      <c r="E2244" s="1"/>
      <c r="F2244" s="1"/>
      <c r="G2244" s="1"/>
      <c r="H2244" s="1"/>
      <c r="I2244" s="1"/>
      <c r="J2244" s="1"/>
      <c r="K2244" s="1"/>
      <c r="L2244" s="1"/>
      <c r="M2244" s="1"/>
      <c r="N2244" s="1"/>
      <c r="O2244" s="1"/>
      <c r="P2244" s="1"/>
      <c r="Q2244" s="1"/>
      <c r="R2244" s="1"/>
      <c r="S2244" s="1"/>
      <c r="T2244" s="1"/>
      <c r="U2244" s="1"/>
      <c r="V2244" s="1"/>
      <c r="W2244" s="1"/>
      <c r="X2244" s="1"/>
      <c r="Y2244" s="1"/>
      <c r="Z2244" s="1"/>
      <c r="AA2244" s="1"/>
      <c r="AB2244" s="1"/>
      <c r="AC2244" s="1"/>
      <c r="AD2244" s="1"/>
      <c r="AE2244" s="1"/>
      <c r="AF2244" s="1"/>
      <c r="AG2244" s="1"/>
      <c r="AH2244" s="1"/>
    </row>
    <row r="2245" spans="1:34" ht="12.5">
      <c r="A2245" s="1"/>
      <c r="B2245" s="1"/>
      <c r="C2245" s="1"/>
      <c r="D2245" s="1"/>
      <c r="E2245" s="1"/>
      <c r="F2245" s="1"/>
      <c r="G2245" s="1"/>
      <c r="H2245" s="1"/>
      <c r="I2245" s="1"/>
      <c r="J2245" s="1"/>
      <c r="K2245" s="1"/>
      <c r="L2245" s="1"/>
      <c r="M2245" s="1"/>
      <c r="N2245" s="1"/>
      <c r="O2245" s="1"/>
      <c r="P2245" s="1"/>
      <c r="Q2245" s="1"/>
      <c r="R2245" s="1"/>
      <c r="S2245" s="1"/>
      <c r="T2245" s="1"/>
      <c r="U2245" s="1"/>
      <c r="V2245" s="1"/>
      <c r="W2245" s="1"/>
      <c r="X2245" s="1"/>
      <c r="Y2245" s="1"/>
      <c r="Z2245" s="1"/>
      <c r="AA2245" s="1"/>
      <c r="AB2245" s="1"/>
      <c r="AC2245" s="1"/>
      <c r="AD2245" s="1"/>
      <c r="AE2245" s="1"/>
      <c r="AF2245" s="1"/>
      <c r="AG2245" s="1"/>
      <c r="AH2245" s="1"/>
    </row>
    <row r="2246" spans="1:34" ht="12.5">
      <c r="A2246" s="1"/>
      <c r="B2246" s="1"/>
      <c r="C2246" s="1"/>
      <c r="D2246" s="1"/>
      <c r="E2246" s="1"/>
      <c r="F2246" s="1"/>
      <c r="G2246" s="1"/>
      <c r="H2246" s="1"/>
      <c r="I2246" s="1"/>
      <c r="J2246" s="1"/>
      <c r="K2246" s="1"/>
      <c r="L2246" s="1"/>
      <c r="M2246" s="1"/>
      <c r="N2246" s="1"/>
      <c r="O2246" s="1"/>
      <c r="P2246" s="1"/>
      <c r="Q2246" s="1"/>
      <c r="R2246" s="1"/>
      <c r="S2246" s="1"/>
      <c r="T2246" s="1"/>
      <c r="U2246" s="1"/>
      <c r="V2246" s="1"/>
      <c r="W2246" s="1"/>
      <c r="X2246" s="1"/>
      <c r="Y2246" s="1"/>
      <c r="Z2246" s="1"/>
      <c r="AA2246" s="1"/>
      <c r="AB2246" s="1"/>
      <c r="AC2246" s="1"/>
      <c r="AD2246" s="1"/>
      <c r="AE2246" s="1"/>
      <c r="AF2246" s="1"/>
      <c r="AG2246" s="1"/>
      <c r="AH2246" s="1"/>
    </row>
    <row r="2247" spans="1:34" ht="12.5">
      <c r="A2247" s="1"/>
      <c r="B2247" s="1"/>
      <c r="C2247" s="1"/>
      <c r="D2247" s="1"/>
      <c r="E2247" s="1"/>
      <c r="F2247" s="1"/>
      <c r="G2247" s="1"/>
      <c r="H2247" s="1"/>
      <c r="I2247" s="1"/>
      <c r="J2247" s="1"/>
      <c r="K2247" s="1"/>
      <c r="L2247" s="1"/>
      <c r="M2247" s="1"/>
      <c r="N2247" s="1"/>
      <c r="O2247" s="1"/>
      <c r="P2247" s="1"/>
      <c r="Q2247" s="1"/>
      <c r="R2247" s="1"/>
      <c r="S2247" s="1"/>
      <c r="T2247" s="1"/>
      <c r="U2247" s="1"/>
      <c r="V2247" s="1"/>
      <c r="W2247" s="1"/>
      <c r="X2247" s="1"/>
      <c r="Y2247" s="1"/>
      <c r="Z2247" s="1"/>
      <c r="AA2247" s="1"/>
      <c r="AB2247" s="1"/>
      <c r="AC2247" s="1"/>
      <c r="AD2247" s="1"/>
      <c r="AE2247" s="1"/>
      <c r="AF2247" s="1"/>
      <c r="AG2247" s="1"/>
      <c r="AH2247" s="1"/>
    </row>
    <row r="2248" spans="1:34" ht="12.5">
      <c r="A2248" s="1"/>
      <c r="B2248" s="1"/>
      <c r="C2248" s="1"/>
      <c r="D2248" s="1"/>
      <c r="E2248" s="1"/>
      <c r="F2248" s="1"/>
      <c r="G2248" s="1"/>
      <c r="H2248" s="1"/>
      <c r="I2248" s="1"/>
      <c r="J2248" s="1"/>
      <c r="K2248" s="1"/>
      <c r="L2248" s="1"/>
      <c r="M2248" s="1"/>
      <c r="N2248" s="1"/>
      <c r="O2248" s="1"/>
      <c r="P2248" s="1"/>
      <c r="Q2248" s="1"/>
      <c r="R2248" s="1"/>
      <c r="S2248" s="1"/>
      <c r="T2248" s="1"/>
      <c r="U2248" s="1"/>
      <c r="V2248" s="1"/>
      <c r="W2248" s="1"/>
      <c r="X2248" s="1"/>
      <c r="Y2248" s="1"/>
      <c r="Z2248" s="1"/>
      <c r="AA2248" s="1"/>
      <c r="AB2248" s="1"/>
      <c r="AC2248" s="1"/>
      <c r="AD2248" s="1"/>
      <c r="AE2248" s="1"/>
      <c r="AF2248" s="1"/>
      <c r="AG2248" s="1"/>
      <c r="AH2248" s="1"/>
    </row>
    <row r="2249" spans="1:34" ht="12.5">
      <c r="A2249" s="1"/>
      <c r="B2249" s="1"/>
      <c r="C2249" s="1"/>
      <c r="D2249" s="1"/>
      <c r="E2249" s="1"/>
      <c r="F2249" s="1"/>
      <c r="G2249" s="1"/>
      <c r="H2249" s="1"/>
      <c r="I2249" s="1"/>
      <c r="J2249" s="1"/>
      <c r="K2249" s="1"/>
      <c r="L2249" s="1"/>
      <c r="M2249" s="1"/>
      <c r="N2249" s="1"/>
      <c r="O2249" s="1"/>
      <c r="P2249" s="1"/>
      <c r="Q2249" s="1"/>
      <c r="R2249" s="1"/>
      <c r="S2249" s="1"/>
      <c r="T2249" s="1"/>
      <c r="U2249" s="1"/>
      <c r="V2249" s="1"/>
      <c r="W2249" s="1"/>
      <c r="X2249" s="1"/>
      <c r="Y2249" s="1"/>
      <c r="Z2249" s="1"/>
      <c r="AA2249" s="1"/>
      <c r="AB2249" s="1"/>
      <c r="AC2249" s="1"/>
      <c r="AD2249" s="1"/>
      <c r="AE2249" s="1"/>
      <c r="AF2249" s="1"/>
      <c r="AG2249" s="1"/>
      <c r="AH2249" s="1"/>
    </row>
    <row r="2250" spans="1:34" ht="12.5">
      <c r="A2250" s="1"/>
      <c r="B2250" s="1"/>
      <c r="C2250" s="1"/>
      <c r="D2250" s="1"/>
      <c r="E2250" s="1"/>
      <c r="F2250" s="1"/>
      <c r="G2250" s="1"/>
      <c r="H2250" s="1"/>
      <c r="I2250" s="1"/>
      <c r="J2250" s="1"/>
      <c r="K2250" s="1"/>
      <c r="L2250" s="1"/>
      <c r="M2250" s="1"/>
      <c r="N2250" s="1"/>
      <c r="O2250" s="1"/>
      <c r="P2250" s="1"/>
      <c r="Q2250" s="1"/>
      <c r="R2250" s="1"/>
      <c r="S2250" s="1"/>
      <c r="T2250" s="1"/>
      <c r="U2250" s="1"/>
      <c r="V2250" s="1"/>
      <c r="W2250" s="1"/>
      <c r="X2250" s="1"/>
      <c r="Y2250" s="1"/>
      <c r="Z2250" s="1"/>
      <c r="AA2250" s="1"/>
      <c r="AB2250" s="1"/>
      <c r="AC2250" s="1"/>
      <c r="AD2250" s="1"/>
      <c r="AE2250" s="1"/>
      <c r="AF2250" s="1"/>
      <c r="AG2250" s="1"/>
      <c r="AH2250" s="1"/>
    </row>
    <row r="2251" spans="1:34" ht="12.5">
      <c r="A2251" s="1"/>
      <c r="B2251" s="1"/>
      <c r="C2251" s="1"/>
      <c r="D2251" s="1"/>
      <c r="E2251" s="1"/>
      <c r="F2251" s="1"/>
      <c r="G2251" s="1"/>
      <c r="H2251" s="1"/>
      <c r="I2251" s="1"/>
      <c r="J2251" s="1"/>
      <c r="K2251" s="1"/>
      <c r="L2251" s="1"/>
      <c r="M2251" s="1"/>
      <c r="N2251" s="1"/>
      <c r="O2251" s="1"/>
      <c r="P2251" s="1"/>
      <c r="Q2251" s="1"/>
      <c r="R2251" s="1"/>
      <c r="S2251" s="1"/>
      <c r="T2251" s="1"/>
      <c r="U2251" s="1"/>
      <c r="V2251" s="1"/>
      <c r="W2251" s="1"/>
      <c r="X2251" s="1"/>
      <c r="Y2251" s="1"/>
      <c r="Z2251" s="1"/>
      <c r="AA2251" s="1"/>
      <c r="AB2251" s="1"/>
      <c r="AC2251" s="1"/>
      <c r="AD2251" s="1"/>
      <c r="AE2251" s="1"/>
      <c r="AF2251" s="1"/>
      <c r="AG2251" s="1"/>
      <c r="AH2251" s="1"/>
    </row>
    <row r="2252" spans="1:34" ht="12.5">
      <c r="A2252" s="1"/>
      <c r="B2252" s="1"/>
      <c r="C2252" s="1"/>
      <c r="D2252" s="1"/>
      <c r="E2252" s="1"/>
      <c r="F2252" s="1"/>
      <c r="G2252" s="1"/>
      <c r="H2252" s="1"/>
      <c r="I2252" s="1"/>
      <c r="J2252" s="1"/>
      <c r="K2252" s="1"/>
      <c r="L2252" s="1"/>
      <c r="M2252" s="1"/>
      <c r="N2252" s="1"/>
      <c r="O2252" s="1"/>
      <c r="P2252" s="1"/>
      <c r="Q2252" s="1"/>
      <c r="R2252" s="1"/>
      <c r="S2252" s="1"/>
      <c r="T2252" s="1"/>
      <c r="U2252" s="1"/>
      <c r="V2252" s="1"/>
      <c r="W2252" s="1"/>
      <c r="X2252" s="1"/>
      <c r="Y2252" s="1"/>
      <c r="Z2252" s="1"/>
      <c r="AA2252" s="1"/>
      <c r="AB2252" s="1"/>
      <c r="AC2252" s="1"/>
      <c r="AD2252" s="1"/>
      <c r="AE2252" s="1"/>
      <c r="AF2252" s="1"/>
      <c r="AG2252" s="1"/>
      <c r="AH2252" s="1"/>
    </row>
    <row r="2253" spans="1:34" ht="12.5">
      <c r="A2253" s="1"/>
      <c r="B2253" s="1"/>
      <c r="C2253" s="1"/>
      <c r="D2253" s="1"/>
      <c r="E2253" s="1"/>
      <c r="F2253" s="1"/>
      <c r="G2253" s="1"/>
      <c r="H2253" s="1"/>
      <c r="I2253" s="1"/>
      <c r="J2253" s="1"/>
      <c r="K2253" s="1"/>
      <c r="L2253" s="1"/>
      <c r="M2253" s="1"/>
      <c r="N2253" s="1"/>
      <c r="O2253" s="1"/>
      <c r="P2253" s="1"/>
      <c r="Q2253" s="1"/>
      <c r="R2253" s="1"/>
      <c r="S2253" s="1"/>
      <c r="T2253" s="1"/>
      <c r="U2253" s="1"/>
      <c r="V2253" s="1"/>
      <c r="W2253" s="1"/>
      <c r="X2253" s="1"/>
      <c r="Y2253" s="1"/>
      <c r="Z2253" s="1"/>
      <c r="AA2253" s="1"/>
      <c r="AB2253" s="1"/>
      <c r="AC2253" s="1"/>
      <c r="AD2253" s="1"/>
      <c r="AE2253" s="1"/>
      <c r="AF2253" s="1"/>
      <c r="AG2253" s="1"/>
      <c r="AH2253" s="1"/>
    </row>
    <row r="2254" spans="1:34" ht="12.5">
      <c r="A2254" s="1"/>
      <c r="B2254" s="1"/>
      <c r="C2254" s="1"/>
      <c r="D2254" s="1"/>
      <c r="E2254" s="1"/>
      <c r="F2254" s="1"/>
      <c r="G2254" s="1"/>
      <c r="H2254" s="1"/>
      <c r="I2254" s="1"/>
      <c r="J2254" s="1"/>
      <c r="K2254" s="1"/>
      <c r="L2254" s="1"/>
      <c r="M2254" s="1"/>
      <c r="N2254" s="1"/>
      <c r="O2254" s="1"/>
      <c r="P2254" s="1"/>
      <c r="Q2254" s="1"/>
      <c r="R2254" s="1"/>
      <c r="S2254" s="1"/>
      <c r="T2254" s="1"/>
      <c r="U2254" s="1"/>
      <c r="V2254" s="1"/>
      <c r="W2254" s="1"/>
      <c r="X2254" s="1"/>
      <c r="Y2254" s="1"/>
      <c r="Z2254" s="1"/>
      <c r="AA2254" s="1"/>
      <c r="AB2254" s="1"/>
      <c r="AC2254" s="1"/>
      <c r="AD2254" s="1"/>
      <c r="AE2254" s="1"/>
      <c r="AF2254" s="1"/>
      <c r="AG2254" s="1"/>
      <c r="AH2254" s="1"/>
    </row>
    <row r="2255" spans="1:34" ht="12.5">
      <c r="A2255" s="1"/>
      <c r="B2255" s="1"/>
      <c r="C2255" s="1"/>
      <c r="D2255" s="1"/>
      <c r="E2255" s="1"/>
      <c r="F2255" s="1"/>
      <c r="G2255" s="1"/>
      <c r="H2255" s="1"/>
      <c r="I2255" s="1"/>
      <c r="J2255" s="1"/>
      <c r="K2255" s="1"/>
      <c r="L2255" s="1"/>
      <c r="M2255" s="1"/>
      <c r="N2255" s="1"/>
      <c r="O2255" s="1"/>
      <c r="P2255" s="1"/>
      <c r="Q2255" s="1"/>
      <c r="R2255" s="1"/>
      <c r="S2255" s="1"/>
      <c r="T2255" s="1"/>
      <c r="U2255" s="1"/>
      <c r="V2255" s="1"/>
      <c r="W2255" s="1"/>
      <c r="X2255" s="1"/>
      <c r="Y2255" s="1"/>
      <c r="Z2255" s="1"/>
      <c r="AA2255" s="1"/>
      <c r="AB2255" s="1"/>
      <c r="AC2255" s="1"/>
      <c r="AD2255" s="1"/>
      <c r="AE2255" s="1"/>
      <c r="AF2255" s="1"/>
      <c r="AG2255" s="1"/>
      <c r="AH2255" s="1"/>
    </row>
    <row r="2256" spans="1:34" ht="12.5">
      <c r="A2256" s="1"/>
      <c r="B2256" s="1"/>
      <c r="C2256" s="1"/>
      <c r="D2256" s="1"/>
      <c r="E2256" s="1"/>
      <c r="F2256" s="1"/>
      <c r="G2256" s="1"/>
      <c r="H2256" s="1"/>
      <c r="I2256" s="1"/>
      <c r="J2256" s="1"/>
      <c r="K2256" s="1"/>
      <c r="L2256" s="1"/>
      <c r="M2256" s="1"/>
      <c r="N2256" s="1"/>
      <c r="O2256" s="1"/>
      <c r="P2256" s="1"/>
      <c r="Q2256" s="1"/>
      <c r="R2256" s="1"/>
      <c r="S2256" s="1"/>
      <c r="T2256" s="1"/>
      <c r="U2256" s="1"/>
      <c r="V2256" s="1"/>
      <c r="W2256" s="1"/>
      <c r="X2256" s="1"/>
      <c r="Y2256" s="1"/>
      <c r="Z2256" s="1"/>
      <c r="AA2256" s="1"/>
      <c r="AB2256" s="1"/>
      <c r="AC2256" s="1"/>
      <c r="AD2256" s="1"/>
      <c r="AE2256" s="1"/>
      <c r="AF2256" s="1"/>
      <c r="AG2256" s="1"/>
      <c r="AH2256" s="1"/>
    </row>
    <row r="2257" spans="1:34" ht="12.5">
      <c r="A2257" s="1"/>
      <c r="B2257" s="1"/>
      <c r="C2257" s="1"/>
      <c r="D2257" s="1"/>
      <c r="E2257" s="1"/>
      <c r="F2257" s="1"/>
      <c r="G2257" s="1"/>
      <c r="H2257" s="1"/>
      <c r="I2257" s="1"/>
      <c r="J2257" s="1"/>
      <c r="K2257" s="1"/>
      <c r="L2257" s="1"/>
      <c r="M2257" s="1"/>
      <c r="N2257" s="1"/>
      <c r="O2257" s="1"/>
      <c r="P2257" s="1"/>
      <c r="Q2257" s="1"/>
      <c r="R2257" s="1"/>
      <c r="S2257" s="1"/>
      <c r="T2257" s="1"/>
      <c r="U2257" s="1"/>
      <c r="V2257" s="1"/>
      <c r="W2257" s="1"/>
      <c r="X2257" s="1"/>
      <c r="Y2257" s="1"/>
      <c r="Z2257" s="1"/>
      <c r="AA2257" s="1"/>
      <c r="AB2257" s="1"/>
      <c r="AC2257" s="1"/>
      <c r="AD2257" s="1"/>
      <c r="AE2257" s="1"/>
      <c r="AF2257" s="1"/>
      <c r="AG2257" s="1"/>
      <c r="AH2257" s="1"/>
    </row>
    <row r="2258" spans="1:34" ht="12.5">
      <c r="A2258" s="1"/>
      <c r="B2258" s="1"/>
      <c r="C2258" s="1"/>
      <c r="D2258" s="1"/>
      <c r="E2258" s="1"/>
      <c r="F2258" s="1"/>
      <c r="G2258" s="1"/>
      <c r="H2258" s="1"/>
      <c r="I2258" s="1"/>
      <c r="J2258" s="1"/>
      <c r="K2258" s="1"/>
      <c r="L2258" s="1"/>
      <c r="M2258" s="1"/>
      <c r="N2258" s="1"/>
      <c r="O2258" s="1"/>
      <c r="P2258" s="1"/>
      <c r="Q2258" s="1"/>
      <c r="R2258" s="1"/>
      <c r="S2258" s="1"/>
      <c r="T2258" s="1"/>
      <c r="U2258" s="1"/>
      <c r="V2258" s="1"/>
      <c r="W2258" s="1"/>
      <c r="X2258" s="1"/>
      <c r="Y2258" s="1"/>
      <c r="Z2258" s="1"/>
      <c r="AA2258" s="1"/>
      <c r="AB2258" s="1"/>
      <c r="AC2258" s="1"/>
      <c r="AD2258" s="1"/>
      <c r="AE2258" s="1"/>
      <c r="AF2258" s="1"/>
      <c r="AG2258" s="1"/>
      <c r="AH2258" s="1"/>
    </row>
    <row r="2259" spans="1:34" ht="12.5">
      <c r="A2259" s="1"/>
      <c r="B2259" s="1"/>
      <c r="C2259" s="1"/>
      <c r="D2259" s="1"/>
      <c r="E2259" s="1"/>
      <c r="F2259" s="1"/>
      <c r="G2259" s="1"/>
      <c r="H2259" s="1"/>
      <c r="I2259" s="1"/>
      <c r="J2259" s="1"/>
      <c r="K2259" s="1"/>
      <c r="L2259" s="1"/>
      <c r="M2259" s="1"/>
      <c r="N2259" s="1"/>
      <c r="O2259" s="1"/>
      <c r="P2259" s="1"/>
      <c r="Q2259" s="1"/>
      <c r="R2259" s="1"/>
      <c r="S2259" s="1"/>
      <c r="T2259" s="1"/>
      <c r="U2259" s="1"/>
      <c r="V2259" s="1"/>
      <c r="W2259" s="1"/>
      <c r="X2259" s="1"/>
      <c r="Y2259" s="1"/>
      <c r="Z2259" s="1"/>
      <c r="AA2259" s="1"/>
      <c r="AB2259" s="1"/>
      <c r="AC2259" s="1"/>
      <c r="AD2259" s="1"/>
      <c r="AE2259" s="1"/>
      <c r="AF2259" s="1"/>
      <c r="AG2259" s="1"/>
      <c r="AH2259" s="1"/>
    </row>
    <row r="2260" spans="1:34" ht="12.5">
      <c r="A2260" s="1"/>
      <c r="B2260" s="1"/>
      <c r="C2260" s="1"/>
      <c r="D2260" s="1"/>
      <c r="E2260" s="1"/>
      <c r="F2260" s="1"/>
      <c r="G2260" s="1"/>
      <c r="H2260" s="1"/>
      <c r="I2260" s="1"/>
      <c r="J2260" s="1"/>
      <c r="K2260" s="1"/>
      <c r="L2260" s="1"/>
      <c r="M2260" s="1"/>
      <c r="N2260" s="1"/>
      <c r="O2260" s="1"/>
      <c r="P2260" s="1"/>
      <c r="Q2260" s="1"/>
      <c r="R2260" s="1"/>
      <c r="S2260" s="1"/>
      <c r="T2260" s="1"/>
      <c r="U2260" s="1"/>
      <c r="V2260" s="1"/>
      <c r="W2260" s="1"/>
      <c r="X2260" s="1"/>
      <c r="Y2260" s="1"/>
      <c r="Z2260" s="1"/>
      <c r="AA2260" s="1"/>
      <c r="AB2260" s="1"/>
      <c r="AC2260" s="1"/>
      <c r="AD2260" s="1"/>
      <c r="AE2260" s="1"/>
      <c r="AF2260" s="1"/>
      <c r="AG2260" s="1"/>
      <c r="AH2260" s="1"/>
    </row>
    <row r="2261" spans="1:34" ht="12.5">
      <c r="A2261" s="1"/>
      <c r="B2261" s="1"/>
      <c r="C2261" s="1"/>
      <c r="D2261" s="1"/>
      <c r="E2261" s="1"/>
      <c r="F2261" s="1"/>
      <c r="G2261" s="1"/>
      <c r="H2261" s="1"/>
      <c r="I2261" s="1"/>
      <c r="J2261" s="1"/>
      <c r="K2261" s="1"/>
      <c r="L2261" s="1"/>
      <c r="M2261" s="1"/>
      <c r="N2261" s="1"/>
      <c r="O2261" s="1"/>
      <c r="P2261" s="1"/>
      <c r="Q2261" s="1"/>
      <c r="R2261" s="1"/>
      <c r="S2261" s="1"/>
      <c r="T2261" s="1"/>
      <c r="U2261" s="1"/>
      <c r="V2261" s="1"/>
      <c r="W2261" s="1"/>
      <c r="X2261" s="1"/>
      <c r="Y2261" s="1"/>
      <c r="Z2261" s="1"/>
      <c r="AA2261" s="1"/>
      <c r="AB2261" s="1"/>
      <c r="AC2261" s="1"/>
      <c r="AD2261" s="1"/>
      <c r="AE2261" s="1"/>
      <c r="AF2261" s="1"/>
      <c r="AG2261" s="1"/>
      <c r="AH2261" s="1"/>
    </row>
    <row r="2262" spans="1:34" ht="12.5">
      <c r="A2262" s="1"/>
      <c r="B2262" s="1"/>
      <c r="C2262" s="1"/>
      <c r="D2262" s="1"/>
      <c r="E2262" s="1"/>
      <c r="F2262" s="1"/>
      <c r="G2262" s="1"/>
      <c r="H2262" s="1"/>
      <c r="I2262" s="1"/>
      <c r="J2262" s="1"/>
      <c r="K2262" s="1"/>
      <c r="L2262" s="1"/>
      <c r="M2262" s="1"/>
      <c r="N2262" s="1"/>
      <c r="O2262" s="1"/>
      <c r="P2262" s="1"/>
      <c r="Q2262" s="1"/>
      <c r="R2262" s="1"/>
      <c r="S2262" s="1"/>
      <c r="T2262" s="1"/>
      <c r="U2262" s="1"/>
      <c r="V2262" s="1"/>
      <c r="W2262" s="1"/>
      <c r="X2262" s="1"/>
      <c r="Y2262" s="1"/>
      <c r="Z2262" s="1"/>
      <c r="AA2262" s="1"/>
      <c r="AB2262" s="1"/>
      <c r="AC2262" s="1"/>
      <c r="AD2262" s="1"/>
      <c r="AE2262" s="1"/>
      <c r="AF2262" s="1"/>
      <c r="AG2262" s="1"/>
      <c r="AH2262" s="1"/>
    </row>
    <row r="2263" spans="1:34" ht="12.5">
      <c r="A2263" s="1"/>
      <c r="B2263" s="1"/>
      <c r="C2263" s="1"/>
      <c r="D2263" s="1"/>
      <c r="E2263" s="1"/>
      <c r="F2263" s="1"/>
      <c r="G2263" s="1"/>
      <c r="H2263" s="1"/>
      <c r="I2263" s="1"/>
      <c r="J2263" s="1"/>
      <c r="K2263" s="1"/>
      <c r="L2263" s="1"/>
      <c r="M2263" s="1"/>
      <c r="N2263" s="1"/>
      <c r="O2263" s="1"/>
      <c r="P2263" s="1"/>
      <c r="Q2263" s="1"/>
      <c r="R2263" s="1"/>
      <c r="S2263" s="1"/>
      <c r="T2263" s="1"/>
      <c r="U2263" s="1"/>
      <c r="V2263" s="1"/>
      <c r="W2263" s="1"/>
      <c r="X2263" s="1"/>
      <c r="Y2263" s="1"/>
      <c r="Z2263" s="1"/>
      <c r="AA2263" s="1"/>
      <c r="AB2263" s="1"/>
      <c r="AC2263" s="1"/>
      <c r="AD2263" s="1"/>
      <c r="AE2263" s="1"/>
      <c r="AF2263" s="1"/>
      <c r="AG2263" s="1"/>
      <c r="AH2263" s="1"/>
    </row>
    <row r="2264" spans="1:34" ht="12.5">
      <c r="A2264" s="1"/>
      <c r="B2264" s="1"/>
      <c r="C2264" s="1"/>
      <c r="D2264" s="1"/>
      <c r="E2264" s="1"/>
      <c r="F2264" s="1"/>
      <c r="G2264" s="1"/>
      <c r="H2264" s="1"/>
      <c r="I2264" s="1"/>
      <c r="J2264" s="1"/>
      <c r="K2264" s="1"/>
      <c r="L2264" s="1"/>
      <c r="M2264" s="1"/>
      <c r="N2264" s="1"/>
      <c r="O2264" s="1"/>
      <c r="P2264" s="1"/>
      <c r="Q2264" s="1"/>
      <c r="R2264" s="1"/>
      <c r="S2264" s="1"/>
      <c r="T2264" s="1"/>
      <c r="U2264" s="1"/>
      <c r="V2264" s="1"/>
      <c r="W2264" s="1"/>
      <c r="X2264" s="1"/>
      <c r="Y2264" s="1"/>
      <c r="Z2264" s="1"/>
      <c r="AA2264" s="1"/>
      <c r="AB2264" s="1"/>
      <c r="AC2264" s="1"/>
      <c r="AD2264" s="1"/>
      <c r="AE2264" s="1"/>
      <c r="AF2264" s="1"/>
      <c r="AG2264" s="1"/>
      <c r="AH2264" s="1"/>
    </row>
    <row r="2265" spans="1:34" ht="12.5">
      <c r="A2265" s="1"/>
      <c r="B2265" s="1"/>
      <c r="C2265" s="1"/>
      <c r="D2265" s="1"/>
      <c r="E2265" s="1"/>
      <c r="F2265" s="1"/>
      <c r="G2265" s="1"/>
      <c r="H2265" s="1"/>
      <c r="I2265" s="1"/>
      <c r="J2265" s="1"/>
      <c r="K2265" s="1"/>
      <c r="L2265" s="1"/>
      <c r="M2265" s="1"/>
      <c r="N2265" s="1"/>
      <c r="O2265" s="1"/>
      <c r="P2265" s="1"/>
      <c r="Q2265" s="1"/>
      <c r="R2265" s="1"/>
      <c r="S2265" s="1"/>
      <c r="T2265" s="1"/>
      <c r="U2265" s="1"/>
      <c r="V2265" s="1"/>
      <c r="W2265" s="1"/>
      <c r="X2265" s="1"/>
      <c r="Y2265" s="1"/>
      <c r="Z2265" s="1"/>
      <c r="AA2265" s="1"/>
      <c r="AB2265" s="1"/>
      <c r="AC2265" s="1"/>
      <c r="AD2265" s="1"/>
      <c r="AE2265" s="1"/>
      <c r="AF2265" s="1"/>
      <c r="AG2265" s="1"/>
      <c r="AH2265" s="1"/>
    </row>
    <row r="2266" spans="1:34" ht="12.5">
      <c r="A2266" s="1"/>
      <c r="B2266" s="1"/>
      <c r="C2266" s="1"/>
      <c r="D2266" s="1"/>
      <c r="E2266" s="1"/>
      <c r="F2266" s="1"/>
      <c r="G2266" s="1"/>
      <c r="H2266" s="1"/>
      <c r="I2266" s="1"/>
      <c r="J2266" s="1"/>
      <c r="K2266" s="1"/>
      <c r="L2266" s="1"/>
      <c r="M2266" s="1"/>
      <c r="N2266" s="1"/>
      <c r="O2266" s="1"/>
      <c r="P2266" s="1"/>
      <c r="Q2266" s="1"/>
      <c r="R2266" s="1"/>
      <c r="S2266" s="1"/>
      <c r="T2266" s="1"/>
      <c r="U2266" s="1"/>
      <c r="V2266" s="1"/>
      <c r="W2266" s="1"/>
      <c r="X2266" s="1"/>
      <c r="Y2266" s="1"/>
      <c r="Z2266" s="1"/>
      <c r="AA2266" s="1"/>
      <c r="AB2266" s="1"/>
      <c r="AC2266" s="1"/>
      <c r="AD2266" s="1"/>
      <c r="AE2266" s="1"/>
      <c r="AF2266" s="1"/>
      <c r="AG2266" s="1"/>
      <c r="AH2266" s="1"/>
    </row>
    <row r="2267" spans="1:34" ht="12.5">
      <c r="A2267" s="1"/>
      <c r="B2267" s="1"/>
      <c r="C2267" s="1"/>
      <c r="D2267" s="1"/>
      <c r="E2267" s="1"/>
      <c r="F2267" s="1"/>
      <c r="G2267" s="1"/>
      <c r="H2267" s="1"/>
      <c r="I2267" s="1"/>
      <c r="J2267" s="1"/>
      <c r="K2267" s="1"/>
      <c r="L2267" s="1"/>
      <c r="M2267" s="1"/>
      <c r="N2267" s="1"/>
      <c r="O2267" s="1"/>
      <c r="P2267" s="1"/>
      <c r="Q2267" s="1"/>
      <c r="R2267" s="1"/>
      <c r="S2267" s="1"/>
      <c r="T2267" s="1"/>
      <c r="U2267" s="1"/>
      <c r="V2267" s="1"/>
      <c r="W2267" s="1"/>
      <c r="X2267" s="1"/>
      <c r="Y2267" s="1"/>
      <c r="Z2267" s="1"/>
      <c r="AA2267" s="1"/>
      <c r="AB2267" s="1"/>
      <c r="AC2267" s="1"/>
      <c r="AD2267" s="1"/>
      <c r="AE2267" s="1"/>
      <c r="AF2267" s="1"/>
      <c r="AG2267" s="1"/>
      <c r="AH2267" s="1"/>
    </row>
    <row r="2268" spans="1:34" ht="12.5">
      <c r="A2268" s="1"/>
      <c r="B2268" s="1"/>
      <c r="C2268" s="1"/>
      <c r="D2268" s="1"/>
      <c r="E2268" s="1"/>
      <c r="F2268" s="1"/>
      <c r="G2268" s="1"/>
      <c r="H2268" s="1"/>
      <c r="I2268" s="1"/>
      <c r="J2268" s="1"/>
      <c r="K2268" s="1"/>
      <c r="L2268" s="1"/>
      <c r="M2268" s="1"/>
      <c r="N2268" s="1"/>
      <c r="O2268" s="1"/>
      <c r="P2268" s="1"/>
      <c r="Q2268" s="1"/>
      <c r="R2268" s="1"/>
      <c r="S2268" s="1"/>
      <c r="T2268" s="1"/>
      <c r="U2268" s="1"/>
      <c r="V2268" s="1"/>
      <c r="W2268" s="1"/>
      <c r="X2268" s="1"/>
      <c r="Y2268" s="1"/>
      <c r="Z2268" s="1"/>
      <c r="AA2268" s="1"/>
      <c r="AB2268" s="1"/>
      <c r="AC2268" s="1"/>
      <c r="AD2268" s="1"/>
      <c r="AE2268" s="1"/>
      <c r="AF2268" s="1"/>
      <c r="AG2268" s="1"/>
      <c r="AH2268" s="1"/>
    </row>
    <row r="2269" spans="1:34" ht="12.5">
      <c r="A2269" s="1"/>
      <c r="B2269" s="1"/>
      <c r="C2269" s="1"/>
      <c r="D2269" s="1"/>
      <c r="E2269" s="1"/>
      <c r="F2269" s="1"/>
      <c r="G2269" s="1"/>
      <c r="H2269" s="1"/>
      <c r="I2269" s="1"/>
      <c r="J2269" s="1"/>
      <c r="K2269" s="1"/>
      <c r="L2269" s="1"/>
      <c r="M2269" s="1"/>
      <c r="N2269" s="1"/>
      <c r="O2269" s="1"/>
      <c r="P2269" s="1"/>
      <c r="Q2269" s="1"/>
      <c r="R2269" s="1"/>
      <c r="S2269" s="1"/>
      <c r="T2269" s="1"/>
      <c r="U2269" s="1"/>
      <c r="V2269" s="1"/>
      <c r="W2269" s="1"/>
      <c r="X2269" s="1"/>
      <c r="Y2269" s="1"/>
      <c r="Z2269" s="1"/>
      <c r="AA2269" s="1"/>
      <c r="AB2269" s="1"/>
      <c r="AC2269" s="1"/>
      <c r="AD2269" s="1"/>
      <c r="AE2269" s="1"/>
      <c r="AF2269" s="1"/>
      <c r="AG2269" s="1"/>
      <c r="AH2269" s="1"/>
    </row>
    <row r="2270" spans="1:34" ht="12.5">
      <c r="A2270" s="1"/>
      <c r="B2270" s="1"/>
      <c r="C2270" s="1"/>
      <c r="D2270" s="1"/>
      <c r="E2270" s="1"/>
      <c r="F2270" s="1"/>
      <c r="G2270" s="1"/>
      <c r="H2270" s="1"/>
      <c r="I2270" s="1"/>
      <c r="J2270" s="1"/>
      <c r="K2270" s="1"/>
      <c r="L2270" s="1"/>
      <c r="M2270" s="1"/>
      <c r="N2270" s="1"/>
      <c r="O2270" s="1"/>
      <c r="P2270" s="1"/>
      <c r="Q2270" s="1"/>
      <c r="R2270" s="1"/>
      <c r="S2270" s="1"/>
      <c r="T2270" s="1"/>
      <c r="U2270" s="1"/>
      <c r="V2270" s="1"/>
      <c r="W2270" s="1"/>
      <c r="X2270" s="1"/>
      <c r="Y2270" s="1"/>
      <c r="Z2270" s="1"/>
      <c r="AA2270" s="1"/>
      <c r="AB2270" s="1"/>
      <c r="AC2270" s="1"/>
      <c r="AD2270" s="1"/>
      <c r="AE2270" s="1"/>
      <c r="AF2270" s="1"/>
      <c r="AG2270" s="1"/>
      <c r="AH2270" s="1"/>
    </row>
    <row r="2271" spans="1:34" ht="12.5">
      <c r="A2271" s="1"/>
      <c r="B2271" s="1"/>
      <c r="C2271" s="1"/>
      <c r="D2271" s="1"/>
      <c r="E2271" s="1"/>
      <c r="F2271" s="1"/>
      <c r="G2271" s="1"/>
      <c r="H2271" s="1"/>
      <c r="I2271" s="1"/>
      <c r="J2271" s="1"/>
      <c r="K2271" s="1"/>
      <c r="L2271" s="1"/>
      <c r="M2271" s="1"/>
      <c r="N2271" s="1"/>
      <c r="O2271" s="1"/>
      <c r="P2271" s="1"/>
      <c r="Q2271" s="1"/>
      <c r="R2271" s="1"/>
      <c r="S2271" s="1"/>
      <c r="T2271" s="1"/>
      <c r="U2271" s="1"/>
      <c r="V2271" s="1"/>
      <c r="W2271" s="1"/>
      <c r="X2271" s="1"/>
      <c r="Y2271" s="1"/>
      <c r="Z2271" s="1"/>
      <c r="AA2271" s="1"/>
      <c r="AB2271" s="1"/>
      <c r="AC2271" s="1"/>
      <c r="AD2271" s="1"/>
      <c r="AE2271" s="1"/>
      <c r="AF2271" s="1"/>
      <c r="AG2271" s="1"/>
      <c r="AH2271" s="1"/>
    </row>
    <row r="2272" spans="1:34" ht="12.5">
      <c r="A2272" s="1"/>
      <c r="B2272" s="1"/>
      <c r="C2272" s="1"/>
      <c r="D2272" s="1"/>
      <c r="E2272" s="1"/>
      <c r="F2272" s="1"/>
      <c r="G2272" s="1"/>
      <c r="H2272" s="1"/>
      <c r="I2272" s="1"/>
      <c r="J2272" s="1"/>
      <c r="K2272" s="1"/>
      <c r="L2272" s="1"/>
      <c r="M2272" s="1"/>
      <c r="N2272" s="1"/>
      <c r="O2272" s="1"/>
      <c r="P2272" s="1"/>
      <c r="Q2272" s="1"/>
      <c r="R2272" s="1"/>
      <c r="S2272" s="1"/>
      <c r="T2272" s="1"/>
      <c r="U2272" s="1"/>
      <c r="V2272" s="1"/>
      <c r="W2272" s="1"/>
      <c r="X2272" s="1"/>
      <c r="Y2272" s="1"/>
      <c r="Z2272" s="1"/>
      <c r="AA2272" s="1"/>
      <c r="AB2272" s="1"/>
      <c r="AC2272" s="1"/>
      <c r="AD2272" s="1"/>
      <c r="AE2272" s="1"/>
      <c r="AF2272" s="1"/>
      <c r="AG2272" s="1"/>
      <c r="AH2272" s="1"/>
    </row>
    <row r="2273" spans="1:34" ht="12.5">
      <c r="A2273" s="1"/>
      <c r="B2273" s="1"/>
      <c r="C2273" s="1"/>
      <c r="D2273" s="1"/>
      <c r="E2273" s="1"/>
      <c r="F2273" s="1"/>
      <c r="G2273" s="1"/>
      <c r="H2273" s="1"/>
      <c r="I2273" s="1"/>
      <c r="J2273" s="1"/>
      <c r="K2273" s="1"/>
      <c r="L2273" s="1"/>
      <c r="M2273" s="1"/>
      <c r="N2273" s="1"/>
      <c r="O2273" s="1"/>
      <c r="P2273" s="1"/>
      <c r="Q2273" s="1"/>
      <c r="R2273" s="1"/>
      <c r="S2273" s="1"/>
      <c r="T2273" s="1"/>
      <c r="U2273" s="1"/>
      <c r="V2273" s="1"/>
      <c r="W2273" s="1"/>
      <c r="X2273" s="1"/>
      <c r="Y2273" s="1"/>
      <c r="Z2273" s="1"/>
      <c r="AA2273" s="1"/>
      <c r="AB2273" s="1"/>
      <c r="AC2273" s="1"/>
      <c r="AD2273" s="1"/>
      <c r="AE2273" s="1"/>
      <c r="AF2273" s="1"/>
      <c r="AG2273" s="1"/>
      <c r="AH2273" s="1"/>
    </row>
    <row r="2274" spans="1:34" ht="12.5">
      <c r="A2274" s="1"/>
      <c r="B2274" s="1"/>
      <c r="C2274" s="1"/>
      <c r="D2274" s="1"/>
      <c r="E2274" s="1"/>
      <c r="F2274" s="1"/>
      <c r="G2274" s="1"/>
      <c r="H2274" s="1"/>
      <c r="I2274" s="1"/>
      <c r="J2274" s="1"/>
      <c r="K2274" s="1"/>
      <c r="L2274" s="1"/>
      <c r="M2274" s="1"/>
      <c r="N2274" s="1"/>
      <c r="O2274" s="1"/>
      <c r="P2274" s="1"/>
      <c r="Q2274" s="1"/>
      <c r="R2274" s="1"/>
      <c r="S2274" s="1"/>
      <c r="T2274" s="1"/>
      <c r="U2274" s="1"/>
      <c r="V2274" s="1"/>
      <c r="W2274" s="1"/>
      <c r="X2274" s="1"/>
      <c r="Y2274" s="1"/>
      <c r="Z2274" s="1"/>
      <c r="AA2274" s="1"/>
      <c r="AB2274" s="1"/>
      <c r="AC2274" s="1"/>
      <c r="AD2274" s="1"/>
      <c r="AE2274" s="1"/>
      <c r="AF2274" s="1"/>
      <c r="AG2274" s="1"/>
      <c r="AH2274" s="1"/>
    </row>
    <row r="2275" spans="1:34" ht="12.5">
      <c r="A2275" s="1"/>
      <c r="B2275" s="1"/>
      <c r="C2275" s="1"/>
      <c r="D2275" s="1"/>
      <c r="E2275" s="1"/>
      <c r="F2275" s="1"/>
      <c r="G2275" s="1"/>
      <c r="H2275" s="1"/>
      <c r="I2275" s="1"/>
      <c r="J2275" s="1"/>
      <c r="K2275" s="1"/>
      <c r="L2275" s="1"/>
      <c r="M2275" s="1"/>
      <c r="N2275" s="1"/>
      <c r="O2275" s="1"/>
      <c r="P2275" s="1"/>
      <c r="Q2275" s="1"/>
      <c r="R2275" s="1"/>
      <c r="S2275" s="1"/>
      <c r="T2275" s="1"/>
      <c r="U2275" s="1"/>
      <c r="V2275" s="1"/>
      <c r="W2275" s="1"/>
      <c r="X2275" s="1"/>
      <c r="Y2275" s="1"/>
      <c r="Z2275" s="1"/>
      <c r="AA2275" s="1"/>
      <c r="AB2275" s="1"/>
      <c r="AC2275" s="1"/>
      <c r="AD2275" s="1"/>
      <c r="AE2275" s="1"/>
      <c r="AF2275" s="1"/>
      <c r="AG2275" s="1"/>
      <c r="AH2275" s="1"/>
    </row>
    <row r="2276" spans="1:34" ht="12.5">
      <c r="A2276" s="1"/>
      <c r="B2276" s="1"/>
      <c r="C2276" s="1"/>
      <c r="D2276" s="1"/>
      <c r="E2276" s="1"/>
      <c r="F2276" s="1"/>
      <c r="G2276" s="1"/>
      <c r="H2276" s="1"/>
      <c r="I2276" s="1"/>
      <c r="J2276" s="1"/>
      <c r="K2276" s="1"/>
      <c r="L2276" s="1"/>
      <c r="M2276" s="1"/>
      <c r="N2276" s="1"/>
      <c r="O2276" s="1"/>
      <c r="P2276" s="1"/>
      <c r="Q2276" s="1"/>
      <c r="R2276" s="1"/>
      <c r="S2276" s="1"/>
      <c r="T2276" s="1"/>
      <c r="U2276" s="1"/>
      <c r="V2276" s="1"/>
      <c r="W2276" s="1"/>
      <c r="X2276" s="1"/>
      <c r="Y2276" s="1"/>
      <c r="Z2276" s="1"/>
      <c r="AA2276" s="1"/>
      <c r="AB2276" s="1"/>
      <c r="AC2276" s="1"/>
      <c r="AD2276" s="1"/>
      <c r="AE2276" s="1"/>
      <c r="AF2276" s="1"/>
      <c r="AG2276" s="1"/>
      <c r="AH2276" s="1"/>
    </row>
    <row r="2277" spans="1:34" ht="12.5">
      <c r="A2277" s="1"/>
      <c r="B2277" s="1"/>
      <c r="C2277" s="1"/>
      <c r="D2277" s="1"/>
      <c r="E2277" s="1"/>
      <c r="F2277" s="1"/>
      <c r="G2277" s="1"/>
      <c r="H2277" s="1"/>
      <c r="I2277" s="1"/>
      <c r="J2277" s="1"/>
      <c r="K2277" s="1"/>
      <c r="L2277" s="1"/>
      <c r="M2277" s="1"/>
      <c r="N2277" s="1"/>
      <c r="O2277" s="1"/>
      <c r="P2277" s="1"/>
      <c r="Q2277" s="1"/>
      <c r="R2277" s="1"/>
      <c r="S2277" s="1"/>
      <c r="T2277" s="1"/>
      <c r="U2277" s="1"/>
      <c r="V2277" s="1"/>
      <c r="W2277" s="1"/>
      <c r="X2277" s="1"/>
      <c r="Y2277" s="1"/>
      <c r="Z2277" s="1"/>
      <c r="AA2277" s="1"/>
      <c r="AB2277" s="1"/>
      <c r="AC2277" s="1"/>
      <c r="AD2277" s="1"/>
      <c r="AE2277" s="1"/>
      <c r="AF2277" s="1"/>
      <c r="AG2277" s="1"/>
      <c r="AH2277" s="1"/>
    </row>
    <row r="2278" spans="1:34" ht="12.5">
      <c r="A2278" s="1"/>
      <c r="B2278" s="1"/>
      <c r="C2278" s="1"/>
      <c r="D2278" s="1"/>
      <c r="E2278" s="1"/>
      <c r="F2278" s="1"/>
      <c r="G2278" s="1"/>
      <c r="H2278" s="1"/>
      <c r="I2278" s="1"/>
      <c r="J2278" s="1"/>
      <c r="K2278" s="1"/>
      <c r="L2278" s="1"/>
      <c r="M2278" s="1"/>
      <c r="N2278" s="1"/>
      <c r="O2278" s="1"/>
      <c r="P2278" s="1"/>
      <c r="Q2278" s="1"/>
      <c r="R2278" s="1"/>
      <c r="S2278" s="1"/>
      <c r="T2278" s="1"/>
      <c r="U2278" s="1"/>
      <c r="V2278" s="1"/>
      <c r="W2278" s="1"/>
      <c r="X2278" s="1"/>
      <c r="Y2278" s="1"/>
      <c r="Z2278" s="1"/>
      <c r="AA2278" s="1"/>
      <c r="AB2278" s="1"/>
      <c r="AC2278" s="1"/>
      <c r="AD2278" s="1"/>
      <c r="AE2278" s="1"/>
      <c r="AF2278" s="1"/>
      <c r="AG2278" s="1"/>
      <c r="AH2278" s="1"/>
    </row>
    <row r="2279" spans="1:34" ht="12.5">
      <c r="A2279" s="1"/>
      <c r="B2279" s="1"/>
      <c r="C2279" s="1"/>
      <c r="D2279" s="1"/>
      <c r="E2279" s="1"/>
      <c r="F2279" s="1"/>
      <c r="G2279" s="1"/>
      <c r="H2279" s="1"/>
      <c r="I2279" s="1"/>
      <c r="J2279" s="1"/>
      <c r="K2279" s="1"/>
      <c r="L2279" s="1"/>
      <c r="M2279" s="1"/>
      <c r="N2279" s="1"/>
      <c r="O2279" s="1"/>
      <c r="P2279" s="1"/>
      <c r="Q2279" s="1"/>
      <c r="R2279" s="1"/>
      <c r="S2279" s="1"/>
      <c r="T2279" s="1"/>
      <c r="U2279" s="1"/>
      <c r="V2279" s="1"/>
      <c r="W2279" s="1"/>
      <c r="X2279" s="1"/>
      <c r="Y2279" s="1"/>
      <c r="Z2279" s="1"/>
      <c r="AA2279" s="1"/>
      <c r="AB2279" s="1"/>
      <c r="AC2279" s="1"/>
      <c r="AD2279" s="1"/>
      <c r="AE2279" s="1"/>
      <c r="AF2279" s="1"/>
      <c r="AG2279" s="1"/>
      <c r="AH2279" s="1"/>
    </row>
    <row r="2280" spans="1:34" ht="12.5">
      <c r="A2280" s="1"/>
      <c r="B2280" s="1"/>
      <c r="C2280" s="1"/>
      <c r="D2280" s="1"/>
      <c r="E2280" s="1"/>
      <c r="F2280" s="1"/>
      <c r="G2280" s="1"/>
      <c r="H2280" s="1"/>
      <c r="I2280" s="1"/>
      <c r="J2280" s="1"/>
      <c r="K2280" s="1"/>
      <c r="L2280" s="1"/>
      <c r="M2280" s="1"/>
      <c r="N2280" s="1"/>
      <c r="O2280" s="1"/>
      <c r="P2280" s="1"/>
      <c r="Q2280" s="1"/>
      <c r="R2280" s="1"/>
      <c r="S2280" s="1"/>
      <c r="T2280" s="1"/>
      <c r="U2280" s="1"/>
      <c r="V2280" s="1"/>
      <c r="W2280" s="1"/>
      <c r="X2280" s="1"/>
      <c r="Y2280" s="1"/>
      <c r="Z2280" s="1"/>
      <c r="AA2280" s="1"/>
      <c r="AB2280" s="1"/>
      <c r="AC2280" s="1"/>
      <c r="AD2280" s="1"/>
      <c r="AE2280" s="1"/>
      <c r="AF2280" s="1"/>
      <c r="AG2280" s="1"/>
      <c r="AH2280" s="1"/>
    </row>
    <row r="2281" spans="1:34" ht="12.5">
      <c r="A2281" s="1"/>
      <c r="B2281" s="1"/>
      <c r="C2281" s="1"/>
      <c r="D2281" s="1"/>
      <c r="E2281" s="1"/>
      <c r="F2281" s="1"/>
      <c r="G2281" s="1"/>
      <c r="H2281" s="1"/>
      <c r="I2281" s="1"/>
      <c r="J2281" s="1"/>
      <c r="K2281" s="1"/>
      <c r="L2281" s="1"/>
      <c r="M2281" s="1"/>
      <c r="N2281" s="1"/>
      <c r="O2281" s="1"/>
      <c r="P2281" s="1"/>
      <c r="Q2281" s="1"/>
      <c r="R2281" s="1"/>
      <c r="S2281" s="1"/>
      <c r="T2281" s="1"/>
      <c r="U2281" s="1"/>
      <c r="V2281" s="1"/>
      <c r="W2281" s="1"/>
      <c r="X2281" s="1"/>
      <c r="Y2281" s="1"/>
      <c r="Z2281" s="1"/>
      <c r="AA2281" s="1"/>
      <c r="AB2281" s="1"/>
      <c r="AC2281" s="1"/>
      <c r="AD2281" s="1"/>
      <c r="AE2281" s="1"/>
      <c r="AF2281" s="1"/>
      <c r="AG2281" s="1"/>
      <c r="AH2281" s="1"/>
    </row>
    <row r="2282" spans="1:34" ht="12.5">
      <c r="A2282" s="1"/>
      <c r="B2282" s="1"/>
      <c r="C2282" s="1"/>
      <c r="D2282" s="1"/>
      <c r="E2282" s="1"/>
      <c r="F2282" s="1"/>
      <c r="G2282" s="1"/>
      <c r="H2282" s="1"/>
      <c r="I2282" s="1"/>
      <c r="J2282" s="1"/>
      <c r="K2282" s="1"/>
      <c r="L2282" s="1"/>
      <c r="M2282" s="1"/>
      <c r="N2282" s="1"/>
      <c r="O2282" s="1"/>
      <c r="P2282" s="1"/>
      <c r="Q2282" s="1"/>
      <c r="R2282" s="1"/>
      <c r="S2282" s="1"/>
      <c r="T2282" s="1"/>
      <c r="U2282" s="1"/>
      <c r="V2282" s="1"/>
      <c r="W2282" s="1"/>
      <c r="X2282" s="1"/>
      <c r="Y2282" s="1"/>
      <c r="Z2282" s="1"/>
      <c r="AA2282" s="1"/>
      <c r="AB2282" s="1"/>
      <c r="AC2282" s="1"/>
      <c r="AD2282" s="1"/>
      <c r="AE2282" s="1"/>
      <c r="AF2282" s="1"/>
      <c r="AG2282" s="1"/>
      <c r="AH2282" s="1"/>
    </row>
    <row r="2283" spans="1:34" ht="12.5">
      <c r="A2283" s="1"/>
      <c r="B2283" s="1"/>
      <c r="C2283" s="1"/>
      <c r="D2283" s="1"/>
      <c r="E2283" s="1"/>
      <c r="F2283" s="1"/>
      <c r="G2283" s="1"/>
      <c r="H2283" s="1"/>
      <c r="I2283" s="1"/>
      <c r="J2283" s="1"/>
      <c r="K2283" s="1"/>
      <c r="L2283" s="1"/>
      <c r="M2283" s="1"/>
      <c r="N2283" s="1"/>
      <c r="O2283" s="1"/>
      <c r="P2283" s="1"/>
      <c r="Q2283" s="1"/>
      <c r="R2283" s="1"/>
      <c r="S2283" s="1"/>
      <c r="T2283" s="1"/>
      <c r="U2283" s="1"/>
      <c r="V2283" s="1"/>
      <c r="W2283" s="1"/>
      <c r="X2283" s="1"/>
      <c r="Y2283" s="1"/>
      <c r="Z2283" s="1"/>
      <c r="AA2283" s="1"/>
      <c r="AB2283" s="1"/>
      <c r="AC2283" s="1"/>
      <c r="AD2283" s="1"/>
      <c r="AE2283" s="1"/>
      <c r="AF2283" s="1"/>
      <c r="AG2283" s="1"/>
      <c r="AH2283" s="1"/>
    </row>
    <row r="2284" spans="1:34" ht="12.5">
      <c r="A2284" s="1"/>
      <c r="B2284" s="1"/>
      <c r="C2284" s="1"/>
      <c r="D2284" s="1"/>
      <c r="E2284" s="1"/>
      <c r="F2284" s="1"/>
      <c r="G2284" s="1"/>
      <c r="H2284" s="1"/>
      <c r="I2284" s="1"/>
      <c r="J2284" s="1"/>
      <c r="K2284" s="1"/>
      <c r="L2284" s="1"/>
      <c r="M2284" s="1"/>
      <c r="N2284" s="1"/>
      <c r="O2284" s="1"/>
      <c r="P2284" s="1"/>
      <c r="Q2284" s="1"/>
      <c r="R2284" s="1"/>
      <c r="S2284" s="1"/>
      <c r="T2284" s="1"/>
      <c r="U2284" s="1"/>
      <c r="V2284" s="1"/>
      <c r="W2284" s="1"/>
      <c r="X2284" s="1"/>
      <c r="Y2284" s="1"/>
      <c r="Z2284" s="1"/>
      <c r="AA2284" s="1"/>
      <c r="AB2284" s="1"/>
      <c r="AC2284" s="1"/>
      <c r="AD2284" s="1"/>
      <c r="AE2284" s="1"/>
      <c r="AF2284" s="1"/>
      <c r="AG2284" s="1"/>
      <c r="AH2284" s="1"/>
    </row>
    <row r="2285" spans="1:34" ht="12.5">
      <c r="A2285" s="1"/>
      <c r="B2285" s="1"/>
      <c r="C2285" s="1"/>
      <c r="D2285" s="1"/>
      <c r="E2285" s="1"/>
      <c r="F2285" s="1"/>
      <c r="G2285" s="1"/>
      <c r="H2285" s="1"/>
      <c r="I2285" s="1"/>
      <c r="J2285" s="1"/>
      <c r="K2285" s="1"/>
      <c r="L2285" s="1"/>
      <c r="M2285" s="1"/>
      <c r="N2285" s="1"/>
      <c r="O2285" s="1"/>
      <c r="P2285" s="1"/>
      <c r="Q2285" s="1"/>
      <c r="R2285" s="1"/>
      <c r="S2285" s="1"/>
      <c r="T2285" s="1"/>
      <c r="U2285" s="1"/>
      <c r="V2285" s="1"/>
      <c r="W2285" s="1"/>
      <c r="X2285" s="1"/>
      <c r="Y2285" s="1"/>
      <c r="Z2285" s="1"/>
      <c r="AA2285" s="1"/>
      <c r="AB2285" s="1"/>
      <c r="AC2285" s="1"/>
      <c r="AD2285" s="1"/>
      <c r="AE2285" s="1"/>
      <c r="AF2285" s="1"/>
      <c r="AG2285" s="1"/>
      <c r="AH2285" s="1"/>
    </row>
    <row r="2286" spans="1:34" ht="12.5">
      <c r="A2286" s="1"/>
      <c r="B2286" s="1"/>
      <c r="C2286" s="1"/>
      <c r="D2286" s="1"/>
      <c r="E2286" s="1"/>
      <c r="F2286" s="1"/>
      <c r="G2286" s="1"/>
      <c r="H2286" s="1"/>
      <c r="I2286" s="1"/>
      <c r="J2286" s="1"/>
      <c r="K2286" s="1"/>
      <c r="L2286" s="1"/>
      <c r="M2286" s="1"/>
      <c r="N2286" s="1"/>
      <c r="O2286" s="1"/>
      <c r="P2286" s="1"/>
      <c r="Q2286" s="1"/>
      <c r="R2286" s="1"/>
      <c r="S2286" s="1"/>
      <c r="T2286" s="1"/>
      <c r="U2286" s="1"/>
      <c r="V2286" s="1"/>
      <c r="W2286" s="1"/>
      <c r="X2286" s="1"/>
      <c r="Y2286" s="1"/>
      <c r="Z2286" s="1"/>
      <c r="AA2286" s="1"/>
      <c r="AB2286" s="1"/>
      <c r="AC2286" s="1"/>
      <c r="AD2286" s="1"/>
      <c r="AE2286" s="1"/>
      <c r="AF2286" s="1"/>
      <c r="AG2286" s="1"/>
      <c r="AH2286" s="1"/>
    </row>
    <row r="2287" spans="1:34" ht="12.5">
      <c r="A2287" s="1"/>
      <c r="B2287" s="1"/>
      <c r="C2287" s="1"/>
      <c r="D2287" s="1"/>
      <c r="E2287" s="1"/>
      <c r="F2287" s="1"/>
      <c r="G2287" s="1"/>
      <c r="H2287" s="1"/>
      <c r="I2287" s="1"/>
      <c r="J2287" s="1"/>
      <c r="K2287" s="1"/>
      <c r="L2287" s="1"/>
      <c r="M2287" s="1"/>
      <c r="N2287" s="1"/>
      <c r="O2287" s="1"/>
      <c r="P2287" s="1"/>
      <c r="Q2287" s="1"/>
      <c r="R2287" s="1"/>
      <c r="S2287" s="1"/>
      <c r="T2287" s="1"/>
      <c r="U2287" s="1"/>
      <c r="V2287" s="1"/>
      <c r="W2287" s="1"/>
      <c r="X2287" s="1"/>
      <c r="Y2287" s="1"/>
      <c r="Z2287" s="1"/>
      <c r="AA2287" s="1"/>
      <c r="AB2287" s="1"/>
      <c r="AC2287" s="1"/>
      <c r="AD2287" s="1"/>
      <c r="AE2287" s="1"/>
      <c r="AF2287" s="1"/>
      <c r="AG2287" s="1"/>
      <c r="AH2287" s="1"/>
    </row>
    <row r="2288" spans="1:34" ht="12.5">
      <c r="A2288" s="1"/>
      <c r="B2288" s="1"/>
      <c r="C2288" s="1"/>
      <c r="D2288" s="1"/>
      <c r="E2288" s="1"/>
      <c r="F2288" s="1"/>
      <c r="G2288" s="1"/>
      <c r="H2288" s="1"/>
      <c r="I2288" s="1"/>
      <c r="J2288" s="1"/>
      <c r="K2288" s="1"/>
      <c r="L2288" s="1"/>
      <c r="M2288" s="1"/>
      <c r="N2288" s="1"/>
      <c r="O2288" s="1"/>
      <c r="P2288" s="1"/>
      <c r="Q2288" s="1"/>
      <c r="R2288" s="1"/>
      <c r="S2288" s="1"/>
      <c r="T2288" s="1"/>
      <c r="U2288" s="1"/>
      <c r="V2288" s="1"/>
      <c r="W2288" s="1"/>
      <c r="X2288" s="1"/>
      <c r="Y2288" s="1"/>
      <c r="Z2288" s="1"/>
      <c r="AA2288" s="1"/>
      <c r="AB2288" s="1"/>
      <c r="AC2288" s="1"/>
      <c r="AD2288" s="1"/>
      <c r="AE2288" s="1"/>
      <c r="AF2288" s="1"/>
      <c r="AG2288" s="1"/>
      <c r="AH2288" s="1"/>
    </row>
    <row r="2289" spans="1:34" ht="12.5">
      <c r="A2289" s="1"/>
      <c r="B2289" s="1"/>
      <c r="C2289" s="1"/>
      <c r="D2289" s="1"/>
      <c r="E2289" s="1"/>
      <c r="F2289" s="1"/>
      <c r="G2289" s="1"/>
      <c r="H2289" s="1"/>
      <c r="I2289" s="1"/>
      <c r="J2289" s="1"/>
      <c r="K2289" s="1"/>
      <c r="L2289" s="1"/>
      <c r="M2289" s="1"/>
      <c r="N2289" s="1"/>
      <c r="O2289" s="1"/>
      <c r="P2289" s="1"/>
      <c r="Q2289" s="1"/>
      <c r="R2289" s="1"/>
      <c r="S2289" s="1"/>
      <c r="T2289" s="1"/>
      <c r="U2289" s="1"/>
      <c r="V2289" s="1"/>
      <c r="W2289" s="1"/>
      <c r="X2289" s="1"/>
      <c r="Y2289" s="1"/>
      <c r="Z2289" s="1"/>
      <c r="AA2289" s="1"/>
      <c r="AB2289" s="1"/>
      <c r="AC2289" s="1"/>
      <c r="AD2289" s="1"/>
      <c r="AE2289" s="1"/>
      <c r="AF2289" s="1"/>
      <c r="AG2289" s="1"/>
      <c r="AH2289" s="1"/>
    </row>
    <row r="2290" spans="1:34" ht="12.5">
      <c r="A2290" s="1"/>
      <c r="B2290" s="1"/>
      <c r="C2290" s="1"/>
      <c r="D2290" s="1"/>
      <c r="E2290" s="1"/>
      <c r="F2290" s="1"/>
      <c r="G2290" s="1"/>
      <c r="H2290" s="1"/>
      <c r="I2290" s="1"/>
      <c r="J2290" s="1"/>
      <c r="K2290" s="1"/>
      <c r="L2290" s="1"/>
      <c r="M2290" s="1"/>
      <c r="N2290" s="1"/>
      <c r="O2290" s="1"/>
      <c r="P2290" s="1"/>
      <c r="Q2290" s="1"/>
      <c r="R2290" s="1"/>
      <c r="S2290" s="1"/>
      <c r="T2290" s="1"/>
      <c r="U2290" s="1"/>
      <c r="V2290" s="1"/>
      <c r="W2290" s="1"/>
      <c r="X2290" s="1"/>
      <c r="Y2290" s="1"/>
      <c r="Z2290" s="1"/>
      <c r="AA2290" s="1"/>
      <c r="AB2290" s="1"/>
      <c r="AC2290" s="1"/>
      <c r="AD2290" s="1"/>
      <c r="AE2290" s="1"/>
      <c r="AF2290" s="1"/>
      <c r="AG2290" s="1"/>
      <c r="AH2290" s="1"/>
    </row>
    <row r="2291" spans="1:34" ht="12.5">
      <c r="A2291" s="1"/>
      <c r="B2291" s="1"/>
      <c r="C2291" s="1"/>
      <c r="D2291" s="1"/>
      <c r="E2291" s="1"/>
      <c r="F2291" s="1"/>
      <c r="G2291" s="1"/>
      <c r="H2291" s="1"/>
      <c r="I2291" s="1"/>
      <c r="J2291" s="1"/>
      <c r="K2291" s="1"/>
      <c r="L2291" s="1"/>
      <c r="M2291" s="1"/>
      <c r="N2291" s="1"/>
      <c r="O2291" s="1"/>
      <c r="P2291" s="1"/>
      <c r="Q2291" s="1"/>
      <c r="R2291" s="1"/>
      <c r="S2291" s="1"/>
      <c r="T2291" s="1"/>
      <c r="U2291" s="1"/>
      <c r="V2291" s="1"/>
      <c r="W2291" s="1"/>
      <c r="X2291" s="1"/>
      <c r="Y2291" s="1"/>
      <c r="Z2291" s="1"/>
      <c r="AA2291" s="1"/>
      <c r="AB2291" s="1"/>
      <c r="AC2291" s="1"/>
      <c r="AD2291" s="1"/>
      <c r="AE2291" s="1"/>
      <c r="AF2291" s="1"/>
      <c r="AG2291" s="1"/>
      <c r="AH2291" s="1"/>
    </row>
    <row r="2292" spans="1:34" ht="12.5">
      <c r="A2292" s="1"/>
      <c r="B2292" s="1"/>
      <c r="C2292" s="1"/>
      <c r="D2292" s="1"/>
      <c r="E2292" s="1"/>
      <c r="F2292" s="1"/>
      <c r="G2292" s="1"/>
      <c r="H2292" s="1"/>
      <c r="I2292" s="1"/>
      <c r="J2292" s="1"/>
      <c r="K2292" s="1"/>
      <c r="L2292" s="1"/>
      <c r="M2292" s="1"/>
      <c r="N2292" s="1"/>
      <c r="O2292" s="1"/>
      <c r="P2292" s="1"/>
      <c r="Q2292" s="1"/>
      <c r="R2292" s="1"/>
      <c r="S2292" s="1"/>
      <c r="T2292" s="1"/>
      <c r="U2292" s="1"/>
      <c r="V2292" s="1"/>
      <c r="W2292" s="1"/>
      <c r="X2292" s="1"/>
      <c r="Y2292" s="1"/>
      <c r="Z2292" s="1"/>
      <c r="AA2292" s="1"/>
      <c r="AB2292" s="1"/>
      <c r="AC2292" s="1"/>
      <c r="AD2292" s="1"/>
      <c r="AE2292" s="1"/>
      <c r="AF2292" s="1"/>
      <c r="AG2292" s="1"/>
      <c r="AH2292" s="1"/>
    </row>
    <row r="2293" spans="1:34" ht="12.5">
      <c r="A2293" s="1"/>
      <c r="B2293" s="1"/>
      <c r="C2293" s="1"/>
      <c r="D2293" s="1"/>
      <c r="E2293" s="1"/>
      <c r="F2293" s="1"/>
      <c r="G2293" s="1"/>
      <c r="H2293" s="1"/>
      <c r="I2293" s="1"/>
      <c r="J2293" s="1"/>
      <c r="K2293" s="1"/>
      <c r="L2293" s="1"/>
      <c r="M2293" s="1"/>
      <c r="N2293" s="1"/>
      <c r="O2293" s="1"/>
      <c r="P2293" s="1"/>
      <c r="Q2293" s="1"/>
      <c r="R2293" s="1"/>
      <c r="S2293" s="1"/>
      <c r="T2293" s="1"/>
      <c r="U2293" s="1"/>
      <c r="V2293" s="1"/>
      <c r="W2293" s="1"/>
      <c r="X2293" s="1"/>
      <c r="Y2293" s="1"/>
      <c r="Z2293" s="1"/>
      <c r="AA2293" s="1"/>
      <c r="AB2293" s="1"/>
      <c r="AC2293" s="1"/>
      <c r="AD2293" s="1"/>
      <c r="AE2293" s="1"/>
      <c r="AF2293" s="1"/>
      <c r="AG2293" s="1"/>
      <c r="AH2293" s="1"/>
    </row>
    <row r="2294" spans="1:34" ht="12.5">
      <c r="A2294" s="1"/>
      <c r="B2294" s="1"/>
      <c r="C2294" s="1"/>
      <c r="D2294" s="1"/>
      <c r="E2294" s="1"/>
      <c r="F2294" s="1"/>
      <c r="G2294" s="1"/>
      <c r="H2294" s="1"/>
      <c r="I2294" s="1"/>
      <c r="J2294" s="1"/>
      <c r="K2294" s="1"/>
      <c r="L2294" s="1"/>
      <c r="M2294" s="1"/>
      <c r="N2294" s="1"/>
      <c r="O2294" s="1"/>
      <c r="P2294" s="1"/>
      <c r="Q2294" s="1"/>
      <c r="R2294" s="1"/>
      <c r="S2294" s="1"/>
      <c r="T2294" s="1"/>
      <c r="U2294" s="1"/>
      <c r="V2294" s="1"/>
      <c r="W2294" s="1"/>
      <c r="X2294" s="1"/>
      <c r="Y2294" s="1"/>
      <c r="Z2294" s="1"/>
      <c r="AA2294" s="1"/>
      <c r="AB2294" s="1"/>
      <c r="AC2294" s="1"/>
      <c r="AD2294" s="1"/>
      <c r="AE2294" s="1"/>
      <c r="AF2294" s="1"/>
      <c r="AG2294" s="1"/>
      <c r="AH2294" s="1"/>
    </row>
    <row r="2295" spans="1:34" ht="12.5">
      <c r="A2295" s="1"/>
      <c r="B2295" s="1"/>
      <c r="C2295" s="1"/>
      <c r="D2295" s="1"/>
      <c r="E2295" s="1"/>
      <c r="F2295" s="1"/>
      <c r="G2295" s="1"/>
      <c r="H2295" s="1"/>
      <c r="I2295" s="1"/>
      <c r="J2295" s="1"/>
      <c r="K2295" s="1"/>
      <c r="L2295" s="1"/>
      <c r="M2295" s="1"/>
      <c r="N2295" s="1"/>
      <c r="O2295" s="1"/>
      <c r="P2295" s="1"/>
      <c r="Q2295" s="1"/>
      <c r="R2295" s="1"/>
      <c r="S2295" s="1"/>
      <c r="T2295" s="1"/>
      <c r="U2295" s="1"/>
      <c r="V2295" s="1"/>
      <c r="W2295" s="1"/>
      <c r="X2295" s="1"/>
      <c r="Y2295" s="1"/>
      <c r="Z2295" s="1"/>
      <c r="AA2295" s="1"/>
      <c r="AB2295" s="1"/>
      <c r="AC2295" s="1"/>
      <c r="AD2295" s="1"/>
      <c r="AE2295" s="1"/>
      <c r="AF2295" s="1"/>
      <c r="AG2295" s="1"/>
      <c r="AH2295" s="1"/>
    </row>
    <row r="2296" spans="1:34" ht="12.5">
      <c r="A2296" s="1"/>
      <c r="B2296" s="1"/>
      <c r="C2296" s="1"/>
      <c r="D2296" s="1"/>
      <c r="E2296" s="1"/>
      <c r="F2296" s="1"/>
      <c r="G2296" s="1"/>
      <c r="H2296" s="1"/>
      <c r="I2296" s="1"/>
      <c r="J2296" s="1"/>
      <c r="K2296" s="1"/>
      <c r="L2296" s="1"/>
      <c r="M2296" s="1"/>
      <c r="N2296" s="1"/>
      <c r="O2296" s="1"/>
      <c r="P2296" s="1"/>
      <c r="Q2296" s="1"/>
      <c r="R2296" s="1"/>
      <c r="S2296" s="1"/>
      <c r="T2296" s="1"/>
      <c r="U2296" s="1"/>
      <c r="V2296" s="1"/>
      <c r="W2296" s="1"/>
      <c r="X2296" s="1"/>
      <c r="Y2296" s="1"/>
      <c r="Z2296" s="1"/>
      <c r="AA2296" s="1"/>
      <c r="AB2296" s="1"/>
      <c r="AC2296" s="1"/>
      <c r="AD2296" s="1"/>
      <c r="AE2296" s="1"/>
      <c r="AF2296" s="1"/>
      <c r="AG2296" s="1"/>
      <c r="AH2296" s="1"/>
    </row>
    <row r="2297" spans="1:34" ht="12.5">
      <c r="A2297" s="1"/>
      <c r="B2297" s="1"/>
      <c r="C2297" s="1"/>
      <c r="D2297" s="1"/>
      <c r="E2297" s="1"/>
      <c r="F2297" s="1"/>
      <c r="G2297" s="1"/>
      <c r="H2297" s="1"/>
      <c r="I2297" s="1"/>
      <c r="J2297" s="1"/>
      <c r="K2297" s="1"/>
      <c r="L2297" s="1"/>
      <c r="M2297" s="1"/>
      <c r="N2297" s="1"/>
      <c r="O2297" s="1"/>
      <c r="P2297" s="1"/>
      <c r="Q2297" s="1"/>
      <c r="R2297" s="1"/>
      <c r="S2297" s="1"/>
      <c r="T2297" s="1"/>
      <c r="U2297" s="1"/>
      <c r="V2297" s="1"/>
      <c r="W2297" s="1"/>
      <c r="X2297" s="1"/>
      <c r="Y2297" s="1"/>
      <c r="Z2297" s="1"/>
      <c r="AA2297" s="1"/>
      <c r="AB2297" s="1"/>
      <c r="AC2297" s="1"/>
      <c r="AD2297" s="1"/>
      <c r="AE2297" s="1"/>
      <c r="AF2297" s="1"/>
      <c r="AG2297" s="1"/>
      <c r="AH2297" s="1"/>
    </row>
    <row r="2298" spans="1:34" ht="12.5">
      <c r="A2298" s="1"/>
      <c r="B2298" s="1"/>
      <c r="C2298" s="1"/>
      <c r="D2298" s="1"/>
      <c r="E2298" s="1"/>
      <c r="F2298" s="1"/>
      <c r="G2298" s="1"/>
      <c r="H2298" s="1"/>
      <c r="I2298" s="1"/>
      <c r="J2298" s="1"/>
      <c r="K2298" s="1"/>
      <c r="L2298" s="1"/>
      <c r="M2298" s="1"/>
      <c r="N2298" s="1"/>
      <c r="O2298" s="1"/>
      <c r="P2298" s="1"/>
      <c r="Q2298" s="1"/>
      <c r="R2298" s="1"/>
      <c r="S2298" s="1"/>
      <c r="T2298" s="1"/>
      <c r="U2298" s="1"/>
      <c r="V2298" s="1"/>
      <c r="W2298" s="1"/>
      <c r="X2298" s="1"/>
      <c r="Y2298" s="1"/>
      <c r="Z2298" s="1"/>
      <c r="AA2298" s="1"/>
      <c r="AB2298" s="1"/>
      <c r="AC2298" s="1"/>
      <c r="AD2298" s="1"/>
      <c r="AE2298" s="1"/>
      <c r="AF2298" s="1"/>
      <c r="AG2298" s="1"/>
      <c r="AH2298" s="1"/>
    </row>
    <row r="2299" spans="1:34" ht="12.5">
      <c r="A2299" s="1"/>
      <c r="B2299" s="1"/>
      <c r="C2299" s="1"/>
      <c r="D2299" s="1"/>
      <c r="E2299" s="1"/>
      <c r="F2299" s="1"/>
      <c r="G2299" s="1"/>
      <c r="H2299" s="1"/>
      <c r="I2299" s="1"/>
      <c r="J2299" s="1"/>
      <c r="K2299" s="1"/>
      <c r="L2299" s="1"/>
      <c r="M2299" s="1"/>
      <c r="N2299" s="1"/>
      <c r="O2299" s="1"/>
      <c r="P2299" s="1"/>
      <c r="Q2299" s="1"/>
      <c r="R2299" s="1"/>
      <c r="S2299" s="1"/>
      <c r="T2299" s="1"/>
      <c r="U2299" s="1"/>
      <c r="V2299" s="1"/>
      <c r="W2299" s="1"/>
      <c r="X2299" s="1"/>
      <c r="Y2299" s="1"/>
      <c r="Z2299" s="1"/>
      <c r="AA2299" s="1"/>
      <c r="AB2299" s="1"/>
      <c r="AC2299" s="1"/>
      <c r="AD2299" s="1"/>
      <c r="AE2299" s="1"/>
      <c r="AF2299" s="1"/>
      <c r="AG2299" s="1"/>
      <c r="AH2299" s="1"/>
    </row>
    <row r="2300" spans="1:34" ht="12.5">
      <c r="A2300" s="1"/>
      <c r="B2300" s="1"/>
      <c r="C2300" s="1"/>
      <c r="D2300" s="1"/>
      <c r="E2300" s="1"/>
      <c r="F2300" s="1"/>
      <c r="G2300" s="1"/>
      <c r="H2300" s="1"/>
      <c r="I2300" s="1"/>
      <c r="J2300" s="1"/>
      <c r="K2300" s="1"/>
      <c r="L2300" s="1"/>
      <c r="M2300" s="1"/>
      <c r="N2300" s="1"/>
      <c r="O2300" s="1"/>
      <c r="P2300" s="1"/>
      <c r="Q2300" s="1"/>
      <c r="R2300" s="1"/>
      <c r="S2300" s="1"/>
      <c r="T2300" s="1"/>
      <c r="U2300" s="1"/>
      <c r="V2300" s="1"/>
      <c r="W2300" s="1"/>
      <c r="X2300" s="1"/>
      <c r="Y2300" s="1"/>
      <c r="Z2300" s="1"/>
      <c r="AA2300" s="1"/>
      <c r="AB2300" s="1"/>
      <c r="AC2300" s="1"/>
      <c r="AD2300" s="1"/>
      <c r="AE2300" s="1"/>
      <c r="AF2300" s="1"/>
      <c r="AG2300" s="1"/>
      <c r="AH2300" s="1"/>
    </row>
    <row r="2301" spans="1:34" ht="12.5">
      <c r="A2301" s="1"/>
      <c r="B2301" s="1"/>
      <c r="C2301" s="1"/>
      <c r="D2301" s="1"/>
      <c r="E2301" s="1"/>
      <c r="F2301" s="1"/>
      <c r="G2301" s="1"/>
      <c r="H2301" s="1"/>
      <c r="I2301" s="1"/>
      <c r="J2301" s="1"/>
      <c r="K2301" s="1"/>
      <c r="L2301" s="1"/>
      <c r="M2301" s="1"/>
      <c r="N2301" s="1"/>
      <c r="O2301" s="1"/>
      <c r="P2301" s="1"/>
      <c r="Q2301" s="1"/>
      <c r="R2301" s="1"/>
      <c r="S2301" s="1"/>
      <c r="T2301" s="1"/>
      <c r="U2301" s="1"/>
      <c r="V2301" s="1"/>
      <c r="W2301" s="1"/>
      <c r="X2301" s="1"/>
      <c r="Y2301" s="1"/>
      <c r="Z2301" s="1"/>
      <c r="AA2301" s="1"/>
      <c r="AB2301" s="1"/>
      <c r="AC2301" s="1"/>
      <c r="AD2301" s="1"/>
      <c r="AE2301" s="1"/>
      <c r="AF2301" s="1"/>
      <c r="AG2301" s="1"/>
      <c r="AH2301" s="1"/>
    </row>
    <row r="2302" spans="1:34" ht="12.5">
      <c r="A2302" s="1"/>
      <c r="B2302" s="1"/>
      <c r="C2302" s="1"/>
      <c r="D2302" s="1"/>
      <c r="E2302" s="1"/>
      <c r="F2302" s="1"/>
      <c r="G2302" s="1"/>
      <c r="H2302" s="1"/>
      <c r="I2302" s="1"/>
      <c r="J2302" s="1"/>
      <c r="K2302" s="1"/>
      <c r="L2302" s="1"/>
      <c r="M2302" s="1"/>
      <c r="N2302" s="1"/>
      <c r="O2302" s="1"/>
      <c r="P2302" s="1"/>
      <c r="Q2302" s="1"/>
      <c r="R2302" s="1"/>
      <c r="S2302" s="1"/>
      <c r="T2302" s="1"/>
      <c r="U2302" s="1"/>
      <c r="V2302" s="1"/>
      <c r="W2302" s="1"/>
      <c r="X2302" s="1"/>
      <c r="Y2302" s="1"/>
      <c r="Z2302" s="1"/>
      <c r="AA2302" s="1"/>
      <c r="AB2302" s="1"/>
      <c r="AC2302" s="1"/>
      <c r="AD2302" s="1"/>
      <c r="AE2302" s="1"/>
      <c r="AF2302" s="1"/>
      <c r="AG2302" s="1"/>
      <c r="AH2302" s="1"/>
    </row>
    <row r="2303" spans="1:34" ht="12.5">
      <c r="A2303" s="1"/>
      <c r="B2303" s="1"/>
      <c r="C2303" s="1"/>
      <c r="D2303" s="1"/>
      <c r="E2303" s="1"/>
      <c r="F2303" s="1"/>
      <c r="G2303" s="1"/>
      <c r="H2303" s="1"/>
      <c r="I2303" s="1"/>
      <c r="J2303" s="1"/>
      <c r="K2303" s="1"/>
      <c r="L2303" s="1"/>
      <c r="M2303" s="1"/>
      <c r="N2303" s="1"/>
      <c r="O2303" s="1"/>
      <c r="P2303" s="1"/>
      <c r="Q2303" s="1"/>
      <c r="R2303" s="1"/>
      <c r="S2303" s="1"/>
      <c r="T2303" s="1"/>
      <c r="U2303" s="1"/>
      <c r="V2303" s="1"/>
      <c r="W2303" s="1"/>
      <c r="X2303" s="1"/>
      <c r="Y2303" s="1"/>
      <c r="Z2303" s="1"/>
      <c r="AA2303" s="1"/>
      <c r="AB2303" s="1"/>
      <c r="AC2303" s="1"/>
      <c r="AD2303" s="1"/>
      <c r="AE2303" s="1"/>
      <c r="AF2303" s="1"/>
      <c r="AG2303" s="1"/>
      <c r="AH2303" s="1"/>
    </row>
    <row r="2304" spans="1:34" ht="12.5">
      <c r="A2304" s="1"/>
      <c r="B2304" s="1"/>
      <c r="C2304" s="1"/>
      <c r="D2304" s="1"/>
      <c r="E2304" s="1"/>
      <c r="F2304" s="1"/>
      <c r="G2304" s="1"/>
      <c r="H2304" s="1"/>
      <c r="I2304" s="1"/>
      <c r="J2304" s="1"/>
      <c r="K2304" s="1"/>
      <c r="L2304" s="1"/>
      <c r="M2304" s="1"/>
      <c r="N2304" s="1"/>
      <c r="O2304" s="1"/>
      <c r="P2304" s="1"/>
      <c r="Q2304" s="1"/>
      <c r="R2304" s="1"/>
      <c r="S2304" s="1"/>
      <c r="T2304" s="1"/>
      <c r="U2304" s="1"/>
      <c r="V2304" s="1"/>
      <c r="W2304" s="1"/>
      <c r="X2304" s="1"/>
      <c r="Y2304" s="1"/>
      <c r="Z2304" s="1"/>
      <c r="AA2304" s="1"/>
      <c r="AB2304" s="1"/>
      <c r="AC2304" s="1"/>
      <c r="AD2304" s="1"/>
      <c r="AE2304" s="1"/>
      <c r="AF2304" s="1"/>
      <c r="AG2304" s="1"/>
      <c r="AH2304" s="1"/>
    </row>
    <row r="2305" spans="1:34" ht="12.5">
      <c r="A2305" s="1"/>
      <c r="B2305" s="1"/>
      <c r="C2305" s="1"/>
      <c r="D2305" s="1"/>
      <c r="E2305" s="1"/>
      <c r="F2305" s="1"/>
      <c r="G2305" s="1"/>
      <c r="H2305" s="1"/>
      <c r="I2305" s="1"/>
      <c r="J2305" s="1"/>
      <c r="K2305" s="1"/>
      <c r="L2305" s="1"/>
      <c r="M2305" s="1"/>
      <c r="N2305" s="1"/>
      <c r="O2305" s="1"/>
      <c r="P2305" s="1"/>
      <c r="Q2305" s="1"/>
      <c r="R2305" s="1"/>
      <c r="S2305" s="1"/>
      <c r="T2305" s="1"/>
      <c r="U2305" s="1"/>
      <c r="V2305" s="1"/>
      <c r="W2305" s="1"/>
      <c r="X2305" s="1"/>
      <c r="Y2305" s="1"/>
      <c r="Z2305" s="1"/>
      <c r="AA2305" s="1"/>
      <c r="AB2305" s="1"/>
      <c r="AC2305" s="1"/>
      <c r="AD2305" s="1"/>
      <c r="AE2305" s="1"/>
      <c r="AF2305" s="1"/>
      <c r="AG2305" s="1"/>
      <c r="AH2305" s="1"/>
    </row>
    <row r="2306" spans="1:34" ht="12.5">
      <c r="A2306" s="1"/>
      <c r="B2306" s="1"/>
      <c r="C2306" s="1"/>
      <c r="D2306" s="1"/>
      <c r="E2306" s="1"/>
      <c r="F2306" s="1"/>
      <c r="G2306" s="1"/>
      <c r="H2306" s="1"/>
      <c r="I2306" s="1"/>
      <c r="J2306" s="1"/>
      <c r="K2306" s="1"/>
      <c r="L2306" s="1"/>
      <c r="M2306" s="1"/>
      <c r="N2306" s="1"/>
      <c r="O2306" s="1"/>
      <c r="P2306" s="1"/>
      <c r="Q2306" s="1"/>
      <c r="R2306" s="1"/>
      <c r="S2306" s="1"/>
      <c r="T2306" s="1"/>
      <c r="U2306" s="1"/>
      <c r="V2306" s="1"/>
      <c r="W2306" s="1"/>
      <c r="X2306" s="1"/>
      <c r="Y2306" s="1"/>
      <c r="Z2306" s="1"/>
      <c r="AA2306" s="1"/>
      <c r="AB2306" s="1"/>
      <c r="AC2306" s="1"/>
      <c r="AD2306" s="1"/>
      <c r="AE2306" s="1"/>
      <c r="AF2306" s="1"/>
      <c r="AG2306" s="1"/>
      <c r="AH2306" s="1"/>
    </row>
    <row r="2307" spans="1:34" ht="12.5">
      <c r="A2307" s="1"/>
      <c r="B2307" s="1"/>
      <c r="C2307" s="1"/>
      <c r="D2307" s="1"/>
      <c r="E2307" s="1"/>
      <c r="F2307" s="1"/>
      <c r="G2307" s="1"/>
      <c r="H2307" s="1"/>
      <c r="I2307" s="1"/>
      <c r="J2307" s="1"/>
      <c r="K2307" s="1"/>
      <c r="L2307" s="1"/>
      <c r="M2307" s="1"/>
      <c r="N2307" s="1"/>
      <c r="O2307" s="1"/>
      <c r="P2307" s="1"/>
      <c r="Q2307" s="1"/>
      <c r="R2307" s="1"/>
      <c r="S2307" s="1"/>
      <c r="T2307" s="1"/>
      <c r="U2307" s="1"/>
      <c r="V2307" s="1"/>
      <c r="W2307" s="1"/>
      <c r="X2307" s="1"/>
      <c r="Y2307" s="1"/>
      <c r="Z2307" s="1"/>
      <c r="AA2307" s="1"/>
      <c r="AB2307" s="1"/>
      <c r="AC2307" s="1"/>
      <c r="AD2307" s="1"/>
      <c r="AE2307" s="1"/>
      <c r="AF2307" s="1"/>
      <c r="AG2307" s="1"/>
      <c r="AH2307" s="1"/>
    </row>
    <row r="2308" spans="1:34" ht="12.5">
      <c r="A2308" s="1"/>
      <c r="B2308" s="1"/>
      <c r="C2308" s="1"/>
      <c r="D2308" s="1"/>
      <c r="E2308" s="1"/>
      <c r="F2308" s="1"/>
      <c r="G2308" s="1"/>
      <c r="H2308" s="1"/>
      <c r="I2308" s="1"/>
      <c r="J2308" s="1"/>
      <c r="K2308" s="1"/>
      <c r="L2308" s="1"/>
      <c r="M2308" s="1"/>
      <c r="N2308" s="1"/>
      <c r="O2308" s="1"/>
      <c r="P2308" s="1"/>
      <c r="Q2308" s="1"/>
      <c r="R2308" s="1"/>
      <c r="S2308" s="1"/>
      <c r="T2308" s="1"/>
      <c r="U2308" s="1"/>
      <c r="V2308" s="1"/>
      <c r="W2308" s="1"/>
      <c r="X2308" s="1"/>
      <c r="Y2308" s="1"/>
      <c r="Z2308" s="1"/>
      <c r="AA2308" s="1"/>
      <c r="AB2308" s="1"/>
      <c r="AC2308" s="1"/>
      <c r="AD2308" s="1"/>
      <c r="AE2308" s="1"/>
      <c r="AF2308" s="1"/>
      <c r="AG2308" s="1"/>
      <c r="AH2308" s="1"/>
    </row>
    <row r="2309" spans="1:34" ht="12.5">
      <c r="A2309" s="1"/>
      <c r="B2309" s="1"/>
      <c r="C2309" s="1"/>
      <c r="D2309" s="1"/>
      <c r="E2309" s="1"/>
      <c r="F2309" s="1"/>
      <c r="G2309" s="1"/>
      <c r="H2309" s="1"/>
      <c r="I2309" s="1"/>
      <c r="J2309" s="1"/>
      <c r="K2309" s="1"/>
      <c r="L2309" s="1"/>
      <c r="M2309" s="1"/>
      <c r="N2309" s="1"/>
      <c r="O2309" s="1"/>
      <c r="P2309" s="1"/>
      <c r="Q2309" s="1"/>
      <c r="R2309" s="1"/>
      <c r="S2309" s="1"/>
      <c r="T2309" s="1"/>
      <c r="U2309" s="1"/>
      <c r="V2309" s="1"/>
      <c r="W2309" s="1"/>
      <c r="X2309" s="1"/>
      <c r="Y2309" s="1"/>
      <c r="Z2309" s="1"/>
      <c r="AA2309" s="1"/>
      <c r="AB2309" s="1"/>
      <c r="AC2309" s="1"/>
      <c r="AD2309" s="1"/>
      <c r="AE2309" s="1"/>
      <c r="AF2309" s="1"/>
      <c r="AG2309" s="1"/>
      <c r="AH2309" s="1"/>
    </row>
    <row r="2310" spans="1:34" ht="12.5">
      <c r="A2310" s="1"/>
      <c r="B2310" s="1"/>
      <c r="C2310" s="1"/>
      <c r="D2310" s="1"/>
      <c r="E2310" s="1"/>
      <c r="F2310" s="1"/>
      <c r="G2310" s="1"/>
      <c r="H2310" s="1"/>
      <c r="I2310" s="1"/>
      <c r="J2310" s="1"/>
      <c r="K2310" s="1"/>
      <c r="L2310" s="1"/>
      <c r="M2310" s="1"/>
      <c r="N2310" s="1"/>
      <c r="O2310" s="1"/>
      <c r="P2310" s="1"/>
      <c r="Q2310" s="1"/>
      <c r="R2310" s="1"/>
      <c r="S2310" s="1"/>
      <c r="T2310" s="1"/>
      <c r="U2310" s="1"/>
      <c r="V2310" s="1"/>
      <c r="W2310" s="1"/>
      <c r="X2310" s="1"/>
      <c r="Y2310" s="1"/>
      <c r="Z2310" s="1"/>
      <c r="AA2310" s="1"/>
      <c r="AB2310" s="1"/>
      <c r="AC2310" s="1"/>
      <c r="AD2310" s="1"/>
      <c r="AE2310" s="1"/>
      <c r="AF2310" s="1"/>
      <c r="AG2310" s="1"/>
      <c r="AH2310" s="1"/>
    </row>
    <row r="2311" spans="1:34" ht="12.5">
      <c r="A2311" s="1"/>
      <c r="B2311" s="1"/>
      <c r="C2311" s="1"/>
      <c r="D2311" s="1"/>
      <c r="E2311" s="1"/>
      <c r="F2311" s="1"/>
      <c r="G2311" s="1"/>
      <c r="H2311" s="1"/>
      <c r="I2311" s="1"/>
      <c r="J2311" s="1"/>
      <c r="K2311" s="1"/>
      <c r="L2311" s="1"/>
      <c r="M2311" s="1"/>
      <c r="N2311" s="1"/>
      <c r="O2311" s="1"/>
      <c r="P2311" s="1"/>
      <c r="Q2311" s="1"/>
      <c r="R2311" s="1"/>
      <c r="S2311" s="1"/>
      <c r="T2311" s="1"/>
      <c r="U2311" s="1"/>
      <c r="V2311" s="1"/>
      <c r="W2311" s="1"/>
      <c r="X2311" s="1"/>
      <c r="Y2311" s="1"/>
      <c r="Z2311" s="1"/>
      <c r="AA2311" s="1"/>
      <c r="AB2311" s="1"/>
      <c r="AC2311" s="1"/>
      <c r="AD2311" s="1"/>
      <c r="AE2311" s="1"/>
      <c r="AF2311" s="1"/>
      <c r="AG2311" s="1"/>
      <c r="AH2311" s="1"/>
    </row>
    <row r="2312" spans="1:34" ht="12.5">
      <c r="A2312" s="1"/>
      <c r="B2312" s="1"/>
      <c r="C2312" s="1"/>
      <c r="D2312" s="1"/>
      <c r="E2312" s="1"/>
      <c r="F2312" s="1"/>
      <c r="G2312" s="1"/>
      <c r="H2312" s="1"/>
      <c r="I2312" s="1"/>
      <c r="J2312" s="1"/>
      <c r="K2312" s="1"/>
      <c r="L2312" s="1"/>
      <c r="M2312" s="1"/>
      <c r="N2312" s="1"/>
      <c r="O2312" s="1"/>
      <c r="P2312" s="1"/>
      <c r="Q2312" s="1"/>
      <c r="R2312" s="1"/>
      <c r="S2312" s="1"/>
      <c r="T2312" s="1"/>
      <c r="U2312" s="1"/>
      <c r="V2312" s="1"/>
      <c r="W2312" s="1"/>
      <c r="X2312" s="1"/>
      <c r="Y2312" s="1"/>
      <c r="Z2312" s="1"/>
      <c r="AA2312" s="1"/>
      <c r="AB2312" s="1"/>
      <c r="AC2312" s="1"/>
      <c r="AD2312" s="1"/>
      <c r="AE2312" s="1"/>
      <c r="AF2312" s="1"/>
      <c r="AG2312" s="1"/>
      <c r="AH2312" s="1"/>
    </row>
    <row r="2313" spans="1:34" ht="12.5">
      <c r="A2313" s="1"/>
      <c r="B2313" s="1"/>
      <c r="C2313" s="1"/>
      <c r="D2313" s="1"/>
      <c r="E2313" s="1"/>
      <c r="F2313" s="1"/>
      <c r="G2313" s="1"/>
      <c r="H2313" s="1"/>
      <c r="I2313" s="1"/>
      <c r="J2313" s="1"/>
      <c r="K2313" s="1"/>
      <c r="L2313" s="1"/>
      <c r="M2313" s="1"/>
      <c r="N2313" s="1"/>
      <c r="O2313" s="1"/>
      <c r="P2313" s="1"/>
      <c r="Q2313" s="1"/>
      <c r="R2313" s="1"/>
      <c r="S2313" s="1"/>
      <c r="T2313" s="1"/>
      <c r="U2313" s="1"/>
      <c r="V2313" s="1"/>
      <c r="W2313" s="1"/>
      <c r="X2313" s="1"/>
      <c r="Y2313" s="1"/>
      <c r="Z2313" s="1"/>
      <c r="AA2313" s="1"/>
      <c r="AB2313" s="1"/>
      <c r="AC2313" s="1"/>
      <c r="AD2313" s="1"/>
      <c r="AE2313" s="1"/>
      <c r="AF2313" s="1"/>
      <c r="AG2313" s="1"/>
      <c r="AH2313" s="1"/>
    </row>
    <row r="2314" spans="1:34" ht="12.5">
      <c r="A2314" s="1"/>
      <c r="B2314" s="1"/>
      <c r="C2314" s="1"/>
      <c r="D2314" s="1"/>
      <c r="E2314" s="1"/>
      <c r="F2314" s="1"/>
      <c r="G2314" s="1"/>
      <c r="H2314" s="1"/>
      <c r="I2314" s="1"/>
      <c r="J2314" s="1"/>
      <c r="K2314" s="1"/>
      <c r="L2314" s="1"/>
      <c r="M2314" s="1"/>
      <c r="N2314" s="1"/>
      <c r="O2314" s="1"/>
      <c r="P2314" s="1"/>
      <c r="Q2314" s="1"/>
      <c r="R2314" s="1"/>
      <c r="S2314" s="1"/>
      <c r="T2314" s="1"/>
      <c r="U2314" s="1"/>
      <c r="V2314" s="1"/>
      <c r="W2314" s="1"/>
      <c r="X2314" s="1"/>
      <c r="Y2314" s="1"/>
      <c r="Z2314" s="1"/>
      <c r="AA2314" s="1"/>
      <c r="AB2314" s="1"/>
      <c r="AC2314" s="1"/>
      <c r="AD2314" s="1"/>
      <c r="AE2314" s="1"/>
      <c r="AF2314" s="1"/>
      <c r="AG2314" s="1"/>
      <c r="AH2314" s="1"/>
    </row>
    <row r="2315" spans="1:34" ht="12.5">
      <c r="A2315" s="1"/>
      <c r="B2315" s="1"/>
      <c r="C2315" s="1"/>
      <c r="D2315" s="1"/>
      <c r="E2315" s="1"/>
      <c r="F2315" s="1"/>
      <c r="G2315" s="1"/>
      <c r="H2315" s="1"/>
      <c r="I2315" s="1"/>
      <c r="J2315" s="1"/>
      <c r="K2315" s="1"/>
      <c r="L2315" s="1"/>
      <c r="M2315" s="1"/>
      <c r="N2315" s="1"/>
      <c r="O2315" s="1"/>
      <c r="P2315" s="1"/>
      <c r="Q2315" s="1"/>
      <c r="R2315" s="1"/>
      <c r="S2315" s="1"/>
      <c r="T2315" s="1"/>
      <c r="U2315" s="1"/>
      <c r="V2315" s="1"/>
      <c r="W2315" s="1"/>
      <c r="X2315" s="1"/>
      <c r="Y2315" s="1"/>
      <c r="Z2315" s="1"/>
      <c r="AA2315" s="1"/>
      <c r="AB2315" s="1"/>
      <c r="AC2315" s="1"/>
      <c r="AD2315" s="1"/>
      <c r="AE2315" s="1"/>
      <c r="AF2315" s="1"/>
      <c r="AG2315" s="1"/>
      <c r="AH2315" s="1"/>
    </row>
    <row r="2316" spans="1:34" ht="12.5">
      <c r="A2316" s="1"/>
      <c r="B2316" s="1"/>
      <c r="C2316" s="1"/>
      <c r="D2316" s="1"/>
      <c r="E2316" s="1"/>
      <c r="F2316" s="1"/>
      <c r="G2316" s="1"/>
      <c r="H2316" s="1"/>
      <c r="I2316" s="1"/>
      <c r="J2316" s="1"/>
      <c r="K2316" s="1"/>
      <c r="L2316" s="1"/>
      <c r="M2316" s="1"/>
      <c r="N2316" s="1"/>
      <c r="O2316" s="1"/>
      <c r="P2316" s="1"/>
      <c r="Q2316" s="1"/>
      <c r="R2316" s="1"/>
      <c r="S2316" s="1"/>
      <c r="T2316" s="1"/>
      <c r="U2316" s="1"/>
      <c r="V2316" s="1"/>
      <c r="W2316" s="1"/>
      <c r="X2316" s="1"/>
      <c r="Y2316" s="1"/>
      <c r="Z2316" s="1"/>
      <c r="AA2316" s="1"/>
      <c r="AB2316" s="1"/>
      <c r="AC2316" s="1"/>
      <c r="AD2316" s="1"/>
      <c r="AE2316" s="1"/>
      <c r="AF2316" s="1"/>
      <c r="AG2316" s="1"/>
      <c r="AH2316" s="1"/>
    </row>
    <row r="2317" spans="1:34" ht="12.5">
      <c r="A2317" s="1"/>
      <c r="B2317" s="1"/>
      <c r="C2317" s="1"/>
      <c r="D2317" s="1"/>
      <c r="E2317" s="1"/>
      <c r="F2317" s="1"/>
      <c r="G2317" s="1"/>
      <c r="H2317" s="1"/>
      <c r="I2317" s="1"/>
      <c r="J2317" s="1"/>
      <c r="K2317" s="1"/>
      <c r="L2317" s="1"/>
      <c r="M2317" s="1"/>
      <c r="N2317" s="1"/>
      <c r="O2317" s="1"/>
      <c r="P2317" s="1"/>
      <c r="Q2317" s="1"/>
      <c r="R2317" s="1"/>
      <c r="S2317" s="1"/>
      <c r="T2317" s="1"/>
      <c r="U2317" s="1"/>
      <c r="V2317" s="1"/>
      <c r="W2317" s="1"/>
      <c r="X2317" s="1"/>
      <c r="Y2317" s="1"/>
      <c r="Z2317" s="1"/>
      <c r="AA2317" s="1"/>
      <c r="AB2317" s="1"/>
      <c r="AC2317" s="1"/>
      <c r="AD2317" s="1"/>
      <c r="AE2317" s="1"/>
      <c r="AF2317" s="1"/>
      <c r="AG2317" s="1"/>
      <c r="AH2317" s="1"/>
    </row>
    <row r="2318" spans="1:34" ht="12.5">
      <c r="A2318" s="1"/>
      <c r="B2318" s="1"/>
      <c r="C2318" s="1"/>
      <c r="D2318" s="1"/>
      <c r="E2318" s="1"/>
      <c r="F2318" s="1"/>
      <c r="G2318" s="1"/>
      <c r="H2318" s="1"/>
      <c r="I2318" s="1"/>
      <c r="J2318" s="1"/>
      <c r="K2318" s="1"/>
      <c r="L2318" s="1"/>
      <c r="M2318" s="1"/>
      <c r="N2318" s="1"/>
      <c r="O2318" s="1"/>
      <c r="P2318" s="1"/>
      <c r="Q2318" s="1"/>
      <c r="R2318" s="1"/>
      <c r="S2318" s="1"/>
      <c r="T2318" s="1"/>
      <c r="U2318" s="1"/>
      <c r="V2318" s="1"/>
      <c r="W2318" s="1"/>
      <c r="X2318" s="1"/>
      <c r="Y2318" s="1"/>
      <c r="Z2318" s="1"/>
      <c r="AA2318" s="1"/>
      <c r="AB2318" s="1"/>
      <c r="AC2318" s="1"/>
      <c r="AD2318" s="1"/>
      <c r="AE2318" s="1"/>
      <c r="AF2318" s="1"/>
      <c r="AG2318" s="1"/>
      <c r="AH2318" s="1"/>
    </row>
    <row r="2319" spans="1:34" ht="12.5">
      <c r="A2319" s="1"/>
      <c r="B2319" s="1"/>
      <c r="C2319" s="1"/>
      <c r="D2319" s="1"/>
      <c r="E2319" s="1"/>
      <c r="F2319" s="1"/>
      <c r="G2319" s="1"/>
      <c r="H2319" s="1"/>
      <c r="I2319" s="1"/>
      <c r="J2319" s="1"/>
      <c r="K2319" s="1"/>
      <c r="L2319" s="1"/>
      <c r="M2319" s="1"/>
      <c r="N2319" s="1"/>
      <c r="O2319" s="1"/>
      <c r="P2319" s="1"/>
      <c r="Q2319" s="1"/>
      <c r="R2319" s="1"/>
      <c r="S2319" s="1"/>
      <c r="T2319" s="1"/>
      <c r="U2319" s="1"/>
      <c r="V2319" s="1"/>
      <c r="W2319" s="1"/>
      <c r="X2319" s="1"/>
      <c r="Y2319" s="1"/>
      <c r="Z2319" s="1"/>
      <c r="AA2319" s="1"/>
      <c r="AB2319" s="1"/>
      <c r="AC2319" s="1"/>
      <c r="AD2319" s="1"/>
      <c r="AE2319" s="1"/>
      <c r="AF2319" s="1"/>
      <c r="AG2319" s="1"/>
      <c r="AH2319" s="1"/>
    </row>
    <row r="2320" spans="1:34" ht="12.5">
      <c r="A2320" s="1"/>
      <c r="B2320" s="1"/>
      <c r="C2320" s="1"/>
      <c r="D2320" s="1"/>
      <c r="E2320" s="1"/>
      <c r="F2320" s="1"/>
      <c r="G2320" s="1"/>
      <c r="H2320" s="1"/>
      <c r="I2320" s="1"/>
      <c r="J2320" s="1"/>
      <c r="K2320" s="1"/>
      <c r="L2320" s="1"/>
      <c r="M2320" s="1"/>
      <c r="N2320" s="1"/>
      <c r="O2320" s="1"/>
      <c r="P2320" s="1"/>
      <c r="Q2320" s="1"/>
      <c r="R2320" s="1"/>
      <c r="S2320" s="1"/>
      <c r="T2320" s="1"/>
      <c r="U2320" s="1"/>
      <c r="V2320" s="1"/>
      <c r="W2320" s="1"/>
      <c r="X2320" s="1"/>
      <c r="Y2320" s="1"/>
      <c r="Z2320" s="1"/>
      <c r="AA2320" s="1"/>
      <c r="AB2320" s="1"/>
      <c r="AC2320" s="1"/>
      <c r="AD2320" s="1"/>
      <c r="AE2320" s="1"/>
      <c r="AF2320" s="1"/>
      <c r="AG2320" s="1"/>
      <c r="AH2320" s="1"/>
    </row>
    <row r="2321" spans="1:34" ht="12.5">
      <c r="A2321" s="1"/>
      <c r="B2321" s="1"/>
      <c r="C2321" s="1"/>
      <c r="D2321" s="1"/>
      <c r="E2321" s="1"/>
      <c r="F2321" s="1"/>
      <c r="G2321" s="1"/>
      <c r="H2321" s="1"/>
      <c r="I2321" s="1"/>
      <c r="J2321" s="1"/>
      <c r="K2321" s="1"/>
      <c r="L2321" s="1"/>
      <c r="M2321" s="1"/>
      <c r="N2321" s="1"/>
      <c r="O2321" s="1"/>
      <c r="P2321" s="1"/>
      <c r="Q2321" s="1"/>
      <c r="R2321" s="1"/>
      <c r="S2321" s="1"/>
      <c r="T2321" s="1"/>
      <c r="U2321" s="1"/>
      <c r="V2321" s="1"/>
      <c r="W2321" s="1"/>
      <c r="X2321" s="1"/>
      <c r="Y2321" s="1"/>
      <c r="Z2321" s="1"/>
      <c r="AA2321" s="1"/>
      <c r="AB2321" s="1"/>
      <c r="AC2321" s="1"/>
      <c r="AD2321" s="1"/>
      <c r="AE2321" s="1"/>
      <c r="AF2321" s="1"/>
      <c r="AG2321" s="1"/>
      <c r="AH2321" s="1"/>
    </row>
    <row r="2322" spans="1:34" ht="12.5">
      <c r="A2322" s="1"/>
      <c r="B2322" s="1"/>
      <c r="C2322" s="1"/>
      <c r="D2322" s="1"/>
      <c r="E2322" s="1"/>
      <c r="F2322" s="1"/>
      <c r="G2322" s="1"/>
      <c r="H2322" s="1"/>
      <c r="I2322" s="1"/>
      <c r="J2322" s="1"/>
      <c r="K2322" s="1"/>
      <c r="L2322" s="1"/>
      <c r="M2322" s="1"/>
      <c r="N2322" s="1"/>
      <c r="O2322" s="1"/>
      <c r="P2322" s="1"/>
      <c r="Q2322" s="1"/>
      <c r="R2322" s="1"/>
      <c r="S2322" s="1"/>
      <c r="T2322" s="1"/>
      <c r="U2322" s="1"/>
      <c r="V2322" s="1"/>
      <c r="W2322" s="1"/>
      <c r="X2322" s="1"/>
      <c r="Y2322" s="1"/>
      <c r="Z2322" s="1"/>
      <c r="AA2322" s="1"/>
      <c r="AB2322" s="1"/>
      <c r="AC2322" s="1"/>
      <c r="AD2322" s="1"/>
      <c r="AE2322" s="1"/>
      <c r="AF2322" s="1"/>
      <c r="AG2322" s="1"/>
      <c r="AH2322" s="1"/>
    </row>
    <row r="2323" spans="1:34" ht="12.5">
      <c r="A2323" s="1"/>
      <c r="B2323" s="1"/>
      <c r="C2323" s="1"/>
      <c r="D2323" s="1"/>
      <c r="E2323" s="1"/>
      <c r="F2323" s="1"/>
      <c r="G2323" s="1"/>
      <c r="H2323" s="1"/>
      <c r="I2323" s="1"/>
      <c r="J2323" s="1"/>
      <c r="K2323" s="1"/>
      <c r="L2323" s="1"/>
      <c r="M2323" s="1"/>
      <c r="N2323" s="1"/>
      <c r="O2323" s="1"/>
      <c r="P2323" s="1"/>
      <c r="Q2323" s="1"/>
      <c r="R2323" s="1"/>
      <c r="S2323" s="1"/>
      <c r="T2323" s="1"/>
      <c r="U2323" s="1"/>
      <c r="V2323" s="1"/>
      <c r="W2323" s="1"/>
      <c r="X2323" s="1"/>
      <c r="Y2323" s="1"/>
      <c r="Z2323" s="1"/>
      <c r="AA2323" s="1"/>
      <c r="AB2323" s="1"/>
      <c r="AC2323" s="1"/>
      <c r="AD2323" s="1"/>
      <c r="AE2323" s="1"/>
      <c r="AF2323" s="1"/>
      <c r="AG2323" s="1"/>
      <c r="AH2323" s="1"/>
    </row>
    <row r="2324" spans="1:34" ht="12.5">
      <c r="A2324" s="1"/>
      <c r="B2324" s="1"/>
      <c r="C2324" s="1"/>
      <c r="D2324" s="1"/>
      <c r="E2324" s="1"/>
      <c r="F2324" s="1"/>
      <c r="G2324" s="1"/>
      <c r="H2324" s="1"/>
      <c r="I2324" s="1"/>
      <c r="J2324" s="1"/>
      <c r="K2324" s="1"/>
      <c r="L2324" s="1"/>
      <c r="M2324" s="1"/>
      <c r="N2324" s="1"/>
      <c r="O2324" s="1"/>
      <c r="P2324" s="1"/>
      <c r="Q2324" s="1"/>
      <c r="R2324" s="1"/>
      <c r="S2324" s="1"/>
      <c r="T2324" s="1"/>
      <c r="U2324" s="1"/>
      <c r="V2324" s="1"/>
      <c r="W2324" s="1"/>
      <c r="X2324" s="1"/>
      <c r="Y2324" s="1"/>
      <c r="Z2324" s="1"/>
      <c r="AA2324" s="1"/>
      <c r="AB2324" s="1"/>
      <c r="AC2324" s="1"/>
      <c r="AD2324" s="1"/>
      <c r="AE2324" s="1"/>
      <c r="AF2324" s="1"/>
      <c r="AG2324" s="1"/>
      <c r="AH2324" s="1"/>
    </row>
    <row r="2325" spans="1:34" ht="12.5">
      <c r="A2325" s="1"/>
      <c r="B2325" s="1"/>
      <c r="C2325" s="1"/>
      <c r="D2325" s="1"/>
      <c r="E2325" s="1"/>
      <c r="F2325" s="1"/>
      <c r="G2325" s="1"/>
      <c r="H2325" s="1"/>
      <c r="I2325" s="1"/>
      <c r="J2325" s="1"/>
      <c r="K2325" s="1"/>
      <c r="L2325" s="1"/>
      <c r="M2325" s="1"/>
      <c r="N2325" s="1"/>
      <c r="O2325" s="1"/>
      <c r="P2325" s="1"/>
      <c r="Q2325" s="1"/>
      <c r="R2325" s="1"/>
      <c r="S2325" s="1"/>
      <c r="T2325" s="1"/>
      <c r="U2325" s="1"/>
      <c r="V2325" s="1"/>
      <c r="W2325" s="1"/>
      <c r="X2325" s="1"/>
      <c r="Y2325" s="1"/>
      <c r="Z2325" s="1"/>
      <c r="AA2325" s="1"/>
      <c r="AB2325" s="1"/>
      <c r="AC2325" s="1"/>
      <c r="AD2325" s="1"/>
      <c r="AE2325" s="1"/>
      <c r="AF2325" s="1"/>
      <c r="AG2325" s="1"/>
      <c r="AH2325" s="1"/>
    </row>
    <row r="2326" spans="1:34" ht="12.5">
      <c r="A2326" s="1"/>
      <c r="B2326" s="1"/>
      <c r="C2326" s="1"/>
      <c r="D2326" s="1"/>
      <c r="E2326" s="1"/>
      <c r="F2326" s="1"/>
      <c r="G2326" s="1"/>
      <c r="H2326" s="1"/>
      <c r="I2326" s="1"/>
      <c r="J2326" s="1"/>
      <c r="K2326" s="1"/>
      <c r="L2326" s="1"/>
      <c r="M2326" s="1"/>
      <c r="N2326" s="1"/>
      <c r="O2326" s="1"/>
      <c r="P2326" s="1"/>
      <c r="Q2326" s="1"/>
      <c r="R2326" s="1"/>
      <c r="S2326" s="1"/>
      <c r="T2326" s="1"/>
      <c r="U2326" s="1"/>
      <c r="V2326" s="1"/>
      <c r="W2326" s="1"/>
      <c r="X2326" s="1"/>
      <c r="Y2326" s="1"/>
      <c r="Z2326" s="1"/>
      <c r="AA2326" s="1"/>
      <c r="AB2326" s="1"/>
      <c r="AC2326" s="1"/>
      <c r="AD2326" s="1"/>
      <c r="AE2326" s="1"/>
      <c r="AF2326" s="1"/>
      <c r="AG2326" s="1"/>
      <c r="AH2326" s="1"/>
    </row>
    <row r="2327" spans="1:34" ht="12.5">
      <c r="A2327" s="1"/>
      <c r="B2327" s="1"/>
      <c r="C2327" s="1"/>
      <c r="D2327" s="1"/>
      <c r="E2327" s="1"/>
      <c r="F2327" s="1"/>
      <c r="G2327" s="1"/>
      <c r="H2327" s="1"/>
      <c r="I2327" s="1"/>
      <c r="J2327" s="1"/>
      <c r="K2327" s="1"/>
      <c r="L2327" s="1"/>
      <c r="M2327" s="1"/>
      <c r="N2327" s="1"/>
      <c r="O2327" s="1"/>
      <c r="P2327" s="1"/>
      <c r="Q2327" s="1"/>
      <c r="R2327" s="1"/>
      <c r="S2327" s="1"/>
      <c r="T2327" s="1"/>
      <c r="U2327" s="1"/>
      <c r="V2327" s="1"/>
      <c r="W2327" s="1"/>
      <c r="X2327" s="1"/>
      <c r="Y2327" s="1"/>
      <c r="Z2327" s="1"/>
      <c r="AA2327" s="1"/>
      <c r="AB2327" s="1"/>
      <c r="AC2327" s="1"/>
      <c r="AD2327" s="1"/>
      <c r="AE2327" s="1"/>
      <c r="AF2327" s="1"/>
      <c r="AG2327" s="1"/>
      <c r="AH2327" s="1"/>
    </row>
    <row r="2328" spans="1:34" ht="12.5">
      <c r="A2328" s="1"/>
      <c r="B2328" s="1"/>
      <c r="C2328" s="1"/>
      <c r="D2328" s="1"/>
      <c r="E2328" s="1"/>
      <c r="F2328" s="1"/>
      <c r="G2328" s="1"/>
      <c r="H2328" s="1"/>
      <c r="I2328" s="1"/>
      <c r="J2328" s="1"/>
      <c r="K2328" s="1"/>
      <c r="L2328" s="1"/>
      <c r="M2328" s="1"/>
      <c r="N2328" s="1"/>
      <c r="O2328" s="1"/>
      <c r="P2328" s="1"/>
      <c r="Q2328" s="1"/>
      <c r="R2328" s="1"/>
      <c r="S2328" s="1"/>
      <c r="T2328" s="1"/>
      <c r="U2328" s="1"/>
      <c r="V2328" s="1"/>
      <c r="W2328" s="1"/>
      <c r="X2328" s="1"/>
      <c r="Y2328" s="1"/>
      <c r="Z2328" s="1"/>
      <c r="AA2328" s="1"/>
      <c r="AB2328" s="1"/>
      <c r="AC2328" s="1"/>
      <c r="AD2328" s="1"/>
      <c r="AE2328" s="1"/>
      <c r="AF2328" s="1"/>
      <c r="AG2328" s="1"/>
      <c r="AH2328" s="1"/>
    </row>
    <row r="2329" spans="1:34" ht="12.5">
      <c r="A2329" s="1"/>
      <c r="B2329" s="1"/>
      <c r="C2329" s="1"/>
      <c r="D2329" s="1"/>
      <c r="E2329" s="1"/>
      <c r="F2329" s="1"/>
      <c r="G2329" s="1"/>
      <c r="H2329" s="1"/>
      <c r="I2329" s="1"/>
      <c r="J2329" s="1"/>
      <c r="K2329" s="1"/>
      <c r="L2329" s="1"/>
      <c r="M2329" s="1"/>
      <c r="N2329" s="1"/>
      <c r="O2329" s="1"/>
      <c r="P2329" s="1"/>
      <c r="Q2329" s="1"/>
      <c r="R2329" s="1"/>
      <c r="S2329" s="1"/>
      <c r="T2329" s="1"/>
      <c r="U2329" s="1"/>
      <c r="V2329" s="1"/>
      <c r="W2329" s="1"/>
      <c r="X2329" s="1"/>
      <c r="Y2329" s="1"/>
      <c r="Z2329" s="1"/>
      <c r="AA2329" s="1"/>
      <c r="AB2329" s="1"/>
      <c r="AC2329" s="1"/>
      <c r="AD2329" s="1"/>
      <c r="AE2329" s="1"/>
      <c r="AF2329" s="1"/>
      <c r="AG2329" s="1"/>
      <c r="AH2329" s="1"/>
    </row>
    <row r="2330" spans="1:34" ht="12.5">
      <c r="A2330" s="1"/>
      <c r="B2330" s="1"/>
      <c r="C2330" s="1"/>
      <c r="D2330" s="1"/>
      <c r="E2330" s="1"/>
      <c r="F2330" s="1"/>
      <c r="G2330" s="1"/>
      <c r="H2330" s="1"/>
      <c r="I2330" s="1"/>
      <c r="J2330" s="1"/>
      <c r="K2330" s="1"/>
      <c r="L2330" s="1"/>
      <c r="M2330" s="1"/>
      <c r="N2330" s="1"/>
      <c r="O2330" s="1"/>
      <c r="P2330" s="1"/>
      <c r="Q2330" s="1"/>
      <c r="R2330" s="1"/>
      <c r="S2330" s="1"/>
      <c r="T2330" s="1"/>
      <c r="U2330" s="1"/>
      <c r="V2330" s="1"/>
      <c r="W2330" s="1"/>
      <c r="X2330" s="1"/>
      <c r="Y2330" s="1"/>
      <c r="Z2330" s="1"/>
      <c r="AA2330" s="1"/>
      <c r="AB2330" s="1"/>
      <c r="AC2330" s="1"/>
      <c r="AD2330" s="1"/>
      <c r="AE2330" s="1"/>
      <c r="AF2330" s="1"/>
      <c r="AG2330" s="1"/>
      <c r="AH2330" s="1"/>
    </row>
    <row r="2331" spans="1:34" ht="12.5">
      <c r="A2331" s="1"/>
      <c r="B2331" s="1"/>
      <c r="C2331" s="1"/>
      <c r="D2331" s="1"/>
      <c r="E2331" s="1"/>
      <c r="F2331" s="1"/>
      <c r="G2331" s="1"/>
      <c r="H2331" s="1"/>
      <c r="I2331" s="1"/>
      <c r="J2331" s="1"/>
      <c r="K2331" s="1"/>
      <c r="L2331" s="1"/>
      <c r="M2331" s="1"/>
      <c r="N2331" s="1"/>
      <c r="O2331" s="1"/>
      <c r="P2331" s="1"/>
      <c r="Q2331" s="1"/>
      <c r="R2331" s="1"/>
      <c r="S2331" s="1"/>
      <c r="T2331" s="1"/>
      <c r="U2331" s="1"/>
      <c r="V2331" s="1"/>
      <c r="W2331" s="1"/>
      <c r="X2331" s="1"/>
      <c r="Y2331" s="1"/>
      <c r="Z2331" s="1"/>
      <c r="AA2331" s="1"/>
      <c r="AB2331" s="1"/>
      <c r="AC2331" s="1"/>
      <c r="AD2331" s="1"/>
      <c r="AE2331" s="1"/>
      <c r="AF2331" s="1"/>
      <c r="AG2331" s="1"/>
      <c r="AH2331" s="1"/>
    </row>
    <row r="2332" spans="1:34" ht="12.5">
      <c r="A2332" s="1"/>
      <c r="B2332" s="1"/>
      <c r="C2332" s="1"/>
      <c r="D2332" s="1"/>
      <c r="E2332" s="1"/>
      <c r="F2332" s="1"/>
      <c r="G2332" s="1"/>
      <c r="H2332" s="1"/>
      <c r="I2332" s="1"/>
      <c r="J2332" s="1"/>
      <c r="K2332" s="1"/>
      <c r="L2332" s="1"/>
      <c r="M2332" s="1"/>
      <c r="N2332" s="1"/>
      <c r="O2332" s="1"/>
      <c r="P2332" s="1"/>
      <c r="Q2332" s="1"/>
      <c r="R2332" s="1"/>
      <c r="S2332" s="1"/>
      <c r="T2332" s="1"/>
      <c r="U2332" s="1"/>
      <c r="V2332" s="1"/>
      <c r="W2332" s="1"/>
      <c r="X2332" s="1"/>
      <c r="Y2332" s="1"/>
      <c r="Z2332" s="1"/>
      <c r="AA2332" s="1"/>
      <c r="AB2332" s="1"/>
      <c r="AC2332" s="1"/>
      <c r="AD2332" s="1"/>
      <c r="AE2332" s="1"/>
      <c r="AF2332" s="1"/>
      <c r="AG2332" s="1"/>
      <c r="AH2332" s="1"/>
    </row>
    <row r="2333" spans="1:34" ht="12.5">
      <c r="A2333" s="1"/>
      <c r="B2333" s="1"/>
      <c r="C2333" s="1"/>
      <c r="D2333" s="1"/>
      <c r="E2333" s="1"/>
      <c r="F2333" s="1"/>
      <c r="G2333" s="1"/>
      <c r="H2333" s="1"/>
      <c r="I2333" s="1"/>
      <c r="J2333" s="1"/>
      <c r="K2333" s="1"/>
      <c r="L2333" s="1"/>
      <c r="M2333" s="1"/>
      <c r="N2333" s="1"/>
      <c r="O2333" s="1"/>
      <c r="P2333" s="1"/>
      <c r="Q2333" s="1"/>
      <c r="R2333" s="1"/>
      <c r="S2333" s="1"/>
      <c r="T2333" s="1"/>
      <c r="U2333" s="1"/>
      <c r="V2333" s="1"/>
      <c r="W2333" s="1"/>
      <c r="X2333" s="1"/>
      <c r="Y2333" s="1"/>
      <c r="Z2333" s="1"/>
      <c r="AA2333" s="1"/>
      <c r="AB2333" s="1"/>
      <c r="AC2333" s="1"/>
      <c r="AD2333" s="1"/>
      <c r="AE2333" s="1"/>
      <c r="AF2333" s="1"/>
      <c r="AG2333" s="1"/>
      <c r="AH2333" s="1"/>
    </row>
    <row r="2334" spans="1:34" ht="12.5">
      <c r="A2334" s="1"/>
      <c r="B2334" s="1"/>
      <c r="C2334" s="1"/>
      <c r="D2334" s="1"/>
      <c r="E2334" s="1"/>
      <c r="F2334" s="1"/>
      <c r="G2334" s="1"/>
      <c r="H2334" s="1"/>
      <c r="I2334" s="1"/>
      <c r="J2334" s="1"/>
      <c r="K2334" s="1"/>
      <c r="L2334" s="1"/>
      <c r="M2334" s="1"/>
      <c r="N2334" s="1"/>
      <c r="O2334" s="1"/>
      <c r="P2334" s="1"/>
      <c r="Q2334" s="1"/>
      <c r="R2334" s="1"/>
      <c r="S2334" s="1"/>
      <c r="T2334" s="1"/>
      <c r="U2334" s="1"/>
      <c r="V2334" s="1"/>
      <c r="W2334" s="1"/>
      <c r="X2334" s="1"/>
      <c r="Y2334" s="1"/>
      <c r="Z2334" s="1"/>
      <c r="AA2334" s="1"/>
      <c r="AB2334" s="1"/>
      <c r="AC2334" s="1"/>
      <c r="AD2334" s="1"/>
      <c r="AE2334" s="1"/>
      <c r="AF2334" s="1"/>
      <c r="AG2334" s="1"/>
      <c r="AH2334" s="1"/>
    </row>
    <row r="2335" spans="1:34" ht="12.5">
      <c r="A2335" s="1"/>
      <c r="B2335" s="1"/>
      <c r="C2335" s="1"/>
      <c r="D2335" s="1"/>
      <c r="E2335" s="1"/>
      <c r="F2335" s="1"/>
      <c r="G2335" s="1"/>
      <c r="H2335" s="1"/>
      <c r="I2335" s="1"/>
      <c r="J2335" s="1"/>
      <c r="K2335" s="1"/>
      <c r="L2335" s="1"/>
      <c r="M2335" s="1"/>
      <c r="N2335" s="1"/>
      <c r="O2335" s="1"/>
      <c r="P2335" s="1"/>
      <c r="Q2335" s="1"/>
      <c r="R2335" s="1"/>
      <c r="S2335" s="1"/>
      <c r="T2335" s="1"/>
      <c r="U2335" s="1"/>
      <c r="V2335" s="1"/>
      <c r="W2335" s="1"/>
      <c r="X2335" s="1"/>
      <c r="Y2335" s="1"/>
      <c r="Z2335" s="1"/>
      <c r="AA2335" s="1"/>
      <c r="AB2335" s="1"/>
      <c r="AC2335" s="1"/>
      <c r="AD2335" s="1"/>
      <c r="AE2335" s="1"/>
      <c r="AF2335" s="1"/>
      <c r="AG2335" s="1"/>
      <c r="AH2335" s="1"/>
    </row>
    <row r="2336" spans="1:34" ht="12.5">
      <c r="A2336" s="1"/>
      <c r="B2336" s="1"/>
      <c r="C2336" s="1"/>
      <c r="D2336" s="1"/>
      <c r="E2336" s="1"/>
      <c r="F2336" s="1"/>
      <c r="G2336" s="1"/>
      <c r="H2336" s="1"/>
      <c r="I2336" s="1"/>
      <c r="J2336" s="1"/>
      <c r="K2336" s="1"/>
      <c r="L2336" s="1"/>
      <c r="M2336" s="1"/>
      <c r="N2336" s="1"/>
      <c r="O2336" s="1"/>
      <c r="P2336" s="1"/>
      <c r="Q2336" s="1"/>
      <c r="R2336" s="1"/>
      <c r="S2336" s="1"/>
      <c r="T2336" s="1"/>
      <c r="U2336" s="1"/>
      <c r="V2336" s="1"/>
      <c r="W2336" s="1"/>
      <c r="X2336" s="1"/>
      <c r="Y2336" s="1"/>
      <c r="Z2336" s="1"/>
      <c r="AA2336" s="1"/>
      <c r="AB2336" s="1"/>
      <c r="AC2336" s="1"/>
      <c r="AD2336" s="1"/>
      <c r="AE2336" s="1"/>
      <c r="AF2336" s="1"/>
      <c r="AG2336" s="1"/>
      <c r="AH2336" s="1"/>
    </row>
    <row r="2337" spans="1:34" ht="12.5">
      <c r="A2337" s="1"/>
      <c r="B2337" s="1"/>
      <c r="C2337" s="1"/>
      <c r="D2337" s="1"/>
      <c r="E2337" s="1"/>
      <c r="F2337" s="1"/>
      <c r="G2337" s="1"/>
      <c r="H2337" s="1"/>
      <c r="I2337" s="1"/>
      <c r="J2337" s="1"/>
      <c r="K2337" s="1"/>
      <c r="L2337" s="1"/>
      <c r="M2337" s="1"/>
      <c r="N2337" s="1"/>
      <c r="O2337" s="1"/>
      <c r="P2337" s="1"/>
      <c r="Q2337" s="1"/>
      <c r="R2337" s="1"/>
      <c r="S2337" s="1"/>
      <c r="T2337" s="1"/>
      <c r="U2337" s="1"/>
      <c r="V2337" s="1"/>
      <c r="W2337" s="1"/>
      <c r="X2337" s="1"/>
      <c r="Y2337" s="1"/>
      <c r="Z2337" s="1"/>
      <c r="AA2337" s="1"/>
      <c r="AB2337" s="1"/>
      <c r="AC2337" s="1"/>
      <c r="AD2337" s="1"/>
      <c r="AE2337" s="1"/>
      <c r="AF2337" s="1"/>
      <c r="AG2337" s="1"/>
      <c r="AH2337" s="1"/>
    </row>
    <row r="2338" spans="1:34" ht="12.5">
      <c r="A2338" s="1"/>
      <c r="B2338" s="1"/>
      <c r="C2338" s="1"/>
      <c r="D2338" s="1"/>
      <c r="E2338" s="1"/>
      <c r="F2338" s="1"/>
      <c r="G2338" s="1"/>
      <c r="H2338" s="1"/>
      <c r="I2338" s="1"/>
      <c r="J2338" s="1"/>
      <c r="K2338" s="1"/>
      <c r="L2338" s="1"/>
      <c r="M2338" s="1"/>
      <c r="N2338" s="1"/>
      <c r="O2338" s="1"/>
      <c r="P2338" s="1"/>
      <c r="Q2338" s="1"/>
      <c r="R2338" s="1"/>
      <c r="S2338" s="1"/>
      <c r="T2338" s="1"/>
      <c r="U2338" s="1"/>
      <c r="V2338" s="1"/>
      <c r="W2338" s="1"/>
      <c r="X2338" s="1"/>
      <c r="Y2338" s="1"/>
      <c r="Z2338" s="1"/>
      <c r="AA2338" s="1"/>
      <c r="AB2338" s="1"/>
      <c r="AC2338" s="1"/>
      <c r="AD2338" s="1"/>
      <c r="AE2338" s="1"/>
      <c r="AF2338" s="1"/>
      <c r="AG2338" s="1"/>
      <c r="AH2338" s="1"/>
    </row>
    <row r="2339" spans="1:34" ht="12.5">
      <c r="A2339" s="1"/>
      <c r="B2339" s="1"/>
      <c r="C2339" s="1"/>
      <c r="D2339" s="1"/>
      <c r="E2339" s="1"/>
      <c r="F2339" s="1"/>
      <c r="G2339" s="1"/>
      <c r="H2339" s="1"/>
      <c r="I2339" s="1"/>
      <c r="J2339" s="1"/>
      <c r="K2339" s="1"/>
      <c r="L2339" s="1"/>
      <c r="M2339" s="1"/>
      <c r="N2339" s="1"/>
      <c r="O2339" s="1"/>
      <c r="P2339" s="1"/>
      <c r="Q2339" s="1"/>
      <c r="R2339" s="1"/>
      <c r="S2339" s="1"/>
      <c r="T2339" s="1"/>
      <c r="U2339" s="1"/>
      <c r="V2339" s="1"/>
      <c r="W2339" s="1"/>
      <c r="X2339" s="1"/>
      <c r="Y2339" s="1"/>
      <c r="Z2339" s="1"/>
      <c r="AA2339" s="1"/>
      <c r="AB2339" s="1"/>
      <c r="AC2339" s="1"/>
      <c r="AD2339" s="1"/>
      <c r="AE2339" s="1"/>
      <c r="AF2339" s="1"/>
      <c r="AG2339" s="1"/>
      <c r="AH2339" s="1"/>
    </row>
    <row r="2340" spans="1:34" ht="12.5">
      <c r="A2340" s="1"/>
      <c r="B2340" s="1"/>
      <c r="C2340" s="1"/>
      <c r="D2340" s="1"/>
      <c r="E2340" s="1"/>
      <c r="F2340" s="1"/>
      <c r="G2340" s="1"/>
      <c r="H2340" s="1"/>
      <c r="I2340" s="1"/>
      <c r="J2340" s="1"/>
      <c r="K2340" s="1"/>
      <c r="L2340" s="1"/>
      <c r="M2340" s="1"/>
      <c r="N2340" s="1"/>
      <c r="O2340" s="1"/>
      <c r="P2340" s="1"/>
      <c r="Q2340" s="1"/>
      <c r="R2340" s="1"/>
      <c r="S2340" s="1"/>
      <c r="T2340" s="1"/>
      <c r="U2340" s="1"/>
      <c r="V2340" s="1"/>
      <c r="W2340" s="1"/>
      <c r="X2340" s="1"/>
      <c r="Y2340" s="1"/>
      <c r="Z2340" s="1"/>
      <c r="AA2340" s="1"/>
      <c r="AB2340" s="1"/>
      <c r="AC2340" s="1"/>
      <c r="AD2340" s="1"/>
      <c r="AE2340" s="1"/>
      <c r="AF2340" s="1"/>
      <c r="AG2340" s="1"/>
      <c r="AH2340" s="1"/>
    </row>
    <row r="2341" spans="1:34" ht="12.5">
      <c r="A2341" s="1"/>
      <c r="B2341" s="1"/>
      <c r="C2341" s="1"/>
      <c r="D2341" s="1"/>
      <c r="E2341" s="1"/>
      <c r="F2341" s="1"/>
      <c r="G2341" s="1"/>
      <c r="H2341" s="1"/>
      <c r="I2341" s="1"/>
      <c r="J2341" s="1"/>
      <c r="K2341" s="1"/>
      <c r="L2341" s="1"/>
      <c r="M2341" s="1"/>
      <c r="N2341" s="1"/>
      <c r="O2341" s="1"/>
      <c r="P2341" s="1"/>
      <c r="Q2341" s="1"/>
      <c r="R2341" s="1"/>
      <c r="S2341" s="1"/>
      <c r="T2341" s="1"/>
      <c r="U2341" s="1"/>
      <c r="V2341" s="1"/>
      <c r="W2341" s="1"/>
      <c r="X2341" s="1"/>
      <c r="Y2341" s="1"/>
      <c r="Z2341" s="1"/>
      <c r="AA2341" s="1"/>
      <c r="AB2341" s="1"/>
      <c r="AC2341" s="1"/>
      <c r="AD2341" s="1"/>
      <c r="AE2341" s="1"/>
      <c r="AF2341" s="1"/>
      <c r="AG2341" s="1"/>
      <c r="AH2341" s="1"/>
    </row>
    <row r="2342" spans="1:34" ht="12.5">
      <c r="A2342" s="1"/>
      <c r="B2342" s="1"/>
      <c r="C2342" s="1"/>
      <c r="D2342" s="1"/>
      <c r="E2342" s="1"/>
      <c r="F2342" s="1"/>
      <c r="G2342" s="1"/>
      <c r="H2342" s="1"/>
      <c r="I2342" s="1"/>
      <c r="J2342" s="1"/>
      <c r="K2342" s="1"/>
      <c r="L2342" s="1"/>
      <c r="M2342" s="1"/>
      <c r="N2342" s="1"/>
      <c r="O2342" s="1"/>
      <c r="P2342" s="1"/>
      <c r="Q2342" s="1"/>
      <c r="R2342" s="1"/>
      <c r="S2342" s="1"/>
      <c r="T2342" s="1"/>
      <c r="U2342" s="1"/>
      <c r="V2342" s="1"/>
      <c r="W2342" s="1"/>
      <c r="X2342" s="1"/>
      <c r="Y2342" s="1"/>
      <c r="Z2342" s="1"/>
      <c r="AA2342" s="1"/>
      <c r="AB2342" s="1"/>
      <c r="AC2342" s="1"/>
      <c r="AD2342" s="1"/>
      <c r="AE2342" s="1"/>
      <c r="AF2342" s="1"/>
      <c r="AG2342" s="1"/>
      <c r="AH2342" s="1"/>
    </row>
    <row r="2343" spans="1:34" ht="12.5">
      <c r="A2343" s="1"/>
      <c r="B2343" s="1"/>
      <c r="C2343" s="1"/>
      <c r="D2343" s="1"/>
      <c r="E2343" s="1"/>
      <c r="F2343" s="1"/>
      <c r="G2343" s="1"/>
      <c r="H2343" s="1"/>
      <c r="I2343" s="1"/>
      <c r="J2343" s="1"/>
      <c r="K2343" s="1"/>
      <c r="L2343" s="1"/>
      <c r="M2343" s="1"/>
      <c r="N2343" s="1"/>
      <c r="O2343" s="1"/>
      <c r="P2343" s="1"/>
      <c r="Q2343" s="1"/>
      <c r="R2343" s="1"/>
      <c r="S2343" s="1"/>
      <c r="T2343" s="1"/>
      <c r="U2343" s="1"/>
      <c r="V2343" s="1"/>
      <c r="W2343" s="1"/>
      <c r="X2343" s="1"/>
      <c r="Y2343" s="1"/>
      <c r="Z2343" s="1"/>
      <c r="AA2343" s="1"/>
      <c r="AB2343" s="1"/>
      <c r="AC2343" s="1"/>
      <c r="AD2343" s="1"/>
      <c r="AE2343" s="1"/>
      <c r="AF2343" s="1"/>
      <c r="AG2343" s="1"/>
      <c r="AH2343" s="1"/>
    </row>
    <row r="2344" spans="1:34" ht="12.5">
      <c r="A2344" s="1"/>
      <c r="B2344" s="1"/>
      <c r="C2344" s="1"/>
      <c r="D2344" s="1"/>
      <c r="E2344" s="1"/>
      <c r="F2344" s="1"/>
      <c r="G2344" s="1"/>
      <c r="H2344" s="1"/>
      <c r="I2344" s="1"/>
      <c r="J2344" s="1"/>
      <c r="K2344" s="1"/>
      <c r="L2344" s="1"/>
      <c r="M2344" s="1"/>
      <c r="N2344" s="1"/>
      <c r="O2344" s="1"/>
      <c r="P2344" s="1"/>
      <c r="Q2344" s="1"/>
      <c r="R2344" s="1"/>
      <c r="S2344" s="1"/>
      <c r="T2344" s="1"/>
      <c r="U2344" s="1"/>
      <c r="V2344" s="1"/>
      <c r="W2344" s="1"/>
      <c r="X2344" s="1"/>
      <c r="Y2344" s="1"/>
      <c r="Z2344" s="1"/>
      <c r="AA2344" s="1"/>
      <c r="AB2344" s="1"/>
      <c r="AC2344" s="1"/>
      <c r="AD2344" s="1"/>
      <c r="AE2344" s="1"/>
      <c r="AF2344" s="1"/>
      <c r="AG2344" s="1"/>
      <c r="AH2344" s="1"/>
    </row>
    <row r="2345" spans="1:34" ht="12.5">
      <c r="A2345" s="1"/>
      <c r="B2345" s="1"/>
      <c r="C2345" s="1"/>
      <c r="D2345" s="1"/>
      <c r="E2345" s="1"/>
      <c r="F2345" s="1"/>
      <c r="G2345" s="1"/>
      <c r="H2345" s="1"/>
      <c r="I2345" s="1"/>
      <c r="J2345" s="1"/>
      <c r="K2345" s="1"/>
      <c r="L2345" s="1"/>
      <c r="M2345" s="1"/>
      <c r="N2345" s="1"/>
      <c r="O2345" s="1"/>
      <c r="P2345" s="1"/>
      <c r="Q2345" s="1"/>
      <c r="R2345" s="1"/>
      <c r="S2345" s="1"/>
      <c r="T2345" s="1"/>
      <c r="U2345" s="1"/>
      <c r="V2345" s="1"/>
      <c r="W2345" s="1"/>
      <c r="X2345" s="1"/>
      <c r="Y2345" s="1"/>
      <c r="Z2345" s="1"/>
      <c r="AA2345" s="1"/>
      <c r="AB2345" s="1"/>
      <c r="AC2345" s="1"/>
      <c r="AD2345" s="1"/>
      <c r="AE2345" s="1"/>
      <c r="AF2345" s="1"/>
      <c r="AG2345" s="1"/>
      <c r="AH2345" s="1"/>
    </row>
    <row r="2346" spans="1:34" ht="12.5">
      <c r="A2346" s="1"/>
      <c r="B2346" s="1"/>
      <c r="C2346" s="1"/>
      <c r="D2346" s="1"/>
      <c r="E2346" s="1"/>
      <c r="F2346" s="1"/>
      <c r="G2346" s="1"/>
      <c r="H2346" s="1"/>
      <c r="I2346" s="1"/>
      <c r="J2346" s="1"/>
      <c r="K2346" s="1"/>
      <c r="L2346" s="1"/>
      <c r="M2346" s="1"/>
      <c r="N2346" s="1"/>
      <c r="O2346" s="1"/>
      <c r="P2346" s="1"/>
      <c r="Q2346" s="1"/>
      <c r="R2346" s="1"/>
      <c r="S2346" s="1"/>
      <c r="T2346" s="1"/>
      <c r="U2346" s="1"/>
      <c r="V2346" s="1"/>
      <c r="W2346" s="1"/>
      <c r="X2346" s="1"/>
      <c r="Y2346" s="1"/>
      <c r="Z2346" s="1"/>
      <c r="AA2346" s="1"/>
      <c r="AB2346" s="1"/>
      <c r="AC2346" s="1"/>
      <c r="AD2346" s="1"/>
      <c r="AE2346" s="1"/>
      <c r="AF2346" s="1"/>
      <c r="AG2346" s="1"/>
      <c r="AH2346" s="1"/>
    </row>
    <row r="2347" spans="1:34" ht="12.5">
      <c r="A2347" s="1"/>
      <c r="B2347" s="1"/>
      <c r="C2347" s="1"/>
      <c r="D2347" s="1"/>
      <c r="E2347" s="1"/>
      <c r="F2347" s="1"/>
      <c r="G2347" s="1"/>
      <c r="H2347" s="1"/>
      <c r="I2347" s="1"/>
      <c r="J2347" s="1"/>
      <c r="K2347" s="1"/>
      <c r="L2347" s="1"/>
      <c r="M2347" s="1"/>
      <c r="N2347" s="1"/>
      <c r="O2347" s="1"/>
      <c r="P2347" s="1"/>
      <c r="Q2347" s="1"/>
      <c r="R2347" s="1"/>
      <c r="S2347" s="1"/>
      <c r="T2347" s="1"/>
      <c r="U2347" s="1"/>
      <c r="V2347" s="1"/>
      <c r="W2347" s="1"/>
      <c r="X2347" s="1"/>
      <c r="Y2347" s="1"/>
      <c r="Z2347" s="1"/>
      <c r="AA2347" s="1"/>
      <c r="AB2347" s="1"/>
      <c r="AC2347" s="1"/>
      <c r="AD2347" s="1"/>
      <c r="AE2347" s="1"/>
      <c r="AF2347" s="1"/>
      <c r="AG2347" s="1"/>
      <c r="AH2347" s="1"/>
    </row>
    <row r="2348" spans="1:34" ht="12.5">
      <c r="A2348" s="1"/>
      <c r="B2348" s="1"/>
      <c r="C2348" s="1"/>
      <c r="D2348" s="1"/>
      <c r="E2348" s="1"/>
      <c r="F2348" s="1"/>
      <c r="G2348" s="1"/>
      <c r="H2348" s="1"/>
      <c r="I2348" s="1"/>
      <c r="J2348" s="1"/>
      <c r="K2348" s="1"/>
      <c r="L2348" s="1"/>
      <c r="M2348" s="1"/>
      <c r="N2348" s="1"/>
      <c r="O2348" s="1"/>
      <c r="P2348" s="1"/>
      <c r="Q2348" s="1"/>
      <c r="R2348" s="1"/>
      <c r="S2348" s="1"/>
      <c r="T2348" s="1"/>
      <c r="U2348" s="1"/>
      <c r="V2348" s="1"/>
      <c r="W2348" s="1"/>
      <c r="X2348" s="1"/>
      <c r="Y2348" s="1"/>
      <c r="Z2348" s="1"/>
      <c r="AA2348" s="1"/>
      <c r="AB2348" s="1"/>
      <c r="AC2348" s="1"/>
      <c r="AD2348" s="1"/>
      <c r="AE2348" s="1"/>
      <c r="AF2348" s="1"/>
      <c r="AG2348" s="1"/>
      <c r="AH2348" s="1"/>
    </row>
    <row r="2349" spans="1:34" ht="12.5">
      <c r="A2349" s="1"/>
      <c r="B2349" s="1"/>
      <c r="C2349" s="1"/>
      <c r="D2349" s="1"/>
      <c r="E2349" s="1"/>
      <c r="F2349" s="1"/>
      <c r="G2349" s="1"/>
      <c r="H2349" s="1"/>
      <c r="I2349" s="1"/>
      <c r="J2349" s="1"/>
      <c r="K2349" s="1"/>
      <c r="L2349" s="1"/>
      <c r="M2349" s="1"/>
      <c r="N2349" s="1"/>
      <c r="O2349" s="1"/>
      <c r="P2349" s="1"/>
      <c r="Q2349" s="1"/>
      <c r="R2349" s="1"/>
      <c r="S2349" s="1"/>
      <c r="T2349" s="1"/>
      <c r="U2349" s="1"/>
      <c r="V2349" s="1"/>
      <c r="W2349" s="1"/>
      <c r="X2349" s="1"/>
      <c r="Y2349" s="1"/>
      <c r="Z2349" s="1"/>
      <c r="AA2349" s="1"/>
      <c r="AB2349" s="1"/>
      <c r="AC2349" s="1"/>
      <c r="AD2349" s="1"/>
      <c r="AE2349" s="1"/>
      <c r="AF2349" s="1"/>
      <c r="AG2349" s="1"/>
      <c r="AH2349" s="1"/>
    </row>
    <row r="2350" spans="1:34" ht="12.5">
      <c r="A2350" s="1"/>
      <c r="B2350" s="1"/>
      <c r="C2350" s="1"/>
      <c r="D2350" s="1"/>
      <c r="E2350" s="1"/>
      <c r="F2350" s="1"/>
      <c r="G2350" s="1"/>
      <c r="H2350" s="1"/>
      <c r="I2350" s="1"/>
      <c r="J2350" s="1"/>
      <c r="K2350" s="1"/>
      <c r="L2350" s="1"/>
      <c r="M2350" s="1"/>
      <c r="N2350" s="1"/>
      <c r="O2350" s="1"/>
      <c r="P2350" s="1"/>
      <c r="Q2350" s="1"/>
      <c r="R2350" s="1"/>
      <c r="S2350" s="1"/>
      <c r="T2350" s="1"/>
      <c r="U2350" s="1"/>
      <c r="V2350" s="1"/>
      <c r="W2350" s="1"/>
      <c r="X2350" s="1"/>
      <c r="Y2350" s="1"/>
      <c r="Z2350" s="1"/>
      <c r="AA2350" s="1"/>
      <c r="AB2350" s="1"/>
      <c r="AC2350" s="1"/>
      <c r="AD2350" s="1"/>
      <c r="AE2350" s="1"/>
      <c r="AF2350" s="1"/>
      <c r="AG2350" s="1"/>
      <c r="AH2350" s="1"/>
    </row>
    <row r="2351" spans="1:34" ht="12.5">
      <c r="A2351" s="1"/>
      <c r="B2351" s="1"/>
      <c r="C2351" s="1"/>
      <c r="D2351" s="1"/>
      <c r="E2351" s="1"/>
      <c r="F2351" s="1"/>
      <c r="G2351" s="1"/>
      <c r="H2351" s="1"/>
      <c r="I2351" s="1"/>
      <c r="J2351" s="1"/>
      <c r="K2351" s="1"/>
      <c r="L2351" s="1"/>
      <c r="M2351" s="1"/>
      <c r="N2351" s="1"/>
      <c r="O2351" s="1"/>
      <c r="P2351" s="1"/>
      <c r="Q2351" s="1"/>
      <c r="R2351" s="1"/>
      <c r="S2351" s="1"/>
      <c r="T2351" s="1"/>
      <c r="U2351" s="1"/>
      <c r="V2351" s="1"/>
      <c r="W2351" s="1"/>
      <c r="X2351" s="1"/>
      <c r="Y2351" s="1"/>
      <c r="Z2351" s="1"/>
      <c r="AA2351" s="1"/>
      <c r="AB2351" s="1"/>
      <c r="AC2351" s="1"/>
      <c r="AD2351" s="1"/>
      <c r="AE2351" s="1"/>
      <c r="AF2351" s="1"/>
      <c r="AG2351" s="1"/>
      <c r="AH2351" s="1"/>
    </row>
    <row r="2352" spans="1:34" ht="12.5">
      <c r="A2352" s="1"/>
      <c r="B2352" s="1"/>
      <c r="C2352" s="1"/>
      <c r="D2352" s="1"/>
      <c r="E2352" s="1"/>
      <c r="F2352" s="1"/>
      <c r="G2352" s="1"/>
      <c r="H2352" s="1"/>
      <c r="I2352" s="1"/>
      <c r="J2352" s="1"/>
      <c r="K2352" s="1"/>
      <c r="L2352" s="1"/>
      <c r="M2352" s="1"/>
      <c r="N2352" s="1"/>
      <c r="O2352" s="1"/>
      <c r="P2352" s="1"/>
      <c r="Q2352" s="1"/>
      <c r="R2352" s="1"/>
      <c r="S2352" s="1"/>
      <c r="T2352" s="1"/>
      <c r="U2352" s="1"/>
      <c r="V2352" s="1"/>
      <c r="W2352" s="1"/>
      <c r="X2352" s="1"/>
      <c r="Y2352" s="1"/>
      <c r="Z2352" s="1"/>
      <c r="AA2352" s="1"/>
      <c r="AB2352" s="1"/>
      <c r="AC2352" s="1"/>
      <c r="AD2352" s="1"/>
      <c r="AE2352" s="1"/>
      <c r="AF2352" s="1"/>
      <c r="AG2352" s="1"/>
      <c r="AH2352" s="1"/>
    </row>
    <row r="2353" spans="1:34" ht="12.5">
      <c r="A2353" s="1"/>
      <c r="B2353" s="1"/>
      <c r="C2353" s="1"/>
      <c r="D2353" s="1"/>
      <c r="E2353" s="1"/>
      <c r="F2353" s="1"/>
      <c r="G2353" s="1"/>
      <c r="H2353" s="1"/>
      <c r="I2353" s="1"/>
      <c r="J2353" s="1"/>
      <c r="K2353" s="1"/>
      <c r="L2353" s="1"/>
      <c r="M2353" s="1"/>
      <c r="N2353" s="1"/>
      <c r="O2353" s="1"/>
      <c r="P2353" s="1"/>
      <c r="Q2353" s="1"/>
      <c r="R2353" s="1"/>
      <c r="S2353" s="1"/>
      <c r="T2353" s="1"/>
      <c r="U2353" s="1"/>
      <c r="V2353" s="1"/>
      <c r="W2353" s="1"/>
      <c r="X2353" s="1"/>
      <c r="Y2353" s="1"/>
      <c r="Z2353" s="1"/>
      <c r="AA2353" s="1"/>
      <c r="AB2353" s="1"/>
      <c r="AC2353" s="1"/>
      <c r="AD2353" s="1"/>
      <c r="AE2353" s="1"/>
      <c r="AF2353" s="1"/>
      <c r="AG2353" s="1"/>
      <c r="AH2353" s="1"/>
    </row>
    <row r="2354" spans="1:34" ht="12.5">
      <c r="A2354" s="1"/>
      <c r="B2354" s="1"/>
      <c r="C2354" s="1"/>
      <c r="D2354" s="1"/>
      <c r="E2354" s="1"/>
      <c r="F2354" s="1"/>
      <c r="G2354" s="1"/>
      <c r="H2354" s="1"/>
      <c r="I2354" s="1"/>
      <c r="J2354" s="1"/>
      <c r="K2354" s="1"/>
      <c r="L2354" s="1"/>
      <c r="M2354" s="1"/>
      <c r="N2354" s="1"/>
      <c r="O2354" s="1"/>
      <c r="P2354" s="1"/>
      <c r="Q2354" s="1"/>
      <c r="R2354" s="1"/>
      <c r="S2354" s="1"/>
      <c r="T2354" s="1"/>
      <c r="U2354" s="1"/>
      <c r="V2354" s="1"/>
      <c r="W2354" s="1"/>
      <c r="X2354" s="1"/>
      <c r="Y2354" s="1"/>
      <c r="Z2354" s="1"/>
      <c r="AA2354" s="1"/>
      <c r="AB2354" s="1"/>
      <c r="AC2354" s="1"/>
      <c r="AD2354" s="1"/>
      <c r="AE2354" s="1"/>
      <c r="AF2354" s="1"/>
      <c r="AG2354" s="1"/>
      <c r="AH2354" s="1"/>
    </row>
    <row r="2355" spans="1:34" ht="12.5">
      <c r="A2355" s="1"/>
      <c r="B2355" s="1"/>
      <c r="C2355" s="1"/>
      <c r="D2355" s="1"/>
      <c r="E2355" s="1"/>
      <c r="F2355" s="1"/>
      <c r="G2355" s="1"/>
      <c r="H2355" s="1"/>
      <c r="I2355" s="1"/>
      <c r="J2355" s="1"/>
      <c r="K2355" s="1"/>
      <c r="L2355" s="1"/>
      <c r="M2355" s="1"/>
      <c r="N2355" s="1"/>
      <c r="O2355" s="1"/>
      <c r="P2355" s="1"/>
      <c r="Q2355" s="1"/>
      <c r="R2355" s="1"/>
      <c r="S2355" s="1"/>
      <c r="T2355" s="1"/>
      <c r="U2355" s="1"/>
      <c r="V2355" s="1"/>
      <c r="W2355" s="1"/>
      <c r="X2355" s="1"/>
      <c r="Y2355" s="1"/>
      <c r="Z2355" s="1"/>
      <c r="AA2355" s="1"/>
      <c r="AB2355" s="1"/>
      <c r="AC2355" s="1"/>
      <c r="AD2355" s="1"/>
      <c r="AE2355" s="1"/>
      <c r="AF2355" s="1"/>
      <c r="AG2355" s="1"/>
      <c r="AH2355" s="1"/>
    </row>
    <row r="2356" spans="1:34" ht="12.5">
      <c r="A2356" s="1"/>
      <c r="B2356" s="1"/>
      <c r="C2356" s="1"/>
      <c r="D2356" s="1"/>
      <c r="E2356" s="1"/>
      <c r="F2356" s="1"/>
      <c r="G2356" s="1"/>
      <c r="H2356" s="1"/>
      <c r="I2356" s="1"/>
      <c r="J2356" s="1"/>
      <c r="K2356" s="1"/>
      <c r="L2356" s="1"/>
      <c r="M2356" s="1"/>
      <c r="N2356" s="1"/>
      <c r="O2356" s="1"/>
      <c r="P2356" s="1"/>
      <c r="Q2356" s="1"/>
      <c r="R2356" s="1"/>
      <c r="S2356" s="1"/>
      <c r="T2356" s="1"/>
      <c r="U2356" s="1"/>
      <c r="V2356" s="1"/>
      <c r="W2356" s="1"/>
      <c r="X2356" s="1"/>
      <c r="Y2356" s="1"/>
      <c r="Z2356" s="1"/>
      <c r="AA2356" s="1"/>
      <c r="AB2356" s="1"/>
      <c r="AC2356" s="1"/>
      <c r="AD2356" s="1"/>
      <c r="AE2356" s="1"/>
      <c r="AF2356" s="1"/>
      <c r="AG2356" s="1"/>
      <c r="AH2356" s="1"/>
    </row>
    <row r="2357" spans="1:34" ht="12.5">
      <c r="A2357" s="1"/>
      <c r="B2357" s="1"/>
      <c r="C2357" s="1"/>
      <c r="D2357" s="1"/>
      <c r="E2357" s="1"/>
      <c r="F2357" s="1"/>
      <c r="G2357" s="1"/>
      <c r="H2357" s="1"/>
      <c r="I2357" s="1"/>
      <c r="J2357" s="1"/>
      <c r="K2357" s="1"/>
      <c r="L2357" s="1"/>
      <c r="M2357" s="1"/>
      <c r="N2357" s="1"/>
      <c r="O2357" s="1"/>
      <c r="P2357" s="1"/>
      <c r="Q2357" s="1"/>
      <c r="R2357" s="1"/>
      <c r="S2357" s="1"/>
      <c r="T2357" s="1"/>
      <c r="U2357" s="1"/>
      <c r="V2357" s="1"/>
      <c r="W2357" s="1"/>
      <c r="X2357" s="1"/>
      <c r="Y2357" s="1"/>
      <c r="Z2357" s="1"/>
      <c r="AA2357" s="1"/>
      <c r="AB2357" s="1"/>
      <c r="AC2357" s="1"/>
      <c r="AD2357" s="1"/>
      <c r="AE2357" s="1"/>
      <c r="AF2357" s="1"/>
      <c r="AG2357" s="1"/>
      <c r="AH2357" s="1"/>
    </row>
    <row r="2358" spans="1:34" ht="12.5">
      <c r="A2358" s="1"/>
      <c r="B2358" s="1"/>
      <c r="C2358" s="1"/>
      <c r="D2358" s="1"/>
      <c r="E2358" s="1"/>
      <c r="F2358" s="1"/>
      <c r="G2358" s="1"/>
      <c r="H2358" s="1"/>
      <c r="I2358" s="1"/>
      <c r="J2358" s="1"/>
      <c r="K2358" s="1"/>
      <c r="L2358" s="1"/>
      <c r="M2358" s="1"/>
      <c r="N2358" s="1"/>
      <c r="O2358" s="1"/>
      <c r="P2358" s="1"/>
      <c r="Q2358" s="1"/>
      <c r="R2358" s="1"/>
      <c r="S2358" s="1"/>
      <c r="T2358" s="1"/>
      <c r="U2358" s="1"/>
      <c r="V2358" s="1"/>
      <c r="W2358" s="1"/>
      <c r="X2358" s="1"/>
      <c r="Y2358" s="1"/>
      <c r="Z2358" s="1"/>
      <c r="AA2358" s="1"/>
      <c r="AB2358" s="1"/>
      <c r="AC2358" s="1"/>
      <c r="AD2358" s="1"/>
      <c r="AE2358" s="1"/>
      <c r="AF2358" s="1"/>
      <c r="AG2358" s="1"/>
      <c r="AH2358" s="1"/>
    </row>
    <row r="2359" spans="1:34" ht="12.5">
      <c r="A2359" s="1"/>
      <c r="B2359" s="1"/>
      <c r="C2359" s="1"/>
      <c r="D2359" s="1"/>
      <c r="E2359" s="1"/>
      <c r="F2359" s="1"/>
      <c r="G2359" s="1"/>
      <c r="H2359" s="1"/>
      <c r="I2359" s="1"/>
      <c r="J2359" s="1"/>
      <c r="K2359" s="1"/>
      <c r="L2359" s="1"/>
      <c r="M2359" s="1"/>
      <c r="N2359" s="1"/>
      <c r="O2359" s="1"/>
      <c r="P2359" s="1"/>
      <c r="Q2359" s="1"/>
      <c r="R2359" s="1"/>
      <c r="S2359" s="1"/>
      <c r="T2359" s="1"/>
      <c r="U2359" s="1"/>
      <c r="V2359" s="1"/>
      <c r="W2359" s="1"/>
      <c r="X2359" s="1"/>
      <c r="Y2359" s="1"/>
      <c r="Z2359" s="1"/>
      <c r="AA2359" s="1"/>
      <c r="AB2359" s="1"/>
      <c r="AC2359" s="1"/>
      <c r="AD2359" s="1"/>
      <c r="AE2359" s="1"/>
      <c r="AF2359" s="1"/>
      <c r="AG2359" s="1"/>
      <c r="AH2359" s="1"/>
    </row>
    <row r="2360" spans="1:34" ht="12.5">
      <c r="A2360" s="1"/>
      <c r="B2360" s="1"/>
      <c r="C2360" s="1"/>
      <c r="D2360" s="1"/>
      <c r="E2360" s="1"/>
      <c r="F2360" s="1"/>
      <c r="G2360" s="1"/>
      <c r="H2360" s="1"/>
      <c r="I2360" s="1"/>
      <c r="J2360" s="1"/>
      <c r="K2360" s="1"/>
      <c r="L2360" s="1"/>
      <c r="M2360" s="1"/>
      <c r="N2360" s="1"/>
      <c r="O2360" s="1"/>
      <c r="P2360" s="1"/>
      <c r="Q2360" s="1"/>
      <c r="R2360" s="1"/>
      <c r="S2360" s="1"/>
      <c r="T2360" s="1"/>
      <c r="U2360" s="1"/>
      <c r="V2360" s="1"/>
      <c r="W2360" s="1"/>
      <c r="X2360" s="1"/>
      <c r="Y2360" s="1"/>
      <c r="Z2360" s="1"/>
      <c r="AA2360" s="1"/>
      <c r="AB2360" s="1"/>
      <c r="AC2360" s="1"/>
      <c r="AD2360" s="1"/>
      <c r="AE2360" s="1"/>
      <c r="AF2360" s="1"/>
      <c r="AG2360" s="1"/>
      <c r="AH2360" s="1"/>
    </row>
    <row r="2361" spans="1:34" ht="12.5">
      <c r="A2361" s="1"/>
      <c r="B2361" s="1"/>
      <c r="C2361" s="1"/>
      <c r="D2361" s="1"/>
      <c r="E2361" s="1"/>
      <c r="F2361" s="1"/>
      <c r="G2361" s="1"/>
      <c r="H2361" s="1"/>
      <c r="I2361" s="1"/>
      <c r="J2361" s="1"/>
      <c r="K2361" s="1"/>
      <c r="L2361" s="1"/>
      <c r="M2361" s="1"/>
      <c r="N2361" s="1"/>
      <c r="O2361" s="1"/>
      <c r="P2361" s="1"/>
      <c r="Q2361" s="1"/>
      <c r="R2361" s="1"/>
      <c r="S2361" s="1"/>
      <c r="T2361" s="1"/>
      <c r="U2361" s="1"/>
      <c r="V2361" s="1"/>
      <c r="W2361" s="1"/>
      <c r="X2361" s="1"/>
      <c r="Y2361" s="1"/>
      <c r="Z2361" s="1"/>
      <c r="AA2361" s="1"/>
      <c r="AB2361" s="1"/>
      <c r="AC2361" s="1"/>
      <c r="AD2361" s="1"/>
      <c r="AE2361" s="1"/>
      <c r="AF2361" s="1"/>
      <c r="AG2361" s="1"/>
      <c r="AH2361" s="1"/>
    </row>
    <row r="2362" spans="1:34" ht="12.5">
      <c r="A2362" s="1"/>
      <c r="B2362" s="1"/>
      <c r="C2362" s="1"/>
      <c r="D2362" s="1"/>
      <c r="E2362" s="1"/>
      <c r="F2362" s="1"/>
      <c r="G2362" s="1"/>
      <c r="H2362" s="1"/>
      <c r="I2362" s="1"/>
      <c r="J2362" s="1"/>
      <c r="K2362" s="1"/>
      <c r="L2362" s="1"/>
      <c r="M2362" s="1"/>
      <c r="N2362" s="1"/>
      <c r="O2362" s="1"/>
      <c r="P2362" s="1"/>
      <c r="Q2362" s="1"/>
      <c r="R2362" s="1"/>
      <c r="S2362" s="1"/>
      <c r="T2362" s="1"/>
      <c r="U2362" s="1"/>
      <c r="V2362" s="1"/>
      <c r="W2362" s="1"/>
      <c r="X2362" s="1"/>
      <c r="Y2362" s="1"/>
      <c r="Z2362" s="1"/>
      <c r="AA2362" s="1"/>
      <c r="AB2362" s="1"/>
      <c r="AC2362" s="1"/>
      <c r="AD2362" s="1"/>
      <c r="AE2362" s="1"/>
      <c r="AF2362" s="1"/>
      <c r="AG2362" s="1"/>
      <c r="AH2362" s="1"/>
    </row>
    <row r="2363" spans="1:34" ht="12.5">
      <c r="A2363" s="1"/>
      <c r="B2363" s="1"/>
      <c r="C2363" s="1"/>
      <c r="D2363" s="1"/>
      <c r="E2363" s="1"/>
      <c r="F2363" s="1"/>
      <c r="G2363" s="1"/>
      <c r="H2363" s="1"/>
      <c r="I2363" s="1"/>
      <c r="J2363" s="1"/>
      <c r="K2363" s="1"/>
      <c r="L2363" s="1"/>
      <c r="M2363" s="1"/>
      <c r="N2363" s="1"/>
      <c r="O2363" s="1"/>
      <c r="P2363" s="1"/>
      <c r="Q2363" s="1"/>
      <c r="R2363" s="1"/>
      <c r="S2363" s="1"/>
      <c r="T2363" s="1"/>
      <c r="U2363" s="1"/>
      <c r="V2363" s="1"/>
      <c r="W2363" s="1"/>
      <c r="X2363" s="1"/>
      <c r="Y2363" s="1"/>
      <c r="Z2363" s="1"/>
      <c r="AA2363" s="1"/>
      <c r="AB2363" s="1"/>
      <c r="AC2363" s="1"/>
      <c r="AD2363" s="1"/>
      <c r="AE2363" s="1"/>
      <c r="AF2363" s="1"/>
      <c r="AG2363" s="1"/>
      <c r="AH2363" s="1"/>
    </row>
    <row r="2364" spans="1:34" ht="12.5">
      <c r="A2364" s="1"/>
      <c r="B2364" s="1"/>
      <c r="C2364" s="1"/>
      <c r="D2364" s="1"/>
      <c r="E2364" s="1"/>
      <c r="F2364" s="1"/>
      <c r="G2364" s="1"/>
      <c r="H2364" s="1"/>
      <c r="I2364" s="1"/>
      <c r="J2364" s="1"/>
      <c r="K2364" s="1"/>
      <c r="L2364" s="1"/>
      <c r="M2364" s="1"/>
      <c r="N2364" s="1"/>
      <c r="O2364" s="1"/>
      <c r="P2364" s="1"/>
      <c r="Q2364" s="1"/>
      <c r="R2364" s="1"/>
      <c r="S2364" s="1"/>
      <c r="T2364" s="1"/>
      <c r="U2364" s="1"/>
      <c r="V2364" s="1"/>
      <c r="W2364" s="1"/>
      <c r="X2364" s="1"/>
      <c r="Y2364" s="1"/>
      <c r="Z2364" s="1"/>
      <c r="AA2364" s="1"/>
      <c r="AB2364" s="1"/>
      <c r="AC2364" s="1"/>
      <c r="AD2364" s="1"/>
      <c r="AE2364" s="1"/>
      <c r="AF2364" s="1"/>
      <c r="AG2364" s="1"/>
      <c r="AH2364" s="1"/>
    </row>
    <row r="2365" spans="1:34" ht="12.5">
      <c r="A2365" s="1"/>
      <c r="B2365" s="1"/>
      <c r="C2365" s="1"/>
      <c r="D2365" s="1"/>
      <c r="E2365" s="1"/>
      <c r="F2365" s="1"/>
      <c r="G2365" s="1"/>
      <c r="H2365" s="1"/>
      <c r="I2365" s="1"/>
      <c r="J2365" s="1"/>
      <c r="K2365" s="1"/>
      <c r="L2365" s="1"/>
      <c r="M2365" s="1"/>
      <c r="N2365" s="1"/>
      <c r="O2365" s="1"/>
      <c r="P2365" s="1"/>
      <c r="Q2365" s="1"/>
      <c r="R2365" s="1"/>
      <c r="S2365" s="1"/>
      <c r="T2365" s="1"/>
      <c r="U2365" s="1"/>
      <c r="V2365" s="1"/>
      <c r="W2365" s="1"/>
      <c r="X2365" s="1"/>
      <c r="Y2365" s="1"/>
      <c r="Z2365" s="1"/>
      <c r="AA2365" s="1"/>
      <c r="AB2365" s="1"/>
      <c r="AC2365" s="1"/>
      <c r="AD2365" s="1"/>
      <c r="AE2365" s="1"/>
      <c r="AF2365" s="1"/>
      <c r="AG2365" s="1"/>
      <c r="AH2365" s="1"/>
    </row>
    <row r="2366" spans="1:34" ht="12.5">
      <c r="A2366" s="1"/>
      <c r="B2366" s="1"/>
      <c r="C2366" s="1"/>
      <c r="D2366" s="1"/>
      <c r="E2366" s="1"/>
      <c r="F2366" s="1"/>
      <c r="G2366" s="1"/>
      <c r="H2366" s="1"/>
      <c r="I2366" s="1"/>
      <c r="J2366" s="1"/>
      <c r="K2366" s="1"/>
      <c r="L2366" s="1"/>
      <c r="M2366" s="1"/>
      <c r="N2366" s="1"/>
      <c r="O2366" s="1"/>
      <c r="P2366" s="1"/>
      <c r="Q2366" s="1"/>
      <c r="R2366" s="1"/>
      <c r="S2366" s="1"/>
      <c r="T2366" s="1"/>
      <c r="U2366" s="1"/>
      <c r="V2366" s="1"/>
      <c r="W2366" s="1"/>
      <c r="X2366" s="1"/>
      <c r="Y2366" s="1"/>
      <c r="Z2366" s="1"/>
      <c r="AA2366" s="1"/>
      <c r="AB2366" s="1"/>
      <c r="AC2366" s="1"/>
      <c r="AD2366" s="1"/>
      <c r="AE2366" s="1"/>
      <c r="AF2366" s="1"/>
      <c r="AG2366" s="1"/>
      <c r="AH2366" s="1"/>
    </row>
    <row r="2367" spans="1:34" ht="12.5">
      <c r="A2367" s="1"/>
      <c r="B2367" s="1"/>
      <c r="C2367" s="1"/>
      <c r="D2367" s="1"/>
      <c r="E2367" s="1"/>
      <c r="F2367" s="1"/>
      <c r="G2367" s="1"/>
      <c r="H2367" s="1"/>
      <c r="I2367" s="1"/>
      <c r="J2367" s="1"/>
      <c r="K2367" s="1"/>
      <c r="L2367" s="1"/>
      <c r="M2367" s="1"/>
      <c r="N2367" s="1"/>
      <c r="O2367" s="1"/>
      <c r="P2367" s="1"/>
      <c r="Q2367" s="1"/>
      <c r="R2367" s="1"/>
      <c r="S2367" s="1"/>
      <c r="T2367" s="1"/>
      <c r="U2367" s="1"/>
      <c r="V2367" s="1"/>
      <c r="W2367" s="1"/>
      <c r="X2367" s="1"/>
      <c r="Y2367" s="1"/>
      <c r="Z2367" s="1"/>
      <c r="AA2367" s="1"/>
      <c r="AB2367" s="1"/>
      <c r="AC2367" s="1"/>
      <c r="AD2367" s="1"/>
      <c r="AE2367" s="1"/>
      <c r="AF2367" s="1"/>
      <c r="AG2367" s="1"/>
      <c r="AH2367" s="1"/>
    </row>
    <row r="2368" spans="1:34" ht="12.5">
      <c r="A2368" s="1"/>
      <c r="B2368" s="1"/>
      <c r="C2368" s="1"/>
      <c r="D2368" s="1"/>
      <c r="E2368" s="1"/>
      <c r="F2368" s="1"/>
      <c r="G2368" s="1"/>
      <c r="H2368" s="1"/>
      <c r="I2368" s="1"/>
      <c r="J2368" s="1"/>
      <c r="K2368" s="1"/>
      <c r="L2368" s="1"/>
      <c r="M2368" s="1"/>
      <c r="N2368" s="1"/>
      <c r="O2368" s="1"/>
      <c r="P2368" s="1"/>
      <c r="Q2368" s="1"/>
      <c r="R2368" s="1"/>
      <c r="S2368" s="1"/>
      <c r="T2368" s="1"/>
      <c r="U2368" s="1"/>
      <c r="V2368" s="1"/>
      <c r="W2368" s="1"/>
      <c r="X2368" s="1"/>
      <c r="Y2368" s="1"/>
      <c r="Z2368" s="1"/>
      <c r="AA2368" s="1"/>
      <c r="AB2368" s="1"/>
      <c r="AC2368" s="1"/>
      <c r="AD2368" s="1"/>
      <c r="AE2368" s="1"/>
      <c r="AF2368" s="1"/>
      <c r="AG2368" s="1"/>
      <c r="AH2368" s="1"/>
    </row>
    <row r="2369" spans="1:34" ht="12.5">
      <c r="A2369" s="1"/>
      <c r="B2369" s="1"/>
      <c r="C2369" s="1"/>
      <c r="D2369" s="1"/>
      <c r="E2369" s="1"/>
      <c r="F2369" s="1"/>
      <c r="G2369" s="1"/>
      <c r="H2369" s="1"/>
      <c r="I2369" s="1"/>
      <c r="J2369" s="1"/>
      <c r="K2369" s="1"/>
      <c r="L2369" s="1"/>
      <c r="M2369" s="1"/>
      <c r="N2369" s="1"/>
      <c r="O2369" s="1"/>
      <c r="P2369" s="1"/>
      <c r="Q2369" s="1"/>
      <c r="R2369" s="1"/>
      <c r="S2369" s="1"/>
      <c r="T2369" s="1"/>
      <c r="U2369" s="1"/>
      <c r="V2369" s="1"/>
      <c r="W2369" s="1"/>
      <c r="X2369" s="1"/>
      <c r="Y2369" s="1"/>
      <c r="Z2369" s="1"/>
      <c r="AA2369" s="1"/>
      <c r="AB2369" s="1"/>
      <c r="AC2369" s="1"/>
      <c r="AD2369" s="1"/>
      <c r="AE2369" s="1"/>
      <c r="AF2369" s="1"/>
      <c r="AG2369" s="1"/>
      <c r="AH2369" s="1"/>
    </row>
    <row r="2370" spans="1:34" ht="12.5">
      <c r="A2370" s="1"/>
      <c r="B2370" s="1"/>
      <c r="C2370" s="1"/>
      <c r="D2370" s="1"/>
      <c r="E2370" s="1"/>
      <c r="F2370" s="1"/>
      <c r="G2370" s="1"/>
      <c r="H2370" s="1"/>
      <c r="I2370" s="1"/>
      <c r="J2370" s="1"/>
      <c r="K2370" s="1"/>
      <c r="L2370" s="1"/>
      <c r="M2370" s="1"/>
      <c r="N2370" s="1"/>
      <c r="O2370" s="1"/>
      <c r="P2370" s="1"/>
      <c r="Q2370" s="1"/>
      <c r="R2370" s="1"/>
      <c r="S2370" s="1"/>
      <c r="T2370" s="1"/>
      <c r="U2370" s="1"/>
      <c r="V2370" s="1"/>
      <c r="W2370" s="1"/>
      <c r="X2370" s="1"/>
      <c r="Y2370" s="1"/>
      <c r="Z2370" s="1"/>
      <c r="AA2370" s="1"/>
      <c r="AB2370" s="1"/>
      <c r="AC2370" s="1"/>
      <c r="AD2370" s="1"/>
      <c r="AE2370" s="1"/>
      <c r="AF2370" s="1"/>
      <c r="AG2370" s="1"/>
      <c r="AH2370" s="1"/>
    </row>
    <row r="2371" spans="1:34" ht="12.5">
      <c r="A2371" s="1"/>
      <c r="B2371" s="1"/>
      <c r="C2371" s="1"/>
      <c r="D2371" s="1"/>
      <c r="E2371" s="1"/>
      <c r="F2371" s="1"/>
      <c r="G2371" s="1"/>
      <c r="H2371" s="1"/>
      <c r="I2371" s="1"/>
      <c r="J2371" s="1"/>
      <c r="K2371" s="1"/>
      <c r="L2371" s="1"/>
      <c r="M2371" s="1"/>
      <c r="N2371" s="1"/>
      <c r="O2371" s="1"/>
      <c r="P2371" s="1"/>
      <c r="Q2371" s="1"/>
      <c r="R2371" s="1"/>
      <c r="S2371" s="1"/>
      <c r="T2371" s="1"/>
      <c r="U2371" s="1"/>
      <c r="V2371" s="1"/>
      <c r="W2371" s="1"/>
      <c r="X2371" s="1"/>
      <c r="Y2371" s="1"/>
      <c r="Z2371" s="1"/>
      <c r="AA2371" s="1"/>
      <c r="AB2371" s="1"/>
      <c r="AC2371" s="1"/>
      <c r="AD2371" s="1"/>
      <c r="AE2371" s="1"/>
      <c r="AF2371" s="1"/>
      <c r="AG2371" s="1"/>
      <c r="AH2371" s="1"/>
    </row>
    <row r="2372" spans="1:34" ht="12.5">
      <c r="A2372" s="1"/>
      <c r="B2372" s="1"/>
      <c r="C2372" s="1"/>
      <c r="D2372" s="1"/>
      <c r="E2372" s="1"/>
      <c r="F2372" s="1"/>
      <c r="G2372" s="1"/>
      <c r="H2372" s="1"/>
      <c r="I2372" s="1"/>
      <c r="J2372" s="1"/>
      <c r="K2372" s="1"/>
      <c r="L2372" s="1"/>
      <c r="M2372" s="1"/>
      <c r="N2372" s="1"/>
      <c r="O2372" s="1"/>
      <c r="P2372" s="1"/>
      <c r="Q2372" s="1"/>
      <c r="R2372" s="1"/>
      <c r="S2372" s="1"/>
      <c r="T2372" s="1"/>
      <c r="U2372" s="1"/>
      <c r="V2372" s="1"/>
      <c r="W2372" s="1"/>
      <c r="X2372" s="1"/>
      <c r="Y2372" s="1"/>
      <c r="Z2372" s="1"/>
      <c r="AA2372" s="1"/>
      <c r="AB2372" s="1"/>
      <c r="AC2372" s="1"/>
      <c r="AD2372" s="1"/>
      <c r="AE2372" s="1"/>
      <c r="AF2372" s="1"/>
      <c r="AG2372" s="1"/>
      <c r="AH2372" s="1"/>
    </row>
    <row r="2373" spans="1:34" ht="12.5">
      <c r="A2373" s="1"/>
      <c r="B2373" s="1"/>
      <c r="C2373" s="1"/>
      <c r="D2373" s="1"/>
      <c r="E2373" s="1"/>
      <c r="F2373" s="1"/>
      <c r="G2373" s="1"/>
      <c r="H2373" s="1"/>
      <c r="I2373" s="1"/>
      <c r="J2373" s="1"/>
      <c r="K2373" s="1"/>
      <c r="L2373" s="1"/>
      <c r="M2373" s="1"/>
      <c r="N2373" s="1"/>
      <c r="O2373" s="1"/>
      <c r="P2373" s="1"/>
      <c r="Q2373" s="1"/>
      <c r="R2373" s="1"/>
      <c r="S2373" s="1"/>
      <c r="T2373" s="1"/>
      <c r="U2373" s="1"/>
      <c r="V2373" s="1"/>
      <c r="W2373" s="1"/>
      <c r="X2373" s="1"/>
      <c r="Y2373" s="1"/>
      <c r="Z2373" s="1"/>
      <c r="AA2373" s="1"/>
      <c r="AB2373" s="1"/>
      <c r="AC2373" s="1"/>
      <c r="AD2373" s="1"/>
      <c r="AE2373" s="1"/>
      <c r="AF2373" s="1"/>
      <c r="AG2373" s="1"/>
      <c r="AH2373" s="1"/>
    </row>
    <row r="2374" spans="1:34" ht="12.5">
      <c r="A2374" s="1"/>
      <c r="B2374" s="1"/>
      <c r="C2374" s="1"/>
      <c r="D2374" s="1"/>
      <c r="E2374" s="1"/>
      <c r="F2374" s="1"/>
      <c r="G2374" s="1"/>
      <c r="H2374" s="1"/>
      <c r="I2374" s="1"/>
      <c r="J2374" s="1"/>
      <c r="K2374" s="1"/>
      <c r="L2374" s="1"/>
      <c r="M2374" s="1"/>
      <c r="N2374" s="1"/>
      <c r="O2374" s="1"/>
      <c r="P2374" s="1"/>
      <c r="Q2374" s="1"/>
      <c r="R2374" s="1"/>
      <c r="S2374" s="1"/>
      <c r="T2374" s="1"/>
      <c r="U2374" s="1"/>
      <c r="V2374" s="1"/>
      <c r="W2374" s="1"/>
      <c r="X2374" s="1"/>
      <c r="Y2374" s="1"/>
      <c r="Z2374" s="1"/>
      <c r="AA2374" s="1"/>
      <c r="AB2374" s="1"/>
      <c r="AC2374" s="1"/>
      <c r="AD2374" s="1"/>
      <c r="AE2374" s="1"/>
      <c r="AF2374" s="1"/>
      <c r="AG2374" s="1"/>
      <c r="AH2374" s="1"/>
    </row>
    <row r="2375" spans="1:34" ht="12.5">
      <c r="A2375" s="1"/>
      <c r="B2375" s="1"/>
      <c r="C2375" s="1"/>
      <c r="D2375" s="1"/>
      <c r="E2375" s="1"/>
      <c r="F2375" s="1"/>
      <c r="G2375" s="1"/>
      <c r="H2375" s="1"/>
      <c r="I2375" s="1"/>
      <c r="J2375" s="1"/>
      <c r="K2375" s="1"/>
      <c r="L2375" s="1"/>
      <c r="M2375" s="1"/>
      <c r="N2375" s="1"/>
      <c r="O2375" s="1"/>
      <c r="P2375" s="1"/>
      <c r="Q2375" s="1"/>
      <c r="R2375" s="1"/>
      <c r="S2375" s="1"/>
      <c r="T2375" s="1"/>
      <c r="U2375" s="1"/>
      <c r="V2375" s="1"/>
      <c r="W2375" s="1"/>
      <c r="X2375" s="1"/>
      <c r="Y2375" s="1"/>
      <c r="Z2375" s="1"/>
      <c r="AA2375" s="1"/>
      <c r="AB2375" s="1"/>
      <c r="AC2375" s="1"/>
      <c r="AD2375" s="1"/>
      <c r="AE2375" s="1"/>
      <c r="AF2375" s="1"/>
      <c r="AG2375" s="1"/>
      <c r="AH2375" s="1"/>
    </row>
    <row r="2376" spans="1:34" ht="12.5">
      <c r="A2376" s="1"/>
      <c r="B2376" s="1"/>
      <c r="C2376" s="1"/>
      <c r="D2376" s="1"/>
      <c r="E2376" s="1"/>
      <c r="F2376" s="1"/>
      <c r="G2376" s="1"/>
      <c r="H2376" s="1"/>
      <c r="I2376" s="1"/>
      <c r="J2376" s="1"/>
      <c r="K2376" s="1"/>
      <c r="L2376" s="1"/>
      <c r="M2376" s="1"/>
      <c r="N2376" s="1"/>
      <c r="O2376" s="1"/>
      <c r="P2376" s="1"/>
      <c r="Q2376" s="1"/>
      <c r="R2376" s="1"/>
      <c r="S2376" s="1"/>
      <c r="T2376" s="1"/>
      <c r="U2376" s="1"/>
      <c r="V2376" s="1"/>
      <c r="W2376" s="1"/>
      <c r="X2376" s="1"/>
      <c r="Y2376" s="1"/>
      <c r="Z2376" s="1"/>
      <c r="AA2376" s="1"/>
      <c r="AB2376" s="1"/>
      <c r="AC2376" s="1"/>
      <c r="AD2376" s="1"/>
      <c r="AE2376" s="1"/>
      <c r="AF2376" s="1"/>
      <c r="AG2376" s="1"/>
      <c r="AH2376" s="1"/>
    </row>
    <row r="2377" spans="1:34" ht="12.5">
      <c r="A2377" s="1"/>
      <c r="B2377" s="1"/>
      <c r="C2377" s="1"/>
      <c r="D2377" s="1"/>
      <c r="E2377" s="1"/>
      <c r="F2377" s="1"/>
      <c r="G2377" s="1"/>
      <c r="H2377" s="1"/>
      <c r="I2377" s="1"/>
      <c r="J2377" s="1"/>
      <c r="K2377" s="1"/>
      <c r="L2377" s="1"/>
      <c r="M2377" s="1"/>
      <c r="N2377" s="1"/>
      <c r="O2377" s="1"/>
      <c r="P2377" s="1"/>
      <c r="Q2377" s="1"/>
      <c r="R2377" s="1"/>
      <c r="S2377" s="1"/>
      <c r="T2377" s="1"/>
      <c r="U2377" s="1"/>
      <c r="V2377" s="1"/>
      <c r="W2377" s="1"/>
      <c r="X2377" s="1"/>
      <c r="Y2377" s="1"/>
      <c r="Z2377" s="1"/>
      <c r="AA2377" s="1"/>
      <c r="AB2377" s="1"/>
      <c r="AC2377" s="1"/>
      <c r="AD2377" s="1"/>
      <c r="AE2377" s="1"/>
      <c r="AF2377" s="1"/>
      <c r="AG2377" s="1"/>
      <c r="AH2377" s="1"/>
    </row>
    <row r="2378" spans="1:34" ht="12.5">
      <c r="A2378" s="1"/>
      <c r="B2378" s="1"/>
      <c r="C2378" s="1"/>
      <c r="D2378" s="1"/>
      <c r="E2378" s="1"/>
      <c r="F2378" s="1"/>
      <c r="G2378" s="1"/>
      <c r="H2378" s="1"/>
      <c r="I2378" s="1"/>
      <c r="J2378" s="1"/>
      <c r="K2378" s="1"/>
      <c r="L2378" s="1"/>
      <c r="M2378" s="1"/>
      <c r="N2378" s="1"/>
      <c r="O2378" s="1"/>
      <c r="P2378" s="1"/>
      <c r="Q2378" s="1"/>
      <c r="R2378" s="1"/>
      <c r="S2378" s="1"/>
      <c r="T2378" s="1"/>
      <c r="U2378" s="1"/>
      <c r="V2378" s="1"/>
      <c r="W2378" s="1"/>
      <c r="X2378" s="1"/>
      <c r="Y2378" s="1"/>
      <c r="Z2378" s="1"/>
      <c r="AA2378" s="1"/>
      <c r="AB2378" s="1"/>
      <c r="AC2378" s="1"/>
      <c r="AD2378" s="1"/>
      <c r="AE2378" s="1"/>
      <c r="AF2378" s="1"/>
      <c r="AG2378" s="1"/>
      <c r="AH2378" s="1"/>
    </row>
    <row r="2379" spans="1:34" ht="12.5">
      <c r="A2379" s="1"/>
      <c r="B2379" s="1"/>
      <c r="C2379" s="1"/>
      <c r="D2379" s="1"/>
      <c r="E2379" s="1"/>
      <c r="F2379" s="1"/>
      <c r="G2379" s="1"/>
      <c r="H2379" s="1"/>
      <c r="I2379" s="1"/>
      <c r="J2379" s="1"/>
      <c r="K2379" s="1"/>
      <c r="L2379" s="1"/>
      <c r="M2379" s="1"/>
      <c r="N2379" s="1"/>
      <c r="O2379" s="1"/>
      <c r="P2379" s="1"/>
      <c r="Q2379" s="1"/>
      <c r="R2379" s="1"/>
      <c r="S2379" s="1"/>
      <c r="T2379" s="1"/>
      <c r="U2379" s="1"/>
      <c r="V2379" s="1"/>
      <c r="W2379" s="1"/>
      <c r="X2379" s="1"/>
      <c r="Y2379" s="1"/>
      <c r="Z2379" s="1"/>
      <c r="AA2379" s="1"/>
      <c r="AB2379" s="1"/>
      <c r="AC2379" s="1"/>
      <c r="AD2379" s="1"/>
      <c r="AE2379" s="1"/>
      <c r="AF2379" s="1"/>
      <c r="AG2379" s="1"/>
      <c r="AH2379" s="1"/>
    </row>
    <row r="2380" spans="1:34" ht="12.5">
      <c r="A2380" s="1"/>
      <c r="B2380" s="1"/>
      <c r="C2380" s="1"/>
      <c r="D2380" s="1"/>
      <c r="E2380" s="1"/>
      <c r="F2380" s="1"/>
      <c r="G2380" s="1"/>
      <c r="H2380" s="1"/>
      <c r="I2380" s="1"/>
      <c r="J2380" s="1"/>
      <c r="K2380" s="1"/>
      <c r="L2380" s="1"/>
      <c r="M2380" s="1"/>
      <c r="N2380" s="1"/>
      <c r="O2380" s="1"/>
      <c r="P2380" s="1"/>
      <c r="Q2380" s="1"/>
      <c r="R2380" s="1"/>
      <c r="S2380" s="1"/>
      <c r="T2380" s="1"/>
      <c r="U2380" s="1"/>
      <c r="V2380" s="1"/>
      <c r="W2380" s="1"/>
      <c r="X2380" s="1"/>
      <c r="Y2380" s="1"/>
      <c r="Z2380" s="1"/>
      <c r="AA2380" s="1"/>
      <c r="AB2380" s="1"/>
      <c r="AC2380" s="1"/>
      <c r="AD2380" s="1"/>
      <c r="AE2380" s="1"/>
      <c r="AF2380" s="1"/>
      <c r="AG2380" s="1"/>
      <c r="AH2380" s="1"/>
    </row>
    <row r="2381" spans="1:34" ht="12.5">
      <c r="A2381" s="1"/>
      <c r="B2381" s="1"/>
      <c r="C2381" s="1"/>
      <c r="D2381" s="1"/>
      <c r="E2381" s="1"/>
      <c r="F2381" s="1"/>
      <c r="G2381" s="1"/>
      <c r="H2381" s="1"/>
      <c r="I2381" s="1"/>
      <c r="J2381" s="1"/>
      <c r="K2381" s="1"/>
      <c r="L2381" s="1"/>
      <c r="M2381" s="1"/>
      <c r="N2381" s="1"/>
      <c r="O2381" s="1"/>
      <c r="P2381" s="1"/>
      <c r="Q2381" s="1"/>
      <c r="R2381" s="1"/>
      <c r="S2381" s="1"/>
      <c r="T2381" s="1"/>
      <c r="U2381" s="1"/>
      <c r="V2381" s="1"/>
      <c r="W2381" s="1"/>
      <c r="X2381" s="1"/>
      <c r="Y2381" s="1"/>
      <c r="Z2381" s="1"/>
      <c r="AA2381" s="1"/>
      <c r="AB2381" s="1"/>
      <c r="AC2381" s="1"/>
      <c r="AD2381" s="1"/>
      <c r="AE2381" s="1"/>
      <c r="AF2381" s="1"/>
      <c r="AG2381" s="1"/>
      <c r="AH2381" s="1"/>
    </row>
    <row r="2382" spans="1:34" ht="12.5">
      <c r="A2382" s="1"/>
      <c r="B2382" s="1"/>
      <c r="C2382" s="1"/>
      <c r="D2382" s="1"/>
      <c r="E2382" s="1"/>
      <c r="F2382" s="1"/>
      <c r="G2382" s="1"/>
      <c r="H2382" s="1"/>
      <c r="I2382" s="1"/>
      <c r="J2382" s="1"/>
      <c r="K2382" s="1"/>
      <c r="L2382" s="1"/>
      <c r="M2382" s="1"/>
      <c r="N2382" s="1"/>
      <c r="O2382" s="1"/>
      <c r="P2382" s="1"/>
      <c r="Q2382" s="1"/>
      <c r="R2382" s="1"/>
      <c r="S2382" s="1"/>
      <c r="T2382" s="1"/>
      <c r="U2382" s="1"/>
      <c r="V2382" s="1"/>
      <c r="W2382" s="1"/>
      <c r="X2382" s="1"/>
      <c r="Y2382" s="1"/>
      <c r="Z2382" s="1"/>
      <c r="AA2382" s="1"/>
      <c r="AB2382" s="1"/>
      <c r="AC2382" s="1"/>
      <c r="AD2382" s="1"/>
      <c r="AE2382" s="1"/>
      <c r="AF2382" s="1"/>
      <c r="AG2382" s="1"/>
      <c r="AH2382" s="1"/>
    </row>
    <row r="2383" spans="1:34" ht="12.5">
      <c r="A2383" s="1"/>
      <c r="B2383" s="1"/>
      <c r="C2383" s="1"/>
      <c r="D2383" s="1"/>
      <c r="E2383" s="1"/>
      <c r="F2383" s="1"/>
      <c r="G2383" s="1"/>
      <c r="H2383" s="1"/>
      <c r="I2383" s="1"/>
      <c r="J2383" s="1"/>
      <c r="K2383" s="1"/>
      <c r="L2383" s="1"/>
      <c r="M2383" s="1"/>
      <c r="N2383" s="1"/>
      <c r="O2383" s="1"/>
      <c r="P2383" s="1"/>
      <c r="Q2383" s="1"/>
      <c r="R2383" s="1"/>
      <c r="S2383" s="1"/>
      <c r="T2383" s="1"/>
      <c r="U2383" s="1"/>
      <c r="V2383" s="1"/>
      <c r="W2383" s="1"/>
      <c r="X2383" s="1"/>
      <c r="Y2383" s="1"/>
      <c r="Z2383" s="1"/>
      <c r="AA2383" s="1"/>
      <c r="AB2383" s="1"/>
      <c r="AC2383" s="1"/>
      <c r="AD2383" s="1"/>
      <c r="AE2383" s="1"/>
      <c r="AF2383" s="1"/>
      <c r="AG2383" s="1"/>
      <c r="AH2383" s="1"/>
    </row>
    <row r="2384" spans="1:34" ht="12.5">
      <c r="A2384" s="1"/>
      <c r="B2384" s="1"/>
      <c r="C2384" s="1"/>
      <c r="D2384" s="1"/>
      <c r="E2384" s="1"/>
      <c r="F2384" s="1"/>
      <c r="G2384" s="1"/>
      <c r="H2384" s="1"/>
      <c r="I2384" s="1"/>
      <c r="J2384" s="1"/>
      <c r="K2384" s="1"/>
      <c r="L2384" s="1"/>
      <c r="M2384" s="1"/>
      <c r="N2384" s="1"/>
      <c r="O2384" s="1"/>
      <c r="P2384" s="1"/>
      <c r="Q2384" s="1"/>
      <c r="R2384" s="1"/>
      <c r="S2384" s="1"/>
      <c r="T2384" s="1"/>
      <c r="U2384" s="1"/>
      <c r="V2384" s="1"/>
      <c r="W2384" s="1"/>
      <c r="X2384" s="1"/>
      <c r="Y2384" s="1"/>
      <c r="Z2384" s="1"/>
      <c r="AA2384" s="1"/>
      <c r="AB2384" s="1"/>
      <c r="AC2384" s="1"/>
      <c r="AD2384" s="1"/>
      <c r="AE2384" s="1"/>
      <c r="AF2384" s="1"/>
      <c r="AG2384" s="1"/>
      <c r="AH2384" s="1"/>
    </row>
    <row r="2385" spans="1:34" ht="12.5">
      <c r="A2385" s="1"/>
      <c r="B2385" s="1"/>
      <c r="C2385" s="1"/>
      <c r="D2385" s="1"/>
      <c r="E2385" s="1"/>
      <c r="F2385" s="1"/>
      <c r="G2385" s="1"/>
      <c r="H2385" s="1"/>
      <c r="I2385" s="1"/>
      <c r="J2385" s="1"/>
      <c r="K2385" s="1"/>
      <c r="L2385" s="1"/>
      <c r="M2385" s="1"/>
      <c r="N2385" s="1"/>
      <c r="O2385" s="1"/>
      <c r="P2385" s="1"/>
      <c r="Q2385" s="1"/>
      <c r="R2385" s="1"/>
      <c r="S2385" s="1"/>
      <c r="T2385" s="1"/>
      <c r="U2385" s="1"/>
      <c r="V2385" s="1"/>
      <c r="W2385" s="1"/>
      <c r="X2385" s="1"/>
      <c r="Y2385" s="1"/>
      <c r="Z2385" s="1"/>
      <c r="AA2385" s="1"/>
      <c r="AB2385" s="1"/>
      <c r="AC2385" s="1"/>
      <c r="AD2385" s="1"/>
      <c r="AE2385" s="1"/>
      <c r="AF2385" s="1"/>
      <c r="AG2385" s="1"/>
      <c r="AH2385" s="1"/>
    </row>
    <row r="2386" spans="1:34" ht="12.5">
      <c r="A2386" s="1"/>
      <c r="B2386" s="1"/>
      <c r="C2386" s="1"/>
      <c r="D2386" s="1"/>
      <c r="E2386" s="1"/>
      <c r="F2386" s="1"/>
      <c r="G2386" s="1"/>
      <c r="H2386" s="1"/>
      <c r="I2386" s="1"/>
      <c r="J2386" s="1"/>
      <c r="K2386" s="1"/>
      <c r="L2386" s="1"/>
      <c r="M2386" s="1"/>
      <c r="N2386" s="1"/>
      <c r="O2386" s="1"/>
      <c r="P2386" s="1"/>
      <c r="Q2386" s="1"/>
      <c r="R2386" s="1"/>
      <c r="S2386" s="1"/>
      <c r="T2386" s="1"/>
      <c r="U2386" s="1"/>
      <c r="V2386" s="1"/>
      <c r="W2386" s="1"/>
      <c r="X2386" s="1"/>
      <c r="Y2386" s="1"/>
      <c r="Z2386" s="1"/>
      <c r="AA2386" s="1"/>
      <c r="AB2386" s="1"/>
      <c r="AC2386" s="1"/>
      <c r="AD2386" s="1"/>
      <c r="AE2386" s="1"/>
      <c r="AF2386" s="1"/>
      <c r="AG2386" s="1"/>
      <c r="AH2386" s="1"/>
    </row>
    <row r="2387" spans="1:34" ht="12.5">
      <c r="A2387" s="1"/>
      <c r="B2387" s="1"/>
      <c r="C2387" s="1"/>
      <c r="D2387" s="1"/>
      <c r="E2387" s="1"/>
      <c r="F2387" s="1"/>
      <c r="G2387" s="1"/>
      <c r="H2387" s="1"/>
      <c r="I2387" s="1"/>
      <c r="J2387" s="1"/>
      <c r="K2387" s="1"/>
      <c r="L2387" s="1"/>
      <c r="M2387" s="1"/>
      <c r="N2387" s="1"/>
      <c r="O2387" s="1"/>
      <c r="P2387" s="1"/>
      <c r="Q2387" s="1"/>
      <c r="R2387" s="1"/>
      <c r="S2387" s="1"/>
      <c r="T2387" s="1"/>
      <c r="U2387" s="1"/>
      <c r="V2387" s="1"/>
      <c r="W2387" s="1"/>
      <c r="X2387" s="1"/>
      <c r="Y2387" s="1"/>
      <c r="Z2387" s="1"/>
      <c r="AA2387" s="1"/>
      <c r="AB2387" s="1"/>
      <c r="AC2387" s="1"/>
      <c r="AD2387" s="1"/>
      <c r="AE2387" s="1"/>
      <c r="AF2387" s="1"/>
      <c r="AG2387" s="1"/>
      <c r="AH2387" s="1"/>
    </row>
    <row r="2388" spans="1:34" ht="12.5">
      <c r="A2388" s="1"/>
      <c r="B2388" s="1"/>
      <c r="C2388" s="1"/>
      <c r="D2388" s="1"/>
      <c r="E2388" s="1"/>
      <c r="F2388" s="1"/>
      <c r="G2388" s="1"/>
      <c r="H2388" s="1"/>
      <c r="I2388" s="1"/>
      <c r="J2388" s="1"/>
      <c r="K2388" s="1"/>
      <c r="L2388" s="1"/>
      <c r="M2388" s="1"/>
      <c r="N2388" s="1"/>
      <c r="O2388" s="1"/>
      <c r="P2388" s="1"/>
      <c r="Q2388" s="1"/>
      <c r="R2388" s="1"/>
      <c r="S2388" s="1"/>
      <c r="T2388" s="1"/>
      <c r="U2388" s="1"/>
      <c r="V2388" s="1"/>
      <c r="W2388" s="1"/>
      <c r="X2388" s="1"/>
      <c r="Y2388" s="1"/>
      <c r="Z2388" s="1"/>
      <c r="AA2388" s="1"/>
      <c r="AB2388" s="1"/>
      <c r="AC2388" s="1"/>
      <c r="AD2388" s="1"/>
      <c r="AE2388" s="1"/>
      <c r="AF2388" s="1"/>
      <c r="AG2388" s="1"/>
      <c r="AH2388" s="1"/>
    </row>
    <row r="2389" spans="1:34" ht="12.5">
      <c r="A2389" s="1"/>
      <c r="B2389" s="1"/>
      <c r="C2389" s="1"/>
      <c r="D2389" s="1"/>
      <c r="E2389" s="1"/>
      <c r="F2389" s="1"/>
      <c r="G2389" s="1"/>
      <c r="H2389" s="1"/>
      <c r="I2389" s="1"/>
      <c r="J2389" s="1"/>
      <c r="K2389" s="1"/>
      <c r="L2389" s="1"/>
      <c r="M2389" s="1"/>
      <c r="N2389" s="1"/>
      <c r="O2389" s="1"/>
      <c r="P2389" s="1"/>
      <c r="Q2389" s="1"/>
      <c r="R2389" s="1"/>
      <c r="S2389" s="1"/>
      <c r="T2389" s="1"/>
      <c r="U2389" s="1"/>
      <c r="V2389" s="1"/>
      <c r="W2389" s="1"/>
      <c r="X2389" s="1"/>
      <c r="Y2389" s="1"/>
      <c r="Z2389" s="1"/>
      <c r="AA2389" s="1"/>
      <c r="AB2389" s="1"/>
      <c r="AC2389" s="1"/>
      <c r="AD2389" s="1"/>
      <c r="AE2389" s="1"/>
      <c r="AF2389" s="1"/>
      <c r="AG2389" s="1"/>
      <c r="AH2389" s="1"/>
    </row>
    <row r="2390" spans="1:34" ht="12.5">
      <c r="A2390" s="1"/>
      <c r="B2390" s="1"/>
      <c r="C2390" s="1"/>
      <c r="D2390" s="1"/>
      <c r="E2390" s="1"/>
      <c r="F2390" s="1"/>
      <c r="G2390" s="1"/>
      <c r="H2390" s="1"/>
      <c r="I2390" s="1"/>
      <c r="J2390" s="1"/>
      <c r="K2390" s="1"/>
      <c r="L2390" s="1"/>
      <c r="M2390" s="1"/>
      <c r="N2390" s="1"/>
      <c r="O2390" s="1"/>
      <c r="P2390" s="1"/>
      <c r="Q2390" s="1"/>
      <c r="R2390" s="1"/>
      <c r="S2390" s="1"/>
      <c r="T2390" s="1"/>
      <c r="U2390" s="1"/>
      <c r="V2390" s="1"/>
      <c r="W2390" s="1"/>
      <c r="X2390" s="1"/>
      <c r="Y2390" s="1"/>
      <c r="Z2390" s="1"/>
      <c r="AA2390" s="1"/>
      <c r="AB2390" s="1"/>
      <c r="AC2390" s="1"/>
      <c r="AD2390" s="1"/>
      <c r="AE2390" s="1"/>
      <c r="AF2390" s="1"/>
      <c r="AG2390" s="1"/>
      <c r="AH2390" s="1"/>
    </row>
    <row r="2391" spans="1:34" ht="12.5">
      <c r="A2391" s="1"/>
      <c r="B2391" s="1"/>
      <c r="C2391" s="1"/>
      <c r="D2391" s="1"/>
      <c r="E2391" s="1"/>
      <c r="F2391" s="1"/>
      <c r="G2391" s="1"/>
      <c r="H2391" s="1"/>
      <c r="I2391" s="1"/>
      <c r="J2391" s="1"/>
      <c r="K2391" s="1"/>
      <c r="L2391" s="1"/>
      <c r="M2391" s="1"/>
      <c r="N2391" s="1"/>
      <c r="O2391" s="1"/>
      <c r="P2391" s="1"/>
      <c r="Q2391" s="1"/>
      <c r="R2391" s="1"/>
      <c r="S2391" s="1"/>
      <c r="T2391" s="1"/>
      <c r="U2391" s="1"/>
      <c r="V2391" s="1"/>
      <c r="W2391" s="1"/>
      <c r="X2391" s="1"/>
      <c r="Y2391" s="1"/>
      <c r="Z2391" s="1"/>
      <c r="AA2391" s="1"/>
      <c r="AB2391" s="1"/>
      <c r="AC2391" s="1"/>
      <c r="AD2391" s="1"/>
      <c r="AE2391" s="1"/>
      <c r="AF2391" s="1"/>
      <c r="AG2391" s="1"/>
      <c r="AH2391" s="1"/>
    </row>
    <row r="2392" spans="1:34" ht="12.5">
      <c r="A2392" s="1"/>
      <c r="B2392" s="1"/>
      <c r="C2392" s="1"/>
      <c r="D2392" s="1"/>
      <c r="E2392" s="1"/>
      <c r="F2392" s="1"/>
      <c r="G2392" s="1"/>
      <c r="H2392" s="1"/>
      <c r="I2392" s="1"/>
      <c r="J2392" s="1"/>
      <c r="K2392" s="1"/>
      <c r="L2392" s="1"/>
      <c r="M2392" s="1"/>
      <c r="N2392" s="1"/>
      <c r="O2392" s="1"/>
      <c r="P2392" s="1"/>
      <c r="Q2392" s="1"/>
      <c r="R2392" s="1"/>
      <c r="S2392" s="1"/>
      <c r="T2392" s="1"/>
      <c r="U2392" s="1"/>
      <c r="V2392" s="1"/>
      <c r="W2392" s="1"/>
      <c r="X2392" s="1"/>
      <c r="Y2392" s="1"/>
      <c r="Z2392" s="1"/>
      <c r="AA2392" s="1"/>
      <c r="AB2392" s="1"/>
      <c r="AC2392" s="1"/>
      <c r="AD2392" s="1"/>
      <c r="AE2392" s="1"/>
      <c r="AF2392" s="1"/>
      <c r="AG2392" s="1"/>
      <c r="AH2392" s="1"/>
    </row>
    <row r="2393" spans="1:34" ht="12.5">
      <c r="A2393" s="1"/>
      <c r="B2393" s="1"/>
      <c r="C2393" s="1"/>
      <c r="D2393" s="1"/>
      <c r="E2393" s="1"/>
      <c r="F2393" s="1"/>
      <c r="G2393" s="1"/>
      <c r="H2393" s="1"/>
      <c r="I2393" s="1"/>
      <c r="J2393" s="1"/>
      <c r="K2393" s="1"/>
      <c r="L2393" s="1"/>
      <c r="M2393" s="1"/>
      <c r="N2393" s="1"/>
      <c r="O2393" s="1"/>
      <c r="P2393" s="1"/>
      <c r="Q2393" s="1"/>
      <c r="R2393" s="1"/>
      <c r="S2393" s="1"/>
      <c r="T2393" s="1"/>
      <c r="U2393" s="1"/>
      <c r="V2393" s="1"/>
      <c r="W2393" s="1"/>
      <c r="X2393" s="1"/>
      <c r="Y2393" s="1"/>
      <c r="Z2393" s="1"/>
      <c r="AA2393" s="1"/>
      <c r="AB2393" s="1"/>
      <c r="AC2393" s="1"/>
      <c r="AD2393" s="1"/>
      <c r="AE2393" s="1"/>
      <c r="AF2393" s="1"/>
      <c r="AG2393" s="1"/>
      <c r="AH2393" s="1"/>
    </row>
    <row r="2394" spans="1:34" ht="12.5">
      <c r="A2394" s="1"/>
      <c r="B2394" s="1"/>
      <c r="C2394" s="1"/>
      <c r="D2394" s="1"/>
      <c r="E2394" s="1"/>
      <c r="F2394" s="1"/>
      <c r="G2394" s="1"/>
      <c r="H2394" s="1"/>
      <c r="I2394" s="1"/>
      <c r="J2394" s="1"/>
      <c r="K2394" s="1"/>
      <c r="L2394" s="1"/>
      <c r="M2394" s="1"/>
      <c r="N2394" s="1"/>
      <c r="O2394" s="1"/>
      <c r="P2394" s="1"/>
      <c r="Q2394" s="1"/>
      <c r="R2394" s="1"/>
      <c r="S2394" s="1"/>
      <c r="T2394" s="1"/>
      <c r="U2394" s="1"/>
      <c r="V2394" s="1"/>
      <c r="W2394" s="1"/>
      <c r="X2394" s="1"/>
      <c r="Y2394" s="1"/>
      <c r="Z2394" s="1"/>
      <c r="AA2394" s="1"/>
      <c r="AB2394" s="1"/>
      <c r="AC2394" s="1"/>
      <c r="AD2394" s="1"/>
      <c r="AE2394" s="1"/>
      <c r="AF2394" s="1"/>
      <c r="AG2394" s="1"/>
      <c r="AH2394" s="1"/>
    </row>
    <row r="2395" spans="1:34" ht="12.5">
      <c r="A2395" s="1"/>
      <c r="B2395" s="1"/>
      <c r="C2395" s="1"/>
      <c r="D2395" s="1"/>
      <c r="E2395" s="1"/>
      <c r="F2395" s="1"/>
      <c r="G2395" s="1"/>
      <c r="H2395" s="1"/>
      <c r="I2395" s="1"/>
      <c r="J2395" s="1"/>
      <c r="K2395" s="1"/>
      <c r="L2395" s="1"/>
      <c r="M2395" s="1"/>
      <c r="N2395" s="1"/>
      <c r="O2395" s="1"/>
      <c r="P2395" s="1"/>
      <c r="Q2395" s="1"/>
      <c r="R2395" s="1"/>
      <c r="S2395" s="1"/>
      <c r="T2395" s="1"/>
      <c r="U2395" s="1"/>
      <c r="V2395" s="1"/>
      <c r="W2395" s="1"/>
      <c r="X2395" s="1"/>
      <c r="Y2395" s="1"/>
      <c r="Z2395" s="1"/>
      <c r="AA2395" s="1"/>
      <c r="AB2395" s="1"/>
      <c r="AC2395" s="1"/>
      <c r="AD2395" s="1"/>
      <c r="AE2395" s="1"/>
      <c r="AF2395" s="1"/>
      <c r="AG2395" s="1"/>
      <c r="AH2395" s="1"/>
    </row>
    <row r="2396" spans="1:34" ht="12.5">
      <c r="A2396" s="1"/>
      <c r="B2396" s="1"/>
      <c r="C2396" s="1"/>
      <c r="D2396" s="1"/>
      <c r="E2396" s="1"/>
      <c r="F2396" s="1"/>
      <c r="G2396" s="1"/>
      <c r="H2396" s="1"/>
      <c r="I2396" s="1"/>
      <c r="J2396" s="1"/>
      <c r="K2396" s="1"/>
      <c r="L2396" s="1"/>
      <c r="M2396" s="1"/>
      <c r="N2396" s="1"/>
      <c r="O2396" s="1"/>
      <c r="P2396" s="1"/>
      <c r="Q2396" s="1"/>
      <c r="R2396" s="1"/>
      <c r="S2396" s="1"/>
      <c r="T2396" s="1"/>
      <c r="U2396" s="1"/>
      <c r="V2396" s="1"/>
      <c r="W2396" s="1"/>
      <c r="X2396" s="1"/>
      <c r="Y2396" s="1"/>
      <c r="Z2396" s="1"/>
      <c r="AA2396" s="1"/>
      <c r="AB2396" s="1"/>
      <c r="AC2396" s="1"/>
      <c r="AD2396" s="1"/>
      <c r="AE2396" s="1"/>
      <c r="AF2396" s="1"/>
      <c r="AG2396" s="1"/>
      <c r="AH2396" s="1"/>
    </row>
    <row r="2397" spans="1:34" ht="12.5">
      <c r="A2397" s="1"/>
      <c r="B2397" s="1"/>
      <c r="C2397" s="1"/>
      <c r="D2397" s="1"/>
      <c r="E2397" s="1"/>
      <c r="F2397" s="1"/>
      <c r="G2397" s="1"/>
      <c r="H2397" s="1"/>
      <c r="I2397" s="1"/>
      <c r="J2397" s="1"/>
      <c r="K2397" s="1"/>
      <c r="L2397" s="1"/>
      <c r="M2397" s="1"/>
      <c r="N2397" s="1"/>
      <c r="O2397" s="1"/>
      <c r="P2397" s="1"/>
      <c r="Q2397" s="1"/>
      <c r="R2397" s="1"/>
      <c r="S2397" s="1"/>
      <c r="T2397" s="1"/>
      <c r="U2397" s="1"/>
      <c r="V2397" s="1"/>
      <c r="W2397" s="1"/>
      <c r="X2397" s="1"/>
      <c r="Y2397" s="1"/>
      <c r="Z2397" s="1"/>
      <c r="AA2397" s="1"/>
      <c r="AB2397" s="1"/>
      <c r="AC2397" s="1"/>
      <c r="AD2397" s="1"/>
      <c r="AE2397" s="1"/>
      <c r="AF2397" s="1"/>
      <c r="AG2397" s="1"/>
      <c r="AH2397" s="1"/>
    </row>
    <row r="2398" spans="1:34" ht="12.5">
      <c r="A2398" s="1"/>
      <c r="B2398" s="1"/>
      <c r="C2398" s="1"/>
      <c r="D2398" s="1"/>
      <c r="E2398" s="1"/>
      <c r="F2398" s="1"/>
      <c r="G2398" s="1"/>
      <c r="H2398" s="1"/>
      <c r="I2398" s="1"/>
      <c r="J2398" s="1"/>
      <c r="K2398" s="1"/>
      <c r="L2398" s="1"/>
      <c r="M2398" s="1"/>
      <c r="N2398" s="1"/>
      <c r="O2398" s="1"/>
      <c r="P2398" s="1"/>
      <c r="Q2398" s="1"/>
      <c r="R2398" s="1"/>
      <c r="S2398" s="1"/>
      <c r="T2398" s="1"/>
      <c r="U2398" s="1"/>
      <c r="V2398" s="1"/>
      <c r="W2398" s="1"/>
      <c r="X2398" s="1"/>
      <c r="Y2398" s="1"/>
      <c r="Z2398" s="1"/>
      <c r="AA2398" s="1"/>
      <c r="AB2398" s="1"/>
      <c r="AC2398" s="1"/>
      <c r="AD2398" s="1"/>
      <c r="AE2398" s="1"/>
      <c r="AF2398" s="1"/>
      <c r="AG2398" s="1"/>
      <c r="AH2398" s="1"/>
    </row>
    <row r="2399" spans="1:34" ht="12.5">
      <c r="A2399" s="1"/>
      <c r="B2399" s="1"/>
      <c r="C2399" s="1"/>
      <c r="D2399" s="1"/>
      <c r="E2399" s="1"/>
      <c r="F2399" s="1"/>
      <c r="G2399" s="1"/>
      <c r="H2399" s="1"/>
      <c r="I2399" s="1"/>
      <c r="J2399" s="1"/>
      <c r="K2399" s="1"/>
      <c r="L2399" s="1"/>
      <c r="M2399" s="1"/>
      <c r="N2399" s="1"/>
      <c r="O2399" s="1"/>
      <c r="P2399" s="1"/>
      <c r="Q2399" s="1"/>
      <c r="R2399" s="1"/>
      <c r="S2399" s="1"/>
      <c r="T2399" s="1"/>
      <c r="U2399" s="1"/>
      <c r="V2399" s="1"/>
      <c r="W2399" s="1"/>
      <c r="X2399" s="1"/>
      <c r="Y2399" s="1"/>
      <c r="Z2399" s="1"/>
      <c r="AA2399" s="1"/>
      <c r="AB2399" s="1"/>
      <c r="AC2399" s="1"/>
      <c r="AD2399" s="1"/>
      <c r="AE2399" s="1"/>
      <c r="AF2399" s="1"/>
      <c r="AG2399" s="1"/>
      <c r="AH2399" s="1"/>
    </row>
    <row r="2400" spans="1:34" ht="12.5">
      <c r="A2400" s="1"/>
      <c r="B2400" s="1"/>
      <c r="C2400" s="1"/>
      <c r="D2400" s="1"/>
      <c r="E2400" s="1"/>
      <c r="F2400" s="1"/>
      <c r="G2400" s="1"/>
      <c r="H2400" s="1"/>
      <c r="I2400" s="1"/>
      <c r="J2400" s="1"/>
      <c r="K2400" s="1"/>
      <c r="L2400" s="1"/>
      <c r="M2400" s="1"/>
      <c r="N2400" s="1"/>
      <c r="O2400" s="1"/>
      <c r="P2400" s="1"/>
      <c r="Q2400" s="1"/>
      <c r="R2400" s="1"/>
      <c r="S2400" s="1"/>
      <c r="T2400" s="1"/>
      <c r="U2400" s="1"/>
      <c r="V2400" s="1"/>
      <c r="W2400" s="1"/>
      <c r="X2400" s="1"/>
      <c r="Y2400" s="1"/>
      <c r="Z2400" s="1"/>
      <c r="AA2400" s="1"/>
      <c r="AB2400" s="1"/>
      <c r="AC2400" s="1"/>
      <c r="AD2400" s="1"/>
      <c r="AE2400" s="1"/>
      <c r="AF2400" s="1"/>
      <c r="AG2400" s="1"/>
      <c r="AH2400" s="1"/>
    </row>
    <row r="2401" spans="1:34" ht="12.5">
      <c r="A2401" s="1"/>
      <c r="B2401" s="1"/>
      <c r="C2401" s="1"/>
      <c r="D2401" s="1"/>
      <c r="E2401" s="1"/>
      <c r="F2401" s="1"/>
      <c r="G2401" s="1"/>
      <c r="H2401" s="1"/>
      <c r="I2401" s="1"/>
      <c r="J2401" s="1"/>
      <c r="K2401" s="1"/>
      <c r="L2401" s="1"/>
      <c r="M2401" s="1"/>
      <c r="N2401" s="1"/>
      <c r="O2401" s="1"/>
      <c r="P2401" s="1"/>
      <c r="Q2401" s="1"/>
      <c r="R2401" s="1"/>
      <c r="S2401" s="1"/>
      <c r="T2401" s="1"/>
      <c r="U2401" s="1"/>
      <c r="V2401" s="1"/>
      <c r="W2401" s="1"/>
      <c r="X2401" s="1"/>
      <c r="Y2401" s="1"/>
      <c r="Z2401" s="1"/>
      <c r="AA2401" s="1"/>
      <c r="AB2401" s="1"/>
      <c r="AC2401" s="1"/>
      <c r="AD2401" s="1"/>
      <c r="AE2401" s="1"/>
      <c r="AF2401" s="1"/>
      <c r="AG2401" s="1"/>
      <c r="AH2401" s="1"/>
    </row>
    <row r="2402" spans="1:34" ht="12.5">
      <c r="A2402" s="1"/>
      <c r="B2402" s="1"/>
      <c r="C2402" s="1"/>
      <c r="D2402" s="1"/>
      <c r="E2402" s="1"/>
      <c r="F2402" s="1"/>
      <c r="G2402" s="1"/>
      <c r="H2402" s="1"/>
      <c r="I2402" s="1"/>
      <c r="J2402" s="1"/>
      <c r="K2402" s="1"/>
      <c r="L2402" s="1"/>
      <c r="M2402" s="1"/>
      <c r="N2402" s="1"/>
      <c r="O2402" s="1"/>
      <c r="P2402" s="1"/>
      <c r="Q2402" s="1"/>
      <c r="R2402" s="1"/>
      <c r="S2402" s="1"/>
      <c r="T2402" s="1"/>
      <c r="U2402" s="1"/>
      <c r="V2402" s="1"/>
      <c r="W2402" s="1"/>
      <c r="X2402" s="1"/>
      <c r="Y2402" s="1"/>
      <c r="Z2402" s="1"/>
      <c r="AA2402" s="1"/>
      <c r="AB2402" s="1"/>
      <c r="AC2402" s="1"/>
      <c r="AD2402" s="1"/>
      <c r="AE2402" s="1"/>
      <c r="AF2402" s="1"/>
      <c r="AG2402" s="1"/>
      <c r="AH2402" s="1"/>
    </row>
    <row r="2403" spans="1:34" ht="12.5">
      <c r="A2403" s="1"/>
      <c r="B2403" s="1"/>
      <c r="C2403" s="1"/>
      <c r="D2403" s="1"/>
      <c r="E2403" s="1"/>
      <c r="F2403" s="1"/>
      <c r="G2403" s="1"/>
      <c r="H2403" s="1"/>
      <c r="I2403" s="1"/>
      <c r="J2403" s="1"/>
      <c r="K2403" s="1"/>
      <c r="L2403" s="1"/>
      <c r="M2403" s="1"/>
      <c r="N2403" s="1"/>
      <c r="O2403" s="1"/>
      <c r="P2403" s="1"/>
      <c r="Q2403" s="1"/>
      <c r="R2403" s="1"/>
      <c r="S2403" s="1"/>
      <c r="T2403" s="1"/>
      <c r="U2403" s="1"/>
      <c r="V2403" s="1"/>
      <c r="W2403" s="1"/>
      <c r="X2403" s="1"/>
      <c r="Y2403" s="1"/>
      <c r="Z2403" s="1"/>
      <c r="AA2403" s="1"/>
      <c r="AB2403" s="1"/>
      <c r="AC2403" s="1"/>
      <c r="AD2403" s="1"/>
      <c r="AE2403" s="1"/>
      <c r="AF2403" s="1"/>
      <c r="AG2403" s="1"/>
      <c r="AH2403" s="1"/>
    </row>
    <row r="2404" spans="1:34" ht="12.5">
      <c r="A2404" s="1"/>
      <c r="B2404" s="1"/>
      <c r="C2404" s="1"/>
      <c r="D2404" s="1"/>
      <c r="E2404" s="1"/>
      <c r="F2404" s="1"/>
      <c r="G2404" s="1"/>
      <c r="H2404" s="1"/>
      <c r="I2404" s="1"/>
      <c r="J2404" s="1"/>
      <c r="K2404" s="1"/>
      <c r="L2404" s="1"/>
      <c r="M2404" s="1"/>
      <c r="N2404" s="1"/>
      <c r="O2404" s="1"/>
      <c r="P2404" s="1"/>
      <c r="Q2404" s="1"/>
      <c r="R2404" s="1"/>
      <c r="S2404" s="1"/>
      <c r="T2404" s="1"/>
      <c r="U2404" s="1"/>
      <c r="V2404" s="1"/>
      <c r="W2404" s="1"/>
      <c r="X2404" s="1"/>
      <c r="Y2404" s="1"/>
      <c r="Z2404" s="1"/>
      <c r="AA2404" s="1"/>
      <c r="AB2404" s="1"/>
      <c r="AC2404" s="1"/>
      <c r="AD2404" s="1"/>
      <c r="AE2404" s="1"/>
      <c r="AF2404" s="1"/>
      <c r="AG2404" s="1"/>
      <c r="AH2404" s="1"/>
    </row>
    <row r="2405" spans="1:34" ht="12.5">
      <c r="A2405" s="1"/>
      <c r="B2405" s="1"/>
      <c r="C2405" s="1"/>
      <c r="D2405" s="1"/>
      <c r="E2405" s="1"/>
      <c r="F2405" s="1"/>
      <c r="G2405" s="1"/>
      <c r="H2405" s="1"/>
      <c r="I2405" s="1"/>
      <c r="J2405" s="1"/>
      <c r="K2405" s="1"/>
      <c r="L2405" s="1"/>
      <c r="M2405" s="1"/>
      <c r="N2405" s="1"/>
      <c r="O2405" s="1"/>
      <c r="P2405" s="1"/>
      <c r="Q2405" s="1"/>
      <c r="R2405" s="1"/>
      <c r="S2405" s="1"/>
      <c r="T2405" s="1"/>
      <c r="U2405" s="1"/>
      <c r="V2405" s="1"/>
      <c r="W2405" s="1"/>
      <c r="X2405" s="1"/>
      <c r="Y2405" s="1"/>
      <c r="Z2405" s="1"/>
      <c r="AA2405" s="1"/>
      <c r="AB2405" s="1"/>
      <c r="AC2405" s="1"/>
      <c r="AD2405" s="1"/>
      <c r="AE2405" s="1"/>
      <c r="AF2405" s="1"/>
      <c r="AG2405" s="1"/>
      <c r="AH2405" s="1"/>
    </row>
    <row r="2406" spans="1:34" ht="12.5">
      <c r="A2406" s="1"/>
      <c r="B2406" s="1"/>
      <c r="C2406" s="1"/>
      <c r="D2406" s="1"/>
      <c r="E2406" s="1"/>
      <c r="F2406" s="1"/>
      <c r="G2406" s="1"/>
      <c r="H2406" s="1"/>
      <c r="I2406" s="1"/>
      <c r="J2406" s="1"/>
      <c r="K2406" s="1"/>
      <c r="L2406" s="1"/>
      <c r="M2406" s="1"/>
      <c r="N2406" s="1"/>
      <c r="O2406" s="1"/>
      <c r="P2406" s="1"/>
      <c r="Q2406" s="1"/>
      <c r="R2406" s="1"/>
      <c r="S2406" s="1"/>
      <c r="T2406" s="1"/>
      <c r="U2406" s="1"/>
      <c r="V2406" s="1"/>
      <c r="W2406" s="1"/>
      <c r="X2406" s="1"/>
      <c r="Y2406" s="1"/>
      <c r="Z2406" s="1"/>
      <c r="AA2406" s="1"/>
      <c r="AB2406" s="1"/>
      <c r="AC2406" s="1"/>
      <c r="AD2406" s="1"/>
      <c r="AE2406" s="1"/>
      <c r="AF2406" s="1"/>
      <c r="AG2406" s="1"/>
      <c r="AH2406" s="1"/>
    </row>
    <row r="2407" spans="1:34" ht="12.5">
      <c r="A2407" s="1"/>
      <c r="B2407" s="1"/>
      <c r="C2407" s="1"/>
      <c r="D2407" s="1"/>
      <c r="E2407" s="1"/>
      <c r="F2407" s="1"/>
      <c r="G2407" s="1"/>
      <c r="H2407" s="1"/>
      <c r="I2407" s="1"/>
      <c r="J2407" s="1"/>
      <c r="K2407" s="1"/>
      <c r="L2407" s="1"/>
      <c r="M2407" s="1"/>
      <c r="N2407" s="1"/>
      <c r="O2407" s="1"/>
      <c r="P2407" s="1"/>
      <c r="Q2407" s="1"/>
      <c r="R2407" s="1"/>
      <c r="S2407" s="1"/>
      <c r="T2407" s="1"/>
      <c r="U2407" s="1"/>
      <c r="V2407" s="1"/>
      <c r="W2407" s="1"/>
      <c r="X2407" s="1"/>
      <c r="Y2407" s="1"/>
      <c r="Z2407" s="1"/>
      <c r="AA2407" s="1"/>
      <c r="AB2407" s="1"/>
      <c r="AC2407" s="1"/>
      <c r="AD2407" s="1"/>
      <c r="AE2407" s="1"/>
      <c r="AF2407" s="1"/>
      <c r="AG2407" s="1"/>
      <c r="AH2407" s="1"/>
    </row>
    <row r="2408" spans="1:34" ht="12.5">
      <c r="A2408" s="1"/>
      <c r="B2408" s="1"/>
      <c r="C2408" s="1"/>
      <c r="D2408" s="1"/>
      <c r="E2408" s="1"/>
      <c r="F2408" s="1"/>
      <c r="G2408" s="1"/>
      <c r="H2408" s="1"/>
      <c r="I2408" s="1"/>
      <c r="J2408" s="1"/>
      <c r="K2408" s="1"/>
      <c r="L2408" s="1"/>
      <c r="M2408" s="1"/>
      <c r="N2408" s="1"/>
      <c r="O2408" s="1"/>
      <c r="P2408" s="1"/>
      <c r="Q2408" s="1"/>
      <c r="R2408" s="1"/>
      <c r="S2408" s="1"/>
      <c r="T2408" s="1"/>
      <c r="U2408" s="1"/>
      <c r="V2408" s="1"/>
      <c r="W2408" s="1"/>
      <c r="X2408" s="1"/>
      <c r="Y2408" s="1"/>
      <c r="Z2408" s="1"/>
      <c r="AA2408" s="1"/>
      <c r="AB2408" s="1"/>
      <c r="AC2408" s="1"/>
      <c r="AD2408" s="1"/>
      <c r="AE2408" s="1"/>
      <c r="AF2408" s="1"/>
      <c r="AG2408" s="1"/>
      <c r="AH2408" s="1"/>
    </row>
    <row r="2409" spans="1:34" ht="12.5">
      <c r="A2409" s="1"/>
      <c r="B2409" s="1"/>
      <c r="C2409" s="1"/>
      <c r="D2409" s="1"/>
      <c r="E2409" s="1"/>
      <c r="F2409" s="1"/>
      <c r="G2409" s="1"/>
      <c r="H2409" s="1"/>
      <c r="I2409" s="1"/>
      <c r="J2409" s="1"/>
      <c r="K2409" s="1"/>
      <c r="L2409" s="1"/>
      <c r="M2409" s="1"/>
      <c r="N2409" s="1"/>
      <c r="O2409" s="1"/>
      <c r="P2409" s="1"/>
      <c r="Q2409" s="1"/>
      <c r="R2409" s="1"/>
      <c r="S2409" s="1"/>
      <c r="T2409" s="1"/>
      <c r="U2409" s="1"/>
      <c r="V2409" s="1"/>
      <c r="W2409" s="1"/>
      <c r="X2409" s="1"/>
      <c r="Y2409" s="1"/>
      <c r="Z2409" s="1"/>
      <c r="AA2409" s="1"/>
      <c r="AB2409" s="1"/>
      <c r="AC2409" s="1"/>
      <c r="AD2409" s="1"/>
      <c r="AE2409" s="1"/>
      <c r="AF2409" s="1"/>
      <c r="AG2409" s="1"/>
      <c r="AH2409" s="1"/>
    </row>
    <row r="2410" spans="1:34" ht="12.5">
      <c r="A2410" s="1"/>
      <c r="B2410" s="1"/>
      <c r="C2410" s="1"/>
      <c r="D2410" s="1"/>
      <c r="E2410" s="1"/>
      <c r="F2410" s="1"/>
      <c r="G2410" s="1"/>
      <c r="H2410" s="1"/>
      <c r="I2410" s="1"/>
      <c r="J2410" s="1"/>
      <c r="K2410" s="1"/>
      <c r="L2410" s="1"/>
      <c r="M2410" s="1"/>
      <c r="N2410" s="1"/>
      <c r="O2410" s="1"/>
      <c r="P2410" s="1"/>
      <c r="Q2410" s="1"/>
      <c r="R2410" s="1"/>
      <c r="S2410" s="1"/>
      <c r="T2410" s="1"/>
      <c r="U2410" s="1"/>
      <c r="V2410" s="1"/>
      <c r="W2410" s="1"/>
      <c r="X2410" s="1"/>
      <c r="Y2410" s="1"/>
      <c r="Z2410" s="1"/>
      <c r="AA2410" s="1"/>
      <c r="AB2410" s="1"/>
      <c r="AC2410" s="1"/>
      <c r="AD2410" s="1"/>
      <c r="AE2410" s="1"/>
      <c r="AF2410" s="1"/>
      <c r="AG2410" s="1"/>
      <c r="AH2410" s="1"/>
    </row>
    <row r="2411" spans="1:34" ht="12.5">
      <c r="A2411" s="1"/>
      <c r="B2411" s="1"/>
      <c r="C2411" s="1"/>
      <c r="D2411" s="1"/>
      <c r="E2411" s="1"/>
      <c r="F2411" s="1"/>
      <c r="G2411" s="1"/>
      <c r="H2411" s="1"/>
      <c r="I2411" s="1"/>
      <c r="J2411" s="1"/>
      <c r="K2411" s="1"/>
      <c r="L2411" s="1"/>
      <c r="M2411" s="1"/>
      <c r="N2411" s="1"/>
      <c r="O2411" s="1"/>
      <c r="P2411" s="1"/>
      <c r="Q2411" s="1"/>
      <c r="R2411" s="1"/>
      <c r="S2411" s="1"/>
      <c r="T2411" s="1"/>
      <c r="U2411" s="1"/>
      <c r="V2411" s="1"/>
      <c r="W2411" s="1"/>
      <c r="X2411" s="1"/>
      <c r="Y2411" s="1"/>
      <c r="Z2411" s="1"/>
      <c r="AA2411" s="1"/>
      <c r="AB2411" s="1"/>
      <c r="AC2411" s="1"/>
      <c r="AD2411" s="1"/>
      <c r="AE2411" s="1"/>
      <c r="AF2411" s="1"/>
      <c r="AG2411" s="1"/>
      <c r="AH2411" s="1"/>
    </row>
    <row r="2412" spans="1:34" ht="12.5">
      <c r="A2412" s="1"/>
      <c r="B2412" s="1"/>
      <c r="C2412" s="1"/>
      <c r="D2412" s="1"/>
      <c r="E2412" s="1"/>
      <c r="F2412" s="1"/>
      <c r="G2412" s="1"/>
      <c r="H2412" s="1"/>
      <c r="I2412" s="1"/>
      <c r="J2412" s="1"/>
      <c r="K2412" s="1"/>
      <c r="L2412" s="1"/>
      <c r="M2412" s="1"/>
      <c r="N2412" s="1"/>
      <c r="O2412" s="1"/>
      <c r="P2412" s="1"/>
      <c r="Q2412" s="1"/>
      <c r="R2412" s="1"/>
      <c r="S2412" s="1"/>
      <c r="T2412" s="1"/>
      <c r="U2412" s="1"/>
      <c r="V2412" s="1"/>
      <c r="W2412" s="1"/>
      <c r="X2412" s="1"/>
      <c r="Y2412" s="1"/>
      <c r="Z2412" s="1"/>
      <c r="AA2412" s="1"/>
      <c r="AB2412" s="1"/>
      <c r="AC2412" s="1"/>
      <c r="AD2412" s="1"/>
      <c r="AE2412" s="1"/>
      <c r="AF2412" s="1"/>
      <c r="AG2412" s="1"/>
      <c r="AH2412" s="1"/>
    </row>
    <row r="2413" spans="1:34" ht="12.5">
      <c r="A2413" s="1"/>
      <c r="B2413" s="1"/>
      <c r="C2413" s="1"/>
      <c r="D2413" s="1"/>
      <c r="E2413" s="1"/>
      <c r="F2413" s="1"/>
      <c r="G2413" s="1"/>
      <c r="H2413" s="1"/>
      <c r="I2413" s="1"/>
      <c r="J2413" s="1"/>
      <c r="K2413" s="1"/>
      <c r="L2413" s="1"/>
      <c r="M2413" s="1"/>
      <c r="N2413" s="1"/>
      <c r="O2413" s="1"/>
      <c r="P2413" s="1"/>
      <c r="Q2413" s="1"/>
      <c r="R2413" s="1"/>
      <c r="S2413" s="1"/>
      <c r="T2413" s="1"/>
      <c r="U2413" s="1"/>
      <c r="V2413" s="1"/>
      <c r="W2413" s="1"/>
      <c r="X2413" s="1"/>
      <c r="Y2413" s="1"/>
      <c r="Z2413" s="1"/>
      <c r="AA2413" s="1"/>
      <c r="AB2413" s="1"/>
      <c r="AC2413" s="1"/>
      <c r="AD2413" s="1"/>
      <c r="AE2413" s="1"/>
      <c r="AF2413" s="1"/>
      <c r="AG2413" s="1"/>
      <c r="AH2413" s="1"/>
    </row>
    <row r="2414" spans="1:34" ht="12.5">
      <c r="A2414" s="1"/>
      <c r="B2414" s="1"/>
      <c r="C2414" s="1"/>
      <c r="D2414" s="1"/>
      <c r="E2414" s="1"/>
      <c r="F2414" s="1"/>
      <c r="G2414" s="1"/>
      <c r="H2414" s="1"/>
      <c r="I2414" s="1"/>
      <c r="J2414" s="1"/>
      <c r="K2414" s="1"/>
      <c r="L2414" s="1"/>
      <c r="M2414" s="1"/>
      <c r="N2414" s="1"/>
      <c r="O2414" s="1"/>
      <c r="P2414" s="1"/>
      <c r="Q2414" s="1"/>
      <c r="R2414" s="1"/>
      <c r="S2414" s="1"/>
      <c r="T2414" s="1"/>
      <c r="U2414" s="1"/>
      <c r="V2414" s="1"/>
      <c r="W2414" s="1"/>
      <c r="X2414" s="1"/>
      <c r="Y2414" s="1"/>
      <c r="Z2414" s="1"/>
      <c r="AA2414" s="1"/>
      <c r="AB2414" s="1"/>
      <c r="AC2414" s="1"/>
      <c r="AD2414" s="1"/>
      <c r="AE2414" s="1"/>
      <c r="AF2414" s="1"/>
      <c r="AG2414" s="1"/>
      <c r="AH2414" s="1"/>
    </row>
    <row r="2415" spans="1:34" ht="12.5">
      <c r="A2415" s="1"/>
      <c r="B2415" s="1"/>
      <c r="C2415" s="1"/>
      <c r="D2415" s="1"/>
      <c r="E2415" s="1"/>
      <c r="F2415" s="1"/>
      <c r="G2415" s="1"/>
      <c r="H2415" s="1"/>
      <c r="I2415" s="1"/>
      <c r="J2415" s="1"/>
      <c r="K2415" s="1"/>
      <c r="L2415" s="1"/>
      <c r="M2415" s="1"/>
      <c r="N2415" s="1"/>
      <c r="O2415" s="1"/>
      <c r="P2415" s="1"/>
      <c r="Q2415" s="1"/>
      <c r="R2415" s="1"/>
      <c r="S2415" s="1"/>
      <c r="T2415" s="1"/>
      <c r="U2415" s="1"/>
      <c r="V2415" s="1"/>
      <c r="W2415" s="1"/>
      <c r="X2415" s="1"/>
      <c r="Y2415" s="1"/>
      <c r="Z2415" s="1"/>
      <c r="AA2415" s="1"/>
      <c r="AB2415" s="1"/>
      <c r="AC2415" s="1"/>
      <c r="AD2415" s="1"/>
      <c r="AE2415" s="1"/>
      <c r="AF2415" s="1"/>
      <c r="AG2415" s="1"/>
      <c r="AH2415" s="1"/>
    </row>
    <row r="2416" spans="1:34" ht="12.5">
      <c r="A2416" s="1"/>
      <c r="B2416" s="1"/>
      <c r="C2416" s="1"/>
      <c r="D2416" s="1"/>
      <c r="E2416" s="1"/>
      <c r="F2416" s="1"/>
      <c r="G2416" s="1"/>
      <c r="H2416" s="1"/>
      <c r="I2416" s="1"/>
      <c r="J2416" s="1"/>
      <c r="K2416" s="1"/>
      <c r="L2416" s="1"/>
      <c r="M2416" s="1"/>
      <c r="N2416" s="1"/>
      <c r="O2416" s="1"/>
      <c r="P2416" s="1"/>
      <c r="Q2416" s="1"/>
      <c r="R2416" s="1"/>
      <c r="S2416" s="1"/>
      <c r="T2416" s="1"/>
      <c r="U2416" s="1"/>
      <c r="V2416" s="1"/>
      <c r="W2416" s="1"/>
      <c r="X2416" s="1"/>
      <c r="Y2416" s="1"/>
      <c r="Z2416" s="1"/>
      <c r="AA2416" s="1"/>
      <c r="AB2416" s="1"/>
      <c r="AC2416" s="1"/>
      <c r="AD2416" s="1"/>
      <c r="AE2416" s="1"/>
      <c r="AF2416" s="1"/>
      <c r="AG2416" s="1"/>
      <c r="AH2416" s="1"/>
    </row>
    <row r="2417" spans="1:34" ht="12.5">
      <c r="A2417" s="1"/>
      <c r="B2417" s="1"/>
      <c r="C2417" s="1"/>
      <c r="D2417" s="1"/>
      <c r="E2417" s="1"/>
      <c r="F2417" s="1"/>
      <c r="G2417" s="1"/>
      <c r="H2417" s="1"/>
      <c r="I2417" s="1"/>
      <c r="J2417" s="1"/>
      <c r="K2417" s="1"/>
      <c r="L2417" s="1"/>
      <c r="M2417" s="1"/>
      <c r="N2417" s="1"/>
      <c r="O2417" s="1"/>
      <c r="P2417" s="1"/>
      <c r="Q2417" s="1"/>
      <c r="R2417" s="1"/>
      <c r="S2417" s="1"/>
      <c r="T2417" s="1"/>
      <c r="U2417" s="1"/>
      <c r="V2417" s="1"/>
      <c r="W2417" s="1"/>
      <c r="X2417" s="1"/>
      <c r="Y2417" s="1"/>
      <c r="Z2417" s="1"/>
      <c r="AA2417" s="1"/>
      <c r="AB2417" s="1"/>
      <c r="AC2417" s="1"/>
      <c r="AD2417" s="1"/>
      <c r="AE2417" s="1"/>
      <c r="AF2417" s="1"/>
      <c r="AG2417" s="1"/>
      <c r="AH2417" s="1"/>
    </row>
    <row r="2418" spans="1:34" ht="12.5">
      <c r="A2418" s="1"/>
      <c r="B2418" s="1"/>
      <c r="C2418" s="1"/>
      <c r="D2418" s="1"/>
      <c r="E2418" s="1"/>
      <c r="F2418" s="1"/>
      <c r="G2418" s="1"/>
      <c r="H2418" s="1"/>
      <c r="I2418" s="1"/>
      <c r="J2418" s="1"/>
      <c r="K2418" s="1"/>
      <c r="L2418" s="1"/>
      <c r="M2418" s="1"/>
      <c r="N2418" s="1"/>
      <c r="O2418" s="1"/>
      <c r="P2418" s="1"/>
      <c r="Q2418" s="1"/>
      <c r="R2418" s="1"/>
      <c r="S2418" s="1"/>
      <c r="T2418" s="1"/>
      <c r="U2418" s="1"/>
      <c r="V2418" s="1"/>
      <c r="W2418" s="1"/>
      <c r="X2418" s="1"/>
      <c r="Y2418" s="1"/>
      <c r="Z2418" s="1"/>
      <c r="AA2418" s="1"/>
      <c r="AB2418" s="1"/>
      <c r="AC2418" s="1"/>
      <c r="AD2418" s="1"/>
      <c r="AE2418" s="1"/>
      <c r="AF2418" s="1"/>
      <c r="AG2418" s="1"/>
      <c r="AH2418" s="1"/>
    </row>
    <row r="2419" spans="1:34" ht="12.5">
      <c r="A2419" s="1"/>
      <c r="B2419" s="1"/>
      <c r="C2419" s="1"/>
      <c r="D2419" s="1"/>
      <c r="E2419" s="1"/>
      <c r="F2419" s="1"/>
      <c r="G2419" s="1"/>
      <c r="H2419" s="1"/>
      <c r="I2419" s="1"/>
      <c r="J2419" s="1"/>
      <c r="K2419" s="1"/>
      <c r="L2419" s="1"/>
      <c r="M2419" s="1"/>
      <c r="N2419" s="1"/>
      <c r="O2419" s="1"/>
      <c r="P2419" s="1"/>
      <c r="Q2419" s="1"/>
      <c r="R2419" s="1"/>
      <c r="S2419" s="1"/>
      <c r="T2419" s="1"/>
      <c r="U2419" s="1"/>
      <c r="V2419" s="1"/>
      <c r="W2419" s="1"/>
      <c r="X2419" s="1"/>
      <c r="Y2419" s="1"/>
      <c r="Z2419" s="1"/>
      <c r="AA2419" s="1"/>
      <c r="AB2419" s="1"/>
      <c r="AC2419" s="1"/>
      <c r="AD2419" s="1"/>
      <c r="AE2419" s="1"/>
      <c r="AF2419" s="1"/>
      <c r="AG2419" s="1"/>
      <c r="AH2419" s="1"/>
    </row>
    <row r="2420" spans="1:34" ht="12.5">
      <c r="A2420" s="1"/>
      <c r="B2420" s="1"/>
      <c r="C2420" s="1"/>
      <c r="D2420" s="1"/>
      <c r="E2420" s="1"/>
      <c r="F2420" s="1"/>
      <c r="G2420" s="1"/>
      <c r="H2420" s="1"/>
      <c r="I2420" s="1"/>
      <c r="J2420" s="1"/>
      <c r="K2420" s="1"/>
      <c r="L2420" s="1"/>
      <c r="M2420" s="1"/>
      <c r="N2420" s="1"/>
      <c r="O2420" s="1"/>
      <c r="P2420" s="1"/>
      <c r="Q2420" s="1"/>
      <c r="R2420" s="1"/>
      <c r="S2420" s="1"/>
      <c r="T2420" s="1"/>
      <c r="U2420" s="1"/>
      <c r="V2420" s="1"/>
      <c r="W2420" s="1"/>
      <c r="X2420" s="1"/>
      <c r="Y2420" s="1"/>
      <c r="Z2420" s="1"/>
      <c r="AA2420" s="1"/>
      <c r="AB2420" s="1"/>
      <c r="AC2420" s="1"/>
      <c r="AD2420" s="1"/>
      <c r="AE2420" s="1"/>
      <c r="AF2420" s="1"/>
      <c r="AG2420" s="1"/>
      <c r="AH2420" s="1"/>
    </row>
    <row r="2421" spans="1:34" ht="12.5">
      <c r="A2421" s="1"/>
      <c r="B2421" s="1"/>
      <c r="C2421" s="1"/>
      <c r="D2421" s="1"/>
      <c r="E2421" s="1"/>
      <c r="F2421" s="1"/>
      <c r="G2421" s="1"/>
      <c r="H2421" s="1"/>
      <c r="I2421" s="1"/>
      <c r="J2421" s="1"/>
      <c r="K2421" s="1"/>
      <c r="L2421" s="1"/>
      <c r="M2421" s="1"/>
      <c r="N2421" s="1"/>
      <c r="O2421" s="1"/>
      <c r="P2421" s="1"/>
      <c r="Q2421" s="1"/>
      <c r="R2421" s="1"/>
      <c r="S2421" s="1"/>
      <c r="T2421" s="1"/>
      <c r="U2421" s="1"/>
      <c r="V2421" s="1"/>
      <c r="W2421" s="1"/>
      <c r="X2421" s="1"/>
      <c r="Y2421" s="1"/>
      <c r="Z2421" s="1"/>
      <c r="AA2421" s="1"/>
      <c r="AB2421" s="1"/>
      <c r="AC2421" s="1"/>
      <c r="AD2421" s="1"/>
      <c r="AE2421" s="1"/>
      <c r="AF2421" s="1"/>
      <c r="AG2421" s="1"/>
      <c r="AH2421" s="1"/>
    </row>
    <row r="2422" spans="1:34" ht="12.5">
      <c r="A2422" s="1"/>
      <c r="B2422" s="1"/>
      <c r="C2422" s="1"/>
      <c r="D2422" s="1"/>
      <c r="E2422" s="1"/>
      <c r="F2422" s="1"/>
      <c r="G2422" s="1"/>
      <c r="H2422" s="1"/>
      <c r="I2422" s="1"/>
      <c r="J2422" s="1"/>
      <c r="K2422" s="1"/>
      <c r="L2422" s="1"/>
      <c r="M2422" s="1"/>
      <c r="N2422" s="1"/>
      <c r="O2422" s="1"/>
      <c r="P2422" s="1"/>
      <c r="Q2422" s="1"/>
      <c r="R2422" s="1"/>
      <c r="S2422" s="1"/>
      <c r="T2422" s="1"/>
      <c r="U2422" s="1"/>
      <c r="V2422" s="1"/>
      <c r="W2422" s="1"/>
      <c r="X2422" s="1"/>
      <c r="Y2422" s="1"/>
      <c r="Z2422" s="1"/>
      <c r="AA2422" s="1"/>
      <c r="AB2422" s="1"/>
      <c r="AC2422" s="1"/>
      <c r="AD2422" s="1"/>
      <c r="AE2422" s="1"/>
      <c r="AF2422" s="1"/>
      <c r="AG2422" s="1"/>
      <c r="AH2422" s="1"/>
    </row>
    <row r="2423" spans="1:34" ht="12.5">
      <c r="A2423" s="1"/>
      <c r="B2423" s="1"/>
      <c r="C2423" s="1"/>
      <c r="D2423" s="1"/>
      <c r="E2423" s="1"/>
      <c r="F2423" s="1"/>
      <c r="G2423" s="1"/>
      <c r="H2423" s="1"/>
      <c r="I2423" s="1"/>
      <c r="J2423" s="1"/>
      <c r="K2423" s="1"/>
      <c r="L2423" s="1"/>
      <c r="M2423" s="1"/>
      <c r="N2423" s="1"/>
      <c r="O2423" s="1"/>
      <c r="P2423" s="1"/>
      <c r="Q2423" s="1"/>
      <c r="R2423" s="1"/>
      <c r="S2423" s="1"/>
      <c r="T2423" s="1"/>
      <c r="U2423" s="1"/>
      <c r="V2423" s="1"/>
      <c r="W2423" s="1"/>
      <c r="X2423" s="1"/>
      <c r="Y2423" s="1"/>
      <c r="Z2423" s="1"/>
      <c r="AA2423" s="1"/>
      <c r="AB2423" s="1"/>
      <c r="AC2423" s="1"/>
      <c r="AD2423" s="1"/>
      <c r="AE2423" s="1"/>
      <c r="AF2423" s="1"/>
      <c r="AG2423" s="1"/>
      <c r="AH2423" s="1"/>
    </row>
    <row r="2424" spans="1:34" ht="12.5">
      <c r="A2424" s="1"/>
      <c r="B2424" s="1"/>
      <c r="C2424" s="1"/>
      <c r="D2424" s="1"/>
      <c r="E2424" s="1"/>
      <c r="F2424" s="1"/>
      <c r="G2424" s="1"/>
      <c r="H2424" s="1"/>
      <c r="I2424" s="1"/>
      <c r="J2424" s="1"/>
      <c r="K2424" s="1"/>
      <c r="L2424" s="1"/>
      <c r="M2424" s="1"/>
      <c r="N2424" s="1"/>
      <c r="O2424" s="1"/>
      <c r="P2424" s="1"/>
      <c r="Q2424" s="1"/>
      <c r="R2424" s="1"/>
      <c r="S2424" s="1"/>
      <c r="T2424" s="1"/>
      <c r="U2424" s="1"/>
      <c r="V2424" s="1"/>
      <c r="W2424" s="1"/>
      <c r="X2424" s="1"/>
      <c r="Y2424" s="1"/>
      <c r="Z2424" s="1"/>
      <c r="AA2424" s="1"/>
      <c r="AB2424" s="1"/>
      <c r="AC2424" s="1"/>
      <c r="AD2424" s="1"/>
      <c r="AE2424" s="1"/>
      <c r="AF2424" s="1"/>
      <c r="AG2424" s="1"/>
      <c r="AH2424" s="1"/>
    </row>
    <row r="2425" spans="1:34" ht="12.5">
      <c r="A2425" s="1"/>
      <c r="B2425" s="1"/>
      <c r="C2425" s="1"/>
      <c r="D2425" s="1"/>
      <c r="E2425" s="1"/>
      <c r="F2425" s="1"/>
      <c r="G2425" s="1"/>
      <c r="H2425" s="1"/>
      <c r="I2425" s="1"/>
      <c r="J2425" s="1"/>
      <c r="K2425" s="1"/>
      <c r="L2425" s="1"/>
      <c r="M2425" s="1"/>
      <c r="N2425" s="1"/>
      <c r="O2425" s="1"/>
      <c r="P2425" s="1"/>
      <c r="Q2425" s="1"/>
      <c r="R2425" s="1"/>
      <c r="S2425" s="1"/>
      <c r="T2425" s="1"/>
      <c r="U2425" s="1"/>
      <c r="V2425" s="1"/>
      <c r="W2425" s="1"/>
      <c r="X2425" s="1"/>
      <c r="Y2425" s="1"/>
      <c r="Z2425" s="1"/>
      <c r="AA2425" s="1"/>
      <c r="AB2425" s="1"/>
      <c r="AC2425" s="1"/>
      <c r="AD2425" s="1"/>
      <c r="AE2425" s="1"/>
      <c r="AF2425" s="1"/>
      <c r="AG2425" s="1"/>
      <c r="AH2425" s="1"/>
    </row>
    <row r="2426" spans="1:34" ht="12.5">
      <c r="A2426" s="1"/>
      <c r="B2426" s="1"/>
      <c r="C2426" s="1"/>
      <c r="D2426" s="1"/>
      <c r="E2426" s="1"/>
      <c r="F2426" s="1"/>
      <c r="G2426" s="1"/>
      <c r="H2426" s="1"/>
      <c r="I2426" s="1"/>
      <c r="J2426" s="1"/>
      <c r="K2426" s="1"/>
      <c r="L2426" s="1"/>
      <c r="M2426" s="1"/>
      <c r="N2426" s="1"/>
      <c r="O2426" s="1"/>
      <c r="P2426" s="1"/>
      <c r="Q2426" s="1"/>
      <c r="R2426" s="1"/>
      <c r="S2426" s="1"/>
      <c r="T2426" s="1"/>
      <c r="U2426" s="1"/>
      <c r="V2426" s="1"/>
      <c r="W2426" s="1"/>
      <c r="X2426" s="1"/>
      <c r="Y2426" s="1"/>
      <c r="Z2426" s="1"/>
      <c r="AA2426" s="1"/>
      <c r="AB2426" s="1"/>
      <c r="AC2426" s="1"/>
      <c r="AD2426" s="1"/>
      <c r="AE2426" s="1"/>
      <c r="AF2426" s="1"/>
      <c r="AG2426" s="1"/>
      <c r="AH2426" s="1"/>
    </row>
    <row r="2427" spans="1:34" ht="12.5">
      <c r="A2427" s="1"/>
      <c r="B2427" s="1"/>
      <c r="C2427" s="1"/>
      <c r="D2427" s="1"/>
      <c r="E2427" s="1"/>
      <c r="F2427" s="1"/>
      <c r="G2427" s="1"/>
      <c r="H2427" s="1"/>
      <c r="I2427" s="1"/>
      <c r="J2427" s="1"/>
      <c r="K2427" s="1"/>
      <c r="L2427" s="1"/>
      <c r="M2427" s="1"/>
      <c r="N2427" s="1"/>
      <c r="O2427" s="1"/>
      <c r="P2427" s="1"/>
      <c r="Q2427" s="1"/>
      <c r="R2427" s="1"/>
      <c r="S2427" s="1"/>
      <c r="T2427" s="1"/>
      <c r="U2427" s="1"/>
      <c r="V2427" s="1"/>
      <c r="W2427" s="1"/>
      <c r="X2427" s="1"/>
      <c r="Y2427" s="1"/>
      <c r="Z2427" s="1"/>
      <c r="AA2427" s="1"/>
      <c r="AB2427" s="1"/>
      <c r="AC2427" s="1"/>
      <c r="AD2427" s="1"/>
      <c r="AE2427" s="1"/>
      <c r="AF2427" s="1"/>
      <c r="AG2427" s="1"/>
      <c r="AH2427" s="1"/>
    </row>
    <row r="2428" spans="1:34" ht="12.5">
      <c r="A2428" s="1"/>
      <c r="B2428" s="1"/>
      <c r="C2428" s="1"/>
      <c r="D2428" s="1"/>
      <c r="E2428" s="1"/>
      <c r="F2428" s="1"/>
      <c r="G2428" s="1"/>
      <c r="H2428" s="1"/>
      <c r="I2428" s="1"/>
      <c r="J2428" s="1"/>
      <c r="K2428" s="1"/>
      <c r="L2428" s="1"/>
      <c r="M2428" s="1"/>
      <c r="N2428" s="1"/>
      <c r="O2428" s="1"/>
      <c r="P2428" s="1"/>
      <c r="Q2428" s="1"/>
      <c r="R2428" s="1"/>
      <c r="S2428" s="1"/>
      <c r="T2428" s="1"/>
      <c r="U2428" s="1"/>
      <c r="V2428" s="1"/>
      <c r="W2428" s="1"/>
      <c r="X2428" s="1"/>
      <c r="Y2428" s="1"/>
      <c r="Z2428" s="1"/>
      <c r="AA2428" s="1"/>
      <c r="AB2428" s="1"/>
      <c r="AC2428" s="1"/>
      <c r="AD2428" s="1"/>
      <c r="AE2428" s="1"/>
      <c r="AF2428" s="1"/>
      <c r="AG2428" s="1"/>
      <c r="AH2428" s="1"/>
    </row>
    <row r="2429" spans="1:34" ht="12.5">
      <c r="A2429" s="1"/>
      <c r="B2429" s="1"/>
      <c r="C2429" s="1"/>
      <c r="D2429" s="1"/>
      <c r="E2429" s="1"/>
      <c r="F2429" s="1"/>
      <c r="G2429" s="1"/>
      <c r="H2429" s="1"/>
      <c r="I2429" s="1"/>
      <c r="J2429" s="1"/>
      <c r="K2429" s="1"/>
      <c r="L2429" s="1"/>
      <c r="M2429" s="1"/>
      <c r="N2429" s="1"/>
      <c r="O2429" s="1"/>
      <c r="P2429" s="1"/>
      <c r="Q2429" s="1"/>
      <c r="R2429" s="1"/>
      <c r="S2429" s="1"/>
      <c r="T2429" s="1"/>
      <c r="U2429" s="1"/>
      <c r="V2429" s="1"/>
      <c r="W2429" s="1"/>
      <c r="X2429" s="1"/>
      <c r="Y2429" s="1"/>
      <c r="Z2429" s="1"/>
      <c r="AA2429" s="1"/>
      <c r="AB2429" s="1"/>
      <c r="AC2429" s="1"/>
      <c r="AD2429" s="1"/>
      <c r="AE2429" s="1"/>
      <c r="AF2429" s="1"/>
      <c r="AG2429" s="1"/>
      <c r="AH2429" s="1"/>
    </row>
    <row r="2430" spans="1:34" ht="12.5">
      <c r="A2430" s="1"/>
      <c r="B2430" s="1"/>
      <c r="C2430" s="1"/>
      <c r="D2430" s="1"/>
      <c r="E2430" s="1"/>
      <c r="F2430" s="1"/>
      <c r="G2430" s="1"/>
      <c r="H2430" s="1"/>
      <c r="I2430" s="1"/>
      <c r="J2430" s="1"/>
      <c r="K2430" s="1"/>
      <c r="L2430" s="1"/>
      <c r="M2430" s="1"/>
      <c r="N2430" s="1"/>
      <c r="O2430" s="1"/>
      <c r="P2430" s="1"/>
      <c r="Q2430" s="1"/>
      <c r="R2430" s="1"/>
      <c r="S2430" s="1"/>
      <c r="T2430" s="1"/>
      <c r="U2430" s="1"/>
      <c r="V2430" s="1"/>
      <c r="W2430" s="1"/>
      <c r="X2430" s="1"/>
      <c r="Y2430" s="1"/>
      <c r="Z2430" s="1"/>
      <c r="AA2430" s="1"/>
      <c r="AB2430" s="1"/>
      <c r="AC2430" s="1"/>
      <c r="AD2430" s="1"/>
      <c r="AE2430" s="1"/>
      <c r="AF2430" s="1"/>
      <c r="AG2430" s="1"/>
      <c r="AH2430" s="1"/>
    </row>
    <row r="2431" spans="1:34" ht="12.5">
      <c r="A2431" s="1"/>
      <c r="B2431" s="1"/>
      <c r="C2431" s="1"/>
      <c r="D2431" s="1"/>
      <c r="E2431" s="1"/>
      <c r="F2431" s="1"/>
      <c r="G2431" s="1"/>
      <c r="H2431" s="1"/>
      <c r="I2431" s="1"/>
      <c r="J2431" s="1"/>
      <c r="K2431" s="1"/>
      <c r="L2431" s="1"/>
      <c r="M2431" s="1"/>
      <c r="N2431" s="1"/>
      <c r="O2431" s="1"/>
      <c r="P2431" s="1"/>
      <c r="Q2431" s="1"/>
      <c r="R2431" s="1"/>
      <c r="S2431" s="1"/>
      <c r="T2431" s="1"/>
      <c r="U2431" s="1"/>
      <c r="V2431" s="1"/>
      <c r="W2431" s="1"/>
      <c r="X2431" s="1"/>
      <c r="Y2431" s="1"/>
      <c r="Z2431" s="1"/>
      <c r="AA2431" s="1"/>
      <c r="AB2431" s="1"/>
      <c r="AC2431" s="1"/>
      <c r="AD2431" s="1"/>
      <c r="AE2431" s="1"/>
      <c r="AF2431" s="1"/>
      <c r="AG2431" s="1"/>
      <c r="AH2431" s="1"/>
    </row>
    <row r="2432" spans="1:34" ht="12.5">
      <c r="A2432" s="1"/>
      <c r="B2432" s="1"/>
      <c r="C2432" s="1"/>
      <c r="D2432" s="1"/>
      <c r="E2432" s="1"/>
      <c r="F2432" s="1"/>
      <c r="G2432" s="1"/>
      <c r="H2432" s="1"/>
      <c r="I2432" s="1"/>
      <c r="J2432" s="1"/>
      <c r="K2432" s="1"/>
      <c r="L2432" s="1"/>
      <c r="M2432" s="1"/>
      <c r="N2432" s="1"/>
      <c r="O2432" s="1"/>
      <c r="P2432" s="1"/>
      <c r="Q2432" s="1"/>
      <c r="R2432" s="1"/>
      <c r="S2432" s="1"/>
      <c r="T2432" s="1"/>
      <c r="U2432" s="1"/>
      <c r="V2432" s="1"/>
      <c r="W2432" s="1"/>
      <c r="X2432" s="1"/>
      <c r="Y2432" s="1"/>
      <c r="Z2432" s="1"/>
      <c r="AA2432" s="1"/>
      <c r="AB2432" s="1"/>
      <c r="AC2432" s="1"/>
      <c r="AD2432" s="1"/>
      <c r="AE2432" s="1"/>
      <c r="AF2432" s="1"/>
      <c r="AG2432" s="1"/>
      <c r="AH2432" s="1"/>
    </row>
    <row r="2433" spans="1:34" ht="12.5">
      <c r="A2433" s="1"/>
      <c r="B2433" s="1"/>
      <c r="C2433" s="1"/>
      <c r="D2433" s="1"/>
      <c r="E2433" s="1"/>
      <c r="F2433" s="1"/>
      <c r="G2433" s="1"/>
      <c r="H2433" s="1"/>
      <c r="I2433" s="1"/>
      <c r="J2433" s="1"/>
      <c r="K2433" s="1"/>
      <c r="L2433" s="1"/>
      <c r="M2433" s="1"/>
      <c r="N2433" s="1"/>
      <c r="O2433" s="1"/>
      <c r="P2433" s="1"/>
      <c r="Q2433" s="1"/>
      <c r="R2433" s="1"/>
      <c r="S2433" s="1"/>
      <c r="T2433" s="1"/>
      <c r="U2433" s="1"/>
      <c r="V2433" s="1"/>
      <c r="W2433" s="1"/>
      <c r="X2433" s="1"/>
      <c r="Y2433" s="1"/>
      <c r="Z2433" s="1"/>
      <c r="AA2433" s="1"/>
      <c r="AB2433" s="1"/>
      <c r="AC2433" s="1"/>
      <c r="AD2433" s="1"/>
      <c r="AE2433" s="1"/>
      <c r="AF2433" s="1"/>
      <c r="AG2433" s="1"/>
      <c r="AH2433" s="1"/>
    </row>
    <row r="2434" spans="1:34" ht="12.5">
      <c r="A2434" s="1"/>
      <c r="B2434" s="1"/>
      <c r="C2434" s="1"/>
      <c r="D2434" s="1"/>
      <c r="E2434" s="1"/>
      <c r="F2434" s="1"/>
      <c r="G2434" s="1"/>
      <c r="H2434" s="1"/>
      <c r="I2434" s="1"/>
      <c r="J2434" s="1"/>
      <c r="K2434" s="1"/>
      <c r="L2434" s="1"/>
      <c r="M2434" s="1"/>
      <c r="N2434" s="1"/>
      <c r="O2434" s="1"/>
      <c r="P2434" s="1"/>
      <c r="Q2434" s="1"/>
      <c r="R2434" s="1"/>
      <c r="S2434" s="1"/>
      <c r="T2434" s="1"/>
      <c r="U2434" s="1"/>
      <c r="V2434" s="1"/>
      <c r="W2434" s="1"/>
      <c r="X2434" s="1"/>
      <c r="Y2434" s="1"/>
      <c r="Z2434" s="1"/>
      <c r="AA2434" s="1"/>
      <c r="AB2434" s="1"/>
      <c r="AC2434" s="1"/>
      <c r="AD2434" s="1"/>
      <c r="AE2434" s="1"/>
      <c r="AF2434" s="1"/>
      <c r="AG2434" s="1"/>
      <c r="AH2434" s="1"/>
    </row>
    <row r="2435" spans="1:34" ht="12.5">
      <c r="A2435" s="1"/>
      <c r="B2435" s="1"/>
      <c r="C2435" s="1"/>
      <c r="D2435" s="1"/>
      <c r="E2435" s="1"/>
      <c r="F2435" s="1"/>
      <c r="G2435" s="1"/>
      <c r="H2435" s="1"/>
      <c r="I2435" s="1"/>
      <c r="J2435" s="1"/>
      <c r="K2435" s="1"/>
      <c r="L2435" s="1"/>
      <c r="M2435" s="1"/>
      <c r="N2435" s="1"/>
      <c r="O2435" s="1"/>
      <c r="P2435" s="1"/>
      <c r="Q2435" s="1"/>
      <c r="R2435" s="1"/>
      <c r="S2435" s="1"/>
      <c r="T2435" s="1"/>
      <c r="U2435" s="1"/>
      <c r="V2435" s="1"/>
      <c r="W2435" s="1"/>
      <c r="X2435" s="1"/>
      <c r="Y2435" s="1"/>
      <c r="Z2435" s="1"/>
      <c r="AA2435" s="1"/>
      <c r="AB2435" s="1"/>
      <c r="AC2435" s="1"/>
      <c r="AD2435" s="1"/>
      <c r="AE2435" s="1"/>
      <c r="AF2435" s="1"/>
      <c r="AG2435" s="1"/>
      <c r="AH2435" s="1"/>
    </row>
    <row r="2436" spans="1:34" ht="12.5">
      <c r="A2436" s="1"/>
      <c r="B2436" s="1"/>
      <c r="C2436" s="1"/>
      <c r="D2436" s="1"/>
      <c r="E2436" s="1"/>
      <c r="F2436" s="1"/>
      <c r="G2436" s="1"/>
      <c r="H2436" s="1"/>
      <c r="I2436" s="1"/>
      <c r="J2436" s="1"/>
      <c r="K2436" s="1"/>
      <c r="L2436" s="1"/>
      <c r="M2436" s="1"/>
      <c r="N2436" s="1"/>
      <c r="O2436" s="1"/>
      <c r="P2436" s="1"/>
      <c r="Q2436" s="1"/>
      <c r="R2436" s="1"/>
      <c r="S2436" s="1"/>
      <c r="T2436" s="1"/>
      <c r="U2436" s="1"/>
      <c r="V2436" s="1"/>
      <c r="W2436" s="1"/>
      <c r="X2436" s="1"/>
      <c r="Y2436" s="1"/>
      <c r="Z2436" s="1"/>
      <c r="AA2436" s="1"/>
      <c r="AB2436" s="1"/>
      <c r="AC2436" s="1"/>
      <c r="AD2436" s="1"/>
      <c r="AE2436" s="1"/>
      <c r="AF2436" s="1"/>
      <c r="AG2436" s="1"/>
      <c r="AH2436" s="1"/>
    </row>
    <row r="2437" spans="1:34" ht="12.5">
      <c r="A2437" s="1"/>
      <c r="B2437" s="1"/>
      <c r="C2437" s="1"/>
      <c r="D2437" s="1"/>
      <c r="E2437" s="1"/>
      <c r="F2437" s="1"/>
      <c r="G2437" s="1"/>
      <c r="H2437" s="1"/>
      <c r="I2437" s="1"/>
      <c r="J2437" s="1"/>
      <c r="K2437" s="1"/>
      <c r="L2437" s="1"/>
      <c r="M2437" s="1"/>
      <c r="N2437" s="1"/>
      <c r="O2437" s="1"/>
      <c r="P2437" s="1"/>
      <c r="Q2437" s="1"/>
      <c r="R2437" s="1"/>
      <c r="S2437" s="1"/>
      <c r="T2437" s="1"/>
      <c r="U2437" s="1"/>
      <c r="V2437" s="1"/>
      <c r="W2437" s="1"/>
      <c r="X2437" s="1"/>
      <c r="Y2437" s="1"/>
      <c r="Z2437" s="1"/>
      <c r="AA2437" s="1"/>
      <c r="AB2437" s="1"/>
      <c r="AC2437" s="1"/>
      <c r="AD2437" s="1"/>
      <c r="AE2437" s="1"/>
      <c r="AF2437" s="1"/>
      <c r="AG2437" s="1"/>
      <c r="AH2437" s="1"/>
    </row>
    <row r="2438" spans="1:34" ht="12.5">
      <c r="A2438" s="1"/>
      <c r="B2438" s="1"/>
      <c r="C2438" s="1"/>
      <c r="D2438" s="1"/>
      <c r="E2438" s="1"/>
      <c r="F2438" s="1"/>
      <c r="G2438" s="1"/>
      <c r="H2438" s="1"/>
      <c r="I2438" s="1"/>
      <c r="J2438" s="1"/>
      <c r="K2438" s="1"/>
      <c r="L2438" s="1"/>
      <c r="M2438" s="1"/>
      <c r="N2438" s="1"/>
      <c r="O2438" s="1"/>
      <c r="P2438" s="1"/>
      <c r="Q2438" s="1"/>
      <c r="R2438" s="1"/>
      <c r="S2438" s="1"/>
      <c r="T2438" s="1"/>
      <c r="U2438" s="1"/>
      <c r="V2438" s="1"/>
      <c r="W2438" s="1"/>
      <c r="X2438" s="1"/>
      <c r="Y2438" s="1"/>
      <c r="Z2438" s="1"/>
      <c r="AA2438" s="1"/>
      <c r="AB2438" s="1"/>
      <c r="AC2438" s="1"/>
      <c r="AD2438" s="1"/>
      <c r="AE2438" s="1"/>
      <c r="AF2438" s="1"/>
      <c r="AG2438" s="1"/>
      <c r="AH2438" s="1"/>
    </row>
    <row r="2439" spans="1:34" ht="12.5">
      <c r="A2439" s="1"/>
      <c r="B2439" s="1"/>
      <c r="C2439" s="1"/>
      <c r="D2439" s="1"/>
      <c r="E2439" s="1"/>
      <c r="F2439" s="1"/>
      <c r="G2439" s="1"/>
      <c r="H2439" s="1"/>
      <c r="I2439" s="1"/>
      <c r="J2439" s="1"/>
      <c r="K2439" s="1"/>
      <c r="L2439" s="1"/>
      <c r="M2439" s="1"/>
      <c r="N2439" s="1"/>
      <c r="O2439" s="1"/>
      <c r="P2439" s="1"/>
      <c r="Q2439" s="1"/>
      <c r="R2439" s="1"/>
      <c r="S2439" s="1"/>
      <c r="T2439" s="1"/>
      <c r="U2439" s="1"/>
      <c r="V2439" s="1"/>
      <c r="W2439" s="1"/>
      <c r="X2439" s="1"/>
      <c r="Y2439" s="1"/>
      <c r="Z2439" s="1"/>
      <c r="AA2439" s="1"/>
      <c r="AB2439" s="1"/>
      <c r="AC2439" s="1"/>
      <c r="AD2439" s="1"/>
      <c r="AE2439" s="1"/>
      <c r="AF2439" s="1"/>
      <c r="AG2439" s="1"/>
      <c r="AH2439" s="1"/>
    </row>
    <row r="2440" spans="1:34" ht="12.5">
      <c r="A2440" s="1"/>
      <c r="B2440" s="1"/>
      <c r="C2440" s="1"/>
      <c r="D2440" s="1"/>
      <c r="E2440" s="1"/>
      <c r="F2440" s="1"/>
      <c r="G2440" s="1"/>
      <c r="H2440" s="1"/>
      <c r="I2440" s="1"/>
      <c r="J2440" s="1"/>
      <c r="K2440" s="1"/>
      <c r="L2440" s="1"/>
      <c r="M2440" s="1"/>
      <c r="N2440" s="1"/>
      <c r="O2440" s="1"/>
      <c r="P2440" s="1"/>
      <c r="Q2440" s="1"/>
      <c r="R2440" s="1"/>
      <c r="S2440" s="1"/>
      <c r="T2440" s="1"/>
      <c r="U2440" s="1"/>
      <c r="V2440" s="1"/>
      <c r="W2440" s="1"/>
      <c r="X2440" s="1"/>
      <c r="Y2440" s="1"/>
      <c r="Z2440" s="1"/>
      <c r="AA2440" s="1"/>
      <c r="AB2440" s="1"/>
      <c r="AC2440" s="1"/>
      <c r="AD2440" s="1"/>
      <c r="AE2440" s="1"/>
      <c r="AF2440" s="1"/>
      <c r="AG2440" s="1"/>
      <c r="AH2440" s="1"/>
    </row>
    <row r="2441" spans="1:34" ht="12.5">
      <c r="A2441" s="1"/>
      <c r="B2441" s="1"/>
      <c r="C2441" s="1"/>
      <c r="D2441" s="1"/>
      <c r="E2441" s="1"/>
      <c r="F2441" s="1"/>
      <c r="G2441" s="1"/>
      <c r="H2441" s="1"/>
      <c r="I2441" s="1"/>
      <c r="J2441" s="1"/>
      <c r="K2441" s="1"/>
      <c r="L2441" s="1"/>
      <c r="M2441" s="1"/>
      <c r="N2441" s="1"/>
      <c r="O2441" s="1"/>
      <c r="P2441" s="1"/>
      <c r="Q2441" s="1"/>
      <c r="R2441" s="1"/>
      <c r="S2441" s="1"/>
      <c r="T2441" s="1"/>
      <c r="U2441" s="1"/>
      <c r="V2441" s="1"/>
      <c r="W2441" s="1"/>
      <c r="X2441" s="1"/>
      <c r="Y2441" s="1"/>
      <c r="Z2441" s="1"/>
      <c r="AA2441" s="1"/>
      <c r="AB2441" s="1"/>
      <c r="AC2441" s="1"/>
      <c r="AD2441" s="1"/>
      <c r="AE2441" s="1"/>
      <c r="AF2441" s="1"/>
      <c r="AG2441" s="1"/>
      <c r="AH2441" s="1"/>
    </row>
    <row r="2442" spans="1:34" ht="12.5">
      <c r="A2442" s="1"/>
      <c r="B2442" s="1"/>
      <c r="C2442" s="1"/>
      <c r="D2442" s="1"/>
      <c r="E2442" s="1"/>
      <c r="F2442" s="1"/>
      <c r="G2442" s="1"/>
      <c r="H2442" s="1"/>
      <c r="I2442" s="1"/>
      <c r="J2442" s="1"/>
      <c r="K2442" s="1"/>
      <c r="L2442" s="1"/>
      <c r="M2442" s="1"/>
      <c r="N2442" s="1"/>
      <c r="O2442" s="1"/>
      <c r="P2442" s="1"/>
      <c r="Q2442" s="1"/>
      <c r="R2442" s="1"/>
      <c r="S2442" s="1"/>
      <c r="T2442" s="1"/>
      <c r="U2442" s="1"/>
      <c r="V2442" s="1"/>
      <c r="W2442" s="1"/>
      <c r="X2442" s="1"/>
      <c r="Y2442" s="1"/>
      <c r="Z2442" s="1"/>
      <c r="AA2442" s="1"/>
      <c r="AB2442" s="1"/>
      <c r="AC2442" s="1"/>
      <c r="AD2442" s="1"/>
      <c r="AE2442" s="1"/>
      <c r="AF2442" s="1"/>
      <c r="AG2442" s="1"/>
      <c r="AH2442" s="1"/>
    </row>
    <row r="2443" spans="1:34" ht="12.5">
      <c r="A2443" s="1"/>
      <c r="B2443" s="1"/>
      <c r="C2443" s="1"/>
      <c r="D2443" s="1"/>
      <c r="E2443" s="1"/>
      <c r="F2443" s="1"/>
      <c r="G2443" s="1"/>
      <c r="H2443" s="1"/>
      <c r="I2443" s="1"/>
      <c r="J2443" s="1"/>
      <c r="K2443" s="1"/>
      <c r="L2443" s="1"/>
      <c r="M2443" s="1"/>
      <c r="N2443" s="1"/>
      <c r="O2443" s="1"/>
      <c r="P2443" s="1"/>
      <c r="Q2443" s="1"/>
      <c r="R2443" s="1"/>
      <c r="S2443" s="1"/>
      <c r="T2443" s="1"/>
      <c r="U2443" s="1"/>
      <c r="V2443" s="1"/>
      <c r="W2443" s="1"/>
      <c r="X2443" s="1"/>
      <c r="Y2443" s="1"/>
      <c r="Z2443" s="1"/>
      <c r="AA2443" s="1"/>
      <c r="AB2443" s="1"/>
      <c r="AC2443" s="1"/>
      <c r="AD2443" s="1"/>
      <c r="AE2443" s="1"/>
      <c r="AF2443" s="1"/>
      <c r="AG2443" s="1"/>
      <c r="AH2443" s="1"/>
    </row>
    <row r="2444" spans="1:34" ht="12.5">
      <c r="A2444" s="1"/>
      <c r="B2444" s="1"/>
      <c r="C2444" s="1"/>
      <c r="D2444" s="1"/>
      <c r="E2444" s="1"/>
      <c r="F2444" s="1"/>
      <c r="G2444" s="1"/>
      <c r="H2444" s="1"/>
      <c r="I2444" s="1"/>
      <c r="J2444" s="1"/>
      <c r="K2444" s="1"/>
      <c r="L2444" s="1"/>
      <c r="M2444" s="1"/>
      <c r="N2444" s="1"/>
      <c r="O2444" s="1"/>
      <c r="P2444" s="1"/>
      <c r="Q2444" s="1"/>
      <c r="R2444" s="1"/>
      <c r="S2444" s="1"/>
      <c r="T2444" s="1"/>
      <c r="U2444" s="1"/>
      <c r="V2444" s="1"/>
      <c r="W2444" s="1"/>
      <c r="X2444" s="1"/>
      <c r="Y2444" s="1"/>
      <c r="Z2444" s="1"/>
      <c r="AA2444" s="1"/>
      <c r="AB2444" s="1"/>
      <c r="AC2444" s="1"/>
      <c r="AD2444" s="1"/>
      <c r="AE2444" s="1"/>
      <c r="AF2444" s="1"/>
      <c r="AG2444" s="1"/>
      <c r="AH2444" s="1"/>
    </row>
    <row r="2445" spans="1:34" ht="12.5">
      <c r="A2445" s="1"/>
      <c r="B2445" s="1"/>
      <c r="C2445" s="1"/>
      <c r="D2445" s="1"/>
      <c r="E2445" s="1"/>
      <c r="F2445" s="1"/>
      <c r="G2445" s="1"/>
      <c r="H2445" s="1"/>
      <c r="I2445" s="1"/>
      <c r="J2445" s="1"/>
      <c r="K2445" s="1"/>
      <c r="L2445" s="1"/>
      <c r="M2445" s="1"/>
      <c r="N2445" s="1"/>
      <c r="O2445" s="1"/>
      <c r="P2445" s="1"/>
      <c r="Q2445" s="1"/>
      <c r="R2445" s="1"/>
      <c r="S2445" s="1"/>
      <c r="T2445" s="1"/>
      <c r="U2445" s="1"/>
      <c r="V2445" s="1"/>
      <c r="W2445" s="1"/>
      <c r="X2445" s="1"/>
      <c r="Y2445" s="1"/>
      <c r="Z2445" s="1"/>
      <c r="AA2445" s="1"/>
      <c r="AB2445" s="1"/>
      <c r="AC2445" s="1"/>
      <c r="AD2445" s="1"/>
      <c r="AE2445" s="1"/>
      <c r="AF2445" s="1"/>
      <c r="AG2445" s="1"/>
      <c r="AH2445" s="1"/>
    </row>
    <row r="2446" spans="1:34" ht="12.5">
      <c r="A2446" s="1"/>
      <c r="B2446" s="1"/>
      <c r="C2446" s="1"/>
      <c r="D2446" s="1"/>
      <c r="E2446" s="1"/>
      <c r="F2446" s="1"/>
      <c r="G2446" s="1"/>
      <c r="H2446" s="1"/>
      <c r="I2446" s="1"/>
      <c r="J2446" s="1"/>
      <c r="K2446" s="1"/>
      <c r="L2446" s="1"/>
      <c r="M2446" s="1"/>
      <c r="N2446" s="1"/>
      <c r="O2446" s="1"/>
      <c r="P2446" s="1"/>
      <c r="Q2446" s="1"/>
      <c r="R2446" s="1"/>
      <c r="S2446" s="1"/>
      <c r="T2446" s="1"/>
      <c r="U2446" s="1"/>
      <c r="V2446" s="1"/>
      <c r="W2446" s="1"/>
      <c r="X2446" s="1"/>
      <c r="Y2446" s="1"/>
      <c r="Z2446" s="1"/>
      <c r="AA2446" s="1"/>
      <c r="AB2446" s="1"/>
      <c r="AC2446" s="1"/>
      <c r="AD2446" s="1"/>
      <c r="AE2446" s="1"/>
      <c r="AF2446" s="1"/>
      <c r="AG2446" s="1"/>
      <c r="AH2446" s="1"/>
    </row>
    <row r="2447" spans="1:34" ht="12.5">
      <c r="A2447" s="1"/>
      <c r="B2447" s="1"/>
      <c r="C2447" s="1"/>
      <c r="D2447" s="1"/>
      <c r="E2447" s="1"/>
      <c r="F2447" s="1"/>
      <c r="G2447" s="1"/>
      <c r="H2447" s="1"/>
      <c r="I2447" s="1"/>
      <c r="J2447" s="1"/>
      <c r="K2447" s="1"/>
      <c r="L2447" s="1"/>
      <c r="M2447" s="1"/>
      <c r="N2447" s="1"/>
      <c r="O2447" s="1"/>
      <c r="P2447" s="1"/>
      <c r="Q2447" s="1"/>
      <c r="R2447" s="1"/>
      <c r="S2447" s="1"/>
      <c r="T2447" s="1"/>
      <c r="U2447" s="1"/>
      <c r="V2447" s="1"/>
      <c r="W2447" s="1"/>
      <c r="X2447" s="1"/>
      <c r="Y2447" s="1"/>
      <c r="Z2447" s="1"/>
      <c r="AA2447" s="1"/>
      <c r="AB2447" s="1"/>
      <c r="AC2447" s="1"/>
      <c r="AD2447" s="1"/>
      <c r="AE2447" s="1"/>
      <c r="AF2447" s="1"/>
      <c r="AG2447" s="1"/>
      <c r="AH2447" s="1"/>
    </row>
    <row r="2448" spans="1:34" ht="12.5">
      <c r="A2448" s="1"/>
      <c r="B2448" s="1"/>
      <c r="C2448" s="1"/>
      <c r="D2448" s="1"/>
      <c r="E2448" s="1"/>
      <c r="F2448" s="1"/>
      <c r="G2448" s="1"/>
      <c r="H2448" s="1"/>
      <c r="I2448" s="1"/>
      <c r="J2448" s="1"/>
      <c r="K2448" s="1"/>
      <c r="L2448" s="1"/>
      <c r="M2448" s="1"/>
      <c r="N2448" s="1"/>
      <c r="O2448" s="1"/>
      <c r="P2448" s="1"/>
      <c r="Q2448" s="1"/>
      <c r="R2448" s="1"/>
      <c r="S2448" s="1"/>
      <c r="T2448" s="1"/>
      <c r="U2448" s="1"/>
      <c r="V2448" s="1"/>
      <c r="W2448" s="1"/>
      <c r="X2448" s="1"/>
      <c r="Y2448" s="1"/>
      <c r="Z2448" s="1"/>
      <c r="AA2448" s="1"/>
      <c r="AB2448" s="1"/>
      <c r="AC2448" s="1"/>
      <c r="AD2448" s="1"/>
      <c r="AE2448" s="1"/>
      <c r="AF2448" s="1"/>
      <c r="AG2448" s="1"/>
      <c r="AH2448" s="1"/>
    </row>
    <row r="2449" spans="1:34" ht="12.5">
      <c r="A2449" s="1"/>
      <c r="B2449" s="1"/>
      <c r="C2449" s="1"/>
      <c r="D2449" s="1"/>
      <c r="E2449" s="1"/>
      <c r="F2449" s="1"/>
      <c r="G2449" s="1"/>
      <c r="H2449" s="1"/>
      <c r="I2449" s="1"/>
      <c r="J2449" s="1"/>
      <c r="K2449" s="1"/>
      <c r="L2449" s="1"/>
      <c r="M2449" s="1"/>
      <c r="N2449" s="1"/>
      <c r="O2449" s="1"/>
      <c r="P2449" s="1"/>
      <c r="Q2449" s="1"/>
      <c r="R2449" s="1"/>
      <c r="S2449" s="1"/>
      <c r="T2449" s="1"/>
      <c r="U2449" s="1"/>
      <c r="V2449" s="1"/>
      <c r="W2449" s="1"/>
      <c r="X2449" s="1"/>
      <c r="Y2449" s="1"/>
      <c r="Z2449" s="1"/>
      <c r="AA2449" s="1"/>
      <c r="AB2449" s="1"/>
      <c r="AC2449" s="1"/>
      <c r="AD2449" s="1"/>
      <c r="AE2449" s="1"/>
      <c r="AF2449" s="1"/>
      <c r="AG2449" s="1"/>
      <c r="AH2449" s="1"/>
    </row>
    <row r="2450" spans="1:34" ht="12.5">
      <c r="A2450" s="1"/>
      <c r="B2450" s="1"/>
      <c r="C2450" s="1"/>
      <c r="D2450" s="1"/>
      <c r="E2450" s="1"/>
      <c r="F2450" s="1"/>
      <c r="G2450" s="1"/>
      <c r="H2450" s="1"/>
      <c r="I2450" s="1"/>
      <c r="J2450" s="1"/>
      <c r="K2450" s="1"/>
      <c r="L2450" s="1"/>
      <c r="M2450" s="1"/>
      <c r="N2450" s="1"/>
      <c r="O2450" s="1"/>
      <c r="P2450" s="1"/>
      <c r="Q2450" s="1"/>
      <c r="R2450" s="1"/>
      <c r="S2450" s="1"/>
      <c r="T2450" s="1"/>
      <c r="U2450" s="1"/>
      <c r="V2450" s="1"/>
      <c r="W2450" s="1"/>
      <c r="X2450" s="1"/>
      <c r="Y2450" s="1"/>
      <c r="Z2450" s="1"/>
      <c r="AA2450" s="1"/>
      <c r="AB2450" s="1"/>
      <c r="AC2450" s="1"/>
      <c r="AD2450" s="1"/>
      <c r="AE2450" s="1"/>
      <c r="AF2450" s="1"/>
      <c r="AG2450" s="1"/>
      <c r="AH2450" s="1"/>
    </row>
    <row r="2451" spans="1:34" ht="12.5">
      <c r="A2451" s="1"/>
      <c r="B2451" s="1"/>
      <c r="C2451" s="1"/>
      <c r="D2451" s="1"/>
      <c r="E2451" s="1"/>
      <c r="F2451" s="1"/>
      <c r="G2451" s="1"/>
      <c r="H2451" s="1"/>
      <c r="I2451" s="1"/>
      <c r="J2451" s="1"/>
      <c r="K2451" s="1"/>
      <c r="L2451" s="1"/>
      <c r="M2451" s="1"/>
      <c r="N2451" s="1"/>
      <c r="O2451" s="1"/>
      <c r="P2451" s="1"/>
      <c r="Q2451" s="1"/>
      <c r="R2451" s="1"/>
      <c r="S2451" s="1"/>
      <c r="T2451" s="1"/>
      <c r="U2451" s="1"/>
      <c r="V2451" s="1"/>
      <c r="W2451" s="1"/>
      <c r="X2451" s="1"/>
      <c r="Y2451" s="1"/>
      <c r="Z2451" s="1"/>
      <c r="AA2451" s="1"/>
      <c r="AB2451" s="1"/>
      <c r="AC2451" s="1"/>
      <c r="AD2451" s="1"/>
      <c r="AE2451" s="1"/>
      <c r="AF2451" s="1"/>
      <c r="AG2451" s="1"/>
      <c r="AH2451" s="1"/>
    </row>
    <row r="2452" spans="1:34" ht="12.5">
      <c r="A2452" s="1"/>
      <c r="B2452" s="1"/>
      <c r="C2452" s="1"/>
      <c r="D2452" s="1"/>
      <c r="E2452" s="1"/>
      <c r="F2452" s="1"/>
      <c r="G2452" s="1"/>
      <c r="H2452" s="1"/>
      <c r="I2452" s="1"/>
      <c r="J2452" s="1"/>
      <c r="K2452" s="1"/>
      <c r="L2452" s="1"/>
      <c r="M2452" s="1"/>
      <c r="N2452" s="1"/>
      <c r="O2452" s="1"/>
      <c r="P2452" s="1"/>
      <c r="Q2452" s="1"/>
      <c r="R2452" s="1"/>
      <c r="S2452" s="1"/>
      <c r="T2452" s="1"/>
      <c r="U2452" s="1"/>
      <c r="V2452" s="1"/>
      <c r="W2452" s="1"/>
      <c r="X2452" s="1"/>
      <c r="Y2452" s="1"/>
      <c r="Z2452" s="1"/>
      <c r="AA2452" s="1"/>
      <c r="AB2452" s="1"/>
      <c r="AC2452" s="1"/>
      <c r="AD2452" s="1"/>
      <c r="AE2452" s="1"/>
      <c r="AF2452" s="1"/>
      <c r="AG2452" s="1"/>
      <c r="AH2452" s="1"/>
    </row>
    <row r="2453" spans="1:34" ht="12.5">
      <c r="A2453" s="1"/>
      <c r="B2453" s="1"/>
      <c r="C2453" s="1"/>
      <c r="D2453" s="1"/>
      <c r="E2453" s="1"/>
      <c r="F2453" s="1"/>
      <c r="G2453" s="1"/>
      <c r="H2453" s="1"/>
      <c r="I2453" s="1"/>
      <c r="J2453" s="1"/>
      <c r="K2453" s="1"/>
      <c r="L2453" s="1"/>
      <c r="M2453" s="1"/>
      <c r="N2453" s="1"/>
      <c r="O2453" s="1"/>
      <c r="P2453" s="1"/>
      <c r="Q2453" s="1"/>
      <c r="R2453" s="1"/>
      <c r="S2453" s="1"/>
      <c r="T2453" s="1"/>
      <c r="U2453" s="1"/>
      <c r="V2453" s="1"/>
      <c r="W2453" s="1"/>
      <c r="X2453" s="1"/>
      <c r="Y2453" s="1"/>
      <c r="Z2453" s="1"/>
      <c r="AA2453" s="1"/>
      <c r="AB2453" s="1"/>
      <c r="AC2453" s="1"/>
      <c r="AD2453" s="1"/>
      <c r="AE2453" s="1"/>
      <c r="AF2453" s="1"/>
      <c r="AG2453" s="1"/>
      <c r="AH2453" s="1"/>
    </row>
    <row r="2454" spans="1:34" ht="12.5">
      <c r="A2454" s="1"/>
      <c r="B2454" s="1"/>
      <c r="C2454" s="1"/>
      <c r="D2454" s="1"/>
      <c r="E2454" s="1"/>
      <c r="F2454" s="1"/>
      <c r="G2454" s="1"/>
      <c r="H2454" s="1"/>
      <c r="I2454" s="1"/>
      <c r="J2454" s="1"/>
      <c r="K2454" s="1"/>
      <c r="L2454" s="1"/>
      <c r="M2454" s="1"/>
      <c r="N2454" s="1"/>
      <c r="O2454" s="1"/>
      <c r="P2454" s="1"/>
      <c r="Q2454" s="1"/>
      <c r="R2454" s="1"/>
      <c r="S2454" s="1"/>
      <c r="T2454" s="1"/>
      <c r="U2454" s="1"/>
      <c r="V2454" s="1"/>
      <c r="W2454" s="1"/>
      <c r="X2454" s="1"/>
      <c r="Y2454" s="1"/>
      <c r="Z2454" s="1"/>
      <c r="AA2454" s="1"/>
      <c r="AB2454" s="1"/>
      <c r="AC2454" s="1"/>
      <c r="AD2454" s="1"/>
      <c r="AE2454" s="1"/>
      <c r="AF2454" s="1"/>
      <c r="AG2454" s="1"/>
      <c r="AH2454" s="1"/>
    </row>
    <row r="2455" spans="1:34" ht="12.5">
      <c r="A2455" s="1"/>
      <c r="B2455" s="1"/>
      <c r="C2455" s="1"/>
      <c r="D2455" s="1"/>
      <c r="E2455" s="1"/>
      <c r="F2455" s="1"/>
      <c r="G2455" s="1"/>
      <c r="H2455" s="1"/>
      <c r="I2455" s="1"/>
      <c r="J2455" s="1"/>
      <c r="K2455" s="1"/>
      <c r="L2455" s="1"/>
      <c r="M2455" s="1"/>
      <c r="N2455" s="1"/>
      <c r="O2455" s="1"/>
      <c r="P2455" s="1"/>
      <c r="Q2455" s="1"/>
      <c r="R2455" s="1"/>
      <c r="S2455" s="1"/>
      <c r="T2455" s="1"/>
      <c r="U2455" s="1"/>
      <c r="V2455" s="1"/>
      <c r="W2455" s="1"/>
      <c r="X2455" s="1"/>
      <c r="Y2455" s="1"/>
      <c r="Z2455" s="1"/>
      <c r="AA2455" s="1"/>
      <c r="AB2455" s="1"/>
      <c r="AC2455" s="1"/>
      <c r="AD2455" s="1"/>
      <c r="AE2455" s="1"/>
      <c r="AF2455" s="1"/>
      <c r="AG2455" s="1"/>
      <c r="AH2455" s="1"/>
    </row>
    <row r="2456" spans="1:34" ht="12.5">
      <c r="A2456" s="1"/>
      <c r="B2456" s="1"/>
      <c r="C2456" s="1"/>
      <c r="D2456" s="1"/>
      <c r="E2456" s="1"/>
      <c r="F2456" s="1"/>
      <c r="G2456" s="1"/>
      <c r="H2456" s="1"/>
      <c r="I2456" s="1"/>
      <c r="J2456" s="1"/>
      <c r="K2456" s="1"/>
      <c r="L2456" s="1"/>
      <c r="M2456" s="1"/>
      <c r="N2456" s="1"/>
      <c r="O2456" s="1"/>
      <c r="P2456" s="1"/>
      <c r="Q2456" s="1"/>
      <c r="R2456" s="1"/>
      <c r="S2456" s="1"/>
      <c r="T2456" s="1"/>
      <c r="U2456" s="1"/>
      <c r="V2456" s="1"/>
      <c r="W2456" s="1"/>
      <c r="X2456" s="1"/>
      <c r="Y2456" s="1"/>
      <c r="Z2456" s="1"/>
      <c r="AA2456" s="1"/>
      <c r="AB2456" s="1"/>
      <c r="AC2456" s="1"/>
      <c r="AD2456" s="1"/>
      <c r="AE2456" s="1"/>
      <c r="AF2456" s="1"/>
      <c r="AG2456" s="1"/>
      <c r="AH2456" s="1"/>
    </row>
    <row r="2457" spans="1:34" ht="12.5">
      <c r="A2457" s="1"/>
      <c r="B2457" s="1"/>
      <c r="C2457" s="1"/>
      <c r="D2457" s="1"/>
      <c r="E2457" s="1"/>
      <c r="F2457" s="1"/>
      <c r="G2457" s="1"/>
      <c r="H2457" s="1"/>
      <c r="I2457" s="1"/>
      <c r="J2457" s="1"/>
      <c r="K2457" s="1"/>
      <c r="L2457" s="1"/>
      <c r="M2457" s="1"/>
      <c r="N2457" s="1"/>
      <c r="O2457" s="1"/>
      <c r="P2457" s="1"/>
      <c r="Q2457" s="1"/>
      <c r="R2457" s="1"/>
      <c r="S2457" s="1"/>
      <c r="T2457" s="1"/>
      <c r="U2457" s="1"/>
      <c r="V2457" s="1"/>
      <c r="W2457" s="1"/>
      <c r="X2457" s="1"/>
      <c r="Y2457" s="1"/>
      <c r="Z2457" s="1"/>
      <c r="AA2457" s="1"/>
      <c r="AB2457" s="1"/>
      <c r="AC2457" s="1"/>
      <c r="AD2457" s="1"/>
      <c r="AE2457" s="1"/>
      <c r="AF2457" s="1"/>
      <c r="AG2457" s="1"/>
      <c r="AH2457" s="1"/>
    </row>
    <row r="2458" spans="1:34" ht="12.5">
      <c r="A2458" s="1"/>
      <c r="B2458" s="1"/>
      <c r="C2458" s="1"/>
      <c r="D2458" s="1"/>
      <c r="E2458" s="1"/>
      <c r="F2458" s="1"/>
      <c r="G2458" s="1"/>
      <c r="H2458" s="1"/>
      <c r="I2458" s="1"/>
      <c r="J2458" s="1"/>
      <c r="K2458" s="1"/>
      <c r="L2458" s="1"/>
      <c r="M2458" s="1"/>
      <c r="N2458" s="1"/>
      <c r="O2458" s="1"/>
      <c r="P2458" s="1"/>
      <c r="Q2458" s="1"/>
      <c r="R2458" s="1"/>
      <c r="S2458" s="1"/>
      <c r="T2458" s="1"/>
      <c r="U2458" s="1"/>
      <c r="V2458" s="1"/>
      <c r="W2458" s="1"/>
      <c r="X2458" s="1"/>
      <c r="Y2458" s="1"/>
      <c r="Z2458" s="1"/>
      <c r="AA2458" s="1"/>
      <c r="AB2458" s="1"/>
      <c r="AC2458" s="1"/>
      <c r="AD2458" s="1"/>
      <c r="AE2458" s="1"/>
      <c r="AF2458" s="1"/>
      <c r="AG2458" s="1"/>
      <c r="AH2458" s="1"/>
    </row>
    <row r="2459" spans="1:34" ht="12.5">
      <c r="A2459" s="1"/>
      <c r="B2459" s="1"/>
      <c r="C2459" s="1"/>
      <c r="D2459" s="1"/>
      <c r="E2459" s="1"/>
      <c r="F2459" s="1"/>
      <c r="G2459" s="1"/>
      <c r="H2459" s="1"/>
      <c r="I2459" s="1"/>
      <c r="J2459" s="1"/>
      <c r="K2459" s="1"/>
      <c r="L2459" s="1"/>
      <c r="M2459" s="1"/>
      <c r="N2459" s="1"/>
      <c r="O2459" s="1"/>
      <c r="P2459" s="1"/>
      <c r="Q2459" s="1"/>
      <c r="R2459" s="1"/>
      <c r="S2459" s="1"/>
      <c r="T2459" s="1"/>
      <c r="U2459" s="1"/>
      <c r="V2459" s="1"/>
      <c r="W2459" s="1"/>
      <c r="X2459" s="1"/>
      <c r="Y2459" s="1"/>
      <c r="Z2459" s="1"/>
      <c r="AA2459" s="1"/>
      <c r="AB2459" s="1"/>
      <c r="AC2459" s="1"/>
      <c r="AD2459" s="1"/>
      <c r="AE2459" s="1"/>
      <c r="AF2459" s="1"/>
      <c r="AG2459" s="1"/>
      <c r="AH2459" s="1"/>
    </row>
    <row r="2460" spans="1:34" ht="12.5">
      <c r="A2460" s="1"/>
      <c r="B2460" s="1"/>
      <c r="C2460" s="1"/>
      <c r="D2460" s="1"/>
      <c r="E2460" s="1"/>
      <c r="F2460" s="1"/>
      <c r="G2460" s="1"/>
      <c r="H2460" s="1"/>
      <c r="I2460" s="1"/>
      <c r="J2460" s="1"/>
      <c r="K2460" s="1"/>
      <c r="L2460" s="1"/>
      <c r="M2460" s="1"/>
      <c r="N2460" s="1"/>
      <c r="O2460" s="1"/>
      <c r="P2460" s="1"/>
      <c r="Q2460" s="1"/>
      <c r="R2460" s="1"/>
      <c r="S2460" s="1"/>
      <c r="T2460" s="1"/>
      <c r="U2460" s="1"/>
      <c r="V2460" s="1"/>
      <c r="W2460" s="1"/>
      <c r="X2460" s="1"/>
      <c r="Y2460" s="1"/>
      <c r="Z2460" s="1"/>
      <c r="AA2460" s="1"/>
      <c r="AB2460" s="1"/>
      <c r="AC2460" s="1"/>
      <c r="AD2460" s="1"/>
      <c r="AE2460" s="1"/>
      <c r="AF2460" s="1"/>
      <c r="AG2460" s="1"/>
      <c r="AH2460" s="1"/>
    </row>
    <row r="2461" spans="1:34" ht="12.5">
      <c r="A2461" s="1"/>
      <c r="B2461" s="1"/>
      <c r="C2461" s="1"/>
      <c r="D2461" s="1"/>
      <c r="E2461" s="1"/>
      <c r="F2461" s="1"/>
      <c r="G2461" s="1"/>
      <c r="H2461" s="1"/>
      <c r="I2461" s="1"/>
      <c r="J2461" s="1"/>
      <c r="K2461" s="1"/>
      <c r="L2461" s="1"/>
      <c r="M2461" s="1"/>
      <c r="N2461" s="1"/>
      <c r="O2461" s="1"/>
      <c r="P2461" s="1"/>
      <c r="Q2461" s="1"/>
      <c r="R2461" s="1"/>
      <c r="S2461" s="1"/>
      <c r="T2461" s="1"/>
      <c r="U2461" s="1"/>
      <c r="V2461" s="1"/>
      <c r="W2461" s="1"/>
      <c r="X2461" s="1"/>
      <c r="Y2461" s="1"/>
      <c r="Z2461" s="1"/>
      <c r="AA2461" s="1"/>
      <c r="AB2461" s="1"/>
      <c r="AC2461" s="1"/>
      <c r="AD2461" s="1"/>
      <c r="AE2461" s="1"/>
      <c r="AF2461" s="1"/>
      <c r="AG2461" s="1"/>
      <c r="AH2461" s="1"/>
    </row>
    <row r="2462" spans="1:34" ht="12.5">
      <c r="A2462" s="1"/>
      <c r="B2462" s="1"/>
      <c r="C2462" s="1"/>
      <c r="D2462" s="1"/>
      <c r="E2462" s="1"/>
      <c r="F2462" s="1"/>
      <c r="G2462" s="1"/>
      <c r="H2462" s="1"/>
      <c r="I2462" s="1"/>
      <c r="J2462" s="1"/>
      <c r="K2462" s="1"/>
      <c r="L2462" s="1"/>
      <c r="M2462" s="1"/>
      <c r="N2462" s="1"/>
      <c r="O2462" s="1"/>
      <c r="P2462" s="1"/>
      <c r="Q2462" s="1"/>
      <c r="R2462" s="1"/>
      <c r="S2462" s="1"/>
      <c r="T2462" s="1"/>
      <c r="U2462" s="1"/>
      <c r="V2462" s="1"/>
      <c r="W2462" s="1"/>
      <c r="X2462" s="1"/>
      <c r="Y2462" s="1"/>
      <c r="Z2462" s="1"/>
      <c r="AA2462" s="1"/>
      <c r="AB2462" s="1"/>
      <c r="AC2462" s="1"/>
      <c r="AD2462" s="1"/>
      <c r="AE2462" s="1"/>
      <c r="AF2462" s="1"/>
      <c r="AG2462" s="1"/>
      <c r="AH2462" s="1"/>
    </row>
    <row r="2463" spans="1:34" ht="12.5">
      <c r="A2463" s="1"/>
      <c r="B2463" s="1"/>
      <c r="C2463" s="1"/>
      <c r="D2463" s="1"/>
      <c r="E2463" s="1"/>
      <c r="F2463" s="1"/>
      <c r="G2463" s="1"/>
      <c r="H2463" s="1"/>
      <c r="I2463" s="1"/>
      <c r="J2463" s="1"/>
      <c r="K2463" s="1"/>
      <c r="L2463" s="1"/>
      <c r="M2463" s="1"/>
      <c r="N2463" s="1"/>
      <c r="O2463" s="1"/>
      <c r="P2463" s="1"/>
      <c r="Q2463" s="1"/>
      <c r="R2463" s="1"/>
      <c r="S2463" s="1"/>
      <c r="T2463" s="1"/>
      <c r="U2463" s="1"/>
      <c r="V2463" s="1"/>
      <c r="W2463" s="1"/>
      <c r="X2463" s="1"/>
      <c r="Y2463" s="1"/>
      <c r="Z2463" s="1"/>
      <c r="AA2463" s="1"/>
      <c r="AB2463" s="1"/>
      <c r="AC2463" s="1"/>
      <c r="AD2463" s="1"/>
      <c r="AE2463" s="1"/>
      <c r="AF2463" s="1"/>
      <c r="AG2463" s="1"/>
      <c r="AH2463" s="1"/>
    </row>
    <row r="2464" spans="1:34" ht="12.5">
      <c r="A2464" s="1"/>
      <c r="B2464" s="1"/>
      <c r="C2464" s="1"/>
      <c r="D2464" s="1"/>
      <c r="E2464" s="1"/>
      <c r="F2464" s="1"/>
      <c r="G2464" s="1"/>
      <c r="H2464" s="1"/>
      <c r="I2464" s="1"/>
      <c r="J2464" s="1"/>
      <c r="K2464" s="1"/>
      <c r="L2464" s="1"/>
      <c r="M2464" s="1"/>
      <c r="N2464" s="1"/>
      <c r="O2464" s="1"/>
      <c r="P2464" s="1"/>
      <c r="Q2464" s="1"/>
      <c r="R2464" s="1"/>
      <c r="S2464" s="1"/>
      <c r="T2464" s="1"/>
      <c r="U2464" s="1"/>
      <c r="V2464" s="1"/>
      <c r="W2464" s="1"/>
      <c r="X2464" s="1"/>
      <c r="Y2464" s="1"/>
      <c r="Z2464" s="1"/>
      <c r="AA2464" s="1"/>
      <c r="AB2464" s="1"/>
      <c r="AC2464" s="1"/>
      <c r="AD2464" s="1"/>
      <c r="AE2464" s="1"/>
      <c r="AF2464" s="1"/>
      <c r="AG2464" s="1"/>
      <c r="AH2464" s="1"/>
    </row>
    <row r="2465" spans="1:34" ht="12.5">
      <c r="A2465" s="1"/>
      <c r="B2465" s="1"/>
      <c r="C2465" s="1"/>
      <c r="D2465" s="1"/>
      <c r="E2465" s="1"/>
      <c r="F2465" s="1"/>
      <c r="G2465" s="1"/>
      <c r="H2465" s="1"/>
      <c r="I2465" s="1"/>
      <c r="J2465" s="1"/>
      <c r="K2465" s="1"/>
      <c r="L2465" s="1"/>
      <c r="M2465" s="1"/>
      <c r="N2465" s="1"/>
      <c r="O2465" s="1"/>
      <c r="P2465" s="1"/>
      <c r="Q2465" s="1"/>
      <c r="R2465" s="1"/>
      <c r="S2465" s="1"/>
      <c r="T2465" s="1"/>
      <c r="U2465" s="1"/>
      <c r="V2465" s="1"/>
      <c r="W2465" s="1"/>
      <c r="X2465" s="1"/>
      <c r="Y2465" s="1"/>
      <c r="Z2465" s="1"/>
      <c r="AA2465" s="1"/>
      <c r="AB2465" s="1"/>
      <c r="AC2465" s="1"/>
      <c r="AD2465" s="1"/>
      <c r="AE2465" s="1"/>
      <c r="AF2465" s="1"/>
      <c r="AG2465" s="1"/>
      <c r="AH2465" s="1"/>
    </row>
    <row r="2466" spans="1:34" ht="12.5">
      <c r="A2466" s="1"/>
      <c r="B2466" s="1"/>
      <c r="C2466" s="1"/>
      <c r="D2466" s="1"/>
      <c r="E2466" s="1"/>
      <c r="F2466" s="1"/>
      <c r="G2466" s="1"/>
      <c r="H2466" s="1"/>
      <c r="I2466" s="1"/>
      <c r="J2466" s="1"/>
      <c r="K2466" s="1"/>
      <c r="L2466" s="1"/>
      <c r="M2466" s="1"/>
      <c r="N2466" s="1"/>
      <c r="O2466" s="1"/>
      <c r="P2466" s="1"/>
      <c r="Q2466" s="1"/>
      <c r="R2466" s="1"/>
      <c r="S2466" s="1"/>
      <c r="T2466" s="1"/>
      <c r="U2466" s="1"/>
      <c r="V2466" s="1"/>
      <c r="W2466" s="1"/>
      <c r="X2466" s="1"/>
      <c r="Y2466" s="1"/>
      <c r="Z2466" s="1"/>
      <c r="AA2466" s="1"/>
      <c r="AB2466" s="1"/>
      <c r="AC2466" s="1"/>
      <c r="AD2466" s="1"/>
      <c r="AE2466" s="1"/>
      <c r="AF2466" s="1"/>
      <c r="AG2466" s="1"/>
      <c r="AH2466" s="1"/>
    </row>
    <row r="2467" spans="1:34" ht="12.5">
      <c r="A2467" s="1"/>
      <c r="B2467" s="1"/>
      <c r="C2467" s="1"/>
      <c r="D2467" s="1"/>
      <c r="E2467" s="1"/>
      <c r="F2467" s="1"/>
      <c r="G2467" s="1"/>
      <c r="H2467" s="1"/>
      <c r="I2467" s="1"/>
      <c r="J2467" s="1"/>
      <c r="K2467" s="1"/>
      <c r="L2467" s="1"/>
      <c r="M2467" s="1"/>
      <c r="N2467" s="1"/>
      <c r="O2467" s="1"/>
      <c r="P2467" s="1"/>
      <c r="Q2467" s="1"/>
      <c r="R2467" s="1"/>
      <c r="S2467" s="1"/>
      <c r="T2467" s="1"/>
      <c r="U2467" s="1"/>
      <c r="V2467" s="1"/>
      <c r="W2467" s="1"/>
      <c r="X2467" s="1"/>
      <c r="Y2467" s="1"/>
      <c r="Z2467" s="1"/>
      <c r="AA2467" s="1"/>
      <c r="AB2467" s="1"/>
      <c r="AC2467" s="1"/>
      <c r="AD2467" s="1"/>
      <c r="AE2467" s="1"/>
      <c r="AF2467" s="1"/>
      <c r="AG2467" s="1"/>
      <c r="AH2467" s="1"/>
    </row>
    <row r="2468" spans="1:34" ht="12.5">
      <c r="A2468" s="1"/>
      <c r="B2468" s="1"/>
      <c r="C2468" s="1"/>
      <c r="D2468" s="1"/>
      <c r="E2468" s="1"/>
      <c r="F2468" s="1"/>
      <c r="G2468" s="1"/>
      <c r="H2468" s="1"/>
      <c r="I2468" s="1"/>
      <c r="J2468" s="1"/>
      <c r="K2468" s="1"/>
      <c r="L2468" s="1"/>
      <c r="M2468" s="1"/>
      <c r="N2468" s="1"/>
      <c r="O2468" s="1"/>
      <c r="P2468" s="1"/>
      <c r="Q2468" s="1"/>
      <c r="R2468" s="1"/>
      <c r="S2468" s="1"/>
      <c r="T2468" s="1"/>
      <c r="U2468" s="1"/>
      <c r="V2468" s="1"/>
      <c r="W2468" s="1"/>
      <c r="X2468" s="1"/>
      <c r="Y2468" s="1"/>
      <c r="Z2468" s="1"/>
      <c r="AA2468" s="1"/>
      <c r="AB2468" s="1"/>
      <c r="AC2468" s="1"/>
      <c r="AD2468" s="1"/>
      <c r="AE2468" s="1"/>
      <c r="AF2468" s="1"/>
      <c r="AG2468" s="1"/>
      <c r="AH2468" s="1"/>
    </row>
    <row r="2469" spans="1:34" ht="12.5">
      <c r="A2469" s="1"/>
      <c r="B2469" s="1"/>
      <c r="C2469" s="1"/>
      <c r="D2469" s="1"/>
      <c r="E2469" s="1"/>
      <c r="F2469" s="1"/>
      <c r="G2469" s="1"/>
      <c r="H2469" s="1"/>
      <c r="I2469" s="1"/>
      <c r="J2469" s="1"/>
      <c r="K2469" s="1"/>
      <c r="L2469" s="1"/>
      <c r="M2469" s="1"/>
      <c r="N2469" s="1"/>
      <c r="O2469" s="1"/>
      <c r="P2469" s="1"/>
      <c r="Q2469" s="1"/>
      <c r="R2469" s="1"/>
      <c r="S2469" s="1"/>
      <c r="T2469" s="1"/>
      <c r="U2469" s="1"/>
      <c r="V2469" s="1"/>
      <c r="W2469" s="1"/>
      <c r="X2469" s="1"/>
      <c r="Y2469" s="1"/>
      <c r="Z2469" s="1"/>
      <c r="AA2469" s="1"/>
      <c r="AB2469" s="1"/>
      <c r="AC2469" s="1"/>
      <c r="AD2469" s="1"/>
      <c r="AE2469" s="1"/>
      <c r="AF2469" s="1"/>
      <c r="AG2469" s="1"/>
      <c r="AH2469" s="1"/>
    </row>
    <row r="2470" spans="1:34" ht="12.5">
      <c r="A2470" s="1"/>
      <c r="B2470" s="1"/>
      <c r="C2470" s="1"/>
      <c r="D2470" s="1"/>
      <c r="E2470" s="1"/>
      <c r="F2470" s="1"/>
      <c r="G2470" s="1"/>
      <c r="H2470" s="1"/>
      <c r="I2470" s="1"/>
      <c r="J2470" s="1"/>
      <c r="K2470" s="1"/>
      <c r="L2470" s="1"/>
      <c r="M2470" s="1"/>
      <c r="N2470" s="1"/>
      <c r="O2470" s="1"/>
      <c r="P2470" s="1"/>
      <c r="Q2470" s="1"/>
      <c r="R2470" s="1"/>
      <c r="S2470" s="1"/>
      <c r="T2470" s="1"/>
      <c r="U2470" s="1"/>
      <c r="V2470" s="1"/>
      <c r="W2470" s="1"/>
      <c r="X2470" s="1"/>
      <c r="Y2470" s="1"/>
      <c r="Z2470" s="1"/>
      <c r="AA2470" s="1"/>
      <c r="AB2470" s="1"/>
      <c r="AC2470" s="1"/>
      <c r="AD2470" s="1"/>
      <c r="AE2470" s="1"/>
      <c r="AF2470" s="1"/>
      <c r="AG2470" s="1"/>
      <c r="AH2470" s="1"/>
    </row>
    <row r="2471" spans="1:34" ht="12.5">
      <c r="A2471" s="1"/>
      <c r="B2471" s="1"/>
      <c r="C2471" s="1"/>
      <c r="D2471" s="1"/>
      <c r="E2471" s="1"/>
      <c r="F2471" s="1"/>
      <c r="G2471" s="1"/>
      <c r="H2471" s="1"/>
      <c r="I2471" s="1"/>
      <c r="J2471" s="1"/>
      <c r="K2471" s="1"/>
      <c r="L2471" s="1"/>
      <c r="M2471" s="1"/>
      <c r="N2471" s="1"/>
      <c r="O2471" s="1"/>
      <c r="P2471" s="1"/>
      <c r="Q2471" s="1"/>
      <c r="R2471" s="1"/>
      <c r="S2471" s="1"/>
      <c r="T2471" s="1"/>
      <c r="U2471" s="1"/>
      <c r="V2471" s="1"/>
      <c r="W2471" s="1"/>
      <c r="X2471" s="1"/>
      <c r="Y2471" s="1"/>
      <c r="Z2471" s="1"/>
      <c r="AA2471" s="1"/>
      <c r="AB2471" s="1"/>
      <c r="AC2471" s="1"/>
      <c r="AD2471" s="1"/>
      <c r="AE2471" s="1"/>
      <c r="AF2471" s="1"/>
      <c r="AG2471" s="1"/>
      <c r="AH2471" s="1"/>
    </row>
    <row r="2472" spans="1:34" ht="12.5">
      <c r="A2472" s="1"/>
      <c r="B2472" s="1"/>
      <c r="C2472" s="1"/>
      <c r="D2472" s="1"/>
      <c r="E2472" s="1"/>
      <c r="F2472" s="1"/>
      <c r="G2472" s="1"/>
      <c r="H2472" s="1"/>
      <c r="I2472" s="1"/>
      <c r="J2472" s="1"/>
      <c r="K2472" s="1"/>
      <c r="L2472" s="1"/>
      <c r="M2472" s="1"/>
      <c r="N2472" s="1"/>
      <c r="O2472" s="1"/>
      <c r="P2472" s="1"/>
      <c r="Q2472" s="1"/>
      <c r="R2472" s="1"/>
      <c r="S2472" s="1"/>
      <c r="T2472" s="1"/>
      <c r="U2472" s="1"/>
      <c r="V2472" s="1"/>
      <c r="W2472" s="1"/>
      <c r="X2472" s="1"/>
      <c r="Y2472" s="1"/>
      <c r="Z2472" s="1"/>
      <c r="AA2472" s="1"/>
      <c r="AB2472" s="1"/>
      <c r="AC2472" s="1"/>
      <c r="AD2472" s="1"/>
      <c r="AE2472" s="1"/>
      <c r="AF2472" s="1"/>
      <c r="AG2472" s="1"/>
      <c r="AH2472" s="1"/>
    </row>
    <row r="2473" spans="1:34" ht="12.5">
      <c r="A2473" s="1"/>
      <c r="B2473" s="1"/>
      <c r="C2473" s="1"/>
      <c r="D2473" s="1"/>
      <c r="E2473" s="1"/>
      <c r="F2473" s="1"/>
      <c r="G2473" s="1"/>
      <c r="H2473" s="1"/>
      <c r="I2473" s="1"/>
      <c r="J2473" s="1"/>
      <c r="K2473" s="1"/>
      <c r="L2473" s="1"/>
      <c r="M2473" s="1"/>
      <c r="N2473" s="1"/>
      <c r="O2473" s="1"/>
      <c r="P2473" s="1"/>
      <c r="Q2473" s="1"/>
      <c r="R2473" s="1"/>
      <c r="S2473" s="1"/>
      <c r="T2473" s="1"/>
      <c r="U2473" s="1"/>
      <c r="V2473" s="1"/>
      <c r="W2473" s="1"/>
      <c r="X2473" s="1"/>
      <c r="Y2473" s="1"/>
      <c r="Z2473" s="1"/>
      <c r="AA2473" s="1"/>
      <c r="AB2473" s="1"/>
      <c r="AC2473" s="1"/>
      <c r="AD2473" s="1"/>
      <c r="AE2473" s="1"/>
      <c r="AF2473" s="1"/>
      <c r="AG2473" s="1"/>
      <c r="AH2473" s="1"/>
    </row>
    <row r="2474" spans="1:34" ht="12.5">
      <c r="A2474" s="1"/>
      <c r="B2474" s="1"/>
      <c r="C2474" s="1"/>
      <c r="D2474" s="1"/>
      <c r="E2474" s="1"/>
      <c r="F2474" s="1"/>
      <c r="G2474" s="1"/>
      <c r="H2474" s="1"/>
      <c r="I2474" s="1"/>
      <c r="J2474" s="1"/>
      <c r="K2474" s="1"/>
      <c r="L2474" s="1"/>
      <c r="M2474" s="1"/>
      <c r="N2474" s="1"/>
      <c r="O2474" s="1"/>
      <c r="P2474" s="1"/>
      <c r="Q2474" s="1"/>
      <c r="R2474" s="1"/>
      <c r="S2474" s="1"/>
      <c r="T2474" s="1"/>
      <c r="U2474" s="1"/>
      <c r="V2474" s="1"/>
      <c r="W2474" s="1"/>
      <c r="X2474" s="1"/>
      <c r="Y2474" s="1"/>
      <c r="Z2474" s="1"/>
      <c r="AA2474" s="1"/>
      <c r="AB2474" s="1"/>
      <c r="AC2474" s="1"/>
      <c r="AD2474" s="1"/>
      <c r="AE2474" s="1"/>
      <c r="AF2474" s="1"/>
      <c r="AG2474" s="1"/>
      <c r="AH2474" s="1"/>
    </row>
    <row r="2475" spans="1:34" ht="12.5">
      <c r="A2475" s="1"/>
      <c r="B2475" s="1"/>
      <c r="C2475" s="1"/>
      <c r="D2475" s="1"/>
      <c r="E2475" s="1"/>
      <c r="F2475" s="1"/>
      <c r="G2475" s="1"/>
      <c r="H2475" s="1"/>
      <c r="I2475" s="1"/>
      <c r="J2475" s="1"/>
      <c r="K2475" s="1"/>
      <c r="L2475" s="1"/>
      <c r="M2475" s="1"/>
      <c r="N2475" s="1"/>
      <c r="O2475" s="1"/>
      <c r="P2475" s="1"/>
      <c r="Q2475" s="1"/>
      <c r="R2475" s="1"/>
      <c r="S2475" s="1"/>
      <c r="T2475" s="1"/>
      <c r="U2475" s="1"/>
      <c r="V2475" s="1"/>
      <c r="W2475" s="1"/>
      <c r="X2475" s="1"/>
      <c r="Y2475" s="1"/>
      <c r="Z2475" s="1"/>
      <c r="AA2475" s="1"/>
      <c r="AB2475" s="1"/>
      <c r="AC2475" s="1"/>
      <c r="AD2475" s="1"/>
      <c r="AE2475" s="1"/>
      <c r="AF2475" s="1"/>
      <c r="AG2475" s="1"/>
      <c r="AH2475" s="1"/>
    </row>
    <row r="2476" spans="1:34" ht="12.5">
      <c r="A2476" s="1"/>
      <c r="B2476" s="1"/>
      <c r="C2476" s="1"/>
      <c r="D2476" s="1"/>
      <c r="E2476" s="1"/>
      <c r="F2476" s="1"/>
      <c r="G2476" s="1"/>
      <c r="H2476" s="1"/>
      <c r="I2476" s="1"/>
      <c r="J2476" s="1"/>
      <c r="K2476" s="1"/>
      <c r="L2476" s="1"/>
      <c r="M2476" s="1"/>
      <c r="N2476" s="1"/>
      <c r="O2476" s="1"/>
      <c r="P2476" s="1"/>
      <c r="Q2476" s="1"/>
      <c r="R2476" s="1"/>
      <c r="S2476" s="1"/>
      <c r="T2476" s="1"/>
      <c r="U2476" s="1"/>
      <c r="V2476" s="1"/>
      <c r="W2476" s="1"/>
      <c r="X2476" s="1"/>
      <c r="Y2476" s="1"/>
      <c r="Z2476" s="1"/>
      <c r="AA2476" s="1"/>
      <c r="AB2476" s="1"/>
      <c r="AC2476" s="1"/>
      <c r="AD2476" s="1"/>
      <c r="AE2476" s="1"/>
      <c r="AF2476" s="1"/>
      <c r="AG2476" s="1"/>
      <c r="AH2476" s="1"/>
    </row>
    <row r="2477" spans="1:34" ht="12.5">
      <c r="A2477" s="1"/>
      <c r="B2477" s="1"/>
      <c r="C2477" s="1"/>
      <c r="D2477" s="1"/>
      <c r="E2477" s="1"/>
      <c r="F2477" s="1"/>
      <c r="G2477" s="1"/>
      <c r="H2477" s="1"/>
      <c r="I2477" s="1"/>
      <c r="J2477" s="1"/>
      <c r="K2477" s="1"/>
      <c r="L2477" s="1"/>
      <c r="M2477" s="1"/>
      <c r="N2477" s="1"/>
      <c r="O2477" s="1"/>
      <c r="P2477" s="1"/>
      <c r="Q2477" s="1"/>
      <c r="R2477" s="1"/>
      <c r="S2477" s="1"/>
      <c r="T2477" s="1"/>
      <c r="U2477" s="1"/>
      <c r="V2477" s="1"/>
      <c r="W2477" s="1"/>
      <c r="X2477" s="1"/>
      <c r="Y2477" s="1"/>
      <c r="Z2477" s="1"/>
      <c r="AA2477" s="1"/>
      <c r="AB2477" s="1"/>
      <c r="AC2477" s="1"/>
      <c r="AD2477" s="1"/>
      <c r="AE2477" s="1"/>
      <c r="AF2477" s="1"/>
      <c r="AG2477" s="1"/>
      <c r="AH2477" s="1"/>
    </row>
    <row r="2478" spans="1:34" ht="12.5">
      <c r="A2478" s="1"/>
      <c r="B2478" s="1"/>
      <c r="C2478" s="1"/>
      <c r="D2478" s="1"/>
      <c r="E2478" s="1"/>
      <c r="F2478" s="1"/>
      <c r="G2478" s="1"/>
      <c r="H2478" s="1"/>
      <c r="I2478" s="1"/>
      <c r="J2478" s="1"/>
      <c r="K2478" s="1"/>
      <c r="L2478" s="1"/>
      <c r="M2478" s="1"/>
      <c r="N2478" s="1"/>
      <c r="O2478" s="1"/>
      <c r="P2478" s="1"/>
      <c r="Q2478" s="1"/>
      <c r="R2478" s="1"/>
      <c r="S2478" s="1"/>
      <c r="T2478" s="1"/>
      <c r="U2478" s="1"/>
      <c r="V2478" s="1"/>
      <c r="W2478" s="1"/>
      <c r="X2478" s="1"/>
      <c r="Y2478" s="1"/>
      <c r="Z2478" s="1"/>
      <c r="AA2478" s="1"/>
      <c r="AB2478" s="1"/>
      <c r="AC2478" s="1"/>
      <c r="AD2478" s="1"/>
      <c r="AE2478" s="1"/>
      <c r="AF2478" s="1"/>
      <c r="AG2478" s="1"/>
      <c r="AH2478" s="1"/>
    </row>
    <row r="2479" spans="1:34" ht="12.5">
      <c r="A2479" s="1"/>
      <c r="B2479" s="1"/>
      <c r="C2479" s="1"/>
      <c r="D2479" s="1"/>
      <c r="E2479" s="1"/>
      <c r="F2479" s="1"/>
      <c r="G2479" s="1"/>
      <c r="H2479" s="1"/>
      <c r="I2479" s="1"/>
      <c r="J2479" s="1"/>
      <c r="K2479" s="1"/>
      <c r="L2479" s="1"/>
      <c r="M2479" s="1"/>
      <c r="N2479" s="1"/>
      <c r="O2479" s="1"/>
      <c r="P2479" s="1"/>
      <c r="Q2479" s="1"/>
      <c r="R2479" s="1"/>
      <c r="S2479" s="1"/>
      <c r="T2479" s="1"/>
      <c r="U2479" s="1"/>
      <c r="V2479" s="1"/>
      <c r="W2479" s="1"/>
      <c r="X2479" s="1"/>
      <c r="Y2479" s="1"/>
      <c r="Z2479" s="1"/>
      <c r="AA2479" s="1"/>
      <c r="AB2479" s="1"/>
      <c r="AC2479" s="1"/>
      <c r="AD2479" s="1"/>
      <c r="AE2479" s="1"/>
      <c r="AF2479" s="1"/>
      <c r="AG2479" s="1"/>
      <c r="AH2479" s="1"/>
    </row>
    <row r="2480" spans="1:34" ht="12.5">
      <c r="A2480" s="1"/>
      <c r="B2480" s="1"/>
      <c r="C2480" s="1"/>
      <c r="D2480" s="1"/>
      <c r="E2480" s="1"/>
      <c r="F2480" s="1"/>
      <c r="G2480" s="1"/>
      <c r="H2480" s="1"/>
      <c r="I2480" s="1"/>
      <c r="J2480" s="1"/>
      <c r="K2480" s="1"/>
      <c r="L2480" s="1"/>
      <c r="M2480" s="1"/>
      <c r="N2480" s="1"/>
      <c r="O2480" s="1"/>
      <c r="P2480" s="1"/>
      <c r="Q2480" s="1"/>
      <c r="R2480" s="1"/>
      <c r="S2480" s="1"/>
      <c r="T2480" s="1"/>
      <c r="U2480" s="1"/>
      <c r="V2480" s="1"/>
      <c r="W2480" s="1"/>
      <c r="X2480" s="1"/>
      <c r="Y2480" s="1"/>
      <c r="Z2480" s="1"/>
      <c r="AA2480" s="1"/>
      <c r="AB2480" s="1"/>
      <c r="AC2480" s="1"/>
      <c r="AD2480" s="1"/>
      <c r="AE2480" s="1"/>
      <c r="AF2480" s="1"/>
      <c r="AG2480" s="1"/>
      <c r="AH2480" s="1"/>
    </row>
    <row r="2481" spans="1:34" ht="12.5">
      <c r="A2481" s="1"/>
      <c r="B2481" s="1"/>
      <c r="C2481" s="1"/>
      <c r="D2481" s="1"/>
      <c r="E2481" s="1"/>
      <c r="F2481" s="1"/>
      <c r="G2481" s="1"/>
      <c r="H2481" s="1"/>
      <c r="I2481" s="1"/>
      <c r="J2481" s="1"/>
      <c r="K2481" s="1"/>
      <c r="L2481" s="1"/>
      <c r="M2481" s="1"/>
      <c r="N2481" s="1"/>
      <c r="O2481" s="1"/>
      <c r="P2481" s="1"/>
      <c r="Q2481" s="1"/>
      <c r="R2481" s="1"/>
      <c r="S2481" s="1"/>
      <c r="T2481" s="1"/>
      <c r="U2481" s="1"/>
      <c r="V2481" s="1"/>
      <c r="W2481" s="1"/>
      <c r="X2481" s="1"/>
      <c r="Y2481" s="1"/>
      <c r="Z2481" s="1"/>
      <c r="AA2481" s="1"/>
      <c r="AB2481" s="1"/>
      <c r="AC2481" s="1"/>
      <c r="AD2481" s="1"/>
      <c r="AE2481" s="1"/>
      <c r="AF2481" s="1"/>
      <c r="AG2481" s="1"/>
      <c r="AH2481" s="1"/>
    </row>
    <row r="2482" spans="1:34" ht="12.5">
      <c r="A2482" s="1"/>
      <c r="B2482" s="1"/>
      <c r="C2482" s="1"/>
      <c r="D2482" s="1"/>
      <c r="E2482" s="1"/>
      <c r="F2482" s="1"/>
      <c r="G2482" s="1"/>
      <c r="H2482" s="1"/>
      <c r="I2482" s="1"/>
      <c r="J2482" s="1"/>
      <c r="K2482" s="1"/>
      <c r="L2482" s="1"/>
      <c r="M2482" s="1"/>
      <c r="N2482" s="1"/>
      <c r="O2482" s="1"/>
      <c r="P2482" s="1"/>
      <c r="Q2482" s="1"/>
      <c r="R2482" s="1"/>
      <c r="S2482" s="1"/>
      <c r="T2482" s="1"/>
      <c r="U2482" s="1"/>
      <c r="V2482" s="1"/>
      <c r="W2482" s="1"/>
      <c r="X2482" s="1"/>
      <c r="Y2482" s="1"/>
      <c r="Z2482" s="1"/>
      <c r="AA2482" s="1"/>
      <c r="AB2482" s="1"/>
      <c r="AC2482" s="1"/>
      <c r="AD2482" s="1"/>
      <c r="AE2482" s="1"/>
      <c r="AF2482" s="1"/>
      <c r="AG2482" s="1"/>
      <c r="AH2482" s="1"/>
    </row>
    <row r="2483" spans="1:34" ht="12.5">
      <c r="A2483" s="1"/>
      <c r="B2483" s="1"/>
      <c r="C2483" s="1"/>
      <c r="D2483" s="1"/>
      <c r="E2483" s="1"/>
      <c r="F2483" s="1"/>
      <c r="G2483" s="1"/>
      <c r="H2483" s="1"/>
      <c r="I2483" s="1"/>
      <c r="J2483" s="1"/>
      <c r="K2483" s="1"/>
      <c r="L2483" s="1"/>
      <c r="M2483" s="1"/>
      <c r="N2483" s="1"/>
      <c r="O2483" s="1"/>
      <c r="P2483" s="1"/>
      <c r="Q2483" s="1"/>
      <c r="R2483" s="1"/>
      <c r="S2483" s="1"/>
      <c r="T2483" s="1"/>
      <c r="U2483" s="1"/>
      <c r="V2483" s="1"/>
      <c r="W2483" s="1"/>
      <c r="X2483" s="1"/>
      <c r="Y2483" s="1"/>
      <c r="Z2483" s="1"/>
      <c r="AA2483" s="1"/>
      <c r="AB2483" s="1"/>
      <c r="AC2483" s="1"/>
      <c r="AD2483" s="1"/>
      <c r="AE2483" s="1"/>
      <c r="AF2483" s="1"/>
      <c r="AG2483" s="1"/>
      <c r="AH2483" s="1"/>
    </row>
    <row r="2484" spans="1:34" ht="12.5">
      <c r="A2484" s="1"/>
      <c r="B2484" s="1"/>
      <c r="C2484" s="1"/>
      <c r="D2484" s="1"/>
      <c r="E2484" s="1"/>
      <c r="F2484" s="1"/>
      <c r="G2484" s="1"/>
      <c r="H2484" s="1"/>
      <c r="I2484" s="1"/>
      <c r="J2484" s="1"/>
      <c r="K2484" s="1"/>
      <c r="L2484" s="1"/>
      <c r="M2484" s="1"/>
      <c r="N2484" s="1"/>
      <c r="O2484" s="1"/>
      <c r="P2484" s="1"/>
      <c r="Q2484" s="1"/>
      <c r="R2484" s="1"/>
      <c r="S2484" s="1"/>
      <c r="T2484" s="1"/>
      <c r="U2484" s="1"/>
      <c r="V2484" s="1"/>
      <c r="W2484" s="1"/>
      <c r="X2484" s="1"/>
      <c r="Y2484" s="1"/>
      <c r="Z2484" s="1"/>
      <c r="AA2484" s="1"/>
      <c r="AB2484" s="1"/>
      <c r="AC2484" s="1"/>
      <c r="AD2484" s="1"/>
      <c r="AE2484" s="1"/>
      <c r="AF2484" s="1"/>
      <c r="AG2484" s="1"/>
      <c r="AH2484" s="1"/>
    </row>
    <row r="2485" spans="1:34" ht="12.5">
      <c r="A2485" s="1"/>
      <c r="B2485" s="1"/>
      <c r="C2485" s="1"/>
      <c r="D2485" s="1"/>
      <c r="E2485" s="1"/>
      <c r="F2485" s="1"/>
      <c r="G2485" s="1"/>
      <c r="H2485" s="1"/>
      <c r="I2485" s="1"/>
      <c r="J2485" s="1"/>
      <c r="K2485" s="1"/>
      <c r="L2485" s="1"/>
      <c r="M2485" s="1"/>
      <c r="N2485" s="1"/>
      <c r="O2485" s="1"/>
      <c r="P2485" s="1"/>
      <c r="Q2485" s="1"/>
      <c r="R2485" s="1"/>
      <c r="S2485" s="1"/>
      <c r="T2485" s="1"/>
      <c r="U2485" s="1"/>
      <c r="V2485" s="1"/>
      <c r="W2485" s="1"/>
      <c r="X2485" s="1"/>
      <c r="Y2485" s="1"/>
      <c r="Z2485" s="1"/>
      <c r="AA2485" s="1"/>
      <c r="AB2485" s="1"/>
      <c r="AC2485" s="1"/>
      <c r="AD2485" s="1"/>
      <c r="AE2485" s="1"/>
      <c r="AF2485" s="1"/>
      <c r="AG2485" s="1"/>
      <c r="AH2485" s="1"/>
    </row>
    <row r="2486" spans="1:34" ht="12.5">
      <c r="A2486" s="1"/>
      <c r="B2486" s="1"/>
      <c r="C2486" s="1"/>
      <c r="D2486" s="1"/>
      <c r="E2486" s="1"/>
      <c r="F2486" s="1"/>
      <c r="G2486" s="1"/>
      <c r="H2486" s="1"/>
      <c r="I2486" s="1"/>
      <c r="J2486" s="1"/>
      <c r="K2486" s="1"/>
      <c r="L2486" s="1"/>
      <c r="M2486" s="1"/>
      <c r="N2486" s="1"/>
      <c r="O2486" s="1"/>
      <c r="P2486" s="1"/>
      <c r="Q2486" s="1"/>
      <c r="R2486" s="1"/>
      <c r="S2486" s="1"/>
      <c r="T2486" s="1"/>
      <c r="U2486" s="1"/>
      <c r="V2486" s="1"/>
      <c r="W2486" s="1"/>
      <c r="X2486" s="1"/>
      <c r="Y2486" s="1"/>
      <c r="Z2486" s="1"/>
      <c r="AA2486" s="1"/>
      <c r="AB2486" s="1"/>
      <c r="AC2486" s="1"/>
      <c r="AD2486" s="1"/>
      <c r="AE2486" s="1"/>
      <c r="AF2486" s="1"/>
      <c r="AG2486" s="1"/>
      <c r="AH2486" s="1"/>
    </row>
    <row r="2487" spans="1:34" ht="12.5">
      <c r="A2487" s="1"/>
      <c r="B2487" s="1"/>
      <c r="C2487" s="1"/>
      <c r="D2487" s="1"/>
      <c r="E2487" s="1"/>
      <c r="F2487" s="1"/>
      <c r="G2487" s="1"/>
      <c r="H2487" s="1"/>
      <c r="I2487" s="1"/>
      <c r="J2487" s="1"/>
      <c r="K2487" s="1"/>
      <c r="L2487" s="1"/>
      <c r="M2487" s="1"/>
      <c r="N2487" s="1"/>
      <c r="O2487" s="1"/>
      <c r="P2487" s="1"/>
      <c r="Q2487" s="1"/>
      <c r="R2487" s="1"/>
      <c r="S2487" s="1"/>
      <c r="T2487" s="1"/>
      <c r="U2487" s="1"/>
      <c r="V2487" s="1"/>
      <c r="W2487" s="1"/>
      <c r="X2487" s="1"/>
      <c r="Y2487" s="1"/>
      <c r="Z2487" s="1"/>
      <c r="AA2487" s="1"/>
      <c r="AB2487" s="1"/>
      <c r="AC2487" s="1"/>
      <c r="AD2487" s="1"/>
      <c r="AE2487" s="1"/>
      <c r="AF2487" s="1"/>
      <c r="AG2487" s="1"/>
      <c r="AH2487" s="1"/>
    </row>
    <row r="2488" spans="1:34" ht="12.5">
      <c r="A2488" s="1"/>
      <c r="B2488" s="1"/>
      <c r="C2488" s="1"/>
      <c r="D2488" s="1"/>
      <c r="E2488" s="1"/>
      <c r="F2488" s="1"/>
      <c r="G2488" s="1"/>
      <c r="H2488" s="1"/>
      <c r="I2488" s="1"/>
      <c r="J2488" s="1"/>
      <c r="K2488" s="1"/>
      <c r="L2488" s="1"/>
      <c r="M2488" s="1"/>
      <c r="N2488" s="1"/>
      <c r="O2488" s="1"/>
      <c r="P2488" s="1"/>
      <c r="Q2488" s="1"/>
      <c r="R2488" s="1"/>
      <c r="S2488" s="1"/>
      <c r="T2488" s="1"/>
      <c r="U2488" s="1"/>
      <c r="V2488" s="1"/>
      <c r="W2488" s="1"/>
      <c r="X2488" s="1"/>
      <c r="Y2488" s="1"/>
      <c r="Z2488" s="1"/>
      <c r="AA2488" s="1"/>
      <c r="AB2488" s="1"/>
      <c r="AC2488" s="1"/>
      <c r="AD2488" s="1"/>
      <c r="AE2488" s="1"/>
      <c r="AF2488" s="1"/>
      <c r="AG2488" s="1"/>
      <c r="AH2488" s="1"/>
    </row>
    <row r="2489" spans="1:34" ht="12.5">
      <c r="A2489" s="1"/>
      <c r="B2489" s="1"/>
      <c r="C2489" s="1"/>
      <c r="D2489" s="1"/>
      <c r="E2489" s="1"/>
      <c r="F2489" s="1"/>
      <c r="G2489" s="1"/>
      <c r="H2489" s="1"/>
      <c r="I2489" s="1"/>
      <c r="J2489" s="1"/>
      <c r="K2489" s="1"/>
      <c r="L2489" s="1"/>
      <c r="M2489" s="1"/>
      <c r="N2489" s="1"/>
      <c r="O2489" s="1"/>
      <c r="P2489" s="1"/>
      <c r="Q2489" s="1"/>
      <c r="R2489" s="1"/>
      <c r="S2489" s="1"/>
      <c r="T2489" s="1"/>
      <c r="U2489" s="1"/>
      <c r="V2489" s="1"/>
      <c r="W2489" s="1"/>
      <c r="X2489" s="1"/>
      <c r="Y2489" s="1"/>
      <c r="Z2489" s="1"/>
      <c r="AA2489" s="1"/>
      <c r="AB2489" s="1"/>
      <c r="AC2489" s="1"/>
      <c r="AD2489" s="1"/>
      <c r="AE2489" s="1"/>
      <c r="AF2489" s="1"/>
      <c r="AG2489" s="1"/>
      <c r="AH2489" s="1"/>
    </row>
    <row r="2490" spans="1:34" ht="12.5">
      <c r="A2490" s="1"/>
      <c r="B2490" s="1"/>
      <c r="C2490" s="1"/>
      <c r="D2490" s="1"/>
      <c r="E2490" s="1"/>
      <c r="F2490" s="1"/>
      <c r="G2490" s="1"/>
      <c r="H2490" s="1"/>
      <c r="I2490" s="1"/>
      <c r="J2490" s="1"/>
      <c r="K2490" s="1"/>
      <c r="L2490" s="1"/>
      <c r="M2490" s="1"/>
      <c r="N2490" s="1"/>
      <c r="O2490" s="1"/>
      <c r="P2490" s="1"/>
      <c r="Q2490" s="1"/>
      <c r="R2490" s="1"/>
      <c r="S2490" s="1"/>
      <c r="T2490" s="1"/>
      <c r="U2490" s="1"/>
      <c r="V2490" s="1"/>
      <c r="W2490" s="1"/>
      <c r="X2490" s="1"/>
      <c r="Y2490" s="1"/>
      <c r="Z2490" s="1"/>
      <c r="AA2490" s="1"/>
      <c r="AB2490" s="1"/>
      <c r="AC2490" s="1"/>
      <c r="AD2490" s="1"/>
      <c r="AE2490" s="1"/>
      <c r="AF2490" s="1"/>
      <c r="AG2490" s="1"/>
      <c r="AH2490" s="1"/>
    </row>
    <row r="2491" spans="1:34" ht="12.5">
      <c r="A2491" s="1"/>
      <c r="B2491" s="1"/>
      <c r="C2491" s="1"/>
      <c r="D2491" s="1"/>
      <c r="E2491" s="1"/>
      <c r="F2491" s="1"/>
      <c r="G2491" s="1"/>
      <c r="H2491" s="1"/>
      <c r="I2491" s="1"/>
      <c r="J2491" s="1"/>
      <c r="K2491" s="1"/>
      <c r="L2491" s="1"/>
      <c r="M2491" s="1"/>
      <c r="N2491" s="1"/>
      <c r="O2491" s="1"/>
      <c r="P2491" s="1"/>
      <c r="Q2491" s="1"/>
      <c r="R2491" s="1"/>
      <c r="S2491" s="1"/>
      <c r="T2491" s="1"/>
      <c r="U2491" s="1"/>
      <c r="V2491" s="1"/>
      <c r="W2491" s="1"/>
      <c r="X2491" s="1"/>
      <c r="Y2491" s="1"/>
      <c r="Z2491" s="1"/>
      <c r="AA2491" s="1"/>
      <c r="AB2491" s="1"/>
      <c r="AC2491" s="1"/>
      <c r="AD2491" s="1"/>
      <c r="AE2491" s="1"/>
      <c r="AF2491" s="1"/>
      <c r="AG2491" s="1"/>
      <c r="AH2491" s="1"/>
    </row>
    <row r="2492" spans="1:34" ht="12.5">
      <c r="A2492" s="1"/>
      <c r="B2492" s="1"/>
      <c r="C2492" s="1"/>
      <c r="D2492" s="1"/>
      <c r="E2492" s="1"/>
      <c r="F2492" s="1"/>
      <c r="G2492" s="1"/>
      <c r="H2492" s="1"/>
      <c r="I2492" s="1"/>
      <c r="J2492" s="1"/>
      <c r="K2492" s="1"/>
      <c r="L2492" s="1"/>
      <c r="M2492" s="1"/>
      <c r="N2492" s="1"/>
      <c r="O2492" s="1"/>
      <c r="P2492" s="1"/>
      <c r="Q2492" s="1"/>
      <c r="R2492" s="1"/>
      <c r="S2492" s="1"/>
      <c r="T2492" s="1"/>
      <c r="U2492" s="1"/>
      <c r="V2492" s="1"/>
      <c r="W2492" s="1"/>
      <c r="X2492" s="1"/>
      <c r="Y2492" s="1"/>
      <c r="Z2492" s="1"/>
      <c r="AA2492" s="1"/>
      <c r="AB2492" s="1"/>
      <c r="AC2492" s="1"/>
      <c r="AD2492" s="1"/>
      <c r="AE2492" s="1"/>
      <c r="AF2492" s="1"/>
      <c r="AG2492" s="1"/>
      <c r="AH2492" s="1"/>
    </row>
    <row r="2493" spans="1:34" ht="12.5">
      <c r="A2493" s="1"/>
      <c r="B2493" s="1"/>
      <c r="C2493" s="1"/>
      <c r="D2493" s="1"/>
      <c r="E2493" s="1"/>
      <c r="F2493" s="1"/>
      <c r="G2493" s="1"/>
      <c r="H2493" s="1"/>
      <c r="I2493" s="1"/>
      <c r="J2493" s="1"/>
      <c r="K2493" s="1"/>
      <c r="L2493" s="1"/>
      <c r="M2493" s="1"/>
      <c r="N2493" s="1"/>
      <c r="O2493" s="1"/>
      <c r="P2493" s="1"/>
      <c r="Q2493" s="1"/>
      <c r="R2493" s="1"/>
      <c r="S2493" s="1"/>
      <c r="T2493" s="1"/>
      <c r="U2493" s="1"/>
      <c r="V2493" s="1"/>
      <c r="W2493" s="1"/>
      <c r="X2493" s="1"/>
      <c r="Y2493" s="1"/>
      <c r="Z2493" s="1"/>
      <c r="AA2493" s="1"/>
      <c r="AB2493" s="1"/>
      <c r="AC2493" s="1"/>
      <c r="AD2493" s="1"/>
      <c r="AE2493" s="1"/>
      <c r="AF2493" s="1"/>
      <c r="AG2493" s="1"/>
      <c r="AH2493" s="1"/>
    </row>
    <row r="2494" spans="1:34" ht="12.5">
      <c r="A2494" s="1"/>
      <c r="B2494" s="1"/>
      <c r="C2494" s="1"/>
      <c r="D2494" s="1"/>
      <c r="E2494" s="1"/>
      <c r="F2494" s="1"/>
      <c r="G2494" s="1"/>
      <c r="H2494" s="1"/>
      <c r="I2494" s="1"/>
      <c r="J2494" s="1"/>
      <c r="K2494" s="1"/>
      <c r="L2494" s="1"/>
      <c r="M2494" s="1"/>
      <c r="N2494" s="1"/>
      <c r="O2494" s="1"/>
      <c r="P2494" s="1"/>
      <c r="Q2494" s="1"/>
      <c r="R2494" s="1"/>
      <c r="S2494" s="1"/>
      <c r="T2494" s="1"/>
      <c r="U2494" s="1"/>
      <c r="V2494" s="1"/>
      <c r="W2494" s="1"/>
      <c r="X2494" s="1"/>
      <c r="Y2494" s="1"/>
      <c r="Z2494" s="1"/>
      <c r="AA2494" s="1"/>
      <c r="AB2494" s="1"/>
      <c r="AC2494" s="1"/>
      <c r="AD2494" s="1"/>
      <c r="AE2494" s="1"/>
      <c r="AF2494" s="1"/>
      <c r="AG2494" s="1"/>
      <c r="AH2494" s="1"/>
    </row>
    <row r="2495" spans="1:34" ht="12.5">
      <c r="A2495" s="1"/>
      <c r="B2495" s="1"/>
      <c r="C2495" s="1"/>
      <c r="D2495" s="1"/>
      <c r="E2495" s="1"/>
      <c r="F2495" s="1"/>
      <c r="G2495" s="1"/>
      <c r="H2495" s="1"/>
      <c r="I2495" s="1"/>
      <c r="J2495" s="1"/>
      <c r="K2495" s="1"/>
      <c r="L2495" s="1"/>
      <c r="M2495" s="1"/>
      <c r="N2495" s="1"/>
      <c r="O2495" s="1"/>
      <c r="P2495" s="1"/>
      <c r="Q2495" s="1"/>
      <c r="R2495" s="1"/>
      <c r="S2495" s="1"/>
      <c r="T2495" s="1"/>
      <c r="U2495" s="1"/>
      <c r="V2495" s="1"/>
      <c r="W2495" s="1"/>
      <c r="X2495" s="1"/>
      <c r="Y2495" s="1"/>
      <c r="Z2495" s="1"/>
      <c r="AA2495" s="1"/>
      <c r="AB2495" s="1"/>
      <c r="AC2495" s="1"/>
      <c r="AD2495" s="1"/>
      <c r="AE2495" s="1"/>
      <c r="AF2495" s="1"/>
      <c r="AG2495" s="1"/>
      <c r="AH2495" s="1"/>
    </row>
    <row r="2496" spans="1:34" ht="12.5">
      <c r="A2496" s="1"/>
      <c r="B2496" s="1"/>
      <c r="C2496" s="1"/>
      <c r="D2496" s="1"/>
      <c r="E2496" s="1"/>
      <c r="F2496" s="1"/>
      <c r="G2496" s="1"/>
      <c r="H2496" s="1"/>
      <c r="I2496" s="1"/>
      <c r="J2496" s="1"/>
      <c r="K2496" s="1"/>
      <c r="L2496" s="1"/>
      <c r="M2496" s="1"/>
      <c r="N2496" s="1"/>
      <c r="O2496" s="1"/>
      <c r="P2496" s="1"/>
      <c r="Q2496" s="1"/>
      <c r="R2496" s="1"/>
      <c r="S2496" s="1"/>
      <c r="T2496" s="1"/>
      <c r="U2496" s="1"/>
      <c r="V2496" s="1"/>
      <c r="W2496" s="1"/>
      <c r="X2496" s="1"/>
      <c r="Y2496" s="1"/>
      <c r="Z2496" s="1"/>
      <c r="AA2496" s="1"/>
      <c r="AB2496" s="1"/>
      <c r="AC2496" s="1"/>
      <c r="AD2496" s="1"/>
      <c r="AE2496" s="1"/>
      <c r="AF2496" s="1"/>
      <c r="AG2496" s="1"/>
      <c r="AH2496" s="1"/>
    </row>
    <row r="2497" spans="1:34" ht="12.5">
      <c r="A2497" s="1"/>
      <c r="B2497" s="1"/>
      <c r="C2497" s="1"/>
      <c r="D2497" s="1"/>
      <c r="E2497" s="1"/>
      <c r="F2497" s="1"/>
      <c r="G2497" s="1"/>
      <c r="H2497" s="1"/>
      <c r="I2497" s="1"/>
      <c r="J2497" s="1"/>
      <c r="K2497" s="1"/>
      <c r="L2497" s="1"/>
      <c r="M2497" s="1"/>
      <c r="N2497" s="1"/>
      <c r="O2497" s="1"/>
      <c r="P2497" s="1"/>
      <c r="Q2497" s="1"/>
      <c r="R2497" s="1"/>
      <c r="S2497" s="1"/>
      <c r="T2497" s="1"/>
      <c r="U2497" s="1"/>
      <c r="V2497" s="1"/>
      <c r="W2497" s="1"/>
      <c r="X2497" s="1"/>
      <c r="Y2497" s="1"/>
      <c r="Z2497" s="1"/>
      <c r="AA2497" s="1"/>
      <c r="AB2497" s="1"/>
      <c r="AC2497" s="1"/>
      <c r="AD2497" s="1"/>
      <c r="AE2497" s="1"/>
      <c r="AF2497" s="1"/>
      <c r="AG2497" s="1"/>
      <c r="AH2497" s="1"/>
    </row>
    <row r="2498" spans="1:34" ht="12.5">
      <c r="A2498" s="1"/>
      <c r="B2498" s="1"/>
      <c r="C2498" s="1"/>
      <c r="D2498" s="1"/>
      <c r="E2498" s="1"/>
      <c r="F2498" s="1"/>
      <c r="G2498" s="1"/>
      <c r="H2498" s="1"/>
      <c r="I2498" s="1"/>
      <c r="J2498" s="1"/>
      <c r="K2498" s="1"/>
      <c r="L2498" s="1"/>
      <c r="M2498" s="1"/>
      <c r="N2498" s="1"/>
      <c r="O2498" s="1"/>
      <c r="P2498" s="1"/>
      <c r="Q2498" s="1"/>
      <c r="R2498" s="1"/>
      <c r="S2498" s="1"/>
      <c r="T2498" s="1"/>
      <c r="U2498" s="1"/>
      <c r="V2498" s="1"/>
      <c r="W2498" s="1"/>
      <c r="X2498" s="1"/>
      <c r="Y2498" s="1"/>
      <c r="Z2498" s="1"/>
      <c r="AA2498" s="1"/>
      <c r="AB2498" s="1"/>
      <c r="AC2498" s="1"/>
      <c r="AD2498" s="1"/>
      <c r="AE2498" s="1"/>
      <c r="AF2498" s="1"/>
      <c r="AG2498" s="1"/>
      <c r="AH2498" s="1"/>
    </row>
    <row r="2499" spans="1:34" ht="12.5">
      <c r="A2499" s="1"/>
      <c r="B2499" s="1"/>
      <c r="C2499" s="1"/>
      <c r="D2499" s="1"/>
      <c r="E2499" s="1"/>
      <c r="F2499" s="1"/>
      <c r="G2499" s="1"/>
      <c r="H2499" s="1"/>
      <c r="I2499" s="1"/>
      <c r="J2499" s="1"/>
      <c r="K2499" s="1"/>
      <c r="L2499" s="1"/>
      <c r="M2499" s="1"/>
      <c r="N2499" s="1"/>
      <c r="O2499" s="1"/>
      <c r="P2499" s="1"/>
      <c r="Q2499" s="1"/>
      <c r="R2499" s="1"/>
      <c r="S2499" s="1"/>
      <c r="T2499" s="1"/>
      <c r="U2499" s="1"/>
      <c r="V2499" s="1"/>
      <c r="W2499" s="1"/>
      <c r="X2499" s="1"/>
      <c r="Y2499" s="1"/>
      <c r="Z2499" s="1"/>
      <c r="AA2499" s="1"/>
      <c r="AB2499" s="1"/>
      <c r="AC2499" s="1"/>
      <c r="AD2499" s="1"/>
      <c r="AE2499" s="1"/>
      <c r="AF2499" s="1"/>
      <c r="AG2499" s="1"/>
      <c r="AH2499" s="1"/>
    </row>
    <row r="2500" spans="1:34" ht="12.5">
      <c r="A2500" s="1"/>
      <c r="B2500" s="1"/>
      <c r="C2500" s="1"/>
      <c r="D2500" s="1"/>
      <c r="E2500" s="1"/>
      <c r="F2500" s="1"/>
      <c r="G2500" s="1"/>
      <c r="H2500" s="1"/>
      <c r="I2500" s="1"/>
      <c r="J2500" s="1"/>
      <c r="K2500" s="1"/>
      <c r="L2500" s="1"/>
      <c r="M2500" s="1"/>
      <c r="N2500" s="1"/>
      <c r="O2500" s="1"/>
      <c r="P2500" s="1"/>
      <c r="Q2500" s="1"/>
      <c r="R2500" s="1"/>
      <c r="S2500" s="1"/>
      <c r="T2500" s="1"/>
      <c r="U2500" s="1"/>
      <c r="V2500" s="1"/>
      <c r="W2500" s="1"/>
      <c r="X2500" s="1"/>
      <c r="Y2500" s="1"/>
      <c r="Z2500" s="1"/>
      <c r="AA2500" s="1"/>
      <c r="AB2500" s="1"/>
      <c r="AC2500" s="1"/>
      <c r="AD2500" s="1"/>
      <c r="AE2500" s="1"/>
      <c r="AF2500" s="1"/>
      <c r="AG2500" s="1"/>
      <c r="AH2500" s="1"/>
    </row>
    <row r="2501" spans="1:34" ht="12.5">
      <c r="A2501" s="1"/>
      <c r="B2501" s="1"/>
      <c r="C2501" s="1"/>
      <c r="D2501" s="1"/>
      <c r="E2501" s="1"/>
      <c r="F2501" s="1"/>
      <c r="G2501" s="1"/>
      <c r="H2501" s="1"/>
      <c r="I2501" s="1"/>
      <c r="J2501" s="1"/>
      <c r="K2501" s="1"/>
      <c r="L2501" s="1"/>
      <c r="M2501" s="1"/>
      <c r="N2501" s="1"/>
      <c r="O2501" s="1"/>
      <c r="P2501" s="1"/>
      <c r="Q2501" s="1"/>
      <c r="R2501" s="1"/>
      <c r="S2501" s="1"/>
      <c r="T2501" s="1"/>
      <c r="U2501" s="1"/>
      <c r="V2501" s="1"/>
      <c r="W2501" s="1"/>
      <c r="X2501" s="1"/>
      <c r="Y2501" s="1"/>
      <c r="Z2501" s="1"/>
      <c r="AA2501" s="1"/>
      <c r="AB2501" s="1"/>
      <c r="AC2501" s="1"/>
      <c r="AD2501" s="1"/>
      <c r="AE2501" s="1"/>
      <c r="AF2501" s="1"/>
      <c r="AG2501" s="1"/>
      <c r="AH2501" s="1"/>
    </row>
    <row r="2502" spans="1:34" ht="12.5">
      <c r="A2502" s="1"/>
      <c r="B2502" s="1"/>
      <c r="C2502" s="1"/>
      <c r="D2502" s="1"/>
      <c r="E2502" s="1"/>
      <c r="F2502" s="1"/>
      <c r="G2502" s="1"/>
      <c r="H2502" s="1"/>
      <c r="I2502" s="1"/>
      <c r="J2502" s="1"/>
      <c r="K2502" s="1"/>
      <c r="L2502" s="1"/>
      <c r="M2502" s="1"/>
      <c r="N2502" s="1"/>
      <c r="O2502" s="1"/>
      <c r="P2502" s="1"/>
      <c r="Q2502" s="1"/>
      <c r="R2502" s="1"/>
      <c r="S2502" s="1"/>
      <c r="T2502" s="1"/>
      <c r="U2502" s="1"/>
      <c r="V2502" s="1"/>
      <c r="W2502" s="1"/>
      <c r="X2502" s="1"/>
      <c r="Y2502" s="1"/>
      <c r="Z2502" s="1"/>
      <c r="AA2502" s="1"/>
      <c r="AB2502" s="1"/>
      <c r="AC2502" s="1"/>
      <c r="AD2502" s="1"/>
      <c r="AE2502" s="1"/>
      <c r="AF2502" s="1"/>
      <c r="AG2502" s="1"/>
      <c r="AH2502" s="1"/>
    </row>
    <row r="2503" spans="1:34" ht="12.5">
      <c r="A2503" s="1"/>
      <c r="B2503" s="1"/>
      <c r="C2503" s="1"/>
      <c r="D2503" s="1"/>
      <c r="E2503" s="1"/>
      <c r="F2503" s="1"/>
      <c r="G2503" s="1"/>
      <c r="H2503" s="1"/>
      <c r="I2503" s="1"/>
      <c r="J2503" s="1"/>
      <c r="K2503" s="1"/>
      <c r="L2503" s="1"/>
      <c r="M2503" s="1"/>
      <c r="N2503" s="1"/>
      <c r="O2503" s="1"/>
      <c r="P2503" s="1"/>
      <c r="Q2503" s="1"/>
      <c r="R2503" s="1"/>
      <c r="S2503" s="1"/>
      <c r="T2503" s="1"/>
      <c r="U2503" s="1"/>
      <c r="V2503" s="1"/>
      <c r="W2503" s="1"/>
      <c r="X2503" s="1"/>
      <c r="Y2503" s="1"/>
      <c r="Z2503" s="1"/>
      <c r="AA2503" s="1"/>
      <c r="AB2503" s="1"/>
      <c r="AC2503" s="1"/>
      <c r="AD2503" s="1"/>
      <c r="AE2503" s="1"/>
      <c r="AF2503" s="1"/>
      <c r="AG2503" s="1"/>
      <c r="AH2503" s="1"/>
    </row>
    <row r="2504" spans="1:34" ht="12.5">
      <c r="A2504" s="1"/>
      <c r="B2504" s="1"/>
      <c r="C2504" s="1"/>
      <c r="D2504" s="1"/>
      <c r="E2504" s="1"/>
      <c r="F2504" s="1"/>
      <c r="G2504" s="1"/>
      <c r="H2504" s="1"/>
      <c r="I2504" s="1"/>
      <c r="J2504" s="1"/>
      <c r="K2504" s="1"/>
      <c r="L2504" s="1"/>
      <c r="M2504" s="1"/>
      <c r="N2504" s="1"/>
      <c r="O2504" s="1"/>
      <c r="P2504" s="1"/>
      <c r="Q2504" s="1"/>
      <c r="R2504" s="1"/>
      <c r="S2504" s="1"/>
      <c r="T2504" s="1"/>
      <c r="U2504" s="1"/>
      <c r="V2504" s="1"/>
      <c r="W2504" s="1"/>
      <c r="X2504" s="1"/>
      <c r="Y2504" s="1"/>
      <c r="Z2504" s="1"/>
      <c r="AA2504" s="1"/>
      <c r="AB2504" s="1"/>
      <c r="AC2504" s="1"/>
      <c r="AD2504" s="1"/>
      <c r="AE2504" s="1"/>
      <c r="AF2504" s="1"/>
      <c r="AG2504" s="1"/>
      <c r="AH2504" s="1"/>
    </row>
    <row r="2505" spans="1:34" ht="12.5">
      <c r="A2505" s="1"/>
      <c r="B2505" s="1"/>
      <c r="C2505" s="1"/>
      <c r="D2505" s="1"/>
      <c r="E2505" s="1"/>
      <c r="F2505" s="1"/>
      <c r="G2505" s="1"/>
      <c r="H2505" s="1"/>
      <c r="I2505" s="1"/>
      <c r="J2505" s="1"/>
      <c r="K2505" s="1"/>
      <c r="L2505" s="1"/>
      <c r="M2505" s="1"/>
      <c r="N2505" s="1"/>
      <c r="O2505" s="1"/>
      <c r="P2505" s="1"/>
      <c r="Q2505" s="1"/>
      <c r="R2505" s="1"/>
      <c r="S2505" s="1"/>
      <c r="T2505" s="1"/>
      <c r="U2505" s="1"/>
      <c r="V2505" s="1"/>
      <c r="W2505" s="1"/>
      <c r="X2505" s="1"/>
      <c r="Y2505" s="1"/>
      <c r="Z2505" s="1"/>
      <c r="AA2505" s="1"/>
      <c r="AB2505" s="1"/>
      <c r="AC2505" s="1"/>
      <c r="AD2505" s="1"/>
      <c r="AE2505" s="1"/>
      <c r="AF2505" s="1"/>
      <c r="AG2505" s="1"/>
      <c r="AH2505" s="1"/>
    </row>
    <row r="2506" spans="1:34" ht="12.5">
      <c r="A2506" s="1"/>
      <c r="B2506" s="1"/>
      <c r="C2506" s="1"/>
      <c r="D2506" s="1"/>
      <c r="E2506" s="1"/>
      <c r="F2506" s="1"/>
      <c r="G2506" s="1"/>
      <c r="H2506" s="1"/>
      <c r="I2506" s="1"/>
      <c r="J2506" s="1"/>
      <c r="K2506" s="1"/>
      <c r="L2506" s="1"/>
      <c r="M2506" s="1"/>
      <c r="N2506" s="1"/>
      <c r="O2506" s="1"/>
      <c r="P2506" s="1"/>
      <c r="Q2506" s="1"/>
      <c r="R2506" s="1"/>
      <c r="S2506" s="1"/>
      <c r="T2506" s="1"/>
      <c r="U2506" s="1"/>
      <c r="V2506" s="1"/>
      <c r="W2506" s="1"/>
      <c r="X2506" s="1"/>
      <c r="Y2506" s="1"/>
      <c r="Z2506" s="1"/>
      <c r="AA2506" s="1"/>
      <c r="AB2506" s="1"/>
      <c r="AC2506" s="1"/>
      <c r="AD2506" s="1"/>
      <c r="AE2506" s="1"/>
      <c r="AF2506" s="1"/>
      <c r="AG2506" s="1"/>
      <c r="AH2506" s="1"/>
    </row>
    <row r="2507" spans="1:34" ht="12.5">
      <c r="A2507" s="1"/>
      <c r="B2507" s="1"/>
      <c r="C2507" s="1"/>
      <c r="D2507" s="1"/>
      <c r="E2507" s="1"/>
      <c r="F2507" s="1"/>
      <c r="G2507" s="1"/>
      <c r="H2507" s="1"/>
      <c r="I2507" s="1"/>
      <c r="J2507" s="1"/>
      <c r="K2507" s="1"/>
      <c r="L2507" s="1"/>
      <c r="M2507" s="1"/>
      <c r="N2507" s="1"/>
      <c r="O2507" s="1"/>
      <c r="P2507" s="1"/>
      <c r="Q2507" s="1"/>
      <c r="R2507" s="1"/>
      <c r="S2507" s="1"/>
      <c r="T2507" s="1"/>
      <c r="U2507" s="1"/>
      <c r="V2507" s="1"/>
      <c r="W2507" s="1"/>
      <c r="X2507" s="1"/>
      <c r="Y2507" s="1"/>
      <c r="Z2507" s="1"/>
      <c r="AA2507" s="1"/>
      <c r="AB2507" s="1"/>
      <c r="AC2507" s="1"/>
      <c r="AD2507" s="1"/>
      <c r="AE2507" s="1"/>
      <c r="AF2507" s="1"/>
      <c r="AG2507" s="1"/>
      <c r="AH2507" s="1"/>
    </row>
    <row r="2508" spans="1:34" ht="12.5">
      <c r="A2508" s="1"/>
      <c r="B2508" s="1"/>
      <c r="C2508" s="1"/>
      <c r="D2508" s="1"/>
      <c r="E2508" s="1"/>
      <c r="F2508" s="1"/>
      <c r="G2508" s="1"/>
      <c r="H2508" s="1"/>
      <c r="I2508" s="1"/>
      <c r="J2508" s="1"/>
      <c r="K2508" s="1"/>
      <c r="L2508" s="1"/>
      <c r="M2508" s="1"/>
      <c r="N2508" s="1"/>
      <c r="O2508" s="1"/>
      <c r="P2508" s="1"/>
      <c r="Q2508" s="1"/>
      <c r="R2508" s="1"/>
      <c r="S2508" s="1"/>
      <c r="T2508" s="1"/>
      <c r="U2508" s="1"/>
      <c r="V2508" s="1"/>
      <c r="W2508" s="1"/>
      <c r="X2508" s="1"/>
      <c r="Y2508" s="1"/>
      <c r="Z2508" s="1"/>
      <c r="AA2508" s="1"/>
      <c r="AB2508" s="1"/>
      <c r="AC2508" s="1"/>
      <c r="AD2508" s="1"/>
      <c r="AE2508" s="1"/>
      <c r="AF2508" s="1"/>
      <c r="AG2508" s="1"/>
      <c r="AH2508" s="1"/>
    </row>
    <row r="2509" spans="1:34" ht="12.5">
      <c r="A2509" s="1"/>
      <c r="B2509" s="1"/>
      <c r="C2509" s="1"/>
      <c r="D2509" s="1"/>
      <c r="E2509" s="1"/>
      <c r="F2509" s="1"/>
      <c r="G2509" s="1"/>
      <c r="H2509" s="1"/>
      <c r="I2509" s="1"/>
      <c r="J2509" s="1"/>
      <c r="K2509" s="1"/>
      <c r="L2509" s="1"/>
      <c r="M2509" s="1"/>
      <c r="N2509" s="1"/>
      <c r="O2509" s="1"/>
      <c r="P2509" s="1"/>
      <c r="Q2509" s="1"/>
      <c r="R2509" s="1"/>
      <c r="S2509" s="1"/>
      <c r="T2509" s="1"/>
      <c r="U2509" s="1"/>
      <c r="V2509" s="1"/>
      <c r="W2509" s="1"/>
      <c r="X2509" s="1"/>
      <c r="Y2509" s="1"/>
      <c r="Z2509" s="1"/>
      <c r="AA2509" s="1"/>
      <c r="AB2509" s="1"/>
      <c r="AC2509" s="1"/>
      <c r="AD2509" s="1"/>
      <c r="AE2509" s="1"/>
      <c r="AF2509" s="1"/>
      <c r="AG2509" s="1"/>
      <c r="AH2509" s="1"/>
    </row>
    <row r="2510" spans="1:34" ht="12.5">
      <c r="A2510" s="1"/>
      <c r="B2510" s="1"/>
      <c r="C2510" s="1"/>
      <c r="D2510" s="1"/>
      <c r="E2510" s="1"/>
      <c r="F2510" s="1"/>
      <c r="G2510" s="1"/>
      <c r="H2510" s="1"/>
      <c r="I2510" s="1"/>
      <c r="J2510" s="1"/>
      <c r="K2510" s="1"/>
      <c r="L2510" s="1"/>
      <c r="M2510" s="1"/>
      <c r="N2510" s="1"/>
      <c r="O2510" s="1"/>
      <c r="P2510" s="1"/>
      <c r="Q2510" s="1"/>
      <c r="R2510" s="1"/>
      <c r="S2510" s="1"/>
      <c r="T2510" s="1"/>
      <c r="U2510" s="1"/>
      <c r="V2510" s="1"/>
      <c r="W2510" s="1"/>
      <c r="X2510" s="1"/>
      <c r="Y2510" s="1"/>
      <c r="Z2510" s="1"/>
      <c r="AA2510" s="1"/>
      <c r="AB2510" s="1"/>
      <c r="AC2510" s="1"/>
      <c r="AD2510" s="1"/>
      <c r="AE2510" s="1"/>
      <c r="AF2510" s="1"/>
      <c r="AG2510" s="1"/>
      <c r="AH2510" s="1"/>
    </row>
    <row r="2511" spans="1:34" ht="12.5">
      <c r="A2511" s="1"/>
      <c r="B2511" s="1"/>
      <c r="C2511" s="1"/>
      <c r="D2511" s="1"/>
      <c r="E2511" s="1"/>
      <c r="F2511" s="1"/>
      <c r="G2511" s="1"/>
      <c r="H2511" s="1"/>
      <c r="I2511" s="1"/>
      <c r="J2511" s="1"/>
      <c r="K2511" s="1"/>
      <c r="L2511" s="1"/>
      <c r="M2511" s="1"/>
      <c r="N2511" s="1"/>
      <c r="O2511" s="1"/>
      <c r="P2511" s="1"/>
      <c r="Q2511" s="1"/>
      <c r="R2511" s="1"/>
      <c r="S2511" s="1"/>
      <c r="T2511" s="1"/>
      <c r="U2511" s="1"/>
      <c r="V2511" s="1"/>
      <c r="W2511" s="1"/>
      <c r="X2511" s="1"/>
      <c r="Y2511" s="1"/>
      <c r="Z2511" s="1"/>
      <c r="AA2511" s="1"/>
      <c r="AB2511" s="1"/>
      <c r="AC2511" s="1"/>
      <c r="AD2511" s="1"/>
      <c r="AE2511" s="1"/>
      <c r="AF2511" s="1"/>
      <c r="AG2511" s="1"/>
      <c r="AH2511" s="1"/>
    </row>
    <row r="2512" spans="1:34" ht="12.5">
      <c r="A2512" s="1"/>
      <c r="B2512" s="1"/>
      <c r="C2512" s="1"/>
      <c r="D2512" s="1"/>
      <c r="E2512" s="1"/>
      <c r="F2512" s="1"/>
      <c r="G2512" s="1"/>
      <c r="H2512" s="1"/>
      <c r="I2512" s="1"/>
      <c r="J2512" s="1"/>
      <c r="K2512" s="1"/>
      <c r="L2512" s="1"/>
      <c r="M2512" s="1"/>
      <c r="N2512" s="1"/>
      <c r="O2512" s="1"/>
      <c r="P2512" s="1"/>
      <c r="Q2512" s="1"/>
      <c r="R2512" s="1"/>
      <c r="S2512" s="1"/>
      <c r="T2512" s="1"/>
      <c r="U2512" s="1"/>
      <c r="V2512" s="1"/>
      <c r="W2512" s="1"/>
      <c r="X2512" s="1"/>
      <c r="Y2512" s="1"/>
      <c r="Z2512" s="1"/>
      <c r="AA2512" s="1"/>
      <c r="AB2512" s="1"/>
      <c r="AC2512" s="1"/>
      <c r="AD2512" s="1"/>
      <c r="AE2512" s="1"/>
      <c r="AF2512" s="1"/>
      <c r="AG2512" s="1"/>
      <c r="AH2512" s="1"/>
    </row>
    <row r="2513" spans="1:34" ht="12.5">
      <c r="A2513" s="1"/>
      <c r="B2513" s="1"/>
      <c r="C2513" s="1"/>
      <c r="D2513" s="1"/>
      <c r="E2513" s="1"/>
      <c r="F2513" s="1"/>
      <c r="G2513" s="1"/>
      <c r="H2513" s="1"/>
      <c r="I2513" s="1"/>
      <c r="J2513" s="1"/>
      <c r="K2513" s="1"/>
      <c r="L2513" s="1"/>
      <c r="M2513" s="1"/>
      <c r="N2513" s="1"/>
      <c r="O2513" s="1"/>
      <c r="P2513" s="1"/>
      <c r="Q2513" s="1"/>
      <c r="R2513" s="1"/>
      <c r="S2513" s="1"/>
      <c r="T2513" s="1"/>
      <c r="U2513" s="1"/>
      <c r="V2513" s="1"/>
      <c r="W2513" s="1"/>
      <c r="X2513" s="1"/>
      <c r="Y2513" s="1"/>
      <c r="Z2513" s="1"/>
      <c r="AA2513" s="1"/>
      <c r="AB2513" s="1"/>
      <c r="AC2513" s="1"/>
      <c r="AD2513" s="1"/>
      <c r="AE2513" s="1"/>
      <c r="AF2513" s="1"/>
      <c r="AG2513" s="1"/>
      <c r="AH2513" s="1"/>
    </row>
    <row r="2514" spans="1:34" ht="12.5">
      <c r="A2514" s="1"/>
      <c r="B2514" s="1"/>
      <c r="C2514" s="1"/>
      <c r="D2514" s="1"/>
      <c r="E2514" s="1"/>
      <c r="F2514" s="1"/>
      <c r="G2514" s="1"/>
      <c r="H2514" s="1"/>
      <c r="I2514" s="1"/>
      <c r="J2514" s="1"/>
      <c r="K2514" s="1"/>
      <c r="L2514" s="1"/>
      <c r="M2514" s="1"/>
      <c r="N2514" s="1"/>
      <c r="O2514" s="1"/>
      <c r="P2514" s="1"/>
      <c r="Q2514" s="1"/>
      <c r="R2514" s="1"/>
      <c r="S2514" s="1"/>
      <c r="T2514" s="1"/>
      <c r="U2514" s="1"/>
      <c r="V2514" s="1"/>
      <c r="W2514" s="1"/>
      <c r="X2514" s="1"/>
      <c r="Y2514" s="1"/>
      <c r="Z2514" s="1"/>
      <c r="AA2514" s="1"/>
      <c r="AB2514" s="1"/>
      <c r="AC2514" s="1"/>
      <c r="AD2514" s="1"/>
      <c r="AE2514" s="1"/>
      <c r="AF2514" s="1"/>
      <c r="AG2514" s="1"/>
      <c r="AH2514" s="1"/>
    </row>
    <row r="2515" spans="1:34" ht="12.5">
      <c r="A2515" s="1"/>
      <c r="B2515" s="1"/>
      <c r="C2515" s="1"/>
      <c r="D2515" s="1"/>
      <c r="E2515" s="1"/>
      <c r="F2515" s="1"/>
      <c r="G2515" s="1"/>
      <c r="H2515" s="1"/>
      <c r="I2515" s="1"/>
      <c r="J2515" s="1"/>
      <c r="K2515" s="1"/>
      <c r="L2515" s="1"/>
      <c r="M2515" s="1"/>
      <c r="N2515" s="1"/>
      <c r="O2515" s="1"/>
      <c r="P2515" s="1"/>
      <c r="Q2515" s="1"/>
      <c r="R2515" s="1"/>
      <c r="S2515" s="1"/>
      <c r="T2515" s="1"/>
      <c r="U2515" s="1"/>
      <c r="V2515" s="1"/>
      <c r="W2515" s="1"/>
      <c r="X2515" s="1"/>
      <c r="Y2515" s="1"/>
      <c r="Z2515" s="1"/>
      <c r="AA2515" s="1"/>
      <c r="AB2515" s="1"/>
      <c r="AC2515" s="1"/>
      <c r="AD2515" s="1"/>
      <c r="AE2515" s="1"/>
      <c r="AF2515" s="1"/>
      <c r="AG2515" s="1"/>
      <c r="AH2515" s="1"/>
    </row>
    <row r="2516" spans="1:34" ht="12.5">
      <c r="A2516" s="1"/>
      <c r="B2516" s="1"/>
      <c r="C2516" s="1"/>
      <c r="D2516" s="1"/>
      <c r="E2516" s="1"/>
      <c r="F2516" s="1"/>
      <c r="G2516" s="1"/>
      <c r="H2516" s="1"/>
      <c r="I2516" s="1"/>
      <c r="J2516" s="1"/>
      <c r="K2516" s="1"/>
      <c r="L2516" s="1"/>
      <c r="M2516" s="1"/>
      <c r="N2516" s="1"/>
      <c r="O2516" s="1"/>
      <c r="P2516" s="1"/>
      <c r="Q2516" s="1"/>
      <c r="R2516" s="1"/>
      <c r="S2516" s="1"/>
      <c r="T2516" s="1"/>
      <c r="U2516" s="1"/>
      <c r="V2516" s="1"/>
      <c r="W2516" s="1"/>
      <c r="X2516" s="1"/>
      <c r="Y2516" s="1"/>
      <c r="Z2516" s="1"/>
      <c r="AA2516" s="1"/>
      <c r="AB2516" s="1"/>
      <c r="AC2516" s="1"/>
      <c r="AD2516" s="1"/>
      <c r="AE2516" s="1"/>
      <c r="AF2516" s="1"/>
      <c r="AG2516" s="1"/>
      <c r="AH2516" s="1"/>
    </row>
    <row r="2517" spans="1:34" ht="12.5">
      <c r="A2517" s="1"/>
      <c r="B2517" s="1"/>
      <c r="C2517" s="1"/>
      <c r="D2517" s="1"/>
      <c r="E2517" s="1"/>
      <c r="F2517" s="1"/>
      <c r="G2517" s="1"/>
      <c r="H2517" s="1"/>
      <c r="I2517" s="1"/>
      <c r="J2517" s="1"/>
      <c r="K2517" s="1"/>
      <c r="L2517" s="1"/>
      <c r="M2517" s="1"/>
      <c r="N2517" s="1"/>
      <c r="O2517" s="1"/>
      <c r="P2517" s="1"/>
      <c r="Q2517" s="1"/>
      <c r="R2517" s="1"/>
      <c r="S2517" s="1"/>
      <c r="T2517" s="1"/>
      <c r="U2517" s="1"/>
      <c r="V2517" s="1"/>
      <c r="W2517" s="1"/>
      <c r="X2517" s="1"/>
      <c r="Y2517" s="1"/>
      <c r="Z2517" s="1"/>
      <c r="AA2517" s="1"/>
      <c r="AB2517" s="1"/>
      <c r="AC2517" s="1"/>
      <c r="AD2517" s="1"/>
      <c r="AE2517" s="1"/>
      <c r="AF2517" s="1"/>
      <c r="AG2517" s="1"/>
      <c r="AH2517" s="1"/>
    </row>
    <row r="2518" spans="1:34" ht="12.5">
      <c r="A2518" s="1"/>
      <c r="B2518" s="1"/>
      <c r="C2518" s="1"/>
      <c r="D2518" s="1"/>
      <c r="E2518" s="1"/>
      <c r="F2518" s="1"/>
      <c r="G2518" s="1"/>
      <c r="H2518" s="1"/>
      <c r="I2518" s="1"/>
      <c r="J2518" s="1"/>
      <c r="K2518" s="1"/>
      <c r="L2518" s="1"/>
      <c r="M2518" s="1"/>
      <c r="N2518" s="1"/>
      <c r="O2518" s="1"/>
      <c r="P2518" s="1"/>
      <c r="Q2518" s="1"/>
      <c r="R2518" s="1"/>
      <c r="S2518" s="1"/>
      <c r="T2518" s="1"/>
      <c r="U2518" s="1"/>
      <c r="V2518" s="1"/>
      <c r="W2518" s="1"/>
      <c r="X2518" s="1"/>
      <c r="Y2518" s="1"/>
      <c r="Z2518" s="1"/>
      <c r="AA2518" s="1"/>
      <c r="AB2518" s="1"/>
      <c r="AC2518" s="1"/>
      <c r="AD2518" s="1"/>
      <c r="AE2518" s="1"/>
      <c r="AF2518" s="1"/>
      <c r="AG2518" s="1"/>
      <c r="AH2518" s="1"/>
    </row>
    <row r="2519" spans="1:34" ht="12.5">
      <c r="A2519" s="1"/>
      <c r="B2519" s="1"/>
      <c r="C2519" s="1"/>
      <c r="D2519" s="1"/>
      <c r="E2519" s="1"/>
      <c r="F2519" s="1"/>
      <c r="G2519" s="1"/>
      <c r="H2519" s="1"/>
      <c r="I2519" s="1"/>
      <c r="J2519" s="1"/>
      <c r="K2519" s="1"/>
      <c r="L2519" s="1"/>
      <c r="M2519" s="1"/>
      <c r="N2519" s="1"/>
      <c r="O2519" s="1"/>
      <c r="P2519" s="1"/>
      <c r="Q2519" s="1"/>
      <c r="R2519" s="1"/>
      <c r="S2519" s="1"/>
      <c r="T2519" s="1"/>
      <c r="U2519" s="1"/>
      <c r="V2519" s="1"/>
      <c r="W2519" s="1"/>
      <c r="X2519" s="1"/>
      <c r="Y2519" s="1"/>
      <c r="Z2519" s="1"/>
      <c r="AA2519" s="1"/>
      <c r="AB2519" s="1"/>
      <c r="AC2519" s="1"/>
      <c r="AD2519" s="1"/>
      <c r="AE2519" s="1"/>
      <c r="AF2519" s="1"/>
      <c r="AG2519" s="1"/>
      <c r="AH2519" s="1"/>
    </row>
    <row r="2520" spans="1:34" ht="12.5">
      <c r="A2520" s="1"/>
      <c r="B2520" s="1"/>
      <c r="C2520" s="1"/>
      <c r="D2520" s="1"/>
      <c r="E2520" s="1"/>
      <c r="F2520" s="1"/>
      <c r="G2520" s="1"/>
      <c r="H2520" s="1"/>
      <c r="I2520" s="1"/>
      <c r="J2520" s="1"/>
      <c r="K2520" s="1"/>
      <c r="L2520" s="1"/>
      <c r="M2520" s="1"/>
      <c r="N2520" s="1"/>
      <c r="O2520" s="1"/>
      <c r="P2520" s="1"/>
      <c r="Q2520" s="1"/>
      <c r="R2520" s="1"/>
      <c r="S2520" s="1"/>
      <c r="T2520" s="1"/>
      <c r="U2520" s="1"/>
      <c r="V2520" s="1"/>
      <c r="W2520" s="1"/>
      <c r="X2520" s="1"/>
      <c r="Y2520" s="1"/>
      <c r="Z2520" s="1"/>
      <c r="AA2520" s="1"/>
      <c r="AB2520" s="1"/>
      <c r="AC2520" s="1"/>
      <c r="AD2520" s="1"/>
      <c r="AE2520" s="1"/>
      <c r="AF2520" s="1"/>
      <c r="AG2520" s="1"/>
      <c r="AH2520" s="1"/>
    </row>
    <row r="2521" spans="1:34" ht="12.5">
      <c r="A2521" s="1"/>
      <c r="B2521" s="1"/>
      <c r="C2521" s="1"/>
      <c r="D2521" s="1"/>
      <c r="E2521" s="1"/>
      <c r="F2521" s="1"/>
      <c r="G2521" s="1"/>
      <c r="H2521" s="1"/>
      <c r="I2521" s="1"/>
      <c r="J2521" s="1"/>
      <c r="K2521" s="1"/>
      <c r="L2521" s="1"/>
      <c r="M2521" s="1"/>
      <c r="N2521" s="1"/>
      <c r="O2521" s="1"/>
      <c r="P2521" s="1"/>
      <c r="Q2521" s="1"/>
      <c r="R2521" s="1"/>
      <c r="S2521" s="1"/>
      <c r="T2521" s="1"/>
      <c r="U2521" s="1"/>
      <c r="V2521" s="1"/>
      <c r="W2521" s="1"/>
      <c r="X2521" s="1"/>
      <c r="Y2521" s="1"/>
      <c r="Z2521" s="1"/>
      <c r="AA2521" s="1"/>
      <c r="AB2521" s="1"/>
      <c r="AC2521" s="1"/>
      <c r="AD2521" s="1"/>
      <c r="AE2521" s="1"/>
      <c r="AF2521" s="1"/>
      <c r="AG2521" s="1"/>
      <c r="AH2521" s="1"/>
    </row>
    <row r="2522" spans="1:34" ht="12.5">
      <c r="A2522" s="1"/>
      <c r="B2522" s="1"/>
      <c r="C2522" s="1"/>
      <c r="D2522" s="1"/>
      <c r="E2522" s="1"/>
      <c r="F2522" s="1"/>
      <c r="G2522" s="1"/>
      <c r="H2522" s="1"/>
      <c r="I2522" s="1"/>
      <c r="J2522" s="1"/>
      <c r="K2522" s="1"/>
      <c r="L2522" s="1"/>
      <c r="M2522" s="1"/>
      <c r="N2522" s="1"/>
      <c r="O2522" s="1"/>
      <c r="P2522" s="1"/>
      <c r="Q2522" s="1"/>
      <c r="R2522" s="1"/>
      <c r="S2522" s="1"/>
      <c r="T2522" s="1"/>
      <c r="U2522" s="1"/>
      <c r="V2522" s="1"/>
      <c r="W2522" s="1"/>
      <c r="X2522" s="1"/>
      <c r="Y2522" s="1"/>
      <c r="Z2522" s="1"/>
      <c r="AA2522" s="1"/>
      <c r="AB2522" s="1"/>
      <c r="AC2522" s="1"/>
      <c r="AD2522" s="1"/>
      <c r="AE2522" s="1"/>
      <c r="AF2522" s="1"/>
      <c r="AG2522" s="1"/>
      <c r="AH2522" s="1"/>
    </row>
    <row r="2523" spans="1:34" ht="12.5">
      <c r="A2523" s="1"/>
      <c r="B2523" s="1"/>
      <c r="C2523" s="1"/>
      <c r="D2523" s="1"/>
      <c r="E2523" s="1"/>
      <c r="F2523" s="1"/>
      <c r="G2523" s="1"/>
      <c r="H2523" s="1"/>
      <c r="I2523" s="1"/>
      <c r="J2523" s="1"/>
      <c r="K2523" s="1"/>
      <c r="L2523" s="1"/>
      <c r="M2523" s="1"/>
      <c r="N2523" s="1"/>
      <c r="O2523" s="1"/>
      <c r="P2523" s="1"/>
      <c r="Q2523" s="1"/>
      <c r="R2523" s="1"/>
      <c r="S2523" s="1"/>
      <c r="T2523" s="1"/>
      <c r="U2523" s="1"/>
      <c r="V2523" s="1"/>
      <c r="W2523" s="1"/>
      <c r="X2523" s="1"/>
      <c r="Y2523" s="1"/>
      <c r="Z2523" s="1"/>
      <c r="AA2523" s="1"/>
      <c r="AB2523" s="1"/>
      <c r="AC2523" s="1"/>
      <c r="AD2523" s="1"/>
      <c r="AE2523" s="1"/>
      <c r="AF2523" s="1"/>
      <c r="AG2523" s="1"/>
      <c r="AH2523" s="1"/>
    </row>
    <row r="2524" spans="1:34" ht="12.5">
      <c r="A2524" s="1"/>
      <c r="B2524" s="1"/>
      <c r="C2524" s="1"/>
      <c r="D2524" s="1"/>
      <c r="E2524" s="1"/>
      <c r="F2524" s="1"/>
      <c r="G2524" s="1"/>
      <c r="H2524" s="1"/>
      <c r="I2524" s="1"/>
      <c r="J2524" s="1"/>
      <c r="K2524" s="1"/>
      <c r="L2524" s="1"/>
      <c r="M2524" s="1"/>
      <c r="N2524" s="1"/>
      <c r="O2524" s="1"/>
      <c r="P2524" s="1"/>
      <c r="Q2524" s="1"/>
      <c r="R2524" s="1"/>
      <c r="S2524" s="1"/>
      <c r="T2524" s="1"/>
      <c r="U2524" s="1"/>
      <c r="V2524" s="1"/>
      <c r="W2524" s="1"/>
      <c r="X2524" s="1"/>
      <c r="Y2524" s="1"/>
      <c r="Z2524" s="1"/>
      <c r="AA2524" s="1"/>
      <c r="AB2524" s="1"/>
      <c r="AC2524" s="1"/>
      <c r="AD2524" s="1"/>
      <c r="AE2524" s="1"/>
      <c r="AF2524" s="1"/>
      <c r="AG2524" s="1"/>
      <c r="AH2524" s="1"/>
    </row>
    <row r="2525" spans="1:34" ht="12.5">
      <c r="A2525" s="1"/>
      <c r="B2525" s="1"/>
      <c r="C2525" s="1"/>
      <c r="D2525" s="1"/>
      <c r="E2525" s="1"/>
      <c r="F2525" s="1"/>
      <c r="G2525" s="1"/>
      <c r="H2525" s="1"/>
      <c r="I2525" s="1"/>
      <c r="J2525" s="1"/>
      <c r="K2525" s="1"/>
      <c r="L2525" s="1"/>
      <c r="M2525" s="1"/>
      <c r="N2525" s="1"/>
      <c r="O2525" s="1"/>
      <c r="P2525" s="1"/>
      <c r="Q2525" s="1"/>
      <c r="R2525" s="1"/>
      <c r="S2525" s="1"/>
      <c r="T2525" s="1"/>
      <c r="U2525" s="1"/>
      <c r="V2525" s="1"/>
      <c r="W2525" s="1"/>
      <c r="X2525" s="1"/>
      <c r="Y2525" s="1"/>
      <c r="Z2525" s="1"/>
      <c r="AA2525" s="1"/>
      <c r="AB2525" s="1"/>
      <c r="AC2525" s="1"/>
      <c r="AD2525" s="1"/>
      <c r="AE2525" s="1"/>
      <c r="AF2525" s="1"/>
      <c r="AG2525" s="1"/>
      <c r="AH2525" s="1"/>
    </row>
    <row r="2526" spans="1:34" ht="12.5">
      <c r="A2526" s="1"/>
      <c r="B2526" s="1"/>
      <c r="C2526" s="1"/>
      <c r="D2526" s="1"/>
      <c r="E2526" s="1"/>
      <c r="F2526" s="1"/>
      <c r="G2526" s="1"/>
      <c r="H2526" s="1"/>
      <c r="I2526" s="1"/>
      <c r="J2526" s="1"/>
      <c r="K2526" s="1"/>
      <c r="L2526" s="1"/>
      <c r="M2526" s="1"/>
      <c r="N2526" s="1"/>
      <c r="O2526" s="1"/>
      <c r="P2526" s="1"/>
      <c r="Q2526" s="1"/>
      <c r="R2526" s="1"/>
      <c r="S2526" s="1"/>
      <c r="T2526" s="1"/>
      <c r="U2526" s="1"/>
      <c r="V2526" s="1"/>
      <c r="W2526" s="1"/>
      <c r="X2526" s="1"/>
      <c r="Y2526" s="1"/>
      <c r="Z2526" s="1"/>
      <c r="AA2526" s="1"/>
      <c r="AB2526" s="1"/>
      <c r="AC2526" s="1"/>
      <c r="AD2526" s="1"/>
      <c r="AE2526" s="1"/>
      <c r="AF2526" s="1"/>
      <c r="AG2526" s="1"/>
      <c r="AH2526" s="1"/>
    </row>
    <row r="2527" spans="1:34" ht="12.5">
      <c r="A2527" s="1"/>
      <c r="B2527" s="1"/>
      <c r="C2527" s="1"/>
      <c r="D2527" s="1"/>
      <c r="E2527" s="1"/>
      <c r="F2527" s="1"/>
      <c r="G2527" s="1"/>
      <c r="H2527" s="1"/>
      <c r="I2527" s="1"/>
      <c r="J2527" s="1"/>
      <c r="K2527" s="1"/>
      <c r="L2527" s="1"/>
      <c r="M2527" s="1"/>
      <c r="N2527" s="1"/>
      <c r="O2527" s="1"/>
      <c r="P2527" s="1"/>
      <c r="Q2527" s="1"/>
      <c r="R2527" s="1"/>
      <c r="S2527" s="1"/>
      <c r="T2527" s="1"/>
      <c r="U2527" s="1"/>
      <c r="V2527" s="1"/>
      <c r="W2527" s="1"/>
      <c r="X2527" s="1"/>
      <c r="Y2527" s="1"/>
      <c r="Z2527" s="1"/>
      <c r="AA2527" s="1"/>
      <c r="AB2527" s="1"/>
      <c r="AC2527" s="1"/>
      <c r="AD2527" s="1"/>
      <c r="AE2527" s="1"/>
      <c r="AF2527" s="1"/>
      <c r="AG2527" s="1"/>
      <c r="AH2527" s="1"/>
    </row>
    <row r="2528" spans="1:34" ht="12.5">
      <c r="A2528" s="1"/>
      <c r="B2528" s="1"/>
      <c r="C2528" s="1"/>
      <c r="D2528" s="1"/>
      <c r="E2528" s="1"/>
      <c r="F2528" s="1"/>
      <c r="G2528" s="1"/>
      <c r="H2528" s="1"/>
      <c r="I2528" s="1"/>
      <c r="J2528" s="1"/>
      <c r="K2528" s="1"/>
      <c r="L2528" s="1"/>
      <c r="M2528" s="1"/>
      <c r="N2528" s="1"/>
      <c r="O2528" s="1"/>
      <c r="P2528" s="1"/>
      <c r="Q2528" s="1"/>
      <c r="R2528" s="1"/>
      <c r="S2528" s="1"/>
      <c r="T2528" s="1"/>
      <c r="U2528" s="1"/>
      <c r="V2528" s="1"/>
      <c r="W2528" s="1"/>
      <c r="X2528" s="1"/>
      <c r="Y2528" s="1"/>
      <c r="Z2528" s="1"/>
      <c r="AA2528" s="1"/>
      <c r="AB2528" s="1"/>
      <c r="AC2528" s="1"/>
      <c r="AD2528" s="1"/>
      <c r="AE2528" s="1"/>
      <c r="AF2528" s="1"/>
      <c r="AG2528" s="1"/>
      <c r="AH2528" s="1"/>
    </row>
    <row r="2529" spans="1:34" ht="12.5">
      <c r="A2529" s="1"/>
      <c r="B2529" s="1"/>
      <c r="C2529" s="1"/>
      <c r="D2529" s="1"/>
      <c r="E2529" s="1"/>
      <c r="F2529" s="1"/>
      <c r="G2529" s="1"/>
      <c r="H2529" s="1"/>
      <c r="I2529" s="1"/>
      <c r="J2529" s="1"/>
      <c r="K2529" s="1"/>
      <c r="L2529" s="1"/>
      <c r="M2529" s="1"/>
      <c r="N2529" s="1"/>
      <c r="O2529" s="1"/>
      <c r="P2529" s="1"/>
      <c r="Q2529" s="1"/>
      <c r="R2529" s="1"/>
      <c r="S2529" s="1"/>
      <c r="T2529" s="1"/>
      <c r="U2529" s="1"/>
      <c r="V2529" s="1"/>
      <c r="W2529" s="1"/>
      <c r="X2529" s="1"/>
      <c r="Y2529" s="1"/>
      <c r="Z2529" s="1"/>
      <c r="AA2529" s="1"/>
      <c r="AB2529" s="1"/>
      <c r="AC2529" s="1"/>
      <c r="AD2529" s="1"/>
      <c r="AE2529" s="1"/>
      <c r="AF2529" s="1"/>
      <c r="AG2529" s="1"/>
      <c r="AH2529" s="1"/>
    </row>
    <row r="2530" spans="1:34" ht="12.5">
      <c r="A2530" s="1"/>
      <c r="B2530" s="1"/>
      <c r="C2530" s="1"/>
      <c r="D2530" s="1"/>
      <c r="E2530" s="1"/>
      <c r="F2530" s="1"/>
      <c r="G2530" s="1"/>
      <c r="H2530" s="1"/>
      <c r="I2530" s="1"/>
      <c r="J2530" s="1"/>
      <c r="K2530" s="1"/>
      <c r="L2530" s="1"/>
      <c r="M2530" s="1"/>
      <c r="N2530" s="1"/>
      <c r="O2530" s="1"/>
      <c r="P2530" s="1"/>
      <c r="Q2530" s="1"/>
      <c r="R2530" s="1"/>
      <c r="S2530" s="1"/>
      <c r="T2530" s="1"/>
      <c r="U2530" s="1"/>
      <c r="V2530" s="1"/>
      <c r="W2530" s="1"/>
      <c r="X2530" s="1"/>
      <c r="Y2530" s="1"/>
      <c r="Z2530" s="1"/>
      <c r="AA2530" s="1"/>
      <c r="AB2530" s="1"/>
      <c r="AC2530" s="1"/>
      <c r="AD2530" s="1"/>
      <c r="AE2530" s="1"/>
      <c r="AF2530" s="1"/>
      <c r="AG2530" s="1"/>
      <c r="AH2530" s="1"/>
    </row>
    <row r="2531" spans="1:34" ht="12.5">
      <c r="A2531" s="1"/>
      <c r="B2531" s="1"/>
      <c r="C2531" s="1"/>
      <c r="D2531" s="1"/>
      <c r="E2531" s="1"/>
      <c r="F2531" s="1"/>
      <c r="G2531" s="1"/>
      <c r="H2531" s="1"/>
      <c r="I2531" s="1"/>
      <c r="J2531" s="1"/>
      <c r="K2531" s="1"/>
      <c r="L2531" s="1"/>
      <c r="M2531" s="1"/>
      <c r="N2531" s="1"/>
      <c r="O2531" s="1"/>
      <c r="P2531" s="1"/>
      <c r="Q2531" s="1"/>
      <c r="R2531" s="1"/>
      <c r="S2531" s="1"/>
      <c r="T2531" s="1"/>
      <c r="U2531" s="1"/>
      <c r="V2531" s="1"/>
      <c r="W2531" s="1"/>
      <c r="X2531" s="1"/>
      <c r="Y2531" s="1"/>
      <c r="Z2531" s="1"/>
      <c r="AA2531" s="1"/>
      <c r="AB2531" s="1"/>
      <c r="AC2531" s="1"/>
      <c r="AD2531" s="1"/>
      <c r="AE2531" s="1"/>
      <c r="AF2531" s="1"/>
      <c r="AG2531" s="1"/>
      <c r="AH2531" s="1"/>
    </row>
    <row r="2532" spans="1:34" ht="12.5">
      <c r="A2532" s="1"/>
      <c r="B2532" s="1"/>
      <c r="C2532" s="1"/>
      <c r="D2532" s="1"/>
      <c r="E2532" s="1"/>
      <c r="F2532" s="1"/>
      <c r="G2532" s="1"/>
      <c r="H2532" s="1"/>
      <c r="I2532" s="1"/>
      <c r="J2532" s="1"/>
      <c r="K2532" s="1"/>
      <c r="L2532" s="1"/>
      <c r="M2532" s="1"/>
      <c r="N2532" s="1"/>
      <c r="O2532" s="1"/>
      <c r="P2532" s="1"/>
      <c r="Q2532" s="1"/>
      <c r="R2532" s="1"/>
      <c r="S2532" s="1"/>
      <c r="T2532" s="1"/>
      <c r="U2532" s="1"/>
      <c r="V2532" s="1"/>
      <c r="W2532" s="1"/>
      <c r="X2532" s="1"/>
      <c r="Y2532" s="1"/>
      <c r="Z2532" s="1"/>
      <c r="AA2532" s="1"/>
      <c r="AB2532" s="1"/>
      <c r="AC2532" s="1"/>
      <c r="AD2532" s="1"/>
      <c r="AE2532" s="1"/>
      <c r="AF2532" s="1"/>
      <c r="AG2532" s="1"/>
      <c r="AH2532" s="1"/>
    </row>
    <row r="2533" spans="1:34" ht="12.5">
      <c r="A2533" s="1"/>
      <c r="B2533" s="1"/>
      <c r="C2533" s="1"/>
      <c r="D2533" s="1"/>
      <c r="E2533" s="1"/>
      <c r="F2533" s="1"/>
      <c r="G2533" s="1"/>
      <c r="H2533" s="1"/>
      <c r="I2533" s="1"/>
      <c r="J2533" s="1"/>
      <c r="K2533" s="1"/>
      <c r="L2533" s="1"/>
      <c r="M2533" s="1"/>
      <c r="N2533" s="1"/>
      <c r="O2533" s="1"/>
      <c r="P2533" s="1"/>
      <c r="Q2533" s="1"/>
      <c r="R2533" s="1"/>
      <c r="S2533" s="1"/>
      <c r="T2533" s="1"/>
      <c r="U2533" s="1"/>
      <c r="V2533" s="1"/>
      <c r="W2533" s="1"/>
      <c r="X2533" s="1"/>
      <c r="Y2533" s="1"/>
      <c r="Z2533" s="1"/>
      <c r="AA2533" s="1"/>
      <c r="AB2533" s="1"/>
      <c r="AC2533" s="1"/>
      <c r="AD2533" s="1"/>
      <c r="AE2533" s="1"/>
      <c r="AF2533" s="1"/>
      <c r="AG2533" s="1"/>
      <c r="AH2533" s="1"/>
    </row>
    <row r="2534" spans="1:34" ht="12.5">
      <c r="A2534" s="1"/>
      <c r="B2534" s="1"/>
      <c r="C2534" s="1"/>
      <c r="D2534" s="1"/>
      <c r="E2534" s="1"/>
      <c r="F2534" s="1"/>
      <c r="G2534" s="1"/>
      <c r="H2534" s="1"/>
      <c r="I2534" s="1"/>
      <c r="J2534" s="1"/>
      <c r="K2534" s="1"/>
      <c r="L2534" s="1"/>
      <c r="M2534" s="1"/>
      <c r="N2534" s="1"/>
      <c r="O2534" s="1"/>
      <c r="P2534" s="1"/>
      <c r="Q2534" s="1"/>
      <c r="R2534" s="1"/>
      <c r="S2534" s="1"/>
      <c r="T2534" s="1"/>
      <c r="U2534" s="1"/>
      <c r="V2534" s="1"/>
      <c r="W2534" s="1"/>
      <c r="X2534" s="1"/>
      <c r="Y2534" s="1"/>
      <c r="Z2534" s="1"/>
      <c r="AA2534" s="1"/>
      <c r="AB2534" s="1"/>
      <c r="AC2534" s="1"/>
      <c r="AD2534" s="1"/>
      <c r="AE2534" s="1"/>
      <c r="AF2534" s="1"/>
      <c r="AG2534" s="1"/>
      <c r="AH2534" s="1"/>
    </row>
    <row r="2535" spans="1:34" ht="12.5">
      <c r="A2535" s="1"/>
      <c r="B2535" s="1"/>
      <c r="C2535" s="1"/>
      <c r="D2535" s="1"/>
      <c r="E2535" s="1"/>
      <c r="F2535" s="1"/>
      <c r="G2535" s="1"/>
      <c r="H2535" s="1"/>
      <c r="I2535" s="1"/>
      <c r="J2535" s="1"/>
      <c r="K2535" s="1"/>
      <c r="L2535" s="1"/>
      <c r="M2535" s="1"/>
      <c r="N2535" s="1"/>
      <c r="O2535" s="1"/>
      <c r="P2535" s="1"/>
      <c r="Q2535" s="1"/>
      <c r="R2535" s="1"/>
      <c r="S2535" s="1"/>
      <c r="T2535" s="1"/>
      <c r="U2535" s="1"/>
      <c r="V2535" s="1"/>
      <c r="W2535" s="1"/>
      <c r="X2535" s="1"/>
      <c r="Y2535" s="1"/>
      <c r="Z2535" s="1"/>
      <c r="AA2535" s="1"/>
      <c r="AB2535" s="1"/>
      <c r="AC2535" s="1"/>
      <c r="AD2535" s="1"/>
      <c r="AE2535" s="1"/>
      <c r="AF2535" s="1"/>
      <c r="AG2535" s="1"/>
      <c r="AH2535" s="1"/>
    </row>
    <row r="2536" spans="1:34" ht="12.5">
      <c r="A2536" s="1"/>
      <c r="B2536" s="1"/>
      <c r="C2536" s="1"/>
      <c r="D2536" s="1"/>
      <c r="E2536" s="1"/>
      <c r="F2536" s="1"/>
      <c r="G2536" s="1"/>
      <c r="H2536" s="1"/>
      <c r="I2536" s="1"/>
      <c r="J2536" s="1"/>
      <c r="K2536" s="1"/>
      <c r="L2536" s="1"/>
      <c r="M2536" s="1"/>
      <c r="N2536" s="1"/>
      <c r="O2536" s="1"/>
      <c r="P2536" s="1"/>
      <c r="Q2536" s="1"/>
      <c r="R2536" s="1"/>
      <c r="S2536" s="1"/>
      <c r="T2536" s="1"/>
      <c r="U2536" s="1"/>
      <c r="V2536" s="1"/>
      <c r="W2536" s="1"/>
      <c r="X2536" s="1"/>
      <c r="Y2536" s="1"/>
      <c r="Z2536" s="1"/>
      <c r="AA2536" s="1"/>
      <c r="AB2536" s="1"/>
      <c r="AC2536" s="1"/>
      <c r="AD2536" s="1"/>
      <c r="AE2536" s="1"/>
      <c r="AF2536" s="1"/>
      <c r="AG2536" s="1"/>
      <c r="AH2536" s="1"/>
    </row>
    <row r="2537" spans="1:34" ht="12.5">
      <c r="A2537" s="1"/>
      <c r="B2537" s="1"/>
      <c r="C2537" s="1"/>
      <c r="D2537" s="1"/>
      <c r="E2537" s="1"/>
      <c r="F2537" s="1"/>
      <c r="G2537" s="1"/>
      <c r="H2537" s="1"/>
      <c r="I2537" s="1"/>
      <c r="J2537" s="1"/>
      <c r="K2537" s="1"/>
      <c r="L2537" s="1"/>
      <c r="M2537" s="1"/>
      <c r="N2537" s="1"/>
      <c r="O2537" s="1"/>
      <c r="P2537" s="1"/>
      <c r="Q2537" s="1"/>
      <c r="R2537" s="1"/>
      <c r="S2537" s="1"/>
      <c r="T2537" s="1"/>
      <c r="U2537" s="1"/>
      <c r="V2537" s="1"/>
      <c r="W2537" s="1"/>
      <c r="X2537" s="1"/>
      <c r="Y2537" s="1"/>
      <c r="Z2537" s="1"/>
      <c r="AA2537" s="1"/>
      <c r="AB2537" s="1"/>
      <c r="AC2537" s="1"/>
      <c r="AD2537" s="1"/>
      <c r="AE2537" s="1"/>
      <c r="AF2537" s="1"/>
      <c r="AG2537" s="1"/>
      <c r="AH2537" s="1"/>
    </row>
    <row r="2538" spans="1:34" ht="12.5">
      <c r="A2538" s="1"/>
      <c r="B2538" s="1"/>
      <c r="C2538" s="1"/>
      <c r="D2538" s="1"/>
      <c r="E2538" s="1"/>
      <c r="F2538" s="1"/>
      <c r="G2538" s="1"/>
      <c r="H2538" s="1"/>
      <c r="I2538" s="1"/>
      <c r="J2538" s="1"/>
      <c r="K2538" s="1"/>
      <c r="L2538" s="1"/>
      <c r="M2538" s="1"/>
      <c r="N2538" s="1"/>
      <c r="O2538" s="1"/>
      <c r="P2538" s="1"/>
      <c r="Q2538" s="1"/>
      <c r="R2538" s="1"/>
      <c r="S2538" s="1"/>
      <c r="T2538" s="1"/>
      <c r="U2538" s="1"/>
      <c r="V2538" s="1"/>
      <c r="W2538" s="1"/>
      <c r="X2538" s="1"/>
      <c r="Y2538" s="1"/>
      <c r="Z2538" s="1"/>
      <c r="AA2538" s="1"/>
      <c r="AB2538" s="1"/>
      <c r="AC2538" s="1"/>
      <c r="AD2538" s="1"/>
      <c r="AE2538" s="1"/>
      <c r="AF2538" s="1"/>
      <c r="AG2538" s="1"/>
      <c r="AH2538" s="1"/>
    </row>
    <row r="2539" spans="1:34" ht="12.5">
      <c r="A2539" s="1"/>
      <c r="B2539" s="1"/>
      <c r="C2539" s="1"/>
      <c r="D2539" s="1"/>
      <c r="E2539" s="1"/>
      <c r="F2539" s="1"/>
      <c r="G2539" s="1"/>
      <c r="H2539" s="1"/>
      <c r="I2539" s="1"/>
      <c r="J2539" s="1"/>
      <c r="K2539" s="1"/>
      <c r="L2539" s="1"/>
      <c r="M2539" s="1"/>
      <c r="N2539" s="1"/>
      <c r="O2539" s="1"/>
      <c r="P2539" s="1"/>
      <c r="Q2539" s="1"/>
      <c r="R2539" s="1"/>
      <c r="S2539" s="1"/>
      <c r="T2539" s="1"/>
      <c r="U2539" s="1"/>
      <c r="V2539" s="1"/>
      <c r="W2539" s="1"/>
      <c r="X2539" s="1"/>
      <c r="Y2539" s="1"/>
      <c r="Z2539" s="1"/>
      <c r="AA2539" s="1"/>
      <c r="AB2539" s="1"/>
      <c r="AC2539" s="1"/>
      <c r="AD2539" s="1"/>
      <c r="AE2539" s="1"/>
      <c r="AF2539" s="1"/>
      <c r="AG2539" s="1"/>
      <c r="AH2539" s="1"/>
    </row>
    <row r="2540" spans="1:34" ht="12.5">
      <c r="A2540" s="1"/>
      <c r="B2540" s="1"/>
      <c r="C2540" s="1"/>
      <c r="D2540" s="1"/>
      <c r="E2540" s="1"/>
      <c r="F2540" s="1"/>
      <c r="G2540" s="1"/>
      <c r="H2540" s="1"/>
      <c r="I2540" s="1"/>
      <c r="J2540" s="1"/>
      <c r="K2540" s="1"/>
      <c r="L2540" s="1"/>
      <c r="M2540" s="1"/>
      <c r="N2540" s="1"/>
      <c r="O2540" s="1"/>
      <c r="P2540" s="1"/>
      <c r="Q2540" s="1"/>
      <c r="R2540" s="1"/>
      <c r="S2540" s="1"/>
      <c r="T2540" s="1"/>
      <c r="U2540" s="1"/>
      <c r="V2540" s="1"/>
      <c r="W2540" s="1"/>
      <c r="X2540" s="1"/>
      <c r="Y2540" s="1"/>
      <c r="Z2540" s="1"/>
      <c r="AA2540" s="1"/>
      <c r="AB2540" s="1"/>
      <c r="AC2540" s="1"/>
      <c r="AD2540" s="1"/>
      <c r="AE2540" s="1"/>
      <c r="AF2540" s="1"/>
      <c r="AG2540" s="1"/>
      <c r="AH2540" s="1"/>
    </row>
    <row r="2541" spans="1:34" ht="12.5">
      <c r="A2541" s="1"/>
      <c r="B2541" s="1"/>
      <c r="C2541" s="1"/>
      <c r="D2541" s="1"/>
      <c r="E2541" s="1"/>
      <c r="F2541" s="1"/>
      <c r="G2541" s="1"/>
      <c r="H2541" s="1"/>
      <c r="I2541" s="1"/>
      <c r="J2541" s="1"/>
      <c r="K2541" s="1"/>
      <c r="L2541" s="1"/>
      <c r="M2541" s="1"/>
      <c r="N2541" s="1"/>
      <c r="O2541" s="1"/>
      <c r="P2541" s="1"/>
      <c r="Q2541" s="1"/>
      <c r="R2541" s="1"/>
      <c r="S2541" s="1"/>
      <c r="T2541" s="1"/>
      <c r="U2541" s="1"/>
      <c r="V2541" s="1"/>
      <c r="W2541" s="1"/>
      <c r="X2541" s="1"/>
      <c r="Y2541" s="1"/>
      <c r="Z2541" s="1"/>
      <c r="AA2541" s="1"/>
      <c r="AB2541" s="1"/>
      <c r="AC2541" s="1"/>
      <c r="AD2541" s="1"/>
      <c r="AE2541" s="1"/>
      <c r="AF2541" s="1"/>
      <c r="AG2541" s="1"/>
      <c r="AH2541" s="1"/>
    </row>
    <row r="2542" spans="1:34" ht="12.5">
      <c r="A2542" s="1"/>
      <c r="B2542" s="1"/>
      <c r="C2542" s="1"/>
      <c r="D2542" s="1"/>
      <c r="E2542" s="1"/>
      <c r="F2542" s="1"/>
      <c r="G2542" s="1"/>
      <c r="H2542" s="1"/>
      <c r="I2542" s="1"/>
      <c r="J2542" s="1"/>
      <c r="K2542" s="1"/>
      <c r="L2542" s="1"/>
      <c r="M2542" s="1"/>
      <c r="N2542" s="1"/>
      <c r="O2542" s="1"/>
      <c r="P2542" s="1"/>
      <c r="Q2542" s="1"/>
      <c r="R2542" s="1"/>
      <c r="S2542" s="1"/>
      <c r="T2542" s="1"/>
      <c r="U2542" s="1"/>
      <c r="V2542" s="1"/>
      <c r="W2542" s="1"/>
      <c r="X2542" s="1"/>
      <c r="Y2542" s="1"/>
      <c r="Z2542" s="1"/>
      <c r="AA2542" s="1"/>
      <c r="AB2542" s="1"/>
      <c r="AC2542" s="1"/>
      <c r="AD2542" s="1"/>
      <c r="AE2542" s="1"/>
      <c r="AF2542" s="1"/>
      <c r="AG2542" s="1"/>
      <c r="AH2542" s="1"/>
    </row>
    <row r="2543" spans="1:34" ht="12.5">
      <c r="A2543" s="1"/>
      <c r="B2543" s="1"/>
      <c r="C2543" s="1"/>
      <c r="D2543" s="1"/>
      <c r="E2543" s="1"/>
      <c r="F2543" s="1"/>
      <c r="G2543" s="1"/>
      <c r="H2543" s="1"/>
      <c r="I2543" s="1"/>
      <c r="J2543" s="1"/>
      <c r="K2543" s="1"/>
      <c r="L2543" s="1"/>
      <c r="M2543" s="1"/>
      <c r="N2543" s="1"/>
      <c r="O2543" s="1"/>
      <c r="P2543" s="1"/>
      <c r="Q2543" s="1"/>
      <c r="R2543" s="1"/>
      <c r="S2543" s="1"/>
      <c r="T2543" s="1"/>
      <c r="U2543" s="1"/>
      <c r="V2543" s="1"/>
      <c r="W2543" s="1"/>
      <c r="X2543" s="1"/>
      <c r="Y2543" s="1"/>
      <c r="Z2543" s="1"/>
      <c r="AA2543" s="1"/>
      <c r="AB2543" s="1"/>
      <c r="AC2543" s="1"/>
      <c r="AD2543" s="1"/>
      <c r="AE2543" s="1"/>
      <c r="AF2543" s="1"/>
      <c r="AG2543" s="1"/>
      <c r="AH2543" s="1"/>
    </row>
    <row r="2544" spans="1:34" ht="12.5">
      <c r="A2544" s="1"/>
      <c r="B2544" s="1"/>
      <c r="C2544" s="1"/>
      <c r="D2544" s="1"/>
      <c r="E2544" s="1"/>
      <c r="F2544" s="1"/>
      <c r="G2544" s="1"/>
      <c r="H2544" s="1"/>
      <c r="I2544" s="1"/>
      <c r="J2544" s="1"/>
      <c r="K2544" s="1"/>
      <c r="L2544" s="1"/>
      <c r="M2544" s="1"/>
      <c r="N2544" s="1"/>
      <c r="O2544" s="1"/>
      <c r="P2544" s="1"/>
      <c r="Q2544" s="1"/>
      <c r="R2544" s="1"/>
      <c r="S2544" s="1"/>
      <c r="T2544" s="1"/>
      <c r="U2544" s="1"/>
      <c r="V2544" s="1"/>
      <c r="W2544" s="1"/>
      <c r="X2544" s="1"/>
      <c r="Y2544" s="1"/>
      <c r="Z2544" s="1"/>
      <c r="AA2544" s="1"/>
      <c r="AB2544" s="1"/>
      <c r="AC2544" s="1"/>
      <c r="AD2544" s="1"/>
      <c r="AE2544" s="1"/>
      <c r="AF2544" s="1"/>
      <c r="AG2544" s="1"/>
      <c r="AH2544" s="1"/>
    </row>
    <row r="2545" spans="1:34" ht="12.5">
      <c r="A2545" s="1"/>
      <c r="B2545" s="1"/>
      <c r="C2545" s="1"/>
      <c r="D2545" s="1"/>
      <c r="E2545" s="1"/>
      <c r="F2545" s="1"/>
      <c r="G2545" s="1"/>
      <c r="H2545" s="1"/>
      <c r="I2545" s="1"/>
      <c r="J2545" s="1"/>
      <c r="K2545" s="1"/>
      <c r="L2545" s="1"/>
      <c r="M2545" s="1"/>
      <c r="N2545" s="1"/>
      <c r="O2545" s="1"/>
      <c r="P2545" s="1"/>
      <c r="Q2545" s="1"/>
      <c r="R2545" s="1"/>
      <c r="S2545" s="1"/>
      <c r="T2545" s="1"/>
      <c r="U2545" s="1"/>
      <c r="V2545" s="1"/>
      <c r="W2545" s="1"/>
      <c r="X2545" s="1"/>
      <c r="Y2545" s="1"/>
      <c r="Z2545" s="1"/>
      <c r="AA2545" s="1"/>
      <c r="AB2545" s="1"/>
      <c r="AC2545" s="1"/>
      <c r="AD2545" s="1"/>
      <c r="AE2545" s="1"/>
      <c r="AF2545" s="1"/>
      <c r="AG2545" s="1"/>
      <c r="AH2545" s="1"/>
    </row>
    <row r="2546" spans="1:34" ht="12.5">
      <c r="A2546" s="1"/>
      <c r="B2546" s="1"/>
      <c r="C2546" s="1"/>
      <c r="D2546" s="1"/>
      <c r="E2546" s="1"/>
      <c r="F2546" s="1"/>
      <c r="G2546" s="1"/>
      <c r="H2546" s="1"/>
      <c r="I2546" s="1"/>
      <c r="J2546" s="1"/>
      <c r="K2546" s="1"/>
      <c r="L2546" s="1"/>
      <c r="M2546" s="1"/>
      <c r="N2546" s="1"/>
      <c r="O2546" s="1"/>
      <c r="P2546" s="1"/>
      <c r="Q2546" s="1"/>
      <c r="R2546" s="1"/>
      <c r="S2546" s="1"/>
      <c r="T2546" s="1"/>
      <c r="U2546" s="1"/>
      <c r="V2546" s="1"/>
      <c r="W2546" s="1"/>
      <c r="X2546" s="1"/>
      <c r="Y2546" s="1"/>
      <c r="Z2546" s="1"/>
      <c r="AA2546" s="1"/>
      <c r="AB2546" s="1"/>
      <c r="AC2546" s="1"/>
      <c r="AD2546" s="1"/>
      <c r="AE2546" s="1"/>
      <c r="AF2546" s="1"/>
      <c r="AG2546" s="1"/>
      <c r="AH2546" s="1"/>
    </row>
    <row r="2547" spans="1:34" ht="12.5">
      <c r="A2547" s="1"/>
      <c r="B2547" s="1"/>
      <c r="C2547" s="1"/>
      <c r="D2547" s="1"/>
      <c r="E2547" s="1"/>
      <c r="F2547" s="1"/>
      <c r="G2547" s="1"/>
      <c r="H2547" s="1"/>
      <c r="I2547" s="1"/>
      <c r="J2547" s="1"/>
      <c r="K2547" s="1"/>
      <c r="L2547" s="1"/>
      <c r="M2547" s="1"/>
      <c r="N2547" s="1"/>
      <c r="O2547" s="1"/>
      <c r="P2547" s="1"/>
      <c r="Q2547" s="1"/>
      <c r="R2547" s="1"/>
      <c r="S2547" s="1"/>
      <c r="T2547" s="1"/>
      <c r="U2547" s="1"/>
      <c r="V2547" s="1"/>
      <c r="W2547" s="1"/>
      <c r="X2547" s="1"/>
      <c r="Y2547" s="1"/>
      <c r="Z2547" s="1"/>
      <c r="AA2547" s="1"/>
      <c r="AB2547" s="1"/>
      <c r="AC2547" s="1"/>
      <c r="AD2547" s="1"/>
      <c r="AE2547" s="1"/>
      <c r="AF2547" s="1"/>
      <c r="AG2547" s="1"/>
      <c r="AH2547" s="1"/>
    </row>
    <row r="2548" spans="1:34" ht="12.5">
      <c r="A2548" s="1"/>
      <c r="B2548" s="1"/>
      <c r="C2548" s="1"/>
      <c r="D2548" s="1"/>
      <c r="E2548" s="1"/>
      <c r="F2548" s="1"/>
      <c r="G2548" s="1"/>
      <c r="H2548" s="1"/>
      <c r="I2548" s="1"/>
      <c r="J2548" s="1"/>
      <c r="K2548" s="1"/>
      <c r="L2548" s="1"/>
      <c r="M2548" s="1"/>
      <c r="N2548" s="1"/>
      <c r="O2548" s="1"/>
      <c r="P2548" s="1"/>
      <c r="Q2548" s="1"/>
      <c r="R2548" s="1"/>
      <c r="S2548" s="1"/>
      <c r="T2548" s="1"/>
      <c r="U2548" s="1"/>
      <c r="V2548" s="1"/>
      <c r="W2548" s="1"/>
      <c r="X2548" s="1"/>
      <c r="Y2548" s="1"/>
      <c r="Z2548" s="1"/>
      <c r="AA2548" s="1"/>
      <c r="AB2548" s="1"/>
      <c r="AC2548" s="1"/>
      <c r="AD2548" s="1"/>
      <c r="AE2548" s="1"/>
      <c r="AF2548" s="1"/>
      <c r="AG2548" s="1"/>
      <c r="AH2548" s="1"/>
    </row>
    <row r="2549" spans="1:34" ht="12.5">
      <c r="A2549" s="1"/>
      <c r="B2549" s="1"/>
      <c r="C2549" s="1"/>
      <c r="D2549" s="1"/>
      <c r="E2549" s="1"/>
      <c r="F2549" s="1"/>
      <c r="G2549" s="1"/>
      <c r="H2549" s="1"/>
      <c r="I2549" s="1"/>
      <c r="J2549" s="1"/>
      <c r="K2549" s="1"/>
      <c r="L2549" s="1"/>
      <c r="M2549" s="1"/>
      <c r="N2549" s="1"/>
      <c r="O2549" s="1"/>
      <c r="P2549" s="1"/>
      <c r="Q2549" s="1"/>
      <c r="R2549" s="1"/>
      <c r="S2549" s="1"/>
      <c r="T2549" s="1"/>
      <c r="U2549" s="1"/>
      <c r="V2549" s="1"/>
      <c r="W2549" s="1"/>
      <c r="X2549" s="1"/>
      <c r="Y2549" s="1"/>
      <c r="Z2549" s="1"/>
      <c r="AA2549" s="1"/>
      <c r="AB2549" s="1"/>
      <c r="AC2549" s="1"/>
      <c r="AD2549" s="1"/>
      <c r="AE2549" s="1"/>
      <c r="AF2549" s="1"/>
      <c r="AG2549" s="1"/>
      <c r="AH2549" s="1"/>
    </row>
    <row r="2550" spans="1:34" ht="12.5">
      <c r="A2550" s="1"/>
      <c r="B2550" s="1"/>
      <c r="C2550" s="1"/>
      <c r="D2550" s="1"/>
      <c r="E2550" s="1"/>
      <c r="F2550" s="1"/>
      <c r="G2550" s="1"/>
      <c r="H2550" s="1"/>
      <c r="I2550" s="1"/>
      <c r="J2550" s="1"/>
      <c r="K2550" s="1"/>
      <c r="L2550" s="1"/>
      <c r="M2550" s="1"/>
      <c r="N2550" s="1"/>
      <c r="O2550" s="1"/>
      <c r="P2550" s="1"/>
      <c r="Q2550" s="1"/>
      <c r="R2550" s="1"/>
      <c r="S2550" s="1"/>
      <c r="T2550" s="1"/>
      <c r="U2550" s="1"/>
      <c r="V2550" s="1"/>
      <c r="W2550" s="1"/>
      <c r="X2550" s="1"/>
      <c r="Y2550" s="1"/>
      <c r="Z2550" s="1"/>
      <c r="AA2550" s="1"/>
      <c r="AB2550" s="1"/>
      <c r="AC2550" s="1"/>
      <c r="AD2550" s="1"/>
      <c r="AE2550" s="1"/>
      <c r="AF2550" s="1"/>
      <c r="AG2550" s="1"/>
      <c r="AH2550" s="1"/>
    </row>
    <row r="2551" spans="1:34" ht="12.5">
      <c r="A2551" s="1"/>
      <c r="B2551" s="1"/>
      <c r="C2551" s="1"/>
      <c r="D2551" s="1"/>
      <c r="E2551" s="1"/>
      <c r="F2551" s="1"/>
      <c r="G2551" s="1"/>
      <c r="H2551" s="1"/>
      <c r="I2551" s="1"/>
      <c r="J2551" s="1"/>
      <c r="K2551" s="1"/>
      <c r="L2551" s="1"/>
      <c r="M2551" s="1"/>
      <c r="N2551" s="1"/>
      <c r="O2551" s="1"/>
      <c r="P2551" s="1"/>
      <c r="Q2551" s="1"/>
      <c r="R2551" s="1"/>
      <c r="S2551" s="1"/>
      <c r="T2551" s="1"/>
      <c r="U2551" s="1"/>
      <c r="V2551" s="1"/>
      <c r="W2551" s="1"/>
      <c r="X2551" s="1"/>
      <c r="Y2551" s="1"/>
      <c r="Z2551" s="1"/>
      <c r="AA2551" s="1"/>
      <c r="AB2551" s="1"/>
      <c r="AC2551" s="1"/>
      <c r="AD2551" s="1"/>
      <c r="AE2551" s="1"/>
      <c r="AF2551" s="1"/>
      <c r="AG2551" s="1"/>
      <c r="AH2551" s="1"/>
    </row>
    <row r="2552" spans="1:34" ht="12.5">
      <c r="A2552" s="1"/>
      <c r="B2552" s="1"/>
      <c r="C2552" s="1"/>
      <c r="D2552" s="1"/>
      <c r="E2552" s="1"/>
      <c r="F2552" s="1"/>
      <c r="G2552" s="1"/>
      <c r="H2552" s="1"/>
      <c r="I2552" s="1"/>
      <c r="J2552" s="1"/>
      <c r="K2552" s="1"/>
      <c r="L2552" s="1"/>
      <c r="M2552" s="1"/>
      <c r="N2552" s="1"/>
      <c r="O2552" s="1"/>
      <c r="P2552" s="1"/>
      <c r="Q2552" s="1"/>
      <c r="R2552" s="1"/>
      <c r="S2552" s="1"/>
      <c r="T2552" s="1"/>
      <c r="U2552" s="1"/>
      <c r="V2552" s="1"/>
      <c r="W2552" s="1"/>
      <c r="X2552" s="1"/>
      <c r="Y2552" s="1"/>
      <c r="Z2552" s="1"/>
      <c r="AA2552" s="1"/>
      <c r="AB2552" s="1"/>
      <c r="AC2552" s="1"/>
      <c r="AD2552" s="1"/>
      <c r="AE2552" s="1"/>
      <c r="AF2552" s="1"/>
      <c r="AG2552" s="1"/>
      <c r="AH2552" s="1"/>
    </row>
    <row r="2553" spans="1:34" ht="12.5">
      <c r="A2553" s="1"/>
      <c r="B2553" s="1"/>
      <c r="C2553" s="1"/>
      <c r="D2553" s="1"/>
      <c r="E2553" s="1"/>
      <c r="F2553" s="1"/>
      <c r="G2553" s="1"/>
      <c r="H2553" s="1"/>
      <c r="I2553" s="1"/>
      <c r="J2553" s="1"/>
      <c r="K2553" s="1"/>
      <c r="L2553" s="1"/>
      <c r="M2553" s="1"/>
      <c r="N2553" s="1"/>
      <c r="O2553" s="1"/>
      <c r="P2553" s="1"/>
      <c r="Q2553" s="1"/>
      <c r="R2553" s="1"/>
      <c r="S2553" s="1"/>
      <c r="T2553" s="1"/>
      <c r="U2553" s="1"/>
      <c r="V2553" s="1"/>
      <c r="W2553" s="1"/>
      <c r="X2553" s="1"/>
      <c r="Y2553" s="1"/>
      <c r="Z2553" s="1"/>
      <c r="AA2553" s="1"/>
      <c r="AB2553" s="1"/>
      <c r="AC2553" s="1"/>
      <c r="AD2553" s="1"/>
      <c r="AE2553" s="1"/>
      <c r="AF2553" s="1"/>
      <c r="AG2553" s="1"/>
      <c r="AH2553" s="1"/>
    </row>
    <row r="2554" spans="1:34" ht="12.5">
      <c r="A2554" s="1"/>
      <c r="B2554" s="1"/>
      <c r="C2554" s="1"/>
      <c r="D2554" s="1"/>
      <c r="E2554" s="1"/>
      <c r="F2554" s="1"/>
      <c r="G2554" s="1"/>
      <c r="H2554" s="1"/>
      <c r="I2554" s="1"/>
      <c r="J2554" s="1"/>
      <c r="K2554" s="1"/>
      <c r="L2554" s="1"/>
      <c r="M2554" s="1"/>
      <c r="N2554" s="1"/>
      <c r="O2554" s="1"/>
      <c r="P2554" s="1"/>
      <c r="Q2554" s="1"/>
      <c r="R2554" s="1"/>
      <c r="S2554" s="1"/>
      <c r="T2554" s="1"/>
      <c r="U2554" s="1"/>
      <c r="V2554" s="1"/>
      <c r="W2554" s="1"/>
      <c r="X2554" s="1"/>
      <c r="Y2554" s="1"/>
      <c r="Z2554" s="1"/>
      <c r="AA2554" s="1"/>
      <c r="AB2554" s="1"/>
      <c r="AC2554" s="1"/>
      <c r="AD2554" s="1"/>
      <c r="AE2554" s="1"/>
      <c r="AF2554" s="1"/>
      <c r="AG2554" s="1"/>
      <c r="AH2554" s="1"/>
    </row>
    <row r="2555" spans="1:34" ht="12.5">
      <c r="A2555" s="1"/>
      <c r="B2555" s="1"/>
      <c r="C2555" s="1"/>
      <c r="D2555" s="1"/>
      <c r="E2555" s="1"/>
      <c r="F2555" s="1"/>
      <c r="G2555" s="1"/>
      <c r="H2555" s="1"/>
      <c r="I2555" s="1"/>
      <c r="J2555" s="1"/>
      <c r="K2555" s="1"/>
      <c r="L2555" s="1"/>
      <c r="M2555" s="1"/>
      <c r="N2555" s="1"/>
      <c r="O2555" s="1"/>
      <c r="P2555" s="1"/>
      <c r="Q2555" s="1"/>
      <c r="R2555" s="1"/>
      <c r="S2555" s="1"/>
      <c r="T2555" s="1"/>
      <c r="U2555" s="1"/>
      <c r="V2555" s="1"/>
      <c r="W2555" s="1"/>
      <c r="X2555" s="1"/>
      <c r="Y2555" s="1"/>
      <c r="Z2555" s="1"/>
      <c r="AA2555" s="1"/>
      <c r="AB2555" s="1"/>
      <c r="AC2555" s="1"/>
      <c r="AD2555" s="1"/>
      <c r="AE2555" s="1"/>
      <c r="AF2555" s="1"/>
      <c r="AG2555" s="1"/>
      <c r="AH2555" s="1"/>
    </row>
    <row r="2556" spans="1:34" ht="12.5">
      <c r="A2556" s="1"/>
      <c r="B2556" s="1"/>
      <c r="C2556" s="1"/>
      <c r="D2556" s="1"/>
      <c r="E2556" s="1"/>
      <c r="F2556" s="1"/>
      <c r="G2556" s="1"/>
      <c r="H2556" s="1"/>
      <c r="I2556" s="1"/>
      <c r="J2556" s="1"/>
      <c r="K2556" s="1"/>
      <c r="L2556" s="1"/>
      <c r="M2556" s="1"/>
      <c r="N2556" s="1"/>
      <c r="O2556" s="1"/>
      <c r="P2556" s="1"/>
      <c r="Q2556" s="1"/>
      <c r="R2556" s="1"/>
      <c r="S2556" s="1"/>
      <c r="T2556" s="1"/>
      <c r="U2556" s="1"/>
      <c r="V2556" s="1"/>
      <c r="W2556" s="1"/>
      <c r="X2556" s="1"/>
      <c r="Y2556" s="1"/>
      <c r="Z2556" s="1"/>
      <c r="AA2556" s="1"/>
      <c r="AB2556" s="1"/>
      <c r="AC2556" s="1"/>
      <c r="AD2556" s="1"/>
      <c r="AE2556" s="1"/>
      <c r="AF2556" s="1"/>
      <c r="AG2556" s="1"/>
      <c r="AH2556" s="1"/>
    </row>
    <row r="2557" spans="1:34" ht="12.5">
      <c r="A2557" s="1"/>
      <c r="B2557" s="1"/>
      <c r="C2557" s="1"/>
      <c r="D2557" s="1"/>
      <c r="E2557" s="1"/>
      <c r="F2557" s="1"/>
      <c r="G2557" s="1"/>
      <c r="H2557" s="1"/>
      <c r="I2557" s="1"/>
      <c r="J2557" s="1"/>
      <c r="K2557" s="1"/>
      <c r="L2557" s="1"/>
      <c r="M2557" s="1"/>
      <c r="N2557" s="1"/>
      <c r="O2557" s="1"/>
      <c r="P2557" s="1"/>
      <c r="Q2557" s="1"/>
      <c r="R2557" s="1"/>
      <c r="S2557" s="1"/>
      <c r="T2557" s="1"/>
      <c r="U2557" s="1"/>
      <c r="V2557" s="1"/>
      <c r="W2557" s="1"/>
      <c r="X2557" s="1"/>
      <c r="Y2557" s="1"/>
      <c r="Z2557" s="1"/>
      <c r="AA2557" s="1"/>
      <c r="AB2557" s="1"/>
      <c r="AC2557" s="1"/>
      <c r="AD2557" s="1"/>
      <c r="AE2557" s="1"/>
      <c r="AF2557" s="1"/>
      <c r="AG2557" s="1"/>
      <c r="AH2557" s="1"/>
    </row>
    <row r="2558" spans="1:34" ht="12.5">
      <c r="A2558" s="1"/>
      <c r="B2558" s="1"/>
      <c r="C2558" s="1"/>
      <c r="D2558" s="1"/>
      <c r="E2558" s="1"/>
      <c r="F2558" s="1"/>
      <c r="G2558" s="1"/>
      <c r="H2558" s="1"/>
      <c r="I2558" s="1"/>
      <c r="J2558" s="1"/>
      <c r="K2558" s="1"/>
      <c r="L2558" s="1"/>
      <c r="M2558" s="1"/>
      <c r="N2558" s="1"/>
      <c r="O2558" s="1"/>
      <c r="P2558" s="1"/>
      <c r="Q2558" s="1"/>
      <c r="R2558" s="1"/>
      <c r="S2558" s="1"/>
      <c r="T2558" s="1"/>
      <c r="U2558" s="1"/>
      <c r="V2558" s="1"/>
      <c r="W2558" s="1"/>
      <c r="X2558" s="1"/>
      <c r="Y2558" s="1"/>
      <c r="Z2558" s="1"/>
      <c r="AA2558" s="1"/>
      <c r="AB2558" s="1"/>
      <c r="AC2558" s="1"/>
      <c r="AD2558" s="1"/>
      <c r="AE2558" s="1"/>
      <c r="AF2558" s="1"/>
      <c r="AG2558" s="1"/>
      <c r="AH2558" s="1"/>
    </row>
    <row r="2559" spans="1:34" ht="12.5">
      <c r="A2559" s="1"/>
      <c r="B2559" s="1"/>
      <c r="C2559" s="1"/>
      <c r="D2559" s="1"/>
      <c r="E2559" s="1"/>
      <c r="F2559" s="1"/>
      <c r="G2559" s="1"/>
      <c r="H2559" s="1"/>
      <c r="I2559" s="1"/>
      <c r="J2559" s="1"/>
      <c r="K2559" s="1"/>
      <c r="L2559" s="1"/>
      <c r="M2559" s="1"/>
      <c r="N2559" s="1"/>
      <c r="O2559" s="1"/>
      <c r="P2559" s="1"/>
      <c r="Q2559" s="1"/>
      <c r="R2559" s="1"/>
      <c r="S2559" s="1"/>
      <c r="T2559" s="1"/>
      <c r="U2559" s="1"/>
      <c r="V2559" s="1"/>
      <c r="W2559" s="1"/>
      <c r="X2559" s="1"/>
      <c r="Y2559" s="1"/>
      <c r="Z2559" s="1"/>
      <c r="AA2559" s="1"/>
      <c r="AB2559" s="1"/>
      <c r="AC2559" s="1"/>
      <c r="AD2559" s="1"/>
      <c r="AE2559" s="1"/>
      <c r="AF2559" s="1"/>
      <c r="AG2559" s="1"/>
      <c r="AH2559" s="1"/>
    </row>
    <row r="2560" spans="1:34" ht="12.5">
      <c r="A2560" s="1"/>
      <c r="B2560" s="1"/>
      <c r="C2560" s="1"/>
      <c r="D2560" s="1"/>
      <c r="E2560" s="1"/>
      <c r="F2560" s="1"/>
      <c r="G2560" s="1"/>
      <c r="H2560" s="1"/>
      <c r="I2560" s="1"/>
      <c r="J2560" s="1"/>
      <c r="K2560" s="1"/>
      <c r="L2560" s="1"/>
      <c r="M2560" s="1"/>
      <c r="N2560" s="1"/>
      <c r="O2560" s="1"/>
      <c r="P2560" s="1"/>
      <c r="Q2560" s="1"/>
      <c r="R2560" s="1"/>
      <c r="S2560" s="1"/>
      <c r="T2560" s="1"/>
      <c r="U2560" s="1"/>
      <c r="V2560" s="1"/>
      <c r="W2560" s="1"/>
      <c r="X2560" s="1"/>
      <c r="Y2560" s="1"/>
      <c r="Z2560" s="1"/>
      <c r="AA2560" s="1"/>
      <c r="AB2560" s="1"/>
      <c r="AC2560" s="1"/>
      <c r="AD2560" s="1"/>
      <c r="AE2560" s="1"/>
      <c r="AF2560" s="1"/>
      <c r="AG2560" s="1"/>
      <c r="AH2560" s="1"/>
    </row>
    <row r="2561" spans="1:34" ht="12.5">
      <c r="A2561" s="1"/>
      <c r="B2561" s="1"/>
      <c r="C2561" s="1"/>
      <c r="D2561" s="1"/>
      <c r="E2561" s="1"/>
      <c r="F2561" s="1"/>
      <c r="G2561" s="1"/>
      <c r="H2561" s="1"/>
      <c r="I2561" s="1"/>
      <c r="J2561" s="1"/>
      <c r="K2561" s="1"/>
      <c r="L2561" s="1"/>
      <c r="M2561" s="1"/>
      <c r="N2561" s="1"/>
      <c r="O2561" s="1"/>
      <c r="P2561" s="1"/>
      <c r="Q2561" s="1"/>
      <c r="R2561" s="1"/>
      <c r="S2561" s="1"/>
      <c r="T2561" s="1"/>
      <c r="U2561" s="1"/>
      <c r="V2561" s="1"/>
      <c r="W2561" s="1"/>
      <c r="X2561" s="1"/>
      <c r="Y2561" s="1"/>
      <c r="Z2561" s="1"/>
      <c r="AA2561" s="1"/>
      <c r="AB2561" s="1"/>
      <c r="AC2561" s="1"/>
      <c r="AD2561" s="1"/>
      <c r="AE2561" s="1"/>
      <c r="AF2561" s="1"/>
      <c r="AG2561" s="1"/>
      <c r="AH2561" s="1"/>
    </row>
    <row r="2562" spans="1:34" ht="12.5">
      <c r="A2562" s="1"/>
      <c r="B2562" s="1"/>
      <c r="C2562" s="1"/>
      <c r="D2562" s="1"/>
      <c r="E2562" s="1"/>
      <c r="F2562" s="1"/>
      <c r="G2562" s="1"/>
      <c r="H2562" s="1"/>
      <c r="I2562" s="1"/>
      <c r="J2562" s="1"/>
      <c r="K2562" s="1"/>
      <c r="L2562" s="1"/>
      <c r="M2562" s="1"/>
      <c r="N2562" s="1"/>
      <c r="O2562" s="1"/>
      <c r="P2562" s="1"/>
      <c r="Q2562" s="1"/>
      <c r="R2562" s="1"/>
      <c r="S2562" s="1"/>
      <c r="T2562" s="1"/>
      <c r="U2562" s="1"/>
      <c r="V2562" s="1"/>
      <c r="W2562" s="1"/>
      <c r="X2562" s="1"/>
      <c r="Y2562" s="1"/>
      <c r="Z2562" s="1"/>
      <c r="AA2562" s="1"/>
      <c r="AB2562" s="1"/>
      <c r="AC2562" s="1"/>
      <c r="AD2562" s="1"/>
      <c r="AE2562" s="1"/>
      <c r="AF2562" s="1"/>
      <c r="AG2562" s="1"/>
      <c r="AH2562" s="1"/>
    </row>
    <row r="2563" spans="1:34" ht="12.5">
      <c r="A2563" s="1"/>
      <c r="B2563" s="1"/>
      <c r="C2563" s="1"/>
      <c r="D2563" s="1"/>
      <c r="E2563" s="1"/>
      <c r="F2563" s="1"/>
      <c r="G2563" s="1"/>
      <c r="H2563" s="1"/>
      <c r="I2563" s="1"/>
      <c r="J2563" s="1"/>
      <c r="K2563" s="1"/>
      <c r="L2563" s="1"/>
      <c r="M2563" s="1"/>
      <c r="N2563" s="1"/>
      <c r="O2563" s="1"/>
      <c r="P2563" s="1"/>
      <c r="Q2563" s="1"/>
      <c r="R2563" s="1"/>
      <c r="S2563" s="1"/>
      <c r="T2563" s="1"/>
      <c r="U2563" s="1"/>
      <c r="V2563" s="1"/>
      <c r="W2563" s="1"/>
      <c r="X2563" s="1"/>
      <c r="Y2563" s="1"/>
      <c r="Z2563" s="1"/>
      <c r="AA2563" s="1"/>
      <c r="AB2563" s="1"/>
      <c r="AC2563" s="1"/>
      <c r="AD2563" s="1"/>
      <c r="AE2563" s="1"/>
      <c r="AF2563" s="1"/>
      <c r="AG2563" s="1"/>
      <c r="AH2563" s="1"/>
    </row>
    <row r="2564" spans="1:34" ht="12.5">
      <c r="A2564" s="1"/>
      <c r="B2564" s="1"/>
      <c r="C2564" s="1"/>
      <c r="D2564" s="1"/>
      <c r="E2564" s="1"/>
      <c r="F2564" s="1"/>
      <c r="G2564" s="1"/>
      <c r="H2564" s="1"/>
      <c r="I2564" s="1"/>
      <c r="J2564" s="1"/>
      <c r="K2564" s="1"/>
      <c r="L2564" s="1"/>
      <c r="M2564" s="1"/>
      <c r="N2564" s="1"/>
      <c r="O2564" s="1"/>
      <c r="P2564" s="1"/>
      <c r="Q2564" s="1"/>
      <c r="R2564" s="1"/>
      <c r="S2564" s="1"/>
      <c r="T2564" s="1"/>
      <c r="U2564" s="1"/>
      <c r="V2564" s="1"/>
      <c r="W2564" s="1"/>
      <c r="X2564" s="1"/>
      <c r="Y2564" s="1"/>
      <c r="Z2564" s="1"/>
      <c r="AA2564" s="1"/>
      <c r="AB2564" s="1"/>
      <c r="AC2564" s="1"/>
      <c r="AD2564" s="1"/>
      <c r="AE2564" s="1"/>
      <c r="AF2564" s="1"/>
      <c r="AG2564" s="1"/>
      <c r="AH2564" s="1"/>
    </row>
    <row r="2565" spans="1:34" ht="12.5">
      <c r="A2565" s="1"/>
      <c r="B2565" s="1"/>
      <c r="C2565" s="1"/>
      <c r="D2565" s="1"/>
      <c r="E2565" s="1"/>
      <c r="F2565" s="1"/>
      <c r="G2565" s="1"/>
      <c r="H2565" s="1"/>
      <c r="I2565" s="1"/>
      <c r="J2565" s="1"/>
      <c r="K2565" s="1"/>
      <c r="L2565" s="1"/>
      <c r="M2565" s="1"/>
      <c r="N2565" s="1"/>
      <c r="O2565" s="1"/>
      <c r="P2565" s="1"/>
      <c r="Q2565" s="1"/>
      <c r="R2565" s="1"/>
      <c r="S2565" s="1"/>
      <c r="T2565" s="1"/>
      <c r="U2565" s="1"/>
      <c r="V2565" s="1"/>
      <c r="W2565" s="1"/>
      <c r="X2565" s="1"/>
      <c r="Y2565" s="1"/>
      <c r="Z2565" s="1"/>
      <c r="AA2565" s="1"/>
      <c r="AB2565" s="1"/>
      <c r="AC2565" s="1"/>
      <c r="AD2565" s="1"/>
      <c r="AE2565" s="1"/>
      <c r="AF2565" s="1"/>
      <c r="AG2565" s="1"/>
      <c r="AH2565" s="1"/>
    </row>
    <row r="2566" spans="1:34" ht="12.5">
      <c r="A2566" s="1"/>
      <c r="B2566" s="1"/>
      <c r="C2566" s="1"/>
      <c r="D2566" s="1"/>
      <c r="E2566" s="1"/>
      <c r="F2566" s="1"/>
      <c r="G2566" s="1"/>
      <c r="H2566" s="1"/>
      <c r="I2566" s="1"/>
      <c r="J2566" s="1"/>
      <c r="K2566" s="1"/>
      <c r="L2566" s="1"/>
      <c r="M2566" s="1"/>
      <c r="N2566" s="1"/>
      <c r="O2566" s="1"/>
      <c r="P2566" s="1"/>
      <c r="Q2566" s="1"/>
      <c r="R2566" s="1"/>
      <c r="S2566" s="1"/>
      <c r="T2566" s="1"/>
      <c r="U2566" s="1"/>
      <c r="V2566" s="1"/>
      <c r="W2566" s="1"/>
      <c r="X2566" s="1"/>
      <c r="Y2566" s="1"/>
      <c r="Z2566" s="1"/>
      <c r="AA2566" s="1"/>
      <c r="AB2566" s="1"/>
      <c r="AC2566" s="1"/>
      <c r="AD2566" s="1"/>
      <c r="AE2566" s="1"/>
      <c r="AF2566" s="1"/>
      <c r="AG2566" s="1"/>
      <c r="AH2566" s="1"/>
    </row>
    <row r="2567" spans="1:34" ht="12.5">
      <c r="A2567" s="1"/>
      <c r="B2567" s="1"/>
      <c r="C2567" s="1"/>
      <c r="D2567" s="1"/>
      <c r="E2567" s="1"/>
      <c r="F2567" s="1"/>
      <c r="G2567" s="1"/>
      <c r="H2567" s="1"/>
      <c r="I2567" s="1"/>
      <c r="J2567" s="1"/>
      <c r="K2567" s="1"/>
      <c r="L2567" s="1"/>
      <c r="M2567" s="1"/>
      <c r="N2567" s="1"/>
      <c r="O2567" s="1"/>
      <c r="P2567" s="1"/>
      <c r="Q2567" s="1"/>
      <c r="R2567" s="1"/>
      <c r="S2567" s="1"/>
      <c r="T2567" s="1"/>
      <c r="U2567" s="1"/>
      <c r="V2567" s="1"/>
      <c r="W2567" s="1"/>
      <c r="X2567" s="1"/>
      <c r="Y2567" s="1"/>
      <c r="Z2567" s="1"/>
      <c r="AA2567" s="1"/>
      <c r="AB2567" s="1"/>
      <c r="AC2567" s="1"/>
      <c r="AD2567" s="1"/>
      <c r="AE2567" s="1"/>
      <c r="AF2567" s="1"/>
      <c r="AG2567" s="1"/>
      <c r="AH2567" s="1"/>
    </row>
    <row r="2568" spans="1:34" ht="12.5">
      <c r="A2568" s="1"/>
      <c r="B2568" s="1"/>
      <c r="C2568" s="1"/>
      <c r="D2568" s="1"/>
      <c r="E2568" s="1"/>
      <c r="F2568" s="1"/>
      <c r="G2568" s="1"/>
      <c r="H2568" s="1"/>
      <c r="I2568" s="1"/>
      <c r="J2568" s="1"/>
      <c r="K2568" s="1"/>
      <c r="L2568" s="1"/>
      <c r="M2568" s="1"/>
      <c r="N2568" s="1"/>
      <c r="O2568" s="1"/>
      <c r="P2568" s="1"/>
      <c r="Q2568" s="1"/>
      <c r="R2568" s="1"/>
      <c r="S2568" s="1"/>
      <c r="T2568" s="1"/>
      <c r="U2568" s="1"/>
      <c r="V2568" s="1"/>
      <c r="W2568" s="1"/>
      <c r="X2568" s="1"/>
      <c r="Y2568" s="1"/>
      <c r="Z2568" s="1"/>
      <c r="AA2568" s="1"/>
      <c r="AB2568" s="1"/>
      <c r="AC2568" s="1"/>
      <c r="AD2568" s="1"/>
      <c r="AE2568" s="1"/>
      <c r="AF2568" s="1"/>
      <c r="AG2568" s="1"/>
      <c r="AH2568" s="1"/>
    </row>
    <row r="2569" spans="1:34" ht="12.5">
      <c r="A2569" s="1"/>
      <c r="B2569" s="1"/>
      <c r="C2569" s="1"/>
      <c r="D2569" s="1"/>
      <c r="E2569" s="1"/>
      <c r="F2569" s="1"/>
      <c r="G2569" s="1"/>
      <c r="H2569" s="1"/>
      <c r="I2569" s="1"/>
      <c r="J2569" s="1"/>
      <c r="K2569" s="1"/>
      <c r="L2569" s="1"/>
      <c r="M2569" s="1"/>
      <c r="N2569" s="1"/>
      <c r="O2569" s="1"/>
      <c r="P2569" s="1"/>
      <c r="Q2569" s="1"/>
      <c r="R2569" s="1"/>
      <c r="S2569" s="1"/>
      <c r="T2569" s="1"/>
      <c r="U2569" s="1"/>
      <c r="V2569" s="1"/>
      <c r="W2569" s="1"/>
      <c r="X2569" s="1"/>
      <c r="Y2569" s="1"/>
      <c r="Z2569" s="1"/>
      <c r="AA2569" s="1"/>
      <c r="AB2569" s="1"/>
      <c r="AC2569" s="1"/>
      <c r="AD2569" s="1"/>
      <c r="AE2569" s="1"/>
      <c r="AF2569" s="1"/>
      <c r="AG2569" s="1"/>
      <c r="AH2569" s="1"/>
    </row>
    <row r="2570" spans="1:34" ht="12.5">
      <c r="A2570" s="1"/>
      <c r="B2570" s="1"/>
      <c r="C2570" s="1"/>
      <c r="D2570" s="1"/>
      <c r="E2570" s="1"/>
      <c r="F2570" s="1"/>
      <c r="G2570" s="1"/>
      <c r="H2570" s="1"/>
      <c r="I2570" s="1"/>
      <c r="J2570" s="1"/>
      <c r="K2570" s="1"/>
      <c r="L2570" s="1"/>
      <c r="M2570" s="1"/>
      <c r="N2570" s="1"/>
      <c r="O2570" s="1"/>
      <c r="P2570" s="1"/>
      <c r="Q2570" s="1"/>
      <c r="R2570" s="1"/>
      <c r="S2570" s="1"/>
      <c r="T2570" s="1"/>
      <c r="U2570" s="1"/>
      <c r="V2570" s="1"/>
      <c r="W2570" s="1"/>
      <c r="X2570" s="1"/>
      <c r="Y2570" s="1"/>
      <c r="Z2570" s="1"/>
      <c r="AA2570" s="1"/>
      <c r="AB2570" s="1"/>
      <c r="AC2570" s="1"/>
      <c r="AD2570" s="1"/>
      <c r="AE2570" s="1"/>
      <c r="AF2570" s="1"/>
      <c r="AG2570" s="1"/>
      <c r="AH2570" s="1"/>
    </row>
    <row r="2571" spans="1:34" ht="12.5">
      <c r="A2571" s="1"/>
      <c r="B2571" s="1"/>
      <c r="C2571" s="1"/>
      <c r="D2571" s="1"/>
      <c r="E2571" s="1"/>
      <c r="F2571" s="1"/>
      <c r="G2571" s="1"/>
      <c r="H2571" s="1"/>
      <c r="I2571" s="1"/>
      <c r="J2571" s="1"/>
      <c r="K2571" s="1"/>
      <c r="L2571" s="1"/>
      <c r="M2571" s="1"/>
      <c r="N2571" s="1"/>
      <c r="O2571" s="1"/>
      <c r="P2571" s="1"/>
      <c r="Q2571" s="1"/>
      <c r="R2571" s="1"/>
      <c r="S2571" s="1"/>
      <c r="T2571" s="1"/>
      <c r="U2571" s="1"/>
      <c r="V2571" s="1"/>
      <c r="W2571" s="1"/>
      <c r="X2571" s="1"/>
      <c r="Y2571" s="1"/>
      <c r="Z2571" s="1"/>
      <c r="AA2571" s="1"/>
      <c r="AB2571" s="1"/>
      <c r="AC2571" s="1"/>
      <c r="AD2571" s="1"/>
      <c r="AE2571" s="1"/>
      <c r="AF2571" s="1"/>
      <c r="AG2571" s="1"/>
      <c r="AH2571" s="1"/>
    </row>
    <row r="2572" spans="1:34" ht="12.5">
      <c r="A2572" s="1"/>
      <c r="B2572" s="1"/>
      <c r="C2572" s="1"/>
      <c r="D2572" s="1"/>
      <c r="E2572" s="1"/>
      <c r="F2572" s="1"/>
      <c r="G2572" s="1"/>
      <c r="H2572" s="1"/>
      <c r="I2572" s="1"/>
      <c r="J2572" s="1"/>
      <c r="K2572" s="1"/>
      <c r="L2572" s="1"/>
      <c r="M2572" s="1"/>
      <c r="N2572" s="1"/>
      <c r="O2572" s="1"/>
      <c r="P2572" s="1"/>
      <c r="Q2572" s="1"/>
      <c r="R2572" s="1"/>
      <c r="S2572" s="1"/>
      <c r="T2572" s="1"/>
      <c r="U2572" s="1"/>
      <c r="V2572" s="1"/>
      <c r="W2572" s="1"/>
      <c r="X2572" s="1"/>
      <c r="Y2572" s="1"/>
      <c r="Z2572" s="1"/>
      <c r="AA2572" s="1"/>
      <c r="AB2572" s="1"/>
      <c r="AC2572" s="1"/>
      <c r="AD2572" s="1"/>
      <c r="AE2572" s="1"/>
      <c r="AF2572" s="1"/>
      <c r="AG2572" s="1"/>
      <c r="AH2572" s="1"/>
    </row>
    <row r="2573" spans="1:34" ht="12.5">
      <c r="A2573" s="1"/>
      <c r="B2573" s="1"/>
      <c r="C2573" s="1"/>
      <c r="D2573" s="1"/>
      <c r="E2573" s="1"/>
      <c r="F2573" s="1"/>
      <c r="G2573" s="1"/>
      <c r="H2573" s="1"/>
      <c r="I2573" s="1"/>
      <c r="J2573" s="1"/>
      <c r="K2573" s="1"/>
      <c r="L2573" s="1"/>
      <c r="M2573" s="1"/>
      <c r="N2573" s="1"/>
      <c r="O2573" s="1"/>
      <c r="P2573" s="1"/>
      <c r="Q2573" s="1"/>
      <c r="R2573" s="1"/>
      <c r="S2573" s="1"/>
      <c r="T2573" s="1"/>
      <c r="U2573" s="1"/>
      <c r="V2573" s="1"/>
      <c r="W2573" s="1"/>
      <c r="X2573" s="1"/>
      <c r="Y2573" s="1"/>
      <c r="Z2573" s="1"/>
      <c r="AA2573" s="1"/>
      <c r="AB2573" s="1"/>
      <c r="AC2573" s="1"/>
      <c r="AD2573" s="1"/>
      <c r="AE2573" s="1"/>
      <c r="AF2573" s="1"/>
      <c r="AG2573" s="1"/>
      <c r="AH2573" s="1"/>
    </row>
    <row r="2574" spans="1:34" ht="12.5">
      <c r="A2574" s="1"/>
      <c r="B2574" s="1"/>
      <c r="C2574" s="1"/>
      <c r="D2574" s="1"/>
      <c r="E2574" s="1"/>
      <c r="F2574" s="1"/>
      <c r="G2574" s="1"/>
      <c r="H2574" s="1"/>
      <c r="I2574" s="1"/>
      <c r="J2574" s="1"/>
      <c r="K2574" s="1"/>
      <c r="L2574" s="1"/>
      <c r="M2574" s="1"/>
      <c r="N2574" s="1"/>
      <c r="O2574" s="1"/>
      <c r="P2574" s="1"/>
      <c r="Q2574" s="1"/>
      <c r="R2574" s="1"/>
      <c r="S2574" s="1"/>
      <c r="T2574" s="1"/>
      <c r="U2574" s="1"/>
      <c r="V2574" s="1"/>
      <c r="W2574" s="1"/>
      <c r="X2574" s="1"/>
      <c r="Y2574" s="1"/>
      <c r="Z2574" s="1"/>
      <c r="AA2574" s="1"/>
      <c r="AB2574" s="1"/>
      <c r="AC2574" s="1"/>
      <c r="AD2574" s="1"/>
      <c r="AE2574" s="1"/>
      <c r="AF2574" s="1"/>
      <c r="AG2574" s="1"/>
      <c r="AH2574" s="1"/>
    </row>
    <row r="2575" spans="1:34" ht="12.5">
      <c r="A2575" s="1"/>
      <c r="B2575" s="1"/>
      <c r="C2575" s="1"/>
      <c r="D2575" s="1"/>
      <c r="E2575" s="1"/>
      <c r="F2575" s="1"/>
      <c r="G2575" s="1"/>
      <c r="H2575" s="1"/>
      <c r="I2575" s="1"/>
      <c r="J2575" s="1"/>
      <c r="K2575" s="1"/>
      <c r="L2575" s="1"/>
      <c r="M2575" s="1"/>
      <c r="N2575" s="1"/>
      <c r="O2575" s="1"/>
      <c r="P2575" s="1"/>
      <c r="Q2575" s="1"/>
      <c r="R2575" s="1"/>
      <c r="S2575" s="1"/>
      <c r="T2575" s="1"/>
      <c r="U2575" s="1"/>
      <c r="V2575" s="1"/>
      <c r="W2575" s="1"/>
      <c r="X2575" s="1"/>
      <c r="Y2575" s="1"/>
      <c r="Z2575" s="1"/>
      <c r="AA2575" s="1"/>
      <c r="AB2575" s="1"/>
      <c r="AC2575" s="1"/>
      <c r="AD2575" s="1"/>
      <c r="AE2575" s="1"/>
      <c r="AF2575" s="1"/>
      <c r="AG2575" s="1"/>
      <c r="AH2575" s="1"/>
    </row>
    <row r="2576" spans="1:34" ht="12.5">
      <c r="A2576" s="1"/>
      <c r="B2576" s="1"/>
      <c r="C2576" s="1"/>
      <c r="D2576" s="1"/>
      <c r="E2576" s="1"/>
      <c r="F2576" s="1"/>
      <c r="G2576" s="1"/>
      <c r="H2576" s="1"/>
      <c r="I2576" s="1"/>
      <c r="J2576" s="1"/>
      <c r="K2576" s="1"/>
      <c r="L2576" s="1"/>
      <c r="M2576" s="1"/>
      <c r="N2576" s="1"/>
      <c r="O2576" s="1"/>
      <c r="P2576" s="1"/>
      <c r="Q2576" s="1"/>
      <c r="R2576" s="1"/>
      <c r="S2576" s="1"/>
      <c r="T2576" s="1"/>
      <c r="U2576" s="1"/>
      <c r="V2576" s="1"/>
      <c r="W2576" s="1"/>
      <c r="X2576" s="1"/>
      <c r="Y2576" s="1"/>
      <c r="Z2576" s="1"/>
      <c r="AA2576" s="1"/>
      <c r="AB2576" s="1"/>
      <c r="AC2576" s="1"/>
      <c r="AD2576" s="1"/>
      <c r="AE2576" s="1"/>
      <c r="AF2576" s="1"/>
      <c r="AG2576" s="1"/>
      <c r="AH2576" s="1"/>
    </row>
    <row r="2577" spans="1:34" ht="12.5">
      <c r="A2577" s="1"/>
      <c r="B2577" s="1"/>
      <c r="C2577" s="1"/>
      <c r="D2577" s="1"/>
      <c r="E2577" s="1"/>
      <c r="F2577" s="1"/>
      <c r="G2577" s="1"/>
      <c r="H2577" s="1"/>
      <c r="I2577" s="1"/>
      <c r="J2577" s="1"/>
      <c r="K2577" s="1"/>
      <c r="L2577" s="1"/>
      <c r="M2577" s="1"/>
      <c r="N2577" s="1"/>
      <c r="O2577" s="1"/>
      <c r="P2577" s="1"/>
      <c r="Q2577" s="1"/>
      <c r="R2577" s="1"/>
      <c r="S2577" s="1"/>
      <c r="T2577" s="1"/>
      <c r="U2577" s="1"/>
      <c r="V2577" s="1"/>
      <c r="W2577" s="1"/>
      <c r="X2577" s="1"/>
      <c r="Y2577" s="1"/>
      <c r="Z2577" s="1"/>
      <c r="AA2577" s="1"/>
      <c r="AB2577" s="1"/>
      <c r="AC2577" s="1"/>
      <c r="AD2577" s="1"/>
      <c r="AE2577" s="1"/>
      <c r="AF2577" s="1"/>
      <c r="AG2577" s="1"/>
      <c r="AH2577" s="1"/>
    </row>
    <row r="2578" spans="1:34" ht="12.5">
      <c r="A2578" s="1"/>
      <c r="B2578" s="1"/>
      <c r="C2578" s="1"/>
      <c r="D2578" s="1"/>
      <c r="E2578" s="1"/>
      <c r="F2578" s="1"/>
      <c r="G2578" s="1"/>
      <c r="H2578" s="1"/>
      <c r="I2578" s="1"/>
      <c r="J2578" s="1"/>
      <c r="K2578" s="1"/>
      <c r="L2578" s="1"/>
      <c r="M2578" s="1"/>
      <c r="N2578" s="1"/>
      <c r="O2578" s="1"/>
      <c r="P2578" s="1"/>
      <c r="Q2578" s="1"/>
      <c r="R2578" s="1"/>
      <c r="S2578" s="1"/>
      <c r="T2578" s="1"/>
      <c r="U2578" s="1"/>
      <c r="V2578" s="1"/>
      <c r="W2578" s="1"/>
      <c r="X2578" s="1"/>
      <c r="Y2578" s="1"/>
      <c r="Z2578" s="1"/>
      <c r="AA2578" s="1"/>
      <c r="AB2578" s="1"/>
      <c r="AC2578" s="1"/>
      <c r="AD2578" s="1"/>
      <c r="AE2578" s="1"/>
      <c r="AF2578" s="1"/>
      <c r="AG2578" s="1"/>
      <c r="AH2578" s="1"/>
    </row>
    <row r="2579" spans="1:34" ht="12.5">
      <c r="A2579" s="1"/>
      <c r="B2579" s="1"/>
      <c r="C2579" s="1"/>
      <c r="D2579" s="1"/>
      <c r="E2579" s="1"/>
      <c r="F2579" s="1"/>
      <c r="G2579" s="1"/>
      <c r="H2579" s="1"/>
      <c r="I2579" s="1"/>
      <c r="J2579" s="1"/>
      <c r="K2579" s="1"/>
      <c r="L2579" s="1"/>
      <c r="M2579" s="1"/>
      <c r="N2579" s="1"/>
      <c r="O2579" s="1"/>
      <c r="P2579" s="1"/>
      <c r="Q2579" s="1"/>
      <c r="R2579" s="1"/>
      <c r="S2579" s="1"/>
      <c r="T2579" s="1"/>
      <c r="U2579" s="1"/>
      <c r="V2579" s="1"/>
      <c r="W2579" s="1"/>
      <c r="X2579" s="1"/>
      <c r="Y2579" s="1"/>
      <c r="Z2579" s="1"/>
      <c r="AA2579" s="1"/>
      <c r="AB2579" s="1"/>
      <c r="AC2579" s="1"/>
      <c r="AD2579" s="1"/>
      <c r="AE2579" s="1"/>
      <c r="AF2579" s="1"/>
      <c r="AG2579" s="1"/>
      <c r="AH2579" s="1"/>
    </row>
    <row r="2580" spans="1:34" ht="12.5">
      <c r="A2580" s="1"/>
      <c r="B2580" s="1"/>
      <c r="C2580" s="1"/>
      <c r="D2580" s="1"/>
      <c r="E2580" s="1"/>
      <c r="F2580" s="1"/>
      <c r="G2580" s="1"/>
      <c r="H2580" s="1"/>
      <c r="I2580" s="1"/>
      <c r="J2580" s="1"/>
      <c r="K2580" s="1"/>
      <c r="L2580" s="1"/>
      <c r="M2580" s="1"/>
      <c r="N2580" s="1"/>
      <c r="O2580" s="1"/>
      <c r="P2580" s="1"/>
      <c r="Q2580" s="1"/>
      <c r="R2580" s="1"/>
      <c r="S2580" s="1"/>
      <c r="T2580" s="1"/>
      <c r="U2580" s="1"/>
      <c r="V2580" s="1"/>
      <c r="W2580" s="1"/>
      <c r="X2580" s="1"/>
      <c r="Y2580" s="1"/>
      <c r="Z2580" s="1"/>
      <c r="AA2580" s="1"/>
      <c r="AB2580" s="1"/>
      <c r="AC2580" s="1"/>
      <c r="AD2580" s="1"/>
      <c r="AE2580" s="1"/>
      <c r="AF2580" s="1"/>
      <c r="AG2580" s="1"/>
      <c r="AH2580" s="1"/>
    </row>
    <row r="2581" spans="1:34" ht="12.5">
      <c r="A2581" s="1"/>
      <c r="B2581" s="1"/>
      <c r="C2581" s="1"/>
      <c r="D2581" s="1"/>
      <c r="E2581" s="1"/>
      <c r="F2581" s="1"/>
      <c r="G2581" s="1"/>
      <c r="H2581" s="1"/>
      <c r="I2581" s="1"/>
      <c r="J2581" s="1"/>
      <c r="K2581" s="1"/>
      <c r="L2581" s="1"/>
      <c r="M2581" s="1"/>
      <c r="N2581" s="1"/>
      <c r="O2581" s="1"/>
      <c r="P2581" s="1"/>
      <c r="Q2581" s="1"/>
      <c r="R2581" s="1"/>
      <c r="S2581" s="1"/>
      <c r="T2581" s="1"/>
      <c r="U2581" s="1"/>
      <c r="V2581" s="1"/>
      <c r="W2581" s="1"/>
      <c r="X2581" s="1"/>
      <c r="Y2581" s="1"/>
      <c r="Z2581" s="1"/>
      <c r="AA2581" s="1"/>
      <c r="AB2581" s="1"/>
      <c r="AC2581" s="1"/>
      <c r="AD2581" s="1"/>
      <c r="AE2581" s="1"/>
      <c r="AF2581" s="1"/>
      <c r="AG2581" s="1"/>
      <c r="AH2581" s="1"/>
    </row>
    <row r="2582" spans="1:34" ht="12.5">
      <c r="A2582" s="1"/>
      <c r="B2582" s="1"/>
      <c r="C2582" s="1"/>
      <c r="D2582" s="1"/>
      <c r="E2582" s="1"/>
      <c r="F2582" s="1"/>
      <c r="G2582" s="1"/>
      <c r="H2582" s="1"/>
      <c r="I2582" s="1"/>
      <c r="J2582" s="1"/>
      <c r="K2582" s="1"/>
      <c r="L2582" s="1"/>
      <c r="M2582" s="1"/>
      <c r="N2582" s="1"/>
      <c r="O2582" s="1"/>
      <c r="P2582" s="1"/>
      <c r="Q2582" s="1"/>
      <c r="R2582" s="1"/>
      <c r="S2582" s="1"/>
      <c r="T2582" s="1"/>
      <c r="U2582" s="1"/>
      <c r="V2582" s="1"/>
      <c r="W2582" s="1"/>
      <c r="X2582" s="1"/>
      <c r="Y2582" s="1"/>
      <c r="Z2582" s="1"/>
      <c r="AA2582" s="1"/>
      <c r="AB2582" s="1"/>
      <c r="AC2582" s="1"/>
      <c r="AD2582" s="1"/>
      <c r="AE2582" s="1"/>
      <c r="AF2582" s="1"/>
      <c r="AG2582" s="1"/>
      <c r="AH2582" s="1"/>
    </row>
    <row r="2583" spans="1:34" ht="12.5">
      <c r="A2583" s="1"/>
      <c r="B2583" s="1"/>
      <c r="C2583" s="1"/>
      <c r="D2583" s="1"/>
      <c r="E2583" s="1"/>
      <c r="F2583" s="1"/>
      <c r="G2583" s="1"/>
      <c r="H2583" s="1"/>
      <c r="I2583" s="1"/>
      <c r="J2583" s="1"/>
      <c r="K2583" s="1"/>
      <c r="L2583" s="1"/>
      <c r="M2583" s="1"/>
      <c r="N2583" s="1"/>
      <c r="O2583" s="1"/>
      <c r="P2583" s="1"/>
      <c r="Q2583" s="1"/>
      <c r="R2583" s="1"/>
      <c r="S2583" s="1"/>
      <c r="T2583" s="1"/>
      <c r="U2583" s="1"/>
      <c r="V2583" s="1"/>
      <c r="W2583" s="1"/>
      <c r="X2583" s="1"/>
      <c r="Y2583" s="1"/>
      <c r="Z2583" s="1"/>
      <c r="AA2583" s="1"/>
      <c r="AB2583" s="1"/>
      <c r="AC2583" s="1"/>
      <c r="AD2583" s="1"/>
      <c r="AE2583" s="1"/>
      <c r="AF2583" s="1"/>
      <c r="AG2583" s="1"/>
      <c r="AH2583" s="1"/>
    </row>
    <row r="2584" spans="1:34" ht="12.5">
      <c r="A2584" s="1"/>
      <c r="B2584" s="1"/>
      <c r="C2584" s="1"/>
      <c r="D2584" s="1"/>
      <c r="E2584" s="1"/>
      <c r="F2584" s="1"/>
      <c r="G2584" s="1"/>
      <c r="H2584" s="1"/>
      <c r="I2584" s="1"/>
      <c r="J2584" s="1"/>
      <c r="K2584" s="1"/>
      <c r="L2584" s="1"/>
      <c r="M2584" s="1"/>
      <c r="N2584" s="1"/>
      <c r="O2584" s="1"/>
      <c r="P2584" s="1"/>
      <c r="Q2584" s="1"/>
      <c r="R2584" s="1"/>
      <c r="S2584" s="1"/>
      <c r="T2584" s="1"/>
      <c r="U2584" s="1"/>
      <c r="V2584" s="1"/>
      <c r="W2584" s="1"/>
      <c r="X2584" s="1"/>
      <c r="Y2584" s="1"/>
      <c r="Z2584" s="1"/>
      <c r="AA2584" s="1"/>
      <c r="AB2584" s="1"/>
      <c r="AC2584" s="1"/>
      <c r="AD2584" s="1"/>
      <c r="AE2584" s="1"/>
      <c r="AF2584" s="1"/>
      <c r="AG2584" s="1"/>
      <c r="AH2584" s="1"/>
    </row>
    <row r="2585" spans="1:34" ht="12.5">
      <c r="A2585" s="1"/>
      <c r="B2585" s="1"/>
      <c r="C2585" s="1"/>
      <c r="D2585" s="1"/>
      <c r="E2585" s="1"/>
      <c r="F2585" s="1"/>
      <c r="G2585" s="1"/>
      <c r="H2585" s="1"/>
      <c r="I2585" s="1"/>
      <c r="J2585" s="1"/>
      <c r="K2585" s="1"/>
      <c r="L2585" s="1"/>
      <c r="M2585" s="1"/>
      <c r="N2585" s="1"/>
      <c r="O2585" s="1"/>
      <c r="P2585" s="1"/>
      <c r="Q2585" s="1"/>
      <c r="R2585" s="1"/>
      <c r="S2585" s="1"/>
      <c r="T2585" s="1"/>
      <c r="U2585" s="1"/>
      <c r="V2585" s="1"/>
      <c r="W2585" s="1"/>
      <c r="X2585" s="1"/>
      <c r="Y2585" s="1"/>
      <c r="Z2585" s="1"/>
      <c r="AA2585" s="1"/>
      <c r="AB2585" s="1"/>
      <c r="AC2585" s="1"/>
      <c r="AD2585" s="1"/>
      <c r="AE2585" s="1"/>
      <c r="AF2585" s="1"/>
      <c r="AG2585" s="1"/>
      <c r="AH2585" s="1"/>
    </row>
    <row r="2586" spans="1:34" ht="12.5">
      <c r="A2586" s="1"/>
      <c r="B2586" s="1"/>
      <c r="C2586" s="1"/>
      <c r="D2586" s="1"/>
      <c r="E2586" s="1"/>
      <c r="F2586" s="1"/>
      <c r="G2586" s="1"/>
      <c r="H2586" s="1"/>
      <c r="I2586" s="1"/>
      <c r="J2586" s="1"/>
      <c r="K2586" s="1"/>
      <c r="L2586" s="1"/>
      <c r="M2586" s="1"/>
      <c r="N2586" s="1"/>
      <c r="O2586" s="1"/>
      <c r="P2586" s="1"/>
      <c r="Q2586" s="1"/>
      <c r="R2586" s="1"/>
      <c r="S2586" s="1"/>
      <c r="T2586" s="1"/>
      <c r="U2586" s="1"/>
      <c r="V2586" s="1"/>
      <c r="W2586" s="1"/>
      <c r="X2586" s="1"/>
      <c r="Y2586" s="1"/>
      <c r="Z2586" s="1"/>
      <c r="AA2586" s="1"/>
      <c r="AB2586" s="1"/>
      <c r="AC2586" s="1"/>
      <c r="AD2586" s="1"/>
      <c r="AE2586" s="1"/>
      <c r="AF2586" s="1"/>
      <c r="AG2586" s="1"/>
      <c r="AH2586" s="1"/>
    </row>
    <row r="2587" spans="1:34" ht="12.5">
      <c r="A2587" s="1"/>
      <c r="B2587" s="1"/>
      <c r="C2587" s="1"/>
      <c r="D2587" s="1"/>
      <c r="E2587" s="1"/>
      <c r="F2587" s="1"/>
      <c r="G2587" s="1"/>
      <c r="H2587" s="1"/>
      <c r="I2587" s="1"/>
      <c r="J2587" s="1"/>
      <c r="K2587" s="1"/>
      <c r="L2587" s="1"/>
      <c r="M2587" s="1"/>
      <c r="N2587" s="1"/>
      <c r="O2587" s="1"/>
      <c r="P2587" s="1"/>
      <c r="Q2587" s="1"/>
      <c r="R2587" s="1"/>
      <c r="S2587" s="1"/>
      <c r="T2587" s="1"/>
      <c r="U2587" s="1"/>
      <c r="V2587" s="1"/>
      <c r="W2587" s="1"/>
      <c r="X2587" s="1"/>
      <c r="Y2587" s="1"/>
      <c r="Z2587" s="1"/>
      <c r="AA2587" s="1"/>
      <c r="AB2587" s="1"/>
      <c r="AC2587" s="1"/>
      <c r="AD2587" s="1"/>
      <c r="AE2587" s="1"/>
      <c r="AF2587" s="1"/>
      <c r="AG2587" s="1"/>
      <c r="AH2587" s="1"/>
    </row>
    <row r="2588" spans="1:34" ht="12.5">
      <c r="A2588" s="1"/>
      <c r="B2588" s="1"/>
      <c r="C2588" s="1"/>
      <c r="D2588" s="1"/>
      <c r="E2588" s="1"/>
      <c r="F2588" s="1"/>
      <c r="G2588" s="1"/>
      <c r="H2588" s="1"/>
      <c r="I2588" s="1"/>
      <c r="J2588" s="1"/>
      <c r="K2588" s="1"/>
      <c r="L2588" s="1"/>
      <c r="M2588" s="1"/>
      <c r="N2588" s="1"/>
      <c r="O2588" s="1"/>
      <c r="P2588" s="1"/>
      <c r="Q2588" s="1"/>
      <c r="R2588" s="1"/>
      <c r="S2588" s="1"/>
      <c r="T2588" s="1"/>
      <c r="U2588" s="1"/>
      <c r="V2588" s="1"/>
      <c r="W2588" s="1"/>
      <c r="X2588" s="1"/>
      <c r="Y2588" s="1"/>
      <c r="Z2588" s="1"/>
      <c r="AA2588" s="1"/>
      <c r="AB2588" s="1"/>
      <c r="AC2588" s="1"/>
      <c r="AD2588" s="1"/>
      <c r="AE2588" s="1"/>
      <c r="AF2588" s="1"/>
      <c r="AG2588" s="1"/>
      <c r="AH2588" s="1"/>
    </row>
    <row r="2589" spans="1:34" ht="12.5">
      <c r="A2589" s="1"/>
      <c r="B2589" s="1"/>
      <c r="C2589" s="1"/>
      <c r="D2589" s="1"/>
      <c r="E2589" s="1"/>
      <c r="F2589" s="1"/>
      <c r="G2589" s="1"/>
      <c r="H2589" s="1"/>
      <c r="I2589" s="1"/>
      <c r="J2589" s="1"/>
      <c r="K2589" s="1"/>
      <c r="L2589" s="1"/>
      <c r="M2589" s="1"/>
      <c r="N2589" s="1"/>
      <c r="O2589" s="1"/>
      <c r="P2589" s="1"/>
      <c r="Q2589" s="1"/>
      <c r="R2589" s="1"/>
      <c r="S2589" s="1"/>
      <c r="T2589" s="1"/>
      <c r="U2589" s="1"/>
      <c r="V2589" s="1"/>
      <c r="W2589" s="1"/>
      <c r="X2589" s="1"/>
      <c r="Y2589" s="1"/>
      <c r="Z2589" s="1"/>
      <c r="AA2589" s="1"/>
      <c r="AB2589" s="1"/>
      <c r="AC2589" s="1"/>
      <c r="AD2589" s="1"/>
      <c r="AE2589" s="1"/>
      <c r="AF2589" s="1"/>
      <c r="AG2589" s="1"/>
      <c r="AH2589" s="1"/>
    </row>
    <row r="2590" spans="1:34" ht="12.5">
      <c r="A2590" s="1"/>
      <c r="B2590" s="1"/>
      <c r="C2590" s="1"/>
      <c r="D2590" s="1"/>
      <c r="E2590" s="1"/>
      <c r="F2590" s="1"/>
      <c r="G2590" s="1"/>
      <c r="H2590" s="1"/>
      <c r="I2590" s="1"/>
      <c r="J2590" s="1"/>
      <c r="K2590" s="1"/>
      <c r="L2590" s="1"/>
      <c r="M2590" s="1"/>
      <c r="N2590" s="1"/>
      <c r="O2590" s="1"/>
      <c r="P2590" s="1"/>
      <c r="Q2590" s="1"/>
      <c r="R2590" s="1"/>
      <c r="S2590" s="1"/>
      <c r="T2590" s="1"/>
      <c r="U2590" s="1"/>
      <c r="V2590" s="1"/>
      <c r="W2590" s="1"/>
      <c r="X2590" s="1"/>
      <c r="Y2590" s="1"/>
      <c r="Z2590" s="1"/>
      <c r="AA2590" s="1"/>
      <c r="AB2590" s="1"/>
      <c r="AC2590" s="1"/>
      <c r="AD2590" s="1"/>
      <c r="AE2590" s="1"/>
      <c r="AF2590" s="1"/>
      <c r="AG2590" s="1"/>
      <c r="AH2590" s="1"/>
    </row>
    <row r="2591" spans="1:34" ht="12.5">
      <c r="A2591" s="1"/>
      <c r="B2591" s="1"/>
      <c r="C2591" s="1"/>
      <c r="D2591" s="1"/>
      <c r="E2591" s="1"/>
      <c r="F2591" s="1"/>
      <c r="G2591" s="1"/>
      <c r="H2591" s="1"/>
      <c r="I2591" s="1"/>
      <c r="J2591" s="1"/>
      <c r="K2591" s="1"/>
      <c r="L2591" s="1"/>
      <c r="M2591" s="1"/>
      <c r="N2591" s="1"/>
      <c r="O2591" s="1"/>
      <c r="P2591" s="1"/>
      <c r="Q2591" s="1"/>
      <c r="R2591" s="1"/>
      <c r="S2591" s="1"/>
      <c r="T2591" s="1"/>
      <c r="U2591" s="1"/>
      <c r="V2591" s="1"/>
      <c r="W2591" s="1"/>
      <c r="X2591" s="1"/>
      <c r="Y2591" s="1"/>
      <c r="Z2591" s="1"/>
      <c r="AA2591" s="1"/>
      <c r="AB2591" s="1"/>
      <c r="AC2591" s="1"/>
      <c r="AD2591" s="1"/>
      <c r="AE2591" s="1"/>
      <c r="AF2591" s="1"/>
      <c r="AG2591" s="1"/>
      <c r="AH2591" s="1"/>
    </row>
    <row r="2592" spans="1:34" ht="12.5">
      <c r="A2592" s="1"/>
      <c r="B2592" s="1"/>
      <c r="C2592" s="1"/>
      <c r="D2592" s="1"/>
      <c r="E2592" s="1"/>
      <c r="F2592" s="1"/>
      <c r="G2592" s="1"/>
      <c r="H2592" s="1"/>
      <c r="I2592" s="1"/>
      <c r="J2592" s="1"/>
      <c r="K2592" s="1"/>
      <c r="L2592" s="1"/>
      <c r="M2592" s="1"/>
      <c r="N2592" s="1"/>
      <c r="O2592" s="1"/>
      <c r="P2592" s="1"/>
      <c r="Q2592" s="1"/>
      <c r="R2592" s="1"/>
      <c r="S2592" s="1"/>
      <c r="T2592" s="1"/>
      <c r="U2592" s="1"/>
      <c r="V2592" s="1"/>
      <c r="W2592" s="1"/>
      <c r="X2592" s="1"/>
      <c r="Y2592" s="1"/>
      <c r="Z2592" s="1"/>
      <c r="AA2592" s="1"/>
      <c r="AB2592" s="1"/>
      <c r="AC2592" s="1"/>
      <c r="AD2592" s="1"/>
      <c r="AE2592" s="1"/>
      <c r="AF2592" s="1"/>
      <c r="AG2592" s="1"/>
      <c r="AH2592" s="1"/>
    </row>
    <row r="2593" spans="1:34" ht="12.5">
      <c r="A2593" s="1"/>
      <c r="B2593" s="1"/>
      <c r="C2593" s="1"/>
      <c r="D2593" s="1"/>
      <c r="E2593" s="1"/>
      <c r="F2593" s="1"/>
      <c r="G2593" s="1"/>
      <c r="H2593" s="1"/>
      <c r="I2593" s="1"/>
      <c r="J2593" s="1"/>
      <c r="K2593" s="1"/>
      <c r="L2593" s="1"/>
      <c r="M2593" s="1"/>
      <c r="N2593" s="1"/>
      <c r="O2593" s="1"/>
      <c r="P2593" s="1"/>
      <c r="Q2593" s="1"/>
      <c r="R2593" s="1"/>
      <c r="S2593" s="1"/>
      <c r="T2593" s="1"/>
      <c r="U2593" s="1"/>
      <c r="V2593" s="1"/>
      <c r="W2593" s="1"/>
      <c r="X2593" s="1"/>
      <c r="Y2593" s="1"/>
      <c r="Z2593" s="1"/>
      <c r="AA2593" s="1"/>
      <c r="AB2593" s="1"/>
      <c r="AC2593" s="1"/>
      <c r="AD2593" s="1"/>
      <c r="AE2593" s="1"/>
      <c r="AF2593" s="1"/>
      <c r="AG2593" s="1"/>
      <c r="AH2593" s="1"/>
    </row>
    <row r="2594" spans="1:34" ht="12.5">
      <c r="A2594" s="1"/>
      <c r="B2594" s="1"/>
      <c r="C2594" s="1"/>
      <c r="D2594" s="1"/>
      <c r="E2594" s="1"/>
      <c r="F2594" s="1"/>
      <c r="G2594" s="1"/>
      <c r="H2594" s="1"/>
      <c r="I2594" s="1"/>
      <c r="J2594" s="1"/>
      <c r="K2594" s="1"/>
      <c r="L2594" s="1"/>
      <c r="M2594" s="1"/>
      <c r="N2594" s="1"/>
      <c r="O2594" s="1"/>
      <c r="P2594" s="1"/>
      <c r="Q2594" s="1"/>
      <c r="R2594" s="1"/>
      <c r="S2594" s="1"/>
      <c r="T2594" s="1"/>
      <c r="U2594" s="1"/>
      <c r="V2594" s="1"/>
      <c r="W2594" s="1"/>
      <c r="X2594" s="1"/>
      <c r="Y2594" s="1"/>
      <c r="Z2594" s="1"/>
      <c r="AA2594" s="1"/>
      <c r="AB2594" s="1"/>
      <c r="AC2594" s="1"/>
      <c r="AD2594" s="1"/>
      <c r="AE2594" s="1"/>
      <c r="AF2594" s="1"/>
      <c r="AG2594" s="1"/>
      <c r="AH2594" s="1"/>
    </row>
    <row r="2595" spans="1:34" ht="12.5">
      <c r="A2595" s="1"/>
      <c r="B2595" s="1"/>
      <c r="C2595" s="1"/>
      <c r="D2595" s="1"/>
      <c r="E2595" s="1"/>
      <c r="F2595" s="1"/>
      <c r="G2595" s="1"/>
      <c r="H2595" s="1"/>
      <c r="I2595" s="1"/>
      <c r="J2595" s="1"/>
      <c r="K2595" s="1"/>
      <c r="L2595" s="1"/>
      <c r="M2595" s="1"/>
      <c r="N2595" s="1"/>
      <c r="O2595" s="1"/>
      <c r="P2595" s="1"/>
      <c r="Q2595" s="1"/>
      <c r="R2595" s="1"/>
      <c r="S2595" s="1"/>
      <c r="T2595" s="1"/>
      <c r="U2595" s="1"/>
      <c r="V2595" s="1"/>
      <c r="W2595" s="1"/>
      <c r="X2595" s="1"/>
      <c r="Y2595" s="1"/>
      <c r="Z2595" s="1"/>
      <c r="AA2595" s="1"/>
      <c r="AB2595" s="1"/>
      <c r="AC2595" s="1"/>
      <c r="AD2595" s="1"/>
      <c r="AE2595" s="1"/>
      <c r="AF2595" s="1"/>
      <c r="AG2595" s="1"/>
      <c r="AH2595" s="1"/>
    </row>
    <row r="2596" spans="1:34" ht="12.5">
      <c r="A2596" s="1"/>
      <c r="B2596" s="1"/>
      <c r="C2596" s="1"/>
      <c r="D2596" s="1"/>
      <c r="E2596" s="1"/>
      <c r="F2596" s="1"/>
      <c r="G2596" s="1"/>
      <c r="H2596" s="1"/>
      <c r="I2596" s="1"/>
      <c r="J2596" s="1"/>
      <c r="K2596" s="1"/>
      <c r="L2596" s="1"/>
      <c r="M2596" s="1"/>
      <c r="N2596" s="1"/>
      <c r="O2596" s="1"/>
      <c r="P2596" s="1"/>
      <c r="Q2596" s="1"/>
      <c r="R2596" s="1"/>
      <c r="S2596" s="1"/>
      <c r="T2596" s="1"/>
      <c r="U2596" s="1"/>
      <c r="V2596" s="1"/>
      <c r="W2596" s="1"/>
      <c r="X2596" s="1"/>
      <c r="Y2596" s="1"/>
      <c r="Z2596" s="1"/>
      <c r="AA2596" s="1"/>
      <c r="AB2596" s="1"/>
      <c r="AC2596" s="1"/>
      <c r="AD2596" s="1"/>
      <c r="AE2596" s="1"/>
      <c r="AF2596" s="1"/>
      <c r="AG2596" s="1"/>
      <c r="AH2596" s="1"/>
    </row>
    <row r="2597" spans="1:34" ht="12.5">
      <c r="A2597" s="1"/>
      <c r="B2597" s="1"/>
      <c r="C2597" s="1"/>
      <c r="D2597" s="1"/>
      <c r="E2597" s="1"/>
      <c r="F2597" s="1"/>
      <c r="G2597" s="1"/>
      <c r="H2597" s="1"/>
      <c r="I2597" s="1"/>
      <c r="J2597" s="1"/>
      <c r="K2597" s="1"/>
      <c r="L2597" s="1"/>
      <c r="M2597" s="1"/>
      <c r="N2597" s="1"/>
      <c r="O2597" s="1"/>
      <c r="P2597" s="1"/>
      <c r="Q2597" s="1"/>
      <c r="R2597" s="1"/>
      <c r="S2597" s="1"/>
      <c r="T2597" s="1"/>
      <c r="U2597" s="1"/>
      <c r="V2597" s="1"/>
      <c r="W2597" s="1"/>
      <c r="X2597" s="1"/>
      <c r="Y2597" s="1"/>
      <c r="Z2597" s="1"/>
      <c r="AA2597" s="1"/>
      <c r="AB2597" s="1"/>
      <c r="AC2597" s="1"/>
      <c r="AD2597" s="1"/>
      <c r="AE2597" s="1"/>
      <c r="AF2597" s="1"/>
      <c r="AG2597" s="1"/>
      <c r="AH2597" s="1"/>
    </row>
    <row r="2598" spans="1:34" ht="12.5">
      <c r="A2598" s="1"/>
      <c r="B2598" s="1"/>
      <c r="C2598" s="1"/>
      <c r="D2598" s="1"/>
      <c r="E2598" s="1"/>
      <c r="F2598" s="1"/>
      <c r="G2598" s="1"/>
      <c r="H2598" s="1"/>
      <c r="I2598" s="1"/>
      <c r="J2598" s="1"/>
      <c r="K2598" s="1"/>
      <c r="L2598" s="1"/>
      <c r="M2598" s="1"/>
      <c r="N2598" s="1"/>
      <c r="O2598" s="1"/>
      <c r="P2598" s="1"/>
      <c r="Q2598" s="1"/>
      <c r="R2598" s="1"/>
      <c r="S2598" s="1"/>
      <c r="T2598" s="1"/>
      <c r="U2598" s="1"/>
      <c r="V2598" s="1"/>
      <c r="W2598" s="1"/>
      <c r="X2598" s="1"/>
      <c r="Y2598" s="1"/>
      <c r="Z2598" s="1"/>
      <c r="AA2598" s="1"/>
      <c r="AB2598" s="1"/>
      <c r="AC2598" s="1"/>
      <c r="AD2598" s="1"/>
      <c r="AE2598" s="1"/>
      <c r="AF2598" s="1"/>
      <c r="AG2598" s="1"/>
      <c r="AH2598" s="1"/>
    </row>
    <row r="2599" spans="1:34" ht="12.5">
      <c r="A2599" s="1"/>
      <c r="B2599" s="1"/>
      <c r="C2599" s="1"/>
      <c r="D2599" s="1"/>
      <c r="E2599" s="1"/>
      <c r="F2599" s="1"/>
      <c r="G2599" s="1"/>
      <c r="H2599" s="1"/>
      <c r="I2599" s="1"/>
      <c r="J2599" s="1"/>
      <c r="K2599" s="1"/>
      <c r="L2599" s="1"/>
      <c r="M2599" s="1"/>
      <c r="N2599" s="1"/>
      <c r="O2599" s="1"/>
      <c r="P2599" s="1"/>
      <c r="Q2599" s="1"/>
      <c r="R2599" s="1"/>
      <c r="S2599" s="1"/>
      <c r="T2599" s="1"/>
      <c r="U2599" s="1"/>
      <c r="V2599" s="1"/>
      <c r="W2599" s="1"/>
      <c r="X2599" s="1"/>
      <c r="Y2599" s="1"/>
      <c r="Z2599" s="1"/>
      <c r="AA2599" s="1"/>
      <c r="AB2599" s="1"/>
      <c r="AC2599" s="1"/>
      <c r="AD2599" s="1"/>
      <c r="AE2599" s="1"/>
      <c r="AF2599" s="1"/>
      <c r="AG2599" s="1"/>
      <c r="AH2599" s="1"/>
    </row>
    <row r="2600" spans="1:34" ht="12.5">
      <c r="A2600" s="1"/>
      <c r="B2600" s="1"/>
      <c r="C2600" s="1"/>
      <c r="D2600" s="1"/>
      <c r="E2600" s="1"/>
      <c r="F2600" s="1"/>
      <c r="G2600" s="1"/>
      <c r="H2600" s="1"/>
      <c r="I2600" s="1"/>
      <c r="J2600" s="1"/>
      <c r="K2600" s="1"/>
      <c r="L2600" s="1"/>
      <c r="M2600" s="1"/>
      <c r="N2600" s="1"/>
      <c r="O2600" s="1"/>
      <c r="P2600" s="1"/>
      <c r="Q2600" s="1"/>
      <c r="R2600" s="1"/>
      <c r="S2600" s="1"/>
      <c r="T2600" s="1"/>
      <c r="U2600" s="1"/>
      <c r="V2600" s="1"/>
      <c r="W2600" s="1"/>
      <c r="X2600" s="1"/>
      <c r="Y2600" s="1"/>
      <c r="Z2600" s="1"/>
      <c r="AA2600" s="1"/>
      <c r="AB2600" s="1"/>
      <c r="AC2600" s="1"/>
      <c r="AD2600" s="1"/>
      <c r="AE2600" s="1"/>
      <c r="AF2600" s="1"/>
      <c r="AG2600" s="1"/>
      <c r="AH2600" s="1"/>
    </row>
    <row r="2601" spans="1:34" ht="12.5">
      <c r="A2601" s="1"/>
      <c r="B2601" s="1"/>
      <c r="C2601" s="1"/>
      <c r="D2601" s="1"/>
      <c r="E2601" s="1"/>
      <c r="F2601" s="1"/>
      <c r="G2601" s="1"/>
      <c r="H2601" s="1"/>
      <c r="I2601" s="1"/>
      <c r="J2601" s="1"/>
      <c r="K2601" s="1"/>
      <c r="L2601" s="1"/>
      <c r="M2601" s="1"/>
      <c r="N2601" s="1"/>
      <c r="O2601" s="1"/>
      <c r="P2601" s="1"/>
      <c r="Q2601" s="1"/>
      <c r="R2601" s="1"/>
      <c r="S2601" s="1"/>
      <c r="T2601" s="1"/>
      <c r="U2601" s="1"/>
      <c r="V2601" s="1"/>
      <c r="W2601" s="1"/>
      <c r="X2601" s="1"/>
      <c r="Y2601" s="1"/>
      <c r="Z2601" s="1"/>
      <c r="AA2601" s="1"/>
      <c r="AB2601" s="1"/>
      <c r="AC2601" s="1"/>
      <c r="AD2601" s="1"/>
      <c r="AE2601" s="1"/>
      <c r="AF2601" s="1"/>
      <c r="AG2601" s="1"/>
      <c r="AH2601" s="1"/>
    </row>
    <row r="2602" spans="1:34" ht="12.5">
      <c r="A2602" s="1"/>
      <c r="B2602" s="1"/>
      <c r="C2602" s="1"/>
      <c r="D2602" s="1"/>
      <c r="E2602" s="1"/>
      <c r="F2602" s="1"/>
      <c r="G2602" s="1"/>
      <c r="H2602" s="1"/>
      <c r="I2602" s="1"/>
      <c r="J2602" s="1"/>
      <c r="K2602" s="1"/>
      <c r="L2602" s="1"/>
      <c r="M2602" s="1"/>
      <c r="N2602" s="1"/>
      <c r="O2602" s="1"/>
      <c r="P2602" s="1"/>
      <c r="Q2602" s="1"/>
      <c r="R2602" s="1"/>
      <c r="S2602" s="1"/>
      <c r="T2602" s="1"/>
      <c r="U2602" s="1"/>
      <c r="V2602" s="1"/>
      <c r="W2602" s="1"/>
      <c r="X2602" s="1"/>
      <c r="Y2602" s="1"/>
      <c r="Z2602" s="1"/>
      <c r="AA2602" s="1"/>
      <c r="AB2602" s="1"/>
      <c r="AC2602" s="1"/>
      <c r="AD2602" s="1"/>
      <c r="AE2602" s="1"/>
      <c r="AF2602" s="1"/>
      <c r="AG2602" s="1"/>
      <c r="AH2602" s="1"/>
    </row>
    <row r="2603" spans="1:34" ht="12.5">
      <c r="A2603" s="1"/>
      <c r="B2603" s="1"/>
      <c r="C2603" s="1"/>
      <c r="D2603" s="1"/>
      <c r="E2603" s="1"/>
      <c r="F2603" s="1"/>
      <c r="G2603" s="1"/>
      <c r="H2603" s="1"/>
      <c r="I2603" s="1"/>
      <c r="J2603" s="1"/>
      <c r="K2603" s="1"/>
      <c r="L2603" s="1"/>
      <c r="M2603" s="1"/>
      <c r="N2603" s="1"/>
      <c r="O2603" s="1"/>
      <c r="P2603" s="1"/>
      <c r="Q2603" s="1"/>
      <c r="R2603" s="1"/>
      <c r="S2603" s="1"/>
      <c r="T2603" s="1"/>
      <c r="U2603" s="1"/>
      <c r="V2603" s="1"/>
      <c r="W2603" s="1"/>
      <c r="X2603" s="1"/>
      <c r="Y2603" s="1"/>
      <c r="Z2603" s="1"/>
      <c r="AA2603" s="1"/>
      <c r="AB2603" s="1"/>
      <c r="AC2603" s="1"/>
      <c r="AD2603" s="1"/>
      <c r="AE2603" s="1"/>
      <c r="AF2603" s="1"/>
      <c r="AG2603" s="1"/>
      <c r="AH2603" s="1"/>
    </row>
    <row r="2604" spans="1:34" ht="12.5">
      <c r="A2604" s="1"/>
      <c r="B2604" s="1"/>
      <c r="C2604" s="1"/>
      <c r="D2604" s="1"/>
      <c r="E2604" s="1"/>
      <c r="F2604" s="1"/>
      <c r="G2604" s="1"/>
      <c r="H2604" s="1"/>
      <c r="I2604" s="1"/>
      <c r="J2604" s="1"/>
      <c r="K2604" s="1"/>
      <c r="L2604" s="1"/>
      <c r="M2604" s="1"/>
      <c r="N2604" s="1"/>
      <c r="O2604" s="1"/>
      <c r="P2604" s="1"/>
      <c r="Q2604" s="1"/>
      <c r="R2604" s="1"/>
      <c r="S2604" s="1"/>
      <c r="T2604" s="1"/>
      <c r="U2604" s="1"/>
      <c r="V2604" s="1"/>
      <c r="W2604" s="1"/>
      <c r="X2604" s="1"/>
      <c r="Y2604" s="1"/>
      <c r="Z2604" s="1"/>
      <c r="AA2604" s="1"/>
      <c r="AB2604" s="1"/>
      <c r="AC2604" s="1"/>
      <c r="AD2604" s="1"/>
      <c r="AE2604" s="1"/>
      <c r="AF2604" s="1"/>
      <c r="AG2604" s="1"/>
      <c r="AH2604" s="1"/>
    </row>
    <row r="2605" spans="1:34" ht="12.5">
      <c r="A2605" s="1"/>
      <c r="B2605" s="1"/>
      <c r="C2605" s="1"/>
      <c r="D2605" s="1"/>
      <c r="E2605" s="1"/>
      <c r="F2605" s="1"/>
      <c r="G2605" s="1"/>
      <c r="H2605" s="1"/>
      <c r="I2605" s="1"/>
      <c r="J2605" s="1"/>
      <c r="K2605" s="1"/>
      <c r="L2605" s="1"/>
      <c r="M2605" s="1"/>
      <c r="N2605" s="1"/>
      <c r="O2605" s="1"/>
      <c r="P2605" s="1"/>
      <c r="Q2605" s="1"/>
      <c r="R2605" s="1"/>
      <c r="S2605" s="1"/>
      <c r="T2605" s="1"/>
      <c r="U2605" s="1"/>
      <c r="V2605" s="1"/>
      <c r="W2605" s="1"/>
      <c r="X2605" s="1"/>
      <c r="Y2605" s="1"/>
      <c r="Z2605" s="1"/>
      <c r="AA2605" s="1"/>
      <c r="AB2605" s="1"/>
      <c r="AC2605" s="1"/>
      <c r="AD2605" s="1"/>
      <c r="AE2605" s="1"/>
      <c r="AF2605" s="1"/>
      <c r="AG2605" s="1"/>
      <c r="AH2605" s="1"/>
    </row>
    <row r="2606" spans="1:34" ht="12.5">
      <c r="A2606" s="1"/>
      <c r="B2606" s="1"/>
      <c r="C2606" s="1"/>
      <c r="D2606" s="1"/>
      <c r="E2606" s="1"/>
      <c r="F2606" s="1"/>
      <c r="G2606" s="1"/>
      <c r="H2606" s="1"/>
      <c r="I2606" s="1"/>
      <c r="J2606" s="1"/>
      <c r="K2606" s="1"/>
      <c r="L2606" s="1"/>
      <c r="M2606" s="1"/>
      <c r="N2606" s="1"/>
      <c r="O2606" s="1"/>
      <c r="P2606" s="1"/>
      <c r="Q2606" s="1"/>
      <c r="R2606" s="1"/>
      <c r="S2606" s="1"/>
      <c r="T2606" s="1"/>
      <c r="U2606" s="1"/>
      <c r="V2606" s="1"/>
      <c r="W2606" s="1"/>
      <c r="X2606" s="1"/>
      <c r="Y2606" s="1"/>
      <c r="Z2606" s="1"/>
      <c r="AA2606" s="1"/>
      <c r="AB2606" s="1"/>
      <c r="AC2606" s="1"/>
      <c r="AD2606" s="1"/>
      <c r="AE2606" s="1"/>
      <c r="AF2606" s="1"/>
      <c r="AG2606" s="1"/>
      <c r="AH2606" s="1"/>
    </row>
    <row r="2607" spans="1:34" ht="12.5">
      <c r="A2607" s="1"/>
      <c r="B2607" s="1"/>
      <c r="C2607" s="1"/>
      <c r="D2607" s="1"/>
      <c r="E2607" s="1"/>
      <c r="F2607" s="1"/>
      <c r="G2607" s="1"/>
      <c r="H2607" s="1"/>
      <c r="I2607" s="1"/>
      <c r="J2607" s="1"/>
      <c r="K2607" s="1"/>
      <c r="L2607" s="1"/>
      <c r="M2607" s="1"/>
      <c r="N2607" s="1"/>
      <c r="O2607" s="1"/>
      <c r="P2607" s="1"/>
      <c r="Q2607" s="1"/>
      <c r="R2607" s="1"/>
      <c r="S2607" s="1"/>
      <c r="T2607" s="1"/>
      <c r="U2607" s="1"/>
      <c r="V2607" s="1"/>
      <c r="W2607" s="1"/>
      <c r="X2607" s="1"/>
      <c r="Y2607" s="1"/>
      <c r="Z2607" s="1"/>
      <c r="AA2607" s="1"/>
      <c r="AB2607" s="1"/>
      <c r="AC2607" s="1"/>
      <c r="AD2607" s="1"/>
      <c r="AE2607" s="1"/>
      <c r="AF2607" s="1"/>
      <c r="AG2607" s="1"/>
      <c r="AH2607" s="1"/>
    </row>
    <row r="2608" spans="1:34" ht="12.5">
      <c r="A2608" s="1"/>
      <c r="B2608" s="1"/>
      <c r="C2608" s="1"/>
      <c r="D2608" s="1"/>
      <c r="E2608" s="1"/>
      <c r="F2608" s="1"/>
      <c r="G2608" s="1"/>
      <c r="H2608" s="1"/>
      <c r="I2608" s="1"/>
      <c r="J2608" s="1"/>
      <c r="K2608" s="1"/>
      <c r="L2608" s="1"/>
      <c r="M2608" s="1"/>
      <c r="N2608" s="1"/>
      <c r="O2608" s="1"/>
      <c r="P2608" s="1"/>
      <c r="Q2608" s="1"/>
      <c r="R2608" s="1"/>
      <c r="S2608" s="1"/>
      <c r="T2608" s="1"/>
      <c r="U2608" s="1"/>
      <c r="V2608" s="1"/>
      <c r="W2608" s="1"/>
      <c r="X2608" s="1"/>
      <c r="Y2608" s="1"/>
      <c r="Z2608" s="1"/>
      <c r="AA2608" s="1"/>
      <c r="AB2608" s="1"/>
      <c r="AC2608" s="1"/>
      <c r="AD2608" s="1"/>
      <c r="AE2608" s="1"/>
      <c r="AF2608" s="1"/>
      <c r="AG2608" s="1"/>
      <c r="AH2608" s="1"/>
    </row>
    <row r="2609" spans="1:34" ht="12.5">
      <c r="A2609" s="1"/>
      <c r="B2609" s="1"/>
      <c r="C2609" s="1"/>
      <c r="D2609" s="1"/>
      <c r="E2609" s="1"/>
      <c r="F2609" s="1"/>
      <c r="G2609" s="1"/>
      <c r="H2609" s="1"/>
      <c r="I2609" s="1"/>
      <c r="J2609" s="1"/>
      <c r="K2609" s="1"/>
      <c r="L2609" s="1"/>
      <c r="M2609" s="1"/>
      <c r="N2609" s="1"/>
      <c r="O2609" s="1"/>
      <c r="P2609" s="1"/>
      <c r="Q2609" s="1"/>
      <c r="R2609" s="1"/>
      <c r="S2609" s="1"/>
      <c r="T2609" s="1"/>
      <c r="U2609" s="1"/>
      <c r="V2609" s="1"/>
      <c r="W2609" s="1"/>
      <c r="X2609" s="1"/>
      <c r="Y2609" s="1"/>
      <c r="Z2609" s="1"/>
      <c r="AA2609" s="1"/>
      <c r="AB2609" s="1"/>
      <c r="AC2609" s="1"/>
      <c r="AD2609" s="1"/>
      <c r="AE2609" s="1"/>
      <c r="AF2609" s="1"/>
      <c r="AG2609" s="1"/>
      <c r="AH2609" s="1"/>
    </row>
    <row r="2610" spans="1:34" ht="12.5">
      <c r="A2610" s="1"/>
      <c r="B2610" s="1"/>
      <c r="C2610" s="1"/>
      <c r="D2610" s="1"/>
      <c r="E2610" s="1"/>
      <c r="F2610" s="1"/>
      <c r="G2610" s="1"/>
      <c r="H2610" s="1"/>
      <c r="I2610" s="1"/>
      <c r="J2610" s="1"/>
      <c r="K2610" s="1"/>
      <c r="L2610" s="1"/>
      <c r="M2610" s="1"/>
      <c r="N2610" s="1"/>
      <c r="O2610" s="1"/>
      <c r="P2610" s="1"/>
      <c r="Q2610" s="1"/>
      <c r="R2610" s="1"/>
      <c r="S2610" s="1"/>
      <c r="T2610" s="1"/>
      <c r="U2610" s="1"/>
      <c r="V2610" s="1"/>
      <c r="W2610" s="1"/>
      <c r="X2610" s="1"/>
      <c r="Y2610" s="1"/>
      <c r="Z2610" s="1"/>
      <c r="AA2610" s="1"/>
      <c r="AB2610" s="1"/>
      <c r="AC2610" s="1"/>
      <c r="AD2610" s="1"/>
      <c r="AE2610" s="1"/>
      <c r="AF2610" s="1"/>
      <c r="AG2610" s="1"/>
      <c r="AH2610" s="1"/>
    </row>
    <row r="2611" spans="1:34" ht="12.5">
      <c r="A2611" s="1"/>
      <c r="B2611" s="1"/>
      <c r="C2611" s="1"/>
      <c r="D2611" s="1"/>
      <c r="E2611" s="1"/>
      <c r="F2611" s="1"/>
      <c r="G2611" s="1"/>
      <c r="H2611" s="1"/>
      <c r="I2611" s="1"/>
      <c r="J2611" s="1"/>
      <c r="K2611" s="1"/>
      <c r="L2611" s="1"/>
      <c r="M2611" s="1"/>
      <c r="N2611" s="1"/>
      <c r="O2611" s="1"/>
      <c r="P2611" s="1"/>
      <c r="Q2611" s="1"/>
      <c r="R2611" s="1"/>
      <c r="S2611" s="1"/>
      <c r="T2611" s="1"/>
      <c r="U2611" s="1"/>
      <c r="V2611" s="1"/>
      <c r="W2611" s="1"/>
      <c r="X2611" s="1"/>
      <c r="Y2611" s="1"/>
      <c r="Z2611" s="1"/>
      <c r="AA2611" s="1"/>
      <c r="AB2611" s="1"/>
      <c r="AC2611" s="1"/>
      <c r="AD2611" s="1"/>
      <c r="AE2611" s="1"/>
      <c r="AF2611" s="1"/>
      <c r="AG2611" s="1"/>
      <c r="AH2611" s="1"/>
    </row>
    <row r="2612" spans="1:34" ht="12.5">
      <c r="A2612" s="1"/>
      <c r="B2612" s="1"/>
      <c r="C2612" s="1"/>
      <c r="D2612" s="1"/>
      <c r="E2612" s="1"/>
      <c r="F2612" s="1"/>
      <c r="G2612" s="1"/>
      <c r="H2612" s="1"/>
      <c r="I2612" s="1"/>
      <c r="J2612" s="1"/>
      <c r="K2612" s="1"/>
      <c r="L2612" s="1"/>
      <c r="M2612" s="1"/>
      <c r="N2612" s="1"/>
      <c r="O2612" s="1"/>
      <c r="P2612" s="1"/>
      <c r="Q2612" s="1"/>
      <c r="R2612" s="1"/>
      <c r="S2612" s="1"/>
      <c r="T2612" s="1"/>
      <c r="U2612" s="1"/>
      <c r="V2612" s="1"/>
      <c r="W2612" s="1"/>
      <c r="X2612" s="1"/>
      <c r="Y2612" s="1"/>
      <c r="Z2612" s="1"/>
      <c r="AA2612" s="1"/>
      <c r="AB2612" s="1"/>
      <c r="AC2612" s="1"/>
      <c r="AD2612" s="1"/>
      <c r="AE2612" s="1"/>
      <c r="AF2612" s="1"/>
      <c r="AG2612" s="1"/>
      <c r="AH2612" s="1"/>
    </row>
    <row r="2613" spans="1:34" ht="12.5">
      <c r="A2613" s="1"/>
      <c r="B2613" s="1"/>
      <c r="C2613" s="1"/>
      <c r="D2613" s="1"/>
      <c r="E2613" s="1"/>
      <c r="F2613" s="1"/>
      <c r="G2613" s="1"/>
      <c r="H2613" s="1"/>
      <c r="I2613" s="1"/>
      <c r="J2613" s="1"/>
      <c r="K2613" s="1"/>
      <c r="L2613" s="1"/>
      <c r="M2613" s="1"/>
      <c r="N2613" s="1"/>
      <c r="O2613" s="1"/>
      <c r="P2613" s="1"/>
      <c r="Q2613" s="1"/>
      <c r="R2613" s="1"/>
      <c r="S2613" s="1"/>
      <c r="T2613" s="1"/>
      <c r="U2613" s="1"/>
      <c r="V2613" s="1"/>
      <c r="W2613" s="1"/>
      <c r="X2613" s="1"/>
      <c r="Y2613" s="1"/>
      <c r="Z2613" s="1"/>
      <c r="AA2613" s="1"/>
      <c r="AB2613" s="1"/>
      <c r="AC2613" s="1"/>
      <c r="AD2613" s="1"/>
      <c r="AE2613" s="1"/>
      <c r="AF2613" s="1"/>
      <c r="AG2613" s="1"/>
      <c r="AH2613" s="1"/>
    </row>
    <row r="2614" spans="1:34" ht="12.5">
      <c r="A2614" s="1"/>
      <c r="B2614" s="1"/>
      <c r="C2614" s="1"/>
      <c r="D2614" s="1"/>
      <c r="E2614" s="1"/>
      <c r="F2614" s="1"/>
      <c r="G2614" s="1"/>
      <c r="H2614" s="1"/>
      <c r="I2614" s="1"/>
      <c r="J2614" s="1"/>
      <c r="K2614" s="1"/>
      <c r="L2614" s="1"/>
      <c r="M2614" s="1"/>
      <c r="N2614" s="1"/>
      <c r="O2614" s="1"/>
      <c r="P2614" s="1"/>
      <c r="Q2614" s="1"/>
      <c r="R2614" s="1"/>
      <c r="S2614" s="1"/>
      <c r="T2614" s="1"/>
      <c r="U2614" s="1"/>
      <c r="V2614" s="1"/>
      <c r="W2614" s="1"/>
      <c r="X2614" s="1"/>
      <c r="Y2614" s="1"/>
      <c r="Z2614" s="1"/>
      <c r="AA2614" s="1"/>
      <c r="AB2614" s="1"/>
      <c r="AC2614" s="1"/>
      <c r="AD2614" s="1"/>
      <c r="AE2614" s="1"/>
      <c r="AF2614" s="1"/>
      <c r="AG2614" s="1"/>
      <c r="AH2614" s="1"/>
    </row>
    <row r="2615" spans="1:34" ht="12.5">
      <c r="A2615" s="1"/>
      <c r="B2615" s="1"/>
      <c r="C2615" s="1"/>
      <c r="D2615" s="1"/>
      <c r="E2615" s="1"/>
      <c r="F2615" s="1"/>
      <c r="G2615" s="1"/>
      <c r="H2615" s="1"/>
      <c r="I2615" s="1"/>
      <c r="J2615" s="1"/>
      <c r="K2615" s="1"/>
      <c r="L2615" s="1"/>
      <c r="M2615" s="1"/>
      <c r="N2615" s="1"/>
      <c r="O2615" s="1"/>
      <c r="P2615" s="1"/>
      <c r="Q2615" s="1"/>
      <c r="R2615" s="1"/>
      <c r="S2615" s="1"/>
      <c r="T2615" s="1"/>
      <c r="U2615" s="1"/>
      <c r="V2615" s="1"/>
      <c r="W2615" s="1"/>
      <c r="X2615" s="1"/>
      <c r="Y2615" s="1"/>
      <c r="Z2615" s="1"/>
      <c r="AA2615" s="1"/>
      <c r="AB2615" s="1"/>
      <c r="AC2615" s="1"/>
      <c r="AD2615" s="1"/>
      <c r="AE2615" s="1"/>
      <c r="AF2615" s="1"/>
      <c r="AG2615" s="1"/>
      <c r="AH2615" s="1"/>
    </row>
    <row r="2616" spans="1:34" ht="12.5">
      <c r="A2616" s="1"/>
      <c r="B2616" s="1"/>
      <c r="C2616" s="1"/>
      <c r="D2616" s="1"/>
      <c r="E2616" s="1"/>
      <c r="F2616" s="1"/>
      <c r="G2616" s="1"/>
      <c r="H2616" s="1"/>
      <c r="I2616" s="1"/>
      <c r="J2616" s="1"/>
      <c r="K2616" s="1"/>
      <c r="L2616" s="1"/>
      <c r="M2616" s="1"/>
      <c r="N2616" s="1"/>
      <c r="O2616" s="1"/>
      <c r="P2616" s="1"/>
      <c r="Q2616" s="1"/>
      <c r="R2616" s="1"/>
      <c r="S2616" s="1"/>
      <c r="T2616" s="1"/>
      <c r="U2616" s="1"/>
      <c r="V2616" s="1"/>
      <c r="W2616" s="1"/>
      <c r="X2616" s="1"/>
      <c r="Y2616" s="1"/>
      <c r="Z2616" s="1"/>
      <c r="AA2616" s="1"/>
      <c r="AB2616" s="1"/>
      <c r="AC2616" s="1"/>
      <c r="AD2616" s="1"/>
      <c r="AE2616" s="1"/>
      <c r="AF2616" s="1"/>
      <c r="AG2616" s="1"/>
      <c r="AH2616" s="1"/>
    </row>
    <row r="2617" spans="1:34" ht="12.5">
      <c r="A2617" s="1"/>
      <c r="B2617" s="1"/>
      <c r="C2617" s="1"/>
      <c r="D2617" s="1"/>
      <c r="E2617" s="1"/>
      <c r="F2617" s="1"/>
      <c r="G2617" s="1"/>
      <c r="H2617" s="1"/>
      <c r="I2617" s="1"/>
      <c r="J2617" s="1"/>
      <c r="K2617" s="1"/>
      <c r="L2617" s="1"/>
      <c r="M2617" s="1"/>
      <c r="N2617" s="1"/>
      <c r="O2617" s="1"/>
      <c r="P2617" s="1"/>
      <c r="Q2617" s="1"/>
      <c r="R2617" s="1"/>
      <c r="S2617" s="1"/>
      <c r="T2617" s="1"/>
      <c r="U2617" s="1"/>
      <c r="V2617" s="1"/>
      <c r="W2617" s="1"/>
      <c r="X2617" s="1"/>
      <c r="Y2617" s="1"/>
      <c r="Z2617" s="1"/>
      <c r="AA2617" s="1"/>
      <c r="AB2617" s="1"/>
      <c r="AC2617" s="1"/>
      <c r="AD2617" s="1"/>
      <c r="AE2617" s="1"/>
      <c r="AF2617" s="1"/>
      <c r="AG2617" s="1"/>
      <c r="AH2617" s="1"/>
    </row>
    <row r="2618" spans="1:34" ht="12.5">
      <c r="A2618" s="1"/>
      <c r="B2618" s="1"/>
      <c r="C2618" s="1"/>
      <c r="D2618" s="1"/>
      <c r="E2618" s="1"/>
      <c r="F2618" s="1"/>
      <c r="G2618" s="1"/>
      <c r="H2618" s="1"/>
      <c r="I2618" s="1"/>
      <c r="J2618" s="1"/>
      <c r="K2618" s="1"/>
      <c r="L2618" s="1"/>
      <c r="M2618" s="1"/>
      <c r="N2618" s="1"/>
      <c r="O2618" s="1"/>
      <c r="P2618" s="1"/>
      <c r="Q2618" s="1"/>
      <c r="R2618" s="1"/>
      <c r="S2618" s="1"/>
      <c r="T2618" s="1"/>
      <c r="U2618" s="1"/>
      <c r="V2618" s="1"/>
      <c r="W2618" s="1"/>
      <c r="X2618" s="1"/>
      <c r="Y2618" s="1"/>
      <c r="Z2618" s="1"/>
      <c r="AA2618" s="1"/>
      <c r="AB2618" s="1"/>
      <c r="AC2618" s="1"/>
      <c r="AD2618" s="1"/>
      <c r="AE2618" s="1"/>
      <c r="AF2618" s="1"/>
      <c r="AG2618" s="1"/>
      <c r="AH2618" s="1"/>
    </row>
    <row r="2619" spans="1:34" ht="12.5">
      <c r="A2619" s="1"/>
      <c r="B2619" s="1"/>
      <c r="C2619" s="1"/>
      <c r="D2619" s="1"/>
      <c r="E2619" s="1"/>
      <c r="F2619" s="1"/>
      <c r="G2619" s="1"/>
      <c r="H2619" s="1"/>
      <c r="I2619" s="1"/>
      <c r="J2619" s="1"/>
      <c r="K2619" s="1"/>
      <c r="L2619" s="1"/>
      <c r="M2619" s="1"/>
      <c r="N2619" s="1"/>
      <c r="O2619" s="1"/>
      <c r="P2619" s="1"/>
      <c r="Q2619" s="1"/>
      <c r="R2619" s="1"/>
      <c r="S2619" s="1"/>
      <c r="T2619" s="1"/>
      <c r="U2619" s="1"/>
      <c r="V2619" s="1"/>
      <c r="W2619" s="1"/>
      <c r="X2619" s="1"/>
      <c r="Y2619" s="1"/>
      <c r="Z2619" s="1"/>
      <c r="AA2619" s="1"/>
      <c r="AB2619" s="1"/>
      <c r="AC2619" s="1"/>
      <c r="AD2619" s="1"/>
      <c r="AE2619" s="1"/>
      <c r="AF2619" s="1"/>
      <c r="AG2619" s="1"/>
      <c r="AH2619" s="1"/>
    </row>
    <row r="2620" spans="1:34" ht="12.5">
      <c r="A2620" s="1"/>
      <c r="B2620" s="1"/>
      <c r="C2620" s="1"/>
      <c r="D2620" s="1"/>
      <c r="E2620" s="1"/>
      <c r="F2620" s="1"/>
      <c r="G2620" s="1"/>
      <c r="H2620" s="1"/>
      <c r="I2620" s="1"/>
      <c r="J2620" s="1"/>
      <c r="K2620" s="1"/>
      <c r="L2620" s="1"/>
      <c r="M2620" s="1"/>
      <c r="N2620" s="1"/>
      <c r="O2620" s="1"/>
      <c r="P2620" s="1"/>
      <c r="Q2620" s="1"/>
      <c r="R2620" s="1"/>
      <c r="S2620" s="1"/>
      <c r="T2620" s="1"/>
      <c r="U2620" s="1"/>
      <c r="V2620" s="1"/>
      <c r="W2620" s="1"/>
      <c r="X2620" s="1"/>
      <c r="Y2620" s="1"/>
      <c r="Z2620" s="1"/>
      <c r="AA2620" s="1"/>
      <c r="AB2620" s="1"/>
      <c r="AC2620" s="1"/>
      <c r="AD2620" s="1"/>
      <c r="AE2620" s="1"/>
      <c r="AF2620" s="1"/>
      <c r="AG2620" s="1"/>
      <c r="AH2620" s="1"/>
    </row>
    <row r="2621" spans="1:34" ht="12.5">
      <c r="A2621" s="1"/>
      <c r="B2621" s="1"/>
      <c r="C2621" s="1"/>
      <c r="D2621" s="1"/>
      <c r="E2621" s="1"/>
      <c r="F2621" s="1"/>
      <c r="G2621" s="1"/>
      <c r="H2621" s="1"/>
      <c r="I2621" s="1"/>
      <c r="J2621" s="1"/>
      <c r="K2621" s="1"/>
      <c r="L2621" s="1"/>
      <c r="M2621" s="1"/>
      <c r="N2621" s="1"/>
      <c r="O2621" s="1"/>
      <c r="P2621" s="1"/>
      <c r="Q2621" s="1"/>
      <c r="R2621" s="1"/>
      <c r="S2621" s="1"/>
      <c r="T2621" s="1"/>
      <c r="U2621" s="1"/>
      <c r="V2621" s="1"/>
      <c r="W2621" s="1"/>
      <c r="X2621" s="1"/>
      <c r="Y2621" s="1"/>
      <c r="Z2621" s="1"/>
      <c r="AA2621" s="1"/>
      <c r="AB2621" s="1"/>
      <c r="AC2621" s="1"/>
      <c r="AD2621" s="1"/>
      <c r="AE2621" s="1"/>
      <c r="AF2621" s="1"/>
      <c r="AG2621" s="1"/>
      <c r="AH2621" s="1"/>
    </row>
    <row r="2622" spans="1:34" ht="12.5">
      <c r="A2622" s="1"/>
      <c r="B2622" s="1"/>
      <c r="C2622" s="1"/>
      <c r="D2622" s="1"/>
      <c r="E2622" s="1"/>
      <c r="F2622" s="1"/>
      <c r="G2622" s="1"/>
      <c r="H2622" s="1"/>
      <c r="I2622" s="1"/>
      <c r="J2622" s="1"/>
      <c r="K2622" s="1"/>
      <c r="L2622" s="1"/>
      <c r="M2622" s="1"/>
      <c r="N2622" s="1"/>
      <c r="O2622" s="1"/>
      <c r="P2622" s="1"/>
      <c r="Q2622" s="1"/>
      <c r="R2622" s="1"/>
      <c r="S2622" s="1"/>
      <c r="T2622" s="1"/>
      <c r="U2622" s="1"/>
      <c r="V2622" s="1"/>
      <c r="W2622" s="1"/>
      <c r="X2622" s="1"/>
      <c r="Y2622" s="1"/>
      <c r="Z2622" s="1"/>
      <c r="AA2622" s="1"/>
      <c r="AB2622" s="1"/>
      <c r="AC2622" s="1"/>
      <c r="AD2622" s="1"/>
      <c r="AE2622" s="1"/>
      <c r="AF2622" s="1"/>
      <c r="AG2622" s="1"/>
      <c r="AH2622" s="1"/>
    </row>
    <row r="2623" spans="1:34" ht="12.5">
      <c r="A2623" s="1"/>
      <c r="B2623" s="1"/>
      <c r="C2623" s="1"/>
      <c r="D2623" s="1"/>
      <c r="E2623" s="1"/>
      <c r="F2623" s="1"/>
      <c r="G2623" s="1"/>
      <c r="H2623" s="1"/>
      <c r="I2623" s="1"/>
      <c r="J2623" s="1"/>
      <c r="K2623" s="1"/>
      <c r="L2623" s="1"/>
      <c r="M2623" s="1"/>
      <c r="N2623" s="1"/>
      <c r="O2623" s="1"/>
      <c r="P2623" s="1"/>
      <c r="Q2623" s="1"/>
      <c r="R2623" s="1"/>
      <c r="S2623" s="1"/>
      <c r="T2623" s="1"/>
      <c r="U2623" s="1"/>
      <c r="V2623" s="1"/>
      <c r="W2623" s="1"/>
      <c r="X2623" s="1"/>
      <c r="Y2623" s="1"/>
      <c r="Z2623" s="1"/>
      <c r="AA2623" s="1"/>
      <c r="AB2623" s="1"/>
      <c r="AC2623" s="1"/>
      <c r="AD2623" s="1"/>
      <c r="AE2623" s="1"/>
      <c r="AF2623" s="1"/>
      <c r="AG2623" s="1"/>
      <c r="AH2623" s="1"/>
    </row>
    <row r="2624" spans="1:34" ht="12.5">
      <c r="A2624" s="1"/>
      <c r="B2624" s="1"/>
      <c r="C2624" s="1"/>
      <c r="D2624" s="1"/>
      <c r="E2624" s="1"/>
      <c r="F2624" s="1"/>
      <c r="G2624" s="1"/>
      <c r="H2624" s="1"/>
      <c r="I2624" s="1"/>
      <c r="J2624" s="1"/>
      <c r="K2624" s="1"/>
      <c r="L2624" s="1"/>
      <c r="M2624" s="1"/>
      <c r="N2624" s="1"/>
      <c r="O2624" s="1"/>
      <c r="P2624" s="1"/>
      <c r="Q2624" s="1"/>
      <c r="R2624" s="1"/>
      <c r="S2624" s="1"/>
      <c r="T2624" s="1"/>
      <c r="U2624" s="1"/>
      <c r="V2624" s="1"/>
      <c r="W2624" s="1"/>
      <c r="X2624" s="1"/>
      <c r="Y2624" s="1"/>
      <c r="Z2624" s="1"/>
      <c r="AA2624" s="1"/>
      <c r="AB2624" s="1"/>
      <c r="AC2624" s="1"/>
      <c r="AD2624" s="1"/>
      <c r="AE2624" s="1"/>
      <c r="AF2624" s="1"/>
      <c r="AG2624" s="1"/>
      <c r="AH2624" s="1"/>
    </row>
    <row r="2625" spans="1:34" ht="12.5">
      <c r="A2625" s="1"/>
      <c r="B2625" s="1"/>
      <c r="C2625" s="1"/>
      <c r="D2625" s="1"/>
      <c r="E2625" s="1"/>
      <c r="F2625" s="1"/>
      <c r="G2625" s="1"/>
      <c r="H2625" s="1"/>
      <c r="I2625" s="1"/>
      <c r="J2625" s="1"/>
      <c r="K2625" s="1"/>
      <c r="L2625" s="1"/>
      <c r="M2625" s="1"/>
      <c r="N2625" s="1"/>
      <c r="O2625" s="1"/>
      <c r="P2625" s="1"/>
      <c r="Q2625" s="1"/>
      <c r="R2625" s="1"/>
      <c r="S2625" s="1"/>
      <c r="T2625" s="1"/>
      <c r="U2625" s="1"/>
      <c r="V2625" s="1"/>
      <c r="W2625" s="1"/>
      <c r="X2625" s="1"/>
      <c r="Y2625" s="1"/>
      <c r="Z2625" s="1"/>
      <c r="AA2625" s="1"/>
      <c r="AB2625" s="1"/>
      <c r="AC2625" s="1"/>
      <c r="AD2625" s="1"/>
      <c r="AE2625" s="1"/>
      <c r="AF2625" s="1"/>
      <c r="AG2625" s="1"/>
      <c r="AH2625" s="1"/>
    </row>
    <row r="2626" spans="1:34" ht="12.5">
      <c r="A2626" s="1"/>
      <c r="B2626" s="1"/>
      <c r="C2626" s="1"/>
      <c r="D2626" s="1"/>
      <c r="E2626" s="1"/>
      <c r="F2626" s="1"/>
      <c r="G2626" s="1"/>
      <c r="H2626" s="1"/>
      <c r="I2626" s="1"/>
      <c r="J2626" s="1"/>
      <c r="K2626" s="1"/>
      <c r="L2626" s="1"/>
      <c r="M2626" s="1"/>
      <c r="N2626" s="1"/>
      <c r="O2626" s="1"/>
      <c r="P2626" s="1"/>
      <c r="Q2626" s="1"/>
      <c r="R2626" s="1"/>
      <c r="S2626" s="1"/>
      <c r="T2626" s="1"/>
      <c r="U2626" s="1"/>
      <c r="V2626" s="1"/>
      <c r="W2626" s="1"/>
      <c r="X2626" s="1"/>
      <c r="Y2626" s="1"/>
      <c r="Z2626" s="1"/>
      <c r="AA2626" s="1"/>
      <c r="AB2626" s="1"/>
      <c r="AC2626" s="1"/>
      <c r="AD2626" s="1"/>
      <c r="AE2626" s="1"/>
      <c r="AF2626" s="1"/>
      <c r="AG2626" s="1"/>
      <c r="AH2626" s="1"/>
    </row>
    <row r="2627" spans="1:34" ht="12.5">
      <c r="A2627" s="1"/>
      <c r="B2627" s="1"/>
      <c r="C2627" s="1"/>
      <c r="D2627" s="1"/>
      <c r="E2627" s="1"/>
      <c r="F2627" s="1"/>
      <c r="G2627" s="1"/>
      <c r="H2627" s="1"/>
      <c r="I2627" s="1"/>
      <c r="J2627" s="1"/>
      <c r="K2627" s="1"/>
      <c r="L2627" s="1"/>
      <c r="M2627" s="1"/>
      <c r="N2627" s="1"/>
      <c r="O2627" s="1"/>
      <c r="P2627" s="1"/>
      <c r="Q2627" s="1"/>
      <c r="R2627" s="1"/>
      <c r="S2627" s="1"/>
      <c r="T2627" s="1"/>
      <c r="U2627" s="1"/>
      <c r="V2627" s="1"/>
      <c r="W2627" s="1"/>
      <c r="X2627" s="1"/>
      <c r="Y2627" s="1"/>
      <c r="Z2627" s="1"/>
      <c r="AA2627" s="1"/>
      <c r="AB2627" s="1"/>
      <c r="AC2627" s="1"/>
      <c r="AD2627" s="1"/>
      <c r="AE2627" s="1"/>
      <c r="AF2627" s="1"/>
      <c r="AG2627" s="1"/>
      <c r="AH2627" s="1"/>
    </row>
    <row r="2628" spans="1:34" ht="12.5">
      <c r="A2628" s="1"/>
      <c r="B2628" s="1"/>
      <c r="C2628" s="1"/>
      <c r="D2628" s="1"/>
      <c r="E2628" s="1"/>
      <c r="F2628" s="1"/>
      <c r="G2628" s="1"/>
      <c r="H2628" s="1"/>
      <c r="I2628" s="1"/>
      <c r="J2628" s="1"/>
      <c r="K2628" s="1"/>
      <c r="L2628" s="1"/>
      <c r="M2628" s="1"/>
      <c r="N2628" s="1"/>
      <c r="O2628" s="1"/>
      <c r="P2628" s="1"/>
      <c r="Q2628" s="1"/>
      <c r="R2628" s="1"/>
      <c r="S2628" s="1"/>
      <c r="T2628" s="1"/>
      <c r="U2628" s="1"/>
      <c r="V2628" s="1"/>
      <c r="W2628" s="1"/>
      <c r="X2628" s="1"/>
      <c r="Y2628" s="1"/>
      <c r="Z2628" s="1"/>
      <c r="AA2628" s="1"/>
      <c r="AB2628" s="1"/>
      <c r="AC2628" s="1"/>
      <c r="AD2628" s="1"/>
      <c r="AE2628" s="1"/>
      <c r="AF2628" s="1"/>
      <c r="AG2628" s="1"/>
      <c r="AH2628" s="1"/>
    </row>
    <row r="2629" spans="1:34" ht="12.5">
      <c r="A2629" s="1"/>
      <c r="B2629" s="1"/>
      <c r="C2629" s="1"/>
      <c r="D2629" s="1"/>
      <c r="E2629" s="1"/>
      <c r="F2629" s="1"/>
      <c r="G2629" s="1"/>
      <c r="H2629" s="1"/>
      <c r="I2629" s="1"/>
      <c r="J2629" s="1"/>
      <c r="K2629" s="1"/>
      <c r="L2629" s="1"/>
      <c r="M2629" s="1"/>
      <c r="N2629" s="1"/>
      <c r="O2629" s="1"/>
      <c r="P2629" s="1"/>
      <c r="Q2629" s="1"/>
      <c r="R2629" s="1"/>
      <c r="S2629" s="1"/>
      <c r="T2629" s="1"/>
      <c r="U2629" s="1"/>
      <c r="V2629" s="1"/>
      <c r="W2629" s="1"/>
      <c r="X2629" s="1"/>
      <c r="Y2629" s="1"/>
      <c r="Z2629" s="1"/>
      <c r="AA2629" s="1"/>
      <c r="AB2629" s="1"/>
      <c r="AC2629" s="1"/>
      <c r="AD2629" s="1"/>
      <c r="AE2629" s="1"/>
      <c r="AF2629" s="1"/>
      <c r="AG2629" s="1"/>
      <c r="AH2629" s="1"/>
    </row>
    <row r="2630" spans="1:34" ht="12.5">
      <c r="A2630" s="1"/>
      <c r="B2630" s="1"/>
      <c r="C2630" s="1"/>
      <c r="D2630" s="1"/>
      <c r="E2630" s="1"/>
      <c r="F2630" s="1"/>
      <c r="G2630" s="1"/>
      <c r="H2630" s="1"/>
      <c r="I2630" s="1"/>
      <c r="J2630" s="1"/>
      <c r="K2630" s="1"/>
      <c r="L2630" s="1"/>
      <c r="M2630" s="1"/>
      <c r="N2630" s="1"/>
      <c r="O2630" s="1"/>
      <c r="P2630" s="1"/>
      <c r="Q2630" s="1"/>
      <c r="R2630" s="1"/>
      <c r="S2630" s="1"/>
      <c r="T2630" s="1"/>
      <c r="U2630" s="1"/>
      <c r="V2630" s="1"/>
      <c r="W2630" s="1"/>
      <c r="X2630" s="1"/>
      <c r="Y2630" s="1"/>
      <c r="Z2630" s="1"/>
      <c r="AA2630" s="1"/>
      <c r="AB2630" s="1"/>
      <c r="AC2630" s="1"/>
      <c r="AD2630" s="1"/>
      <c r="AE2630" s="1"/>
      <c r="AF2630" s="1"/>
      <c r="AG2630" s="1"/>
      <c r="AH2630" s="1"/>
    </row>
    <row r="2631" spans="1:34" ht="12.5">
      <c r="A2631" s="1"/>
      <c r="B2631" s="1"/>
      <c r="C2631" s="1"/>
      <c r="D2631" s="1"/>
      <c r="E2631" s="1"/>
      <c r="F2631" s="1"/>
      <c r="G2631" s="1"/>
      <c r="H2631" s="1"/>
      <c r="I2631" s="1"/>
      <c r="J2631" s="1"/>
      <c r="K2631" s="1"/>
      <c r="L2631" s="1"/>
      <c r="M2631" s="1"/>
      <c r="N2631" s="1"/>
      <c r="O2631" s="1"/>
      <c r="P2631" s="1"/>
      <c r="Q2631" s="1"/>
      <c r="R2631" s="1"/>
      <c r="S2631" s="1"/>
      <c r="T2631" s="1"/>
      <c r="U2631" s="1"/>
      <c r="V2631" s="1"/>
      <c r="W2631" s="1"/>
      <c r="X2631" s="1"/>
      <c r="Y2631" s="1"/>
      <c r="Z2631" s="1"/>
      <c r="AA2631" s="1"/>
      <c r="AB2631" s="1"/>
      <c r="AC2631" s="1"/>
      <c r="AD2631" s="1"/>
      <c r="AE2631" s="1"/>
      <c r="AF2631" s="1"/>
      <c r="AG2631" s="1"/>
      <c r="AH2631" s="1"/>
    </row>
    <row r="2632" spans="1:34" ht="12.5">
      <c r="A2632" s="1"/>
      <c r="B2632" s="1"/>
      <c r="C2632" s="1"/>
      <c r="D2632" s="1"/>
      <c r="E2632" s="1"/>
      <c r="F2632" s="1"/>
      <c r="G2632" s="1"/>
      <c r="H2632" s="1"/>
      <c r="I2632" s="1"/>
      <c r="J2632" s="1"/>
      <c r="K2632" s="1"/>
      <c r="L2632" s="1"/>
      <c r="M2632" s="1"/>
      <c r="N2632" s="1"/>
      <c r="O2632" s="1"/>
      <c r="P2632" s="1"/>
      <c r="Q2632" s="1"/>
      <c r="R2632" s="1"/>
      <c r="S2632" s="1"/>
      <c r="T2632" s="1"/>
      <c r="U2632" s="1"/>
      <c r="V2632" s="1"/>
      <c r="W2632" s="1"/>
      <c r="X2632" s="1"/>
      <c r="Y2632" s="1"/>
      <c r="Z2632" s="1"/>
      <c r="AA2632" s="1"/>
      <c r="AB2632" s="1"/>
      <c r="AC2632" s="1"/>
      <c r="AD2632" s="1"/>
      <c r="AE2632" s="1"/>
      <c r="AF2632" s="1"/>
      <c r="AG2632" s="1"/>
      <c r="AH2632" s="1"/>
    </row>
    <row r="2633" spans="1:34" ht="12.5">
      <c r="A2633" s="1"/>
      <c r="B2633" s="1"/>
      <c r="C2633" s="1"/>
      <c r="D2633" s="1"/>
      <c r="E2633" s="1"/>
      <c r="F2633" s="1"/>
      <c r="G2633" s="1"/>
      <c r="H2633" s="1"/>
      <c r="I2633" s="1"/>
      <c r="J2633" s="1"/>
      <c r="K2633" s="1"/>
      <c r="L2633" s="1"/>
      <c r="M2633" s="1"/>
      <c r="N2633" s="1"/>
      <c r="O2633" s="1"/>
      <c r="P2633" s="1"/>
      <c r="Q2633" s="1"/>
      <c r="R2633" s="1"/>
      <c r="S2633" s="1"/>
      <c r="T2633" s="1"/>
      <c r="U2633" s="1"/>
      <c r="V2633" s="1"/>
      <c r="W2633" s="1"/>
      <c r="X2633" s="1"/>
      <c r="Y2633" s="1"/>
      <c r="Z2633" s="1"/>
      <c r="AA2633" s="1"/>
      <c r="AB2633" s="1"/>
      <c r="AC2633" s="1"/>
      <c r="AD2633" s="1"/>
      <c r="AE2633" s="1"/>
      <c r="AF2633" s="1"/>
      <c r="AG2633" s="1"/>
      <c r="AH2633" s="1"/>
    </row>
    <row r="2634" spans="1:34" ht="12.5">
      <c r="A2634" s="1"/>
      <c r="B2634" s="1"/>
      <c r="C2634" s="1"/>
      <c r="D2634" s="1"/>
      <c r="E2634" s="1"/>
      <c r="F2634" s="1"/>
      <c r="G2634" s="1"/>
      <c r="H2634" s="1"/>
      <c r="I2634" s="1"/>
      <c r="J2634" s="1"/>
      <c r="K2634" s="1"/>
      <c r="L2634" s="1"/>
      <c r="M2634" s="1"/>
      <c r="N2634" s="1"/>
      <c r="O2634" s="1"/>
      <c r="P2634" s="1"/>
      <c r="Q2634" s="1"/>
      <c r="R2634" s="1"/>
      <c r="S2634" s="1"/>
      <c r="T2634" s="1"/>
      <c r="U2634" s="1"/>
      <c r="V2634" s="1"/>
      <c r="W2634" s="1"/>
      <c r="X2634" s="1"/>
      <c r="Y2634" s="1"/>
      <c r="Z2634" s="1"/>
      <c r="AA2634" s="1"/>
      <c r="AB2634" s="1"/>
      <c r="AC2634" s="1"/>
      <c r="AD2634" s="1"/>
      <c r="AE2634" s="1"/>
      <c r="AF2634" s="1"/>
      <c r="AG2634" s="1"/>
      <c r="AH2634" s="1"/>
    </row>
    <row r="2635" spans="1:34" ht="12.5">
      <c r="A2635" s="1"/>
      <c r="B2635" s="1"/>
      <c r="C2635" s="1"/>
      <c r="D2635" s="1"/>
      <c r="E2635" s="1"/>
      <c r="F2635" s="1"/>
      <c r="G2635" s="1"/>
      <c r="H2635" s="1"/>
      <c r="I2635" s="1"/>
      <c r="J2635" s="1"/>
      <c r="K2635" s="1"/>
      <c r="L2635" s="1"/>
      <c r="M2635" s="1"/>
      <c r="N2635" s="1"/>
      <c r="O2635" s="1"/>
      <c r="P2635" s="1"/>
      <c r="Q2635" s="1"/>
      <c r="R2635" s="1"/>
      <c r="S2635" s="1"/>
      <c r="T2635" s="1"/>
      <c r="U2635" s="1"/>
      <c r="V2635" s="1"/>
      <c r="W2635" s="1"/>
      <c r="X2635" s="1"/>
      <c r="Y2635" s="1"/>
      <c r="Z2635" s="1"/>
      <c r="AA2635" s="1"/>
      <c r="AB2635" s="1"/>
      <c r="AC2635" s="1"/>
      <c r="AD2635" s="1"/>
      <c r="AE2635" s="1"/>
      <c r="AF2635" s="1"/>
      <c r="AG2635" s="1"/>
      <c r="AH2635" s="1"/>
    </row>
    <row r="2636" spans="1:34" ht="12.5">
      <c r="A2636" s="1"/>
      <c r="B2636" s="1"/>
      <c r="C2636" s="1"/>
      <c r="D2636" s="1"/>
      <c r="E2636" s="1"/>
      <c r="F2636" s="1"/>
      <c r="G2636" s="1"/>
      <c r="H2636" s="1"/>
      <c r="I2636" s="1"/>
      <c r="J2636" s="1"/>
      <c r="K2636" s="1"/>
      <c r="L2636" s="1"/>
      <c r="M2636" s="1"/>
      <c r="N2636" s="1"/>
      <c r="O2636" s="1"/>
      <c r="P2636" s="1"/>
      <c r="Q2636" s="1"/>
      <c r="R2636" s="1"/>
      <c r="S2636" s="1"/>
      <c r="T2636" s="1"/>
      <c r="U2636" s="1"/>
      <c r="V2636" s="1"/>
      <c r="W2636" s="1"/>
      <c r="X2636" s="1"/>
      <c r="Y2636" s="1"/>
      <c r="Z2636" s="1"/>
      <c r="AA2636" s="1"/>
      <c r="AB2636" s="1"/>
      <c r="AC2636" s="1"/>
      <c r="AD2636" s="1"/>
      <c r="AE2636" s="1"/>
      <c r="AF2636" s="1"/>
      <c r="AG2636" s="1"/>
      <c r="AH2636" s="1"/>
    </row>
    <row r="2637" spans="1:34" ht="12.5">
      <c r="A2637" s="1"/>
      <c r="B2637" s="1"/>
      <c r="C2637" s="1"/>
      <c r="D2637" s="1"/>
      <c r="E2637" s="1"/>
      <c r="F2637" s="1"/>
      <c r="G2637" s="1"/>
      <c r="H2637" s="1"/>
      <c r="I2637" s="1"/>
      <c r="J2637" s="1"/>
      <c r="K2637" s="1"/>
      <c r="L2637" s="1"/>
      <c r="M2637" s="1"/>
      <c r="N2637" s="1"/>
      <c r="O2637" s="1"/>
      <c r="P2637" s="1"/>
      <c r="Q2637" s="1"/>
      <c r="R2637" s="1"/>
      <c r="S2637" s="1"/>
      <c r="T2637" s="1"/>
      <c r="U2637" s="1"/>
      <c r="V2637" s="1"/>
      <c r="W2637" s="1"/>
      <c r="X2637" s="1"/>
      <c r="Y2637" s="1"/>
      <c r="Z2637" s="1"/>
      <c r="AA2637" s="1"/>
      <c r="AB2637" s="1"/>
      <c r="AC2637" s="1"/>
      <c r="AD2637" s="1"/>
      <c r="AE2637" s="1"/>
      <c r="AF2637" s="1"/>
      <c r="AG2637" s="1"/>
      <c r="AH2637" s="1"/>
    </row>
    <row r="2638" spans="1:34" ht="12.5">
      <c r="A2638" s="1"/>
      <c r="B2638" s="1"/>
      <c r="C2638" s="1"/>
      <c r="D2638" s="1"/>
      <c r="E2638" s="1"/>
      <c r="F2638" s="1"/>
      <c r="G2638" s="1"/>
      <c r="H2638" s="1"/>
      <c r="I2638" s="1"/>
      <c r="J2638" s="1"/>
      <c r="K2638" s="1"/>
      <c r="L2638" s="1"/>
      <c r="M2638" s="1"/>
      <c r="N2638" s="1"/>
      <c r="O2638" s="1"/>
      <c r="P2638" s="1"/>
      <c r="Q2638" s="1"/>
      <c r="R2638" s="1"/>
      <c r="S2638" s="1"/>
      <c r="T2638" s="1"/>
      <c r="U2638" s="1"/>
      <c r="V2638" s="1"/>
      <c r="W2638" s="1"/>
      <c r="X2638" s="1"/>
      <c r="Y2638" s="1"/>
      <c r="Z2638" s="1"/>
      <c r="AA2638" s="1"/>
      <c r="AB2638" s="1"/>
      <c r="AC2638" s="1"/>
      <c r="AD2638" s="1"/>
      <c r="AE2638" s="1"/>
      <c r="AF2638" s="1"/>
      <c r="AG2638" s="1"/>
      <c r="AH2638" s="1"/>
    </row>
    <row r="2639" spans="1:34" ht="12.5">
      <c r="A2639" s="1"/>
      <c r="B2639" s="1"/>
      <c r="C2639" s="1"/>
      <c r="D2639" s="1"/>
      <c r="E2639" s="1"/>
      <c r="F2639" s="1"/>
      <c r="G2639" s="1"/>
      <c r="H2639" s="1"/>
      <c r="I2639" s="1"/>
      <c r="J2639" s="1"/>
      <c r="K2639" s="1"/>
      <c r="L2639" s="1"/>
      <c r="M2639" s="1"/>
      <c r="N2639" s="1"/>
      <c r="O2639" s="1"/>
      <c r="P2639" s="1"/>
      <c r="Q2639" s="1"/>
      <c r="R2639" s="1"/>
      <c r="S2639" s="1"/>
      <c r="T2639" s="1"/>
      <c r="U2639" s="1"/>
      <c r="V2639" s="1"/>
      <c r="W2639" s="1"/>
      <c r="X2639" s="1"/>
      <c r="Y2639" s="1"/>
      <c r="Z2639" s="1"/>
      <c r="AA2639" s="1"/>
      <c r="AB2639" s="1"/>
      <c r="AC2639" s="1"/>
      <c r="AD2639" s="1"/>
      <c r="AE2639" s="1"/>
      <c r="AF2639" s="1"/>
      <c r="AG2639" s="1"/>
      <c r="AH2639" s="1"/>
    </row>
    <row r="2640" spans="1:34" ht="12.5">
      <c r="A2640" s="1"/>
      <c r="B2640" s="1"/>
      <c r="C2640" s="1"/>
      <c r="D2640" s="1"/>
      <c r="E2640" s="1"/>
      <c r="F2640" s="1"/>
      <c r="G2640" s="1"/>
      <c r="H2640" s="1"/>
      <c r="I2640" s="1"/>
      <c r="J2640" s="1"/>
      <c r="K2640" s="1"/>
      <c r="L2640" s="1"/>
      <c r="M2640" s="1"/>
      <c r="N2640" s="1"/>
      <c r="O2640" s="1"/>
      <c r="P2640" s="1"/>
      <c r="Q2640" s="1"/>
      <c r="R2640" s="1"/>
      <c r="S2640" s="1"/>
      <c r="T2640" s="1"/>
      <c r="U2640" s="1"/>
      <c r="V2640" s="1"/>
      <c r="W2640" s="1"/>
      <c r="X2640" s="1"/>
      <c r="Y2640" s="1"/>
      <c r="Z2640" s="1"/>
      <c r="AA2640" s="1"/>
      <c r="AB2640" s="1"/>
      <c r="AC2640" s="1"/>
      <c r="AD2640" s="1"/>
      <c r="AE2640" s="1"/>
      <c r="AF2640" s="1"/>
      <c r="AG2640" s="1"/>
      <c r="AH2640" s="1"/>
    </row>
    <row r="2641" spans="1:34" ht="12.5">
      <c r="A2641" s="1"/>
      <c r="B2641" s="1"/>
      <c r="C2641" s="1"/>
      <c r="D2641" s="1"/>
      <c r="E2641" s="1"/>
      <c r="F2641" s="1"/>
      <c r="G2641" s="1"/>
      <c r="H2641" s="1"/>
      <c r="I2641" s="1"/>
      <c r="J2641" s="1"/>
      <c r="K2641" s="1"/>
      <c r="L2641" s="1"/>
      <c r="M2641" s="1"/>
      <c r="N2641" s="1"/>
      <c r="O2641" s="1"/>
      <c r="P2641" s="1"/>
      <c r="Q2641" s="1"/>
      <c r="R2641" s="1"/>
      <c r="S2641" s="1"/>
      <c r="T2641" s="1"/>
      <c r="U2641" s="1"/>
      <c r="V2641" s="1"/>
      <c r="W2641" s="1"/>
      <c r="X2641" s="1"/>
      <c r="Y2641" s="1"/>
      <c r="Z2641" s="1"/>
      <c r="AA2641" s="1"/>
      <c r="AB2641" s="1"/>
      <c r="AC2641" s="1"/>
      <c r="AD2641" s="1"/>
      <c r="AE2641" s="1"/>
      <c r="AF2641" s="1"/>
      <c r="AG2641" s="1"/>
      <c r="AH2641" s="1"/>
    </row>
    <row r="2642" spans="1:34" ht="12.5">
      <c r="A2642" s="1"/>
      <c r="B2642" s="1"/>
      <c r="C2642" s="1"/>
      <c r="D2642" s="1"/>
      <c r="E2642" s="1"/>
      <c r="F2642" s="1"/>
      <c r="G2642" s="1"/>
      <c r="H2642" s="1"/>
      <c r="I2642" s="1"/>
      <c r="J2642" s="1"/>
      <c r="K2642" s="1"/>
      <c r="L2642" s="1"/>
      <c r="M2642" s="1"/>
      <c r="N2642" s="1"/>
      <c r="O2642" s="1"/>
      <c r="P2642" s="1"/>
      <c r="Q2642" s="1"/>
      <c r="R2642" s="1"/>
      <c r="S2642" s="1"/>
      <c r="T2642" s="1"/>
      <c r="U2642" s="1"/>
      <c r="V2642" s="1"/>
      <c r="W2642" s="1"/>
      <c r="X2642" s="1"/>
      <c r="Y2642" s="1"/>
      <c r="Z2642" s="1"/>
      <c r="AA2642" s="1"/>
      <c r="AB2642" s="1"/>
      <c r="AC2642" s="1"/>
      <c r="AD2642" s="1"/>
      <c r="AE2642" s="1"/>
      <c r="AF2642" s="1"/>
      <c r="AG2642" s="1"/>
      <c r="AH2642" s="1"/>
    </row>
    <row r="2643" spans="1:34" ht="12.5">
      <c r="A2643" s="1"/>
      <c r="B2643" s="1"/>
      <c r="C2643" s="1"/>
      <c r="D2643" s="1"/>
      <c r="E2643" s="1"/>
      <c r="F2643" s="1"/>
      <c r="G2643" s="1"/>
      <c r="H2643" s="1"/>
      <c r="I2643" s="1"/>
      <c r="J2643" s="1"/>
      <c r="K2643" s="1"/>
      <c r="L2643" s="1"/>
      <c r="M2643" s="1"/>
      <c r="N2643" s="1"/>
      <c r="O2643" s="1"/>
      <c r="P2643" s="1"/>
      <c r="Q2643" s="1"/>
      <c r="R2643" s="1"/>
      <c r="S2643" s="1"/>
      <c r="T2643" s="1"/>
      <c r="U2643" s="1"/>
      <c r="V2643" s="1"/>
      <c r="W2643" s="1"/>
      <c r="X2643" s="1"/>
      <c r="Y2643" s="1"/>
      <c r="Z2643" s="1"/>
      <c r="AA2643" s="1"/>
      <c r="AB2643" s="1"/>
      <c r="AC2643" s="1"/>
      <c r="AD2643" s="1"/>
      <c r="AE2643" s="1"/>
      <c r="AF2643" s="1"/>
      <c r="AG2643" s="1"/>
      <c r="AH2643" s="1"/>
    </row>
    <row r="2644" spans="1:34" ht="12.5">
      <c r="A2644" s="1"/>
      <c r="B2644" s="1"/>
      <c r="C2644" s="1"/>
      <c r="D2644" s="1"/>
      <c r="E2644" s="1"/>
      <c r="F2644" s="1"/>
      <c r="G2644" s="1"/>
      <c r="H2644" s="1"/>
      <c r="I2644" s="1"/>
      <c r="J2644" s="1"/>
      <c r="K2644" s="1"/>
      <c r="L2644" s="1"/>
      <c r="M2644" s="1"/>
      <c r="N2644" s="1"/>
      <c r="O2644" s="1"/>
      <c r="P2644" s="1"/>
      <c r="Q2644" s="1"/>
      <c r="R2644" s="1"/>
      <c r="S2644" s="1"/>
      <c r="T2644" s="1"/>
      <c r="U2644" s="1"/>
      <c r="V2644" s="1"/>
      <c r="W2644" s="1"/>
      <c r="X2644" s="1"/>
      <c r="Y2644" s="1"/>
      <c r="Z2644" s="1"/>
      <c r="AA2644" s="1"/>
      <c r="AB2644" s="1"/>
      <c r="AC2644" s="1"/>
      <c r="AD2644" s="1"/>
      <c r="AE2644" s="1"/>
      <c r="AF2644" s="1"/>
      <c r="AG2644" s="1"/>
      <c r="AH2644" s="1"/>
    </row>
    <row r="2645" spans="1:34" ht="12.5">
      <c r="A2645" s="1"/>
      <c r="B2645" s="1"/>
      <c r="C2645" s="1"/>
      <c r="D2645" s="1"/>
      <c r="E2645" s="1"/>
      <c r="F2645" s="1"/>
      <c r="G2645" s="1"/>
      <c r="H2645" s="1"/>
      <c r="I2645" s="1"/>
      <c r="J2645" s="1"/>
      <c r="K2645" s="1"/>
      <c r="L2645" s="1"/>
      <c r="M2645" s="1"/>
      <c r="N2645" s="1"/>
      <c r="O2645" s="1"/>
      <c r="P2645" s="1"/>
      <c r="Q2645" s="1"/>
      <c r="R2645" s="1"/>
      <c r="S2645" s="1"/>
      <c r="T2645" s="1"/>
      <c r="U2645" s="1"/>
      <c r="V2645" s="1"/>
      <c r="W2645" s="1"/>
      <c r="X2645" s="1"/>
      <c r="Y2645" s="1"/>
      <c r="Z2645" s="1"/>
      <c r="AA2645" s="1"/>
      <c r="AB2645" s="1"/>
      <c r="AC2645" s="1"/>
      <c r="AD2645" s="1"/>
      <c r="AE2645" s="1"/>
      <c r="AF2645" s="1"/>
      <c r="AG2645" s="1"/>
      <c r="AH2645" s="1"/>
    </row>
    <row r="2646" spans="1:34" ht="12.5">
      <c r="A2646" s="1"/>
      <c r="B2646" s="1"/>
      <c r="C2646" s="1"/>
      <c r="D2646" s="1"/>
      <c r="E2646" s="1"/>
      <c r="F2646" s="1"/>
      <c r="G2646" s="1"/>
      <c r="H2646" s="1"/>
      <c r="I2646" s="1"/>
      <c r="J2646" s="1"/>
      <c r="K2646" s="1"/>
      <c r="L2646" s="1"/>
      <c r="M2646" s="1"/>
      <c r="N2646" s="1"/>
      <c r="O2646" s="1"/>
      <c r="P2646" s="1"/>
      <c r="Q2646" s="1"/>
      <c r="R2646" s="1"/>
      <c r="S2646" s="1"/>
      <c r="T2646" s="1"/>
      <c r="U2646" s="1"/>
      <c r="V2646" s="1"/>
      <c r="W2646" s="1"/>
      <c r="X2646" s="1"/>
      <c r="Y2646" s="1"/>
      <c r="Z2646" s="1"/>
      <c r="AA2646" s="1"/>
      <c r="AB2646" s="1"/>
      <c r="AC2646" s="1"/>
      <c r="AD2646" s="1"/>
      <c r="AE2646" s="1"/>
      <c r="AF2646" s="1"/>
      <c r="AG2646" s="1"/>
      <c r="AH2646" s="1"/>
    </row>
    <row r="2647" spans="1:34" ht="12.5">
      <c r="A2647" s="1"/>
      <c r="B2647" s="1"/>
      <c r="C2647" s="1"/>
      <c r="D2647" s="1"/>
      <c r="E2647" s="1"/>
      <c r="F2647" s="1"/>
      <c r="G2647" s="1"/>
      <c r="H2647" s="1"/>
      <c r="I2647" s="1"/>
      <c r="J2647" s="1"/>
      <c r="K2647" s="1"/>
      <c r="L2647" s="1"/>
      <c r="M2647" s="1"/>
      <c r="N2647" s="1"/>
      <c r="O2647" s="1"/>
      <c r="P2647" s="1"/>
      <c r="Q2647" s="1"/>
      <c r="R2647" s="1"/>
      <c r="S2647" s="1"/>
      <c r="T2647" s="1"/>
      <c r="U2647" s="1"/>
      <c r="V2647" s="1"/>
      <c r="W2647" s="1"/>
      <c r="X2647" s="1"/>
      <c r="Y2647" s="1"/>
      <c r="Z2647" s="1"/>
      <c r="AA2647" s="1"/>
      <c r="AB2647" s="1"/>
      <c r="AC2647" s="1"/>
      <c r="AD2647" s="1"/>
      <c r="AE2647" s="1"/>
      <c r="AF2647" s="1"/>
      <c r="AG2647" s="1"/>
      <c r="AH2647" s="1"/>
    </row>
    <row r="2648" spans="1:34" ht="12.5">
      <c r="A2648" s="1"/>
      <c r="B2648" s="1"/>
      <c r="C2648" s="1"/>
      <c r="D2648" s="1"/>
      <c r="E2648" s="1"/>
      <c r="F2648" s="1"/>
      <c r="G2648" s="1"/>
      <c r="H2648" s="1"/>
      <c r="I2648" s="1"/>
      <c r="J2648" s="1"/>
      <c r="K2648" s="1"/>
      <c r="L2648" s="1"/>
      <c r="M2648" s="1"/>
      <c r="N2648" s="1"/>
      <c r="O2648" s="1"/>
      <c r="P2648" s="1"/>
      <c r="Q2648" s="1"/>
      <c r="R2648" s="1"/>
      <c r="S2648" s="1"/>
      <c r="T2648" s="1"/>
      <c r="U2648" s="1"/>
      <c r="V2648" s="1"/>
      <c r="W2648" s="1"/>
      <c r="X2648" s="1"/>
      <c r="Y2648" s="1"/>
      <c r="Z2648" s="1"/>
      <c r="AA2648" s="1"/>
      <c r="AB2648" s="1"/>
      <c r="AC2648" s="1"/>
      <c r="AD2648" s="1"/>
      <c r="AE2648" s="1"/>
      <c r="AF2648" s="1"/>
      <c r="AG2648" s="1"/>
      <c r="AH2648" s="1"/>
    </row>
    <row r="2649" spans="1:34" ht="12.5">
      <c r="A2649" s="1"/>
      <c r="B2649" s="1"/>
      <c r="C2649" s="1"/>
      <c r="D2649" s="1"/>
      <c r="E2649" s="1"/>
      <c r="F2649" s="1"/>
      <c r="G2649" s="1"/>
      <c r="H2649" s="1"/>
      <c r="I2649" s="1"/>
      <c r="J2649" s="1"/>
      <c r="K2649" s="1"/>
      <c r="L2649" s="1"/>
      <c r="M2649" s="1"/>
      <c r="N2649" s="1"/>
      <c r="O2649" s="1"/>
      <c r="P2649" s="1"/>
      <c r="Q2649" s="1"/>
      <c r="R2649" s="1"/>
      <c r="S2649" s="1"/>
      <c r="T2649" s="1"/>
      <c r="U2649" s="1"/>
      <c r="V2649" s="1"/>
      <c r="W2649" s="1"/>
      <c r="X2649" s="1"/>
      <c r="Y2649" s="1"/>
      <c r="Z2649" s="1"/>
      <c r="AA2649" s="1"/>
      <c r="AB2649" s="1"/>
      <c r="AC2649" s="1"/>
      <c r="AD2649" s="1"/>
      <c r="AE2649" s="1"/>
      <c r="AF2649" s="1"/>
      <c r="AG2649" s="1"/>
      <c r="AH2649" s="1"/>
    </row>
    <row r="2650" spans="1:34" ht="12.5">
      <c r="A2650" s="1"/>
      <c r="B2650" s="1"/>
      <c r="C2650" s="1"/>
      <c r="D2650" s="1"/>
      <c r="E2650" s="1"/>
      <c r="F2650" s="1"/>
      <c r="G2650" s="1"/>
      <c r="H2650" s="1"/>
      <c r="I2650" s="1"/>
      <c r="J2650" s="1"/>
      <c r="K2650" s="1"/>
      <c r="L2650" s="1"/>
      <c r="M2650" s="1"/>
      <c r="N2650" s="1"/>
      <c r="O2650" s="1"/>
      <c r="P2650" s="1"/>
      <c r="Q2650" s="1"/>
      <c r="R2650" s="1"/>
      <c r="S2650" s="1"/>
      <c r="T2650" s="1"/>
      <c r="U2650" s="1"/>
      <c r="V2650" s="1"/>
      <c r="W2650" s="1"/>
      <c r="X2650" s="1"/>
      <c r="Y2650" s="1"/>
      <c r="Z2650" s="1"/>
      <c r="AA2650" s="1"/>
      <c r="AB2650" s="1"/>
      <c r="AC2650" s="1"/>
      <c r="AD2650" s="1"/>
      <c r="AE2650" s="1"/>
      <c r="AF2650" s="1"/>
      <c r="AG2650" s="1"/>
      <c r="AH2650" s="1"/>
    </row>
    <row r="2651" spans="1:34" ht="12.5">
      <c r="A2651" s="1"/>
      <c r="B2651" s="1"/>
      <c r="C2651" s="1"/>
      <c r="D2651" s="1"/>
      <c r="E2651" s="1"/>
      <c r="F2651" s="1"/>
      <c r="G2651" s="1"/>
      <c r="H2651" s="1"/>
      <c r="I2651" s="1"/>
      <c r="J2651" s="1"/>
      <c r="K2651" s="1"/>
      <c r="L2651" s="1"/>
      <c r="M2651" s="1"/>
      <c r="N2651" s="1"/>
      <c r="O2651" s="1"/>
      <c r="P2651" s="1"/>
      <c r="Q2651" s="1"/>
      <c r="R2651" s="1"/>
      <c r="S2651" s="1"/>
      <c r="T2651" s="1"/>
      <c r="U2651" s="1"/>
      <c r="V2651" s="1"/>
      <c r="W2651" s="1"/>
      <c r="X2651" s="1"/>
      <c r="Y2651" s="1"/>
      <c r="Z2651" s="1"/>
      <c r="AA2651" s="1"/>
      <c r="AB2651" s="1"/>
      <c r="AC2651" s="1"/>
      <c r="AD2651" s="1"/>
      <c r="AE2651" s="1"/>
      <c r="AF2651" s="1"/>
      <c r="AG2651" s="1"/>
      <c r="AH2651" s="1"/>
    </row>
    <row r="2652" spans="1:34" ht="12.5">
      <c r="A2652" s="1"/>
      <c r="B2652" s="1"/>
      <c r="C2652" s="1"/>
      <c r="D2652" s="1"/>
      <c r="E2652" s="1"/>
      <c r="F2652" s="1"/>
      <c r="G2652" s="1"/>
      <c r="H2652" s="1"/>
      <c r="I2652" s="1"/>
      <c r="J2652" s="1"/>
      <c r="K2652" s="1"/>
      <c r="L2652" s="1"/>
      <c r="M2652" s="1"/>
      <c r="N2652" s="1"/>
      <c r="O2652" s="1"/>
      <c r="P2652" s="1"/>
      <c r="Q2652" s="1"/>
      <c r="R2652" s="1"/>
      <c r="S2652" s="1"/>
      <c r="T2652" s="1"/>
      <c r="U2652" s="1"/>
      <c r="V2652" s="1"/>
      <c r="W2652" s="1"/>
      <c r="X2652" s="1"/>
      <c r="Y2652" s="1"/>
      <c r="Z2652" s="1"/>
      <c r="AA2652" s="1"/>
      <c r="AB2652" s="1"/>
      <c r="AC2652" s="1"/>
      <c r="AD2652" s="1"/>
      <c r="AE2652" s="1"/>
      <c r="AF2652" s="1"/>
      <c r="AG2652" s="1"/>
      <c r="AH2652" s="1"/>
    </row>
    <row r="2653" spans="1:34" ht="12.5">
      <c r="A2653" s="1"/>
      <c r="B2653" s="1"/>
      <c r="C2653" s="1"/>
      <c r="D2653" s="1"/>
      <c r="E2653" s="1"/>
      <c r="F2653" s="1"/>
      <c r="G2653" s="1"/>
      <c r="H2653" s="1"/>
      <c r="I2653" s="1"/>
      <c r="J2653" s="1"/>
      <c r="K2653" s="1"/>
      <c r="L2653" s="1"/>
      <c r="M2653" s="1"/>
      <c r="N2653" s="1"/>
      <c r="O2653" s="1"/>
      <c r="P2653" s="1"/>
      <c r="Q2653" s="1"/>
      <c r="R2653" s="1"/>
      <c r="S2653" s="1"/>
      <c r="T2653" s="1"/>
      <c r="U2653" s="1"/>
      <c r="V2653" s="1"/>
      <c r="W2653" s="1"/>
      <c r="X2653" s="1"/>
      <c r="Y2653" s="1"/>
      <c r="Z2653" s="1"/>
      <c r="AA2653" s="1"/>
      <c r="AB2653" s="1"/>
      <c r="AC2653" s="1"/>
      <c r="AD2653" s="1"/>
      <c r="AE2653" s="1"/>
      <c r="AF2653" s="1"/>
      <c r="AG2653" s="1"/>
      <c r="AH2653" s="1"/>
    </row>
    <row r="2654" spans="1:34" ht="12.5">
      <c r="A2654" s="1"/>
      <c r="B2654" s="1"/>
      <c r="C2654" s="1"/>
      <c r="D2654" s="1"/>
      <c r="E2654" s="1"/>
      <c r="F2654" s="1"/>
      <c r="G2654" s="1"/>
      <c r="H2654" s="1"/>
      <c r="I2654" s="1"/>
      <c r="J2654" s="1"/>
      <c r="K2654" s="1"/>
      <c r="L2654" s="1"/>
      <c r="M2654" s="1"/>
      <c r="N2654" s="1"/>
      <c r="O2654" s="1"/>
      <c r="P2654" s="1"/>
      <c r="Q2654" s="1"/>
      <c r="R2654" s="1"/>
      <c r="S2654" s="1"/>
      <c r="T2654" s="1"/>
      <c r="U2654" s="1"/>
      <c r="V2654" s="1"/>
      <c r="W2654" s="1"/>
      <c r="X2654" s="1"/>
      <c r="Y2654" s="1"/>
      <c r="Z2654" s="1"/>
      <c r="AA2654" s="1"/>
      <c r="AB2654" s="1"/>
      <c r="AC2654" s="1"/>
      <c r="AD2654" s="1"/>
      <c r="AE2654" s="1"/>
      <c r="AF2654" s="1"/>
      <c r="AG2654" s="1"/>
      <c r="AH2654" s="1"/>
    </row>
    <row r="2655" spans="1:34" ht="12.5">
      <c r="A2655" s="1"/>
      <c r="B2655" s="1"/>
      <c r="C2655" s="1"/>
      <c r="D2655" s="1"/>
      <c r="E2655" s="1"/>
      <c r="F2655" s="1"/>
      <c r="G2655" s="1"/>
      <c r="H2655" s="1"/>
      <c r="I2655" s="1"/>
      <c r="J2655" s="1"/>
      <c r="K2655" s="1"/>
      <c r="L2655" s="1"/>
      <c r="M2655" s="1"/>
      <c r="N2655" s="1"/>
      <c r="O2655" s="1"/>
      <c r="P2655" s="1"/>
      <c r="Q2655" s="1"/>
      <c r="R2655" s="1"/>
      <c r="S2655" s="1"/>
      <c r="T2655" s="1"/>
      <c r="U2655" s="1"/>
      <c r="V2655" s="1"/>
      <c r="W2655" s="1"/>
      <c r="X2655" s="1"/>
      <c r="Y2655" s="1"/>
      <c r="Z2655" s="1"/>
      <c r="AA2655" s="1"/>
      <c r="AB2655" s="1"/>
      <c r="AC2655" s="1"/>
      <c r="AD2655" s="1"/>
      <c r="AE2655" s="1"/>
      <c r="AF2655" s="1"/>
      <c r="AG2655" s="1"/>
      <c r="AH2655" s="1"/>
    </row>
    <row r="2656" spans="1:34" ht="12.5">
      <c r="A2656" s="1"/>
      <c r="B2656" s="1"/>
      <c r="C2656" s="1"/>
      <c r="D2656" s="1"/>
      <c r="E2656" s="1"/>
      <c r="F2656" s="1"/>
      <c r="G2656" s="1"/>
      <c r="H2656" s="1"/>
      <c r="I2656" s="1"/>
      <c r="J2656" s="1"/>
      <c r="K2656" s="1"/>
      <c r="L2656" s="1"/>
      <c r="M2656" s="1"/>
      <c r="N2656" s="1"/>
      <c r="O2656" s="1"/>
      <c r="P2656" s="1"/>
      <c r="Q2656" s="1"/>
      <c r="R2656" s="1"/>
      <c r="S2656" s="1"/>
      <c r="T2656" s="1"/>
      <c r="U2656" s="1"/>
      <c r="V2656" s="1"/>
      <c r="W2656" s="1"/>
      <c r="X2656" s="1"/>
      <c r="Y2656" s="1"/>
      <c r="Z2656" s="1"/>
      <c r="AA2656" s="1"/>
      <c r="AB2656" s="1"/>
      <c r="AC2656" s="1"/>
      <c r="AD2656" s="1"/>
      <c r="AE2656" s="1"/>
      <c r="AF2656" s="1"/>
      <c r="AG2656" s="1"/>
      <c r="AH2656" s="1"/>
    </row>
    <row r="2657" spans="1:34" ht="12.5">
      <c r="A2657" s="1"/>
      <c r="B2657" s="1"/>
      <c r="C2657" s="1"/>
      <c r="D2657" s="1"/>
      <c r="E2657" s="1"/>
      <c r="F2657" s="1"/>
      <c r="G2657" s="1"/>
      <c r="H2657" s="1"/>
      <c r="I2657" s="1"/>
      <c r="J2657" s="1"/>
      <c r="K2657" s="1"/>
      <c r="L2657" s="1"/>
      <c r="M2657" s="1"/>
      <c r="N2657" s="1"/>
      <c r="O2657" s="1"/>
      <c r="P2657" s="1"/>
      <c r="Q2657" s="1"/>
      <c r="R2657" s="1"/>
      <c r="S2657" s="1"/>
      <c r="T2657" s="1"/>
      <c r="U2657" s="1"/>
      <c r="V2657" s="1"/>
      <c r="W2657" s="1"/>
      <c r="X2657" s="1"/>
      <c r="Y2657" s="1"/>
      <c r="Z2657" s="1"/>
      <c r="AA2657" s="1"/>
      <c r="AB2657" s="1"/>
      <c r="AC2657" s="1"/>
      <c r="AD2657" s="1"/>
      <c r="AE2657" s="1"/>
      <c r="AF2657" s="1"/>
      <c r="AG2657" s="1"/>
      <c r="AH2657" s="1"/>
    </row>
    <row r="2658" spans="1:34" ht="12.5">
      <c r="A2658" s="1"/>
      <c r="B2658" s="1"/>
      <c r="C2658" s="1"/>
      <c r="D2658" s="1"/>
      <c r="E2658" s="1"/>
      <c r="F2658" s="1"/>
      <c r="G2658" s="1"/>
      <c r="H2658" s="1"/>
      <c r="I2658" s="1"/>
      <c r="J2658" s="1"/>
      <c r="K2658" s="1"/>
      <c r="L2658" s="1"/>
      <c r="M2658" s="1"/>
      <c r="N2658" s="1"/>
      <c r="O2658" s="1"/>
      <c r="P2658" s="1"/>
      <c r="Q2658" s="1"/>
      <c r="R2658" s="1"/>
      <c r="S2658" s="1"/>
      <c r="T2658" s="1"/>
      <c r="U2658" s="1"/>
      <c r="V2658" s="1"/>
      <c r="W2658" s="1"/>
      <c r="X2658" s="1"/>
      <c r="Y2658" s="1"/>
      <c r="Z2658" s="1"/>
      <c r="AA2658" s="1"/>
      <c r="AB2658" s="1"/>
      <c r="AC2658" s="1"/>
      <c r="AD2658" s="1"/>
      <c r="AE2658" s="1"/>
      <c r="AF2658" s="1"/>
      <c r="AG2658" s="1"/>
      <c r="AH2658" s="1"/>
    </row>
    <row r="2659" spans="1:34" ht="12.5">
      <c r="A2659" s="1"/>
      <c r="B2659" s="1"/>
      <c r="C2659" s="1"/>
      <c r="D2659" s="1"/>
      <c r="E2659" s="1"/>
      <c r="F2659" s="1"/>
      <c r="G2659" s="1"/>
      <c r="H2659" s="1"/>
      <c r="I2659" s="1"/>
      <c r="J2659" s="1"/>
      <c r="K2659" s="1"/>
      <c r="L2659" s="1"/>
      <c r="M2659" s="1"/>
      <c r="N2659" s="1"/>
      <c r="O2659" s="1"/>
      <c r="P2659" s="1"/>
      <c r="Q2659" s="1"/>
      <c r="R2659" s="1"/>
      <c r="S2659" s="1"/>
      <c r="T2659" s="1"/>
      <c r="U2659" s="1"/>
      <c r="V2659" s="1"/>
      <c r="W2659" s="1"/>
      <c r="X2659" s="1"/>
      <c r="Y2659" s="1"/>
      <c r="Z2659" s="1"/>
      <c r="AA2659" s="1"/>
      <c r="AB2659" s="1"/>
      <c r="AC2659" s="1"/>
      <c r="AD2659" s="1"/>
      <c r="AE2659" s="1"/>
      <c r="AF2659" s="1"/>
      <c r="AG2659" s="1"/>
      <c r="AH2659" s="1"/>
    </row>
    <row r="2660" spans="1:34" ht="12.5">
      <c r="A2660" s="1"/>
      <c r="B2660" s="1"/>
      <c r="C2660" s="1"/>
      <c r="D2660" s="1"/>
      <c r="E2660" s="1"/>
      <c r="F2660" s="1"/>
      <c r="G2660" s="1"/>
      <c r="H2660" s="1"/>
      <c r="I2660" s="1"/>
      <c r="J2660" s="1"/>
      <c r="K2660" s="1"/>
      <c r="L2660" s="1"/>
      <c r="M2660" s="1"/>
      <c r="N2660" s="1"/>
      <c r="O2660" s="1"/>
      <c r="P2660" s="1"/>
      <c r="Q2660" s="1"/>
      <c r="R2660" s="1"/>
      <c r="S2660" s="1"/>
      <c r="T2660" s="1"/>
      <c r="U2660" s="1"/>
      <c r="V2660" s="1"/>
      <c r="W2660" s="1"/>
      <c r="X2660" s="1"/>
      <c r="Y2660" s="1"/>
      <c r="Z2660" s="1"/>
      <c r="AA2660" s="1"/>
      <c r="AB2660" s="1"/>
      <c r="AC2660" s="1"/>
      <c r="AD2660" s="1"/>
      <c r="AE2660" s="1"/>
      <c r="AF2660" s="1"/>
      <c r="AG2660" s="1"/>
      <c r="AH2660" s="1"/>
    </row>
    <row r="2661" spans="1:34" ht="12.5">
      <c r="A2661" s="1"/>
      <c r="B2661" s="1"/>
      <c r="C2661" s="1"/>
      <c r="D2661" s="1"/>
      <c r="E2661" s="1"/>
      <c r="F2661" s="1"/>
      <c r="G2661" s="1"/>
      <c r="H2661" s="1"/>
      <c r="I2661" s="1"/>
      <c r="J2661" s="1"/>
      <c r="K2661" s="1"/>
      <c r="L2661" s="1"/>
      <c r="M2661" s="1"/>
      <c r="N2661" s="1"/>
      <c r="O2661" s="1"/>
      <c r="P2661" s="1"/>
      <c r="Q2661" s="1"/>
      <c r="R2661" s="1"/>
      <c r="S2661" s="1"/>
      <c r="T2661" s="1"/>
      <c r="U2661" s="1"/>
      <c r="V2661" s="1"/>
      <c r="W2661" s="1"/>
      <c r="X2661" s="1"/>
      <c r="Y2661" s="1"/>
      <c r="Z2661" s="1"/>
      <c r="AA2661" s="1"/>
      <c r="AB2661" s="1"/>
      <c r="AC2661" s="1"/>
      <c r="AD2661" s="1"/>
      <c r="AE2661" s="1"/>
      <c r="AF2661" s="1"/>
      <c r="AG2661" s="1"/>
      <c r="AH2661" s="1"/>
    </row>
    <row r="2662" spans="1:34" ht="12.5">
      <c r="A2662" s="1"/>
      <c r="B2662" s="1"/>
      <c r="C2662" s="1"/>
      <c r="D2662" s="1"/>
      <c r="E2662" s="1"/>
      <c r="F2662" s="1"/>
      <c r="G2662" s="1"/>
      <c r="H2662" s="1"/>
      <c r="I2662" s="1"/>
      <c r="J2662" s="1"/>
      <c r="K2662" s="1"/>
      <c r="L2662" s="1"/>
      <c r="M2662" s="1"/>
      <c r="N2662" s="1"/>
      <c r="O2662" s="1"/>
      <c r="P2662" s="1"/>
      <c r="Q2662" s="1"/>
      <c r="R2662" s="1"/>
      <c r="S2662" s="1"/>
      <c r="T2662" s="1"/>
      <c r="U2662" s="1"/>
      <c r="V2662" s="1"/>
      <c r="W2662" s="1"/>
      <c r="X2662" s="1"/>
      <c r="Y2662" s="1"/>
      <c r="Z2662" s="1"/>
      <c r="AA2662" s="1"/>
      <c r="AB2662" s="1"/>
      <c r="AC2662" s="1"/>
      <c r="AD2662" s="1"/>
      <c r="AE2662" s="1"/>
      <c r="AF2662" s="1"/>
      <c r="AG2662" s="1"/>
      <c r="AH2662" s="1"/>
    </row>
    <row r="2663" spans="1:34" ht="12.5">
      <c r="A2663" s="1"/>
      <c r="B2663" s="1"/>
      <c r="C2663" s="1"/>
      <c r="D2663" s="1"/>
      <c r="E2663" s="1"/>
      <c r="F2663" s="1"/>
      <c r="G2663" s="1"/>
      <c r="H2663" s="1"/>
      <c r="I2663" s="1"/>
      <c r="J2663" s="1"/>
      <c r="K2663" s="1"/>
      <c r="L2663" s="1"/>
      <c r="M2663" s="1"/>
      <c r="N2663" s="1"/>
      <c r="O2663" s="1"/>
      <c r="P2663" s="1"/>
      <c r="Q2663" s="1"/>
      <c r="R2663" s="1"/>
      <c r="S2663" s="1"/>
      <c r="T2663" s="1"/>
      <c r="U2663" s="1"/>
      <c r="V2663" s="1"/>
      <c r="W2663" s="1"/>
      <c r="X2663" s="1"/>
      <c r="Y2663" s="1"/>
      <c r="Z2663" s="1"/>
      <c r="AA2663" s="1"/>
      <c r="AB2663" s="1"/>
      <c r="AC2663" s="1"/>
      <c r="AD2663" s="1"/>
      <c r="AE2663" s="1"/>
      <c r="AF2663" s="1"/>
      <c r="AG2663" s="1"/>
      <c r="AH2663" s="1"/>
    </row>
    <row r="2664" spans="1:34" ht="12.5">
      <c r="A2664" s="1"/>
      <c r="B2664" s="1"/>
      <c r="C2664" s="1"/>
      <c r="D2664" s="1"/>
      <c r="E2664" s="1"/>
      <c r="F2664" s="1"/>
      <c r="G2664" s="1"/>
      <c r="H2664" s="1"/>
      <c r="I2664" s="1"/>
      <c r="J2664" s="1"/>
      <c r="K2664" s="1"/>
      <c r="L2664" s="1"/>
      <c r="M2664" s="1"/>
      <c r="N2664" s="1"/>
      <c r="O2664" s="1"/>
      <c r="P2664" s="1"/>
      <c r="Q2664" s="1"/>
      <c r="R2664" s="1"/>
      <c r="S2664" s="1"/>
      <c r="T2664" s="1"/>
      <c r="U2664" s="1"/>
      <c r="V2664" s="1"/>
      <c r="W2664" s="1"/>
      <c r="X2664" s="1"/>
      <c r="Y2664" s="1"/>
      <c r="Z2664" s="1"/>
      <c r="AA2664" s="1"/>
      <c r="AB2664" s="1"/>
      <c r="AC2664" s="1"/>
      <c r="AD2664" s="1"/>
      <c r="AE2664" s="1"/>
      <c r="AF2664" s="1"/>
      <c r="AG2664" s="1"/>
      <c r="AH2664" s="1"/>
    </row>
    <row r="2665" spans="1:34" ht="12.5">
      <c r="A2665" s="1"/>
      <c r="B2665" s="1"/>
      <c r="C2665" s="1"/>
      <c r="D2665" s="1"/>
      <c r="E2665" s="1"/>
      <c r="F2665" s="1"/>
      <c r="G2665" s="1"/>
      <c r="H2665" s="1"/>
      <c r="I2665" s="1"/>
      <c r="J2665" s="1"/>
      <c r="K2665" s="1"/>
      <c r="L2665" s="1"/>
      <c r="M2665" s="1"/>
      <c r="N2665" s="1"/>
      <c r="O2665" s="1"/>
      <c r="P2665" s="1"/>
      <c r="Q2665" s="1"/>
      <c r="R2665" s="1"/>
      <c r="S2665" s="1"/>
      <c r="T2665" s="1"/>
      <c r="U2665" s="1"/>
      <c r="V2665" s="1"/>
      <c r="W2665" s="1"/>
      <c r="X2665" s="1"/>
      <c r="Y2665" s="1"/>
      <c r="Z2665" s="1"/>
      <c r="AA2665" s="1"/>
      <c r="AB2665" s="1"/>
      <c r="AC2665" s="1"/>
      <c r="AD2665" s="1"/>
      <c r="AE2665" s="1"/>
      <c r="AF2665" s="1"/>
      <c r="AG2665" s="1"/>
      <c r="AH2665" s="1"/>
    </row>
    <row r="2666" spans="1:34" ht="12.5">
      <c r="A2666" s="1"/>
      <c r="B2666" s="1"/>
      <c r="C2666" s="1"/>
      <c r="D2666" s="1"/>
      <c r="E2666" s="1"/>
      <c r="F2666" s="1"/>
      <c r="G2666" s="1"/>
      <c r="H2666" s="1"/>
      <c r="I2666" s="1"/>
      <c r="J2666" s="1"/>
      <c r="K2666" s="1"/>
      <c r="L2666" s="1"/>
      <c r="M2666" s="1"/>
      <c r="N2666" s="1"/>
      <c r="O2666" s="1"/>
      <c r="P2666" s="1"/>
      <c r="Q2666" s="1"/>
      <c r="R2666" s="1"/>
      <c r="S2666" s="1"/>
      <c r="T2666" s="1"/>
      <c r="U2666" s="1"/>
      <c r="V2666" s="1"/>
      <c r="W2666" s="1"/>
      <c r="X2666" s="1"/>
      <c r="Y2666" s="1"/>
      <c r="Z2666" s="1"/>
      <c r="AA2666" s="1"/>
      <c r="AB2666" s="1"/>
      <c r="AC2666" s="1"/>
      <c r="AD2666" s="1"/>
      <c r="AE2666" s="1"/>
      <c r="AF2666" s="1"/>
      <c r="AG2666" s="1"/>
      <c r="AH2666" s="1"/>
    </row>
    <row r="2667" spans="1:34" ht="12.5">
      <c r="A2667" s="1"/>
      <c r="B2667" s="1"/>
      <c r="C2667" s="1"/>
      <c r="D2667" s="1"/>
      <c r="E2667" s="1"/>
      <c r="F2667" s="1"/>
      <c r="G2667" s="1"/>
      <c r="H2667" s="1"/>
      <c r="I2667" s="1"/>
      <c r="J2667" s="1"/>
      <c r="K2667" s="1"/>
      <c r="L2667" s="1"/>
      <c r="M2667" s="1"/>
      <c r="N2667" s="1"/>
      <c r="O2667" s="1"/>
      <c r="P2667" s="1"/>
      <c r="Q2667" s="1"/>
      <c r="R2667" s="1"/>
      <c r="S2667" s="1"/>
      <c r="T2667" s="1"/>
      <c r="U2667" s="1"/>
      <c r="V2667" s="1"/>
      <c r="W2667" s="1"/>
      <c r="X2667" s="1"/>
      <c r="Y2667" s="1"/>
      <c r="Z2667" s="1"/>
      <c r="AA2667" s="1"/>
      <c r="AB2667" s="1"/>
      <c r="AC2667" s="1"/>
      <c r="AD2667" s="1"/>
      <c r="AE2667" s="1"/>
      <c r="AF2667" s="1"/>
      <c r="AG2667" s="1"/>
      <c r="AH2667" s="1"/>
    </row>
    <row r="2668" spans="1:34" ht="12.5">
      <c r="A2668" s="1"/>
      <c r="B2668" s="1"/>
      <c r="C2668" s="1"/>
      <c r="D2668" s="1"/>
      <c r="E2668" s="1"/>
      <c r="F2668" s="1"/>
      <c r="G2668" s="1"/>
      <c r="H2668" s="1"/>
      <c r="I2668" s="1"/>
      <c r="J2668" s="1"/>
      <c r="K2668" s="1"/>
      <c r="L2668" s="1"/>
      <c r="M2668" s="1"/>
      <c r="N2668" s="1"/>
      <c r="O2668" s="1"/>
      <c r="P2668" s="1"/>
      <c r="Q2668" s="1"/>
      <c r="R2668" s="1"/>
      <c r="S2668" s="1"/>
      <c r="T2668" s="1"/>
      <c r="U2668" s="1"/>
      <c r="V2668" s="1"/>
      <c r="W2668" s="1"/>
      <c r="X2668" s="1"/>
      <c r="Y2668" s="1"/>
      <c r="Z2668" s="1"/>
      <c r="AA2668" s="1"/>
      <c r="AB2668" s="1"/>
      <c r="AC2668" s="1"/>
      <c r="AD2668" s="1"/>
      <c r="AE2668" s="1"/>
      <c r="AF2668" s="1"/>
      <c r="AG2668" s="1"/>
      <c r="AH2668" s="1"/>
    </row>
    <row r="2669" spans="1:34" ht="12.5">
      <c r="A2669" s="1"/>
      <c r="B2669" s="1"/>
      <c r="C2669" s="1"/>
      <c r="D2669" s="1"/>
      <c r="E2669" s="1"/>
      <c r="F2669" s="1"/>
      <c r="G2669" s="1"/>
      <c r="H2669" s="1"/>
      <c r="I2669" s="1"/>
      <c r="J2669" s="1"/>
      <c r="K2669" s="1"/>
      <c r="L2669" s="1"/>
      <c r="M2669" s="1"/>
      <c r="N2669" s="1"/>
      <c r="O2669" s="1"/>
      <c r="P2669" s="1"/>
      <c r="Q2669" s="1"/>
      <c r="R2669" s="1"/>
      <c r="S2669" s="1"/>
      <c r="T2669" s="1"/>
      <c r="U2669" s="1"/>
      <c r="V2669" s="1"/>
      <c r="W2669" s="1"/>
      <c r="X2669" s="1"/>
      <c r="Y2669" s="1"/>
      <c r="Z2669" s="1"/>
      <c r="AA2669" s="1"/>
      <c r="AB2669" s="1"/>
      <c r="AC2669" s="1"/>
      <c r="AD2669" s="1"/>
      <c r="AE2669" s="1"/>
      <c r="AF2669" s="1"/>
      <c r="AG2669" s="1"/>
      <c r="AH2669" s="1"/>
    </row>
    <row r="2670" spans="1:34" ht="12.5">
      <c r="A2670" s="1"/>
      <c r="B2670" s="1"/>
      <c r="C2670" s="1"/>
      <c r="D2670" s="1"/>
      <c r="E2670" s="1"/>
      <c r="F2670" s="1"/>
      <c r="G2670" s="1"/>
      <c r="H2670" s="1"/>
      <c r="I2670" s="1"/>
      <c r="J2670" s="1"/>
      <c r="K2670" s="1"/>
      <c r="L2670" s="1"/>
      <c r="M2670" s="1"/>
      <c r="N2670" s="1"/>
      <c r="O2670" s="1"/>
      <c r="P2670" s="1"/>
      <c r="Q2670" s="1"/>
      <c r="R2670" s="1"/>
      <c r="S2670" s="1"/>
      <c r="T2670" s="1"/>
      <c r="U2670" s="1"/>
      <c r="V2670" s="1"/>
      <c r="W2670" s="1"/>
      <c r="X2670" s="1"/>
      <c r="Y2670" s="1"/>
      <c r="Z2670" s="1"/>
      <c r="AA2670" s="1"/>
      <c r="AB2670" s="1"/>
      <c r="AC2670" s="1"/>
      <c r="AD2670" s="1"/>
      <c r="AE2670" s="1"/>
      <c r="AF2670" s="1"/>
      <c r="AG2670" s="1"/>
      <c r="AH2670" s="1"/>
    </row>
    <row r="2671" spans="1:34" ht="12.5">
      <c r="A2671" s="1"/>
      <c r="B2671" s="1"/>
      <c r="C2671" s="1"/>
      <c r="D2671" s="1"/>
      <c r="E2671" s="1"/>
      <c r="F2671" s="1"/>
      <c r="G2671" s="1"/>
      <c r="H2671" s="1"/>
      <c r="I2671" s="1"/>
      <c r="J2671" s="1"/>
      <c r="K2671" s="1"/>
      <c r="L2671" s="1"/>
      <c r="M2671" s="1"/>
      <c r="N2671" s="1"/>
      <c r="O2671" s="1"/>
      <c r="P2671" s="1"/>
      <c r="Q2671" s="1"/>
      <c r="R2671" s="1"/>
      <c r="S2671" s="1"/>
      <c r="T2671" s="1"/>
      <c r="U2671" s="1"/>
      <c r="V2671" s="1"/>
      <c r="W2671" s="1"/>
      <c r="X2671" s="1"/>
      <c r="Y2671" s="1"/>
      <c r="Z2671" s="1"/>
      <c r="AA2671" s="1"/>
      <c r="AB2671" s="1"/>
      <c r="AC2671" s="1"/>
      <c r="AD2671" s="1"/>
      <c r="AE2671" s="1"/>
      <c r="AF2671" s="1"/>
      <c r="AG2671" s="1"/>
      <c r="AH2671" s="1"/>
    </row>
    <row r="2672" spans="1:34" ht="12.5">
      <c r="A2672" s="1"/>
      <c r="B2672" s="1"/>
      <c r="C2672" s="1"/>
      <c r="D2672" s="1"/>
      <c r="E2672" s="1"/>
      <c r="F2672" s="1"/>
      <c r="G2672" s="1"/>
      <c r="H2672" s="1"/>
      <c r="I2672" s="1"/>
      <c r="J2672" s="1"/>
      <c r="K2672" s="1"/>
      <c r="L2672" s="1"/>
      <c r="M2672" s="1"/>
      <c r="N2672" s="1"/>
      <c r="O2672" s="1"/>
      <c r="P2672" s="1"/>
      <c r="Q2672" s="1"/>
      <c r="R2672" s="1"/>
      <c r="S2672" s="1"/>
      <c r="T2672" s="1"/>
      <c r="U2672" s="1"/>
      <c r="V2672" s="1"/>
      <c r="W2672" s="1"/>
      <c r="X2672" s="1"/>
      <c r="Y2672" s="1"/>
      <c r="Z2672" s="1"/>
      <c r="AA2672" s="1"/>
      <c r="AB2672" s="1"/>
      <c r="AC2672" s="1"/>
      <c r="AD2672" s="1"/>
      <c r="AE2672" s="1"/>
      <c r="AF2672" s="1"/>
      <c r="AG2672" s="1"/>
      <c r="AH2672" s="1"/>
    </row>
    <row r="2673" spans="1:34" ht="12.5">
      <c r="A2673" s="1"/>
      <c r="B2673" s="1"/>
      <c r="C2673" s="1"/>
      <c r="D2673" s="1"/>
      <c r="E2673" s="1"/>
      <c r="F2673" s="1"/>
      <c r="G2673" s="1"/>
      <c r="H2673" s="1"/>
      <c r="I2673" s="1"/>
      <c r="J2673" s="1"/>
      <c r="K2673" s="1"/>
      <c r="L2673" s="1"/>
      <c r="M2673" s="1"/>
      <c r="N2673" s="1"/>
      <c r="O2673" s="1"/>
      <c r="P2673" s="1"/>
      <c r="Q2673" s="1"/>
      <c r="R2673" s="1"/>
      <c r="S2673" s="1"/>
      <c r="T2673" s="1"/>
      <c r="U2673" s="1"/>
      <c r="V2673" s="1"/>
      <c r="W2673" s="1"/>
      <c r="X2673" s="1"/>
      <c r="Y2673" s="1"/>
      <c r="Z2673" s="1"/>
      <c r="AA2673" s="1"/>
      <c r="AB2673" s="1"/>
      <c r="AC2673" s="1"/>
      <c r="AD2673" s="1"/>
      <c r="AE2673" s="1"/>
      <c r="AF2673" s="1"/>
      <c r="AG2673" s="1"/>
      <c r="AH2673" s="1"/>
    </row>
    <row r="2674" spans="1:34" ht="12.5">
      <c r="A2674" s="1"/>
      <c r="B2674" s="1"/>
      <c r="C2674" s="1"/>
      <c r="D2674" s="1"/>
      <c r="E2674" s="1"/>
      <c r="F2674" s="1"/>
      <c r="G2674" s="1"/>
      <c r="H2674" s="1"/>
      <c r="I2674" s="1"/>
      <c r="J2674" s="1"/>
      <c r="K2674" s="1"/>
      <c r="L2674" s="1"/>
      <c r="M2674" s="1"/>
      <c r="N2674" s="1"/>
      <c r="O2674" s="1"/>
      <c r="P2674" s="1"/>
      <c r="Q2674" s="1"/>
      <c r="R2674" s="1"/>
      <c r="S2674" s="1"/>
      <c r="T2674" s="1"/>
      <c r="U2674" s="1"/>
      <c r="V2674" s="1"/>
      <c r="W2674" s="1"/>
      <c r="X2674" s="1"/>
      <c r="Y2674" s="1"/>
      <c r="Z2674" s="1"/>
      <c r="AA2674" s="1"/>
      <c r="AB2674" s="1"/>
      <c r="AC2674" s="1"/>
      <c r="AD2674" s="1"/>
      <c r="AE2674" s="1"/>
      <c r="AF2674" s="1"/>
      <c r="AG2674" s="1"/>
      <c r="AH2674" s="1"/>
    </row>
    <row r="2675" spans="1:34" ht="12.5">
      <c r="A2675" s="1"/>
      <c r="B2675" s="1"/>
      <c r="C2675" s="1"/>
      <c r="D2675" s="1"/>
      <c r="E2675" s="1"/>
      <c r="F2675" s="1"/>
      <c r="G2675" s="1"/>
      <c r="H2675" s="1"/>
      <c r="I2675" s="1"/>
      <c r="J2675" s="1"/>
      <c r="K2675" s="1"/>
      <c r="L2675" s="1"/>
      <c r="M2675" s="1"/>
      <c r="N2675" s="1"/>
      <c r="O2675" s="1"/>
      <c r="P2675" s="1"/>
      <c r="Q2675" s="1"/>
      <c r="R2675" s="1"/>
      <c r="S2675" s="1"/>
      <c r="T2675" s="1"/>
      <c r="U2675" s="1"/>
      <c r="V2675" s="1"/>
      <c r="W2675" s="1"/>
      <c r="X2675" s="1"/>
      <c r="Y2675" s="1"/>
      <c r="Z2675" s="1"/>
      <c r="AA2675" s="1"/>
      <c r="AB2675" s="1"/>
      <c r="AC2675" s="1"/>
      <c r="AD2675" s="1"/>
      <c r="AE2675" s="1"/>
      <c r="AF2675" s="1"/>
      <c r="AG2675" s="1"/>
      <c r="AH2675" s="1"/>
    </row>
    <row r="2676" spans="1:34" ht="12.5">
      <c r="A2676" s="1"/>
      <c r="B2676" s="1"/>
      <c r="C2676" s="1"/>
      <c r="D2676" s="1"/>
      <c r="E2676" s="1"/>
      <c r="F2676" s="1"/>
      <c r="G2676" s="1"/>
      <c r="H2676" s="1"/>
      <c r="I2676" s="1"/>
      <c r="J2676" s="1"/>
      <c r="K2676" s="1"/>
      <c r="L2676" s="1"/>
      <c r="M2676" s="1"/>
      <c r="N2676" s="1"/>
      <c r="O2676" s="1"/>
      <c r="P2676" s="1"/>
      <c r="Q2676" s="1"/>
      <c r="R2676" s="1"/>
      <c r="S2676" s="1"/>
      <c r="T2676" s="1"/>
      <c r="U2676" s="1"/>
      <c r="V2676" s="1"/>
      <c r="W2676" s="1"/>
      <c r="X2676" s="1"/>
      <c r="Y2676" s="1"/>
      <c r="Z2676" s="1"/>
      <c r="AA2676" s="1"/>
      <c r="AB2676" s="1"/>
      <c r="AC2676" s="1"/>
      <c r="AD2676" s="1"/>
      <c r="AE2676" s="1"/>
      <c r="AF2676" s="1"/>
      <c r="AG2676" s="1"/>
      <c r="AH2676" s="1"/>
    </row>
    <row r="2677" spans="1:34" ht="12.5">
      <c r="A2677" s="1"/>
      <c r="B2677" s="1"/>
      <c r="C2677" s="1"/>
      <c r="D2677" s="1"/>
      <c r="E2677" s="1"/>
      <c r="F2677" s="1"/>
      <c r="G2677" s="1"/>
      <c r="H2677" s="1"/>
      <c r="I2677" s="1"/>
      <c r="J2677" s="1"/>
      <c r="K2677" s="1"/>
      <c r="L2677" s="1"/>
      <c r="M2677" s="1"/>
      <c r="N2677" s="1"/>
      <c r="O2677" s="1"/>
      <c r="P2677" s="1"/>
      <c r="Q2677" s="1"/>
      <c r="R2677" s="1"/>
      <c r="S2677" s="1"/>
      <c r="T2677" s="1"/>
      <c r="U2677" s="1"/>
      <c r="V2677" s="1"/>
      <c r="W2677" s="1"/>
      <c r="X2677" s="1"/>
      <c r="Y2677" s="1"/>
      <c r="Z2677" s="1"/>
      <c r="AA2677" s="1"/>
      <c r="AB2677" s="1"/>
      <c r="AC2677" s="1"/>
      <c r="AD2677" s="1"/>
      <c r="AE2677" s="1"/>
      <c r="AF2677" s="1"/>
      <c r="AG2677" s="1"/>
      <c r="AH2677" s="1"/>
    </row>
    <row r="2678" spans="1:34" ht="12.5">
      <c r="A2678" s="1"/>
      <c r="B2678" s="1"/>
      <c r="C2678" s="1"/>
      <c r="D2678" s="1"/>
      <c r="E2678" s="1"/>
      <c r="F2678" s="1"/>
      <c r="G2678" s="1"/>
      <c r="H2678" s="1"/>
      <c r="I2678" s="1"/>
      <c r="J2678" s="1"/>
      <c r="K2678" s="1"/>
      <c r="L2678" s="1"/>
      <c r="M2678" s="1"/>
      <c r="N2678" s="1"/>
      <c r="O2678" s="1"/>
      <c r="P2678" s="1"/>
      <c r="Q2678" s="1"/>
      <c r="R2678" s="1"/>
      <c r="S2678" s="1"/>
      <c r="T2678" s="1"/>
      <c r="U2678" s="1"/>
      <c r="V2678" s="1"/>
      <c r="W2678" s="1"/>
      <c r="X2678" s="1"/>
      <c r="Y2678" s="1"/>
      <c r="Z2678" s="1"/>
      <c r="AA2678" s="1"/>
      <c r="AB2678" s="1"/>
      <c r="AC2678" s="1"/>
      <c r="AD2678" s="1"/>
      <c r="AE2678" s="1"/>
      <c r="AF2678" s="1"/>
      <c r="AG2678" s="1"/>
      <c r="AH2678" s="1"/>
    </row>
    <row r="2679" spans="1:34" ht="12.5">
      <c r="A2679" s="1"/>
      <c r="B2679" s="1"/>
      <c r="C2679" s="1"/>
      <c r="D2679" s="1"/>
      <c r="E2679" s="1"/>
      <c r="F2679" s="1"/>
      <c r="G2679" s="1"/>
      <c r="H2679" s="1"/>
      <c r="I2679" s="1"/>
      <c r="J2679" s="1"/>
      <c r="K2679" s="1"/>
      <c r="L2679" s="1"/>
      <c r="M2679" s="1"/>
      <c r="N2679" s="1"/>
      <c r="O2679" s="1"/>
      <c r="P2679" s="1"/>
      <c r="Q2679" s="1"/>
      <c r="R2679" s="1"/>
      <c r="S2679" s="1"/>
      <c r="T2679" s="1"/>
      <c r="U2679" s="1"/>
      <c r="V2679" s="1"/>
      <c r="W2679" s="1"/>
      <c r="X2679" s="1"/>
      <c r="Y2679" s="1"/>
      <c r="Z2679" s="1"/>
      <c r="AA2679" s="1"/>
      <c r="AB2679" s="1"/>
      <c r="AC2679" s="1"/>
      <c r="AD2679" s="1"/>
      <c r="AE2679" s="1"/>
      <c r="AF2679" s="1"/>
      <c r="AG2679" s="1"/>
      <c r="AH2679" s="1"/>
    </row>
    <row r="2680" spans="1:34" ht="12.5">
      <c r="A2680" s="1"/>
      <c r="B2680" s="1"/>
      <c r="C2680" s="1"/>
      <c r="D2680" s="1"/>
      <c r="E2680" s="1"/>
      <c r="F2680" s="1"/>
      <c r="G2680" s="1"/>
      <c r="H2680" s="1"/>
      <c r="I2680" s="1"/>
      <c r="J2680" s="1"/>
      <c r="K2680" s="1"/>
      <c r="L2680" s="1"/>
      <c r="M2680" s="1"/>
      <c r="N2680" s="1"/>
      <c r="O2680" s="1"/>
      <c r="P2680" s="1"/>
      <c r="Q2680" s="1"/>
      <c r="R2680" s="1"/>
      <c r="S2680" s="1"/>
      <c r="T2680" s="1"/>
      <c r="U2680" s="1"/>
      <c r="V2680" s="1"/>
      <c r="W2680" s="1"/>
      <c r="X2680" s="1"/>
      <c r="Y2680" s="1"/>
      <c r="Z2680" s="1"/>
      <c r="AA2680" s="1"/>
      <c r="AB2680" s="1"/>
      <c r="AC2680" s="1"/>
      <c r="AD2680" s="1"/>
      <c r="AE2680" s="1"/>
      <c r="AF2680" s="1"/>
      <c r="AG2680" s="1"/>
      <c r="AH2680" s="1"/>
    </row>
    <row r="2681" spans="1:34" ht="12.5">
      <c r="A2681" s="1"/>
      <c r="B2681" s="1"/>
      <c r="C2681" s="1"/>
      <c r="D2681" s="1"/>
      <c r="E2681" s="1"/>
      <c r="F2681" s="1"/>
      <c r="G2681" s="1"/>
      <c r="H2681" s="1"/>
      <c r="I2681" s="1"/>
      <c r="J2681" s="1"/>
      <c r="K2681" s="1"/>
      <c r="L2681" s="1"/>
      <c r="M2681" s="1"/>
      <c r="N2681" s="1"/>
      <c r="O2681" s="1"/>
      <c r="P2681" s="1"/>
      <c r="Q2681" s="1"/>
      <c r="R2681" s="1"/>
      <c r="S2681" s="1"/>
      <c r="T2681" s="1"/>
      <c r="U2681" s="1"/>
      <c r="V2681" s="1"/>
      <c r="W2681" s="1"/>
      <c r="X2681" s="1"/>
      <c r="Y2681" s="1"/>
      <c r="Z2681" s="1"/>
      <c r="AA2681" s="1"/>
      <c r="AB2681" s="1"/>
      <c r="AC2681" s="1"/>
      <c r="AD2681" s="1"/>
      <c r="AE2681" s="1"/>
      <c r="AF2681" s="1"/>
      <c r="AG2681" s="1"/>
      <c r="AH2681" s="1"/>
    </row>
    <row r="2682" spans="1:34" ht="12.5">
      <c r="A2682" s="1"/>
      <c r="B2682" s="1"/>
      <c r="C2682" s="1"/>
      <c r="D2682" s="1"/>
      <c r="E2682" s="1"/>
      <c r="F2682" s="1"/>
      <c r="G2682" s="1"/>
      <c r="H2682" s="1"/>
      <c r="I2682" s="1"/>
      <c r="J2682" s="1"/>
      <c r="K2682" s="1"/>
      <c r="L2682" s="1"/>
      <c r="M2682" s="1"/>
      <c r="N2682" s="1"/>
      <c r="O2682" s="1"/>
      <c r="P2682" s="1"/>
      <c r="Q2682" s="1"/>
      <c r="R2682" s="1"/>
      <c r="S2682" s="1"/>
      <c r="T2682" s="1"/>
      <c r="U2682" s="1"/>
      <c r="V2682" s="1"/>
      <c r="W2682" s="1"/>
      <c r="X2682" s="1"/>
      <c r="Y2682" s="1"/>
      <c r="Z2682" s="1"/>
      <c r="AA2682" s="1"/>
      <c r="AB2682" s="1"/>
      <c r="AC2682" s="1"/>
      <c r="AD2682" s="1"/>
      <c r="AE2682" s="1"/>
      <c r="AF2682" s="1"/>
      <c r="AG2682" s="1"/>
      <c r="AH2682" s="1"/>
    </row>
    <row r="2683" spans="1:34" ht="12.5">
      <c r="A2683" s="1"/>
      <c r="B2683" s="1"/>
      <c r="C2683" s="1"/>
      <c r="D2683" s="1"/>
      <c r="E2683" s="1"/>
      <c r="F2683" s="1"/>
      <c r="G2683" s="1"/>
      <c r="H2683" s="1"/>
      <c r="I2683" s="1"/>
      <c r="J2683" s="1"/>
      <c r="K2683" s="1"/>
      <c r="L2683" s="1"/>
      <c r="M2683" s="1"/>
      <c r="N2683" s="1"/>
      <c r="O2683" s="1"/>
      <c r="P2683" s="1"/>
      <c r="Q2683" s="1"/>
      <c r="R2683" s="1"/>
      <c r="S2683" s="1"/>
      <c r="T2683" s="1"/>
      <c r="U2683" s="1"/>
      <c r="V2683" s="1"/>
      <c r="W2683" s="1"/>
      <c r="X2683" s="1"/>
      <c r="Y2683" s="1"/>
      <c r="Z2683" s="1"/>
      <c r="AA2683" s="1"/>
      <c r="AB2683" s="1"/>
      <c r="AC2683" s="1"/>
      <c r="AD2683" s="1"/>
      <c r="AE2683" s="1"/>
      <c r="AF2683" s="1"/>
      <c r="AG2683" s="1"/>
      <c r="AH2683" s="1"/>
    </row>
    <row r="2684" spans="1:34" ht="12.5">
      <c r="A2684" s="1"/>
      <c r="B2684" s="1"/>
      <c r="C2684" s="1"/>
      <c r="D2684" s="1"/>
      <c r="E2684" s="1"/>
      <c r="F2684" s="1"/>
      <c r="G2684" s="1"/>
      <c r="H2684" s="1"/>
      <c r="I2684" s="1"/>
      <c r="J2684" s="1"/>
      <c r="K2684" s="1"/>
      <c r="L2684" s="1"/>
      <c r="M2684" s="1"/>
      <c r="N2684" s="1"/>
      <c r="O2684" s="1"/>
      <c r="P2684" s="1"/>
      <c r="Q2684" s="1"/>
      <c r="R2684" s="1"/>
      <c r="S2684" s="1"/>
      <c r="T2684" s="1"/>
      <c r="U2684" s="1"/>
      <c r="V2684" s="1"/>
      <c r="W2684" s="1"/>
      <c r="X2684" s="1"/>
      <c r="Y2684" s="1"/>
      <c r="Z2684" s="1"/>
      <c r="AA2684" s="1"/>
      <c r="AB2684" s="1"/>
      <c r="AC2684" s="1"/>
      <c r="AD2684" s="1"/>
      <c r="AE2684" s="1"/>
      <c r="AF2684" s="1"/>
      <c r="AG2684" s="1"/>
      <c r="AH2684" s="1"/>
    </row>
    <row r="2685" spans="1:34" ht="12.5">
      <c r="A2685" s="1"/>
      <c r="B2685" s="1"/>
      <c r="C2685" s="1"/>
      <c r="D2685" s="1"/>
      <c r="E2685" s="1"/>
      <c r="F2685" s="1"/>
      <c r="G2685" s="1"/>
      <c r="H2685" s="1"/>
      <c r="I2685" s="1"/>
      <c r="J2685" s="1"/>
      <c r="K2685" s="1"/>
      <c r="L2685" s="1"/>
      <c r="M2685" s="1"/>
      <c r="N2685" s="1"/>
      <c r="O2685" s="1"/>
      <c r="P2685" s="1"/>
      <c r="Q2685" s="1"/>
      <c r="R2685" s="1"/>
      <c r="S2685" s="1"/>
      <c r="T2685" s="1"/>
      <c r="U2685" s="1"/>
      <c r="V2685" s="1"/>
      <c r="W2685" s="1"/>
      <c r="X2685" s="1"/>
      <c r="Y2685" s="1"/>
      <c r="Z2685" s="1"/>
      <c r="AA2685" s="1"/>
      <c r="AB2685" s="1"/>
      <c r="AC2685" s="1"/>
      <c r="AD2685" s="1"/>
      <c r="AE2685" s="1"/>
      <c r="AF2685" s="1"/>
      <c r="AG2685" s="1"/>
      <c r="AH2685" s="1"/>
    </row>
    <row r="2686" spans="1:34" ht="12.5">
      <c r="A2686" s="1"/>
      <c r="B2686" s="1"/>
      <c r="C2686" s="1"/>
      <c r="D2686" s="1"/>
      <c r="E2686" s="1"/>
      <c r="F2686" s="1"/>
      <c r="G2686" s="1"/>
      <c r="H2686" s="1"/>
      <c r="I2686" s="1"/>
      <c r="J2686" s="1"/>
      <c r="K2686" s="1"/>
      <c r="L2686" s="1"/>
      <c r="M2686" s="1"/>
      <c r="N2686" s="1"/>
      <c r="O2686" s="1"/>
      <c r="P2686" s="1"/>
      <c r="Q2686" s="1"/>
      <c r="R2686" s="1"/>
      <c r="S2686" s="1"/>
      <c r="T2686" s="1"/>
      <c r="U2686" s="1"/>
      <c r="V2686" s="1"/>
      <c r="W2686" s="1"/>
      <c r="X2686" s="1"/>
      <c r="Y2686" s="1"/>
      <c r="Z2686" s="1"/>
      <c r="AA2686" s="1"/>
      <c r="AB2686" s="1"/>
      <c r="AC2686" s="1"/>
      <c r="AD2686" s="1"/>
      <c r="AE2686" s="1"/>
      <c r="AF2686" s="1"/>
      <c r="AG2686" s="1"/>
      <c r="AH2686" s="1"/>
    </row>
    <row r="2687" spans="1:34" ht="12.5">
      <c r="A2687" s="1"/>
      <c r="B2687" s="1"/>
      <c r="C2687" s="1"/>
      <c r="D2687" s="1"/>
      <c r="E2687" s="1"/>
      <c r="F2687" s="1"/>
      <c r="G2687" s="1"/>
      <c r="H2687" s="1"/>
      <c r="I2687" s="1"/>
      <c r="J2687" s="1"/>
      <c r="K2687" s="1"/>
      <c r="L2687" s="1"/>
      <c r="M2687" s="1"/>
      <c r="N2687" s="1"/>
      <c r="O2687" s="1"/>
      <c r="P2687" s="1"/>
      <c r="Q2687" s="1"/>
      <c r="R2687" s="1"/>
      <c r="S2687" s="1"/>
      <c r="T2687" s="1"/>
      <c r="U2687" s="1"/>
      <c r="V2687" s="1"/>
      <c r="W2687" s="1"/>
      <c r="X2687" s="1"/>
      <c r="Y2687" s="1"/>
      <c r="Z2687" s="1"/>
      <c r="AA2687" s="1"/>
      <c r="AB2687" s="1"/>
      <c r="AC2687" s="1"/>
      <c r="AD2687" s="1"/>
      <c r="AE2687" s="1"/>
      <c r="AF2687" s="1"/>
      <c r="AG2687" s="1"/>
      <c r="AH2687" s="1"/>
    </row>
    <row r="2688" spans="1:34" ht="12.5">
      <c r="A2688" s="1"/>
      <c r="B2688" s="1"/>
      <c r="C2688" s="1"/>
      <c r="D2688" s="1"/>
      <c r="E2688" s="1"/>
      <c r="F2688" s="1"/>
      <c r="G2688" s="1"/>
      <c r="H2688" s="1"/>
      <c r="I2688" s="1"/>
      <c r="J2688" s="1"/>
      <c r="K2688" s="1"/>
      <c r="L2688" s="1"/>
      <c r="M2688" s="1"/>
      <c r="N2688" s="1"/>
      <c r="O2688" s="1"/>
      <c r="P2688" s="1"/>
      <c r="Q2688" s="1"/>
      <c r="R2688" s="1"/>
      <c r="S2688" s="1"/>
      <c r="T2688" s="1"/>
      <c r="U2688" s="1"/>
      <c r="V2688" s="1"/>
      <c r="W2688" s="1"/>
      <c r="X2688" s="1"/>
      <c r="Y2688" s="1"/>
      <c r="Z2688" s="1"/>
      <c r="AA2688" s="1"/>
      <c r="AB2688" s="1"/>
      <c r="AC2688" s="1"/>
      <c r="AD2688" s="1"/>
      <c r="AE2688" s="1"/>
      <c r="AF2688" s="1"/>
      <c r="AG2688" s="1"/>
      <c r="AH2688" s="1"/>
    </row>
    <row r="2689" spans="1:34" ht="12.5">
      <c r="A2689" s="1"/>
      <c r="B2689" s="1"/>
      <c r="C2689" s="1"/>
      <c r="D2689" s="1"/>
      <c r="E2689" s="1"/>
      <c r="F2689" s="1"/>
      <c r="G2689" s="1"/>
      <c r="H2689" s="1"/>
      <c r="I2689" s="1"/>
      <c r="J2689" s="1"/>
      <c r="K2689" s="1"/>
      <c r="L2689" s="1"/>
      <c r="M2689" s="1"/>
      <c r="N2689" s="1"/>
      <c r="O2689" s="1"/>
      <c r="P2689" s="1"/>
      <c r="Q2689" s="1"/>
      <c r="R2689" s="1"/>
      <c r="S2689" s="1"/>
      <c r="T2689" s="1"/>
      <c r="U2689" s="1"/>
      <c r="V2689" s="1"/>
      <c r="W2689" s="1"/>
      <c r="X2689" s="1"/>
      <c r="Y2689" s="1"/>
      <c r="Z2689" s="1"/>
      <c r="AA2689" s="1"/>
      <c r="AB2689" s="1"/>
      <c r="AC2689" s="1"/>
      <c r="AD2689" s="1"/>
      <c r="AE2689" s="1"/>
      <c r="AF2689" s="1"/>
      <c r="AG2689" s="1"/>
      <c r="AH2689" s="1"/>
    </row>
    <row r="2690" spans="1:34" ht="12.5">
      <c r="A2690" s="1"/>
      <c r="B2690" s="1"/>
      <c r="C2690" s="1"/>
      <c r="D2690" s="1"/>
      <c r="E2690" s="1"/>
      <c r="F2690" s="1"/>
      <c r="G2690" s="1"/>
      <c r="H2690" s="1"/>
      <c r="I2690" s="1"/>
      <c r="J2690" s="1"/>
      <c r="K2690" s="1"/>
      <c r="L2690" s="1"/>
      <c r="M2690" s="1"/>
      <c r="N2690" s="1"/>
      <c r="O2690" s="1"/>
      <c r="P2690" s="1"/>
      <c r="Q2690" s="1"/>
      <c r="R2690" s="1"/>
      <c r="S2690" s="1"/>
      <c r="T2690" s="1"/>
      <c r="U2690" s="1"/>
      <c r="V2690" s="1"/>
      <c r="W2690" s="1"/>
      <c r="X2690" s="1"/>
      <c r="Y2690" s="1"/>
      <c r="Z2690" s="1"/>
      <c r="AA2690" s="1"/>
      <c r="AB2690" s="1"/>
      <c r="AC2690" s="1"/>
      <c r="AD2690" s="1"/>
      <c r="AE2690" s="1"/>
      <c r="AF2690" s="1"/>
      <c r="AG2690" s="1"/>
      <c r="AH2690" s="1"/>
    </row>
    <row r="2691" spans="1:34" ht="12.5">
      <c r="A2691" s="1"/>
      <c r="B2691" s="1"/>
      <c r="C2691" s="1"/>
      <c r="D2691" s="1"/>
      <c r="E2691" s="1"/>
      <c r="F2691" s="1"/>
      <c r="G2691" s="1"/>
      <c r="H2691" s="1"/>
      <c r="I2691" s="1"/>
      <c r="J2691" s="1"/>
      <c r="K2691" s="1"/>
      <c r="L2691" s="1"/>
      <c r="M2691" s="1"/>
      <c r="N2691" s="1"/>
      <c r="O2691" s="1"/>
      <c r="P2691" s="1"/>
      <c r="Q2691" s="1"/>
      <c r="R2691" s="1"/>
      <c r="S2691" s="1"/>
      <c r="T2691" s="1"/>
      <c r="U2691" s="1"/>
      <c r="V2691" s="1"/>
      <c r="W2691" s="1"/>
      <c r="X2691" s="1"/>
      <c r="Y2691" s="1"/>
      <c r="Z2691" s="1"/>
      <c r="AA2691" s="1"/>
      <c r="AB2691" s="1"/>
      <c r="AC2691" s="1"/>
      <c r="AD2691" s="1"/>
      <c r="AE2691" s="1"/>
      <c r="AF2691" s="1"/>
      <c r="AG2691" s="1"/>
      <c r="AH2691" s="1"/>
    </row>
    <row r="2692" spans="1:34" ht="12.5">
      <c r="A2692" s="1"/>
      <c r="B2692" s="1"/>
      <c r="C2692" s="1"/>
      <c r="D2692" s="1"/>
      <c r="E2692" s="1"/>
      <c r="F2692" s="1"/>
      <c r="G2692" s="1"/>
      <c r="H2692" s="1"/>
      <c r="I2692" s="1"/>
      <c r="J2692" s="1"/>
      <c r="K2692" s="1"/>
      <c r="L2692" s="1"/>
      <c r="M2692" s="1"/>
      <c r="N2692" s="1"/>
      <c r="O2692" s="1"/>
      <c r="P2692" s="1"/>
      <c r="Q2692" s="1"/>
      <c r="R2692" s="1"/>
      <c r="S2692" s="1"/>
      <c r="T2692" s="1"/>
      <c r="U2692" s="1"/>
      <c r="V2692" s="1"/>
      <c r="W2692" s="1"/>
      <c r="X2692" s="1"/>
      <c r="Y2692" s="1"/>
      <c r="Z2692" s="1"/>
      <c r="AA2692" s="1"/>
      <c r="AB2692" s="1"/>
      <c r="AC2692" s="1"/>
      <c r="AD2692" s="1"/>
      <c r="AE2692" s="1"/>
      <c r="AF2692" s="1"/>
      <c r="AG2692" s="1"/>
      <c r="AH2692" s="1"/>
    </row>
    <row r="2693" spans="1:34" ht="12.5">
      <c r="A2693" s="1"/>
      <c r="B2693" s="1"/>
      <c r="C2693" s="1"/>
      <c r="D2693" s="1"/>
      <c r="E2693" s="1"/>
      <c r="F2693" s="1"/>
      <c r="G2693" s="1"/>
      <c r="H2693" s="1"/>
      <c r="I2693" s="1"/>
      <c r="J2693" s="1"/>
      <c r="K2693" s="1"/>
      <c r="L2693" s="1"/>
      <c r="M2693" s="1"/>
      <c r="N2693" s="1"/>
      <c r="O2693" s="1"/>
      <c r="P2693" s="1"/>
      <c r="Q2693" s="1"/>
      <c r="R2693" s="1"/>
      <c r="S2693" s="1"/>
      <c r="T2693" s="1"/>
      <c r="U2693" s="1"/>
      <c r="V2693" s="1"/>
      <c r="W2693" s="1"/>
      <c r="X2693" s="1"/>
      <c r="Y2693" s="1"/>
      <c r="Z2693" s="1"/>
      <c r="AA2693" s="1"/>
      <c r="AB2693" s="1"/>
      <c r="AC2693" s="1"/>
      <c r="AD2693" s="1"/>
      <c r="AE2693" s="1"/>
      <c r="AF2693" s="1"/>
      <c r="AG2693" s="1"/>
      <c r="AH2693" s="1"/>
    </row>
    <row r="2694" spans="1:34" ht="12.5">
      <c r="A2694" s="1"/>
      <c r="B2694" s="1"/>
      <c r="C2694" s="1"/>
      <c r="D2694" s="1"/>
      <c r="E2694" s="1"/>
      <c r="F2694" s="1"/>
      <c r="G2694" s="1"/>
      <c r="H2694" s="1"/>
      <c r="I2694" s="1"/>
      <c r="J2694" s="1"/>
      <c r="K2694" s="1"/>
      <c r="L2694" s="1"/>
      <c r="M2694" s="1"/>
      <c r="N2694" s="1"/>
      <c r="O2694" s="1"/>
      <c r="P2694" s="1"/>
      <c r="Q2694" s="1"/>
      <c r="R2694" s="1"/>
      <c r="S2694" s="1"/>
      <c r="T2694" s="1"/>
      <c r="U2694" s="1"/>
      <c r="V2694" s="1"/>
      <c r="W2694" s="1"/>
      <c r="X2694" s="1"/>
      <c r="Y2694" s="1"/>
      <c r="Z2694" s="1"/>
      <c r="AA2694" s="1"/>
      <c r="AB2694" s="1"/>
      <c r="AC2694" s="1"/>
      <c r="AD2694" s="1"/>
      <c r="AE2694" s="1"/>
      <c r="AF2694" s="1"/>
      <c r="AG2694" s="1"/>
      <c r="AH2694" s="1"/>
    </row>
    <row r="2695" spans="1:34" ht="12.5">
      <c r="A2695" s="1"/>
      <c r="B2695" s="1"/>
      <c r="C2695" s="1"/>
      <c r="D2695" s="1"/>
      <c r="E2695" s="1"/>
      <c r="F2695" s="1"/>
      <c r="G2695" s="1"/>
      <c r="H2695" s="1"/>
      <c r="I2695" s="1"/>
      <c r="J2695" s="1"/>
      <c r="K2695" s="1"/>
      <c r="L2695" s="1"/>
      <c r="M2695" s="1"/>
      <c r="N2695" s="1"/>
      <c r="O2695" s="1"/>
      <c r="P2695" s="1"/>
      <c r="Q2695" s="1"/>
      <c r="R2695" s="1"/>
      <c r="S2695" s="1"/>
      <c r="T2695" s="1"/>
      <c r="U2695" s="1"/>
      <c r="V2695" s="1"/>
      <c r="W2695" s="1"/>
      <c r="X2695" s="1"/>
      <c r="Y2695" s="1"/>
      <c r="Z2695" s="1"/>
      <c r="AA2695" s="1"/>
      <c r="AB2695" s="1"/>
      <c r="AC2695" s="1"/>
      <c r="AD2695" s="1"/>
      <c r="AE2695" s="1"/>
      <c r="AF2695" s="1"/>
      <c r="AG2695" s="1"/>
      <c r="AH2695" s="1"/>
    </row>
    <row r="2696" spans="1:34" ht="12.5">
      <c r="A2696" s="1"/>
      <c r="B2696" s="1"/>
      <c r="C2696" s="1"/>
      <c r="D2696" s="1"/>
      <c r="E2696" s="1"/>
      <c r="F2696" s="1"/>
      <c r="G2696" s="1"/>
      <c r="H2696" s="1"/>
      <c r="I2696" s="1"/>
      <c r="J2696" s="1"/>
      <c r="K2696" s="1"/>
      <c r="L2696" s="1"/>
      <c r="M2696" s="1"/>
      <c r="N2696" s="1"/>
      <c r="O2696" s="1"/>
      <c r="P2696" s="1"/>
      <c r="Q2696" s="1"/>
      <c r="R2696" s="1"/>
      <c r="S2696" s="1"/>
      <c r="T2696" s="1"/>
      <c r="U2696" s="1"/>
      <c r="V2696" s="1"/>
      <c r="W2696" s="1"/>
      <c r="X2696" s="1"/>
      <c r="Y2696" s="1"/>
      <c r="Z2696" s="1"/>
      <c r="AA2696" s="1"/>
      <c r="AB2696" s="1"/>
      <c r="AC2696" s="1"/>
      <c r="AD2696" s="1"/>
      <c r="AE2696" s="1"/>
      <c r="AF2696" s="1"/>
      <c r="AG2696" s="1"/>
      <c r="AH2696" s="1"/>
    </row>
    <row r="2697" spans="1:34" ht="12.5">
      <c r="A2697" s="1"/>
      <c r="B2697" s="1"/>
      <c r="C2697" s="1"/>
      <c r="D2697" s="1"/>
      <c r="E2697" s="1"/>
      <c r="F2697" s="1"/>
      <c r="G2697" s="1"/>
      <c r="H2697" s="1"/>
      <c r="I2697" s="1"/>
      <c r="J2697" s="1"/>
      <c r="K2697" s="1"/>
      <c r="L2697" s="1"/>
      <c r="M2697" s="1"/>
      <c r="N2697" s="1"/>
      <c r="O2697" s="1"/>
      <c r="P2697" s="1"/>
      <c r="Q2697" s="1"/>
      <c r="R2697" s="1"/>
      <c r="S2697" s="1"/>
      <c r="T2697" s="1"/>
      <c r="U2697" s="1"/>
      <c r="V2697" s="1"/>
      <c r="W2697" s="1"/>
      <c r="X2697" s="1"/>
      <c r="Y2697" s="1"/>
      <c r="Z2697" s="1"/>
      <c r="AA2697" s="1"/>
      <c r="AB2697" s="1"/>
      <c r="AC2697" s="1"/>
      <c r="AD2697" s="1"/>
      <c r="AE2697" s="1"/>
      <c r="AF2697" s="1"/>
      <c r="AG2697" s="1"/>
      <c r="AH2697" s="1"/>
    </row>
    <row r="2698" spans="1:34" ht="12.5">
      <c r="A2698" s="1"/>
      <c r="B2698" s="1"/>
      <c r="C2698" s="1"/>
      <c r="D2698" s="1"/>
      <c r="E2698" s="1"/>
      <c r="F2698" s="1"/>
      <c r="G2698" s="1"/>
      <c r="H2698" s="1"/>
      <c r="I2698" s="1"/>
      <c r="J2698" s="1"/>
      <c r="K2698" s="1"/>
      <c r="L2698" s="1"/>
      <c r="M2698" s="1"/>
      <c r="N2698" s="1"/>
      <c r="O2698" s="1"/>
      <c r="P2698" s="1"/>
      <c r="Q2698" s="1"/>
      <c r="R2698" s="1"/>
      <c r="S2698" s="1"/>
      <c r="T2698" s="1"/>
      <c r="U2698" s="1"/>
      <c r="V2698" s="1"/>
      <c r="W2698" s="1"/>
      <c r="X2698" s="1"/>
      <c r="Y2698" s="1"/>
      <c r="Z2698" s="1"/>
      <c r="AA2698" s="1"/>
      <c r="AB2698" s="1"/>
      <c r="AC2698" s="1"/>
      <c r="AD2698" s="1"/>
      <c r="AE2698" s="1"/>
      <c r="AF2698" s="1"/>
      <c r="AG2698" s="1"/>
      <c r="AH2698" s="1"/>
    </row>
    <row r="2699" spans="1:34" ht="12.5">
      <c r="A2699" s="1"/>
      <c r="B2699" s="1"/>
      <c r="C2699" s="1"/>
      <c r="D2699" s="1"/>
      <c r="E2699" s="1"/>
      <c r="F2699" s="1"/>
      <c r="G2699" s="1"/>
      <c r="H2699" s="1"/>
      <c r="I2699" s="1"/>
      <c r="J2699" s="1"/>
      <c r="K2699" s="1"/>
      <c r="L2699" s="1"/>
      <c r="M2699" s="1"/>
      <c r="N2699" s="1"/>
      <c r="O2699" s="1"/>
      <c r="P2699" s="1"/>
      <c r="Q2699" s="1"/>
      <c r="R2699" s="1"/>
      <c r="S2699" s="1"/>
      <c r="T2699" s="1"/>
      <c r="U2699" s="1"/>
      <c r="V2699" s="1"/>
      <c r="W2699" s="1"/>
      <c r="X2699" s="1"/>
      <c r="Y2699" s="1"/>
      <c r="Z2699" s="1"/>
      <c r="AA2699" s="1"/>
      <c r="AB2699" s="1"/>
      <c r="AC2699" s="1"/>
      <c r="AD2699" s="1"/>
      <c r="AE2699" s="1"/>
      <c r="AF2699" s="1"/>
      <c r="AG2699" s="1"/>
      <c r="AH2699" s="1"/>
    </row>
    <row r="2700" spans="1:34" ht="12.5">
      <c r="A2700" s="1"/>
      <c r="B2700" s="1"/>
      <c r="C2700" s="1"/>
      <c r="D2700" s="1"/>
      <c r="E2700" s="1"/>
      <c r="F2700" s="1"/>
      <c r="G2700" s="1"/>
      <c r="H2700" s="1"/>
      <c r="I2700" s="1"/>
      <c r="J2700" s="1"/>
      <c r="K2700" s="1"/>
      <c r="L2700" s="1"/>
      <c r="M2700" s="1"/>
      <c r="N2700" s="1"/>
      <c r="O2700" s="1"/>
      <c r="P2700" s="1"/>
      <c r="Q2700" s="1"/>
      <c r="R2700" s="1"/>
      <c r="S2700" s="1"/>
      <c r="T2700" s="1"/>
      <c r="U2700" s="1"/>
      <c r="V2700" s="1"/>
      <c r="W2700" s="1"/>
      <c r="X2700" s="1"/>
      <c r="Y2700" s="1"/>
      <c r="Z2700" s="1"/>
      <c r="AA2700" s="1"/>
      <c r="AB2700" s="1"/>
      <c r="AC2700" s="1"/>
      <c r="AD2700" s="1"/>
      <c r="AE2700" s="1"/>
      <c r="AF2700" s="1"/>
      <c r="AG2700" s="1"/>
      <c r="AH2700" s="1"/>
    </row>
    <row r="2701" spans="1:34" ht="12.5">
      <c r="A2701" s="1"/>
      <c r="B2701" s="1"/>
      <c r="C2701" s="1"/>
      <c r="D2701" s="1"/>
      <c r="E2701" s="1"/>
      <c r="F2701" s="1"/>
      <c r="G2701" s="1"/>
      <c r="H2701" s="1"/>
      <c r="I2701" s="1"/>
      <c r="J2701" s="1"/>
      <c r="K2701" s="1"/>
      <c r="L2701" s="1"/>
      <c r="M2701" s="1"/>
      <c r="N2701" s="1"/>
      <c r="O2701" s="1"/>
      <c r="P2701" s="1"/>
      <c r="Q2701" s="1"/>
      <c r="R2701" s="1"/>
      <c r="S2701" s="1"/>
      <c r="T2701" s="1"/>
      <c r="U2701" s="1"/>
      <c r="V2701" s="1"/>
      <c r="W2701" s="1"/>
      <c r="X2701" s="1"/>
      <c r="Y2701" s="1"/>
      <c r="Z2701" s="1"/>
      <c r="AA2701" s="1"/>
      <c r="AB2701" s="1"/>
      <c r="AC2701" s="1"/>
      <c r="AD2701" s="1"/>
      <c r="AE2701" s="1"/>
      <c r="AF2701" s="1"/>
      <c r="AG2701" s="1"/>
      <c r="AH2701" s="1"/>
    </row>
    <row r="2702" spans="1:34" ht="12.5">
      <c r="A2702" s="1"/>
      <c r="B2702" s="1"/>
      <c r="C2702" s="1"/>
      <c r="D2702" s="1"/>
      <c r="E2702" s="1"/>
      <c r="F2702" s="1"/>
      <c r="G2702" s="1"/>
      <c r="H2702" s="1"/>
      <c r="I2702" s="1"/>
      <c r="J2702" s="1"/>
      <c r="K2702" s="1"/>
      <c r="L2702" s="1"/>
      <c r="M2702" s="1"/>
      <c r="N2702" s="1"/>
      <c r="O2702" s="1"/>
      <c r="P2702" s="1"/>
      <c r="Q2702" s="1"/>
      <c r="R2702" s="1"/>
      <c r="S2702" s="1"/>
      <c r="T2702" s="1"/>
      <c r="U2702" s="1"/>
      <c r="V2702" s="1"/>
      <c r="W2702" s="1"/>
      <c r="X2702" s="1"/>
      <c r="Y2702" s="1"/>
      <c r="Z2702" s="1"/>
      <c r="AA2702" s="1"/>
      <c r="AB2702" s="1"/>
      <c r="AC2702" s="1"/>
      <c r="AD2702" s="1"/>
      <c r="AE2702" s="1"/>
      <c r="AF2702" s="1"/>
      <c r="AG2702" s="1"/>
      <c r="AH2702" s="1"/>
    </row>
    <row r="2703" spans="1:34" ht="12.5">
      <c r="A2703" s="1"/>
      <c r="B2703" s="1"/>
      <c r="C2703" s="1"/>
      <c r="D2703" s="1"/>
      <c r="E2703" s="1"/>
      <c r="F2703" s="1"/>
      <c r="G2703" s="1"/>
      <c r="H2703" s="1"/>
      <c r="I2703" s="1"/>
      <c r="J2703" s="1"/>
      <c r="K2703" s="1"/>
      <c r="L2703" s="1"/>
      <c r="M2703" s="1"/>
      <c r="N2703" s="1"/>
      <c r="O2703" s="1"/>
      <c r="P2703" s="1"/>
      <c r="Q2703" s="1"/>
      <c r="R2703" s="1"/>
      <c r="S2703" s="1"/>
      <c r="T2703" s="1"/>
      <c r="U2703" s="1"/>
      <c r="V2703" s="1"/>
      <c r="W2703" s="1"/>
      <c r="X2703" s="1"/>
      <c r="Y2703" s="1"/>
      <c r="Z2703" s="1"/>
      <c r="AA2703" s="1"/>
      <c r="AB2703" s="1"/>
      <c r="AC2703" s="1"/>
      <c r="AD2703" s="1"/>
      <c r="AE2703" s="1"/>
      <c r="AF2703" s="1"/>
      <c r="AG2703" s="1"/>
      <c r="AH2703" s="1"/>
    </row>
    <row r="2704" spans="1:34" ht="12.5">
      <c r="A2704" s="1"/>
      <c r="B2704" s="1"/>
      <c r="C2704" s="1"/>
      <c r="D2704" s="1"/>
      <c r="E2704" s="1"/>
      <c r="F2704" s="1"/>
      <c r="G2704" s="1"/>
      <c r="H2704" s="1"/>
      <c r="I2704" s="1"/>
      <c r="J2704" s="1"/>
      <c r="K2704" s="1"/>
      <c r="L2704" s="1"/>
      <c r="M2704" s="1"/>
      <c r="N2704" s="1"/>
      <c r="O2704" s="1"/>
      <c r="P2704" s="1"/>
      <c r="Q2704" s="1"/>
      <c r="R2704" s="1"/>
      <c r="S2704" s="1"/>
      <c r="T2704" s="1"/>
      <c r="U2704" s="1"/>
      <c r="V2704" s="1"/>
      <c r="W2704" s="1"/>
      <c r="X2704" s="1"/>
      <c r="Y2704" s="1"/>
      <c r="Z2704" s="1"/>
      <c r="AA2704" s="1"/>
      <c r="AB2704" s="1"/>
      <c r="AC2704" s="1"/>
      <c r="AD2704" s="1"/>
      <c r="AE2704" s="1"/>
      <c r="AF2704" s="1"/>
      <c r="AG2704" s="1"/>
      <c r="AH2704" s="1"/>
    </row>
    <row r="2705" spans="1:34" ht="12.5">
      <c r="A2705" s="1"/>
      <c r="B2705" s="1"/>
      <c r="C2705" s="1"/>
      <c r="D2705" s="1"/>
      <c r="E2705" s="1"/>
      <c r="F2705" s="1"/>
      <c r="G2705" s="1"/>
      <c r="H2705" s="1"/>
      <c r="I2705" s="1"/>
      <c r="J2705" s="1"/>
      <c r="K2705" s="1"/>
      <c r="L2705" s="1"/>
      <c r="M2705" s="1"/>
      <c r="N2705" s="1"/>
      <c r="O2705" s="1"/>
      <c r="P2705" s="1"/>
      <c r="Q2705" s="1"/>
      <c r="R2705" s="1"/>
      <c r="S2705" s="1"/>
      <c r="T2705" s="1"/>
      <c r="U2705" s="1"/>
      <c r="V2705" s="1"/>
      <c r="W2705" s="1"/>
      <c r="X2705" s="1"/>
      <c r="Y2705" s="1"/>
      <c r="Z2705" s="1"/>
      <c r="AA2705" s="1"/>
      <c r="AB2705" s="1"/>
      <c r="AC2705" s="1"/>
      <c r="AD2705" s="1"/>
      <c r="AE2705" s="1"/>
      <c r="AF2705" s="1"/>
      <c r="AG2705" s="1"/>
      <c r="AH2705" s="1"/>
    </row>
    <row r="2706" spans="1:34" ht="12.5">
      <c r="A2706" s="1"/>
      <c r="B2706" s="1"/>
      <c r="C2706" s="1"/>
      <c r="D2706" s="1"/>
      <c r="E2706" s="1"/>
      <c r="F2706" s="1"/>
      <c r="G2706" s="1"/>
      <c r="H2706" s="1"/>
      <c r="I2706" s="1"/>
      <c r="J2706" s="1"/>
      <c r="K2706" s="1"/>
      <c r="L2706" s="1"/>
      <c r="M2706" s="1"/>
      <c r="N2706" s="1"/>
      <c r="O2706" s="1"/>
      <c r="P2706" s="1"/>
      <c r="Q2706" s="1"/>
      <c r="R2706" s="1"/>
      <c r="S2706" s="1"/>
      <c r="T2706" s="1"/>
      <c r="U2706" s="1"/>
      <c r="V2706" s="1"/>
      <c r="W2706" s="1"/>
      <c r="X2706" s="1"/>
      <c r="Y2706" s="1"/>
      <c r="Z2706" s="1"/>
      <c r="AA2706" s="1"/>
      <c r="AB2706" s="1"/>
      <c r="AC2706" s="1"/>
      <c r="AD2706" s="1"/>
      <c r="AE2706" s="1"/>
      <c r="AF2706" s="1"/>
      <c r="AG2706" s="1"/>
      <c r="AH2706" s="1"/>
    </row>
    <row r="2707" spans="1:34" ht="12.5">
      <c r="A2707" s="1"/>
      <c r="B2707" s="1"/>
      <c r="C2707" s="1"/>
      <c r="D2707" s="1"/>
      <c r="E2707" s="1"/>
      <c r="F2707" s="1"/>
      <c r="G2707" s="1"/>
      <c r="H2707" s="1"/>
      <c r="I2707" s="1"/>
      <c r="J2707" s="1"/>
      <c r="K2707" s="1"/>
      <c r="L2707" s="1"/>
      <c r="M2707" s="1"/>
      <c r="N2707" s="1"/>
      <c r="O2707" s="1"/>
      <c r="P2707" s="1"/>
      <c r="Q2707" s="1"/>
      <c r="R2707" s="1"/>
      <c r="S2707" s="1"/>
      <c r="T2707" s="1"/>
      <c r="U2707" s="1"/>
      <c r="V2707" s="1"/>
      <c r="W2707" s="1"/>
      <c r="X2707" s="1"/>
      <c r="Y2707" s="1"/>
      <c r="Z2707" s="1"/>
      <c r="AA2707" s="1"/>
      <c r="AB2707" s="1"/>
      <c r="AC2707" s="1"/>
      <c r="AD2707" s="1"/>
      <c r="AE2707" s="1"/>
      <c r="AF2707" s="1"/>
      <c r="AG2707" s="1"/>
      <c r="AH2707" s="1"/>
    </row>
    <row r="2708" spans="1:34" ht="12.5">
      <c r="A2708" s="1"/>
      <c r="B2708" s="1"/>
      <c r="C2708" s="1"/>
      <c r="D2708" s="1"/>
      <c r="E2708" s="1"/>
      <c r="F2708" s="1"/>
      <c r="G2708" s="1"/>
      <c r="H2708" s="1"/>
      <c r="I2708" s="1"/>
      <c r="J2708" s="1"/>
      <c r="K2708" s="1"/>
      <c r="L2708" s="1"/>
      <c r="M2708" s="1"/>
      <c r="N2708" s="1"/>
      <c r="O2708" s="1"/>
      <c r="P2708" s="1"/>
      <c r="Q2708" s="1"/>
      <c r="R2708" s="1"/>
      <c r="S2708" s="1"/>
      <c r="T2708" s="1"/>
      <c r="U2708" s="1"/>
      <c r="V2708" s="1"/>
      <c r="W2708" s="1"/>
      <c r="X2708" s="1"/>
      <c r="Y2708" s="1"/>
      <c r="Z2708" s="1"/>
      <c r="AA2708" s="1"/>
      <c r="AB2708" s="1"/>
      <c r="AC2708" s="1"/>
      <c r="AD2708" s="1"/>
      <c r="AE2708" s="1"/>
      <c r="AF2708" s="1"/>
      <c r="AG2708" s="1"/>
      <c r="AH2708" s="1"/>
    </row>
    <row r="2709" spans="1:34" ht="12.5">
      <c r="A2709" s="1"/>
      <c r="B2709" s="1"/>
      <c r="C2709" s="1"/>
      <c r="D2709" s="1"/>
      <c r="E2709" s="1"/>
      <c r="F2709" s="1"/>
      <c r="G2709" s="1"/>
      <c r="H2709" s="1"/>
      <c r="I2709" s="1"/>
      <c r="J2709" s="1"/>
      <c r="K2709" s="1"/>
      <c r="L2709" s="1"/>
      <c r="M2709" s="1"/>
      <c r="N2709" s="1"/>
      <c r="O2709" s="1"/>
      <c r="P2709" s="1"/>
      <c r="Q2709" s="1"/>
      <c r="R2709" s="1"/>
      <c r="S2709" s="1"/>
      <c r="T2709" s="1"/>
      <c r="U2709" s="1"/>
      <c r="V2709" s="1"/>
      <c r="W2709" s="1"/>
      <c r="X2709" s="1"/>
      <c r="Y2709" s="1"/>
      <c r="Z2709" s="1"/>
      <c r="AA2709" s="1"/>
      <c r="AB2709" s="1"/>
      <c r="AC2709" s="1"/>
      <c r="AD2709" s="1"/>
      <c r="AE2709" s="1"/>
      <c r="AF2709" s="1"/>
      <c r="AG2709" s="1"/>
      <c r="AH2709" s="1"/>
    </row>
    <row r="2710" spans="1:34" ht="12.5">
      <c r="A2710" s="1"/>
      <c r="B2710" s="1"/>
      <c r="C2710" s="1"/>
      <c r="D2710" s="1"/>
      <c r="E2710" s="1"/>
      <c r="F2710" s="1"/>
      <c r="G2710" s="1"/>
      <c r="H2710" s="1"/>
      <c r="I2710" s="1"/>
      <c r="J2710" s="1"/>
      <c r="K2710" s="1"/>
      <c r="L2710" s="1"/>
      <c r="M2710" s="1"/>
      <c r="N2710" s="1"/>
      <c r="O2710" s="1"/>
      <c r="P2710" s="1"/>
      <c r="Q2710" s="1"/>
      <c r="R2710" s="1"/>
      <c r="S2710" s="1"/>
      <c r="T2710" s="1"/>
      <c r="U2710" s="1"/>
      <c r="V2710" s="1"/>
      <c r="W2710" s="1"/>
      <c r="X2710" s="1"/>
      <c r="Y2710" s="1"/>
      <c r="Z2710" s="1"/>
      <c r="AA2710" s="1"/>
      <c r="AB2710" s="1"/>
      <c r="AC2710" s="1"/>
      <c r="AD2710" s="1"/>
      <c r="AE2710" s="1"/>
      <c r="AF2710" s="1"/>
      <c r="AG2710" s="1"/>
      <c r="AH2710" s="1"/>
    </row>
    <row r="2711" spans="1:34" ht="12.5">
      <c r="A2711" s="1"/>
      <c r="B2711" s="1"/>
      <c r="C2711" s="1"/>
      <c r="D2711" s="1"/>
      <c r="E2711" s="1"/>
      <c r="F2711" s="1"/>
      <c r="G2711" s="1"/>
      <c r="H2711" s="1"/>
      <c r="I2711" s="1"/>
      <c r="J2711" s="1"/>
      <c r="K2711" s="1"/>
      <c r="L2711" s="1"/>
      <c r="M2711" s="1"/>
      <c r="N2711" s="1"/>
      <c r="O2711" s="1"/>
      <c r="P2711" s="1"/>
      <c r="Q2711" s="1"/>
      <c r="R2711" s="1"/>
      <c r="S2711" s="1"/>
      <c r="T2711" s="1"/>
      <c r="U2711" s="1"/>
      <c r="V2711" s="1"/>
      <c r="W2711" s="1"/>
      <c r="X2711" s="1"/>
      <c r="Y2711" s="1"/>
      <c r="Z2711" s="1"/>
      <c r="AA2711" s="1"/>
      <c r="AB2711" s="1"/>
      <c r="AC2711" s="1"/>
      <c r="AD2711" s="1"/>
      <c r="AE2711" s="1"/>
      <c r="AF2711" s="1"/>
      <c r="AG2711" s="1"/>
      <c r="AH2711" s="1"/>
    </row>
    <row r="2712" spans="1:34" ht="12.5">
      <c r="A2712" s="1"/>
      <c r="B2712" s="1"/>
      <c r="C2712" s="1"/>
      <c r="D2712" s="1"/>
      <c r="E2712" s="1"/>
      <c r="F2712" s="1"/>
      <c r="G2712" s="1"/>
      <c r="H2712" s="1"/>
      <c r="I2712" s="1"/>
      <c r="J2712" s="1"/>
      <c r="K2712" s="1"/>
      <c r="L2712" s="1"/>
      <c r="M2712" s="1"/>
      <c r="N2712" s="1"/>
      <c r="O2712" s="1"/>
      <c r="P2712" s="1"/>
      <c r="Q2712" s="1"/>
      <c r="R2712" s="1"/>
      <c r="S2712" s="1"/>
      <c r="T2712" s="1"/>
      <c r="U2712" s="1"/>
      <c r="V2712" s="1"/>
      <c r="W2712" s="1"/>
      <c r="X2712" s="1"/>
      <c r="Y2712" s="1"/>
      <c r="Z2712" s="1"/>
      <c r="AA2712" s="1"/>
      <c r="AB2712" s="1"/>
      <c r="AC2712" s="1"/>
      <c r="AD2712" s="1"/>
      <c r="AE2712" s="1"/>
      <c r="AF2712" s="1"/>
      <c r="AG2712" s="1"/>
      <c r="AH2712" s="1"/>
    </row>
    <row r="2713" spans="1:34" ht="12.5">
      <c r="A2713" s="1"/>
      <c r="B2713" s="1"/>
      <c r="C2713" s="1"/>
      <c r="D2713" s="1"/>
      <c r="E2713" s="1"/>
      <c r="F2713" s="1"/>
      <c r="G2713" s="1"/>
      <c r="H2713" s="1"/>
      <c r="I2713" s="1"/>
      <c r="J2713" s="1"/>
      <c r="K2713" s="1"/>
      <c r="L2713" s="1"/>
      <c r="M2713" s="1"/>
      <c r="N2713" s="1"/>
      <c r="O2713" s="1"/>
      <c r="P2713" s="1"/>
      <c r="Q2713" s="1"/>
      <c r="R2713" s="1"/>
      <c r="S2713" s="1"/>
      <c r="T2713" s="1"/>
      <c r="U2713" s="1"/>
      <c r="V2713" s="1"/>
      <c r="W2713" s="1"/>
      <c r="X2713" s="1"/>
      <c r="Y2713" s="1"/>
      <c r="Z2713" s="1"/>
      <c r="AA2713" s="1"/>
      <c r="AB2713" s="1"/>
      <c r="AC2713" s="1"/>
      <c r="AD2713" s="1"/>
      <c r="AE2713" s="1"/>
      <c r="AF2713" s="1"/>
      <c r="AG2713" s="1"/>
      <c r="AH2713" s="1"/>
    </row>
    <row r="2714" spans="1:34" ht="12.5">
      <c r="A2714" s="1"/>
      <c r="B2714" s="1"/>
      <c r="C2714" s="1"/>
      <c r="D2714" s="1"/>
      <c r="E2714" s="1"/>
      <c r="F2714" s="1"/>
      <c r="G2714" s="1"/>
      <c r="H2714" s="1"/>
      <c r="I2714" s="1"/>
      <c r="J2714" s="1"/>
      <c r="K2714" s="1"/>
      <c r="L2714" s="1"/>
      <c r="M2714" s="1"/>
      <c r="N2714" s="1"/>
      <c r="O2714" s="1"/>
      <c r="P2714" s="1"/>
      <c r="Q2714" s="1"/>
      <c r="R2714" s="1"/>
      <c r="S2714" s="1"/>
      <c r="T2714" s="1"/>
      <c r="U2714" s="1"/>
      <c r="V2714" s="1"/>
      <c r="W2714" s="1"/>
      <c r="X2714" s="1"/>
      <c r="Y2714" s="1"/>
      <c r="Z2714" s="1"/>
      <c r="AA2714" s="1"/>
      <c r="AB2714" s="1"/>
      <c r="AC2714" s="1"/>
      <c r="AD2714" s="1"/>
      <c r="AE2714" s="1"/>
      <c r="AF2714" s="1"/>
      <c r="AG2714" s="1"/>
      <c r="AH2714" s="1"/>
    </row>
    <row r="2715" spans="1:34" ht="12.5">
      <c r="A2715" s="1"/>
      <c r="B2715" s="1"/>
      <c r="C2715" s="1"/>
      <c r="D2715" s="1"/>
      <c r="E2715" s="1"/>
      <c r="F2715" s="1"/>
      <c r="G2715" s="1"/>
      <c r="H2715" s="1"/>
      <c r="I2715" s="1"/>
      <c r="J2715" s="1"/>
      <c r="K2715" s="1"/>
      <c r="L2715" s="1"/>
      <c r="M2715" s="1"/>
      <c r="N2715" s="1"/>
      <c r="O2715" s="1"/>
      <c r="P2715" s="1"/>
      <c r="Q2715" s="1"/>
      <c r="R2715" s="1"/>
      <c r="S2715" s="1"/>
      <c r="T2715" s="1"/>
      <c r="U2715" s="1"/>
      <c r="V2715" s="1"/>
      <c r="W2715" s="1"/>
      <c r="X2715" s="1"/>
      <c r="Y2715" s="1"/>
      <c r="Z2715" s="1"/>
      <c r="AA2715" s="1"/>
      <c r="AB2715" s="1"/>
      <c r="AC2715" s="1"/>
      <c r="AD2715" s="1"/>
      <c r="AE2715" s="1"/>
      <c r="AF2715" s="1"/>
      <c r="AG2715" s="1"/>
      <c r="AH2715" s="1"/>
    </row>
    <row r="2716" spans="1:34" ht="12.5">
      <c r="A2716" s="1"/>
      <c r="B2716" s="1"/>
      <c r="C2716" s="1"/>
      <c r="D2716" s="1"/>
      <c r="E2716" s="1"/>
      <c r="F2716" s="1"/>
      <c r="G2716" s="1"/>
      <c r="H2716" s="1"/>
      <c r="I2716" s="1"/>
      <c r="J2716" s="1"/>
      <c r="K2716" s="1"/>
      <c r="L2716" s="1"/>
      <c r="M2716" s="1"/>
      <c r="N2716" s="1"/>
      <c r="O2716" s="1"/>
      <c r="P2716" s="1"/>
      <c r="Q2716" s="1"/>
      <c r="R2716" s="1"/>
      <c r="S2716" s="1"/>
      <c r="T2716" s="1"/>
      <c r="U2716" s="1"/>
      <c r="V2716" s="1"/>
      <c r="W2716" s="1"/>
      <c r="X2716" s="1"/>
      <c r="Y2716" s="1"/>
      <c r="Z2716" s="1"/>
      <c r="AA2716" s="1"/>
      <c r="AB2716" s="1"/>
      <c r="AC2716" s="1"/>
      <c r="AD2716" s="1"/>
      <c r="AE2716" s="1"/>
      <c r="AF2716" s="1"/>
      <c r="AG2716" s="1"/>
      <c r="AH2716" s="1"/>
    </row>
    <row r="2717" spans="1:34" ht="12.5">
      <c r="A2717" s="1"/>
      <c r="B2717" s="1"/>
      <c r="C2717" s="1"/>
      <c r="D2717" s="1"/>
      <c r="E2717" s="1"/>
      <c r="F2717" s="1"/>
      <c r="G2717" s="1"/>
      <c r="H2717" s="1"/>
      <c r="I2717" s="1"/>
      <c r="J2717" s="1"/>
      <c r="K2717" s="1"/>
      <c r="L2717" s="1"/>
      <c r="M2717" s="1"/>
      <c r="N2717" s="1"/>
      <c r="O2717" s="1"/>
      <c r="P2717" s="1"/>
      <c r="Q2717" s="1"/>
      <c r="R2717" s="1"/>
      <c r="S2717" s="1"/>
      <c r="T2717" s="1"/>
      <c r="U2717" s="1"/>
      <c r="V2717" s="1"/>
      <c r="W2717" s="1"/>
      <c r="X2717" s="1"/>
      <c r="Y2717" s="1"/>
      <c r="Z2717" s="1"/>
      <c r="AA2717" s="1"/>
      <c r="AB2717" s="1"/>
      <c r="AC2717" s="1"/>
      <c r="AD2717" s="1"/>
      <c r="AE2717" s="1"/>
      <c r="AF2717" s="1"/>
      <c r="AG2717" s="1"/>
      <c r="AH2717" s="1"/>
    </row>
    <row r="2718" spans="1:34" ht="12.5">
      <c r="A2718" s="1"/>
      <c r="B2718" s="1"/>
      <c r="C2718" s="1"/>
      <c r="D2718" s="1"/>
      <c r="E2718" s="1"/>
      <c r="F2718" s="1"/>
      <c r="G2718" s="1"/>
      <c r="H2718" s="1"/>
      <c r="I2718" s="1"/>
      <c r="J2718" s="1"/>
      <c r="K2718" s="1"/>
      <c r="L2718" s="1"/>
      <c r="M2718" s="1"/>
      <c r="N2718" s="1"/>
      <c r="O2718" s="1"/>
      <c r="P2718" s="1"/>
      <c r="Q2718" s="1"/>
      <c r="R2718" s="1"/>
      <c r="S2718" s="1"/>
      <c r="T2718" s="1"/>
      <c r="U2718" s="1"/>
      <c r="V2718" s="1"/>
      <c r="W2718" s="1"/>
      <c r="X2718" s="1"/>
      <c r="Y2718" s="1"/>
      <c r="Z2718" s="1"/>
      <c r="AA2718" s="1"/>
      <c r="AB2718" s="1"/>
      <c r="AC2718" s="1"/>
      <c r="AD2718" s="1"/>
      <c r="AE2718" s="1"/>
      <c r="AF2718" s="1"/>
      <c r="AG2718" s="1"/>
      <c r="AH2718" s="1"/>
    </row>
    <row r="2719" spans="1:34" ht="12.5">
      <c r="A2719" s="1"/>
      <c r="B2719" s="1"/>
      <c r="C2719" s="1"/>
      <c r="D2719" s="1"/>
      <c r="E2719" s="1"/>
      <c r="F2719" s="1"/>
      <c r="G2719" s="1"/>
      <c r="H2719" s="1"/>
      <c r="I2719" s="1"/>
      <c r="J2719" s="1"/>
      <c r="K2719" s="1"/>
      <c r="L2719" s="1"/>
      <c r="M2719" s="1"/>
      <c r="N2719" s="1"/>
      <c r="O2719" s="1"/>
      <c r="P2719" s="1"/>
      <c r="Q2719" s="1"/>
      <c r="R2719" s="1"/>
      <c r="S2719" s="1"/>
      <c r="T2719" s="1"/>
      <c r="U2719" s="1"/>
      <c r="V2719" s="1"/>
      <c r="W2719" s="1"/>
      <c r="X2719" s="1"/>
      <c r="Y2719" s="1"/>
      <c r="Z2719" s="1"/>
      <c r="AA2719" s="1"/>
      <c r="AB2719" s="1"/>
      <c r="AC2719" s="1"/>
      <c r="AD2719" s="1"/>
      <c r="AE2719" s="1"/>
      <c r="AF2719" s="1"/>
      <c r="AG2719" s="1"/>
      <c r="AH2719" s="1"/>
    </row>
    <row r="2720" spans="1:34" ht="12.5">
      <c r="A2720" s="1"/>
      <c r="B2720" s="1"/>
      <c r="C2720" s="1"/>
      <c r="D2720" s="1"/>
      <c r="E2720" s="1"/>
      <c r="F2720" s="1"/>
      <c r="G2720" s="1"/>
      <c r="H2720" s="1"/>
      <c r="I2720" s="1"/>
      <c r="J2720" s="1"/>
      <c r="K2720" s="1"/>
      <c r="L2720" s="1"/>
      <c r="M2720" s="1"/>
      <c r="N2720" s="1"/>
      <c r="O2720" s="1"/>
      <c r="P2720" s="1"/>
      <c r="Q2720" s="1"/>
      <c r="R2720" s="1"/>
      <c r="S2720" s="1"/>
      <c r="T2720" s="1"/>
      <c r="U2720" s="1"/>
      <c r="V2720" s="1"/>
      <c r="W2720" s="1"/>
      <c r="X2720" s="1"/>
      <c r="Y2720" s="1"/>
      <c r="Z2720" s="1"/>
      <c r="AA2720" s="1"/>
      <c r="AB2720" s="1"/>
      <c r="AC2720" s="1"/>
      <c r="AD2720" s="1"/>
      <c r="AE2720" s="1"/>
      <c r="AF2720" s="1"/>
      <c r="AG2720" s="1"/>
      <c r="AH2720" s="1"/>
    </row>
    <row r="2721" spans="1:34" ht="12.5">
      <c r="A2721" s="1"/>
      <c r="B2721" s="1"/>
      <c r="C2721" s="1"/>
      <c r="D2721" s="1"/>
      <c r="E2721" s="1"/>
      <c r="F2721" s="1"/>
      <c r="G2721" s="1"/>
      <c r="H2721" s="1"/>
      <c r="I2721" s="1"/>
      <c r="J2721" s="1"/>
      <c r="K2721" s="1"/>
      <c r="L2721" s="1"/>
      <c r="M2721" s="1"/>
      <c r="N2721" s="1"/>
      <c r="O2721" s="1"/>
      <c r="P2721" s="1"/>
      <c r="Q2721" s="1"/>
      <c r="R2721" s="1"/>
      <c r="S2721" s="1"/>
      <c r="T2721" s="1"/>
      <c r="U2721" s="1"/>
      <c r="V2721" s="1"/>
      <c r="W2721" s="1"/>
      <c r="X2721" s="1"/>
      <c r="Y2721" s="1"/>
      <c r="Z2721" s="1"/>
      <c r="AA2721" s="1"/>
      <c r="AB2721" s="1"/>
      <c r="AC2721" s="1"/>
      <c r="AD2721" s="1"/>
      <c r="AE2721" s="1"/>
      <c r="AF2721" s="1"/>
      <c r="AG2721" s="1"/>
      <c r="AH2721" s="1"/>
    </row>
    <row r="2722" spans="1:34" ht="12.5">
      <c r="A2722" s="1"/>
      <c r="B2722" s="1"/>
      <c r="C2722" s="1"/>
      <c r="D2722" s="1"/>
      <c r="E2722" s="1"/>
      <c r="F2722" s="1"/>
      <c r="G2722" s="1"/>
      <c r="H2722" s="1"/>
      <c r="I2722" s="1"/>
      <c r="J2722" s="1"/>
      <c r="K2722" s="1"/>
      <c r="L2722" s="1"/>
      <c r="M2722" s="1"/>
      <c r="N2722" s="1"/>
      <c r="O2722" s="1"/>
      <c r="P2722" s="1"/>
      <c r="Q2722" s="1"/>
      <c r="R2722" s="1"/>
      <c r="S2722" s="1"/>
      <c r="T2722" s="1"/>
      <c r="U2722" s="1"/>
      <c r="V2722" s="1"/>
      <c r="W2722" s="1"/>
      <c r="X2722" s="1"/>
      <c r="Y2722" s="1"/>
      <c r="Z2722" s="1"/>
      <c r="AA2722" s="1"/>
      <c r="AB2722" s="1"/>
      <c r="AC2722" s="1"/>
      <c r="AD2722" s="1"/>
      <c r="AE2722" s="1"/>
      <c r="AF2722" s="1"/>
      <c r="AG2722" s="1"/>
      <c r="AH2722" s="1"/>
    </row>
    <row r="2723" spans="1:34" ht="12.5">
      <c r="A2723" s="1"/>
      <c r="B2723" s="1"/>
      <c r="C2723" s="1"/>
      <c r="D2723" s="1"/>
      <c r="E2723" s="1"/>
      <c r="F2723" s="1"/>
      <c r="G2723" s="1"/>
      <c r="H2723" s="1"/>
      <c r="I2723" s="1"/>
      <c r="J2723" s="1"/>
      <c r="K2723" s="1"/>
      <c r="L2723" s="1"/>
      <c r="M2723" s="1"/>
      <c r="N2723" s="1"/>
      <c r="O2723" s="1"/>
      <c r="P2723" s="1"/>
      <c r="Q2723" s="1"/>
      <c r="R2723" s="1"/>
      <c r="S2723" s="1"/>
      <c r="T2723" s="1"/>
      <c r="U2723" s="1"/>
      <c r="V2723" s="1"/>
      <c r="W2723" s="1"/>
      <c r="X2723" s="1"/>
      <c r="Y2723" s="1"/>
      <c r="Z2723" s="1"/>
      <c r="AA2723" s="1"/>
      <c r="AB2723" s="1"/>
      <c r="AC2723" s="1"/>
      <c r="AD2723" s="1"/>
      <c r="AE2723" s="1"/>
      <c r="AF2723" s="1"/>
      <c r="AG2723" s="1"/>
      <c r="AH2723" s="1"/>
    </row>
    <row r="2724" spans="1:34" ht="12.5">
      <c r="A2724" s="1"/>
      <c r="B2724" s="1"/>
      <c r="C2724" s="1"/>
      <c r="D2724" s="1"/>
      <c r="E2724" s="1"/>
      <c r="F2724" s="1"/>
      <c r="G2724" s="1"/>
      <c r="H2724" s="1"/>
      <c r="I2724" s="1"/>
      <c r="J2724" s="1"/>
      <c r="K2724" s="1"/>
      <c r="L2724" s="1"/>
      <c r="M2724" s="1"/>
      <c r="N2724" s="1"/>
      <c r="O2724" s="1"/>
      <c r="P2724" s="1"/>
      <c r="Q2724" s="1"/>
      <c r="R2724" s="1"/>
      <c r="S2724" s="1"/>
      <c r="T2724" s="1"/>
      <c r="U2724" s="1"/>
      <c r="V2724" s="1"/>
      <c r="W2724" s="1"/>
      <c r="X2724" s="1"/>
      <c r="Y2724" s="1"/>
      <c r="Z2724" s="1"/>
      <c r="AA2724" s="1"/>
      <c r="AB2724" s="1"/>
      <c r="AC2724" s="1"/>
      <c r="AD2724" s="1"/>
      <c r="AE2724" s="1"/>
      <c r="AF2724" s="1"/>
      <c r="AG2724" s="1"/>
      <c r="AH2724" s="1"/>
    </row>
    <row r="2725" spans="1:34" ht="12.5">
      <c r="A2725" s="1"/>
      <c r="B2725" s="1"/>
      <c r="C2725" s="1"/>
      <c r="D2725" s="1"/>
      <c r="E2725" s="1"/>
      <c r="F2725" s="1"/>
      <c r="G2725" s="1"/>
      <c r="H2725" s="1"/>
      <c r="I2725" s="1"/>
      <c r="J2725" s="1"/>
      <c r="K2725" s="1"/>
      <c r="L2725" s="1"/>
      <c r="M2725" s="1"/>
      <c r="N2725" s="1"/>
      <c r="O2725" s="1"/>
      <c r="P2725" s="1"/>
      <c r="Q2725" s="1"/>
      <c r="R2725" s="1"/>
      <c r="S2725" s="1"/>
      <c r="T2725" s="1"/>
      <c r="U2725" s="1"/>
      <c r="V2725" s="1"/>
      <c r="W2725" s="1"/>
      <c r="X2725" s="1"/>
      <c r="Y2725" s="1"/>
      <c r="Z2725" s="1"/>
      <c r="AA2725" s="1"/>
      <c r="AB2725" s="1"/>
      <c r="AC2725" s="1"/>
      <c r="AD2725" s="1"/>
      <c r="AE2725" s="1"/>
      <c r="AF2725" s="1"/>
      <c r="AG2725" s="1"/>
      <c r="AH2725" s="1"/>
    </row>
    <row r="2726" spans="1:34" ht="12.5">
      <c r="A2726" s="1"/>
      <c r="B2726" s="1"/>
      <c r="C2726" s="1"/>
      <c r="D2726" s="1"/>
      <c r="E2726" s="1"/>
      <c r="F2726" s="1"/>
      <c r="G2726" s="1"/>
      <c r="H2726" s="1"/>
      <c r="I2726" s="1"/>
      <c r="J2726" s="1"/>
      <c r="K2726" s="1"/>
      <c r="L2726" s="1"/>
      <c r="M2726" s="1"/>
      <c r="N2726" s="1"/>
      <c r="O2726" s="1"/>
      <c r="P2726" s="1"/>
      <c r="Q2726" s="1"/>
      <c r="R2726" s="1"/>
      <c r="S2726" s="1"/>
      <c r="T2726" s="1"/>
      <c r="U2726" s="1"/>
      <c r="V2726" s="1"/>
      <c r="W2726" s="1"/>
      <c r="X2726" s="1"/>
      <c r="Y2726" s="1"/>
      <c r="Z2726" s="1"/>
      <c r="AA2726" s="1"/>
      <c r="AB2726" s="1"/>
      <c r="AC2726" s="1"/>
      <c r="AD2726" s="1"/>
      <c r="AE2726" s="1"/>
      <c r="AF2726" s="1"/>
      <c r="AG2726" s="1"/>
      <c r="AH2726" s="1"/>
    </row>
    <row r="2727" spans="1:34" ht="12.5">
      <c r="A2727" s="1"/>
      <c r="B2727" s="1"/>
      <c r="C2727" s="1"/>
      <c r="D2727" s="1"/>
      <c r="E2727" s="1"/>
      <c r="F2727" s="1"/>
      <c r="G2727" s="1"/>
      <c r="H2727" s="1"/>
      <c r="I2727" s="1"/>
      <c r="J2727" s="1"/>
      <c r="K2727" s="1"/>
      <c r="L2727" s="1"/>
      <c r="M2727" s="1"/>
      <c r="N2727" s="1"/>
      <c r="O2727" s="1"/>
      <c r="P2727" s="1"/>
      <c r="Q2727" s="1"/>
      <c r="R2727" s="1"/>
      <c r="S2727" s="1"/>
      <c r="T2727" s="1"/>
      <c r="U2727" s="1"/>
      <c r="V2727" s="1"/>
      <c r="W2727" s="1"/>
      <c r="X2727" s="1"/>
      <c r="Y2727" s="1"/>
      <c r="Z2727" s="1"/>
      <c r="AA2727" s="1"/>
      <c r="AB2727" s="1"/>
      <c r="AC2727" s="1"/>
      <c r="AD2727" s="1"/>
      <c r="AE2727" s="1"/>
      <c r="AF2727" s="1"/>
      <c r="AG2727" s="1"/>
      <c r="AH2727" s="1"/>
    </row>
    <row r="2728" spans="1:34" ht="12.5">
      <c r="A2728" s="1"/>
      <c r="B2728" s="1"/>
      <c r="C2728" s="1"/>
      <c r="D2728" s="1"/>
      <c r="E2728" s="1"/>
      <c r="F2728" s="1"/>
      <c r="G2728" s="1"/>
      <c r="H2728" s="1"/>
      <c r="I2728" s="1"/>
      <c r="J2728" s="1"/>
      <c r="K2728" s="1"/>
      <c r="L2728" s="1"/>
      <c r="M2728" s="1"/>
      <c r="N2728" s="1"/>
      <c r="O2728" s="1"/>
      <c r="P2728" s="1"/>
      <c r="Q2728" s="1"/>
      <c r="R2728" s="1"/>
      <c r="S2728" s="1"/>
      <c r="T2728" s="1"/>
      <c r="U2728" s="1"/>
      <c r="V2728" s="1"/>
      <c r="W2728" s="1"/>
      <c r="X2728" s="1"/>
      <c r="Y2728" s="1"/>
      <c r="Z2728" s="1"/>
      <c r="AA2728" s="1"/>
      <c r="AB2728" s="1"/>
      <c r="AC2728" s="1"/>
      <c r="AD2728" s="1"/>
      <c r="AE2728" s="1"/>
      <c r="AF2728" s="1"/>
      <c r="AG2728" s="1"/>
      <c r="AH2728" s="1"/>
    </row>
    <row r="2729" spans="1:34" ht="12.5">
      <c r="A2729" s="1"/>
      <c r="B2729" s="1"/>
      <c r="C2729" s="1"/>
      <c r="D2729" s="1"/>
      <c r="E2729" s="1"/>
      <c r="F2729" s="1"/>
      <c r="G2729" s="1"/>
      <c r="H2729" s="1"/>
      <c r="I2729" s="1"/>
      <c r="J2729" s="1"/>
      <c r="K2729" s="1"/>
      <c r="L2729" s="1"/>
      <c r="M2729" s="1"/>
      <c r="N2729" s="1"/>
      <c r="O2729" s="1"/>
      <c r="P2729" s="1"/>
      <c r="Q2729" s="1"/>
      <c r="R2729" s="1"/>
      <c r="S2729" s="1"/>
      <c r="T2729" s="1"/>
      <c r="U2729" s="1"/>
      <c r="V2729" s="1"/>
      <c r="W2729" s="1"/>
      <c r="X2729" s="1"/>
      <c r="Y2729" s="1"/>
      <c r="Z2729" s="1"/>
      <c r="AA2729" s="1"/>
      <c r="AB2729" s="1"/>
      <c r="AC2729" s="1"/>
      <c r="AD2729" s="1"/>
      <c r="AE2729" s="1"/>
      <c r="AF2729" s="1"/>
      <c r="AG2729" s="1"/>
      <c r="AH2729" s="1"/>
    </row>
    <row r="2730" spans="1:34" ht="12.5">
      <c r="A2730" s="1"/>
      <c r="B2730" s="1"/>
      <c r="C2730" s="1"/>
      <c r="D2730" s="1"/>
      <c r="E2730" s="1"/>
      <c r="F2730" s="1"/>
      <c r="G2730" s="1"/>
      <c r="H2730" s="1"/>
      <c r="I2730" s="1"/>
      <c r="J2730" s="1"/>
      <c r="K2730" s="1"/>
      <c r="L2730" s="1"/>
      <c r="M2730" s="1"/>
      <c r="N2730" s="1"/>
      <c r="O2730" s="1"/>
      <c r="P2730" s="1"/>
      <c r="Q2730" s="1"/>
      <c r="R2730" s="1"/>
      <c r="S2730" s="1"/>
      <c r="T2730" s="1"/>
      <c r="U2730" s="1"/>
      <c r="V2730" s="1"/>
      <c r="W2730" s="1"/>
      <c r="X2730" s="1"/>
      <c r="Y2730" s="1"/>
      <c r="Z2730" s="1"/>
      <c r="AA2730" s="1"/>
      <c r="AB2730" s="1"/>
      <c r="AC2730" s="1"/>
      <c r="AD2730" s="1"/>
      <c r="AE2730" s="1"/>
      <c r="AF2730" s="1"/>
      <c r="AG2730" s="1"/>
      <c r="AH2730" s="1"/>
    </row>
    <row r="2731" spans="1:34" ht="12.5">
      <c r="A2731" s="1"/>
      <c r="B2731" s="1"/>
      <c r="C2731" s="1"/>
      <c r="D2731" s="1"/>
      <c r="E2731" s="1"/>
      <c r="F2731" s="1"/>
      <c r="G2731" s="1"/>
      <c r="H2731" s="1"/>
      <c r="I2731" s="1"/>
      <c r="J2731" s="1"/>
      <c r="K2731" s="1"/>
      <c r="L2731" s="1"/>
      <c r="M2731" s="1"/>
      <c r="N2731" s="1"/>
      <c r="O2731" s="1"/>
      <c r="P2731" s="1"/>
      <c r="Q2731" s="1"/>
      <c r="R2731" s="1"/>
      <c r="S2731" s="1"/>
      <c r="T2731" s="1"/>
      <c r="U2731" s="1"/>
      <c r="V2731" s="1"/>
      <c r="W2731" s="1"/>
      <c r="X2731" s="1"/>
      <c r="Y2731" s="1"/>
      <c r="Z2731" s="1"/>
      <c r="AA2731" s="1"/>
      <c r="AB2731" s="1"/>
      <c r="AC2731" s="1"/>
      <c r="AD2731" s="1"/>
      <c r="AE2731" s="1"/>
      <c r="AF2731" s="1"/>
      <c r="AG2731" s="1"/>
      <c r="AH2731" s="1"/>
    </row>
    <row r="2732" spans="1:34" ht="12.5">
      <c r="A2732" s="1"/>
      <c r="B2732" s="1"/>
      <c r="C2732" s="1"/>
      <c r="D2732" s="1"/>
      <c r="E2732" s="1"/>
      <c r="F2732" s="1"/>
      <c r="G2732" s="1"/>
      <c r="H2732" s="1"/>
      <c r="I2732" s="1"/>
      <c r="J2732" s="1"/>
      <c r="K2732" s="1"/>
      <c r="L2732" s="1"/>
      <c r="M2732" s="1"/>
      <c r="N2732" s="1"/>
      <c r="O2732" s="1"/>
      <c r="P2732" s="1"/>
      <c r="Q2732" s="1"/>
      <c r="R2732" s="1"/>
      <c r="S2732" s="1"/>
      <c r="T2732" s="1"/>
      <c r="U2732" s="1"/>
      <c r="V2732" s="1"/>
      <c r="W2732" s="1"/>
      <c r="X2732" s="1"/>
      <c r="Y2732" s="1"/>
      <c r="Z2732" s="1"/>
      <c r="AA2732" s="1"/>
      <c r="AB2732" s="1"/>
      <c r="AC2732" s="1"/>
      <c r="AD2732" s="1"/>
      <c r="AE2732" s="1"/>
      <c r="AF2732" s="1"/>
      <c r="AG2732" s="1"/>
      <c r="AH2732" s="1"/>
    </row>
    <row r="2733" spans="1:34" ht="12.5">
      <c r="A2733" s="1"/>
      <c r="B2733" s="1"/>
      <c r="C2733" s="1"/>
      <c r="D2733" s="1"/>
      <c r="E2733" s="1"/>
      <c r="F2733" s="1"/>
      <c r="G2733" s="1"/>
      <c r="H2733" s="1"/>
      <c r="I2733" s="1"/>
      <c r="J2733" s="1"/>
      <c r="K2733" s="1"/>
      <c r="L2733" s="1"/>
      <c r="M2733" s="1"/>
      <c r="N2733" s="1"/>
      <c r="O2733" s="1"/>
      <c r="P2733" s="1"/>
      <c r="Q2733" s="1"/>
      <c r="R2733" s="1"/>
      <c r="S2733" s="1"/>
      <c r="T2733" s="1"/>
      <c r="U2733" s="1"/>
      <c r="V2733" s="1"/>
      <c r="W2733" s="1"/>
      <c r="X2733" s="1"/>
      <c r="Y2733" s="1"/>
      <c r="Z2733" s="1"/>
      <c r="AA2733" s="1"/>
      <c r="AB2733" s="1"/>
      <c r="AC2733" s="1"/>
      <c r="AD2733" s="1"/>
      <c r="AE2733" s="1"/>
      <c r="AF2733" s="1"/>
      <c r="AG2733" s="1"/>
      <c r="AH2733" s="1"/>
    </row>
    <row r="2734" spans="1:34" ht="12.5">
      <c r="A2734" s="1"/>
      <c r="B2734" s="1"/>
      <c r="C2734" s="1"/>
      <c r="D2734" s="1"/>
      <c r="E2734" s="1"/>
      <c r="F2734" s="1"/>
      <c r="G2734" s="1"/>
      <c r="H2734" s="1"/>
      <c r="I2734" s="1"/>
      <c r="J2734" s="1"/>
      <c r="K2734" s="1"/>
      <c r="L2734" s="1"/>
      <c r="M2734" s="1"/>
      <c r="N2734" s="1"/>
      <c r="O2734" s="1"/>
      <c r="P2734" s="1"/>
      <c r="Q2734" s="1"/>
      <c r="R2734" s="1"/>
      <c r="S2734" s="1"/>
      <c r="T2734" s="1"/>
      <c r="U2734" s="1"/>
      <c r="V2734" s="1"/>
      <c r="W2734" s="1"/>
      <c r="X2734" s="1"/>
      <c r="Y2734" s="1"/>
      <c r="Z2734" s="1"/>
      <c r="AA2734" s="1"/>
      <c r="AB2734" s="1"/>
      <c r="AC2734" s="1"/>
      <c r="AD2734" s="1"/>
      <c r="AE2734" s="1"/>
      <c r="AF2734" s="1"/>
      <c r="AG2734" s="1"/>
      <c r="AH2734" s="1"/>
    </row>
    <row r="2735" spans="1:34" ht="12.5">
      <c r="A2735" s="1"/>
      <c r="B2735" s="1"/>
      <c r="C2735" s="1"/>
      <c r="D2735" s="1"/>
      <c r="E2735" s="1"/>
      <c r="F2735" s="1"/>
      <c r="G2735" s="1"/>
      <c r="H2735" s="1"/>
      <c r="I2735" s="1"/>
      <c r="J2735" s="1"/>
      <c r="K2735" s="1"/>
      <c r="L2735" s="1"/>
      <c r="M2735" s="1"/>
      <c r="N2735" s="1"/>
      <c r="O2735" s="1"/>
      <c r="P2735" s="1"/>
      <c r="Q2735" s="1"/>
      <c r="R2735" s="1"/>
      <c r="S2735" s="1"/>
      <c r="T2735" s="1"/>
      <c r="U2735" s="1"/>
      <c r="V2735" s="1"/>
      <c r="W2735" s="1"/>
      <c r="X2735" s="1"/>
      <c r="Y2735" s="1"/>
      <c r="Z2735" s="1"/>
      <c r="AA2735" s="1"/>
      <c r="AB2735" s="1"/>
      <c r="AC2735" s="1"/>
      <c r="AD2735" s="1"/>
      <c r="AE2735" s="1"/>
      <c r="AF2735" s="1"/>
      <c r="AG2735" s="1"/>
      <c r="AH2735" s="1"/>
    </row>
    <row r="2736" spans="1:34" ht="12.5">
      <c r="A2736" s="1"/>
      <c r="B2736" s="1"/>
      <c r="C2736" s="1"/>
      <c r="D2736" s="1"/>
      <c r="E2736" s="1"/>
      <c r="F2736" s="1"/>
      <c r="G2736" s="1"/>
      <c r="H2736" s="1"/>
      <c r="I2736" s="1"/>
      <c r="J2736" s="1"/>
      <c r="K2736" s="1"/>
      <c r="L2736" s="1"/>
      <c r="M2736" s="1"/>
      <c r="N2736" s="1"/>
      <c r="O2736" s="1"/>
      <c r="P2736" s="1"/>
      <c r="Q2736" s="1"/>
      <c r="R2736" s="1"/>
      <c r="S2736" s="1"/>
      <c r="T2736" s="1"/>
      <c r="U2736" s="1"/>
      <c r="V2736" s="1"/>
      <c r="W2736" s="1"/>
      <c r="X2736" s="1"/>
      <c r="Y2736" s="1"/>
      <c r="Z2736" s="1"/>
      <c r="AA2736" s="1"/>
      <c r="AB2736" s="1"/>
      <c r="AC2736" s="1"/>
      <c r="AD2736" s="1"/>
      <c r="AE2736" s="1"/>
      <c r="AF2736" s="1"/>
      <c r="AG2736" s="1"/>
      <c r="AH2736" s="1"/>
    </row>
    <row r="2737" spans="1:34" ht="12.5">
      <c r="A2737" s="1"/>
      <c r="B2737" s="1"/>
      <c r="C2737" s="1"/>
      <c r="D2737" s="1"/>
      <c r="E2737" s="1"/>
      <c r="F2737" s="1"/>
      <c r="G2737" s="1"/>
      <c r="H2737" s="1"/>
      <c r="I2737" s="1"/>
      <c r="J2737" s="1"/>
      <c r="K2737" s="1"/>
      <c r="L2737" s="1"/>
      <c r="M2737" s="1"/>
      <c r="N2737" s="1"/>
      <c r="O2737" s="1"/>
      <c r="P2737" s="1"/>
      <c r="Q2737" s="1"/>
      <c r="R2737" s="1"/>
      <c r="S2737" s="1"/>
      <c r="T2737" s="1"/>
      <c r="U2737" s="1"/>
      <c r="V2737" s="1"/>
      <c r="W2737" s="1"/>
      <c r="X2737" s="1"/>
      <c r="Y2737" s="1"/>
      <c r="Z2737" s="1"/>
      <c r="AA2737" s="1"/>
      <c r="AB2737" s="1"/>
      <c r="AC2737" s="1"/>
      <c r="AD2737" s="1"/>
      <c r="AE2737" s="1"/>
      <c r="AF2737" s="1"/>
      <c r="AG2737" s="1"/>
      <c r="AH2737" s="1"/>
    </row>
    <row r="2738" spans="1:34" ht="12.5">
      <c r="A2738" s="1"/>
      <c r="B2738" s="1"/>
      <c r="C2738" s="1"/>
      <c r="D2738" s="1"/>
      <c r="E2738" s="1"/>
      <c r="F2738" s="1"/>
      <c r="G2738" s="1"/>
      <c r="H2738" s="1"/>
      <c r="I2738" s="1"/>
      <c r="J2738" s="1"/>
      <c r="K2738" s="1"/>
      <c r="L2738" s="1"/>
      <c r="M2738" s="1"/>
      <c r="N2738" s="1"/>
      <c r="O2738" s="1"/>
      <c r="P2738" s="1"/>
      <c r="Q2738" s="1"/>
      <c r="R2738" s="1"/>
      <c r="S2738" s="1"/>
      <c r="T2738" s="1"/>
      <c r="U2738" s="1"/>
      <c r="V2738" s="1"/>
      <c r="W2738" s="1"/>
      <c r="X2738" s="1"/>
      <c r="Y2738" s="1"/>
      <c r="Z2738" s="1"/>
      <c r="AA2738" s="1"/>
      <c r="AB2738" s="1"/>
      <c r="AC2738" s="1"/>
      <c r="AD2738" s="1"/>
      <c r="AE2738" s="1"/>
      <c r="AF2738" s="1"/>
      <c r="AG2738" s="1"/>
      <c r="AH2738" s="1"/>
    </row>
    <row r="2739" spans="1:34" ht="12.5">
      <c r="A2739" s="1"/>
      <c r="B2739" s="1"/>
      <c r="C2739" s="1"/>
      <c r="D2739" s="1"/>
      <c r="E2739" s="1"/>
      <c r="F2739" s="1"/>
      <c r="G2739" s="1"/>
      <c r="H2739" s="1"/>
      <c r="I2739" s="1"/>
      <c r="J2739" s="1"/>
      <c r="K2739" s="1"/>
      <c r="L2739" s="1"/>
      <c r="M2739" s="1"/>
      <c r="N2739" s="1"/>
      <c r="O2739" s="1"/>
      <c r="P2739" s="1"/>
      <c r="Q2739" s="1"/>
      <c r="R2739" s="1"/>
      <c r="S2739" s="1"/>
      <c r="T2739" s="1"/>
      <c r="U2739" s="1"/>
      <c r="V2739" s="1"/>
      <c r="W2739" s="1"/>
      <c r="X2739" s="1"/>
      <c r="Y2739" s="1"/>
      <c r="Z2739" s="1"/>
      <c r="AA2739" s="1"/>
      <c r="AB2739" s="1"/>
      <c r="AC2739" s="1"/>
      <c r="AD2739" s="1"/>
      <c r="AE2739" s="1"/>
      <c r="AF2739" s="1"/>
      <c r="AG2739" s="1"/>
      <c r="AH2739" s="1"/>
    </row>
    <row r="2740" spans="1:34" ht="12.5">
      <c r="A2740" s="1"/>
      <c r="B2740" s="1"/>
      <c r="C2740" s="1"/>
      <c r="D2740" s="1"/>
      <c r="E2740" s="1"/>
      <c r="F2740" s="1"/>
      <c r="G2740" s="1"/>
      <c r="H2740" s="1"/>
      <c r="I2740" s="1"/>
      <c r="J2740" s="1"/>
      <c r="K2740" s="1"/>
      <c r="L2740" s="1"/>
      <c r="M2740" s="1"/>
      <c r="N2740" s="1"/>
      <c r="O2740" s="1"/>
      <c r="P2740" s="1"/>
      <c r="Q2740" s="1"/>
      <c r="R2740" s="1"/>
      <c r="S2740" s="1"/>
      <c r="T2740" s="1"/>
      <c r="U2740" s="1"/>
      <c r="V2740" s="1"/>
      <c r="W2740" s="1"/>
      <c r="X2740" s="1"/>
      <c r="Y2740" s="1"/>
      <c r="Z2740" s="1"/>
      <c r="AA2740" s="1"/>
      <c r="AB2740" s="1"/>
      <c r="AC2740" s="1"/>
      <c r="AD2740" s="1"/>
      <c r="AE2740" s="1"/>
      <c r="AF2740" s="1"/>
      <c r="AG2740" s="1"/>
      <c r="AH2740" s="1"/>
    </row>
    <row r="2741" spans="1:34" ht="12.5">
      <c r="A2741" s="1"/>
      <c r="B2741" s="1"/>
      <c r="C2741" s="1"/>
      <c r="D2741" s="1"/>
      <c r="E2741" s="1"/>
      <c r="F2741" s="1"/>
      <c r="G2741" s="1"/>
      <c r="H2741" s="1"/>
      <c r="I2741" s="1"/>
      <c r="J2741" s="1"/>
      <c r="K2741" s="1"/>
      <c r="L2741" s="1"/>
      <c r="M2741" s="1"/>
      <c r="N2741" s="1"/>
      <c r="O2741" s="1"/>
      <c r="P2741" s="1"/>
      <c r="Q2741" s="1"/>
      <c r="R2741" s="1"/>
      <c r="S2741" s="1"/>
      <c r="T2741" s="1"/>
      <c r="U2741" s="1"/>
      <c r="V2741" s="1"/>
      <c r="W2741" s="1"/>
      <c r="X2741" s="1"/>
      <c r="Y2741" s="1"/>
      <c r="Z2741" s="1"/>
      <c r="AA2741" s="1"/>
      <c r="AB2741" s="1"/>
      <c r="AC2741" s="1"/>
      <c r="AD2741" s="1"/>
      <c r="AE2741" s="1"/>
      <c r="AF2741" s="1"/>
      <c r="AG2741" s="1"/>
      <c r="AH2741" s="1"/>
    </row>
    <row r="2742" spans="1:34" ht="12.5">
      <c r="A2742" s="1"/>
      <c r="B2742" s="1"/>
      <c r="C2742" s="1"/>
      <c r="D2742" s="1"/>
      <c r="E2742" s="1"/>
      <c r="F2742" s="1"/>
      <c r="G2742" s="1"/>
      <c r="H2742" s="1"/>
      <c r="I2742" s="1"/>
      <c r="J2742" s="1"/>
      <c r="K2742" s="1"/>
      <c r="L2742" s="1"/>
      <c r="M2742" s="1"/>
      <c r="N2742" s="1"/>
      <c r="O2742" s="1"/>
      <c r="P2742" s="1"/>
      <c r="Q2742" s="1"/>
      <c r="R2742" s="1"/>
      <c r="S2742" s="1"/>
      <c r="T2742" s="1"/>
      <c r="U2742" s="1"/>
      <c r="V2742" s="1"/>
      <c r="W2742" s="1"/>
      <c r="X2742" s="1"/>
      <c r="Y2742" s="1"/>
      <c r="Z2742" s="1"/>
      <c r="AA2742" s="1"/>
      <c r="AB2742" s="1"/>
      <c r="AC2742" s="1"/>
      <c r="AD2742" s="1"/>
      <c r="AE2742" s="1"/>
      <c r="AF2742" s="1"/>
      <c r="AG2742" s="1"/>
      <c r="AH2742" s="1"/>
    </row>
    <row r="2743" spans="1:34" ht="12.5">
      <c r="A2743" s="1"/>
      <c r="B2743" s="1"/>
      <c r="C2743" s="1"/>
      <c r="D2743" s="1"/>
      <c r="E2743" s="1"/>
      <c r="F2743" s="1"/>
      <c r="G2743" s="1"/>
      <c r="H2743" s="1"/>
      <c r="I2743" s="1"/>
      <c r="J2743" s="1"/>
      <c r="K2743" s="1"/>
      <c r="L2743" s="1"/>
      <c r="M2743" s="1"/>
      <c r="N2743" s="1"/>
      <c r="O2743" s="1"/>
      <c r="P2743" s="1"/>
      <c r="Q2743" s="1"/>
      <c r="R2743" s="1"/>
      <c r="S2743" s="1"/>
      <c r="T2743" s="1"/>
      <c r="U2743" s="1"/>
      <c r="V2743" s="1"/>
      <c r="W2743" s="1"/>
      <c r="X2743" s="1"/>
      <c r="Y2743" s="1"/>
      <c r="Z2743" s="1"/>
      <c r="AA2743" s="1"/>
      <c r="AB2743" s="1"/>
      <c r="AC2743" s="1"/>
      <c r="AD2743" s="1"/>
      <c r="AE2743" s="1"/>
      <c r="AF2743" s="1"/>
      <c r="AG2743" s="1"/>
      <c r="AH2743" s="1"/>
    </row>
    <row r="2744" spans="1:34" ht="12.5">
      <c r="A2744" s="1"/>
      <c r="B2744" s="1"/>
      <c r="C2744" s="1"/>
      <c r="D2744" s="1"/>
      <c r="E2744" s="1"/>
      <c r="F2744" s="1"/>
      <c r="G2744" s="1"/>
      <c r="H2744" s="1"/>
      <c r="I2744" s="1"/>
      <c r="J2744" s="1"/>
      <c r="K2744" s="1"/>
      <c r="L2744" s="1"/>
      <c r="M2744" s="1"/>
      <c r="N2744" s="1"/>
      <c r="O2744" s="1"/>
      <c r="P2744" s="1"/>
      <c r="Q2744" s="1"/>
      <c r="R2744" s="1"/>
      <c r="S2744" s="1"/>
      <c r="T2744" s="1"/>
      <c r="U2744" s="1"/>
      <c r="V2744" s="1"/>
      <c r="W2744" s="1"/>
      <c r="X2744" s="1"/>
      <c r="Y2744" s="1"/>
      <c r="Z2744" s="1"/>
      <c r="AA2744" s="1"/>
      <c r="AB2744" s="1"/>
      <c r="AC2744" s="1"/>
      <c r="AD2744" s="1"/>
      <c r="AE2744" s="1"/>
      <c r="AF2744" s="1"/>
      <c r="AG2744" s="1"/>
      <c r="AH2744" s="1"/>
    </row>
    <row r="2745" spans="1:34" ht="12.5">
      <c r="A2745" s="1"/>
      <c r="B2745" s="1"/>
      <c r="C2745" s="1"/>
      <c r="D2745" s="1"/>
      <c r="E2745" s="1"/>
      <c r="F2745" s="1"/>
      <c r="G2745" s="1"/>
      <c r="H2745" s="1"/>
      <c r="I2745" s="1"/>
      <c r="J2745" s="1"/>
      <c r="K2745" s="1"/>
      <c r="L2745" s="1"/>
      <c r="M2745" s="1"/>
      <c r="N2745" s="1"/>
      <c r="O2745" s="1"/>
      <c r="P2745" s="1"/>
      <c r="Q2745" s="1"/>
      <c r="R2745" s="1"/>
      <c r="S2745" s="1"/>
      <c r="T2745" s="1"/>
      <c r="U2745" s="1"/>
      <c r="V2745" s="1"/>
      <c r="W2745" s="1"/>
      <c r="X2745" s="1"/>
      <c r="Y2745" s="1"/>
      <c r="Z2745" s="1"/>
      <c r="AA2745" s="1"/>
      <c r="AB2745" s="1"/>
      <c r="AC2745" s="1"/>
      <c r="AD2745" s="1"/>
      <c r="AE2745" s="1"/>
      <c r="AF2745" s="1"/>
      <c r="AG2745" s="1"/>
      <c r="AH2745" s="1"/>
    </row>
    <row r="2746" spans="1:34" ht="12.5">
      <c r="A2746" s="1"/>
      <c r="B2746" s="1"/>
      <c r="C2746" s="1"/>
      <c r="D2746" s="1"/>
      <c r="E2746" s="1"/>
      <c r="F2746" s="1"/>
      <c r="G2746" s="1"/>
      <c r="H2746" s="1"/>
      <c r="I2746" s="1"/>
      <c r="J2746" s="1"/>
      <c r="K2746" s="1"/>
      <c r="L2746" s="1"/>
      <c r="M2746" s="1"/>
      <c r="N2746" s="1"/>
      <c r="O2746" s="1"/>
      <c r="P2746" s="1"/>
      <c r="Q2746" s="1"/>
      <c r="R2746" s="1"/>
      <c r="S2746" s="1"/>
      <c r="T2746" s="1"/>
      <c r="U2746" s="1"/>
      <c r="V2746" s="1"/>
      <c r="W2746" s="1"/>
      <c r="X2746" s="1"/>
      <c r="Y2746" s="1"/>
      <c r="Z2746" s="1"/>
      <c r="AA2746" s="1"/>
      <c r="AB2746" s="1"/>
      <c r="AC2746" s="1"/>
      <c r="AD2746" s="1"/>
      <c r="AE2746" s="1"/>
      <c r="AF2746" s="1"/>
      <c r="AG2746" s="1"/>
      <c r="AH2746" s="1"/>
    </row>
    <row r="2747" spans="1:34" ht="12.5">
      <c r="A2747" s="1"/>
      <c r="B2747" s="1"/>
      <c r="C2747" s="1"/>
      <c r="D2747" s="1"/>
      <c r="E2747" s="1"/>
      <c r="F2747" s="1"/>
      <c r="G2747" s="1"/>
      <c r="H2747" s="1"/>
      <c r="I2747" s="1"/>
      <c r="J2747" s="1"/>
      <c r="K2747" s="1"/>
      <c r="L2747" s="1"/>
      <c r="M2747" s="1"/>
      <c r="N2747" s="1"/>
      <c r="O2747" s="1"/>
      <c r="P2747" s="1"/>
      <c r="Q2747" s="1"/>
      <c r="R2747" s="1"/>
      <c r="S2747" s="1"/>
      <c r="T2747" s="1"/>
      <c r="U2747" s="1"/>
      <c r="V2747" s="1"/>
      <c r="W2747" s="1"/>
      <c r="X2747" s="1"/>
      <c r="Y2747" s="1"/>
      <c r="Z2747" s="1"/>
      <c r="AA2747" s="1"/>
      <c r="AB2747" s="1"/>
      <c r="AC2747" s="1"/>
      <c r="AD2747" s="1"/>
      <c r="AE2747" s="1"/>
      <c r="AF2747" s="1"/>
      <c r="AG2747" s="1"/>
      <c r="AH2747" s="1"/>
    </row>
    <row r="2748" spans="1:34" ht="12.5">
      <c r="A2748" s="1"/>
      <c r="B2748" s="1"/>
      <c r="C2748" s="1"/>
      <c r="D2748" s="1"/>
      <c r="E2748" s="1"/>
      <c r="F2748" s="1"/>
      <c r="G2748" s="1"/>
      <c r="H2748" s="1"/>
      <c r="I2748" s="1"/>
      <c r="J2748" s="1"/>
      <c r="K2748" s="1"/>
      <c r="L2748" s="1"/>
      <c r="M2748" s="1"/>
      <c r="N2748" s="1"/>
      <c r="O2748" s="1"/>
      <c r="P2748" s="1"/>
      <c r="Q2748" s="1"/>
      <c r="R2748" s="1"/>
      <c r="S2748" s="1"/>
      <c r="T2748" s="1"/>
      <c r="U2748" s="1"/>
      <c r="V2748" s="1"/>
      <c r="W2748" s="1"/>
      <c r="X2748" s="1"/>
      <c r="Y2748" s="1"/>
      <c r="Z2748" s="1"/>
      <c r="AA2748" s="1"/>
      <c r="AB2748" s="1"/>
      <c r="AC2748" s="1"/>
      <c r="AD2748" s="1"/>
      <c r="AE2748" s="1"/>
      <c r="AF2748" s="1"/>
      <c r="AG2748" s="1"/>
      <c r="AH2748" s="1"/>
    </row>
    <row r="2749" spans="1:34" ht="12.5">
      <c r="A2749" s="1"/>
      <c r="B2749" s="1"/>
      <c r="C2749" s="1"/>
      <c r="D2749" s="1"/>
      <c r="E2749" s="1"/>
      <c r="F2749" s="1"/>
      <c r="G2749" s="1"/>
      <c r="H2749" s="1"/>
      <c r="I2749" s="1"/>
      <c r="J2749" s="1"/>
      <c r="K2749" s="1"/>
      <c r="L2749" s="1"/>
      <c r="M2749" s="1"/>
      <c r="N2749" s="1"/>
      <c r="O2749" s="1"/>
      <c r="P2749" s="1"/>
      <c r="Q2749" s="1"/>
      <c r="R2749" s="1"/>
      <c r="S2749" s="1"/>
      <c r="T2749" s="1"/>
      <c r="U2749" s="1"/>
      <c r="V2749" s="1"/>
      <c r="W2749" s="1"/>
      <c r="X2749" s="1"/>
      <c r="Y2749" s="1"/>
      <c r="Z2749" s="1"/>
      <c r="AA2749" s="1"/>
      <c r="AB2749" s="1"/>
      <c r="AC2749" s="1"/>
      <c r="AD2749" s="1"/>
      <c r="AE2749" s="1"/>
      <c r="AF2749" s="1"/>
      <c r="AG2749" s="1"/>
      <c r="AH2749" s="1"/>
    </row>
    <row r="2750" spans="1:34" ht="12.5">
      <c r="A2750" s="1"/>
      <c r="B2750" s="1"/>
      <c r="C2750" s="1"/>
      <c r="D2750" s="1"/>
      <c r="E2750" s="1"/>
      <c r="F2750" s="1"/>
      <c r="G2750" s="1"/>
      <c r="H2750" s="1"/>
      <c r="I2750" s="1"/>
      <c r="J2750" s="1"/>
      <c r="K2750" s="1"/>
      <c r="L2750" s="1"/>
      <c r="M2750" s="1"/>
      <c r="N2750" s="1"/>
      <c r="O2750" s="1"/>
      <c r="P2750" s="1"/>
      <c r="Q2750" s="1"/>
      <c r="R2750" s="1"/>
      <c r="S2750" s="1"/>
      <c r="T2750" s="1"/>
      <c r="U2750" s="1"/>
      <c r="V2750" s="1"/>
      <c r="W2750" s="1"/>
      <c r="X2750" s="1"/>
      <c r="Y2750" s="1"/>
      <c r="Z2750" s="1"/>
      <c r="AA2750" s="1"/>
      <c r="AB2750" s="1"/>
      <c r="AC2750" s="1"/>
      <c r="AD2750" s="1"/>
      <c r="AE2750" s="1"/>
      <c r="AF2750" s="1"/>
      <c r="AG2750" s="1"/>
      <c r="AH2750" s="1"/>
    </row>
    <row r="2751" spans="1:34" ht="12.5">
      <c r="A2751" s="1"/>
      <c r="B2751" s="1"/>
      <c r="C2751" s="1"/>
      <c r="D2751" s="1"/>
      <c r="E2751" s="1"/>
      <c r="F2751" s="1"/>
      <c r="G2751" s="1"/>
      <c r="H2751" s="1"/>
      <c r="I2751" s="1"/>
      <c r="J2751" s="1"/>
      <c r="K2751" s="1"/>
      <c r="L2751" s="1"/>
      <c r="M2751" s="1"/>
      <c r="N2751" s="1"/>
      <c r="O2751" s="1"/>
      <c r="P2751" s="1"/>
      <c r="Q2751" s="1"/>
      <c r="R2751" s="1"/>
      <c r="S2751" s="1"/>
      <c r="T2751" s="1"/>
      <c r="U2751" s="1"/>
      <c r="V2751" s="1"/>
      <c r="W2751" s="1"/>
      <c r="X2751" s="1"/>
      <c r="Y2751" s="1"/>
      <c r="Z2751" s="1"/>
      <c r="AA2751" s="1"/>
      <c r="AB2751" s="1"/>
      <c r="AC2751" s="1"/>
      <c r="AD2751" s="1"/>
      <c r="AE2751" s="1"/>
      <c r="AF2751" s="1"/>
      <c r="AG2751" s="1"/>
      <c r="AH2751" s="1"/>
    </row>
    <row r="2752" spans="1:34" ht="12.5">
      <c r="A2752" s="1"/>
      <c r="B2752" s="1"/>
      <c r="C2752" s="1"/>
      <c r="D2752" s="1"/>
      <c r="E2752" s="1"/>
      <c r="F2752" s="1"/>
      <c r="G2752" s="1"/>
      <c r="H2752" s="1"/>
      <c r="I2752" s="1"/>
      <c r="J2752" s="1"/>
      <c r="K2752" s="1"/>
      <c r="L2752" s="1"/>
      <c r="M2752" s="1"/>
      <c r="N2752" s="1"/>
      <c r="O2752" s="1"/>
      <c r="P2752" s="1"/>
      <c r="Q2752" s="1"/>
      <c r="R2752" s="1"/>
      <c r="S2752" s="1"/>
      <c r="T2752" s="1"/>
      <c r="U2752" s="1"/>
      <c r="V2752" s="1"/>
      <c r="W2752" s="1"/>
      <c r="X2752" s="1"/>
      <c r="Y2752" s="1"/>
      <c r="Z2752" s="1"/>
      <c r="AA2752" s="1"/>
      <c r="AB2752" s="1"/>
      <c r="AC2752" s="1"/>
      <c r="AD2752" s="1"/>
      <c r="AE2752" s="1"/>
      <c r="AF2752" s="1"/>
      <c r="AG2752" s="1"/>
      <c r="AH2752" s="1"/>
    </row>
    <row r="2753" spans="1:34" ht="12.5">
      <c r="A2753" s="1"/>
      <c r="B2753" s="1"/>
      <c r="C2753" s="1"/>
      <c r="D2753" s="1"/>
      <c r="E2753" s="1"/>
      <c r="F2753" s="1"/>
      <c r="G2753" s="1"/>
      <c r="H2753" s="1"/>
      <c r="I2753" s="1"/>
      <c r="J2753" s="1"/>
      <c r="K2753" s="1"/>
      <c r="L2753" s="1"/>
      <c r="M2753" s="1"/>
      <c r="N2753" s="1"/>
      <c r="O2753" s="1"/>
      <c r="P2753" s="1"/>
      <c r="Q2753" s="1"/>
      <c r="R2753" s="1"/>
      <c r="S2753" s="1"/>
      <c r="T2753" s="1"/>
      <c r="U2753" s="1"/>
      <c r="V2753" s="1"/>
      <c r="W2753" s="1"/>
      <c r="X2753" s="1"/>
      <c r="Y2753" s="1"/>
      <c r="Z2753" s="1"/>
      <c r="AA2753" s="1"/>
      <c r="AB2753" s="1"/>
      <c r="AC2753" s="1"/>
      <c r="AD2753" s="1"/>
      <c r="AE2753" s="1"/>
      <c r="AF2753" s="1"/>
      <c r="AG2753" s="1"/>
      <c r="AH2753" s="1"/>
    </row>
    <row r="2754" spans="1:34" ht="12.5">
      <c r="A2754" s="1"/>
      <c r="B2754" s="1"/>
      <c r="C2754" s="1"/>
      <c r="D2754" s="1"/>
      <c r="E2754" s="1"/>
      <c r="F2754" s="1"/>
      <c r="G2754" s="1"/>
      <c r="H2754" s="1"/>
      <c r="I2754" s="1"/>
      <c r="J2754" s="1"/>
      <c r="K2754" s="1"/>
      <c r="L2754" s="1"/>
      <c r="M2754" s="1"/>
      <c r="N2754" s="1"/>
      <c r="O2754" s="1"/>
      <c r="P2754" s="1"/>
      <c r="Q2754" s="1"/>
      <c r="R2754" s="1"/>
      <c r="S2754" s="1"/>
      <c r="T2754" s="1"/>
      <c r="U2754" s="1"/>
      <c r="V2754" s="1"/>
      <c r="W2754" s="1"/>
      <c r="X2754" s="1"/>
      <c r="Y2754" s="1"/>
      <c r="Z2754" s="1"/>
      <c r="AA2754" s="1"/>
      <c r="AB2754" s="1"/>
      <c r="AC2754" s="1"/>
      <c r="AD2754" s="1"/>
      <c r="AE2754" s="1"/>
      <c r="AF2754" s="1"/>
      <c r="AG2754" s="1"/>
      <c r="AH2754" s="1"/>
    </row>
    <row r="2755" spans="1:34" ht="12.5">
      <c r="A2755" s="1"/>
      <c r="B2755" s="1"/>
      <c r="C2755" s="1"/>
      <c r="D2755" s="1"/>
      <c r="E2755" s="1"/>
      <c r="F2755" s="1"/>
      <c r="G2755" s="1"/>
      <c r="H2755" s="1"/>
      <c r="I2755" s="1"/>
      <c r="J2755" s="1"/>
      <c r="K2755" s="1"/>
      <c r="L2755" s="1"/>
      <c r="M2755" s="1"/>
      <c r="N2755" s="1"/>
      <c r="O2755" s="1"/>
      <c r="P2755" s="1"/>
      <c r="Q2755" s="1"/>
      <c r="R2755" s="1"/>
      <c r="S2755" s="1"/>
      <c r="T2755" s="1"/>
      <c r="U2755" s="1"/>
      <c r="V2755" s="1"/>
      <c r="W2755" s="1"/>
      <c r="X2755" s="1"/>
      <c r="Y2755" s="1"/>
      <c r="Z2755" s="1"/>
      <c r="AA2755" s="1"/>
      <c r="AB2755" s="1"/>
      <c r="AC2755" s="1"/>
      <c r="AD2755" s="1"/>
      <c r="AE2755" s="1"/>
      <c r="AF2755" s="1"/>
      <c r="AG2755" s="1"/>
      <c r="AH2755" s="1"/>
    </row>
    <row r="2756" spans="1:34" ht="12.5">
      <c r="A2756" s="1"/>
      <c r="B2756" s="1"/>
      <c r="C2756" s="1"/>
      <c r="D2756" s="1"/>
      <c r="E2756" s="1"/>
      <c r="F2756" s="1"/>
      <c r="G2756" s="1"/>
      <c r="H2756" s="1"/>
      <c r="I2756" s="1"/>
      <c r="J2756" s="1"/>
      <c r="K2756" s="1"/>
      <c r="L2756" s="1"/>
      <c r="M2756" s="1"/>
      <c r="N2756" s="1"/>
      <c r="O2756" s="1"/>
      <c r="P2756" s="1"/>
      <c r="Q2756" s="1"/>
      <c r="R2756" s="1"/>
      <c r="S2756" s="1"/>
      <c r="T2756" s="1"/>
      <c r="U2756" s="1"/>
      <c r="V2756" s="1"/>
      <c r="W2756" s="1"/>
      <c r="X2756" s="1"/>
      <c r="Y2756" s="1"/>
      <c r="Z2756" s="1"/>
      <c r="AA2756" s="1"/>
      <c r="AB2756" s="1"/>
      <c r="AC2756" s="1"/>
      <c r="AD2756" s="1"/>
      <c r="AE2756" s="1"/>
      <c r="AF2756" s="1"/>
      <c r="AG2756" s="1"/>
      <c r="AH2756" s="1"/>
    </row>
    <row r="2757" spans="1:34" ht="12.5">
      <c r="A2757" s="1"/>
      <c r="B2757" s="1"/>
      <c r="C2757" s="1"/>
      <c r="D2757" s="1"/>
      <c r="E2757" s="1"/>
      <c r="F2757" s="1"/>
      <c r="G2757" s="1"/>
      <c r="H2757" s="1"/>
      <c r="I2757" s="1"/>
      <c r="J2757" s="1"/>
      <c r="K2757" s="1"/>
      <c r="L2757" s="1"/>
      <c r="M2757" s="1"/>
      <c r="N2757" s="1"/>
      <c r="O2757" s="1"/>
      <c r="P2757" s="1"/>
      <c r="Q2757" s="1"/>
      <c r="R2757" s="1"/>
      <c r="S2757" s="1"/>
      <c r="T2757" s="1"/>
      <c r="U2757" s="1"/>
      <c r="V2757" s="1"/>
      <c r="W2757" s="1"/>
      <c r="X2757" s="1"/>
      <c r="Y2757" s="1"/>
      <c r="Z2757" s="1"/>
      <c r="AA2757" s="1"/>
      <c r="AB2757" s="1"/>
      <c r="AC2757" s="1"/>
      <c r="AD2757" s="1"/>
      <c r="AE2757" s="1"/>
      <c r="AF2757" s="1"/>
      <c r="AG2757" s="1"/>
      <c r="AH2757" s="1"/>
    </row>
    <row r="2758" spans="1:34" ht="12.5">
      <c r="A2758" s="1"/>
      <c r="B2758" s="1"/>
      <c r="C2758" s="1"/>
      <c r="D2758" s="1"/>
      <c r="E2758" s="1"/>
      <c r="F2758" s="1"/>
      <c r="G2758" s="1"/>
      <c r="H2758" s="1"/>
      <c r="I2758" s="1"/>
      <c r="J2758" s="1"/>
      <c r="K2758" s="1"/>
      <c r="L2758" s="1"/>
      <c r="M2758" s="1"/>
      <c r="N2758" s="1"/>
      <c r="O2758" s="1"/>
      <c r="P2758" s="1"/>
      <c r="Q2758" s="1"/>
      <c r="R2758" s="1"/>
      <c r="S2758" s="1"/>
      <c r="T2758" s="1"/>
      <c r="U2758" s="1"/>
      <c r="V2758" s="1"/>
      <c r="W2758" s="1"/>
      <c r="X2758" s="1"/>
      <c r="Y2758" s="1"/>
      <c r="Z2758" s="1"/>
      <c r="AA2758" s="1"/>
      <c r="AB2758" s="1"/>
      <c r="AC2758" s="1"/>
      <c r="AD2758" s="1"/>
      <c r="AE2758" s="1"/>
      <c r="AF2758" s="1"/>
      <c r="AG2758" s="1"/>
      <c r="AH2758" s="1"/>
    </row>
    <row r="2759" spans="1:34" ht="12.5">
      <c r="A2759" s="1"/>
      <c r="B2759" s="1"/>
      <c r="C2759" s="1"/>
      <c r="D2759" s="1"/>
      <c r="E2759" s="1"/>
      <c r="F2759" s="1"/>
      <c r="G2759" s="1"/>
      <c r="H2759" s="1"/>
      <c r="I2759" s="1"/>
      <c r="J2759" s="1"/>
      <c r="K2759" s="1"/>
      <c r="L2759" s="1"/>
      <c r="M2759" s="1"/>
      <c r="N2759" s="1"/>
      <c r="O2759" s="1"/>
      <c r="P2759" s="1"/>
      <c r="Q2759" s="1"/>
      <c r="R2759" s="1"/>
      <c r="S2759" s="1"/>
      <c r="T2759" s="1"/>
      <c r="U2759" s="1"/>
      <c r="V2759" s="1"/>
      <c r="W2759" s="1"/>
      <c r="X2759" s="1"/>
      <c r="Y2759" s="1"/>
      <c r="Z2759" s="1"/>
      <c r="AA2759" s="1"/>
      <c r="AB2759" s="1"/>
      <c r="AC2759" s="1"/>
      <c r="AD2759" s="1"/>
      <c r="AE2759" s="1"/>
      <c r="AF2759" s="1"/>
      <c r="AG2759" s="1"/>
      <c r="AH2759" s="1"/>
    </row>
    <row r="2760" spans="1:34" ht="12.5">
      <c r="A2760" s="1"/>
      <c r="B2760" s="1"/>
      <c r="C2760" s="1"/>
      <c r="D2760" s="1"/>
      <c r="E2760" s="1"/>
      <c r="F2760" s="1"/>
      <c r="G2760" s="1"/>
      <c r="H2760" s="1"/>
      <c r="I2760" s="1"/>
      <c r="J2760" s="1"/>
      <c r="K2760" s="1"/>
      <c r="L2760" s="1"/>
      <c r="M2760" s="1"/>
      <c r="N2760" s="1"/>
      <c r="O2760" s="1"/>
      <c r="P2760" s="1"/>
      <c r="Q2760" s="1"/>
      <c r="R2760" s="1"/>
      <c r="S2760" s="1"/>
      <c r="T2760" s="1"/>
      <c r="U2760" s="1"/>
      <c r="V2760" s="1"/>
      <c r="W2760" s="1"/>
      <c r="X2760" s="1"/>
      <c r="Y2760" s="1"/>
      <c r="Z2760" s="1"/>
      <c r="AA2760" s="1"/>
      <c r="AB2760" s="1"/>
      <c r="AC2760" s="1"/>
      <c r="AD2760" s="1"/>
      <c r="AE2760" s="1"/>
      <c r="AF2760" s="1"/>
      <c r="AG2760" s="1"/>
      <c r="AH2760" s="1"/>
    </row>
    <row r="2761" spans="1:34" ht="12.5">
      <c r="A2761" s="1"/>
      <c r="B2761" s="1"/>
      <c r="C2761" s="1"/>
      <c r="D2761" s="1"/>
      <c r="E2761" s="1"/>
      <c r="F2761" s="1"/>
      <c r="G2761" s="1"/>
      <c r="H2761" s="1"/>
      <c r="I2761" s="1"/>
      <c r="J2761" s="1"/>
      <c r="K2761" s="1"/>
      <c r="L2761" s="1"/>
      <c r="M2761" s="1"/>
      <c r="N2761" s="1"/>
      <c r="O2761" s="1"/>
      <c r="P2761" s="1"/>
      <c r="Q2761" s="1"/>
      <c r="R2761" s="1"/>
      <c r="S2761" s="1"/>
      <c r="T2761" s="1"/>
      <c r="U2761" s="1"/>
      <c r="V2761" s="1"/>
      <c r="W2761" s="1"/>
      <c r="X2761" s="1"/>
      <c r="Y2761" s="1"/>
      <c r="Z2761" s="1"/>
      <c r="AA2761" s="1"/>
      <c r="AB2761" s="1"/>
      <c r="AC2761" s="1"/>
      <c r="AD2761" s="1"/>
      <c r="AE2761" s="1"/>
      <c r="AF2761" s="1"/>
      <c r="AG2761" s="1"/>
      <c r="AH2761" s="1"/>
    </row>
    <row r="2762" spans="1:34" ht="12.5">
      <c r="A2762" s="1"/>
      <c r="B2762" s="1"/>
      <c r="C2762" s="1"/>
      <c r="D2762" s="1"/>
      <c r="E2762" s="1"/>
      <c r="F2762" s="1"/>
      <c r="G2762" s="1"/>
      <c r="H2762" s="1"/>
      <c r="I2762" s="1"/>
      <c r="J2762" s="1"/>
      <c r="K2762" s="1"/>
      <c r="L2762" s="1"/>
      <c r="M2762" s="1"/>
      <c r="N2762" s="1"/>
      <c r="O2762" s="1"/>
      <c r="P2762" s="1"/>
      <c r="Q2762" s="1"/>
      <c r="R2762" s="1"/>
      <c r="S2762" s="1"/>
      <c r="T2762" s="1"/>
      <c r="U2762" s="1"/>
      <c r="V2762" s="1"/>
      <c r="W2762" s="1"/>
      <c r="X2762" s="1"/>
      <c r="Y2762" s="1"/>
      <c r="Z2762" s="1"/>
      <c r="AA2762" s="1"/>
      <c r="AB2762" s="1"/>
      <c r="AC2762" s="1"/>
      <c r="AD2762" s="1"/>
      <c r="AE2762" s="1"/>
      <c r="AF2762" s="1"/>
      <c r="AG2762" s="1"/>
      <c r="AH2762" s="1"/>
    </row>
    <row r="2763" spans="1:34" ht="12.5">
      <c r="A2763" s="1"/>
      <c r="B2763" s="1"/>
      <c r="C2763" s="1"/>
      <c r="D2763" s="1"/>
      <c r="E2763" s="1"/>
      <c r="F2763" s="1"/>
      <c r="G2763" s="1"/>
      <c r="H2763" s="1"/>
      <c r="I2763" s="1"/>
      <c r="J2763" s="1"/>
      <c r="K2763" s="1"/>
      <c r="L2763" s="1"/>
      <c r="M2763" s="1"/>
      <c r="N2763" s="1"/>
      <c r="O2763" s="1"/>
      <c r="P2763" s="1"/>
      <c r="Q2763" s="1"/>
      <c r="R2763" s="1"/>
      <c r="S2763" s="1"/>
      <c r="T2763" s="1"/>
      <c r="U2763" s="1"/>
      <c r="V2763" s="1"/>
      <c r="W2763" s="1"/>
      <c r="X2763" s="1"/>
      <c r="Y2763" s="1"/>
      <c r="Z2763" s="1"/>
      <c r="AA2763" s="1"/>
      <c r="AB2763" s="1"/>
      <c r="AC2763" s="1"/>
      <c r="AD2763" s="1"/>
      <c r="AE2763" s="1"/>
      <c r="AF2763" s="1"/>
      <c r="AG2763" s="1"/>
      <c r="AH2763" s="1"/>
    </row>
    <row r="2764" spans="1:34" ht="12.5">
      <c r="A2764" s="1"/>
      <c r="B2764" s="1"/>
      <c r="C2764" s="1"/>
      <c r="D2764" s="1"/>
      <c r="E2764" s="1"/>
      <c r="F2764" s="1"/>
      <c r="G2764" s="1"/>
      <c r="H2764" s="1"/>
      <c r="I2764" s="1"/>
      <c r="J2764" s="1"/>
      <c r="K2764" s="1"/>
      <c r="L2764" s="1"/>
      <c r="M2764" s="1"/>
      <c r="N2764" s="1"/>
      <c r="O2764" s="1"/>
      <c r="P2764" s="1"/>
      <c r="Q2764" s="1"/>
      <c r="R2764" s="1"/>
      <c r="S2764" s="1"/>
      <c r="T2764" s="1"/>
      <c r="U2764" s="1"/>
      <c r="V2764" s="1"/>
      <c r="W2764" s="1"/>
      <c r="X2764" s="1"/>
      <c r="Y2764" s="1"/>
      <c r="Z2764" s="1"/>
      <c r="AA2764" s="1"/>
      <c r="AB2764" s="1"/>
      <c r="AC2764" s="1"/>
      <c r="AD2764" s="1"/>
      <c r="AE2764" s="1"/>
      <c r="AF2764" s="1"/>
      <c r="AG2764" s="1"/>
      <c r="AH2764" s="1"/>
    </row>
    <row r="2765" spans="1:34" ht="12.5">
      <c r="A2765" s="1"/>
      <c r="B2765" s="1"/>
      <c r="C2765" s="1"/>
      <c r="D2765" s="1"/>
      <c r="E2765" s="1"/>
      <c r="F2765" s="1"/>
      <c r="G2765" s="1"/>
      <c r="H2765" s="1"/>
      <c r="I2765" s="1"/>
      <c r="J2765" s="1"/>
      <c r="K2765" s="1"/>
      <c r="L2765" s="1"/>
      <c r="M2765" s="1"/>
      <c r="N2765" s="1"/>
      <c r="O2765" s="1"/>
      <c r="P2765" s="1"/>
      <c r="Q2765" s="1"/>
      <c r="R2765" s="1"/>
      <c r="S2765" s="1"/>
      <c r="T2765" s="1"/>
      <c r="U2765" s="1"/>
      <c r="V2765" s="1"/>
      <c r="W2765" s="1"/>
      <c r="X2765" s="1"/>
      <c r="Y2765" s="1"/>
      <c r="Z2765" s="1"/>
      <c r="AA2765" s="1"/>
      <c r="AB2765" s="1"/>
      <c r="AC2765" s="1"/>
      <c r="AD2765" s="1"/>
      <c r="AE2765" s="1"/>
      <c r="AF2765" s="1"/>
      <c r="AG2765" s="1"/>
      <c r="AH2765" s="1"/>
    </row>
    <row r="2766" spans="1:34" ht="12.5">
      <c r="A2766" s="1"/>
      <c r="B2766" s="1"/>
      <c r="C2766" s="1"/>
      <c r="D2766" s="1"/>
      <c r="E2766" s="1"/>
      <c r="F2766" s="1"/>
      <c r="G2766" s="1"/>
      <c r="H2766" s="1"/>
      <c r="I2766" s="1"/>
      <c r="J2766" s="1"/>
      <c r="K2766" s="1"/>
      <c r="L2766" s="1"/>
      <c r="M2766" s="1"/>
      <c r="N2766" s="1"/>
      <c r="O2766" s="1"/>
      <c r="P2766" s="1"/>
      <c r="Q2766" s="1"/>
      <c r="R2766" s="1"/>
      <c r="S2766" s="1"/>
      <c r="T2766" s="1"/>
      <c r="U2766" s="1"/>
      <c r="V2766" s="1"/>
      <c r="W2766" s="1"/>
      <c r="X2766" s="1"/>
      <c r="Y2766" s="1"/>
      <c r="Z2766" s="1"/>
      <c r="AA2766" s="1"/>
      <c r="AB2766" s="1"/>
      <c r="AC2766" s="1"/>
      <c r="AD2766" s="1"/>
      <c r="AE2766" s="1"/>
      <c r="AF2766" s="1"/>
      <c r="AG2766" s="1"/>
      <c r="AH2766" s="1"/>
    </row>
    <row r="2767" spans="1:34" ht="12.5">
      <c r="A2767" s="1"/>
      <c r="B2767" s="1"/>
      <c r="C2767" s="1"/>
      <c r="D2767" s="1"/>
      <c r="E2767" s="1"/>
      <c r="F2767" s="1"/>
      <c r="G2767" s="1"/>
      <c r="H2767" s="1"/>
      <c r="I2767" s="1"/>
      <c r="J2767" s="1"/>
      <c r="K2767" s="1"/>
      <c r="L2767" s="1"/>
      <c r="M2767" s="1"/>
      <c r="N2767" s="1"/>
      <c r="O2767" s="1"/>
      <c r="P2767" s="1"/>
      <c r="Q2767" s="1"/>
      <c r="R2767" s="1"/>
      <c r="S2767" s="1"/>
      <c r="T2767" s="1"/>
      <c r="U2767" s="1"/>
      <c r="V2767" s="1"/>
      <c r="W2767" s="1"/>
      <c r="X2767" s="1"/>
      <c r="Y2767" s="1"/>
      <c r="Z2767" s="1"/>
      <c r="AA2767" s="1"/>
      <c r="AB2767" s="1"/>
      <c r="AC2767" s="1"/>
      <c r="AD2767" s="1"/>
      <c r="AE2767" s="1"/>
      <c r="AF2767" s="1"/>
      <c r="AG2767" s="1"/>
      <c r="AH2767" s="1"/>
    </row>
    <row r="2768" spans="1:34" ht="12.5">
      <c r="A2768" s="1"/>
      <c r="B2768" s="1"/>
      <c r="C2768" s="1"/>
      <c r="D2768" s="1"/>
      <c r="E2768" s="1"/>
      <c r="F2768" s="1"/>
      <c r="G2768" s="1"/>
      <c r="H2768" s="1"/>
      <c r="I2768" s="1"/>
      <c r="J2768" s="1"/>
      <c r="K2768" s="1"/>
      <c r="L2768" s="1"/>
      <c r="M2768" s="1"/>
      <c r="N2768" s="1"/>
      <c r="O2768" s="1"/>
      <c r="P2768" s="1"/>
      <c r="Q2768" s="1"/>
      <c r="R2768" s="1"/>
      <c r="S2768" s="1"/>
      <c r="T2768" s="1"/>
      <c r="U2768" s="1"/>
      <c r="V2768" s="1"/>
      <c r="W2768" s="1"/>
      <c r="X2768" s="1"/>
      <c r="Y2768" s="1"/>
      <c r="Z2768" s="1"/>
      <c r="AA2768" s="1"/>
      <c r="AB2768" s="1"/>
      <c r="AC2768" s="1"/>
      <c r="AD2768" s="1"/>
      <c r="AE2768" s="1"/>
      <c r="AF2768" s="1"/>
      <c r="AG2768" s="1"/>
      <c r="AH2768" s="1"/>
    </row>
    <row r="2769" spans="1:34" ht="12.5">
      <c r="A2769" s="1"/>
      <c r="B2769" s="1"/>
      <c r="C2769" s="1"/>
      <c r="D2769" s="1"/>
      <c r="E2769" s="1"/>
      <c r="F2769" s="1"/>
      <c r="G2769" s="1"/>
      <c r="H2769" s="1"/>
      <c r="I2769" s="1"/>
      <c r="J2769" s="1"/>
      <c r="K2769" s="1"/>
      <c r="L2769" s="1"/>
      <c r="M2769" s="1"/>
      <c r="N2769" s="1"/>
      <c r="O2769" s="1"/>
      <c r="P2769" s="1"/>
      <c r="Q2769" s="1"/>
      <c r="R2769" s="1"/>
      <c r="S2769" s="1"/>
      <c r="T2769" s="1"/>
      <c r="U2769" s="1"/>
      <c r="V2769" s="1"/>
      <c r="W2769" s="1"/>
      <c r="X2769" s="1"/>
      <c r="Y2769" s="1"/>
      <c r="Z2769" s="1"/>
      <c r="AA2769" s="1"/>
      <c r="AB2769" s="1"/>
      <c r="AC2769" s="1"/>
      <c r="AD2769" s="1"/>
      <c r="AE2769" s="1"/>
      <c r="AF2769" s="1"/>
      <c r="AG2769" s="1"/>
      <c r="AH2769" s="1"/>
    </row>
    <row r="2770" spans="1:34" ht="12.5">
      <c r="A2770" s="1"/>
      <c r="B2770" s="1"/>
      <c r="C2770" s="1"/>
      <c r="D2770" s="1"/>
      <c r="E2770" s="1"/>
      <c r="F2770" s="1"/>
      <c r="G2770" s="1"/>
      <c r="H2770" s="1"/>
      <c r="I2770" s="1"/>
      <c r="J2770" s="1"/>
      <c r="K2770" s="1"/>
      <c r="L2770" s="1"/>
      <c r="M2770" s="1"/>
      <c r="N2770" s="1"/>
      <c r="O2770" s="1"/>
      <c r="P2770" s="1"/>
      <c r="Q2770" s="1"/>
      <c r="R2770" s="1"/>
      <c r="S2770" s="1"/>
      <c r="T2770" s="1"/>
      <c r="U2770" s="1"/>
      <c r="V2770" s="1"/>
      <c r="W2770" s="1"/>
      <c r="X2770" s="1"/>
      <c r="Y2770" s="1"/>
      <c r="Z2770" s="1"/>
      <c r="AA2770" s="1"/>
      <c r="AB2770" s="1"/>
      <c r="AC2770" s="1"/>
      <c r="AD2770" s="1"/>
      <c r="AE2770" s="1"/>
      <c r="AF2770" s="1"/>
      <c r="AG2770" s="1"/>
      <c r="AH2770" s="1"/>
    </row>
    <row r="2771" spans="1:34" ht="12.5">
      <c r="A2771" s="1"/>
      <c r="B2771" s="1"/>
      <c r="C2771" s="1"/>
      <c r="D2771" s="1"/>
      <c r="E2771" s="1"/>
      <c r="F2771" s="1"/>
      <c r="G2771" s="1"/>
      <c r="H2771" s="1"/>
      <c r="I2771" s="1"/>
      <c r="J2771" s="1"/>
      <c r="K2771" s="1"/>
      <c r="L2771" s="1"/>
      <c r="M2771" s="1"/>
      <c r="N2771" s="1"/>
      <c r="O2771" s="1"/>
      <c r="P2771" s="1"/>
      <c r="Q2771" s="1"/>
      <c r="R2771" s="1"/>
      <c r="S2771" s="1"/>
      <c r="T2771" s="1"/>
      <c r="U2771" s="1"/>
      <c r="V2771" s="1"/>
      <c r="W2771" s="1"/>
      <c r="X2771" s="1"/>
      <c r="Y2771" s="1"/>
      <c r="Z2771" s="1"/>
      <c r="AA2771" s="1"/>
      <c r="AB2771" s="1"/>
      <c r="AC2771" s="1"/>
      <c r="AD2771" s="1"/>
      <c r="AE2771" s="1"/>
      <c r="AF2771" s="1"/>
      <c r="AG2771" s="1"/>
      <c r="AH2771" s="1"/>
    </row>
    <row r="2772" spans="1:34" ht="12.5">
      <c r="A2772" s="1"/>
      <c r="B2772" s="1"/>
      <c r="C2772" s="1"/>
      <c r="D2772" s="1"/>
      <c r="E2772" s="1"/>
      <c r="F2772" s="1"/>
      <c r="G2772" s="1"/>
      <c r="H2772" s="1"/>
      <c r="I2772" s="1"/>
      <c r="J2772" s="1"/>
      <c r="K2772" s="1"/>
      <c r="L2772" s="1"/>
      <c r="M2772" s="1"/>
      <c r="N2772" s="1"/>
      <c r="O2772" s="1"/>
      <c r="P2772" s="1"/>
      <c r="Q2772" s="1"/>
      <c r="R2772" s="1"/>
      <c r="S2772" s="1"/>
      <c r="T2772" s="1"/>
      <c r="U2772" s="1"/>
      <c r="V2772" s="1"/>
      <c r="W2772" s="1"/>
      <c r="X2772" s="1"/>
      <c r="Y2772" s="1"/>
      <c r="Z2772" s="1"/>
      <c r="AA2772" s="1"/>
      <c r="AB2772" s="1"/>
      <c r="AC2772" s="1"/>
      <c r="AD2772" s="1"/>
      <c r="AE2772" s="1"/>
      <c r="AF2772" s="1"/>
      <c r="AG2772" s="1"/>
      <c r="AH2772" s="1"/>
    </row>
    <row r="2773" spans="1:34" ht="12.5">
      <c r="A2773" s="1"/>
      <c r="B2773" s="1"/>
      <c r="C2773" s="1"/>
      <c r="D2773" s="1"/>
      <c r="E2773" s="1"/>
      <c r="F2773" s="1"/>
      <c r="G2773" s="1"/>
      <c r="H2773" s="1"/>
      <c r="I2773" s="1"/>
      <c r="J2773" s="1"/>
      <c r="K2773" s="1"/>
      <c r="L2773" s="1"/>
      <c r="M2773" s="1"/>
      <c r="N2773" s="1"/>
      <c r="O2773" s="1"/>
      <c r="P2773" s="1"/>
      <c r="Q2773" s="1"/>
      <c r="R2773" s="1"/>
      <c r="S2773" s="1"/>
      <c r="T2773" s="1"/>
      <c r="U2773" s="1"/>
      <c r="V2773" s="1"/>
      <c r="W2773" s="1"/>
      <c r="X2773" s="1"/>
      <c r="Y2773" s="1"/>
      <c r="Z2773" s="1"/>
      <c r="AA2773" s="1"/>
      <c r="AB2773" s="1"/>
      <c r="AC2773" s="1"/>
      <c r="AD2773" s="1"/>
      <c r="AE2773" s="1"/>
      <c r="AF2773" s="1"/>
      <c r="AG2773" s="1"/>
      <c r="AH2773" s="1"/>
    </row>
    <row r="2774" spans="1:34" ht="12.5">
      <c r="A2774" s="1"/>
      <c r="B2774" s="1"/>
      <c r="C2774" s="1"/>
      <c r="D2774" s="1"/>
      <c r="E2774" s="1"/>
      <c r="F2774" s="1"/>
      <c r="G2774" s="1"/>
      <c r="H2774" s="1"/>
      <c r="I2774" s="1"/>
      <c r="J2774" s="1"/>
      <c r="K2774" s="1"/>
      <c r="L2774" s="1"/>
      <c r="M2774" s="1"/>
      <c r="N2774" s="1"/>
      <c r="O2774" s="1"/>
      <c r="P2774" s="1"/>
      <c r="Q2774" s="1"/>
      <c r="R2774" s="1"/>
      <c r="S2774" s="1"/>
      <c r="T2774" s="1"/>
      <c r="U2774" s="1"/>
      <c r="V2774" s="1"/>
      <c r="W2774" s="1"/>
      <c r="X2774" s="1"/>
      <c r="Y2774" s="1"/>
      <c r="Z2774" s="1"/>
      <c r="AA2774" s="1"/>
      <c r="AB2774" s="1"/>
      <c r="AC2774" s="1"/>
      <c r="AD2774" s="1"/>
      <c r="AE2774" s="1"/>
      <c r="AF2774" s="1"/>
      <c r="AG2774" s="1"/>
      <c r="AH2774" s="1"/>
    </row>
    <row r="2775" spans="1:34" ht="12.5">
      <c r="A2775" s="1"/>
      <c r="B2775" s="1"/>
      <c r="C2775" s="1"/>
      <c r="D2775" s="1"/>
      <c r="E2775" s="1"/>
      <c r="F2775" s="1"/>
      <c r="G2775" s="1"/>
      <c r="H2775" s="1"/>
      <c r="I2775" s="1"/>
      <c r="J2775" s="1"/>
      <c r="K2775" s="1"/>
      <c r="L2775" s="1"/>
      <c r="M2775" s="1"/>
      <c r="N2775" s="1"/>
      <c r="O2775" s="1"/>
      <c r="P2775" s="1"/>
      <c r="Q2775" s="1"/>
      <c r="R2775" s="1"/>
      <c r="S2775" s="1"/>
      <c r="T2775" s="1"/>
      <c r="U2775" s="1"/>
      <c r="V2775" s="1"/>
      <c r="W2775" s="1"/>
      <c r="X2775" s="1"/>
      <c r="Y2775" s="1"/>
      <c r="Z2775" s="1"/>
      <c r="AA2775" s="1"/>
      <c r="AB2775" s="1"/>
      <c r="AC2775" s="1"/>
      <c r="AD2775" s="1"/>
      <c r="AE2775" s="1"/>
      <c r="AF2775" s="1"/>
      <c r="AG2775" s="1"/>
      <c r="AH2775" s="1"/>
    </row>
    <row r="2776" spans="1:34" ht="12.5">
      <c r="A2776" s="1"/>
      <c r="B2776" s="1"/>
      <c r="C2776" s="1"/>
      <c r="D2776" s="1"/>
      <c r="E2776" s="1"/>
      <c r="F2776" s="1"/>
      <c r="G2776" s="1"/>
      <c r="H2776" s="1"/>
      <c r="I2776" s="1"/>
      <c r="J2776" s="1"/>
      <c r="K2776" s="1"/>
      <c r="L2776" s="1"/>
      <c r="M2776" s="1"/>
      <c r="N2776" s="1"/>
      <c r="O2776" s="1"/>
      <c r="P2776" s="1"/>
      <c r="Q2776" s="1"/>
      <c r="R2776" s="1"/>
      <c r="S2776" s="1"/>
      <c r="T2776" s="1"/>
      <c r="U2776" s="1"/>
      <c r="V2776" s="1"/>
      <c r="W2776" s="1"/>
      <c r="X2776" s="1"/>
      <c r="Y2776" s="1"/>
      <c r="Z2776" s="1"/>
      <c r="AA2776" s="1"/>
      <c r="AB2776" s="1"/>
      <c r="AC2776" s="1"/>
      <c r="AD2776" s="1"/>
      <c r="AE2776" s="1"/>
      <c r="AF2776" s="1"/>
      <c r="AG2776" s="1"/>
      <c r="AH2776" s="1"/>
    </row>
    <row r="2777" spans="1:34" ht="12.5">
      <c r="A2777" s="1"/>
      <c r="B2777" s="1"/>
      <c r="C2777" s="1"/>
      <c r="D2777" s="1"/>
      <c r="E2777" s="1"/>
      <c r="F2777" s="1"/>
      <c r="G2777" s="1"/>
      <c r="H2777" s="1"/>
      <c r="I2777" s="1"/>
      <c r="J2777" s="1"/>
      <c r="K2777" s="1"/>
      <c r="L2777" s="1"/>
      <c r="M2777" s="1"/>
      <c r="N2777" s="1"/>
      <c r="O2777" s="1"/>
      <c r="P2777" s="1"/>
      <c r="Q2777" s="1"/>
      <c r="R2777" s="1"/>
      <c r="S2777" s="1"/>
      <c r="T2777" s="1"/>
      <c r="U2777" s="1"/>
      <c r="V2777" s="1"/>
      <c r="W2777" s="1"/>
      <c r="X2777" s="1"/>
      <c r="Y2777" s="1"/>
      <c r="Z2777" s="1"/>
      <c r="AA2777" s="1"/>
      <c r="AB2777" s="1"/>
      <c r="AC2777" s="1"/>
      <c r="AD2777" s="1"/>
      <c r="AE2777" s="1"/>
      <c r="AF2777" s="1"/>
      <c r="AG2777" s="1"/>
      <c r="AH2777" s="1"/>
    </row>
    <row r="2778" spans="1:34" ht="12.5">
      <c r="A2778" s="1"/>
      <c r="B2778" s="1"/>
      <c r="C2778" s="1"/>
      <c r="D2778" s="1"/>
      <c r="E2778" s="1"/>
      <c r="F2778" s="1"/>
      <c r="G2778" s="1"/>
      <c r="H2778" s="1"/>
      <c r="I2778" s="1"/>
      <c r="J2778" s="1"/>
      <c r="K2778" s="1"/>
      <c r="L2778" s="1"/>
      <c r="M2778" s="1"/>
      <c r="N2778" s="1"/>
      <c r="O2778" s="1"/>
      <c r="P2778" s="1"/>
      <c r="Q2778" s="1"/>
      <c r="R2778" s="1"/>
      <c r="S2778" s="1"/>
      <c r="T2778" s="1"/>
      <c r="U2778" s="1"/>
      <c r="V2778" s="1"/>
      <c r="W2778" s="1"/>
      <c r="X2778" s="1"/>
      <c r="Y2778" s="1"/>
      <c r="Z2778" s="1"/>
      <c r="AA2778" s="1"/>
      <c r="AB2778" s="1"/>
      <c r="AC2778" s="1"/>
      <c r="AD2778" s="1"/>
      <c r="AE2778" s="1"/>
      <c r="AF2778" s="1"/>
      <c r="AG2778" s="1"/>
      <c r="AH2778" s="1"/>
    </row>
    <row r="2779" spans="1:34" ht="12.5">
      <c r="A2779" s="1"/>
      <c r="B2779" s="1"/>
      <c r="C2779" s="1"/>
      <c r="D2779" s="1"/>
      <c r="E2779" s="1"/>
      <c r="F2779" s="1"/>
      <c r="G2779" s="1"/>
      <c r="H2779" s="1"/>
      <c r="I2779" s="1"/>
      <c r="J2779" s="1"/>
      <c r="K2779" s="1"/>
      <c r="L2779" s="1"/>
      <c r="M2779" s="1"/>
      <c r="N2779" s="1"/>
      <c r="O2779" s="1"/>
      <c r="P2779" s="1"/>
      <c r="Q2779" s="1"/>
      <c r="R2779" s="1"/>
      <c r="S2779" s="1"/>
      <c r="T2779" s="1"/>
      <c r="U2779" s="1"/>
      <c r="V2779" s="1"/>
      <c r="W2779" s="1"/>
      <c r="X2779" s="1"/>
      <c r="Y2779" s="1"/>
      <c r="Z2779" s="1"/>
      <c r="AA2779" s="1"/>
      <c r="AB2779" s="1"/>
      <c r="AC2779" s="1"/>
      <c r="AD2779" s="1"/>
      <c r="AE2779" s="1"/>
      <c r="AF2779" s="1"/>
      <c r="AG2779" s="1"/>
      <c r="AH2779" s="1"/>
    </row>
    <row r="2780" spans="1:34" ht="12.5">
      <c r="A2780" s="1"/>
      <c r="B2780" s="1"/>
      <c r="C2780" s="1"/>
      <c r="D2780" s="1"/>
      <c r="E2780" s="1"/>
      <c r="F2780" s="1"/>
      <c r="G2780" s="1"/>
      <c r="H2780" s="1"/>
      <c r="I2780" s="1"/>
      <c r="J2780" s="1"/>
      <c r="K2780" s="1"/>
      <c r="L2780" s="1"/>
      <c r="M2780" s="1"/>
      <c r="N2780" s="1"/>
      <c r="O2780" s="1"/>
      <c r="P2780" s="1"/>
      <c r="Q2780" s="1"/>
      <c r="R2780" s="1"/>
      <c r="S2780" s="1"/>
      <c r="T2780" s="1"/>
      <c r="U2780" s="1"/>
      <c r="V2780" s="1"/>
      <c r="W2780" s="1"/>
      <c r="X2780" s="1"/>
      <c r="Y2780" s="1"/>
      <c r="Z2780" s="1"/>
      <c r="AA2780" s="1"/>
      <c r="AB2780" s="1"/>
      <c r="AC2780" s="1"/>
      <c r="AD2780" s="1"/>
      <c r="AE2780" s="1"/>
      <c r="AF2780" s="1"/>
      <c r="AG2780" s="1"/>
      <c r="AH2780" s="1"/>
    </row>
    <row r="2781" spans="1:34" ht="12.5">
      <c r="A2781" s="1"/>
      <c r="B2781" s="1"/>
      <c r="C2781" s="1"/>
      <c r="D2781" s="1"/>
      <c r="E2781" s="1"/>
      <c r="F2781" s="1"/>
      <c r="G2781" s="1"/>
      <c r="H2781" s="1"/>
      <c r="I2781" s="1"/>
      <c r="J2781" s="1"/>
      <c r="K2781" s="1"/>
      <c r="L2781" s="1"/>
      <c r="M2781" s="1"/>
      <c r="N2781" s="1"/>
      <c r="O2781" s="1"/>
      <c r="P2781" s="1"/>
      <c r="Q2781" s="1"/>
      <c r="R2781" s="1"/>
      <c r="S2781" s="1"/>
      <c r="T2781" s="1"/>
      <c r="U2781" s="1"/>
      <c r="V2781" s="1"/>
      <c r="W2781" s="1"/>
      <c r="X2781" s="1"/>
      <c r="Y2781" s="1"/>
      <c r="Z2781" s="1"/>
      <c r="AA2781" s="1"/>
      <c r="AB2781" s="1"/>
      <c r="AC2781" s="1"/>
      <c r="AD2781" s="1"/>
      <c r="AE2781" s="1"/>
      <c r="AF2781" s="1"/>
      <c r="AG2781" s="1"/>
      <c r="AH2781" s="1"/>
    </row>
    <row r="2782" spans="1:34" ht="12.5">
      <c r="A2782" s="1"/>
      <c r="B2782" s="1"/>
      <c r="C2782" s="1"/>
      <c r="D2782" s="1"/>
      <c r="E2782" s="1"/>
      <c r="F2782" s="1"/>
      <c r="G2782" s="1"/>
      <c r="H2782" s="1"/>
      <c r="I2782" s="1"/>
      <c r="J2782" s="1"/>
      <c r="K2782" s="1"/>
      <c r="L2782" s="1"/>
      <c r="M2782" s="1"/>
      <c r="N2782" s="1"/>
      <c r="O2782" s="1"/>
      <c r="P2782" s="1"/>
      <c r="Q2782" s="1"/>
      <c r="R2782" s="1"/>
      <c r="S2782" s="1"/>
      <c r="T2782" s="1"/>
      <c r="U2782" s="1"/>
      <c r="V2782" s="1"/>
      <c r="W2782" s="1"/>
      <c r="X2782" s="1"/>
      <c r="Y2782" s="1"/>
      <c r="Z2782" s="1"/>
      <c r="AA2782" s="1"/>
      <c r="AB2782" s="1"/>
      <c r="AC2782" s="1"/>
      <c r="AD2782" s="1"/>
      <c r="AE2782" s="1"/>
      <c r="AF2782" s="1"/>
      <c r="AG2782" s="1"/>
      <c r="AH2782" s="1"/>
    </row>
    <row r="2783" spans="1:34" ht="12.5">
      <c r="A2783" s="1"/>
      <c r="B2783" s="1"/>
      <c r="C2783" s="1"/>
      <c r="D2783" s="1"/>
      <c r="E2783" s="1"/>
      <c r="F2783" s="1"/>
      <c r="G2783" s="1"/>
      <c r="H2783" s="1"/>
      <c r="I2783" s="1"/>
      <c r="J2783" s="1"/>
      <c r="K2783" s="1"/>
      <c r="L2783" s="1"/>
      <c r="M2783" s="1"/>
      <c r="N2783" s="1"/>
      <c r="O2783" s="1"/>
      <c r="P2783" s="1"/>
      <c r="Q2783" s="1"/>
      <c r="R2783" s="1"/>
      <c r="S2783" s="1"/>
      <c r="T2783" s="1"/>
      <c r="U2783" s="1"/>
      <c r="V2783" s="1"/>
      <c r="W2783" s="1"/>
      <c r="X2783" s="1"/>
      <c r="Y2783" s="1"/>
      <c r="Z2783" s="1"/>
      <c r="AA2783" s="1"/>
      <c r="AB2783" s="1"/>
      <c r="AC2783" s="1"/>
      <c r="AD2783" s="1"/>
      <c r="AE2783" s="1"/>
      <c r="AF2783" s="1"/>
      <c r="AG2783" s="1"/>
      <c r="AH2783" s="1"/>
    </row>
    <row r="2784" spans="1:34" ht="12.5">
      <c r="A2784" s="1"/>
      <c r="B2784" s="1"/>
      <c r="C2784" s="1"/>
      <c r="D2784" s="1"/>
      <c r="E2784" s="1"/>
      <c r="F2784" s="1"/>
      <c r="G2784" s="1"/>
      <c r="H2784" s="1"/>
      <c r="I2784" s="1"/>
      <c r="J2784" s="1"/>
      <c r="K2784" s="1"/>
      <c r="L2784" s="1"/>
      <c r="M2784" s="1"/>
      <c r="N2784" s="1"/>
      <c r="O2784" s="1"/>
      <c r="P2784" s="1"/>
      <c r="Q2784" s="1"/>
      <c r="R2784" s="1"/>
      <c r="S2784" s="1"/>
      <c r="T2784" s="1"/>
      <c r="U2784" s="1"/>
      <c r="V2784" s="1"/>
      <c r="W2784" s="1"/>
      <c r="X2784" s="1"/>
      <c r="Y2784" s="1"/>
      <c r="Z2784" s="1"/>
      <c r="AA2784" s="1"/>
      <c r="AB2784" s="1"/>
      <c r="AC2784" s="1"/>
      <c r="AD2784" s="1"/>
      <c r="AE2784" s="1"/>
      <c r="AF2784" s="1"/>
      <c r="AG2784" s="1"/>
      <c r="AH2784" s="1"/>
    </row>
    <row r="2785" spans="1:34" ht="12.5">
      <c r="A2785" s="1"/>
      <c r="B2785" s="1"/>
      <c r="C2785" s="1"/>
      <c r="D2785" s="1"/>
      <c r="E2785" s="1"/>
      <c r="F2785" s="1"/>
      <c r="G2785" s="1"/>
      <c r="H2785" s="1"/>
      <c r="I2785" s="1"/>
      <c r="J2785" s="1"/>
      <c r="K2785" s="1"/>
      <c r="L2785" s="1"/>
      <c r="M2785" s="1"/>
      <c r="N2785" s="1"/>
      <c r="O2785" s="1"/>
      <c r="P2785" s="1"/>
      <c r="Q2785" s="1"/>
      <c r="R2785" s="1"/>
      <c r="S2785" s="1"/>
      <c r="T2785" s="1"/>
      <c r="U2785" s="1"/>
      <c r="V2785" s="1"/>
      <c r="W2785" s="1"/>
      <c r="X2785" s="1"/>
      <c r="Y2785" s="1"/>
      <c r="Z2785" s="1"/>
      <c r="AA2785" s="1"/>
      <c r="AB2785" s="1"/>
      <c r="AC2785" s="1"/>
      <c r="AD2785" s="1"/>
      <c r="AE2785" s="1"/>
      <c r="AF2785" s="1"/>
      <c r="AG2785" s="1"/>
      <c r="AH2785" s="1"/>
    </row>
    <row r="2786" spans="1:34" ht="12.5">
      <c r="A2786" s="1"/>
      <c r="B2786" s="1"/>
      <c r="C2786" s="1"/>
      <c r="D2786" s="1"/>
      <c r="E2786" s="1"/>
      <c r="F2786" s="1"/>
      <c r="G2786" s="1"/>
      <c r="H2786" s="1"/>
      <c r="I2786" s="1"/>
      <c r="J2786" s="1"/>
      <c r="K2786" s="1"/>
      <c r="L2786" s="1"/>
      <c r="M2786" s="1"/>
      <c r="N2786" s="1"/>
      <c r="O2786" s="1"/>
      <c r="P2786" s="1"/>
      <c r="Q2786" s="1"/>
      <c r="R2786" s="1"/>
      <c r="S2786" s="1"/>
      <c r="T2786" s="1"/>
      <c r="U2786" s="1"/>
      <c r="V2786" s="1"/>
      <c r="W2786" s="1"/>
      <c r="X2786" s="1"/>
      <c r="Y2786" s="1"/>
      <c r="Z2786" s="1"/>
      <c r="AA2786" s="1"/>
      <c r="AB2786" s="1"/>
      <c r="AC2786" s="1"/>
      <c r="AD2786" s="1"/>
      <c r="AE2786" s="1"/>
      <c r="AF2786" s="1"/>
      <c r="AG2786" s="1"/>
      <c r="AH2786" s="1"/>
    </row>
    <row r="2787" spans="1:34" ht="12.5">
      <c r="A2787" s="1"/>
      <c r="B2787" s="1"/>
      <c r="C2787" s="1"/>
      <c r="D2787" s="1"/>
      <c r="E2787" s="1"/>
      <c r="F2787" s="1"/>
      <c r="G2787" s="1"/>
      <c r="H2787" s="1"/>
      <c r="I2787" s="1"/>
      <c r="J2787" s="1"/>
      <c r="K2787" s="1"/>
      <c r="L2787" s="1"/>
      <c r="M2787" s="1"/>
      <c r="N2787" s="1"/>
      <c r="O2787" s="1"/>
      <c r="P2787" s="1"/>
      <c r="Q2787" s="1"/>
      <c r="R2787" s="1"/>
      <c r="S2787" s="1"/>
      <c r="T2787" s="1"/>
      <c r="U2787" s="1"/>
      <c r="V2787" s="1"/>
      <c r="W2787" s="1"/>
      <c r="X2787" s="1"/>
      <c r="Y2787" s="1"/>
      <c r="Z2787" s="1"/>
      <c r="AA2787" s="1"/>
      <c r="AB2787" s="1"/>
      <c r="AC2787" s="1"/>
      <c r="AD2787" s="1"/>
      <c r="AE2787" s="1"/>
      <c r="AF2787" s="1"/>
      <c r="AG2787" s="1"/>
      <c r="AH2787" s="1"/>
    </row>
    <row r="2788" spans="1:34" ht="12.5">
      <c r="A2788" s="1"/>
      <c r="B2788" s="1"/>
      <c r="C2788" s="1"/>
      <c r="D2788" s="1"/>
      <c r="E2788" s="1"/>
      <c r="F2788" s="1"/>
      <c r="G2788" s="1"/>
      <c r="H2788" s="1"/>
      <c r="I2788" s="1"/>
      <c r="J2788" s="1"/>
      <c r="K2788" s="1"/>
      <c r="L2788" s="1"/>
      <c r="M2788" s="1"/>
      <c r="N2788" s="1"/>
      <c r="O2788" s="1"/>
      <c r="P2788" s="1"/>
      <c r="Q2788" s="1"/>
      <c r="R2788" s="1"/>
      <c r="S2788" s="1"/>
      <c r="T2788" s="1"/>
      <c r="U2788" s="1"/>
      <c r="V2788" s="1"/>
      <c r="W2788" s="1"/>
      <c r="X2788" s="1"/>
      <c r="Y2788" s="1"/>
      <c r="Z2788" s="1"/>
      <c r="AA2788" s="1"/>
      <c r="AB2788" s="1"/>
      <c r="AC2788" s="1"/>
      <c r="AD2788" s="1"/>
      <c r="AE2788" s="1"/>
      <c r="AF2788" s="1"/>
      <c r="AG2788" s="1"/>
      <c r="AH2788" s="1"/>
    </row>
    <row r="2789" spans="1:34" ht="12.5">
      <c r="A2789" s="1"/>
      <c r="B2789" s="1"/>
      <c r="C2789" s="1"/>
      <c r="D2789" s="1"/>
      <c r="E2789" s="1"/>
      <c r="F2789" s="1"/>
      <c r="G2789" s="1"/>
      <c r="H2789" s="1"/>
      <c r="I2789" s="1"/>
      <c r="J2789" s="1"/>
      <c r="K2789" s="1"/>
      <c r="L2789" s="1"/>
      <c r="M2789" s="1"/>
      <c r="N2789" s="1"/>
      <c r="O2789" s="1"/>
      <c r="P2789" s="1"/>
      <c r="Q2789" s="1"/>
      <c r="R2789" s="1"/>
      <c r="S2789" s="1"/>
      <c r="T2789" s="1"/>
      <c r="U2789" s="1"/>
      <c r="V2789" s="1"/>
      <c r="W2789" s="1"/>
      <c r="X2789" s="1"/>
      <c r="Y2789" s="1"/>
      <c r="Z2789" s="1"/>
      <c r="AA2789" s="1"/>
      <c r="AB2789" s="1"/>
      <c r="AC2789" s="1"/>
      <c r="AD2789" s="1"/>
      <c r="AE2789" s="1"/>
      <c r="AF2789" s="1"/>
      <c r="AG2789" s="1"/>
      <c r="AH2789" s="1"/>
    </row>
    <row r="2790" spans="1:34" ht="12.5">
      <c r="A2790" s="1"/>
      <c r="B2790" s="1"/>
      <c r="C2790" s="1"/>
      <c r="D2790" s="1"/>
      <c r="E2790" s="1"/>
      <c r="F2790" s="1"/>
      <c r="G2790" s="1"/>
      <c r="H2790" s="1"/>
      <c r="I2790" s="1"/>
      <c r="J2790" s="1"/>
      <c r="K2790" s="1"/>
      <c r="L2790" s="1"/>
      <c r="M2790" s="1"/>
      <c r="N2790" s="1"/>
      <c r="O2790" s="1"/>
      <c r="P2790" s="1"/>
      <c r="Q2790" s="1"/>
      <c r="R2790" s="1"/>
      <c r="S2790" s="1"/>
      <c r="T2790" s="1"/>
      <c r="U2790" s="1"/>
      <c r="V2790" s="1"/>
      <c r="W2790" s="1"/>
      <c r="X2790" s="1"/>
      <c r="Y2790" s="1"/>
      <c r="Z2790" s="1"/>
      <c r="AA2790" s="1"/>
      <c r="AB2790" s="1"/>
      <c r="AC2790" s="1"/>
      <c r="AD2790" s="1"/>
      <c r="AE2790" s="1"/>
      <c r="AF2790" s="1"/>
      <c r="AG2790" s="1"/>
      <c r="AH2790" s="1"/>
    </row>
    <row r="2791" spans="1:34" ht="12.5">
      <c r="A2791" s="1"/>
      <c r="B2791" s="1"/>
      <c r="C2791" s="1"/>
      <c r="D2791" s="1"/>
      <c r="E2791" s="1"/>
      <c r="F2791" s="1"/>
      <c r="G2791" s="1"/>
      <c r="H2791" s="1"/>
      <c r="I2791" s="1"/>
      <c r="J2791" s="1"/>
      <c r="K2791" s="1"/>
      <c r="L2791" s="1"/>
      <c r="M2791" s="1"/>
      <c r="N2791" s="1"/>
      <c r="O2791" s="1"/>
      <c r="P2791" s="1"/>
      <c r="Q2791" s="1"/>
      <c r="R2791" s="1"/>
      <c r="S2791" s="1"/>
      <c r="T2791" s="1"/>
      <c r="U2791" s="1"/>
      <c r="V2791" s="1"/>
      <c r="W2791" s="1"/>
      <c r="X2791" s="1"/>
      <c r="Y2791" s="1"/>
      <c r="Z2791" s="1"/>
      <c r="AA2791" s="1"/>
      <c r="AB2791" s="1"/>
      <c r="AC2791" s="1"/>
      <c r="AD2791" s="1"/>
      <c r="AE2791" s="1"/>
      <c r="AF2791" s="1"/>
      <c r="AG2791" s="1"/>
      <c r="AH2791" s="1"/>
    </row>
    <row r="2792" spans="1:34" ht="12.5">
      <c r="A2792" s="1"/>
      <c r="B2792" s="1"/>
      <c r="C2792" s="1"/>
      <c r="D2792" s="1"/>
      <c r="E2792" s="1"/>
      <c r="F2792" s="1"/>
      <c r="G2792" s="1"/>
      <c r="H2792" s="1"/>
      <c r="I2792" s="1"/>
      <c r="J2792" s="1"/>
      <c r="K2792" s="1"/>
      <c r="L2792" s="1"/>
      <c r="M2792" s="1"/>
      <c r="N2792" s="1"/>
      <c r="O2792" s="1"/>
      <c r="P2792" s="1"/>
      <c r="Q2792" s="1"/>
      <c r="R2792" s="1"/>
      <c r="S2792" s="1"/>
      <c r="T2792" s="1"/>
      <c r="U2792" s="1"/>
      <c r="V2792" s="1"/>
      <c r="W2792" s="1"/>
      <c r="X2792" s="1"/>
      <c r="Y2792" s="1"/>
      <c r="Z2792" s="1"/>
      <c r="AA2792" s="1"/>
      <c r="AB2792" s="1"/>
      <c r="AC2792" s="1"/>
      <c r="AD2792" s="1"/>
      <c r="AE2792" s="1"/>
      <c r="AF2792" s="1"/>
      <c r="AG2792" s="1"/>
      <c r="AH2792" s="1"/>
    </row>
    <row r="2793" spans="1:34" ht="12.5">
      <c r="A2793" s="1"/>
      <c r="B2793" s="1"/>
      <c r="C2793" s="1"/>
      <c r="D2793" s="1"/>
      <c r="E2793" s="1"/>
      <c r="F2793" s="1"/>
      <c r="G2793" s="1"/>
      <c r="H2793" s="1"/>
      <c r="I2793" s="1"/>
      <c r="J2793" s="1"/>
      <c r="K2793" s="1"/>
      <c r="L2793" s="1"/>
      <c r="M2793" s="1"/>
      <c r="N2793" s="1"/>
      <c r="O2793" s="1"/>
      <c r="P2793" s="1"/>
      <c r="Q2793" s="1"/>
      <c r="R2793" s="1"/>
      <c r="S2793" s="1"/>
      <c r="T2793" s="1"/>
      <c r="U2793" s="1"/>
      <c r="V2793" s="1"/>
      <c r="W2793" s="1"/>
      <c r="X2793" s="1"/>
      <c r="Y2793" s="1"/>
      <c r="Z2793" s="1"/>
      <c r="AA2793" s="1"/>
      <c r="AB2793" s="1"/>
      <c r="AC2793" s="1"/>
      <c r="AD2793" s="1"/>
      <c r="AE2793" s="1"/>
      <c r="AF2793" s="1"/>
      <c r="AG2793" s="1"/>
      <c r="AH2793" s="1"/>
    </row>
    <row r="2794" spans="1:34" ht="12.5">
      <c r="A2794" s="1"/>
      <c r="B2794" s="1"/>
      <c r="C2794" s="1"/>
      <c r="D2794" s="1"/>
      <c r="E2794" s="1"/>
      <c r="F2794" s="1"/>
      <c r="G2794" s="1"/>
      <c r="H2794" s="1"/>
      <c r="I2794" s="1"/>
      <c r="J2794" s="1"/>
      <c r="K2794" s="1"/>
      <c r="L2794" s="1"/>
      <c r="M2794" s="1"/>
      <c r="N2794" s="1"/>
      <c r="O2794" s="1"/>
      <c r="P2794" s="1"/>
      <c r="Q2794" s="1"/>
      <c r="R2794" s="1"/>
      <c r="S2794" s="1"/>
      <c r="T2794" s="1"/>
      <c r="U2794" s="1"/>
      <c r="V2794" s="1"/>
      <c r="W2794" s="1"/>
      <c r="X2794" s="1"/>
      <c r="Y2794" s="1"/>
      <c r="Z2794" s="1"/>
      <c r="AA2794" s="1"/>
      <c r="AB2794" s="1"/>
      <c r="AC2794" s="1"/>
      <c r="AD2794" s="1"/>
      <c r="AE2794" s="1"/>
      <c r="AF2794" s="1"/>
      <c r="AG2794" s="1"/>
      <c r="AH2794" s="1"/>
    </row>
    <row r="2795" spans="1:34" ht="12.5">
      <c r="A2795" s="1"/>
      <c r="B2795" s="1"/>
      <c r="C2795" s="1"/>
      <c r="D2795" s="1"/>
      <c r="E2795" s="1"/>
      <c r="F2795" s="1"/>
      <c r="G2795" s="1"/>
      <c r="H2795" s="1"/>
      <c r="I2795" s="1"/>
      <c r="J2795" s="1"/>
      <c r="K2795" s="1"/>
      <c r="L2795" s="1"/>
      <c r="M2795" s="1"/>
      <c r="N2795" s="1"/>
      <c r="O2795" s="1"/>
      <c r="P2795" s="1"/>
      <c r="Q2795" s="1"/>
      <c r="R2795" s="1"/>
      <c r="S2795" s="1"/>
      <c r="T2795" s="1"/>
      <c r="U2795" s="1"/>
      <c r="V2795" s="1"/>
      <c r="W2795" s="1"/>
      <c r="X2795" s="1"/>
      <c r="Y2795" s="1"/>
      <c r="Z2795" s="1"/>
      <c r="AA2795" s="1"/>
      <c r="AB2795" s="1"/>
      <c r="AC2795" s="1"/>
      <c r="AD2795" s="1"/>
      <c r="AE2795" s="1"/>
      <c r="AF2795" s="1"/>
      <c r="AG2795" s="1"/>
      <c r="AH2795" s="1"/>
    </row>
    <row r="2796" spans="1:34" ht="12.5">
      <c r="A2796" s="1"/>
      <c r="B2796" s="1"/>
      <c r="C2796" s="1"/>
      <c r="D2796" s="1"/>
      <c r="E2796" s="1"/>
      <c r="F2796" s="1"/>
      <c r="G2796" s="1"/>
      <c r="H2796" s="1"/>
      <c r="I2796" s="1"/>
      <c r="J2796" s="1"/>
      <c r="K2796" s="1"/>
      <c r="L2796" s="1"/>
      <c r="M2796" s="1"/>
      <c r="N2796" s="1"/>
      <c r="O2796" s="1"/>
      <c r="P2796" s="1"/>
      <c r="Q2796" s="1"/>
      <c r="R2796" s="1"/>
      <c r="S2796" s="1"/>
      <c r="T2796" s="1"/>
      <c r="U2796" s="1"/>
      <c r="V2796" s="1"/>
      <c r="W2796" s="1"/>
      <c r="X2796" s="1"/>
      <c r="Y2796" s="1"/>
      <c r="Z2796" s="1"/>
      <c r="AA2796" s="1"/>
      <c r="AB2796" s="1"/>
      <c r="AC2796" s="1"/>
      <c r="AD2796" s="1"/>
      <c r="AE2796" s="1"/>
      <c r="AF2796" s="1"/>
      <c r="AG2796" s="1"/>
      <c r="AH2796" s="1"/>
    </row>
    <row r="2797" spans="1:34" ht="12.5">
      <c r="A2797" s="1"/>
      <c r="B2797" s="1"/>
      <c r="C2797" s="1"/>
      <c r="D2797" s="1"/>
      <c r="E2797" s="1"/>
      <c r="F2797" s="1"/>
      <c r="G2797" s="1"/>
      <c r="H2797" s="1"/>
      <c r="I2797" s="1"/>
      <c r="J2797" s="1"/>
      <c r="K2797" s="1"/>
      <c r="L2797" s="1"/>
      <c r="M2797" s="1"/>
      <c r="N2797" s="1"/>
      <c r="O2797" s="1"/>
      <c r="P2797" s="1"/>
      <c r="Q2797" s="1"/>
      <c r="R2797" s="1"/>
      <c r="S2797" s="1"/>
      <c r="T2797" s="1"/>
      <c r="U2797" s="1"/>
      <c r="V2797" s="1"/>
      <c r="W2797" s="1"/>
      <c r="X2797" s="1"/>
      <c r="Y2797" s="1"/>
      <c r="Z2797" s="1"/>
      <c r="AA2797" s="1"/>
      <c r="AB2797" s="1"/>
      <c r="AC2797" s="1"/>
      <c r="AD2797" s="1"/>
      <c r="AE2797" s="1"/>
      <c r="AF2797" s="1"/>
      <c r="AG2797" s="1"/>
      <c r="AH2797" s="1"/>
    </row>
    <row r="2798" spans="1:34" ht="12.5">
      <c r="A2798" s="1"/>
      <c r="B2798" s="1"/>
      <c r="C2798" s="1"/>
      <c r="D2798" s="1"/>
      <c r="E2798" s="1"/>
      <c r="F2798" s="1"/>
      <c r="G2798" s="1"/>
      <c r="H2798" s="1"/>
      <c r="I2798" s="1"/>
      <c r="J2798" s="1"/>
      <c r="K2798" s="1"/>
      <c r="L2798" s="1"/>
      <c r="M2798" s="1"/>
      <c r="N2798" s="1"/>
      <c r="O2798" s="1"/>
      <c r="P2798" s="1"/>
      <c r="Q2798" s="1"/>
      <c r="R2798" s="1"/>
      <c r="S2798" s="1"/>
      <c r="T2798" s="1"/>
      <c r="U2798" s="1"/>
      <c r="V2798" s="1"/>
      <c r="W2798" s="1"/>
      <c r="X2798" s="1"/>
      <c r="Y2798" s="1"/>
      <c r="Z2798" s="1"/>
      <c r="AA2798" s="1"/>
      <c r="AB2798" s="1"/>
      <c r="AC2798" s="1"/>
      <c r="AD2798" s="1"/>
      <c r="AE2798" s="1"/>
      <c r="AF2798" s="1"/>
      <c r="AG2798" s="1"/>
      <c r="AH2798" s="1"/>
    </row>
    <row r="2799" spans="1:34" ht="12.5">
      <c r="A2799" s="1"/>
      <c r="B2799" s="1"/>
      <c r="C2799" s="1"/>
      <c r="D2799" s="1"/>
      <c r="E2799" s="1"/>
      <c r="F2799" s="1"/>
      <c r="G2799" s="1"/>
      <c r="H2799" s="1"/>
      <c r="I2799" s="1"/>
      <c r="J2799" s="1"/>
      <c r="K2799" s="1"/>
      <c r="L2799" s="1"/>
      <c r="M2799" s="1"/>
      <c r="N2799" s="1"/>
      <c r="O2799" s="1"/>
      <c r="P2799" s="1"/>
      <c r="Q2799" s="1"/>
      <c r="R2799" s="1"/>
      <c r="S2799" s="1"/>
      <c r="T2799" s="1"/>
      <c r="U2799" s="1"/>
      <c r="V2799" s="1"/>
      <c r="W2799" s="1"/>
      <c r="X2799" s="1"/>
      <c r="Y2799" s="1"/>
      <c r="Z2799" s="1"/>
      <c r="AA2799" s="1"/>
      <c r="AB2799" s="1"/>
      <c r="AC2799" s="1"/>
      <c r="AD2799" s="1"/>
      <c r="AE2799" s="1"/>
      <c r="AF2799" s="1"/>
      <c r="AG2799" s="1"/>
      <c r="AH2799" s="1"/>
    </row>
    <row r="2800" spans="1:34" ht="12.5">
      <c r="A2800" s="1"/>
      <c r="B2800" s="1"/>
      <c r="C2800" s="1"/>
      <c r="D2800" s="1"/>
      <c r="E2800" s="1"/>
      <c r="F2800" s="1"/>
      <c r="G2800" s="1"/>
      <c r="H2800" s="1"/>
      <c r="I2800" s="1"/>
      <c r="J2800" s="1"/>
      <c r="K2800" s="1"/>
      <c r="L2800" s="1"/>
      <c r="M2800" s="1"/>
      <c r="N2800" s="1"/>
      <c r="O2800" s="1"/>
      <c r="P2800" s="1"/>
      <c r="Q2800" s="1"/>
      <c r="R2800" s="1"/>
      <c r="S2800" s="1"/>
      <c r="T2800" s="1"/>
      <c r="U2800" s="1"/>
      <c r="V2800" s="1"/>
      <c r="W2800" s="1"/>
      <c r="X2800" s="1"/>
      <c r="Y2800" s="1"/>
      <c r="Z2800" s="1"/>
      <c r="AA2800" s="1"/>
      <c r="AB2800" s="1"/>
      <c r="AC2800" s="1"/>
      <c r="AD2800" s="1"/>
      <c r="AE2800" s="1"/>
      <c r="AF2800" s="1"/>
      <c r="AG2800" s="1"/>
      <c r="AH2800" s="1"/>
    </row>
    <row r="2801" spans="1:34" ht="12.5">
      <c r="A2801" s="1"/>
      <c r="B2801" s="1"/>
      <c r="C2801" s="1"/>
      <c r="D2801" s="1"/>
      <c r="E2801" s="1"/>
      <c r="F2801" s="1"/>
      <c r="G2801" s="1"/>
      <c r="H2801" s="1"/>
      <c r="I2801" s="1"/>
      <c r="J2801" s="1"/>
      <c r="K2801" s="1"/>
      <c r="L2801" s="1"/>
      <c r="M2801" s="1"/>
      <c r="N2801" s="1"/>
      <c r="O2801" s="1"/>
      <c r="P2801" s="1"/>
      <c r="Q2801" s="1"/>
      <c r="R2801" s="1"/>
      <c r="S2801" s="1"/>
      <c r="T2801" s="1"/>
      <c r="U2801" s="1"/>
      <c r="V2801" s="1"/>
      <c r="W2801" s="1"/>
      <c r="X2801" s="1"/>
      <c r="Y2801" s="1"/>
      <c r="Z2801" s="1"/>
      <c r="AA2801" s="1"/>
      <c r="AB2801" s="1"/>
      <c r="AC2801" s="1"/>
      <c r="AD2801" s="1"/>
      <c r="AE2801" s="1"/>
      <c r="AF2801" s="1"/>
      <c r="AG2801" s="1"/>
      <c r="AH2801" s="1"/>
    </row>
    <row r="2802" spans="1:34" ht="12.5">
      <c r="A2802" s="1"/>
      <c r="B2802" s="1"/>
      <c r="C2802" s="1"/>
      <c r="D2802" s="1"/>
      <c r="E2802" s="1"/>
      <c r="F2802" s="1"/>
      <c r="G2802" s="1"/>
      <c r="H2802" s="1"/>
      <c r="I2802" s="1"/>
      <c r="J2802" s="1"/>
      <c r="K2802" s="1"/>
      <c r="L2802" s="1"/>
      <c r="M2802" s="1"/>
      <c r="N2802" s="1"/>
      <c r="O2802" s="1"/>
      <c r="P2802" s="1"/>
      <c r="Q2802" s="1"/>
      <c r="R2802" s="1"/>
      <c r="S2802" s="1"/>
      <c r="T2802" s="1"/>
      <c r="U2802" s="1"/>
      <c r="V2802" s="1"/>
      <c r="W2802" s="1"/>
      <c r="X2802" s="1"/>
      <c r="Y2802" s="1"/>
      <c r="Z2802" s="1"/>
      <c r="AA2802" s="1"/>
      <c r="AB2802" s="1"/>
      <c r="AC2802" s="1"/>
      <c r="AD2802" s="1"/>
      <c r="AE2802" s="1"/>
      <c r="AF2802" s="1"/>
      <c r="AG2802" s="1"/>
      <c r="AH2802" s="1"/>
    </row>
    <row r="2803" spans="1:34" ht="12.5">
      <c r="A2803" s="1"/>
      <c r="B2803" s="1"/>
      <c r="C2803" s="1"/>
      <c r="D2803" s="1"/>
      <c r="E2803" s="1"/>
      <c r="F2803" s="1"/>
      <c r="G2803" s="1"/>
      <c r="H2803" s="1"/>
      <c r="I2803" s="1"/>
      <c r="J2803" s="1"/>
      <c r="K2803" s="1"/>
      <c r="L2803" s="1"/>
      <c r="M2803" s="1"/>
      <c r="N2803" s="1"/>
      <c r="O2803" s="1"/>
      <c r="P2803" s="1"/>
      <c r="Q2803" s="1"/>
      <c r="R2803" s="1"/>
      <c r="S2803" s="1"/>
      <c r="T2803" s="1"/>
      <c r="U2803" s="1"/>
      <c r="V2803" s="1"/>
      <c r="W2803" s="1"/>
      <c r="X2803" s="1"/>
      <c r="Y2803" s="1"/>
      <c r="Z2803" s="1"/>
      <c r="AA2803" s="1"/>
      <c r="AB2803" s="1"/>
      <c r="AC2803" s="1"/>
      <c r="AD2803" s="1"/>
      <c r="AE2803" s="1"/>
      <c r="AF2803" s="1"/>
      <c r="AG2803" s="1"/>
      <c r="AH2803" s="1"/>
    </row>
    <row r="2804" spans="1:34" ht="12.5">
      <c r="A2804" s="1"/>
      <c r="B2804" s="1"/>
      <c r="C2804" s="1"/>
      <c r="D2804" s="1"/>
      <c r="E2804" s="1"/>
      <c r="F2804" s="1"/>
      <c r="G2804" s="1"/>
      <c r="H2804" s="1"/>
      <c r="I2804" s="1"/>
      <c r="J2804" s="1"/>
      <c r="K2804" s="1"/>
      <c r="L2804" s="1"/>
      <c r="M2804" s="1"/>
      <c r="N2804" s="1"/>
      <c r="O2804" s="1"/>
      <c r="P2804" s="1"/>
      <c r="Q2804" s="1"/>
      <c r="R2804" s="1"/>
      <c r="S2804" s="1"/>
      <c r="T2804" s="1"/>
      <c r="U2804" s="1"/>
      <c r="V2804" s="1"/>
      <c r="W2804" s="1"/>
      <c r="X2804" s="1"/>
      <c r="Y2804" s="1"/>
      <c r="Z2804" s="1"/>
      <c r="AA2804" s="1"/>
      <c r="AB2804" s="1"/>
      <c r="AC2804" s="1"/>
      <c r="AD2804" s="1"/>
      <c r="AE2804" s="1"/>
      <c r="AF2804" s="1"/>
      <c r="AG2804" s="1"/>
      <c r="AH2804" s="1"/>
    </row>
    <row r="2805" spans="1:34" ht="12.5">
      <c r="A2805" s="1"/>
      <c r="B2805" s="1"/>
      <c r="C2805" s="1"/>
      <c r="D2805" s="1"/>
      <c r="E2805" s="1"/>
      <c r="F2805" s="1"/>
      <c r="G2805" s="1"/>
      <c r="H2805" s="1"/>
      <c r="I2805" s="1"/>
      <c r="J2805" s="1"/>
      <c r="K2805" s="1"/>
      <c r="L2805" s="1"/>
      <c r="M2805" s="1"/>
      <c r="N2805" s="1"/>
      <c r="O2805" s="1"/>
      <c r="P2805" s="1"/>
      <c r="Q2805" s="1"/>
      <c r="R2805" s="1"/>
      <c r="S2805" s="1"/>
      <c r="T2805" s="1"/>
      <c r="U2805" s="1"/>
      <c r="V2805" s="1"/>
      <c r="W2805" s="1"/>
      <c r="X2805" s="1"/>
      <c r="Y2805" s="1"/>
      <c r="Z2805" s="1"/>
      <c r="AA2805" s="1"/>
      <c r="AB2805" s="1"/>
      <c r="AC2805" s="1"/>
      <c r="AD2805" s="1"/>
      <c r="AE2805" s="1"/>
      <c r="AF2805" s="1"/>
      <c r="AG2805" s="1"/>
      <c r="AH2805" s="1"/>
    </row>
    <row r="2806" spans="1:34" ht="12.5">
      <c r="A2806" s="1"/>
      <c r="B2806" s="1"/>
      <c r="C2806" s="1"/>
      <c r="D2806" s="1"/>
      <c r="E2806" s="1"/>
      <c r="F2806" s="1"/>
      <c r="G2806" s="1"/>
      <c r="H2806" s="1"/>
      <c r="I2806" s="1"/>
      <c r="J2806" s="1"/>
      <c r="K2806" s="1"/>
      <c r="L2806" s="1"/>
      <c r="M2806" s="1"/>
      <c r="N2806" s="1"/>
      <c r="O2806" s="1"/>
      <c r="P2806" s="1"/>
      <c r="Q2806" s="1"/>
      <c r="R2806" s="1"/>
      <c r="S2806" s="1"/>
      <c r="T2806" s="1"/>
      <c r="U2806" s="1"/>
      <c r="V2806" s="1"/>
      <c r="W2806" s="1"/>
      <c r="X2806" s="1"/>
      <c r="Y2806" s="1"/>
      <c r="Z2806" s="1"/>
      <c r="AA2806" s="1"/>
      <c r="AB2806" s="1"/>
      <c r="AC2806" s="1"/>
      <c r="AD2806" s="1"/>
      <c r="AE2806" s="1"/>
      <c r="AF2806" s="1"/>
      <c r="AG2806" s="1"/>
      <c r="AH2806" s="1"/>
    </row>
    <row r="2807" spans="1:34" ht="12.5">
      <c r="A2807" s="1"/>
      <c r="B2807" s="1"/>
      <c r="C2807" s="1"/>
      <c r="D2807" s="1"/>
      <c r="E2807" s="1"/>
      <c r="F2807" s="1"/>
      <c r="G2807" s="1"/>
      <c r="H2807" s="1"/>
      <c r="I2807" s="1"/>
      <c r="J2807" s="1"/>
      <c r="K2807" s="1"/>
      <c r="L2807" s="1"/>
      <c r="M2807" s="1"/>
      <c r="N2807" s="1"/>
      <c r="O2807" s="1"/>
      <c r="P2807" s="1"/>
      <c r="Q2807" s="1"/>
      <c r="R2807" s="1"/>
      <c r="S2807" s="1"/>
      <c r="T2807" s="1"/>
      <c r="U2807" s="1"/>
      <c r="V2807" s="1"/>
      <c r="W2807" s="1"/>
      <c r="X2807" s="1"/>
      <c r="Y2807" s="1"/>
      <c r="Z2807" s="1"/>
      <c r="AA2807" s="1"/>
      <c r="AB2807" s="1"/>
      <c r="AC2807" s="1"/>
      <c r="AD2807" s="1"/>
      <c r="AE2807" s="1"/>
      <c r="AF2807" s="1"/>
      <c r="AG2807" s="1"/>
      <c r="AH2807" s="1"/>
    </row>
    <row r="2808" spans="1:34" ht="12.5">
      <c r="A2808" s="1"/>
      <c r="B2808" s="1"/>
      <c r="C2808" s="1"/>
      <c r="D2808" s="1"/>
      <c r="E2808" s="1"/>
      <c r="F2808" s="1"/>
      <c r="G2808" s="1"/>
      <c r="H2808" s="1"/>
      <c r="I2808" s="1"/>
      <c r="J2808" s="1"/>
      <c r="K2808" s="1"/>
      <c r="L2808" s="1"/>
      <c r="M2808" s="1"/>
      <c r="N2808" s="1"/>
      <c r="O2808" s="1"/>
      <c r="P2808" s="1"/>
      <c r="Q2808" s="1"/>
      <c r="R2808" s="1"/>
      <c r="S2808" s="1"/>
      <c r="T2808" s="1"/>
      <c r="U2808" s="1"/>
      <c r="V2808" s="1"/>
      <c r="W2808" s="1"/>
      <c r="X2808" s="1"/>
      <c r="Y2808" s="1"/>
      <c r="Z2808" s="1"/>
      <c r="AA2808" s="1"/>
      <c r="AB2808" s="1"/>
      <c r="AC2808" s="1"/>
      <c r="AD2808" s="1"/>
      <c r="AE2808" s="1"/>
      <c r="AF2808" s="1"/>
      <c r="AG2808" s="1"/>
      <c r="AH2808" s="1"/>
    </row>
    <row r="2809" spans="1:34" ht="12.5">
      <c r="A2809" s="1"/>
      <c r="B2809" s="1"/>
      <c r="C2809" s="1"/>
      <c r="D2809" s="1"/>
      <c r="E2809" s="1"/>
      <c r="F2809" s="1"/>
      <c r="G2809" s="1"/>
      <c r="H2809" s="1"/>
      <c r="I2809" s="1"/>
      <c r="J2809" s="1"/>
      <c r="K2809" s="1"/>
      <c r="L2809" s="1"/>
      <c r="M2809" s="1"/>
      <c r="N2809" s="1"/>
      <c r="O2809" s="1"/>
      <c r="P2809" s="1"/>
      <c r="Q2809" s="1"/>
      <c r="R2809" s="1"/>
      <c r="S2809" s="1"/>
      <c r="T2809" s="1"/>
      <c r="U2809" s="1"/>
      <c r="V2809" s="1"/>
      <c r="W2809" s="1"/>
      <c r="X2809" s="1"/>
      <c r="Y2809" s="1"/>
      <c r="Z2809" s="1"/>
      <c r="AA2809" s="1"/>
      <c r="AB2809" s="1"/>
      <c r="AC2809" s="1"/>
      <c r="AD2809" s="1"/>
      <c r="AE2809" s="1"/>
      <c r="AF2809" s="1"/>
      <c r="AG2809" s="1"/>
      <c r="AH2809" s="1"/>
    </row>
    <row r="2810" spans="1:34" ht="12.5">
      <c r="A2810" s="1"/>
      <c r="B2810" s="1"/>
      <c r="C2810" s="1"/>
      <c r="D2810" s="1"/>
      <c r="E2810" s="1"/>
      <c r="F2810" s="1"/>
      <c r="G2810" s="1"/>
      <c r="H2810" s="1"/>
      <c r="I2810" s="1"/>
      <c r="J2810" s="1"/>
      <c r="K2810" s="1"/>
      <c r="L2810" s="1"/>
      <c r="M2810" s="1"/>
      <c r="N2810" s="1"/>
      <c r="O2810" s="1"/>
      <c r="P2810" s="1"/>
      <c r="Q2810" s="1"/>
      <c r="R2810" s="1"/>
      <c r="S2810" s="1"/>
      <c r="T2810" s="1"/>
      <c r="U2810" s="1"/>
      <c r="V2810" s="1"/>
      <c r="W2810" s="1"/>
      <c r="X2810" s="1"/>
      <c r="Y2810" s="1"/>
      <c r="Z2810" s="1"/>
      <c r="AA2810" s="1"/>
      <c r="AB2810" s="1"/>
      <c r="AC2810" s="1"/>
      <c r="AD2810" s="1"/>
      <c r="AE2810" s="1"/>
      <c r="AF2810" s="1"/>
      <c r="AG2810" s="1"/>
      <c r="AH2810" s="1"/>
    </row>
    <row r="2811" spans="1:34" ht="12.5">
      <c r="A2811" s="1"/>
      <c r="B2811" s="1"/>
      <c r="C2811" s="1"/>
      <c r="D2811" s="1"/>
      <c r="E2811" s="1"/>
      <c r="F2811" s="1"/>
      <c r="G2811" s="1"/>
      <c r="H2811" s="1"/>
      <c r="I2811" s="1"/>
      <c r="J2811" s="1"/>
      <c r="K2811" s="1"/>
      <c r="L2811" s="1"/>
      <c r="M2811" s="1"/>
      <c r="N2811" s="1"/>
      <c r="O2811" s="1"/>
      <c r="P2811" s="1"/>
      <c r="Q2811" s="1"/>
      <c r="R2811" s="1"/>
      <c r="S2811" s="1"/>
      <c r="T2811" s="1"/>
      <c r="U2811" s="1"/>
      <c r="V2811" s="1"/>
      <c r="W2811" s="1"/>
      <c r="X2811" s="1"/>
      <c r="Y2811" s="1"/>
      <c r="Z2811" s="1"/>
      <c r="AA2811" s="1"/>
      <c r="AB2811" s="1"/>
      <c r="AC2811" s="1"/>
      <c r="AD2811" s="1"/>
      <c r="AE2811" s="1"/>
      <c r="AF2811" s="1"/>
      <c r="AG2811" s="1"/>
      <c r="AH2811" s="1"/>
    </row>
    <row r="2812" spans="1:34" ht="12.5">
      <c r="A2812" s="1"/>
      <c r="B2812" s="1"/>
      <c r="C2812" s="1"/>
      <c r="D2812" s="1"/>
      <c r="E2812" s="1"/>
      <c r="F2812" s="1"/>
      <c r="G2812" s="1"/>
      <c r="H2812" s="1"/>
      <c r="I2812" s="1"/>
      <c r="J2812" s="1"/>
      <c r="K2812" s="1"/>
      <c r="L2812" s="1"/>
      <c r="M2812" s="1"/>
      <c r="N2812" s="1"/>
      <c r="O2812" s="1"/>
      <c r="P2812" s="1"/>
      <c r="Q2812" s="1"/>
      <c r="R2812" s="1"/>
      <c r="S2812" s="1"/>
      <c r="T2812" s="1"/>
      <c r="U2812" s="1"/>
      <c r="V2812" s="1"/>
      <c r="W2812" s="1"/>
      <c r="X2812" s="1"/>
      <c r="Y2812" s="1"/>
      <c r="Z2812" s="1"/>
      <c r="AA2812" s="1"/>
      <c r="AB2812" s="1"/>
      <c r="AC2812" s="1"/>
      <c r="AD2812" s="1"/>
      <c r="AE2812" s="1"/>
      <c r="AF2812" s="1"/>
      <c r="AG2812" s="1"/>
      <c r="AH2812" s="1"/>
    </row>
    <row r="2813" spans="1:34" ht="12.5">
      <c r="A2813" s="1"/>
      <c r="B2813" s="1"/>
      <c r="C2813" s="1"/>
      <c r="D2813" s="1"/>
      <c r="E2813" s="1"/>
      <c r="F2813" s="1"/>
      <c r="G2813" s="1"/>
      <c r="H2813" s="1"/>
      <c r="I2813" s="1"/>
      <c r="J2813" s="1"/>
      <c r="K2813" s="1"/>
      <c r="L2813" s="1"/>
      <c r="M2813" s="1"/>
      <c r="N2813" s="1"/>
      <c r="O2813" s="1"/>
      <c r="P2813" s="1"/>
      <c r="Q2813" s="1"/>
      <c r="R2813" s="1"/>
      <c r="S2813" s="1"/>
      <c r="T2813" s="1"/>
      <c r="U2813" s="1"/>
      <c r="V2813" s="1"/>
      <c r="W2813" s="1"/>
      <c r="X2813" s="1"/>
      <c r="Y2813" s="1"/>
      <c r="Z2813" s="1"/>
      <c r="AA2813" s="1"/>
      <c r="AB2813" s="1"/>
      <c r="AC2813" s="1"/>
      <c r="AD2813" s="1"/>
      <c r="AE2813" s="1"/>
      <c r="AF2813" s="1"/>
      <c r="AG2813" s="1"/>
      <c r="AH2813" s="1"/>
    </row>
    <row r="2814" spans="1:34" ht="12.5">
      <c r="A2814" s="1"/>
      <c r="B2814" s="1"/>
      <c r="C2814" s="1"/>
      <c r="D2814" s="1"/>
      <c r="E2814" s="1"/>
      <c r="F2814" s="1"/>
      <c r="G2814" s="1"/>
      <c r="H2814" s="1"/>
      <c r="I2814" s="1"/>
      <c r="J2814" s="1"/>
      <c r="K2814" s="1"/>
      <c r="L2814" s="1"/>
      <c r="M2814" s="1"/>
      <c r="N2814" s="1"/>
      <c r="O2814" s="1"/>
      <c r="P2814" s="1"/>
      <c r="Q2814" s="1"/>
      <c r="R2814" s="1"/>
      <c r="S2814" s="1"/>
      <c r="T2814" s="1"/>
      <c r="U2814" s="1"/>
      <c r="V2814" s="1"/>
      <c r="W2814" s="1"/>
      <c r="X2814" s="1"/>
      <c r="Y2814" s="1"/>
      <c r="Z2814" s="1"/>
      <c r="AA2814" s="1"/>
      <c r="AB2814" s="1"/>
      <c r="AC2814" s="1"/>
      <c r="AD2814" s="1"/>
      <c r="AE2814" s="1"/>
      <c r="AF2814" s="1"/>
      <c r="AG2814" s="1"/>
      <c r="AH2814" s="1"/>
    </row>
    <row r="2815" spans="1:34" ht="12.5">
      <c r="A2815" s="1"/>
      <c r="B2815" s="1"/>
      <c r="C2815" s="1"/>
      <c r="D2815" s="1"/>
      <c r="E2815" s="1"/>
      <c r="F2815" s="1"/>
      <c r="G2815" s="1"/>
      <c r="H2815" s="1"/>
      <c r="I2815" s="1"/>
      <c r="J2815" s="1"/>
      <c r="K2815" s="1"/>
      <c r="L2815" s="1"/>
      <c r="M2815" s="1"/>
      <c r="N2815" s="1"/>
      <c r="O2815" s="1"/>
      <c r="P2815" s="1"/>
      <c r="Q2815" s="1"/>
      <c r="R2815" s="1"/>
      <c r="S2815" s="1"/>
      <c r="T2815" s="1"/>
      <c r="U2815" s="1"/>
      <c r="V2815" s="1"/>
      <c r="W2815" s="1"/>
      <c r="X2815" s="1"/>
      <c r="Y2815" s="1"/>
      <c r="Z2815" s="1"/>
      <c r="AA2815" s="1"/>
      <c r="AB2815" s="1"/>
      <c r="AC2815" s="1"/>
      <c r="AD2815" s="1"/>
      <c r="AE2815" s="1"/>
      <c r="AF2815" s="1"/>
      <c r="AG2815" s="1"/>
      <c r="AH2815" s="1"/>
    </row>
    <row r="2816" spans="1:34" ht="12.5">
      <c r="A2816" s="1"/>
      <c r="B2816" s="1"/>
      <c r="C2816" s="1"/>
      <c r="D2816" s="1"/>
      <c r="E2816" s="1"/>
      <c r="F2816" s="1"/>
      <c r="G2816" s="1"/>
      <c r="H2816" s="1"/>
      <c r="I2816" s="1"/>
      <c r="J2816" s="1"/>
      <c r="K2816" s="1"/>
      <c r="L2816" s="1"/>
      <c r="M2816" s="1"/>
      <c r="N2816" s="1"/>
      <c r="O2816" s="1"/>
      <c r="P2816" s="1"/>
      <c r="Q2816" s="1"/>
      <c r="R2816" s="1"/>
      <c r="S2816" s="1"/>
      <c r="T2816" s="1"/>
      <c r="U2816" s="1"/>
      <c r="V2816" s="1"/>
      <c r="W2816" s="1"/>
      <c r="X2816" s="1"/>
      <c r="Y2816" s="1"/>
      <c r="Z2816" s="1"/>
      <c r="AA2816" s="1"/>
      <c r="AB2816" s="1"/>
      <c r="AC2816" s="1"/>
      <c r="AD2816" s="1"/>
      <c r="AE2816" s="1"/>
      <c r="AF2816" s="1"/>
      <c r="AG2816" s="1"/>
      <c r="AH2816" s="1"/>
    </row>
    <row r="2817" spans="1:34" ht="12.5">
      <c r="A2817" s="1"/>
      <c r="B2817" s="1"/>
      <c r="C2817" s="1"/>
      <c r="D2817" s="1"/>
      <c r="E2817" s="1"/>
      <c r="F2817" s="1"/>
      <c r="G2817" s="1"/>
      <c r="H2817" s="1"/>
      <c r="I2817" s="1"/>
      <c r="J2817" s="1"/>
      <c r="K2817" s="1"/>
      <c r="L2817" s="1"/>
      <c r="M2817" s="1"/>
      <c r="N2817" s="1"/>
      <c r="O2817" s="1"/>
      <c r="P2817" s="1"/>
      <c r="Q2817" s="1"/>
      <c r="R2817" s="1"/>
      <c r="S2817" s="1"/>
      <c r="T2817" s="1"/>
      <c r="U2817" s="1"/>
      <c r="V2817" s="1"/>
      <c r="W2817" s="1"/>
      <c r="X2817" s="1"/>
      <c r="Y2817" s="1"/>
      <c r="Z2817" s="1"/>
      <c r="AA2817" s="1"/>
      <c r="AB2817" s="1"/>
      <c r="AC2817" s="1"/>
      <c r="AD2817" s="1"/>
      <c r="AE2817" s="1"/>
      <c r="AF2817" s="1"/>
      <c r="AG2817" s="1"/>
      <c r="AH2817" s="1"/>
    </row>
    <row r="2818" spans="1:34" ht="12.5">
      <c r="A2818" s="1"/>
      <c r="B2818" s="1"/>
      <c r="C2818" s="1"/>
      <c r="D2818" s="1"/>
      <c r="E2818" s="1"/>
      <c r="F2818" s="1"/>
      <c r="G2818" s="1"/>
      <c r="H2818" s="1"/>
      <c r="I2818" s="1"/>
      <c r="J2818" s="1"/>
      <c r="K2818" s="1"/>
      <c r="L2818" s="1"/>
      <c r="M2818" s="1"/>
      <c r="N2818" s="1"/>
      <c r="O2818" s="1"/>
      <c r="P2818" s="1"/>
      <c r="Q2818" s="1"/>
      <c r="R2818" s="1"/>
      <c r="S2818" s="1"/>
      <c r="T2818" s="1"/>
      <c r="U2818" s="1"/>
      <c r="V2818" s="1"/>
      <c r="W2818" s="1"/>
      <c r="X2818" s="1"/>
      <c r="Y2818" s="1"/>
      <c r="Z2818" s="1"/>
      <c r="AA2818" s="1"/>
      <c r="AB2818" s="1"/>
      <c r="AC2818" s="1"/>
      <c r="AD2818" s="1"/>
      <c r="AE2818" s="1"/>
      <c r="AF2818" s="1"/>
      <c r="AG2818" s="1"/>
      <c r="AH2818" s="1"/>
    </row>
    <row r="2819" spans="1:34" ht="12.5">
      <c r="A2819" s="1"/>
      <c r="B2819" s="1"/>
      <c r="C2819" s="1"/>
      <c r="D2819" s="1"/>
      <c r="E2819" s="1"/>
      <c r="F2819" s="1"/>
      <c r="G2819" s="1"/>
      <c r="H2819" s="1"/>
      <c r="I2819" s="1"/>
      <c r="J2819" s="1"/>
      <c r="K2819" s="1"/>
      <c r="L2819" s="1"/>
      <c r="M2819" s="1"/>
      <c r="N2819" s="1"/>
      <c r="O2819" s="1"/>
      <c r="P2819" s="1"/>
      <c r="Q2819" s="1"/>
      <c r="R2819" s="1"/>
      <c r="S2819" s="1"/>
      <c r="T2819" s="1"/>
      <c r="U2819" s="1"/>
      <c r="V2819" s="1"/>
      <c r="W2819" s="1"/>
      <c r="X2819" s="1"/>
      <c r="Y2819" s="1"/>
      <c r="Z2819" s="1"/>
      <c r="AA2819" s="1"/>
      <c r="AB2819" s="1"/>
      <c r="AC2819" s="1"/>
      <c r="AD2819" s="1"/>
      <c r="AE2819" s="1"/>
      <c r="AF2819" s="1"/>
      <c r="AG2819" s="1"/>
      <c r="AH2819" s="1"/>
    </row>
    <row r="2820" spans="1:34" ht="12.5">
      <c r="A2820" s="1"/>
      <c r="B2820" s="1"/>
      <c r="C2820" s="1"/>
      <c r="D2820" s="1"/>
      <c r="E2820" s="1"/>
      <c r="F2820" s="1"/>
      <c r="G2820" s="1"/>
      <c r="H2820" s="1"/>
      <c r="I2820" s="1"/>
      <c r="J2820" s="1"/>
      <c r="K2820" s="1"/>
      <c r="L2820" s="1"/>
      <c r="M2820" s="1"/>
      <c r="N2820" s="1"/>
      <c r="O2820" s="1"/>
      <c r="P2820" s="1"/>
      <c r="Q2820" s="1"/>
      <c r="R2820" s="1"/>
      <c r="S2820" s="1"/>
      <c r="T2820" s="1"/>
      <c r="U2820" s="1"/>
      <c r="V2820" s="1"/>
      <c r="W2820" s="1"/>
      <c r="X2820" s="1"/>
      <c r="Y2820" s="1"/>
      <c r="Z2820" s="1"/>
      <c r="AA2820" s="1"/>
      <c r="AB2820" s="1"/>
      <c r="AC2820" s="1"/>
      <c r="AD2820" s="1"/>
      <c r="AE2820" s="1"/>
      <c r="AF2820" s="1"/>
      <c r="AG2820" s="1"/>
      <c r="AH2820" s="1"/>
    </row>
    <row r="2821" spans="1:34" ht="12.5">
      <c r="A2821" s="1"/>
      <c r="B2821" s="1"/>
      <c r="C2821" s="1"/>
      <c r="D2821" s="1"/>
      <c r="E2821" s="1"/>
      <c r="F2821" s="1"/>
      <c r="G2821" s="1"/>
      <c r="H2821" s="1"/>
      <c r="I2821" s="1"/>
      <c r="J2821" s="1"/>
      <c r="K2821" s="1"/>
      <c r="L2821" s="1"/>
      <c r="M2821" s="1"/>
      <c r="N2821" s="1"/>
      <c r="O2821" s="1"/>
      <c r="P2821" s="1"/>
      <c r="Q2821" s="1"/>
      <c r="R2821" s="1"/>
      <c r="S2821" s="1"/>
      <c r="T2821" s="1"/>
      <c r="U2821" s="1"/>
      <c r="V2821" s="1"/>
      <c r="W2821" s="1"/>
      <c r="X2821" s="1"/>
      <c r="Y2821" s="1"/>
      <c r="Z2821" s="1"/>
      <c r="AA2821" s="1"/>
      <c r="AB2821" s="1"/>
      <c r="AC2821" s="1"/>
      <c r="AD2821" s="1"/>
      <c r="AE2821" s="1"/>
      <c r="AF2821" s="1"/>
      <c r="AG2821" s="1"/>
      <c r="AH2821" s="1"/>
    </row>
    <row r="2822" spans="1:34" ht="12.5">
      <c r="A2822" s="1"/>
      <c r="B2822" s="1"/>
      <c r="C2822" s="1"/>
      <c r="D2822" s="1"/>
      <c r="E2822" s="1"/>
      <c r="F2822" s="1"/>
      <c r="G2822" s="1"/>
      <c r="H2822" s="1"/>
      <c r="I2822" s="1"/>
      <c r="J2822" s="1"/>
      <c r="K2822" s="1"/>
      <c r="L2822" s="1"/>
      <c r="M2822" s="1"/>
      <c r="N2822" s="1"/>
      <c r="O2822" s="1"/>
      <c r="P2822" s="1"/>
      <c r="Q2822" s="1"/>
      <c r="R2822" s="1"/>
      <c r="S2822" s="1"/>
      <c r="T2822" s="1"/>
      <c r="U2822" s="1"/>
      <c r="V2822" s="1"/>
      <c r="W2822" s="1"/>
      <c r="X2822" s="1"/>
      <c r="Y2822" s="1"/>
      <c r="Z2822" s="1"/>
      <c r="AA2822" s="1"/>
      <c r="AB2822" s="1"/>
      <c r="AC2822" s="1"/>
      <c r="AD2822" s="1"/>
      <c r="AE2822" s="1"/>
      <c r="AF2822" s="1"/>
      <c r="AG2822" s="1"/>
      <c r="AH2822" s="1"/>
    </row>
    <row r="2823" spans="1:34" ht="12.5">
      <c r="A2823" s="1"/>
      <c r="B2823" s="1"/>
      <c r="C2823" s="1"/>
      <c r="D2823" s="1"/>
      <c r="E2823" s="1"/>
      <c r="F2823" s="1"/>
      <c r="G2823" s="1"/>
      <c r="H2823" s="1"/>
      <c r="I2823" s="1"/>
      <c r="J2823" s="1"/>
      <c r="K2823" s="1"/>
      <c r="L2823" s="1"/>
      <c r="M2823" s="1"/>
      <c r="N2823" s="1"/>
      <c r="O2823" s="1"/>
      <c r="P2823" s="1"/>
      <c r="Q2823" s="1"/>
      <c r="R2823" s="1"/>
      <c r="S2823" s="1"/>
      <c r="T2823" s="1"/>
      <c r="U2823" s="1"/>
      <c r="V2823" s="1"/>
      <c r="W2823" s="1"/>
      <c r="X2823" s="1"/>
      <c r="Y2823" s="1"/>
      <c r="Z2823" s="1"/>
      <c r="AA2823" s="1"/>
      <c r="AB2823" s="1"/>
      <c r="AC2823" s="1"/>
      <c r="AD2823" s="1"/>
      <c r="AE2823" s="1"/>
      <c r="AF2823" s="1"/>
      <c r="AG2823" s="1"/>
      <c r="AH2823" s="1"/>
    </row>
    <row r="2824" spans="1:34" ht="12.5">
      <c r="A2824" s="1"/>
      <c r="B2824" s="1"/>
      <c r="C2824" s="1"/>
      <c r="D2824" s="1"/>
      <c r="E2824" s="1"/>
      <c r="F2824" s="1"/>
      <c r="G2824" s="1"/>
      <c r="H2824" s="1"/>
      <c r="I2824" s="1"/>
      <c r="J2824" s="1"/>
      <c r="K2824" s="1"/>
      <c r="L2824" s="1"/>
      <c r="M2824" s="1"/>
      <c r="N2824" s="1"/>
      <c r="O2824" s="1"/>
      <c r="P2824" s="1"/>
      <c r="Q2824" s="1"/>
      <c r="R2824" s="1"/>
      <c r="S2824" s="1"/>
      <c r="T2824" s="1"/>
      <c r="U2824" s="1"/>
      <c r="V2824" s="1"/>
      <c r="W2824" s="1"/>
      <c r="X2824" s="1"/>
      <c r="Y2824" s="1"/>
      <c r="Z2824" s="1"/>
      <c r="AA2824" s="1"/>
      <c r="AB2824" s="1"/>
      <c r="AC2824" s="1"/>
      <c r="AD2824" s="1"/>
      <c r="AE2824" s="1"/>
      <c r="AF2824" s="1"/>
      <c r="AG2824" s="1"/>
      <c r="AH2824" s="1"/>
    </row>
    <row r="2825" spans="1:34" ht="12.5">
      <c r="A2825" s="1"/>
      <c r="B2825" s="1"/>
      <c r="C2825" s="1"/>
      <c r="D2825" s="1"/>
      <c r="E2825" s="1"/>
      <c r="F2825" s="1"/>
      <c r="G2825" s="1"/>
      <c r="H2825" s="1"/>
      <c r="I2825" s="1"/>
      <c r="J2825" s="1"/>
      <c r="K2825" s="1"/>
      <c r="L2825" s="1"/>
      <c r="M2825" s="1"/>
      <c r="N2825" s="1"/>
      <c r="O2825" s="1"/>
      <c r="P2825" s="1"/>
      <c r="Q2825" s="1"/>
      <c r="R2825" s="1"/>
      <c r="S2825" s="1"/>
      <c r="T2825" s="1"/>
      <c r="U2825" s="1"/>
      <c r="V2825" s="1"/>
      <c r="W2825" s="1"/>
      <c r="X2825" s="1"/>
      <c r="Y2825" s="1"/>
      <c r="Z2825" s="1"/>
      <c r="AA2825" s="1"/>
      <c r="AB2825" s="1"/>
      <c r="AC2825" s="1"/>
      <c r="AD2825" s="1"/>
      <c r="AE2825" s="1"/>
      <c r="AF2825" s="1"/>
      <c r="AG2825" s="1"/>
      <c r="AH2825" s="1"/>
    </row>
    <row r="2826" spans="1:34" ht="12.5">
      <c r="A2826" s="1"/>
      <c r="B2826" s="1"/>
      <c r="C2826" s="1"/>
      <c r="D2826" s="1"/>
      <c r="E2826" s="1"/>
      <c r="F2826" s="1"/>
      <c r="G2826" s="1"/>
      <c r="H2826" s="1"/>
      <c r="I2826" s="1"/>
      <c r="J2826" s="1"/>
      <c r="K2826" s="1"/>
      <c r="L2826" s="1"/>
      <c r="M2826" s="1"/>
      <c r="N2826" s="1"/>
      <c r="O2826" s="1"/>
      <c r="P2826" s="1"/>
      <c r="Q2826" s="1"/>
      <c r="R2826" s="1"/>
      <c r="S2826" s="1"/>
      <c r="T2826" s="1"/>
      <c r="U2826" s="1"/>
      <c r="V2826" s="1"/>
      <c r="W2826" s="1"/>
      <c r="X2826" s="1"/>
      <c r="Y2826" s="1"/>
      <c r="Z2826" s="1"/>
      <c r="AA2826" s="1"/>
      <c r="AB2826" s="1"/>
      <c r="AC2826" s="1"/>
      <c r="AD2826" s="1"/>
      <c r="AE2826" s="1"/>
      <c r="AF2826" s="1"/>
      <c r="AG2826" s="1"/>
      <c r="AH2826" s="1"/>
    </row>
    <row r="2827" spans="1:34" ht="12.5">
      <c r="A2827" s="1"/>
      <c r="B2827" s="1"/>
      <c r="C2827" s="1"/>
      <c r="D2827" s="1"/>
      <c r="E2827" s="1"/>
      <c r="F2827" s="1"/>
      <c r="G2827" s="1"/>
      <c r="H2827" s="1"/>
      <c r="I2827" s="1"/>
      <c r="J2827" s="1"/>
      <c r="K2827" s="1"/>
      <c r="L2827" s="1"/>
      <c r="M2827" s="1"/>
      <c r="N2827" s="1"/>
      <c r="O2827" s="1"/>
      <c r="P2827" s="1"/>
      <c r="Q2827" s="1"/>
      <c r="R2827" s="1"/>
      <c r="S2827" s="1"/>
      <c r="T2827" s="1"/>
      <c r="U2827" s="1"/>
      <c r="V2827" s="1"/>
      <c r="W2827" s="1"/>
      <c r="X2827" s="1"/>
      <c r="Y2827" s="1"/>
      <c r="Z2827" s="1"/>
      <c r="AA2827" s="1"/>
      <c r="AB2827" s="1"/>
      <c r="AC2827" s="1"/>
      <c r="AD2827" s="1"/>
      <c r="AE2827" s="1"/>
      <c r="AF2827" s="1"/>
      <c r="AG2827" s="1"/>
      <c r="AH2827" s="1"/>
    </row>
    <row r="2828" spans="1:34" ht="12.5">
      <c r="A2828" s="1"/>
      <c r="B2828" s="1"/>
      <c r="C2828" s="1"/>
      <c r="D2828" s="1"/>
      <c r="E2828" s="1"/>
      <c r="F2828" s="1"/>
      <c r="G2828" s="1"/>
      <c r="H2828" s="1"/>
      <c r="I2828" s="1"/>
      <c r="J2828" s="1"/>
      <c r="K2828" s="1"/>
      <c r="L2828" s="1"/>
      <c r="M2828" s="1"/>
      <c r="N2828" s="1"/>
      <c r="O2828" s="1"/>
      <c r="P2828" s="1"/>
      <c r="Q2828" s="1"/>
      <c r="R2828" s="1"/>
      <c r="S2828" s="1"/>
      <c r="T2828" s="1"/>
      <c r="U2828" s="1"/>
      <c r="V2828" s="1"/>
      <c r="W2828" s="1"/>
      <c r="X2828" s="1"/>
      <c r="Y2828" s="1"/>
      <c r="Z2828" s="1"/>
      <c r="AA2828" s="1"/>
      <c r="AB2828" s="1"/>
      <c r="AC2828" s="1"/>
      <c r="AD2828" s="1"/>
      <c r="AE2828" s="1"/>
      <c r="AF2828" s="1"/>
      <c r="AG2828" s="1"/>
      <c r="AH2828" s="1"/>
    </row>
    <row r="2829" spans="1:34" ht="12.5">
      <c r="A2829" s="1"/>
      <c r="B2829" s="1"/>
      <c r="C2829" s="1"/>
      <c r="D2829" s="1"/>
      <c r="E2829" s="1"/>
      <c r="F2829" s="1"/>
      <c r="G2829" s="1"/>
      <c r="H2829" s="1"/>
      <c r="I2829" s="1"/>
      <c r="J2829" s="1"/>
      <c r="K2829" s="1"/>
      <c r="L2829" s="1"/>
      <c r="M2829" s="1"/>
      <c r="N2829" s="1"/>
      <c r="O2829" s="1"/>
      <c r="P2829" s="1"/>
      <c r="Q2829" s="1"/>
      <c r="R2829" s="1"/>
      <c r="S2829" s="1"/>
      <c r="T2829" s="1"/>
      <c r="U2829" s="1"/>
      <c r="V2829" s="1"/>
      <c r="W2829" s="1"/>
      <c r="X2829" s="1"/>
      <c r="Y2829" s="1"/>
      <c r="Z2829" s="1"/>
      <c r="AA2829" s="1"/>
      <c r="AB2829" s="1"/>
      <c r="AC2829" s="1"/>
      <c r="AD2829" s="1"/>
      <c r="AE2829" s="1"/>
      <c r="AF2829" s="1"/>
      <c r="AG2829" s="1"/>
      <c r="AH2829" s="1"/>
    </row>
    <row r="2830" spans="1:34" ht="12.5">
      <c r="A2830" s="1"/>
      <c r="B2830" s="1"/>
      <c r="C2830" s="1"/>
      <c r="D2830" s="1"/>
      <c r="E2830" s="1"/>
      <c r="F2830" s="1"/>
      <c r="G2830" s="1"/>
      <c r="H2830" s="1"/>
      <c r="I2830" s="1"/>
      <c r="J2830" s="1"/>
      <c r="K2830" s="1"/>
      <c r="L2830" s="1"/>
      <c r="M2830" s="1"/>
      <c r="N2830" s="1"/>
      <c r="O2830" s="1"/>
      <c r="P2830" s="1"/>
      <c r="Q2830" s="1"/>
      <c r="R2830" s="1"/>
      <c r="S2830" s="1"/>
      <c r="T2830" s="1"/>
      <c r="U2830" s="1"/>
      <c r="V2830" s="1"/>
      <c r="W2830" s="1"/>
      <c r="X2830" s="1"/>
      <c r="Y2830" s="1"/>
      <c r="Z2830" s="1"/>
      <c r="AA2830" s="1"/>
      <c r="AB2830" s="1"/>
      <c r="AC2830" s="1"/>
      <c r="AD2830" s="1"/>
      <c r="AE2830" s="1"/>
      <c r="AF2830" s="1"/>
      <c r="AG2830" s="1"/>
      <c r="AH2830" s="1"/>
    </row>
    <row r="2831" spans="1:34" ht="12.5">
      <c r="A2831" s="1"/>
      <c r="B2831" s="1"/>
      <c r="C2831" s="1"/>
      <c r="D2831" s="1"/>
      <c r="E2831" s="1"/>
      <c r="F2831" s="1"/>
      <c r="G2831" s="1"/>
      <c r="H2831" s="1"/>
      <c r="I2831" s="1"/>
      <c r="J2831" s="1"/>
      <c r="K2831" s="1"/>
      <c r="L2831" s="1"/>
      <c r="M2831" s="1"/>
      <c r="N2831" s="1"/>
      <c r="O2831" s="1"/>
      <c r="P2831" s="1"/>
      <c r="Q2831" s="1"/>
      <c r="R2831" s="1"/>
      <c r="S2831" s="1"/>
      <c r="T2831" s="1"/>
      <c r="U2831" s="1"/>
      <c r="V2831" s="1"/>
      <c r="W2831" s="1"/>
      <c r="X2831" s="1"/>
      <c r="Y2831" s="1"/>
      <c r="Z2831" s="1"/>
      <c r="AA2831" s="1"/>
      <c r="AB2831" s="1"/>
      <c r="AC2831" s="1"/>
      <c r="AD2831" s="1"/>
      <c r="AE2831" s="1"/>
      <c r="AF2831" s="1"/>
      <c r="AG2831" s="1"/>
      <c r="AH2831" s="1"/>
    </row>
    <row r="2832" spans="1:34" ht="12.5">
      <c r="A2832" s="1"/>
      <c r="B2832" s="1"/>
      <c r="C2832" s="1"/>
      <c r="D2832" s="1"/>
      <c r="E2832" s="1"/>
      <c r="F2832" s="1"/>
      <c r="G2832" s="1"/>
      <c r="H2832" s="1"/>
      <c r="I2832" s="1"/>
      <c r="J2832" s="1"/>
      <c r="K2832" s="1"/>
      <c r="L2832" s="1"/>
      <c r="M2832" s="1"/>
      <c r="N2832" s="1"/>
      <c r="O2832" s="1"/>
      <c r="P2832" s="1"/>
      <c r="Q2832" s="1"/>
      <c r="R2832" s="1"/>
      <c r="S2832" s="1"/>
      <c r="T2832" s="1"/>
      <c r="U2832" s="1"/>
      <c r="V2832" s="1"/>
      <c r="W2832" s="1"/>
      <c r="X2832" s="1"/>
      <c r="Y2832" s="1"/>
      <c r="Z2832" s="1"/>
      <c r="AA2832" s="1"/>
      <c r="AB2832" s="1"/>
      <c r="AC2832" s="1"/>
      <c r="AD2832" s="1"/>
      <c r="AE2832" s="1"/>
      <c r="AF2832" s="1"/>
      <c r="AG2832" s="1"/>
      <c r="AH2832" s="1"/>
    </row>
    <row r="2833" spans="1:34" ht="12.5">
      <c r="A2833" s="1"/>
      <c r="B2833" s="1"/>
      <c r="C2833" s="1"/>
      <c r="D2833" s="1"/>
      <c r="E2833" s="1"/>
      <c r="F2833" s="1"/>
      <c r="G2833" s="1"/>
      <c r="H2833" s="1"/>
      <c r="I2833" s="1"/>
      <c r="J2833" s="1"/>
      <c r="K2833" s="1"/>
      <c r="L2833" s="1"/>
      <c r="M2833" s="1"/>
      <c r="N2833" s="1"/>
      <c r="O2833" s="1"/>
      <c r="P2833" s="1"/>
      <c r="Q2833" s="1"/>
      <c r="R2833" s="1"/>
      <c r="S2833" s="1"/>
      <c r="T2833" s="1"/>
      <c r="U2833" s="1"/>
      <c r="V2833" s="1"/>
      <c r="W2833" s="1"/>
      <c r="X2833" s="1"/>
      <c r="Y2833" s="1"/>
      <c r="Z2833" s="1"/>
      <c r="AA2833" s="1"/>
      <c r="AB2833" s="1"/>
      <c r="AC2833" s="1"/>
      <c r="AD2833" s="1"/>
      <c r="AE2833" s="1"/>
      <c r="AF2833" s="1"/>
      <c r="AG2833" s="1"/>
      <c r="AH2833" s="1"/>
    </row>
    <row r="2834" spans="1:34" ht="12.5">
      <c r="A2834" s="1"/>
      <c r="B2834" s="1"/>
      <c r="C2834" s="1"/>
      <c r="D2834" s="1"/>
      <c r="E2834" s="1"/>
      <c r="F2834" s="1"/>
      <c r="G2834" s="1"/>
      <c r="H2834" s="1"/>
      <c r="I2834" s="1"/>
      <c r="J2834" s="1"/>
      <c r="K2834" s="1"/>
      <c r="L2834" s="1"/>
      <c r="M2834" s="1"/>
      <c r="N2834" s="1"/>
      <c r="O2834" s="1"/>
      <c r="P2834" s="1"/>
      <c r="Q2834" s="1"/>
      <c r="R2834" s="1"/>
      <c r="S2834" s="1"/>
      <c r="T2834" s="1"/>
      <c r="U2834" s="1"/>
      <c r="V2834" s="1"/>
      <c r="W2834" s="1"/>
      <c r="X2834" s="1"/>
      <c r="Y2834" s="1"/>
      <c r="Z2834" s="1"/>
      <c r="AA2834" s="1"/>
      <c r="AB2834" s="1"/>
      <c r="AC2834" s="1"/>
      <c r="AD2834" s="1"/>
      <c r="AE2834" s="1"/>
      <c r="AF2834" s="1"/>
      <c r="AG2834" s="1"/>
      <c r="AH2834" s="1"/>
    </row>
    <row r="2835" spans="1:34" ht="12.5">
      <c r="A2835" s="1"/>
      <c r="B2835" s="1"/>
      <c r="C2835" s="1"/>
      <c r="D2835" s="1"/>
      <c r="E2835" s="1"/>
      <c r="F2835" s="1"/>
      <c r="G2835" s="1"/>
      <c r="H2835" s="1"/>
      <c r="I2835" s="1"/>
      <c r="J2835" s="1"/>
      <c r="K2835" s="1"/>
      <c r="L2835" s="1"/>
      <c r="M2835" s="1"/>
      <c r="N2835" s="1"/>
      <c r="O2835" s="1"/>
      <c r="P2835" s="1"/>
      <c r="Q2835" s="1"/>
      <c r="R2835" s="1"/>
      <c r="S2835" s="1"/>
      <c r="T2835" s="1"/>
      <c r="U2835" s="1"/>
      <c r="V2835" s="1"/>
      <c r="W2835" s="1"/>
      <c r="X2835" s="1"/>
      <c r="Y2835" s="1"/>
      <c r="Z2835" s="1"/>
      <c r="AA2835" s="1"/>
      <c r="AB2835" s="1"/>
      <c r="AC2835" s="1"/>
      <c r="AD2835" s="1"/>
      <c r="AE2835" s="1"/>
      <c r="AF2835" s="1"/>
      <c r="AG2835" s="1"/>
      <c r="AH2835" s="1"/>
    </row>
    <row r="2836" spans="1:34" ht="12.5">
      <c r="A2836" s="1"/>
      <c r="B2836" s="1"/>
      <c r="C2836" s="1"/>
      <c r="D2836" s="1"/>
      <c r="E2836" s="1"/>
      <c r="F2836" s="1"/>
      <c r="G2836" s="1"/>
      <c r="H2836" s="1"/>
      <c r="I2836" s="1"/>
      <c r="J2836" s="1"/>
      <c r="K2836" s="1"/>
      <c r="L2836" s="1"/>
      <c r="M2836" s="1"/>
      <c r="N2836" s="1"/>
      <c r="O2836" s="1"/>
      <c r="P2836" s="1"/>
      <c r="Q2836" s="1"/>
      <c r="R2836" s="1"/>
      <c r="S2836" s="1"/>
      <c r="T2836" s="1"/>
      <c r="U2836" s="1"/>
      <c r="V2836" s="1"/>
      <c r="W2836" s="1"/>
      <c r="X2836" s="1"/>
      <c r="Y2836" s="1"/>
      <c r="Z2836" s="1"/>
      <c r="AA2836" s="1"/>
      <c r="AB2836" s="1"/>
      <c r="AC2836" s="1"/>
      <c r="AD2836" s="1"/>
      <c r="AE2836" s="1"/>
      <c r="AF2836" s="1"/>
      <c r="AG2836" s="1"/>
      <c r="AH2836" s="1"/>
    </row>
    <row r="2837" spans="1:34" ht="12.5">
      <c r="A2837" s="1"/>
      <c r="B2837" s="1"/>
      <c r="C2837" s="1"/>
      <c r="D2837" s="1"/>
      <c r="E2837" s="1"/>
      <c r="F2837" s="1"/>
      <c r="G2837" s="1"/>
      <c r="H2837" s="1"/>
      <c r="I2837" s="1"/>
      <c r="J2837" s="1"/>
      <c r="K2837" s="1"/>
      <c r="L2837" s="1"/>
      <c r="M2837" s="1"/>
      <c r="N2837" s="1"/>
      <c r="O2837" s="1"/>
      <c r="P2837" s="1"/>
      <c r="Q2837" s="1"/>
      <c r="R2837" s="1"/>
      <c r="S2837" s="1"/>
      <c r="T2837" s="1"/>
      <c r="U2837" s="1"/>
      <c r="V2837" s="1"/>
      <c r="W2837" s="1"/>
      <c r="X2837" s="1"/>
      <c r="Y2837" s="1"/>
      <c r="Z2837" s="1"/>
      <c r="AA2837" s="1"/>
      <c r="AB2837" s="1"/>
      <c r="AC2837" s="1"/>
      <c r="AD2837" s="1"/>
      <c r="AE2837" s="1"/>
      <c r="AF2837" s="1"/>
      <c r="AG2837" s="1"/>
      <c r="AH2837" s="1"/>
    </row>
    <row r="2838" spans="1:34" ht="12.5">
      <c r="A2838" s="1"/>
      <c r="B2838" s="1"/>
      <c r="C2838" s="1"/>
      <c r="D2838" s="1"/>
      <c r="E2838" s="1"/>
      <c r="F2838" s="1"/>
      <c r="G2838" s="1"/>
      <c r="H2838" s="1"/>
      <c r="I2838" s="1"/>
      <c r="J2838" s="1"/>
      <c r="K2838" s="1"/>
      <c r="L2838" s="1"/>
      <c r="M2838" s="1"/>
      <c r="N2838" s="1"/>
      <c r="O2838" s="1"/>
      <c r="P2838" s="1"/>
      <c r="Q2838" s="1"/>
      <c r="R2838" s="1"/>
      <c r="S2838" s="1"/>
      <c r="T2838" s="1"/>
      <c r="U2838" s="1"/>
      <c r="V2838" s="1"/>
      <c r="W2838" s="1"/>
      <c r="X2838" s="1"/>
      <c r="Y2838" s="1"/>
      <c r="Z2838" s="1"/>
      <c r="AA2838" s="1"/>
      <c r="AB2838" s="1"/>
      <c r="AC2838" s="1"/>
      <c r="AD2838" s="1"/>
      <c r="AE2838" s="1"/>
      <c r="AF2838" s="1"/>
      <c r="AG2838" s="1"/>
      <c r="AH2838" s="1"/>
    </row>
    <row r="2839" spans="1:34" ht="12.5">
      <c r="A2839" s="1"/>
      <c r="B2839" s="1"/>
      <c r="C2839" s="1"/>
      <c r="D2839" s="1"/>
      <c r="E2839" s="1"/>
      <c r="F2839" s="1"/>
      <c r="G2839" s="1"/>
      <c r="H2839" s="1"/>
      <c r="I2839" s="1"/>
      <c r="J2839" s="1"/>
      <c r="K2839" s="1"/>
      <c r="L2839" s="1"/>
      <c r="M2839" s="1"/>
      <c r="N2839" s="1"/>
      <c r="O2839" s="1"/>
      <c r="P2839" s="1"/>
      <c r="Q2839" s="1"/>
      <c r="R2839" s="1"/>
      <c r="S2839" s="1"/>
      <c r="T2839" s="1"/>
      <c r="U2839" s="1"/>
      <c r="V2839" s="1"/>
      <c r="W2839" s="1"/>
      <c r="X2839" s="1"/>
      <c r="Y2839" s="1"/>
      <c r="Z2839" s="1"/>
      <c r="AA2839" s="1"/>
      <c r="AB2839" s="1"/>
      <c r="AC2839" s="1"/>
      <c r="AD2839" s="1"/>
      <c r="AE2839" s="1"/>
      <c r="AF2839" s="1"/>
      <c r="AG2839" s="1"/>
      <c r="AH2839" s="1"/>
    </row>
    <row r="2840" spans="1:34" ht="12.5">
      <c r="A2840" s="1"/>
      <c r="B2840" s="1"/>
      <c r="C2840" s="1"/>
      <c r="D2840" s="1"/>
      <c r="E2840" s="1"/>
      <c r="F2840" s="1"/>
      <c r="G2840" s="1"/>
      <c r="H2840" s="1"/>
      <c r="I2840" s="1"/>
      <c r="J2840" s="1"/>
      <c r="K2840" s="1"/>
      <c r="L2840" s="1"/>
      <c r="M2840" s="1"/>
      <c r="N2840" s="1"/>
      <c r="O2840" s="1"/>
      <c r="P2840" s="1"/>
      <c r="Q2840" s="1"/>
      <c r="R2840" s="1"/>
      <c r="S2840" s="1"/>
      <c r="T2840" s="1"/>
      <c r="U2840" s="1"/>
      <c r="V2840" s="1"/>
      <c r="W2840" s="1"/>
      <c r="X2840" s="1"/>
      <c r="Y2840" s="1"/>
      <c r="Z2840" s="1"/>
      <c r="AA2840" s="1"/>
      <c r="AB2840" s="1"/>
      <c r="AC2840" s="1"/>
      <c r="AD2840" s="1"/>
      <c r="AE2840" s="1"/>
      <c r="AF2840" s="1"/>
      <c r="AG2840" s="1"/>
      <c r="AH2840" s="1"/>
    </row>
    <row r="2841" spans="1:34" ht="12.5">
      <c r="A2841" s="1"/>
      <c r="B2841" s="1"/>
      <c r="C2841" s="1"/>
      <c r="D2841" s="1"/>
      <c r="E2841" s="1"/>
      <c r="F2841" s="1"/>
      <c r="G2841" s="1"/>
      <c r="H2841" s="1"/>
      <c r="I2841" s="1"/>
      <c r="J2841" s="1"/>
      <c r="K2841" s="1"/>
      <c r="L2841" s="1"/>
      <c r="M2841" s="1"/>
      <c r="N2841" s="1"/>
      <c r="O2841" s="1"/>
      <c r="P2841" s="1"/>
      <c r="Q2841" s="1"/>
      <c r="R2841" s="1"/>
      <c r="S2841" s="1"/>
      <c r="T2841" s="1"/>
      <c r="U2841" s="1"/>
      <c r="V2841" s="1"/>
      <c r="W2841" s="1"/>
      <c r="X2841" s="1"/>
      <c r="Y2841" s="1"/>
      <c r="Z2841" s="1"/>
      <c r="AA2841" s="1"/>
      <c r="AB2841" s="1"/>
      <c r="AC2841" s="1"/>
      <c r="AD2841" s="1"/>
      <c r="AE2841" s="1"/>
      <c r="AF2841" s="1"/>
      <c r="AG2841" s="1"/>
      <c r="AH2841" s="1"/>
    </row>
    <row r="2842" spans="1:34" ht="12.5">
      <c r="A2842" s="1"/>
      <c r="B2842" s="1"/>
      <c r="C2842" s="1"/>
      <c r="D2842" s="1"/>
      <c r="E2842" s="1"/>
      <c r="F2842" s="1"/>
      <c r="G2842" s="1"/>
      <c r="H2842" s="1"/>
      <c r="I2842" s="1"/>
      <c r="J2842" s="1"/>
      <c r="K2842" s="1"/>
      <c r="L2842" s="1"/>
      <c r="M2842" s="1"/>
      <c r="N2842" s="1"/>
      <c r="O2842" s="1"/>
      <c r="P2842" s="1"/>
      <c r="Q2842" s="1"/>
      <c r="R2842" s="1"/>
      <c r="S2842" s="1"/>
      <c r="T2842" s="1"/>
      <c r="U2842" s="1"/>
      <c r="V2842" s="1"/>
      <c r="W2842" s="1"/>
      <c r="X2842" s="1"/>
      <c r="Y2842" s="1"/>
      <c r="Z2842" s="1"/>
      <c r="AA2842" s="1"/>
      <c r="AB2842" s="1"/>
      <c r="AC2842" s="1"/>
      <c r="AD2842" s="1"/>
      <c r="AE2842" s="1"/>
      <c r="AF2842" s="1"/>
      <c r="AG2842" s="1"/>
      <c r="AH2842" s="1"/>
    </row>
    <row r="2843" spans="1:34" ht="12.5">
      <c r="A2843" s="1"/>
      <c r="B2843" s="1"/>
      <c r="C2843" s="1"/>
      <c r="D2843" s="1"/>
      <c r="E2843" s="1"/>
      <c r="F2843" s="1"/>
      <c r="G2843" s="1"/>
      <c r="H2843" s="1"/>
      <c r="I2843" s="1"/>
      <c r="J2843" s="1"/>
      <c r="K2843" s="1"/>
      <c r="L2843" s="1"/>
      <c r="M2843" s="1"/>
      <c r="N2843" s="1"/>
      <c r="O2843" s="1"/>
      <c r="P2843" s="1"/>
      <c r="Q2843" s="1"/>
      <c r="R2843" s="1"/>
      <c r="S2843" s="1"/>
      <c r="T2843" s="1"/>
      <c r="U2843" s="1"/>
      <c r="V2843" s="1"/>
      <c r="W2843" s="1"/>
      <c r="X2843" s="1"/>
      <c r="Y2843" s="1"/>
      <c r="Z2843" s="1"/>
      <c r="AA2843" s="1"/>
      <c r="AB2843" s="1"/>
      <c r="AC2843" s="1"/>
      <c r="AD2843" s="1"/>
      <c r="AE2843" s="1"/>
      <c r="AF2843" s="1"/>
      <c r="AG2843" s="1"/>
      <c r="AH2843" s="1"/>
    </row>
    <row r="2844" spans="1:34" ht="12.5">
      <c r="A2844" s="1"/>
      <c r="B2844" s="1"/>
      <c r="C2844" s="1"/>
      <c r="D2844" s="1"/>
      <c r="E2844" s="1"/>
      <c r="F2844" s="1"/>
      <c r="G2844" s="1"/>
      <c r="H2844" s="1"/>
      <c r="I2844" s="1"/>
      <c r="J2844" s="1"/>
      <c r="K2844" s="1"/>
      <c r="L2844" s="1"/>
      <c r="M2844" s="1"/>
      <c r="N2844" s="1"/>
      <c r="O2844" s="1"/>
      <c r="P2844" s="1"/>
      <c r="Q2844" s="1"/>
      <c r="R2844" s="1"/>
      <c r="S2844" s="1"/>
      <c r="T2844" s="1"/>
      <c r="U2844" s="1"/>
      <c r="V2844" s="1"/>
      <c r="W2844" s="1"/>
      <c r="X2844" s="1"/>
      <c r="Y2844" s="1"/>
      <c r="Z2844" s="1"/>
      <c r="AA2844" s="1"/>
      <c r="AB2844" s="1"/>
      <c r="AC2844" s="1"/>
      <c r="AD2844" s="1"/>
      <c r="AE2844" s="1"/>
      <c r="AF2844" s="1"/>
      <c r="AG2844" s="1"/>
      <c r="AH2844" s="1"/>
    </row>
    <row r="2845" spans="1:34" ht="12.5">
      <c r="A2845" s="1"/>
      <c r="B2845" s="1"/>
      <c r="C2845" s="1"/>
      <c r="D2845" s="1"/>
      <c r="E2845" s="1"/>
      <c r="F2845" s="1"/>
      <c r="G2845" s="1"/>
      <c r="H2845" s="1"/>
      <c r="I2845" s="1"/>
      <c r="J2845" s="1"/>
      <c r="K2845" s="1"/>
      <c r="L2845" s="1"/>
      <c r="M2845" s="1"/>
      <c r="N2845" s="1"/>
      <c r="O2845" s="1"/>
      <c r="P2845" s="1"/>
      <c r="Q2845" s="1"/>
      <c r="R2845" s="1"/>
      <c r="S2845" s="1"/>
      <c r="T2845" s="1"/>
      <c r="U2845" s="1"/>
      <c r="V2845" s="1"/>
      <c r="W2845" s="1"/>
      <c r="X2845" s="1"/>
      <c r="Y2845" s="1"/>
      <c r="Z2845" s="1"/>
      <c r="AA2845" s="1"/>
      <c r="AB2845" s="1"/>
      <c r="AC2845" s="1"/>
      <c r="AD2845" s="1"/>
      <c r="AE2845" s="1"/>
      <c r="AF2845" s="1"/>
      <c r="AG2845" s="1"/>
      <c r="AH2845" s="1"/>
    </row>
    <row r="2846" spans="1:34" ht="12.5">
      <c r="A2846" s="1"/>
      <c r="B2846" s="1"/>
      <c r="C2846" s="1"/>
      <c r="D2846" s="1"/>
      <c r="E2846" s="1"/>
      <c r="F2846" s="1"/>
      <c r="G2846" s="1"/>
      <c r="H2846" s="1"/>
      <c r="I2846" s="1"/>
      <c r="J2846" s="1"/>
      <c r="K2846" s="1"/>
      <c r="L2846" s="1"/>
      <c r="M2846" s="1"/>
      <c r="N2846" s="1"/>
      <c r="O2846" s="1"/>
      <c r="P2846" s="1"/>
      <c r="Q2846" s="1"/>
      <c r="R2846" s="1"/>
      <c r="S2846" s="1"/>
      <c r="T2846" s="1"/>
      <c r="U2846" s="1"/>
      <c r="V2846" s="1"/>
      <c r="W2846" s="1"/>
      <c r="X2846" s="1"/>
      <c r="Y2846" s="1"/>
      <c r="Z2846" s="1"/>
      <c r="AA2846" s="1"/>
      <c r="AB2846" s="1"/>
      <c r="AC2846" s="1"/>
      <c r="AD2846" s="1"/>
      <c r="AE2846" s="1"/>
      <c r="AF2846" s="1"/>
      <c r="AG2846" s="1"/>
      <c r="AH2846" s="1"/>
    </row>
    <row r="2847" spans="1:34" ht="12.5">
      <c r="A2847" s="1"/>
      <c r="B2847" s="1"/>
      <c r="C2847" s="1"/>
      <c r="D2847" s="1"/>
      <c r="E2847" s="1"/>
      <c r="F2847" s="1"/>
      <c r="G2847" s="1"/>
      <c r="H2847" s="1"/>
      <c r="I2847" s="1"/>
      <c r="J2847" s="1"/>
      <c r="K2847" s="1"/>
      <c r="L2847" s="1"/>
      <c r="M2847" s="1"/>
      <c r="N2847" s="1"/>
      <c r="O2847" s="1"/>
      <c r="P2847" s="1"/>
      <c r="Q2847" s="1"/>
      <c r="R2847" s="1"/>
      <c r="S2847" s="1"/>
      <c r="T2847" s="1"/>
      <c r="U2847" s="1"/>
      <c r="V2847" s="1"/>
      <c r="W2847" s="1"/>
      <c r="X2847" s="1"/>
      <c r="Y2847" s="1"/>
      <c r="Z2847" s="1"/>
      <c r="AA2847" s="1"/>
      <c r="AB2847" s="1"/>
      <c r="AC2847" s="1"/>
      <c r="AD2847" s="1"/>
      <c r="AE2847" s="1"/>
      <c r="AF2847" s="1"/>
      <c r="AG2847" s="1"/>
      <c r="AH2847" s="1"/>
    </row>
    <row r="2848" spans="1:34" ht="12.5">
      <c r="A2848" s="1"/>
      <c r="B2848" s="1"/>
      <c r="C2848" s="1"/>
      <c r="D2848" s="1"/>
      <c r="E2848" s="1"/>
      <c r="F2848" s="1"/>
      <c r="G2848" s="1"/>
      <c r="H2848" s="1"/>
      <c r="I2848" s="1"/>
      <c r="J2848" s="1"/>
      <c r="K2848" s="1"/>
      <c r="L2848" s="1"/>
      <c r="M2848" s="1"/>
      <c r="N2848" s="1"/>
      <c r="O2848" s="1"/>
      <c r="P2848" s="1"/>
      <c r="Q2848" s="1"/>
      <c r="R2848" s="1"/>
      <c r="S2848" s="1"/>
      <c r="T2848" s="1"/>
      <c r="U2848" s="1"/>
      <c r="V2848" s="1"/>
      <c r="W2848" s="1"/>
      <c r="X2848" s="1"/>
      <c r="Y2848" s="1"/>
      <c r="Z2848" s="1"/>
      <c r="AA2848" s="1"/>
      <c r="AB2848" s="1"/>
      <c r="AC2848" s="1"/>
      <c r="AD2848" s="1"/>
      <c r="AE2848" s="1"/>
      <c r="AF2848" s="1"/>
      <c r="AG2848" s="1"/>
      <c r="AH2848" s="1"/>
    </row>
    <row r="2849" spans="1:34" ht="12.5">
      <c r="A2849" s="1"/>
      <c r="B2849" s="1"/>
      <c r="C2849" s="1"/>
      <c r="D2849" s="1"/>
      <c r="E2849" s="1"/>
      <c r="F2849" s="1"/>
      <c r="G2849" s="1"/>
      <c r="H2849" s="1"/>
      <c r="I2849" s="1"/>
      <c r="J2849" s="1"/>
      <c r="K2849" s="1"/>
      <c r="L2849" s="1"/>
      <c r="M2849" s="1"/>
      <c r="N2849" s="1"/>
      <c r="O2849" s="1"/>
      <c r="P2849" s="1"/>
      <c r="Q2849" s="1"/>
      <c r="R2849" s="1"/>
      <c r="S2849" s="1"/>
      <c r="T2849" s="1"/>
      <c r="U2849" s="1"/>
      <c r="V2849" s="1"/>
      <c r="W2849" s="1"/>
      <c r="X2849" s="1"/>
      <c r="Y2849" s="1"/>
      <c r="Z2849" s="1"/>
      <c r="AA2849" s="1"/>
      <c r="AB2849" s="1"/>
      <c r="AC2849" s="1"/>
      <c r="AD2849" s="1"/>
      <c r="AE2849" s="1"/>
      <c r="AF2849" s="1"/>
      <c r="AG2849" s="1"/>
      <c r="AH2849" s="1"/>
    </row>
    <row r="2850" spans="1:34" ht="12.5">
      <c r="A2850" s="1"/>
      <c r="B2850" s="1"/>
      <c r="C2850" s="1"/>
      <c r="D2850" s="1"/>
      <c r="E2850" s="1"/>
      <c r="F2850" s="1"/>
      <c r="G2850" s="1"/>
      <c r="H2850" s="1"/>
      <c r="I2850" s="1"/>
      <c r="J2850" s="1"/>
      <c r="K2850" s="1"/>
      <c r="L2850" s="1"/>
      <c r="M2850" s="1"/>
      <c r="N2850" s="1"/>
      <c r="O2850" s="1"/>
      <c r="P2850" s="1"/>
      <c r="Q2850" s="1"/>
      <c r="R2850" s="1"/>
      <c r="S2850" s="1"/>
      <c r="T2850" s="1"/>
      <c r="U2850" s="1"/>
      <c r="V2850" s="1"/>
      <c r="W2850" s="1"/>
      <c r="X2850" s="1"/>
      <c r="Y2850" s="1"/>
      <c r="Z2850" s="1"/>
      <c r="AA2850" s="1"/>
      <c r="AB2850" s="1"/>
      <c r="AC2850" s="1"/>
      <c r="AD2850" s="1"/>
      <c r="AE2850" s="1"/>
      <c r="AF2850" s="1"/>
      <c r="AG2850" s="1"/>
      <c r="AH2850" s="1"/>
    </row>
    <row r="2851" spans="1:34" ht="12.5">
      <c r="A2851" s="1"/>
      <c r="B2851" s="1"/>
      <c r="C2851" s="1"/>
      <c r="D2851" s="1"/>
      <c r="E2851" s="1"/>
      <c r="F2851" s="1"/>
      <c r="G2851" s="1"/>
      <c r="H2851" s="1"/>
      <c r="I2851" s="1"/>
      <c r="J2851" s="1"/>
      <c r="K2851" s="1"/>
      <c r="L2851" s="1"/>
      <c r="M2851" s="1"/>
      <c r="N2851" s="1"/>
      <c r="O2851" s="1"/>
      <c r="P2851" s="1"/>
      <c r="Q2851" s="1"/>
      <c r="R2851" s="1"/>
      <c r="S2851" s="1"/>
      <c r="T2851" s="1"/>
      <c r="U2851" s="1"/>
      <c r="V2851" s="1"/>
      <c r="W2851" s="1"/>
      <c r="X2851" s="1"/>
      <c r="Y2851" s="1"/>
      <c r="Z2851" s="1"/>
      <c r="AA2851" s="1"/>
      <c r="AB2851" s="1"/>
      <c r="AC2851" s="1"/>
      <c r="AD2851" s="1"/>
      <c r="AE2851" s="1"/>
      <c r="AF2851" s="1"/>
      <c r="AG2851" s="1"/>
      <c r="AH2851" s="1"/>
    </row>
    <row r="2852" spans="1:34" ht="12.5">
      <c r="A2852" s="1"/>
      <c r="B2852" s="1"/>
      <c r="C2852" s="1"/>
      <c r="D2852" s="1"/>
      <c r="E2852" s="1"/>
      <c r="F2852" s="1"/>
      <c r="G2852" s="1"/>
      <c r="H2852" s="1"/>
      <c r="I2852" s="1"/>
      <c r="J2852" s="1"/>
      <c r="K2852" s="1"/>
      <c r="L2852" s="1"/>
      <c r="M2852" s="1"/>
      <c r="N2852" s="1"/>
      <c r="O2852" s="1"/>
      <c r="P2852" s="1"/>
      <c r="Q2852" s="1"/>
      <c r="R2852" s="1"/>
      <c r="S2852" s="1"/>
      <c r="T2852" s="1"/>
      <c r="U2852" s="1"/>
      <c r="V2852" s="1"/>
      <c r="W2852" s="1"/>
      <c r="X2852" s="1"/>
      <c r="Y2852" s="1"/>
      <c r="Z2852" s="1"/>
      <c r="AA2852" s="1"/>
      <c r="AB2852" s="1"/>
      <c r="AC2852" s="1"/>
      <c r="AD2852" s="1"/>
      <c r="AE2852" s="1"/>
      <c r="AF2852" s="1"/>
      <c r="AG2852" s="1"/>
      <c r="AH2852" s="1"/>
    </row>
    <row r="2853" spans="1:34" ht="12.5">
      <c r="A2853" s="1"/>
      <c r="B2853" s="1"/>
      <c r="C2853" s="1"/>
      <c r="D2853" s="1"/>
      <c r="E2853" s="1"/>
      <c r="F2853" s="1"/>
      <c r="G2853" s="1"/>
      <c r="H2853" s="1"/>
      <c r="I2853" s="1"/>
      <c r="J2853" s="1"/>
      <c r="K2853" s="1"/>
      <c r="L2853" s="1"/>
      <c r="M2853" s="1"/>
      <c r="N2853" s="1"/>
      <c r="O2853" s="1"/>
      <c r="P2853" s="1"/>
      <c r="Q2853" s="1"/>
      <c r="R2853" s="1"/>
      <c r="S2853" s="1"/>
      <c r="T2853" s="1"/>
      <c r="U2853" s="1"/>
      <c r="V2853" s="1"/>
      <c r="W2853" s="1"/>
      <c r="X2853" s="1"/>
      <c r="Y2853" s="1"/>
      <c r="Z2853" s="1"/>
      <c r="AA2853" s="1"/>
      <c r="AB2853" s="1"/>
      <c r="AC2853" s="1"/>
      <c r="AD2853" s="1"/>
      <c r="AE2853" s="1"/>
      <c r="AF2853" s="1"/>
      <c r="AG2853" s="1"/>
      <c r="AH2853" s="1"/>
    </row>
    <row r="2854" spans="1:34" ht="12.5">
      <c r="A2854" s="1"/>
      <c r="B2854" s="1"/>
      <c r="C2854" s="1"/>
      <c r="D2854" s="1"/>
      <c r="E2854" s="1"/>
      <c r="F2854" s="1"/>
      <c r="G2854" s="1"/>
      <c r="H2854" s="1"/>
      <c r="I2854" s="1"/>
      <c r="J2854" s="1"/>
      <c r="K2854" s="1"/>
      <c r="L2854" s="1"/>
      <c r="M2854" s="1"/>
      <c r="N2854" s="1"/>
      <c r="O2854" s="1"/>
      <c r="P2854" s="1"/>
      <c r="Q2854" s="1"/>
      <c r="R2854" s="1"/>
      <c r="S2854" s="1"/>
      <c r="T2854" s="1"/>
      <c r="U2854" s="1"/>
      <c r="V2854" s="1"/>
      <c r="W2854" s="1"/>
      <c r="X2854" s="1"/>
      <c r="Y2854" s="1"/>
      <c r="Z2854" s="1"/>
      <c r="AA2854" s="1"/>
      <c r="AB2854" s="1"/>
      <c r="AC2854" s="1"/>
      <c r="AD2854" s="1"/>
      <c r="AE2854" s="1"/>
      <c r="AF2854" s="1"/>
      <c r="AG2854" s="1"/>
      <c r="AH2854" s="1"/>
    </row>
    <row r="2855" spans="1:34" ht="12.5">
      <c r="A2855" s="1"/>
      <c r="B2855" s="1"/>
      <c r="C2855" s="1"/>
      <c r="D2855" s="1"/>
      <c r="E2855" s="1"/>
      <c r="F2855" s="1"/>
      <c r="G2855" s="1"/>
      <c r="H2855" s="1"/>
      <c r="I2855" s="1"/>
      <c r="J2855" s="1"/>
      <c r="K2855" s="1"/>
      <c r="L2855" s="1"/>
      <c r="M2855" s="1"/>
      <c r="N2855" s="1"/>
      <c r="O2855" s="1"/>
      <c r="P2855" s="1"/>
      <c r="Q2855" s="1"/>
      <c r="R2855" s="1"/>
      <c r="S2855" s="1"/>
      <c r="T2855" s="1"/>
      <c r="U2855" s="1"/>
      <c r="V2855" s="1"/>
      <c r="W2855" s="1"/>
      <c r="X2855" s="1"/>
      <c r="Y2855" s="1"/>
      <c r="Z2855" s="1"/>
      <c r="AA2855" s="1"/>
      <c r="AB2855" s="1"/>
      <c r="AC2855" s="1"/>
      <c r="AD2855" s="1"/>
      <c r="AE2855" s="1"/>
      <c r="AF2855" s="1"/>
      <c r="AG2855" s="1"/>
      <c r="AH2855" s="1"/>
    </row>
    <row r="2856" spans="1:34" ht="12.5">
      <c r="A2856" s="1"/>
      <c r="B2856" s="1"/>
      <c r="C2856" s="1"/>
      <c r="D2856" s="1"/>
      <c r="E2856" s="1"/>
      <c r="F2856" s="1"/>
      <c r="G2856" s="1"/>
      <c r="H2856" s="1"/>
      <c r="I2856" s="1"/>
      <c r="J2856" s="1"/>
      <c r="K2856" s="1"/>
      <c r="L2856" s="1"/>
      <c r="M2856" s="1"/>
      <c r="N2856" s="1"/>
      <c r="O2856" s="1"/>
      <c r="P2856" s="1"/>
      <c r="Q2856" s="1"/>
      <c r="R2856" s="1"/>
      <c r="S2856" s="1"/>
      <c r="T2856" s="1"/>
      <c r="U2856" s="1"/>
      <c r="V2856" s="1"/>
      <c r="W2856" s="1"/>
      <c r="X2856" s="1"/>
      <c r="Y2856" s="1"/>
      <c r="Z2856" s="1"/>
      <c r="AA2856" s="1"/>
      <c r="AB2856" s="1"/>
      <c r="AC2856" s="1"/>
      <c r="AD2856" s="1"/>
      <c r="AE2856" s="1"/>
      <c r="AF2856" s="1"/>
      <c r="AG2856" s="1"/>
      <c r="AH2856" s="1"/>
    </row>
    <row r="2857" spans="1:34" ht="12.5">
      <c r="A2857" s="1"/>
      <c r="B2857" s="1"/>
      <c r="C2857" s="1"/>
      <c r="D2857" s="1"/>
      <c r="E2857" s="1"/>
      <c r="F2857" s="1"/>
      <c r="G2857" s="1"/>
      <c r="H2857" s="1"/>
      <c r="I2857" s="1"/>
      <c r="J2857" s="1"/>
      <c r="K2857" s="1"/>
      <c r="L2857" s="1"/>
      <c r="M2857" s="1"/>
      <c r="N2857" s="1"/>
      <c r="O2857" s="1"/>
      <c r="P2857" s="1"/>
      <c r="Q2857" s="1"/>
      <c r="R2857" s="1"/>
      <c r="S2857" s="1"/>
      <c r="T2857" s="1"/>
      <c r="U2857" s="1"/>
      <c r="V2857" s="1"/>
      <c r="W2857" s="1"/>
      <c r="X2857" s="1"/>
      <c r="Y2857" s="1"/>
      <c r="Z2857" s="1"/>
      <c r="AA2857" s="1"/>
      <c r="AB2857" s="1"/>
      <c r="AC2857" s="1"/>
      <c r="AD2857" s="1"/>
      <c r="AE2857" s="1"/>
      <c r="AF2857" s="1"/>
      <c r="AG2857" s="1"/>
      <c r="AH2857" s="1"/>
    </row>
    <row r="2858" spans="1:34" ht="12.5">
      <c r="A2858" s="1"/>
      <c r="B2858" s="1"/>
      <c r="C2858" s="1"/>
      <c r="D2858" s="1"/>
      <c r="E2858" s="1"/>
      <c r="F2858" s="1"/>
      <c r="G2858" s="1"/>
      <c r="H2858" s="1"/>
      <c r="I2858" s="1"/>
      <c r="J2858" s="1"/>
      <c r="K2858" s="1"/>
      <c r="L2858" s="1"/>
      <c r="M2858" s="1"/>
      <c r="N2858" s="1"/>
      <c r="O2858" s="1"/>
      <c r="P2858" s="1"/>
      <c r="Q2858" s="1"/>
      <c r="R2858" s="1"/>
      <c r="S2858" s="1"/>
      <c r="T2858" s="1"/>
      <c r="U2858" s="1"/>
      <c r="V2858" s="1"/>
      <c r="W2858" s="1"/>
      <c r="X2858" s="1"/>
      <c r="Y2858" s="1"/>
      <c r="Z2858" s="1"/>
      <c r="AA2858" s="1"/>
      <c r="AB2858" s="1"/>
      <c r="AC2858" s="1"/>
      <c r="AD2858" s="1"/>
      <c r="AE2858" s="1"/>
      <c r="AF2858" s="1"/>
      <c r="AG2858" s="1"/>
      <c r="AH2858" s="1"/>
    </row>
    <row r="2859" spans="1:34" ht="12.5">
      <c r="A2859" s="1"/>
      <c r="B2859" s="1"/>
      <c r="C2859" s="1"/>
      <c r="D2859" s="1"/>
      <c r="E2859" s="1"/>
      <c r="F2859" s="1"/>
      <c r="G2859" s="1"/>
      <c r="H2859" s="1"/>
      <c r="I2859" s="1"/>
      <c r="J2859" s="1"/>
      <c r="K2859" s="1"/>
      <c r="L2859" s="1"/>
      <c r="M2859" s="1"/>
      <c r="N2859" s="1"/>
      <c r="O2859" s="1"/>
      <c r="P2859" s="1"/>
      <c r="Q2859" s="1"/>
      <c r="R2859" s="1"/>
      <c r="S2859" s="1"/>
      <c r="T2859" s="1"/>
      <c r="U2859" s="1"/>
      <c r="V2859" s="1"/>
      <c r="W2859" s="1"/>
      <c r="X2859" s="1"/>
      <c r="Y2859" s="1"/>
      <c r="Z2859" s="1"/>
      <c r="AA2859" s="1"/>
      <c r="AB2859" s="1"/>
      <c r="AC2859" s="1"/>
      <c r="AD2859" s="1"/>
      <c r="AE2859" s="1"/>
      <c r="AF2859" s="1"/>
      <c r="AG2859" s="1"/>
      <c r="AH2859" s="1"/>
    </row>
    <row r="2860" spans="1:34" ht="12.5">
      <c r="A2860" s="1"/>
      <c r="B2860" s="1"/>
      <c r="C2860" s="1"/>
      <c r="D2860" s="1"/>
      <c r="E2860" s="1"/>
      <c r="F2860" s="1"/>
      <c r="G2860" s="1"/>
      <c r="H2860" s="1"/>
      <c r="I2860" s="1"/>
      <c r="J2860" s="1"/>
      <c r="K2860" s="1"/>
      <c r="L2860" s="1"/>
      <c r="M2860" s="1"/>
      <c r="N2860" s="1"/>
      <c r="O2860" s="1"/>
      <c r="P2860" s="1"/>
      <c r="Q2860" s="1"/>
      <c r="R2860" s="1"/>
      <c r="S2860" s="1"/>
      <c r="T2860" s="1"/>
      <c r="U2860" s="1"/>
      <c r="V2860" s="1"/>
      <c r="W2860" s="1"/>
      <c r="X2860" s="1"/>
      <c r="Y2860" s="1"/>
      <c r="Z2860" s="1"/>
      <c r="AA2860" s="1"/>
      <c r="AB2860" s="1"/>
      <c r="AC2860" s="1"/>
      <c r="AD2860" s="1"/>
      <c r="AE2860" s="1"/>
      <c r="AF2860" s="1"/>
      <c r="AG2860" s="1"/>
      <c r="AH2860" s="1"/>
    </row>
    <row r="2861" spans="1:34" ht="12.5">
      <c r="A2861" s="1"/>
      <c r="B2861" s="1"/>
      <c r="C2861" s="1"/>
      <c r="D2861" s="1"/>
      <c r="E2861" s="1"/>
      <c r="F2861" s="1"/>
      <c r="G2861" s="1"/>
      <c r="H2861" s="1"/>
      <c r="I2861" s="1"/>
      <c r="J2861" s="1"/>
      <c r="K2861" s="1"/>
      <c r="L2861" s="1"/>
      <c r="M2861" s="1"/>
      <c r="N2861" s="1"/>
      <c r="O2861" s="1"/>
      <c r="P2861" s="1"/>
      <c r="Q2861" s="1"/>
      <c r="R2861" s="1"/>
      <c r="S2861" s="1"/>
      <c r="T2861" s="1"/>
      <c r="U2861" s="1"/>
      <c r="V2861" s="1"/>
      <c r="W2861" s="1"/>
      <c r="X2861" s="1"/>
      <c r="Y2861" s="1"/>
      <c r="Z2861" s="1"/>
      <c r="AA2861" s="1"/>
      <c r="AB2861" s="1"/>
      <c r="AC2861" s="1"/>
      <c r="AD2861" s="1"/>
      <c r="AE2861" s="1"/>
      <c r="AF2861" s="1"/>
      <c r="AG2861" s="1"/>
      <c r="AH2861" s="1"/>
    </row>
    <row r="2862" spans="1:34" ht="12.5">
      <c r="A2862" s="1"/>
      <c r="B2862" s="1"/>
      <c r="C2862" s="1"/>
      <c r="D2862" s="1"/>
      <c r="E2862" s="1"/>
      <c r="F2862" s="1"/>
      <c r="G2862" s="1"/>
      <c r="H2862" s="1"/>
      <c r="I2862" s="1"/>
      <c r="J2862" s="1"/>
      <c r="K2862" s="1"/>
      <c r="L2862" s="1"/>
      <c r="M2862" s="1"/>
      <c r="N2862" s="1"/>
      <c r="O2862" s="1"/>
      <c r="P2862" s="1"/>
      <c r="Q2862" s="1"/>
      <c r="R2862" s="1"/>
      <c r="S2862" s="1"/>
      <c r="T2862" s="1"/>
      <c r="U2862" s="1"/>
      <c r="V2862" s="1"/>
      <c r="W2862" s="1"/>
      <c r="X2862" s="1"/>
      <c r="Y2862" s="1"/>
      <c r="Z2862" s="1"/>
      <c r="AA2862" s="1"/>
      <c r="AB2862" s="1"/>
      <c r="AC2862" s="1"/>
      <c r="AD2862" s="1"/>
      <c r="AE2862" s="1"/>
      <c r="AF2862" s="1"/>
      <c r="AG2862" s="1"/>
      <c r="AH2862" s="1"/>
    </row>
    <row r="2863" spans="1:34" ht="12.5">
      <c r="A2863" s="1"/>
      <c r="B2863" s="1"/>
      <c r="C2863" s="1"/>
      <c r="D2863" s="1"/>
      <c r="E2863" s="1"/>
      <c r="F2863" s="1"/>
      <c r="G2863" s="1"/>
      <c r="H2863" s="1"/>
      <c r="I2863" s="1"/>
      <c r="J2863" s="1"/>
      <c r="K2863" s="1"/>
      <c r="L2863" s="1"/>
      <c r="M2863" s="1"/>
      <c r="N2863" s="1"/>
      <c r="O2863" s="1"/>
      <c r="P2863" s="1"/>
      <c r="Q2863" s="1"/>
      <c r="R2863" s="1"/>
      <c r="S2863" s="1"/>
      <c r="T2863" s="1"/>
      <c r="U2863" s="1"/>
      <c r="V2863" s="1"/>
      <c r="W2863" s="1"/>
      <c r="X2863" s="1"/>
      <c r="Y2863" s="1"/>
      <c r="Z2863" s="1"/>
      <c r="AA2863" s="1"/>
      <c r="AB2863" s="1"/>
      <c r="AC2863" s="1"/>
      <c r="AD2863" s="1"/>
      <c r="AE2863" s="1"/>
      <c r="AF2863" s="1"/>
      <c r="AG2863" s="1"/>
      <c r="AH2863" s="1"/>
    </row>
    <row r="2864" spans="1:34" ht="12.5">
      <c r="A2864" s="1"/>
      <c r="B2864" s="1"/>
      <c r="C2864" s="1"/>
      <c r="D2864" s="1"/>
      <c r="E2864" s="1"/>
      <c r="F2864" s="1"/>
      <c r="G2864" s="1"/>
      <c r="H2864" s="1"/>
      <c r="I2864" s="1"/>
      <c r="J2864" s="1"/>
      <c r="K2864" s="1"/>
      <c r="L2864" s="1"/>
      <c r="M2864" s="1"/>
      <c r="N2864" s="1"/>
      <c r="O2864" s="1"/>
      <c r="P2864" s="1"/>
      <c r="Q2864" s="1"/>
      <c r="R2864" s="1"/>
      <c r="S2864" s="1"/>
      <c r="T2864" s="1"/>
      <c r="U2864" s="1"/>
      <c r="V2864" s="1"/>
      <c r="W2864" s="1"/>
      <c r="X2864" s="1"/>
      <c r="Y2864" s="1"/>
      <c r="Z2864" s="1"/>
      <c r="AA2864" s="1"/>
      <c r="AB2864" s="1"/>
      <c r="AC2864" s="1"/>
      <c r="AD2864" s="1"/>
      <c r="AE2864" s="1"/>
      <c r="AF2864" s="1"/>
      <c r="AG2864" s="1"/>
      <c r="AH2864" s="1"/>
    </row>
    <row r="2865" spans="1:34" ht="12.5">
      <c r="A2865" s="1"/>
      <c r="B2865" s="1"/>
      <c r="C2865" s="1"/>
      <c r="D2865" s="1"/>
      <c r="E2865" s="1"/>
      <c r="F2865" s="1"/>
      <c r="G2865" s="1"/>
      <c r="H2865" s="1"/>
      <c r="I2865" s="1"/>
      <c r="J2865" s="1"/>
      <c r="K2865" s="1"/>
      <c r="L2865" s="1"/>
      <c r="M2865" s="1"/>
      <c r="N2865" s="1"/>
      <c r="O2865" s="1"/>
      <c r="P2865" s="1"/>
      <c r="Q2865" s="1"/>
      <c r="R2865" s="1"/>
      <c r="S2865" s="1"/>
      <c r="T2865" s="1"/>
      <c r="U2865" s="1"/>
      <c r="V2865" s="1"/>
      <c r="W2865" s="1"/>
      <c r="X2865" s="1"/>
      <c r="Y2865" s="1"/>
      <c r="Z2865" s="1"/>
      <c r="AA2865" s="1"/>
      <c r="AB2865" s="1"/>
      <c r="AC2865" s="1"/>
      <c r="AD2865" s="1"/>
      <c r="AE2865" s="1"/>
      <c r="AF2865" s="1"/>
      <c r="AG2865" s="1"/>
      <c r="AH2865" s="1"/>
    </row>
    <row r="2866" spans="1:34" ht="12.5">
      <c r="A2866" s="1"/>
      <c r="B2866" s="1"/>
      <c r="C2866" s="1"/>
      <c r="D2866" s="1"/>
      <c r="E2866" s="1"/>
      <c r="F2866" s="1"/>
      <c r="G2866" s="1"/>
      <c r="H2866" s="1"/>
      <c r="I2866" s="1"/>
      <c r="J2866" s="1"/>
      <c r="K2866" s="1"/>
      <c r="L2866" s="1"/>
      <c r="M2866" s="1"/>
      <c r="N2866" s="1"/>
      <c r="O2866" s="1"/>
      <c r="P2866" s="1"/>
      <c r="Q2866" s="1"/>
      <c r="R2866" s="1"/>
      <c r="S2866" s="1"/>
      <c r="T2866" s="1"/>
      <c r="U2866" s="1"/>
      <c r="V2866" s="1"/>
      <c r="W2866" s="1"/>
      <c r="X2866" s="1"/>
      <c r="Y2866" s="1"/>
      <c r="Z2866" s="1"/>
      <c r="AA2866" s="1"/>
      <c r="AB2866" s="1"/>
      <c r="AC2866" s="1"/>
      <c r="AD2866" s="1"/>
      <c r="AE2866" s="1"/>
      <c r="AF2866" s="1"/>
      <c r="AG2866" s="1"/>
      <c r="AH2866" s="1"/>
    </row>
    <row r="2867" spans="1:34" ht="12.5">
      <c r="A2867" s="1"/>
      <c r="B2867" s="1"/>
      <c r="C2867" s="1"/>
      <c r="D2867" s="1"/>
      <c r="E2867" s="1"/>
      <c r="F2867" s="1"/>
      <c r="G2867" s="1"/>
      <c r="H2867" s="1"/>
      <c r="I2867" s="1"/>
      <c r="J2867" s="1"/>
      <c r="K2867" s="1"/>
      <c r="L2867" s="1"/>
      <c r="M2867" s="1"/>
      <c r="N2867" s="1"/>
      <c r="O2867" s="1"/>
      <c r="P2867" s="1"/>
      <c r="Q2867" s="1"/>
      <c r="R2867" s="1"/>
      <c r="S2867" s="1"/>
      <c r="T2867" s="1"/>
      <c r="U2867" s="1"/>
      <c r="V2867" s="1"/>
      <c r="W2867" s="1"/>
      <c r="X2867" s="1"/>
      <c r="Y2867" s="1"/>
      <c r="Z2867" s="1"/>
      <c r="AA2867" s="1"/>
      <c r="AB2867" s="1"/>
      <c r="AC2867" s="1"/>
      <c r="AD2867" s="1"/>
      <c r="AE2867" s="1"/>
      <c r="AF2867" s="1"/>
      <c r="AG2867" s="1"/>
      <c r="AH2867" s="1"/>
    </row>
    <row r="2868" spans="1:34" ht="12.5">
      <c r="A2868" s="1"/>
      <c r="B2868" s="1"/>
      <c r="C2868" s="1"/>
      <c r="D2868" s="1"/>
      <c r="E2868" s="1"/>
      <c r="F2868" s="1"/>
      <c r="G2868" s="1"/>
      <c r="H2868" s="1"/>
      <c r="I2868" s="1"/>
      <c r="J2868" s="1"/>
      <c r="K2868" s="1"/>
      <c r="L2868" s="1"/>
      <c r="M2868" s="1"/>
      <c r="N2868" s="1"/>
      <c r="O2868" s="1"/>
      <c r="P2868" s="1"/>
      <c r="Q2868" s="1"/>
      <c r="R2868" s="1"/>
      <c r="S2868" s="1"/>
      <c r="T2868" s="1"/>
      <c r="U2868" s="1"/>
      <c r="V2868" s="1"/>
      <c r="W2868" s="1"/>
      <c r="X2868" s="1"/>
      <c r="Y2868" s="1"/>
      <c r="Z2868" s="1"/>
      <c r="AA2868" s="1"/>
      <c r="AB2868" s="1"/>
      <c r="AC2868" s="1"/>
      <c r="AD2868" s="1"/>
      <c r="AE2868" s="1"/>
      <c r="AF2868" s="1"/>
      <c r="AG2868" s="1"/>
      <c r="AH2868" s="1"/>
    </row>
    <row r="2869" spans="1:34" ht="12.5">
      <c r="A2869" s="1"/>
      <c r="B2869" s="1"/>
      <c r="C2869" s="1"/>
      <c r="D2869" s="1"/>
      <c r="E2869" s="1"/>
      <c r="F2869" s="1"/>
      <c r="G2869" s="1"/>
      <c r="H2869" s="1"/>
      <c r="I2869" s="1"/>
      <c r="J2869" s="1"/>
      <c r="K2869" s="1"/>
      <c r="L2869" s="1"/>
      <c r="M2869" s="1"/>
      <c r="N2869" s="1"/>
      <c r="O2869" s="1"/>
      <c r="P2869" s="1"/>
      <c r="Q2869" s="1"/>
      <c r="R2869" s="1"/>
      <c r="S2869" s="1"/>
      <c r="T2869" s="1"/>
      <c r="U2869" s="1"/>
      <c r="V2869" s="1"/>
      <c r="W2869" s="1"/>
      <c r="X2869" s="1"/>
      <c r="Y2869" s="1"/>
      <c r="Z2869" s="1"/>
      <c r="AA2869" s="1"/>
      <c r="AB2869" s="1"/>
      <c r="AC2869" s="1"/>
      <c r="AD2869" s="1"/>
      <c r="AE2869" s="1"/>
      <c r="AF2869" s="1"/>
      <c r="AG2869" s="1"/>
      <c r="AH2869" s="1"/>
    </row>
    <row r="2870" spans="1:34" ht="12.5">
      <c r="A2870" s="1"/>
      <c r="B2870" s="1"/>
      <c r="C2870" s="1"/>
      <c r="D2870" s="1"/>
      <c r="E2870" s="1"/>
      <c r="F2870" s="1"/>
      <c r="G2870" s="1"/>
      <c r="H2870" s="1"/>
      <c r="I2870" s="1"/>
      <c r="J2870" s="1"/>
      <c r="K2870" s="1"/>
      <c r="L2870" s="1"/>
      <c r="M2870" s="1"/>
      <c r="N2870" s="1"/>
      <c r="O2870" s="1"/>
      <c r="P2870" s="1"/>
      <c r="Q2870" s="1"/>
      <c r="R2870" s="1"/>
      <c r="S2870" s="1"/>
      <c r="T2870" s="1"/>
      <c r="U2870" s="1"/>
      <c r="V2870" s="1"/>
      <c r="W2870" s="1"/>
      <c r="X2870" s="1"/>
      <c r="Y2870" s="1"/>
      <c r="Z2870" s="1"/>
      <c r="AA2870" s="1"/>
      <c r="AB2870" s="1"/>
      <c r="AC2870" s="1"/>
      <c r="AD2870" s="1"/>
      <c r="AE2870" s="1"/>
      <c r="AF2870" s="1"/>
      <c r="AG2870" s="1"/>
      <c r="AH2870" s="1"/>
    </row>
    <row r="2871" spans="1:34" ht="12.5">
      <c r="A2871" s="1"/>
      <c r="B2871" s="1"/>
      <c r="C2871" s="1"/>
      <c r="D2871" s="1"/>
      <c r="E2871" s="1"/>
      <c r="F2871" s="1"/>
      <c r="G2871" s="1"/>
      <c r="H2871" s="1"/>
      <c r="I2871" s="1"/>
      <c r="J2871" s="1"/>
      <c r="K2871" s="1"/>
      <c r="L2871" s="1"/>
      <c r="M2871" s="1"/>
      <c r="N2871" s="1"/>
      <c r="O2871" s="1"/>
      <c r="P2871" s="1"/>
      <c r="Q2871" s="1"/>
      <c r="R2871" s="1"/>
      <c r="S2871" s="1"/>
      <c r="T2871" s="1"/>
      <c r="U2871" s="1"/>
      <c r="V2871" s="1"/>
      <c r="W2871" s="1"/>
      <c r="X2871" s="1"/>
      <c r="Y2871" s="1"/>
      <c r="Z2871" s="1"/>
      <c r="AA2871" s="1"/>
      <c r="AB2871" s="1"/>
      <c r="AC2871" s="1"/>
      <c r="AD2871" s="1"/>
      <c r="AE2871" s="1"/>
      <c r="AF2871" s="1"/>
      <c r="AG2871" s="1"/>
      <c r="AH2871" s="1"/>
    </row>
    <row r="2872" spans="1:34" ht="12.5">
      <c r="A2872" s="1"/>
      <c r="B2872" s="1"/>
      <c r="C2872" s="1"/>
      <c r="D2872" s="1"/>
      <c r="E2872" s="1"/>
      <c r="F2872" s="1"/>
      <c r="G2872" s="1"/>
      <c r="H2872" s="1"/>
      <c r="I2872" s="1"/>
      <c r="J2872" s="1"/>
      <c r="K2872" s="1"/>
      <c r="L2872" s="1"/>
      <c r="M2872" s="1"/>
      <c r="N2872" s="1"/>
      <c r="O2872" s="1"/>
      <c r="P2872" s="1"/>
      <c r="Q2872" s="1"/>
      <c r="R2872" s="1"/>
      <c r="S2872" s="1"/>
      <c r="T2872" s="1"/>
      <c r="U2872" s="1"/>
      <c r="V2872" s="1"/>
      <c r="W2872" s="1"/>
      <c r="X2872" s="1"/>
      <c r="Y2872" s="1"/>
      <c r="Z2872" s="1"/>
      <c r="AA2872" s="1"/>
      <c r="AB2872" s="1"/>
      <c r="AC2872" s="1"/>
      <c r="AD2872" s="1"/>
      <c r="AE2872" s="1"/>
      <c r="AF2872" s="1"/>
      <c r="AG2872" s="1"/>
      <c r="AH2872" s="1"/>
    </row>
    <row r="2873" spans="1:34" ht="12.5">
      <c r="A2873" s="1"/>
      <c r="B2873" s="1"/>
      <c r="C2873" s="1"/>
      <c r="D2873" s="1"/>
      <c r="E2873" s="1"/>
      <c r="F2873" s="1"/>
      <c r="G2873" s="1"/>
      <c r="H2873" s="1"/>
      <c r="I2873" s="1"/>
      <c r="J2873" s="1"/>
      <c r="K2873" s="1"/>
      <c r="L2873" s="1"/>
      <c r="M2873" s="1"/>
      <c r="N2873" s="1"/>
      <c r="O2873" s="1"/>
      <c r="P2873" s="1"/>
      <c r="Q2873" s="1"/>
      <c r="R2873" s="1"/>
      <c r="S2873" s="1"/>
      <c r="T2873" s="1"/>
      <c r="U2873" s="1"/>
      <c r="V2873" s="1"/>
      <c r="W2873" s="1"/>
      <c r="X2873" s="1"/>
      <c r="Y2873" s="1"/>
      <c r="Z2873" s="1"/>
      <c r="AA2873" s="1"/>
      <c r="AB2873" s="1"/>
      <c r="AC2873" s="1"/>
      <c r="AD2873" s="1"/>
      <c r="AE2873" s="1"/>
      <c r="AF2873" s="1"/>
      <c r="AG2873" s="1"/>
      <c r="AH2873" s="1"/>
    </row>
    <row r="2874" spans="1:34" ht="12.5">
      <c r="A2874" s="1"/>
      <c r="B2874" s="1"/>
      <c r="C2874" s="1"/>
      <c r="D2874" s="1"/>
      <c r="E2874" s="1"/>
      <c r="F2874" s="1"/>
      <c r="G2874" s="1"/>
      <c r="H2874" s="1"/>
      <c r="I2874" s="1"/>
      <c r="J2874" s="1"/>
      <c r="K2874" s="1"/>
      <c r="L2874" s="1"/>
      <c r="M2874" s="1"/>
      <c r="N2874" s="1"/>
      <c r="O2874" s="1"/>
      <c r="P2874" s="1"/>
      <c r="Q2874" s="1"/>
      <c r="R2874" s="1"/>
      <c r="S2874" s="1"/>
      <c r="T2874" s="1"/>
      <c r="U2874" s="1"/>
      <c r="V2874" s="1"/>
      <c r="W2874" s="1"/>
      <c r="X2874" s="1"/>
      <c r="Y2874" s="1"/>
      <c r="Z2874" s="1"/>
      <c r="AA2874" s="1"/>
      <c r="AB2874" s="1"/>
      <c r="AC2874" s="1"/>
      <c r="AD2874" s="1"/>
      <c r="AE2874" s="1"/>
      <c r="AF2874" s="1"/>
      <c r="AG2874" s="1"/>
      <c r="AH2874" s="1"/>
    </row>
    <row r="2875" spans="1:34" ht="12.5">
      <c r="A2875" s="1"/>
      <c r="B2875" s="1"/>
      <c r="C2875" s="1"/>
      <c r="D2875" s="1"/>
      <c r="E2875" s="1"/>
      <c r="F2875" s="1"/>
      <c r="G2875" s="1"/>
      <c r="H2875" s="1"/>
      <c r="I2875" s="1"/>
      <c r="J2875" s="1"/>
      <c r="K2875" s="1"/>
      <c r="L2875" s="1"/>
      <c r="M2875" s="1"/>
      <c r="N2875" s="1"/>
      <c r="O2875" s="1"/>
      <c r="P2875" s="1"/>
      <c r="Q2875" s="1"/>
      <c r="R2875" s="1"/>
      <c r="S2875" s="1"/>
      <c r="T2875" s="1"/>
      <c r="U2875" s="1"/>
      <c r="V2875" s="1"/>
      <c r="W2875" s="1"/>
      <c r="X2875" s="1"/>
      <c r="Y2875" s="1"/>
      <c r="Z2875" s="1"/>
      <c r="AA2875" s="1"/>
      <c r="AB2875" s="1"/>
      <c r="AC2875" s="1"/>
      <c r="AD2875" s="1"/>
      <c r="AE2875" s="1"/>
      <c r="AF2875" s="1"/>
      <c r="AG2875" s="1"/>
      <c r="AH2875" s="1"/>
    </row>
    <row r="2876" spans="1:34" ht="12.5">
      <c r="A2876" s="1"/>
      <c r="B2876" s="1"/>
      <c r="C2876" s="1"/>
      <c r="D2876" s="1"/>
      <c r="E2876" s="1"/>
      <c r="F2876" s="1"/>
      <c r="G2876" s="1"/>
      <c r="H2876" s="1"/>
      <c r="I2876" s="1"/>
      <c r="J2876" s="1"/>
      <c r="K2876" s="1"/>
      <c r="L2876" s="1"/>
      <c r="M2876" s="1"/>
      <c r="N2876" s="1"/>
      <c r="O2876" s="1"/>
      <c r="P2876" s="1"/>
      <c r="Q2876" s="1"/>
      <c r="R2876" s="1"/>
      <c r="S2876" s="1"/>
      <c r="T2876" s="1"/>
      <c r="U2876" s="1"/>
      <c r="V2876" s="1"/>
      <c r="W2876" s="1"/>
      <c r="X2876" s="1"/>
      <c r="Y2876" s="1"/>
      <c r="Z2876" s="1"/>
      <c r="AA2876" s="1"/>
      <c r="AB2876" s="1"/>
      <c r="AC2876" s="1"/>
      <c r="AD2876" s="1"/>
      <c r="AE2876" s="1"/>
      <c r="AF2876" s="1"/>
      <c r="AG2876" s="1"/>
      <c r="AH2876" s="1"/>
    </row>
    <row r="2877" spans="1:34" ht="12.5">
      <c r="A2877" s="1"/>
      <c r="B2877" s="1"/>
      <c r="C2877" s="1"/>
      <c r="D2877" s="1"/>
      <c r="E2877" s="1"/>
      <c r="F2877" s="1"/>
      <c r="G2877" s="1"/>
      <c r="H2877" s="1"/>
      <c r="I2877" s="1"/>
      <c r="J2877" s="1"/>
      <c r="K2877" s="1"/>
      <c r="L2877" s="1"/>
      <c r="M2877" s="1"/>
      <c r="N2877" s="1"/>
      <c r="O2877" s="1"/>
      <c r="P2877" s="1"/>
      <c r="Q2877" s="1"/>
      <c r="R2877" s="1"/>
      <c r="S2877" s="1"/>
      <c r="T2877" s="1"/>
      <c r="U2877" s="1"/>
      <c r="V2877" s="1"/>
      <c r="W2877" s="1"/>
      <c r="X2877" s="1"/>
      <c r="Y2877" s="1"/>
      <c r="Z2877" s="1"/>
      <c r="AA2877" s="1"/>
      <c r="AB2877" s="1"/>
      <c r="AC2877" s="1"/>
      <c r="AD2877" s="1"/>
      <c r="AE2877" s="1"/>
      <c r="AF2877" s="1"/>
      <c r="AG2877" s="1"/>
      <c r="AH2877" s="1"/>
    </row>
    <row r="2878" spans="1:34" ht="12.5">
      <c r="A2878" s="1"/>
      <c r="B2878" s="1"/>
      <c r="C2878" s="1"/>
      <c r="D2878" s="1"/>
      <c r="E2878" s="1"/>
      <c r="F2878" s="1"/>
      <c r="G2878" s="1"/>
      <c r="H2878" s="1"/>
      <c r="I2878" s="1"/>
      <c r="J2878" s="1"/>
      <c r="K2878" s="1"/>
      <c r="L2878" s="1"/>
      <c r="M2878" s="1"/>
      <c r="N2878" s="1"/>
      <c r="O2878" s="1"/>
      <c r="P2878" s="1"/>
      <c r="Q2878" s="1"/>
      <c r="R2878" s="1"/>
      <c r="S2878" s="1"/>
      <c r="T2878" s="1"/>
      <c r="U2878" s="1"/>
      <c r="V2878" s="1"/>
      <c r="W2878" s="1"/>
      <c r="X2878" s="1"/>
      <c r="Y2878" s="1"/>
      <c r="Z2878" s="1"/>
      <c r="AA2878" s="1"/>
      <c r="AB2878" s="1"/>
      <c r="AC2878" s="1"/>
      <c r="AD2878" s="1"/>
      <c r="AE2878" s="1"/>
      <c r="AF2878" s="1"/>
      <c r="AG2878" s="1"/>
      <c r="AH2878" s="1"/>
    </row>
    <row r="2879" spans="1:34" ht="12.5">
      <c r="A2879" s="1"/>
      <c r="B2879" s="1"/>
      <c r="C2879" s="1"/>
      <c r="D2879" s="1"/>
      <c r="E2879" s="1"/>
      <c r="F2879" s="1"/>
      <c r="G2879" s="1"/>
      <c r="H2879" s="1"/>
      <c r="I2879" s="1"/>
      <c r="J2879" s="1"/>
      <c r="K2879" s="1"/>
      <c r="L2879" s="1"/>
      <c r="M2879" s="1"/>
      <c r="N2879" s="1"/>
      <c r="O2879" s="1"/>
      <c r="P2879" s="1"/>
      <c r="Q2879" s="1"/>
      <c r="R2879" s="1"/>
      <c r="S2879" s="1"/>
      <c r="T2879" s="1"/>
      <c r="U2879" s="1"/>
      <c r="V2879" s="1"/>
      <c r="W2879" s="1"/>
      <c r="X2879" s="1"/>
      <c r="Y2879" s="1"/>
      <c r="Z2879" s="1"/>
      <c r="AA2879" s="1"/>
      <c r="AB2879" s="1"/>
      <c r="AC2879" s="1"/>
      <c r="AD2879" s="1"/>
      <c r="AE2879" s="1"/>
      <c r="AF2879" s="1"/>
      <c r="AG2879" s="1"/>
      <c r="AH2879" s="1"/>
    </row>
    <row r="2880" spans="1:34" ht="12.5">
      <c r="A2880" s="1"/>
      <c r="B2880" s="1"/>
      <c r="C2880" s="1"/>
      <c r="D2880" s="1"/>
      <c r="E2880" s="1"/>
      <c r="F2880" s="1"/>
      <c r="G2880" s="1"/>
      <c r="H2880" s="1"/>
      <c r="I2880" s="1"/>
      <c r="J2880" s="1"/>
      <c r="K2880" s="1"/>
      <c r="L2880" s="1"/>
      <c r="M2880" s="1"/>
      <c r="N2880" s="1"/>
      <c r="O2880" s="1"/>
      <c r="P2880" s="1"/>
      <c r="Q2880" s="1"/>
      <c r="R2880" s="1"/>
      <c r="S2880" s="1"/>
      <c r="T2880" s="1"/>
      <c r="U2880" s="1"/>
      <c r="V2880" s="1"/>
      <c r="W2880" s="1"/>
      <c r="X2880" s="1"/>
      <c r="Y2880" s="1"/>
      <c r="Z2880" s="1"/>
      <c r="AA2880" s="1"/>
      <c r="AB2880" s="1"/>
      <c r="AC2880" s="1"/>
      <c r="AD2880" s="1"/>
      <c r="AE2880" s="1"/>
      <c r="AF2880" s="1"/>
      <c r="AG2880" s="1"/>
      <c r="AH2880" s="1"/>
    </row>
    <row r="2881" spans="1:34" ht="12.5">
      <c r="A2881" s="1"/>
      <c r="B2881" s="1"/>
      <c r="C2881" s="1"/>
      <c r="D2881" s="1"/>
      <c r="E2881" s="1"/>
      <c r="F2881" s="1"/>
      <c r="G2881" s="1"/>
      <c r="H2881" s="1"/>
      <c r="I2881" s="1"/>
      <c r="J2881" s="1"/>
      <c r="K2881" s="1"/>
      <c r="L2881" s="1"/>
      <c r="M2881" s="1"/>
      <c r="N2881" s="1"/>
      <c r="O2881" s="1"/>
      <c r="P2881" s="1"/>
      <c r="Q2881" s="1"/>
      <c r="R2881" s="1"/>
      <c r="S2881" s="1"/>
      <c r="T2881" s="1"/>
      <c r="U2881" s="1"/>
      <c r="V2881" s="1"/>
      <c r="W2881" s="1"/>
      <c r="X2881" s="1"/>
      <c r="Y2881" s="1"/>
      <c r="Z2881" s="1"/>
      <c r="AA2881" s="1"/>
      <c r="AB2881" s="1"/>
      <c r="AC2881" s="1"/>
      <c r="AD2881" s="1"/>
      <c r="AE2881" s="1"/>
      <c r="AF2881" s="1"/>
      <c r="AG2881" s="1"/>
      <c r="AH2881" s="1"/>
    </row>
    <row r="2882" spans="1:34" ht="12.5">
      <c r="A2882" s="1"/>
      <c r="B2882" s="1"/>
      <c r="C2882" s="1"/>
      <c r="D2882" s="1"/>
      <c r="E2882" s="1"/>
      <c r="F2882" s="1"/>
      <c r="G2882" s="1"/>
      <c r="H2882" s="1"/>
      <c r="I2882" s="1"/>
      <c r="J2882" s="1"/>
      <c r="K2882" s="1"/>
      <c r="L2882" s="1"/>
      <c r="M2882" s="1"/>
      <c r="N2882" s="1"/>
      <c r="O2882" s="1"/>
      <c r="P2882" s="1"/>
      <c r="Q2882" s="1"/>
      <c r="R2882" s="1"/>
      <c r="S2882" s="1"/>
      <c r="T2882" s="1"/>
      <c r="U2882" s="1"/>
      <c r="V2882" s="1"/>
      <c r="W2882" s="1"/>
      <c r="X2882" s="1"/>
      <c r="Y2882" s="1"/>
      <c r="Z2882" s="1"/>
      <c r="AA2882" s="1"/>
      <c r="AB2882" s="1"/>
      <c r="AC2882" s="1"/>
      <c r="AD2882" s="1"/>
      <c r="AE2882" s="1"/>
      <c r="AF2882" s="1"/>
      <c r="AG2882" s="1"/>
      <c r="AH2882" s="1"/>
    </row>
    <row r="2883" spans="1:34" ht="12.5">
      <c r="A2883" s="1"/>
      <c r="B2883" s="1"/>
      <c r="C2883" s="1"/>
      <c r="D2883" s="1"/>
      <c r="E2883" s="1"/>
      <c r="F2883" s="1"/>
      <c r="G2883" s="1"/>
      <c r="H2883" s="1"/>
      <c r="I2883" s="1"/>
      <c r="J2883" s="1"/>
      <c r="K2883" s="1"/>
      <c r="L2883" s="1"/>
      <c r="M2883" s="1"/>
      <c r="N2883" s="1"/>
      <c r="O2883" s="1"/>
      <c r="P2883" s="1"/>
      <c r="Q2883" s="1"/>
      <c r="R2883" s="1"/>
      <c r="S2883" s="1"/>
      <c r="T2883" s="1"/>
      <c r="U2883" s="1"/>
      <c r="V2883" s="1"/>
      <c r="W2883" s="1"/>
      <c r="X2883" s="1"/>
      <c r="Y2883" s="1"/>
      <c r="Z2883" s="1"/>
      <c r="AA2883" s="1"/>
      <c r="AB2883" s="1"/>
      <c r="AC2883" s="1"/>
      <c r="AD2883" s="1"/>
      <c r="AE2883" s="1"/>
      <c r="AF2883" s="1"/>
      <c r="AG2883" s="1"/>
      <c r="AH2883" s="1"/>
    </row>
    <row r="2884" spans="1:34" ht="12.5">
      <c r="A2884" s="1"/>
      <c r="B2884" s="1"/>
      <c r="C2884" s="1"/>
      <c r="D2884" s="1"/>
      <c r="E2884" s="1"/>
      <c r="F2884" s="1"/>
      <c r="G2884" s="1"/>
      <c r="H2884" s="1"/>
      <c r="I2884" s="1"/>
      <c r="J2884" s="1"/>
      <c r="K2884" s="1"/>
      <c r="L2884" s="1"/>
      <c r="M2884" s="1"/>
      <c r="N2884" s="1"/>
      <c r="O2884" s="1"/>
      <c r="P2884" s="1"/>
      <c r="Q2884" s="1"/>
      <c r="R2884" s="1"/>
      <c r="S2884" s="1"/>
      <c r="T2884" s="1"/>
      <c r="U2884" s="1"/>
      <c r="V2884" s="1"/>
      <c r="W2884" s="1"/>
      <c r="X2884" s="1"/>
      <c r="Y2884" s="1"/>
      <c r="Z2884" s="1"/>
      <c r="AA2884" s="1"/>
      <c r="AB2884" s="1"/>
      <c r="AC2884" s="1"/>
      <c r="AD2884" s="1"/>
      <c r="AE2884" s="1"/>
      <c r="AF2884" s="1"/>
      <c r="AG2884" s="1"/>
      <c r="AH2884" s="1"/>
    </row>
    <row r="2885" spans="1:34" ht="12.5">
      <c r="A2885" s="1"/>
      <c r="B2885" s="1"/>
      <c r="C2885" s="1"/>
      <c r="D2885" s="1"/>
      <c r="E2885" s="1"/>
      <c r="F2885" s="1"/>
      <c r="G2885" s="1"/>
      <c r="H2885" s="1"/>
      <c r="I2885" s="1"/>
      <c r="J2885" s="1"/>
      <c r="K2885" s="1"/>
      <c r="L2885" s="1"/>
      <c r="M2885" s="1"/>
      <c r="N2885" s="1"/>
      <c r="O2885" s="1"/>
      <c r="P2885" s="1"/>
      <c r="Q2885" s="1"/>
      <c r="R2885" s="1"/>
      <c r="S2885" s="1"/>
      <c r="T2885" s="1"/>
      <c r="U2885" s="1"/>
      <c r="V2885" s="1"/>
      <c r="W2885" s="1"/>
      <c r="X2885" s="1"/>
      <c r="Y2885" s="1"/>
      <c r="Z2885" s="1"/>
      <c r="AA2885" s="1"/>
      <c r="AB2885" s="1"/>
      <c r="AC2885" s="1"/>
      <c r="AD2885" s="1"/>
      <c r="AE2885" s="1"/>
      <c r="AF2885" s="1"/>
      <c r="AG2885" s="1"/>
      <c r="AH2885" s="1"/>
    </row>
    <row r="2886" spans="1:34" ht="12.5">
      <c r="A2886" s="1"/>
      <c r="B2886" s="1"/>
      <c r="C2886" s="1"/>
      <c r="D2886" s="1"/>
      <c r="E2886" s="1"/>
      <c r="F2886" s="1"/>
      <c r="G2886" s="1"/>
      <c r="H2886" s="1"/>
      <c r="I2886" s="1"/>
      <c r="J2886" s="1"/>
      <c r="K2886" s="1"/>
      <c r="L2886" s="1"/>
      <c r="M2886" s="1"/>
      <c r="N2886" s="1"/>
      <c r="O2886" s="1"/>
      <c r="P2886" s="1"/>
      <c r="Q2886" s="1"/>
      <c r="R2886" s="1"/>
      <c r="S2886" s="1"/>
      <c r="T2886" s="1"/>
      <c r="U2886" s="1"/>
      <c r="V2886" s="1"/>
      <c r="W2886" s="1"/>
      <c r="X2886" s="1"/>
      <c r="Y2886" s="1"/>
      <c r="Z2886" s="1"/>
      <c r="AA2886" s="1"/>
      <c r="AB2886" s="1"/>
      <c r="AC2886" s="1"/>
      <c r="AD2886" s="1"/>
      <c r="AE2886" s="1"/>
      <c r="AF2886" s="1"/>
      <c r="AG2886" s="1"/>
      <c r="AH2886" s="1"/>
    </row>
    <row r="2887" spans="1:34" ht="12.5">
      <c r="A2887" s="1"/>
      <c r="B2887" s="1"/>
      <c r="C2887" s="1"/>
      <c r="D2887" s="1"/>
      <c r="E2887" s="1"/>
      <c r="F2887" s="1"/>
      <c r="G2887" s="1"/>
      <c r="H2887" s="1"/>
      <c r="I2887" s="1"/>
      <c r="J2887" s="1"/>
      <c r="K2887" s="1"/>
      <c r="L2887" s="1"/>
      <c r="M2887" s="1"/>
      <c r="N2887" s="1"/>
      <c r="O2887" s="1"/>
      <c r="P2887" s="1"/>
      <c r="Q2887" s="1"/>
      <c r="R2887" s="1"/>
      <c r="S2887" s="1"/>
      <c r="T2887" s="1"/>
      <c r="U2887" s="1"/>
      <c r="V2887" s="1"/>
      <c r="W2887" s="1"/>
      <c r="X2887" s="1"/>
      <c r="Y2887" s="1"/>
      <c r="Z2887" s="1"/>
      <c r="AA2887" s="1"/>
      <c r="AB2887" s="1"/>
      <c r="AC2887" s="1"/>
      <c r="AD2887" s="1"/>
      <c r="AE2887" s="1"/>
      <c r="AF2887" s="1"/>
      <c r="AG2887" s="1"/>
      <c r="AH2887" s="1"/>
    </row>
    <row r="2888" spans="1:34" ht="12.5">
      <c r="A2888" s="1"/>
      <c r="B2888" s="1"/>
      <c r="C2888" s="1"/>
      <c r="D2888" s="1"/>
      <c r="E2888" s="1"/>
      <c r="F2888" s="1"/>
      <c r="G2888" s="1"/>
      <c r="H2888" s="1"/>
      <c r="I2888" s="1"/>
      <c r="J2888" s="1"/>
      <c r="K2888" s="1"/>
      <c r="L2888" s="1"/>
      <c r="M2888" s="1"/>
      <c r="N2888" s="1"/>
      <c r="O2888" s="1"/>
      <c r="P2888" s="1"/>
      <c r="Q2888" s="1"/>
      <c r="R2888" s="1"/>
      <c r="S2888" s="1"/>
      <c r="T2888" s="1"/>
      <c r="U2888" s="1"/>
      <c r="V2888" s="1"/>
      <c r="W2888" s="1"/>
      <c r="X2888" s="1"/>
      <c r="Y2888" s="1"/>
      <c r="Z2888" s="1"/>
      <c r="AA2888" s="1"/>
      <c r="AB2888" s="1"/>
      <c r="AC2888" s="1"/>
      <c r="AD2888" s="1"/>
      <c r="AE2888" s="1"/>
      <c r="AF2888" s="1"/>
      <c r="AG2888" s="1"/>
      <c r="AH2888" s="1"/>
    </row>
    <row r="2889" spans="1:34" ht="12.5">
      <c r="A2889" s="1"/>
      <c r="B2889" s="1"/>
      <c r="C2889" s="1"/>
      <c r="D2889" s="1"/>
      <c r="E2889" s="1"/>
      <c r="F2889" s="1"/>
      <c r="G2889" s="1"/>
      <c r="H2889" s="1"/>
      <c r="I2889" s="1"/>
      <c r="J2889" s="1"/>
      <c r="K2889" s="1"/>
      <c r="L2889" s="1"/>
      <c r="M2889" s="1"/>
      <c r="N2889" s="1"/>
      <c r="O2889" s="1"/>
      <c r="P2889" s="1"/>
      <c r="Q2889" s="1"/>
      <c r="R2889" s="1"/>
      <c r="S2889" s="1"/>
      <c r="T2889" s="1"/>
      <c r="U2889" s="1"/>
      <c r="V2889" s="1"/>
      <c r="W2889" s="1"/>
      <c r="X2889" s="1"/>
      <c r="Y2889" s="1"/>
      <c r="Z2889" s="1"/>
      <c r="AA2889" s="1"/>
      <c r="AB2889" s="1"/>
      <c r="AC2889" s="1"/>
      <c r="AD2889" s="1"/>
      <c r="AE2889" s="1"/>
      <c r="AF2889" s="1"/>
      <c r="AG2889" s="1"/>
      <c r="AH2889" s="1"/>
    </row>
    <row r="2890" spans="1:34" ht="12.5">
      <c r="A2890" s="1"/>
      <c r="B2890" s="1"/>
      <c r="C2890" s="1"/>
      <c r="D2890" s="1"/>
      <c r="E2890" s="1"/>
      <c r="F2890" s="1"/>
      <c r="G2890" s="1"/>
      <c r="H2890" s="1"/>
      <c r="I2890" s="1"/>
      <c r="J2890" s="1"/>
      <c r="K2890" s="1"/>
      <c r="L2890" s="1"/>
      <c r="M2890" s="1"/>
      <c r="N2890" s="1"/>
      <c r="O2890" s="1"/>
      <c r="P2890" s="1"/>
      <c r="Q2890" s="1"/>
      <c r="R2890" s="1"/>
      <c r="S2890" s="1"/>
      <c r="T2890" s="1"/>
      <c r="U2890" s="1"/>
      <c r="V2890" s="1"/>
      <c r="W2890" s="1"/>
      <c r="X2890" s="1"/>
      <c r="Y2890" s="1"/>
      <c r="Z2890" s="1"/>
      <c r="AA2890" s="1"/>
      <c r="AB2890" s="1"/>
      <c r="AC2890" s="1"/>
      <c r="AD2890" s="1"/>
      <c r="AE2890" s="1"/>
      <c r="AF2890" s="1"/>
      <c r="AG2890" s="1"/>
      <c r="AH2890" s="1"/>
    </row>
    <row r="2891" spans="1:34" ht="12.5">
      <c r="A2891" s="1"/>
      <c r="B2891" s="1"/>
      <c r="C2891" s="1"/>
      <c r="D2891" s="1"/>
      <c r="E2891" s="1"/>
      <c r="F2891" s="1"/>
      <c r="G2891" s="1"/>
      <c r="H2891" s="1"/>
      <c r="I2891" s="1"/>
      <c r="J2891" s="1"/>
      <c r="K2891" s="1"/>
      <c r="L2891" s="1"/>
      <c r="M2891" s="1"/>
      <c r="N2891" s="1"/>
      <c r="O2891" s="1"/>
      <c r="P2891" s="1"/>
      <c r="Q2891" s="1"/>
      <c r="R2891" s="1"/>
      <c r="S2891" s="1"/>
      <c r="T2891" s="1"/>
      <c r="U2891" s="1"/>
      <c r="V2891" s="1"/>
      <c r="W2891" s="1"/>
      <c r="X2891" s="1"/>
      <c r="Y2891" s="1"/>
      <c r="Z2891" s="1"/>
      <c r="AA2891" s="1"/>
      <c r="AB2891" s="1"/>
      <c r="AC2891" s="1"/>
      <c r="AD2891" s="1"/>
      <c r="AE2891" s="1"/>
      <c r="AF2891" s="1"/>
      <c r="AG2891" s="1"/>
      <c r="AH2891" s="1"/>
    </row>
    <row r="2892" spans="1:34" ht="12.5">
      <c r="A2892" s="1"/>
      <c r="B2892" s="1"/>
      <c r="C2892" s="1"/>
      <c r="D2892" s="1"/>
      <c r="E2892" s="1"/>
      <c r="F2892" s="1"/>
      <c r="G2892" s="1"/>
      <c r="H2892" s="1"/>
      <c r="I2892" s="1"/>
      <c r="J2892" s="1"/>
      <c r="K2892" s="1"/>
      <c r="L2892" s="1"/>
      <c r="M2892" s="1"/>
      <c r="N2892" s="1"/>
      <c r="O2892" s="1"/>
      <c r="P2892" s="1"/>
      <c r="Q2892" s="1"/>
      <c r="R2892" s="1"/>
      <c r="S2892" s="1"/>
      <c r="T2892" s="1"/>
      <c r="U2892" s="1"/>
      <c r="V2892" s="1"/>
      <c r="W2892" s="1"/>
      <c r="X2892" s="1"/>
      <c r="Y2892" s="1"/>
      <c r="Z2892" s="1"/>
      <c r="AA2892" s="1"/>
      <c r="AB2892" s="1"/>
      <c r="AC2892" s="1"/>
      <c r="AD2892" s="1"/>
      <c r="AE2892" s="1"/>
      <c r="AF2892" s="1"/>
      <c r="AG2892" s="1"/>
      <c r="AH2892" s="1"/>
    </row>
    <row r="2893" spans="1:34" ht="12.5">
      <c r="A2893" s="1"/>
      <c r="B2893" s="1"/>
      <c r="C2893" s="1"/>
      <c r="D2893" s="1"/>
      <c r="E2893" s="1"/>
      <c r="F2893" s="1"/>
      <c r="G2893" s="1"/>
      <c r="H2893" s="1"/>
      <c r="I2893" s="1"/>
      <c r="J2893" s="1"/>
      <c r="K2893" s="1"/>
      <c r="L2893" s="1"/>
      <c r="M2893" s="1"/>
      <c r="N2893" s="1"/>
      <c r="O2893" s="1"/>
      <c r="P2893" s="1"/>
      <c r="Q2893" s="1"/>
      <c r="R2893" s="1"/>
      <c r="S2893" s="1"/>
      <c r="T2893" s="1"/>
      <c r="U2893" s="1"/>
      <c r="V2893" s="1"/>
      <c r="W2893" s="1"/>
      <c r="X2893" s="1"/>
      <c r="Y2893" s="1"/>
      <c r="Z2893" s="1"/>
      <c r="AA2893" s="1"/>
      <c r="AB2893" s="1"/>
      <c r="AC2893" s="1"/>
      <c r="AD2893" s="1"/>
      <c r="AE2893" s="1"/>
      <c r="AF2893" s="1"/>
      <c r="AG2893" s="1"/>
      <c r="AH2893" s="1"/>
    </row>
    <row r="2894" spans="1:34" ht="12.5">
      <c r="A2894" s="1"/>
      <c r="B2894" s="1"/>
      <c r="C2894" s="1"/>
      <c r="D2894" s="1"/>
      <c r="E2894" s="1"/>
      <c r="F2894" s="1"/>
      <c r="G2894" s="1"/>
      <c r="H2894" s="1"/>
      <c r="I2894" s="1"/>
      <c r="J2894" s="1"/>
      <c r="K2894" s="1"/>
      <c r="L2894" s="1"/>
      <c r="M2894" s="1"/>
      <c r="N2894" s="1"/>
      <c r="O2894" s="1"/>
      <c r="P2894" s="1"/>
      <c r="Q2894" s="1"/>
      <c r="R2894" s="1"/>
      <c r="S2894" s="1"/>
      <c r="T2894" s="1"/>
      <c r="U2894" s="1"/>
      <c r="V2894" s="1"/>
      <c r="W2894" s="1"/>
      <c r="X2894" s="1"/>
      <c r="Y2894" s="1"/>
      <c r="Z2894" s="1"/>
      <c r="AA2894" s="1"/>
      <c r="AB2894" s="1"/>
      <c r="AC2894" s="1"/>
      <c r="AD2894" s="1"/>
      <c r="AE2894" s="1"/>
      <c r="AF2894" s="1"/>
      <c r="AG2894" s="1"/>
      <c r="AH2894" s="1"/>
    </row>
    <row r="2895" spans="1:34" ht="12.5">
      <c r="A2895" s="1"/>
      <c r="B2895" s="1"/>
      <c r="C2895" s="1"/>
      <c r="D2895" s="1"/>
      <c r="E2895" s="1"/>
      <c r="F2895" s="1"/>
      <c r="G2895" s="1"/>
      <c r="H2895" s="1"/>
      <c r="I2895" s="1"/>
      <c r="J2895" s="1"/>
      <c r="K2895" s="1"/>
      <c r="L2895" s="1"/>
      <c r="M2895" s="1"/>
      <c r="N2895" s="1"/>
      <c r="O2895" s="1"/>
      <c r="P2895" s="1"/>
      <c r="Q2895" s="1"/>
      <c r="R2895" s="1"/>
      <c r="S2895" s="1"/>
      <c r="T2895" s="1"/>
      <c r="U2895" s="1"/>
      <c r="V2895" s="1"/>
      <c r="W2895" s="1"/>
      <c r="X2895" s="1"/>
      <c r="Y2895" s="1"/>
      <c r="Z2895" s="1"/>
      <c r="AA2895" s="1"/>
      <c r="AB2895" s="1"/>
      <c r="AC2895" s="1"/>
      <c r="AD2895" s="1"/>
      <c r="AE2895" s="1"/>
      <c r="AF2895" s="1"/>
      <c r="AG2895" s="1"/>
      <c r="AH2895" s="1"/>
    </row>
    <row r="2896" spans="1:34" ht="12.5">
      <c r="A2896" s="1"/>
      <c r="B2896" s="1"/>
      <c r="C2896" s="1"/>
      <c r="D2896" s="1"/>
      <c r="E2896" s="1"/>
      <c r="F2896" s="1"/>
      <c r="G2896" s="1"/>
      <c r="H2896" s="1"/>
      <c r="I2896" s="1"/>
      <c r="J2896" s="1"/>
      <c r="K2896" s="1"/>
      <c r="L2896" s="1"/>
      <c r="M2896" s="1"/>
      <c r="N2896" s="1"/>
      <c r="O2896" s="1"/>
      <c r="P2896" s="1"/>
      <c r="Q2896" s="1"/>
      <c r="R2896" s="1"/>
      <c r="S2896" s="1"/>
      <c r="T2896" s="1"/>
      <c r="U2896" s="1"/>
      <c r="V2896" s="1"/>
      <c r="W2896" s="1"/>
      <c r="X2896" s="1"/>
      <c r="Y2896" s="1"/>
      <c r="Z2896" s="1"/>
      <c r="AA2896" s="1"/>
      <c r="AB2896" s="1"/>
      <c r="AC2896" s="1"/>
      <c r="AD2896" s="1"/>
      <c r="AE2896" s="1"/>
      <c r="AF2896" s="1"/>
      <c r="AG2896" s="1"/>
      <c r="AH2896" s="1"/>
    </row>
    <row r="2897" spans="1:34" ht="12.5">
      <c r="A2897" s="1"/>
      <c r="B2897" s="1"/>
      <c r="C2897" s="1"/>
      <c r="D2897" s="1"/>
      <c r="E2897" s="1"/>
      <c r="F2897" s="1"/>
      <c r="G2897" s="1"/>
      <c r="H2897" s="1"/>
      <c r="I2897" s="1"/>
      <c r="J2897" s="1"/>
      <c r="K2897" s="1"/>
      <c r="L2897" s="1"/>
      <c r="M2897" s="1"/>
      <c r="N2897" s="1"/>
      <c r="O2897" s="1"/>
      <c r="P2897" s="1"/>
      <c r="Q2897" s="1"/>
      <c r="R2897" s="1"/>
      <c r="S2897" s="1"/>
      <c r="T2897" s="1"/>
      <c r="U2897" s="1"/>
      <c r="V2897" s="1"/>
      <c r="W2897" s="1"/>
      <c r="X2897" s="1"/>
      <c r="Y2897" s="1"/>
      <c r="Z2897" s="1"/>
      <c r="AA2897" s="1"/>
      <c r="AB2897" s="1"/>
      <c r="AC2897" s="1"/>
      <c r="AD2897" s="1"/>
      <c r="AE2897" s="1"/>
      <c r="AF2897" s="1"/>
      <c r="AG2897" s="1"/>
      <c r="AH2897" s="1"/>
    </row>
    <row r="2898" spans="1:34" ht="12.5">
      <c r="A2898" s="1"/>
      <c r="B2898" s="1"/>
      <c r="C2898" s="1"/>
      <c r="D2898" s="1"/>
      <c r="E2898" s="1"/>
      <c r="F2898" s="1"/>
      <c r="G2898" s="1"/>
      <c r="H2898" s="1"/>
      <c r="I2898" s="1"/>
      <c r="J2898" s="1"/>
      <c r="K2898" s="1"/>
      <c r="L2898" s="1"/>
      <c r="M2898" s="1"/>
      <c r="N2898" s="1"/>
      <c r="O2898" s="1"/>
      <c r="P2898" s="1"/>
      <c r="Q2898" s="1"/>
      <c r="R2898" s="1"/>
      <c r="S2898" s="1"/>
      <c r="T2898" s="1"/>
      <c r="U2898" s="1"/>
      <c r="V2898" s="1"/>
      <c r="W2898" s="1"/>
      <c r="X2898" s="1"/>
      <c r="Y2898" s="1"/>
      <c r="Z2898" s="1"/>
      <c r="AA2898" s="1"/>
      <c r="AB2898" s="1"/>
      <c r="AC2898" s="1"/>
      <c r="AD2898" s="1"/>
      <c r="AE2898" s="1"/>
      <c r="AF2898" s="1"/>
      <c r="AG2898" s="1"/>
      <c r="AH2898" s="1"/>
    </row>
    <row r="2899" spans="1:34" ht="12.5">
      <c r="A2899" s="1"/>
      <c r="B2899" s="1"/>
      <c r="C2899" s="1"/>
      <c r="D2899" s="1"/>
      <c r="E2899" s="1"/>
      <c r="F2899" s="1"/>
      <c r="G2899" s="1"/>
      <c r="H2899" s="1"/>
      <c r="I2899" s="1"/>
      <c r="J2899" s="1"/>
      <c r="K2899" s="1"/>
      <c r="L2899" s="1"/>
      <c r="M2899" s="1"/>
      <c r="N2899" s="1"/>
      <c r="O2899" s="1"/>
      <c r="P2899" s="1"/>
      <c r="Q2899" s="1"/>
      <c r="R2899" s="1"/>
      <c r="S2899" s="1"/>
      <c r="T2899" s="1"/>
      <c r="U2899" s="1"/>
      <c r="V2899" s="1"/>
      <c r="W2899" s="1"/>
      <c r="X2899" s="1"/>
      <c r="Y2899" s="1"/>
      <c r="Z2899" s="1"/>
      <c r="AA2899" s="1"/>
      <c r="AB2899" s="1"/>
      <c r="AC2899" s="1"/>
      <c r="AD2899" s="1"/>
      <c r="AE2899" s="1"/>
      <c r="AF2899" s="1"/>
      <c r="AG2899" s="1"/>
      <c r="AH2899" s="1"/>
    </row>
    <row r="2900" spans="1:34" ht="12.5">
      <c r="A2900" s="1"/>
      <c r="B2900" s="1"/>
      <c r="C2900" s="1"/>
      <c r="D2900" s="1"/>
      <c r="E2900" s="1"/>
      <c r="F2900" s="1"/>
      <c r="G2900" s="1"/>
      <c r="H2900" s="1"/>
      <c r="I2900" s="1"/>
      <c r="J2900" s="1"/>
      <c r="K2900" s="1"/>
      <c r="L2900" s="1"/>
      <c r="M2900" s="1"/>
      <c r="N2900" s="1"/>
      <c r="O2900" s="1"/>
      <c r="P2900" s="1"/>
      <c r="Q2900" s="1"/>
      <c r="R2900" s="1"/>
      <c r="S2900" s="1"/>
      <c r="T2900" s="1"/>
      <c r="U2900" s="1"/>
      <c r="V2900" s="1"/>
      <c r="W2900" s="1"/>
      <c r="X2900" s="1"/>
      <c r="Y2900" s="1"/>
      <c r="Z2900" s="1"/>
      <c r="AA2900" s="1"/>
      <c r="AB2900" s="1"/>
      <c r="AC2900" s="1"/>
      <c r="AD2900" s="1"/>
      <c r="AE2900" s="1"/>
      <c r="AF2900" s="1"/>
      <c r="AG2900" s="1"/>
      <c r="AH2900" s="1"/>
    </row>
    <row r="2901" spans="1:34" ht="12.5">
      <c r="A2901" s="1"/>
      <c r="B2901" s="1"/>
      <c r="C2901" s="1"/>
      <c r="D2901" s="1"/>
      <c r="E2901" s="1"/>
      <c r="F2901" s="1"/>
      <c r="G2901" s="1"/>
      <c r="H2901" s="1"/>
      <c r="I2901" s="1"/>
      <c r="J2901" s="1"/>
      <c r="K2901" s="1"/>
      <c r="L2901" s="1"/>
      <c r="M2901" s="1"/>
      <c r="N2901" s="1"/>
      <c r="O2901" s="1"/>
      <c r="P2901" s="1"/>
      <c r="Q2901" s="1"/>
      <c r="R2901" s="1"/>
      <c r="S2901" s="1"/>
      <c r="T2901" s="1"/>
      <c r="U2901" s="1"/>
      <c r="V2901" s="1"/>
      <c r="W2901" s="1"/>
      <c r="X2901" s="1"/>
      <c r="Y2901" s="1"/>
      <c r="Z2901" s="1"/>
      <c r="AA2901" s="1"/>
      <c r="AB2901" s="1"/>
      <c r="AC2901" s="1"/>
      <c r="AD2901" s="1"/>
      <c r="AE2901" s="1"/>
      <c r="AF2901" s="1"/>
      <c r="AG2901" s="1"/>
      <c r="AH2901" s="1"/>
    </row>
    <row r="2902" spans="1:34" ht="12.5">
      <c r="A2902" s="1"/>
      <c r="B2902" s="1"/>
      <c r="C2902" s="1"/>
      <c r="D2902" s="1"/>
      <c r="E2902" s="1"/>
      <c r="F2902" s="1"/>
      <c r="G2902" s="1"/>
      <c r="H2902" s="1"/>
      <c r="I2902" s="1"/>
      <c r="J2902" s="1"/>
      <c r="K2902" s="1"/>
      <c r="L2902" s="1"/>
      <c r="M2902" s="1"/>
      <c r="N2902" s="1"/>
      <c r="O2902" s="1"/>
      <c r="P2902" s="1"/>
      <c r="Q2902" s="1"/>
      <c r="R2902" s="1"/>
      <c r="S2902" s="1"/>
      <c r="T2902" s="1"/>
      <c r="U2902" s="1"/>
      <c r="V2902" s="1"/>
      <c r="W2902" s="1"/>
      <c r="X2902" s="1"/>
      <c r="Y2902" s="1"/>
      <c r="Z2902" s="1"/>
      <c r="AA2902" s="1"/>
      <c r="AB2902" s="1"/>
      <c r="AC2902" s="1"/>
      <c r="AD2902" s="1"/>
      <c r="AE2902" s="1"/>
      <c r="AF2902" s="1"/>
      <c r="AG2902" s="1"/>
      <c r="AH2902" s="1"/>
    </row>
    <row r="2903" spans="1:34" ht="12.5">
      <c r="A2903" s="1"/>
      <c r="B2903" s="1"/>
      <c r="C2903" s="1"/>
      <c r="D2903" s="1"/>
      <c r="E2903" s="1"/>
      <c r="F2903" s="1"/>
      <c r="G2903" s="1"/>
      <c r="H2903" s="1"/>
      <c r="I2903" s="1"/>
      <c r="J2903" s="1"/>
      <c r="K2903" s="1"/>
      <c r="L2903" s="1"/>
      <c r="M2903" s="1"/>
      <c r="N2903" s="1"/>
      <c r="O2903" s="1"/>
      <c r="P2903" s="1"/>
      <c r="Q2903" s="1"/>
      <c r="R2903" s="1"/>
      <c r="S2903" s="1"/>
      <c r="T2903" s="1"/>
      <c r="U2903" s="1"/>
      <c r="V2903" s="1"/>
      <c r="W2903" s="1"/>
      <c r="X2903" s="1"/>
      <c r="Y2903" s="1"/>
      <c r="Z2903" s="1"/>
      <c r="AA2903" s="1"/>
      <c r="AB2903" s="1"/>
      <c r="AC2903" s="1"/>
      <c r="AD2903" s="1"/>
      <c r="AE2903" s="1"/>
      <c r="AF2903" s="1"/>
      <c r="AG2903" s="1"/>
      <c r="AH2903" s="1"/>
    </row>
    <row r="2904" spans="1:34" ht="12.5">
      <c r="A2904" s="1"/>
      <c r="B2904" s="1"/>
      <c r="C2904" s="1"/>
      <c r="D2904" s="1"/>
      <c r="E2904" s="1"/>
      <c r="F2904" s="1"/>
      <c r="G2904" s="1"/>
      <c r="H2904" s="1"/>
      <c r="I2904" s="1"/>
      <c r="J2904" s="1"/>
      <c r="K2904" s="1"/>
      <c r="L2904" s="1"/>
      <c r="M2904" s="1"/>
      <c r="N2904" s="1"/>
      <c r="O2904" s="1"/>
      <c r="P2904" s="1"/>
      <c r="Q2904" s="1"/>
      <c r="R2904" s="1"/>
      <c r="S2904" s="1"/>
      <c r="T2904" s="1"/>
      <c r="U2904" s="1"/>
      <c r="V2904" s="1"/>
      <c r="W2904" s="1"/>
      <c r="X2904" s="1"/>
      <c r="Y2904" s="1"/>
      <c r="Z2904" s="1"/>
      <c r="AA2904" s="1"/>
      <c r="AB2904" s="1"/>
      <c r="AC2904" s="1"/>
      <c r="AD2904" s="1"/>
      <c r="AE2904" s="1"/>
      <c r="AF2904" s="1"/>
      <c r="AG2904" s="1"/>
      <c r="AH2904" s="1"/>
    </row>
    <row r="2905" spans="1:34" ht="12.5">
      <c r="A2905" s="1"/>
      <c r="B2905" s="1"/>
      <c r="C2905" s="1"/>
      <c r="D2905" s="1"/>
      <c r="E2905" s="1"/>
      <c r="F2905" s="1"/>
      <c r="G2905" s="1"/>
      <c r="H2905" s="1"/>
      <c r="I2905" s="1"/>
      <c r="J2905" s="1"/>
      <c r="K2905" s="1"/>
      <c r="L2905" s="1"/>
      <c r="M2905" s="1"/>
      <c r="N2905" s="1"/>
      <c r="O2905" s="1"/>
      <c r="P2905" s="1"/>
      <c r="Q2905" s="1"/>
      <c r="R2905" s="1"/>
      <c r="S2905" s="1"/>
      <c r="T2905" s="1"/>
      <c r="U2905" s="1"/>
      <c r="V2905" s="1"/>
      <c r="W2905" s="1"/>
      <c r="X2905" s="1"/>
      <c r="Y2905" s="1"/>
      <c r="Z2905" s="1"/>
      <c r="AA2905" s="1"/>
      <c r="AB2905" s="1"/>
      <c r="AC2905" s="1"/>
      <c r="AD2905" s="1"/>
      <c r="AE2905" s="1"/>
      <c r="AF2905" s="1"/>
      <c r="AG2905" s="1"/>
      <c r="AH2905" s="1"/>
    </row>
    <row r="2906" spans="1:34" ht="12.5">
      <c r="A2906" s="1"/>
      <c r="B2906" s="1"/>
      <c r="C2906" s="1"/>
      <c r="D2906" s="1"/>
      <c r="E2906" s="1"/>
      <c r="F2906" s="1"/>
      <c r="G2906" s="1"/>
      <c r="H2906" s="1"/>
      <c r="I2906" s="1"/>
      <c r="J2906" s="1"/>
      <c r="K2906" s="1"/>
      <c r="L2906" s="1"/>
      <c r="M2906" s="1"/>
      <c r="N2906" s="1"/>
      <c r="O2906" s="1"/>
      <c r="P2906" s="1"/>
      <c r="Q2906" s="1"/>
      <c r="R2906" s="1"/>
      <c r="S2906" s="1"/>
      <c r="T2906" s="1"/>
      <c r="U2906" s="1"/>
      <c r="V2906" s="1"/>
      <c r="W2906" s="1"/>
      <c r="X2906" s="1"/>
      <c r="Y2906" s="1"/>
      <c r="Z2906" s="1"/>
      <c r="AA2906" s="1"/>
      <c r="AB2906" s="1"/>
      <c r="AC2906" s="1"/>
      <c r="AD2906" s="1"/>
      <c r="AE2906" s="1"/>
      <c r="AF2906" s="1"/>
      <c r="AG2906" s="1"/>
      <c r="AH2906" s="1"/>
    </row>
    <row r="2907" spans="1:34" ht="12.5">
      <c r="A2907" s="1"/>
      <c r="B2907" s="1"/>
      <c r="C2907" s="1"/>
      <c r="D2907" s="1"/>
      <c r="E2907" s="1"/>
      <c r="F2907" s="1"/>
      <c r="G2907" s="1"/>
      <c r="H2907" s="1"/>
      <c r="I2907" s="1"/>
      <c r="J2907" s="1"/>
      <c r="K2907" s="1"/>
      <c r="L2907" s="1"/>
      <c r="M2907" s="1"/>
      <c r="N2907" s="1"/>
      <c r="O2907" s="1"/>
      <c r="P2907" s="1"/>
      <c r="Q2907" s="1"/>
      <c r="R2907" s="1"/>
      <c r="S2907" s="1"/>
      <c r="T2907" s="1"/>
      <c r="U2907" s="1"/>
      <c r="V2907" s="1"/>
      <c r="W2907" s="1"/>
      <c r="X2907" s="1"/>
      <c r="Y2907" s="1"/>
      <c r="Z2907" s="1"/>
      <c r="AA2907" s="1"/>
      <c r="AB2907" s="1"/>
      <c r="AC2907" s="1"/>
      <c r="AD2907" s="1"/>
      <c r="AE2907" s="1"/>
      <c r="AF2907" s="1"/>
      <c r="AG2907" s="1"/>
      <c r="AH2907" s="1"/>
    </row>
    <row r="2908" spans="1:34" ht="12.5">
      <c r="A2908" s="1"/>
      <c r="B2908" s="1"/>
      <c r="C2908" s="1"/>
      <c r="D2908" s="1"/>
      <c r="E2908" s="1"/>
      <c r="F2908" s="1"/>
      <c r="G2908" s="1"/>
      <c r="H2908" s="1"/>
      <c r="I2908" s="1"/>
      <c r="J2908" s="1"/>
      <c r="K2908" s="1"/>
      <c r="L2908" s="1"/>
      <c r="M2908" s="1"/>
      <c r="N2908" s="1"/>
      <c r="O2908" s="1"/>
      <c r="P2908" s="1"/>
      <c r="Q2908" s="1"/>
      <c r="R2908" s="1"/>
      <c r="S2908" s="1"/>
      <c r="T2908" s="1"/>
      <c r="U2908" s="1"/>
      <c r="V2908" s="1"/>
      <c r="W2908" s="1"/>
      <c r="X2908" s="1"/>
      <c r="Y2908" s="1"/>
      <c r="Z2908" s="1"/>
      <c r="AA2908" s="1"/>
      <c r="AB2908" s="1"/>
      <c r="AC2908" s="1"/>
      <c r="AD2908" s="1"/>
      <c r="AE2908" s="1"/>
      <c r="AF2908" s="1"/>
      <c r="AG2908" s="1"/>
      <c r="AH2908" s="1"/>
    </row>
    <row r="2909" spans="1:34" ht="12.5">
      <c r="A2909" s="1"/>
      <c r="B2909" s="1"/>
      <c r="C2909" s="1"/>
      <c r="D2909" s="1"/>
      <c r="E2909" s="1"/>
      <c r="F2909" s="1"/>
      <c r="G2909" s="1"/>
      <c r="H2909" s="1"/>
      <c r="I2909" s="1"/>
      <c r="J2909" s="1"/>
      <c r="K2909" s="1"/>
      <c r="L2909" s="1"/>
      <c r="M2909" s="1"/>
      <c r="N2909" s="1"/>
      <c r="O2909" s="1"/>
      <c r="P2909" s="1"/>
      <c r="Q2909" s="1"/>
      <c r="R2909" s="1"/>
      <c r="S2909" s="1"/>
      <c r="T2909" s="1"/>
      <c r="U2909" s="1"/>
      <c r="V2909" s="1"/>
      <c r="W2909" s="1"/>
      <c r="X2909" s="1"/>
      <c r="Y2909" s="1"/>
      <c r="Z2909" s="1"/>
      <c r="AA2909" s="1"/>
      <c r="AB2909" s="1"/>
      <c r="AC2909" s="1"/>
      <c r="AD2909" s="1"/>
      <c r="AE2909" s="1"/>
      <c r="AF2909" s="1"/>
      <c r="AG2909" s="1"/>
      <c r="AH2909" s="1"/>
    </row>
    <row r="2910" spans="1:34" ht="12.5">
      <c r="A2910" s="1"/>
      <c r="B2910" s="1"/>
      <c r="C2910" s="1"/>
      <c r="D2910" s="1"/>
      <c r="E2910" s="1"/>
      <c r="F2910" s="1"/>
      <c r="G2910" s="1"/>
      <c r="H2910" s="1"/>
      <c r="I2910" s="1"/>
      <c r="J2910" s="1"/>
      <c r="K2910" s="1"/>
      <c r="L2910" s="1"/>
      <c r="M2910" s="1"/>
      <c r="N2910" s="1"/>
      <c r="O2910" s="1"/>
      <c r="P2910" s="1"/>
      <c r="Q2910" s="1"/>
      <c r="R2910" s="1"/>
      <c r="S2910" s="1"/>
      <c r="T2910" s="1"/>
      <c r="U2910" s="1"/>
      <c r="V2910" s="1"/>
      <c r="W2910" s="1"/>
      <c r="X2910" s="1"/>
      <c r="Y2910" s="1"/>
      <c r="Z2910" s="1"/>
      <c r="AA2910" s="1"/>
      <c r="AB2910" s="1"/>
      <c r="AC2910" s="1"/>
      <c r="AD2910" s="1"/>
      <c r="AE2910" s="1"/>
      <c r="AF2910" s="1"/>
      <c r="AG2910" s="1"/>
      <c r="AH2910" s="1"/>
    </row>
    <row r="2911" spans="1:34" ht="12.5">
      <c r="A2911" s="1"/>
      <c r="B2911" s="1"/>
      <c r="C2911" s="1"/>
      <c r="D2911" s="1"/>
      <c r="E2911" s="1"/>
      <c r="F2911" s="1"/>
      <c r="G2911" s="1"/>
      <c r="H2911" s="1"/>
      <c r="I2911" s="1"/>
      <c r="J2911" s="1"/>
      <c r="K2911" s="1"/>
      <c r="L2911" s="1"/>
      <c r="M2911" s="1"/>
      <c r="N2911" s="1"/>
      <c r="O2911" s="1"/>
      <c r="P2911" s="1"/>
      <c r="Q2911" s="1"/>
      <c r="R2911" s="1"/>
      <c r="S2911" s="1"/>
      <c r="T2911" s="1"/>
      <c r="U2911" s="1"/>
      <c r="V2911" s="1"/>
      <c r="W2911" s="1"/>
      <c r="X2911" s="1"/>
      <c r="Y2911" s="1"/>
      <c r="Z2911" s="1"/>
      <c r="AA2911" s="1"/>
      <c r="AB2911" s="1"/>
      <c r="AC2911" s="1"/>
      <c r="AD2911" s="1"/>
      <c r="AE2911" s="1"/>
      <c r="AF2911" s="1"/>
      <c r="AG2911" s="1"/>
      <c r="AH2911" s="1"/>
    </row>
    <row r="2912" spans="1:34" ht="12.5">
      <c r="A2912" s="1"/>
      <c r="B2912" s="1"/>
      <c r="C2912" s="1"/>
      <c r="D2912" s="1"/>
      <c r="E2912" s="1"/>
      <c r="F2912" s="1"/>
      <c r="G2912" s="1"/>
      <c r="H2912" s="1"/>
      <c r="I2912" s="1"/>
      <c r="J2912" s="1"/>
      <c r="K2912" s="1"/>
      <c r="L2912" s="1"/>
      <c r="M2912" s="1"/>
      <c r="N2912" s="1"/>
      <c r="O2912" s="1"/>
      <c r="P2912" s="1"/>
      <c r="Q2912" s="1"/>
      <c r="R2912" s="1"/>
      <c r="S2912" s="1"/>
      <c r="T2912" s="1"/>
      <c r="U2912" s="1"/>
      <c r="V2912" s="1"/>
      <c r="W2912" s="1"/>
      <c r="X2912" s="1"/>
      <c r="Y2912" s="1"/>
      <c r="Z2912" s="1"/>
      <c r="AA2912" s="1"/>
      <c r="AB2912" s="1"/>
      <c r="AC2912" s="1"/>
      <c r="AD2912" s="1"/>
      <c r="AE2912" s="1"/>
      <c r="AF2912" s="1"/>
      <c r="AG2912" s="1"/>
      <c r="AH2912" s="1"/>
    </row>
    <row r="2913" spans="1:34" ht="12.5">
      <c r="A2913" s="1"/>
      <c r="B2913" s="1"/>
      <c r="C2913" s="1"/>
      <c r="D2913" s="1"/>
      <c r="E2913" s="1"/>
      <c r="F2913" s="1"/>
      <c r="G2913" s="1"/>
      <c r="H2913" s="1"/>
      <c r="I2913" s="1"/>
      <c r="J2913" s="1"/>
      <c r="K2913" s="1"/>
      <c r="L2913" s="1"/>
      <c r="M2913" s="1"/>
      <c r="N2913" s="1"/>
      <c r="O2913" s="1"/>
      <c r="P2913" s="1"/>
      <c r="Q2913" s="1"/>
      <c r="R2913" s="1"/>
      <c r="S2913" s="1"/>
      <c r="T2913" s="1"/>
      <c r="U2913" s="1"/>
      <c r="V2913" s="1"/>
      <c r="W2913" s="1"/>
      <c r="X2913" s="1"/>
      <c r="Y2913" s="1"/>
      <c r="Z2913" s="1"/>
      <c r="AA2913" s="1"/>
      <c r="AB2913" s="1"/>
      <c r="AC2913" s="1"/>
      <c r="AD2913" s="1"/>
      <c r="AE2913" s="1"/>
      <c r="AF2913" s="1"/>
      <c r="AG2913" s="1"/>
      <c r="AH2913" s="1"/>
    </row>
    <row r="2914" spans="1:34" ht="12.5">
      <c r="A2914" s="1"/>
      <c r="B2914" s="1"/>
      <c r="C2914" s="1"/>
      <c r="D2914" s="1"/>
      <c r="E2914" s="1"/>
      <c r="F2914" s="1"/>
      <c r="G2914" s="1"/>
      <c r="H2914" s="1"/>
      <c r="I2914" s="1"/>
      <c r="J2914" s="1"/>
      <c r="K2914" s="1"/>
      <c r="L2914" s="1"/>
      <c r="M2914" s="1"/>
      <c r="N2914" s="1"/>
      <c r="O2914" s="1"/>
      <c r="P2914" s="1"/>
      <c r="Q2914" s="1"/>
      <c r="R2914" s="1"/>
      <c r="S2914" s="1"/>
      <c r="T2914" s="1"/>
      <c r="U2914" s="1"/>
      <c r="V2914" s="1"/>
      <c r="W2914" s="1"/>
      <c r="X2914" s="1"/>
      <c r="Y2914" s="1"/>
      <c r="Z2914" s="1"/>
      <c r="AA2914" s="1"/>
      <c r="AB2914" s="1"/>
      <c r="AC2914" s="1"/>
      <c r="AD2914" s="1"/>
      <c r="AE2914" s="1"/>
      <c r="AF2914" s="1"/>
      <c r="AG2914" s="1"/>
      <c r="AH2914" s="1"/>
    </row>
    <row r="2915" spans="1:34" ht="12.5">
      <c r="A2915" s="1"/>
      <c r="B2915" s="1"/>
      <c r="C2915" s="1"/>
      <c r="D2915" s="1"/>
      <c r="E2915" s="1"/>
      <c r="F2915" s="1"/>
      <c r="G2915" s="1"/>
      <c r="H2915" s="1"/>
      <c r="I2915" s="1"/>
      <c r="J2915" s="1"/>
      <c r="K2915" s="1"/>
      <c r="L2915" s="1"/>
      <c r="M2915" s="1"/>
      <c r="N2915" s="1"/>
      <c r="O2915" s="1"/>
      <c r="P2915" s="1"/>
      <c r="Q2915" s="1"/>
      <c r="R2915" s="1"/>
      <c r="S2915" s="1"/>
      <c r="T2915" s="1"/>
      <c r="U2915" s="1"/>
      <c r="V2915" s="1"/>
      <c r="W2915" s="1"/>
      <c r="X2915" s="1"/>
      <c r="Y2915" s="1"/>
      <c r="Z2915" s="1"/>
      <c r="AA2915" s="1"/>
      <c r="AB2915" s="1"/>
      <c r="AC2915" s="1"/>
      <c r="AD2915" s="1"/>
      <c r="AE2915" s="1"/>
      <c r="AF2915" s="1"/>
      <c r="AG2915" s="1"/>
      <c r="AH2915" s="1"/>
    </row>
    <row r="2916" spans="1:34" ht="12.5">
      <c r="A2916" s="1"/>
      <c r="B2916" s="1"/>
      <c r="C2916" s="1"/>
      <c r="D2916" s="1"/>
      <c r="E2916" s="1"/>
      <c r="F2916" s="1"/>
      <c r="G2916" s="1"/>
      <c r="H2916" s="1"/>
      <c r="I2916" s="1"/>
      <c r="J2916" s="1"/>
      <c r="K2916" s="1"/>
      <c r="L2916" s="1"/>
      <c r="M2916" s="1"/>
      <c r="N2916" s="1"/>
      <c r="O2916" s="1"/>
      <c r="P2916" s="1"/>
      <c r="Q2916" s="1"/>
      <c r="R2916" s="1"/>
      <c r="S2916" s="1"/>
      <c r="T2916" s="1"/>
      <c r="U2916" s="1"/>
      <c r="V2916" s="1"/>
      <c r="W2916" s="1"/>
      <c r="X2916" s="1"/>
      <c r="Y2916" s="1"/>
      <c r="Z2916" s="1"/>
      <c r="AA2916" s="1"/>
      <c r="AB2916" s="1"/>
      <c r="AC2916" s="1"/>
      <c r="AD2916" s="1"/>
      <c r="AE2916" s="1"/>
      <c r="AF2916" s="1"/>
      <c r="AG2916" s="1"/>
      <c r="AH2916" s="1"/>
    </row>
    <row r="2917" spans="1:34" ht="12.5">
      <c r="A2917" s="1"/>
      <c r="B2917" s="1"/>
      <c r="C2917" s="1"/>
      <c r="D2917" s="1"/>
      <c r="E2917" s="1"/>
      <c r="F2917" s="1"/>
      <c r="G2917" s="1"/>
      <c r="H2917" s="1"/>
      <c r="I2917" s="1"/>
      <c r="J2917" s="1"/>
      <c r="K2917" s="1"/>
      <c r="L2917" s="1"/>
      <c r="M2917" s="1"/>
      <c r="N2917" s="1"/>
      <c r="O2917" s="1"/>
      <c r="P2917" s="1"/>
      <c r="Q2917" s="1"/>
      <c r="R2917" s="1"/>
      <c r="S2917" s="1"/>
      <c r="T2917" s="1"/>
      <c r="U2917" s="1"/>
      <c r="V2917" s="1"/>
      <c r="W2917" s="1"/>
      <c r="X2917" s="1"/>
      <c r="Y2917" s="1"/>
      <c r="Z2917" s="1"/>
      <c r="AA2917" s="1"/>
      <c r="AB2917" s="1"/>
      <c r="AC2917" s="1"/>
      <c r="AD2917" s="1"/>
      <c r="AE2917" s="1"/>
      <c r="AF2917" s="1"/>
      <c r="AG2917" s="1"/>
      <c r="AH2917" s="1"/>
    </row>
    <row r="2918" spans="1:34" ht="12.5">
      <c r="A2918" s="1"/>
      <c r="B2918" s="1"/>
      <c r="C2918" s="1"/>
      <c r="D2918" s="1"/>
      <c r="E2918" s="1"/>
      <c r="F2918" s="1"/>
      <c r="G2918" s="1"/>
      <c r="H2918" s="1"/>
      <c r="I2918" s="1"/>
      <c r="J2918" s="1"/>
      <c r="K2918" s="1"/>
      <c r="L2918" s="1"/>
      <c r="M2918" s="1"/>
      <c r="N2918" s="1"/>
      <c r="O2918" s="1"/>
      <c r="P2918" s="1"/>
      <c r="Q2918" s="1"/>
      <c r="R2918" s="1"/>
      <c r="S2918" s="1"/>
      <c r="T2918" s="1"/>
      <c r="U2918" s="1"/>
      <c r="V2918" s="1"/>
      <c r="W2918" s="1"/>
      <c r="X2918" s="1"/>
      <c r="Y2918" s="1"/>
      <c r="Z2918" s="1"/>
      <c r="AA2918" s="1"/>
      <c r="AB2918" s="1"/>
      <c r="AC2918" s="1"/>
      <c r="AD2918" s="1"/>
      <c r="AE2918" s="1"/>
      <c r="AF2918" s="1"/>
      <c r="AG2918" s="1"/>
      <c r="AH2918" s="1"/>
    </row>
    <row r="2919" spans="1:34" ht="12.5">
      <c r="A2919" s="1"/>
      <c r="B2919" s="1"/>
      <c r="C2919" s="1"/>
      <c r="D2919" s="1"/>
      <c r="E2919" s="1"/>
      <c r="F2919" s="1"/>
      <c r="G2919" s="1"/>
      <c r="H2919" s="1"/>
      <c r="I2919" s="1"/>
      <c r="J2919" s="1"/>
      <c r="K2919" s="1"/>
      <c r="L2919" s="1"/>
      <c r="M2919" s="1"/>
      <c r="N2919" s="1"/>
      <c r="O2919" s="1"/>
      <c r="P2919" s="1"/>
      <c r="Q2919" s="1"/>
      <c r="R2919" s="1"/>
      <c r="S2919" s="1"/>
      <c r="T2919" s="1"/>
      <c r="U2919" s="1"/>
      <c r="V2919" s="1"/>
      <c r="W2919" s="1"/>
      <c r="X2919" s="1"/>
      <c r="Y2919" s="1"/>
      <c r="Z2919" s="1"/>
      <c r="AA2919" s="1"/>
      <c r="AB2919" s="1"/>
      <c r="AC2919" s="1"/>
      <c r="AD2919" s="1"/>
      <c r="AE2919" s="1"/>
      <c r="AF2919" s="1"/>
      <c r="AG2919" s="1"/>
      <c r="AH2919" s="1"/>
    </row>
    <row r="2920" spans="1:34" ht="12.5">
      <c r="A2920" s="1"/>
      <c r="B2920" s="1"/>
      <c r="C2920" s="1"/>
      <c r="D2920" s="1"/>
      <c r="E2920" s="1"/>
      <c r="F2920" s="1"/>
      <c r="G2920" s="1"/>
      <c r="H2920" s="1"/>
      <c r="I2920" s="1"/>
      <c r="J2920" s="1"/>
      <c r="K2920" s="1"/>
      <c r="L2920" s="1"/>
      <c r="M2920" s="1"/>
      <c r="N2920" s="1"/>
      <c r="O2920" s="1"/>
      <c r="P2920" s="1"/>
      <c r="Q2920" s="1"/>
      <c r="R2920" s="1"/>
      <c r="S2920" s="1"/>
      <c r="T2920" s="1"/>
      <c r="U2920" s="1"/>
      <c r="V2920" s="1"/>
      <c r="W2920" s="1"/>
      <c r="X2920" s="1"/>
      <c r="Y2920" s="1"/>
      <c r="Z2920" s="1"/>
      <c r="AA2920" s="1"/>
      <c r="AB2920" s="1"/>
      <c r="AC2920" s="1"/>
      <c r="AD2920" s="1"/>
      <c r="AE2920" s="1"/>
      <c r="AF2920" s="1"/>
      <c r="AG2920" s="1"/>
      <c r="AH2920" s="1"/>
    </row>
    <row r="2921" spans="1:34" ht="12.5">
      <c r="A2921" s="1"/>
      <c r="B2921" s="1"/>
      <c r="C2921" s="1"/>
      <c r="D2921" s="1"/>
      <c r="E2921" s="1"/>
      <c r="F2921" s="1"/>
      <c r="G2921" s="1"/>
      <c r="H2921" s="1"/>
      <c r="I2921" s="1"/>
      <c r="J2921" s="1"/>
      <c r="K2921" s="1"/>
      <c r="L2921" s="1"/>
      <c r="M2921" s="1"/>
      <c r="N2921" s="1"/>
      <c r="O2921" s="1"/>
      <c r="P2921" s="1"/>
      <c r="Q2921" s="1"/>
      <c r="R2921" s="1"/>
      <c r="S2921" s="1"/>
      <c r="T2921" s="1"/>
      <c r="U2921" s="1"/>
      <c r="V2921" s="1"/>
      <c r="W2921" s="1"/>
      <c r="X2921" s="1"/>
      <c r="Y2921" s="1"/>
      <c r="Z2921" s="1"/>
      <c r="AA2921" s="1"/>
      <c r="AB2921" s="1"/>
      <c r="AC2921" s="1"/>
      <c r="AD2921" s="1"/>
      <c r="AE2921" s="1"/>
      <c r="AF2921" s="1"/>
      <c r="AG2921" s="1"/>
      <c r="AH2921" s="1"/>
    </row>
    <row r="2922" spans="1:34" ht="12.5">
      <c r="A2922" s="1"/>
      <c r="B2922" s="1"/>
      <c r="C2922" s="1"/>
      <c r="D2922" s="1"/>
      <c r="E2922" s="1"/>
      <c r="F2922" s="1"/>
      <c r="G2922" s="1"/>
      <c r="H2922" s="1"/>
      <c r="I2922" s="1"/>
      <c r="J2922" s="1"/>
      <c r="K2922" s="1"/>
      <c r="L2922" s="1"/>
      <c r="M2922" s="1"/>
      <c r="N2922" s="1"/>
      <c r="O2922" s="1"/>
      <c r="P2922" s="1"/>
      <c r="Q2922" s="1"/>
      <c r="R2922" s="1"/>
      <c r="S2922" s="1"/>
      <c r="T2922" s="1"/>
      <c r="U2922" s="1"/>
      <c r="V2922" s="1"/>
      <c r="W2922" s="1"/>
      <c r="X2922" s="1"/>
      <c r="Y2922" s="1"/>
      <c r="Z2922" s="1"/>
      <c r="AA2922" s="1"/>
      <c r="AB2922" s="1"/>
      <c r="AC2922" s="1"/>
      <c r="AD2922" s="1"/>
      <c r="AE2922" s="1"/>
      <c r="AF2922" s="1"/>
      <c r="AG2922" s="1"/>
      <c r="AH2922" s="1"/>
    </row>
    <row r="2923" spans="1:34" ht="12.5">
      <c r="A2923" s="1"/>
      <c r="B2923" s="1"/>
      <c r="C2923" s="1"/>
      <c r="D2923" s="1"/>
      <c r="E2923" s="1"/>
      <c r="F2923" s="1"/>
      <c r="G2923" s="1"/>
      <c r="H2923" s="1"/>
      <c r="I2923" s="1"/>
      <c r="J2923" s="1"/>
      <c r="K2923" s="1"/>
      <c r="L2923" s="1"/>
      <c r="M2923" s="1"/>
      <c r="N2923" s="1"/>
      <c r="O2923" s="1"/>
      <c r="P2923" s="1"/>
      <c r="Q2923" s="1"/>
      <c r="R2923" s="1"/>
      <c r="S2923" s="1"/>
      <c r="T2923" s="1"/>
      <c r="U2923" s="1"/>
      <c r="V2923" s="1"/>
      <c r="W2923" s="1"/>
      <c r="X2923" s="1"/>
      <c r="Y2923" s="1"/>
      <c r="Z2923" s="1"/>
      <c r="AA2923" s="1"/>
      <c r="AB2923" s="1"/>
      <c r="AC2923" s="1"/>
      <c r="AD2923" s="1"/>
      <c r="AE2923" s="1"/>
      <c r="AF2923" s="1"/>
      <c r="AG2923" s="1"/>
      <c r="AH2923" s="1"/>
    </row>
    <row r="2924" spans="1:34" ht="12.5">
      <c r="A2924" s="1"/>
      <c r="B2924" s="1"/>
      <c r="C2924" s="1"/>
      <c r="D2924" s="1"/>
      <c r="E2924" s="1"/>
      <c r="F2924" s="1"/>
      <c r="G2924" s="1"/>
      <c r="H2924" s="1"/>
      <c r="I2924" s="1"/>
      <c r="J2924" s="1"/>
      <c r="K2924" s="1"/>
      <c r="L2924" s="1"/>
      <c r="M2924" s="1"/>
      <c r="N2924" s="1"/>
      <c r="O2924" s="1"/>
      <c r="P2924" s="1"/>
      <c r="Q2924" s="1"/>
      <c r="R2924" s="1"/>
      <c r="S2924" s="1"/>
      <c r="T2924" s="1"/>
      <c r="U2924" s="1"/>
      <c r="V2924" s="1"/>
      <c r="W2924" s="1"/>
      <c r="X2924" s="1"/>
      <c r="Y2924" s="1"/>
      <c r="Z2924" s="1"/>
      <c r="AA2924" s="1"/>
      <c r="AB2924" s="1"/>
      <c r="AC2924" s="1"/>
      <c r="AD2924" s="1"/>
      <c r="AE2924" s="1"/>
      <c r="AF2924" s="1"/>
      <c r="AG2924" s="1"/>
      <c r="AH2924" s="1"/>
    </row>
    <row r="2925" spans="1:34" ht="12.5">
      <c r="A2925" s="1"/>
      <c r="B2925" s="1"/>
      <c r="C2925" s="1"/>
      <c r="D2925" s="1"/>
      <c r="E2925" s="1"/>
      <c r="F2925" s="1"/>
      <c r="G2925" s="1"/>
      <c r="H2925" s="1"/>
      <c r="I2925" s="1"/>
      <c r="J2925" s="1"/>
      <c r="K2925" s="1"/>
      <c r="L2925" s="1"/>
      <c r="M2925" s="1"/>
      <c r="N2925" s="1"/>
      <c r="O2925" s="1"/>
      <c r="P2925" s="1"/>
      <c r="Q2925" s="1"/>
      <c r="R2925" s="1"/>
      <c r="S2925" s="1"/>
      <c r="T2925" s="1"/>
      <c r="U2925" s="1"/>
      <c r="V2925" s="1"/>
      <c r="W2925" s="1"/>
      <c r="X2925" s="1"/>
      <c r="Y2925" s="1"/>
      <c r="Z2925" s="1"/>
      <c r="AA2925" s="1"/>
      <c r="AB2925" s="1"/>
      <c r="AC2925" s="1"/>
      <c r="AD2925" s="1"/>
      <c r="AE2925" s="1"/>
      <c r="AF2925" s="1"/>
      <c r="AG2925" s="1"/>
      <c r="AH2925" s="1"/>
    </row>
    <row r="2926" spans="1:34" ht="12.5">
      <c r="A2926" s="1"/>
      <c r="B2926" s="1"/>
      <c r="C2926" s="1"/>
      <c r="D2926" s="1"/>
      <c r="E2926" s="1"/>
      <c r="F2926" s="1"/>
      <c r="G2926" s="1"/>
      <c r="H2926" s="1"/>
      <c r="I2926" s="1"/>
      <c r="J2926" s="1"/>
      <c r="K2926" s="1"/>
      <c r="L2926" s="1"/>
      <c r="M2926" s="1"/>
      <c r="N2926" s="1"/>
      <c r="O2926" s="1"/>
      <c r="P2926" s="1"/>
      <c r="Q2926" s="1"/>
      <c r="R2926" s="1"/>
      <c r="S2926" s="1"/>
      <c r="T2926" s="1"/>
      <c r="U2926" s="1"/>
      <c r="V2926" s="1"/>
      <c r="W2926" s="1"/>
      <c r="X2926" s="1"/>
      <c r="Y2926" s="1"/>
      <c r="Z2926" s="1"/>
      <c r="AA2926" s="1"/>
      <c r="AB2926" s="1"/>
      <c r="AC2926" s="1"/>
      <c r="AD2926" s="1"/>
      <c r="AE2926" s="1"/>
      <c r="AF2926" s="1"/>
      <c r="AG2926" s="1"/>
      <c r="AH2926" s="1"/>
    </row>
    <row r="2927" spans="1:34" ht="12.5">
      <c r="A2927" s="1"/>
      <c r="B2927" s="1"/>
      <c r="C2927" s="1"/>
      <c r="D2927" s="1"/>
      <c r="E2927" s="1"/>
      <c r="F2927" s="1"/>
      <c r="G2927" s="1"/>
      <c r="H2927" s="1"/>
      <c r="I2927" s="1"/>
      <c r="J2927" s="1"/>
      <c r="K2927" s="1"/>
      <c r="L2927" s="1"/>
      <c r="M2927" s="1"/>
      <c r="N2927" s="1"/>
      <c r="O2927" s="1"/>
      <c r="P2927" s="1"/>
      <c r="Q2927" s="1"/>
      <c r="R2927" s="1"/>
      <c r="S2927" s="1"/>
      <c r="T2927" s="1"/>
      <c r="U2927" s="1"/>
      <c r="V2927" s="1"/>
      <c r="W2927" s="1"/>
      <c r="X2927" s="1"/>
      <c r="Y2927" s="1"/>
      <c r="Z2927" s="1"/>
      <c r="AA2927" s="1"/>
      <c r="AB2927" s="1"/>
      <c r="AC2927" s="1"/>
      <c r="AD2927" s="1"/>
      <c r="AE2927" s="1"/>
      <c r="AF2927" s="1"/>
      <c r="AG2927" s="1"/>
      <c r="AH2927" s="1"/>
    </row>
    <row r="2928" spans="1:34" ht="12.5">
      <c r="A2928" s="1"/>
      <c r="B2928" s="1"/>
      <c r="C2928" s="1"/>
      <c r="D2928" s="1"/>
      <c r="E2928" s="1"/>
      <c r="F2928" s="1"/>
      <c r="G2928" s="1"/>
      <c r="H2928" s="1"/>
      <c r="I2928" s="1"/>
      <c r="J2928" s="1"/>
      <c r="K2928" s="1"/>
      <c r="L2928" s="1"/>
      <c r="M2928" s="1"/>
      <c r="N2928" s="1"/>
      <c r="O2928" s="1"/>
      <c r="P2928" s="1"/>
      <c r="Q2928" s="1"/>
      <c r="R2928" s="1"/>
      <c r="S2928" s="1"/>
      <c r="T2928" s="1"/>
      <c r="U2928" s="1"/>
      <c r="V2928" s="1"/>
      <c r="W2928" s="1"/>
      <c r="X2928" s="1"/>
      <c r="Y2928" s="1"/>
      <c r="Z2928" s="1"/>
      <c r="AA2928" s="1"/>
      <c r="AB2928" s="1"/>
      <c r="AC2928" s="1"/>
      <c r="AD2928" s="1"/>
      <c r="AE2928" s="1"/>
      <c r="AF2928" s="1"/>
      <c r="AG2928" s="1"/>
      <c r="AH2928" s="1"/>
    </row>
    <row r="2929" spans="1:34" ht="12.5">
      <c r="A2929" s="1"/>
      <c r="B2929" s="1"/>
      <c r="C2929" s="1"/>
      <c r="D2929" s="1"/>
      <c r="E2929" s="1"/>
      <c r="F2929" s="1"/>
      <c r="G2929" s="1"/>
      <c r="H2929" s="1"/>
      <c r="I2929" s="1"/>
      <c r="J2929" s="1"/>
      <c r="K2929" s="1"/>
      <c r="L2929" s="1"/>
      <c r="M2929" s="1"/>
      <c r="N2929" s="1"/>
      <c r="O2929" s="1"/>
      <c r="P2929" s="1"/>
      <c r="Q2929" s="1"/>
      <c r="R2929" s="1"/>
      <c r="S2929" s="1"/>
      <c r="T2929" s="1"/>
      <c r="U2929" s="1"/>
      <c r="V2929" s="1"/>
      <c r="W2929" s="1"/>
      <c r="X2929" s="1"/>
      <c r="Y2929" s="1"/>
      <c r="Z2929" s="1"/>
      <c r="AA2929" s="1"/>
      <c r="AB2929" s="1"/>
      <c r="AC2929" s="1"/>
      <c r="AD2929" s="1"/>
      <c r="AE2929" s="1"/>
      <c r="AF2929" s="1"/>
      <c r="AG2929" s="1"/>
      <c r="AH2929" s="1"/>
    </row>
    <row r="2930" spans="1:34" ht="12.5">
      <c r="A2930" s="1"/>
      <c r="B2930" s="1"/>
      <c r="C2930" s="1"/>
      <c r="D2930" s="1"/>
      <c r="E2930" s="1"/>
      <c r="F2930" s="1"/>
      <c r="G2930" s="1"/>
      <c r="H2930" s="1"/>
      <c r="I2930" s="1"/>
      <c r="J2930" s="1"/>
      <c r="K2930" s="1"/>
      <c r="L2930" s="1"/>
      <c r="M2930" s="1"/>
      <c r="N2930" s="1"/>
      <c r="O2930" s="1"/>
      <c r="P2930" s="1"/>
      <c r="Q2930" s="1"/>
      <c r="R2930" s="1"/>
      <c r="S2930" s="1"/>
      <c r="T2930" s="1"/>
      <c r="U2930" s="1"/>
      <c r="V2930" s="1"/>
      <c r="W2930" s="1"/>
      <c r="X2930" s="1"/>
      <c r="Y2930" s="1"/>
      <c r="Z2930" s="1"/>
      <c r="AA2930" s="1"/>
      <c r="AB2930" s="1"/>
      <c r="AC2930" s="1"/>
      <c r="AD2930" s="1"/>
      <c r="AE2930" s="1"/>
      <c r="AF2930" s="1"/>
      <c r="AG2930" s="1"/>
      <c r="AH2930" s="1"/>
    </row>
    <row r="2931" spans="1:34" ht="12.5">
      <c r="A2931" s="1"/>
      <c r="B2931" s="1"/>
      <c r="C2931" s="1"/>
      <c r="D2931" s="1"/>
      <c r="E2931" s="1"/>
      <c r="F2931" s="1"/>
      <c r="G2931" s="1"/>
      <c r="H2931" s="1"/>
      <c r="I2931" s="1"/>
      <c r="J2931" s="1"/>
      <c r="K2931" s="1"/>
      <c r="L2931" s="1"/>
      <c r="M2931" s="1"/>
      <c r="N2931" s="1"/>
      <c r="O2931" s="1"/>
      <c r="P2931" s="1"/>
      <c r="Q2931" s="1"/>
      <c r="R2931" s="1"/>
      <c r="S2931" s="1"/>
      <c r="T2931" s="1"/>
      <c r="U2931" s="1"/>
      <c r="V2931" s="1"/>
      <c r="W2931" s="1"/>
      <c r="X2931" s="1"/>
      <c r="Y2931" s="1"/>
      <c r="Z2931" s="1"/>
      <c r="AA2931" s="1"/>
      <c r="AB2931" s="1"/>
      <c r="AC2931" s="1"/>
      <c r="AD2931" s="1"/>
      <c r="AE2931" s="1"/>
      <c r="AF2931" s="1"/>
      <c r="AG2931" s="1"/>
      <c r="AH2931" s="1"/>
    </row>
    <row r="2932" spans="1:34" ht="12.5">
      <c r="A2932" s="1"/>
      <c r="B2932" s="1"/>
      <c r="C2932" s="1"/>
      <c r="D2932" s="1"/>
      <c r="E2932" s="1"/>
      <c r="F2932" s="1"/>
      <c r="G2932" s="1"/>
      <c r="H2932" s="1"/>
      <c r="I2932" s="1"/>
      <c r="J2932" s="1"/>
      <c r="K2932" s="1"/>
      <c r="L2932" s="1"/>
      <c r="M2932" s="1"/>
      <c r="N2932" s="1"/>
      <c r="O2932" s="1"/>
      <c r="P2932" s="1"/>
      <c r="Q2932" s="1"/>
      <c r="R2932" s="1"/>
      <c r="S2932" s="1"/>
      <c r="T2932" s="1"/>
      <c r="U2932" s="1"/>
      <c r="V2932" s="1"/>
      <c r="W2932" s="1"/>
      <c r="X2932" s="1"/>
      <c r="Y2932" s="1"/>
      <c r="Z2932" s="1"/>
      <c r="AA2932" s="1"/>
      <c r="AB2932" s="1"/>
      <c r="AC2932" s="1"/>
      <c r="AD2932" s="1"/>
      <c r="AE2932" s="1"/>
      <c r="AF2932" s="1"/>
      <c r="AG2932" s="1"/>
      <c r="AH2932" s="1"/>
    </row>
    <row r="2933" spans="1:34" ht="12.5">
      <c r="A2933" s="1"/>
      <c r="B2933" s="1"/>
      <c r="C2933" s="1"/>
      <c r="D2933" s="1"/>
      <c r="E2933" s="1"/>
      <c r="F2933" s="1"/>
      <c r="G2933" s="1"/>
      <c r="H2933" s="1"/>
      <c r="I2933" s="1"/>
      <c r="J2933" s="1"/>
      <c r="K2933" s="1"/>
      <c r="L2933" s="1"/>
      <c r="M2933" s="1"/>
      <c r="N2933" s="1"/>
      <c r="O2933" s="1"/>
      <c r="P2933" s="1"/>
      <c r="Q2933" s="1"/>
      <c r="R2933" s="1"/>
      <c r="S2933" s="1"/>
      <c r="T2933" s="1"/>
      <c r="U2933" s="1"/>
      <c r="V2933" s="1"/>
      <c r="W2933" s="1"/>
      <c r="X2933" s="1"/>
      <c r="Y2933" s="1"/>
      <c r="Z2933" s="1"/>
      <c r="AA2933" s="1"/>
      <c r="AB2933" s="1"/>
      <c r="AC2933" s="1"/>
      <c r="AD2933" s="1"/>
      <c r="AE2933" s="1"/>
      <c r="AF2933" s="1"/>
      <c r="AG2933" s="1"/>
      <c r="AH2933" s="1"/>
    </row>
    <row r="2934" spans="1:34" ht="12.5">
      <c r="A2934" s="1"/>
      <c r="B2934" s="1"/>
      <c r="C2934" s="1"/>
      <c r="D2934" s="1"/>
      <c r="E2934" s="1"/>
      <c r="F2934" s="1"/>
      <c r="G2934" s="1"/>
      <c r="H2934" s="1"/>
      <c r="I2934" s="1"/>
      <c r="J2934" s="1"/>
      <c r="K2934" s="1"/>
      <c r="L2934" s="1"/>
      <c r="M2934" s="1"/>
      <c r="N2934" s="1"/>
      <c r="O2934" s="1"/>
      <c r="P2934" s="1"/>
      <c r="Q2934" s="1"/>
      <c r="R2934" s="1"/>
      <c r="S2934" s="1"/>
      <c r="T2934" s="1"/>
      <c r="U2934" s="1"/>
      <c r="V2934" s="1"/>
      <c r="W2934" s="1"/>
      <c r="X2934" s="1"/>
      <c r="Y2934" s="1"/>
      <c r="Z2934" s="1"/>
      <c r="AA2934" s="1"/>
      <c r="AB2934" s="1"/>
      <c r="AC2934" s="1"/>
      <c r="AD2934" s="1"/>
      <c r="AE2934" s="1"/>
      <c r="AF2934" s="1"/>
      <c r="AG2934" s="1"/>
      <c r="AH2934" s="1"/>
    </row>
    <row r="2935" spans="1:34" ht="12.5">
      <c r="A2935" s="1"/>
      <c r="B2935" s="1"/>
      <c r="C2935" s="1"/>
      <c r="D2935" s="1"/>
      <c r="E2935" s="1"/>
      <c r="F2935" s="1"/>
      <c r="G2935" s="1"/>
      <c r="H2935" s="1"/>
      <c r="I2935" s="1"/>
      <c r="J2935" s="1"/>
      <c r="K2935" s="1"/>
      <c r="L2935" s="1"/>
      <c r="M2935" s="1"/>
      <c r="N2935" s="1"/>
      <c r="O2935" s="1"/>
      <c r="P2935" s="1"/>
      <c r="Q2935" s="1"/>
      <c r="R2935" s="1"/>
      <c r="S2935" s="1"/>
      <c r="T2935" s="1"/>
      <c r="U2935" s="1"/>
      <c r="V2935" s="1"/>
      <c r="W2935" s="1"/>
      <c r="X2935" s="1"/>
      <c r="Y2935" s="1"/>
      <c r="Z2935" s="1"/>
      <c r="AA2935" s="1"/>
      <c r="AB2935" s="1"/>
      <c r="AC2935" s="1"/>
      <c r="AD2935" s="1"/>
      <c r="AE2935" s="1"/>
      <c r="AF2935" s="1"/>
      <c r="AG2935" s="1"/>
      <c r="AH2935" s="1"/>
    </row>
    <row r="2936" spans="1:34" ht="12.5">
      <c r="A2936" s="1"/>
      <c r="B2936" s="1"/>
      <c r="C2936" s="1"/>
      <c r="D2936" s="1"/>
      <c r="E2936" s="1"/>
      <c r="F2936" s="1"/>
      <c r="G2936" s="1"/>
      <c r="H2936" s="1"/>
      <c r="I2936" s="1"/>
      <c r="J2936" s="1"/>
      <c r="K2936" s="1"/>
      <c r="L2936" s="1"/>
      <c r="M2936" s="1"/>
      <c r="N2936" s="1"/>
      <c r="O2936" s="1"/>
      <c r="P2936" s="1"/>
      <c r="Q2936" s="1"/>
      <c r="R2936" s="1"/>
      <c r="S2936" s="1"/>
      <c r="T2936" s="1"/>
      <c r="U2936" s="1"/>
      <c r="V2936" s="1"/>
      <c r="W2936" s="1"/>
      <c r="X2936" s="1"/>
      <c r="Y2936" s="1"/>
      <c r="Z2936" s="1"/>
      <c r="AA2936" s="1"/>
      <c r="AB2936" s="1"/>
      <c r="AC2936" s="1"/>
      <c r="AD2936" s="1"/>
      <c r="AE2936" s="1"/>
      <c r="AF2936" s="1"/>
      <c r="AG2936" s="1"/>
      <c r="AH2936" s="1"/>
    </row>
    <row r="2937" spans="1:34" ht="12.5">
      <c r="A2937" s="1"/>
      <c r="B2937" s="1"/>
      <c r="C2937" s="1"/>
      <c r="D2937" s="1"/>
      <c r="E2937" s="1"/>
      <c r="F2937" s="1"/>
      <c r="G2937" s="1"/>
      <c r="H2937" s="1"/>
      <c r="I2937" s="1"/>
      <c r="J2937" s="1"/>
      <c r="K2937" s="1"/>
      <c r="L2937" s="1"/>
      <c r="M2937" s="1"/>
      <c r="N2937" s="1"/>
      <c r="O2937" s="1"/>
      <c r="P2937" s="1"/>
      <c r="Q2937" s="1"/>
      <c r="R2937" s="1"/>
      <c r="S2937" s="1"/>
      <c r="T2937" s="1"/>
      <c r="U2937" s="1"/>
      <c r="V2937" s="1"/>
      <c r="W2937" s="1"/>
      <c r="X2937" s="1"/>
      <c r="Y2937" s="1"/>
      <c r="Z2937" s="1"/>
      <c r="AA2937" s="1"/>
      <c r="AB2937" s="1"/>
      <c r="AC2937" s="1"/>
      <c r="AD2937" s="1"/>
      <c r="AE2937" s="1"/>
      <c r="AF2937" s="1"/>
      <c r="AG2937" s="1"/>
      <c r="AH2937" s="1"/>
    </row>
    <row r="2938" spans="1:34" ht="12.5">
      <c r="A2938" s="1"/>
      <c r="B2938" s="1"/>
      <c r="C2938" s="1"/>
      <c r="D2938" s="1"/>
      <c r="E2938" s="1"/>
      <c r="F2938" s="1"/>
      <c r="G2938" s="1"/>
      <c r="H2938" s="1"/>
      <c r="I2938" s="1"/>
      <c r="J2938" s="1"/>
      <c r="K2938" s="1"/>
      <c r="L2938" s="1"/>
      <c r="M2938" s="1"/>
      <c r="N2938" s="1"/>
      <c r="O2938" s="1"/>
      <c r="P2938" s="1"/>
      <c r="Q2938" s="1"/>
      <c r="R2938" s="1"/>
      <c r="S2938" s="1"/>
      <c r="T2938" s="1"/>
      <c r="U2938" s="1"/>
      <c r="V2938" s="1"/>
      <c r="W2938" s="1"/>
      <c r="X2938" s="1"/>
      <c r="Y2938" s="1"/>
      <c r="Z2938" s="1"/>
      <c r="AA2938" s="1"/>
      <c r="AB2938" s="1"/>
      <c r="AC2938" s="1"/>
      <c r="AD2938" s="1"/>
      <c r="AE2938" s="1"/>
      <c r="AF2938" s="1"/>
      <c r="AG2938" s="1"/>
      <c r="AH2938" s="1"/>
    </row>
    <row r="2939" spans="1:34" ht="12.5">
      <c r="A2939" s="1"/>
      <c r="B2939" s="1"/>
      <c r="C2939" s="1"/>
      <c r="D2939" s="1"/>
      <c r="E2939" s="1"/>
      <c r="F2939" s="1"/>
      <c r="G2939" s="1"/>
      <c r="H2939" s="1"/>
      <c r="I2939" s="1"/>
      <c r="J2939" s="1"/>
      <c r="K2939" s="1"/>
      <c r="L2939" s="1"/>
      <c r="M2939" s="1"/>
      <c r="N2939" s="1"/>
      <c r="O2939" s="1"/>
      <c r="P2939" s="1"/>
      <c r="Q2939" s="1"/>
      <c r="R2939" s="1"/>
      <c r="S2939" s="1"/>
      <c r="T2939" s="1"/>
      <c r="U2939" s="1"/>
      <c r="V2939" s="1"/>
      <c r="W2939" s="1"/>
      <c r="X2939" s="1"/>
      <c r="Y2939" s="1"/>
      <c r="Z2939" s="1"/>
      <c r="AA2939" s="1"/>
      <c r="AB2939" s="1"/>
      <c r="AC2939" s="1"/>
      <c r="AD2939" s="1"/>
      <c r="AE2939" s="1"/>
      <c r="AF2939" s="1"/>
      <c r="AG2939" s="1"/>
      <c r="AH2939" s="1"/>
    </row>
    <row r="2940" spans="1:34" ht="12.5">
      <c r="A2940" s="1"/>
      <c r="B2940" s="1"/>
      <c r="C2940" s="1"/>
      <c r="D2940" s="1"/>
      <c r="E2940" s="1"/>
      <c r="F2940" s="1"/>
      <c r="G2940" s="1"/>
      <c r="H2940" s="1"/>
      <c r="I2940" s="1"/>
      <c r="J2940" s="1"/>
      <c r="K2940" s="1"/>
      <c r="L2940" s="1"/>
      <c r="M2940" s="1"/>
      <c r="N2940" s="1"/>
      <c r="O2940" s="1"/>
      <c r="P2940" s="1"/>
      <c r="Q2940" s="1"/>
      <c r="R2940" s="1"/>
      <c r="S2940" s="1"/>
      <c r="T2940" s="1"/>
      <c r="U2940" s="1"/>
      <c r="V2940" s="1"/>
      <c r="W2940" s="1"/>
      <c r="X2940" s="1"/>
      <c r="Y2940" s="1"/>
      <c r="Z2940" s="1"/>
      <c r="AA2940" s="1"/>
      <c r="AB2940" s="1"/>
      <c r="AC2940" s="1"/>
      <c r="AD2940" s="1"/>
      <c r="AE2940" s="1"/>
      <c r="AF2940" s="1"/>
      <c r="AG2940" s="1"/>
      <c r="AH2940" s="1"/>
    </row>
    <row r="2941" spans="1:34" ht="12.5">
      <c r="A2941" s="1"/>
      <c r="B2941" s="1"/>
      <c r="C2941" s="1"/>
      <c r="D2941" s="1"/>
      <c r="E2941" s="1"/>
      <c r="F2941" s="1"/>
      <c r="G2941" s="1"/>
      <c r="H2941" s="1"/>
      <c r="I2941" s="1"/>
      <c r="J2941" s="1"/>
      <c r="K2941" s="1"/>
      <c r="L2941" s="1"/>
      <c r="M2941" s="1"/>
      <c r="N2941" s="1"/>
      <c r="O2941" s="1"/>
      <c r="P2941" s="1"/>
      <c r="Q2941" s="1"/>
      <c r="R2941" s="1"/>
      <c r="S2941" s="1"/>
      <c r="T2941" s="1"/>
      <c r="U2941" s="1"/>
      <c r="V2941" s="1"/>
      <c r="W2941" s="1"/>
      <c r="X2941" s="1"/>
      <c r="Y2941" s="1"/>
      <c r="Z2941" s="1"/>
      <c r="AA2941" s="1"/>
      <c r="AB2941" s="1"/>
      <c r="AC2941" s="1"/>
      <c r="AD2941" s="1"/>
      <c r="AE2941" s="1"/>
      <c r="AF2941" s="1"/>
      <c r="AG2941" s="1"/>
      <c r="AH2941" s="1"/>
    </row>
    <row r="2942" spans="1:34" ht="12.5">
      <c r="A2942" s="1"/>
      <c r="B2942" s="1"/>
      <c r="C2942" s="1"/>
      <c r="D2942" s="1"/>
      <c r="E2942" s="1"/>
      <c r="F2942" s="1"/>
      <c r="G2942" s="1"/>
      <c r="H2942" s="1"/>
      <c r="I2942" s="1"/>
      <c r="J2942" s="1"/>
      <c r="K2942" s="1"/>
      <c r="L2942" s="1"/>
      <c r="M2942" s="1"/>
      <c r="N2942" s="1"/>
      <c r="O2942" s="1"/>
      <c r="P2942" s="1"/>
      <c r="Q2942" s="1"/>
      <c r="R2942" s="1"/>
      <c r="S2942" s="1"/>
      <c r="T2942" s="1"/>
      <c r="U2942" s="1"/>
      <c r="V2942" s="1"/>
      <c r="W2942" s="1"/>
      <c r="X2942" s="1"/>
      <c r="Y2942" s="1"/>
      <c r="Z2942" s="1"/>
      <c r="AA2942" s="1"/>
      <c r="AB2942" s="1"/>
      <c r="AC2942" s="1"/>
      <c r="AD2942" s="1"/>
      <c r="AE2942" s="1"/>
      <c r="AF2942" s="1"/>
      <c r="AG2942" s="1"/>
      <c r="AH2942" s="1"/>
    </row>
    <row r="2943" spans="1:34" ht="12.5">
      <c r="A2943" s="1"/>
      <c r="B2943" s="1"/>
      <c r="C2943" s="1"/>
      <c r="D2943" s="1"/>
      <c r="E2943" s="1"/>
      <c r="F2943" s="1"/>
      <c r="G2943" s="1"/>
      <c r="H2943" s="1"/>
      <c r="I2943" s="1"/>
      <c r="J2943" s="1"/>
      <c r="K2943" s="1"/>
      <c r="L2943" s="1"/>
      <c r="M2943" s="1"/>
      <c r="N2943" s="1"/>
      <c r="O2943" s="1"/>
      <c r="P2943" s="1"/>
      <c r="Q2943" s="1"/>
      <c r="R2943" s="1"/>
      <c r="S2943" s="1"/>
      <c r="T2943" s="1"/>
      <c r="U2943" s="1"/>
      <c r="V2943" s="1"/>
      <c r="W2943" s="1"/>
      <c r="X2943" s="1"/>
      <c r="Y2943" s="1"/>
      <c r="Z2943" s="1"/>
      <c r="AA2943" s="1"/>
      <c r="AB2943" s="1"/>
      <c r="AC2943" s="1"/>
      <c r="AD2943" s="1"/>
      <c r="AE2943" s="1"/>
      <c r="AF2943" s="1"/>
      <c r="AG2943" s="1"/>
      <c r="AH2943" s="1"/>
    </row>
    <row r="2944" spans="1:34" ht="12.5">
      <c r="A2944" s="1"/>
      <c r="B2944" s="1"/>
      <c r="C2944" s="1"/>
      <c r="D2944" s="1"/>
      <c r="E2944" s="1"/>
      <c r="F2944" s="1"/>
      <c r="G2944" s="1"/>
      <c r="H2944" s="1"/>
      <c r="I2944" s="1"/>
      <c r="J2944" s="1"/>
      <c r="K2944" s="1"/>
      <c r="L2944" s="1"/>
      <c r="M2944" s="1"/>
      <c r="N2944" s="1"/>
      <c r="O2944" s="1"/>
      <c r="P2944" s="1"/>
      <c r="Q2944" s="1"/>
      <c r="R2944" s="1"/>
      <c r="S2944" s="1"/>
      <c r="T2944" s="1"/>
      <c r="U2944" s="1"/>
      <c r="V2944" s="1"/>
      <c r="W2944" s="1"/>
      <c r="X2944" s="1"/>
      <c r="Y2944" s="1"/>
      <c r="Z2944" s="1"/>
      <c r="AA2944" s="1"/>
      <c r="AB2944" s="1"/>
      <c r="AC2944" s="1"/>
      <c r="AD2944" s="1"/>
      <c r="AE2944" s="1"/>
      <c r="AF2944" s="1"/>
      <c r="AG2944" s="1"/>
      <c r="AH2944" s="1"/>
    </row>
    <row r="2945" spans="1:34" ht="12.5">
      <c r="A2945" s="1"/>
      <c r="B2945" s="1"/>
      <c r="C2945" s="1"/>
      <c r="D2945" s="1"/>
      <c r="E2945" s="1"/>
      <c r="F2945" s="1"/>
      <c r="G2945" s="1"/>
      <c r="H2945" s="1"/>
      <c r="I2945" s="1"/>
      <c r="J2945" s="1"/>
      <c r="K2945" s="1"/>
      <c r="L2945" s="1"/>
      <c r="M2945" s="1"/>
      <c r="N2945" s="1"/>
      <c r="O2945" s="1"/>
      <c r="P2945" s="1"/>
      <c r="Q2945" s="1"/>
      <c r="R2945" s="1"/>
      <c r="S2945" s="1"/>
      <c r="T2945" s="1"/>
      <c r="U2945" s="1"/>
      <c r="V2945" s="1"/>
      <c r="W2945" s="1"/>
      <c r="X2945" s="1"/>
      <c r="Y2945" s="1"/>
      <c r="Z2945" s="1"/>
      <c r="AA2945" s="1"/>
      <c r="AB2945" s="1"/>
      <c r="AC2945" s="1"/>
      <c r="AD2945" s="1"/>
      <c r="AE2945" s="1"/>
      <c r="AF2945" s="1"/>
      <c r="AG2945" s="1"/>
      <c r="AH2945" s="1"/>
    </row>
    <row r="2946" spans="1:34" ht="12.5">
      <c r="A2946" s="1"/>
      <c r="B2946" s="1"/>
      <c r="C2946" s="1"/>
      <c r="D2946" s="1"/>
      <c r="E2946" s="1"/>
      <c r="F2946" s="1"/>
      <c r="G2946" s="1"/>
      <c r="H2946" s="1"/>
      <c r="I2946" s="1"/>
      <c r="J2946" s="1"/>
      <c r="K2946" s="1"/>
      <c r="L2946" s="1"/>
      <c r="M2946" s="1"/>
      <c r="N2946" s="1"/>
      <c r="O2946" s="1"/>
      <c r="P2946" s="1"/>
      <c r="Q2946" s="1"/>
      <c r="R2946" s="1"/>
      <c r="S2946" s="1"/>
      <c r="T2946" s="1"/>
      <c r="U2946" s="1"/>
      <c r="V2946" s="1"/>
      <c r="W2946" s="1"/>
      <c r="X2946" s="1"/>
      <c r="Y2946" s="1"/>
      <c r="Z2946" s="1"/>
      <c r="AA2946" s="1"/>
      <c r="AB2946" s="1"/>
      <c r="AC2946" s="1"/>
      <c r="AD2946" s="1"/>
      <c r="AE2946" s="1"/>
      <c r="AF2946" s="1"/>
      <c r="AG2946" s="1"/>
      <c r="AH2946" s="1"/>
    </row>
    <row r="2947" spans="1:34" ht="12.5">
      <c r="A2947" s="1"/>
      <c r="B2947" s="1"/>
      <c r="C2947" s="1"/>
      <c r="D2947" s="1"/>
      <c r="E2947" s="1"/>
      <c r="F2947" s="1"/>
      <c r="G2947" s="1"/>
      <c r="H2947" s="1"/>
      <c r="I2947" s="1"/>
      <c r="J2947" s="1"/>
      <c r="K2947" s="1"/>
      <c r="L2947" s="1"/>
      <c r="M2947" s="1"/>
      <c r="N2947" s="1"/>
      <c r="O2947" s="1"/>
      <c r="P2947" s="1"/>
      <c r="Q2947" s="1"/>
      <c r="R2947" s="1"/>
      <c r="S2947" s="1"/>
      <c r="T2947" s="1"/>
      <c r="U2947" s="1"/>
      <c r="V2947" s="1"/>
      <c r="W2947" s="1"/>
      <c r="X2947" s="1"/>
      <c r="Y2947" s="1"/>
      <c r="Z2947" s="1"/>
      <c r="AA2947" s="1"/>
      <c r="AB2947" s="1"/>
      <c r="AC2947" s="1"/>
      <c r="AD2947" s="1"/>
      <c r="AE2947" s="1"/>
      <c r="AF2947" s="1"/>
      <c r="AG2947" s="1"/>
      <c r="AH2947" s="1"/>
    </row>
    <row r="2948" spans="1:34" ht="12.5">
      <c r="A2948" s="1"/>
      <c r="B2948" s="1"/>
      <c r="C2948" s="1"/>
      <c r="D2948" s="1"/>
      <c r="E2948" s="1"/>
      <c r="F2948" s="1"/>
      <c r="G2948" s="1"/>
      <c r="H2948" s="1"/>
      <c r="I2948" s="1"/>
      <c r="J2948" s="1"/>
      <c r="K2948" s="1"/>
      <c r="L2948" s="1"/>
      <c r="M2948" s="1"/>
      <c r="N2948" s="1"/>
      <c r="O2948" s="1"/>
      <c r="P2948" s="1"/>
      <c r="Q2948" s="1"/>
      <c r="R2948" s="1"/>
      <c r="S2948" s="1"/>
      <c r="T2948" s="1"/>
      <c r="U2948" s="1"/>
      <c r="V2948" s="1"/>
      <c r="W2948" s="1"/>
      <c r="X2948" s="1"/>
      <c r="Y2948" s="1"/>
      <c r="Z2948" s="1"/>
      <c r="AA2948" s="1"/>
      <c r="AB2948" s="1"/>
      <c r="AC2948" s="1"/>
      <c r="AD2948" s="1"/>
      <c r="AE2948" s="1"/>
      <c r="AF2948" s="1"/>
      <c r="AG2948" s="1"/>
      <c r="AH2948" s="1"/>
    </row>
    <row r="2949" spans="1:34" ht="12.5">
      <c r="A2949" s="1"/>
      <c r="B2949" s="1"/>
      <c r="C2949" s="1"/>
      <c r="D2949" s="1"/>
      <c r="E2949" s="1"/>
      <c r="F2949" s="1"/>
      <c r="G2949" s="1"/>
      <c r="H2949" s="1"/>
      <c r="I2949" s="1"/>
      <c r="J2949" s="1"/>
      <c r="K2949" s="1"/>
      <c r="L2949" s="1"/>
      <c r="M2949" s="1"/>
      <c r="N2949" s="1"/>
      <c r="O2949" s="1"/>
      <c r="P2949" s="1"/>
      <c r="Q2949" s="1"/>
      <c r="R2949" s="1"/>
      <c r="S2949" s="1"/>
      <c r="T2949" s="1"/>
      <c r="U2949" s="1"/>
      <c r="V2949" s="1"/>
      <c r="W2949" s="1"/>
      <c r="X2949" s="1"/>
      <c r="Y2949" s="1"/>
      <c r="Z2949" s="1"/>
      <c r="AA2949" s="1"/>
      <c r="AB2949" s="1"/>
      <c r="AC2949" s="1"/>
      <c r="AD2949" s="1"/>
      <c r="AE2949" s="1"/>
      <c r="AF2949" s="1"/>
      <c r="AG2949" s="1"/>
      <c r="AH2949" s="1"/>
    </row>
    <row r="2950" spans="1:34" ht="12.5">
      <c r="A2950" s="1"/>
      <c r="B2950" s="1"/>
      <c r="C2950" s="1"/>
      <c r="D2950" s="1"/>
      <c r="E2950" s="1"/>
      <c r="F2950" s="1"/>
      <c r="G2950" s="1"/>
      <c r="H2950" s="1"/>
      <c r="I2950" s="1"/>
      <c r="J2950" s="1"/>
      <c r="K2950" s="1"/>
      <c r="L2950" s="1"/>
      <c r="M2950" s="1"/>
      <c r="N2950" s="1"/>
      <c r="O2950" s="1"/>
      <c r="P2950" s="1"/>
      <c r="Q2950" s="1"/>
      <c r="R2950" s="1"/>
      <c r="S2950" s="1"/>
      <c r="T2950" s="1"/>
      <c r="U2950" s="1"/>
      <c r="V2950" s="1"/>
      <c r="W2950" s="1"/>
      <c r="X2950" s="1"/>
      <c r="Y2950" s="1"/>
      <c r="Z2950" s="1"/>
      <c r="AA2950" s="1"/>
      <c r="AB2950" s="1"/>
      <c r="AC2950" s="1"/>
      <c r="AD2950" s="1"/>
      <c r="AE2950" s="1"/>
      <c r="AF2950" s="1"/>
      <c r="AG2950" s="1"/>
      <c r="AH2950" s="1"/>
    </row>
    <row r="2951" spans="1:34" ht="12.5">
      <c r="A2951" s="1"/>
      <c r="B2951" s="1"/>
      <c r="C2951" s="1"/>
      <c r="D2951" s="1"/>
      <c r="E2951" s="1"/>
      <c r="F2951" s="1"/>
      <c r="G2951" s="1"/>
      <c r="H2951" s="1"/>
      <c r="I2951" s="1"/>
      <c r="J2951" s="1"/>
      <c r="K2951" s="1"/>
      <c r="L2951" s="1"/>
      <c r="M2951" s="1"/>
      <c r="N2951" s="1"/>
      <c r="O2951" s="1"/>
      <c r="P2951" s="1"/>
      <c r="Q2951" s="1"/>
      <c r="R2951" s="1"/>
      <c r="S2951" s="1"/>
      <c r="T2951" s="1"/>
      <c r="U2951" s="1"/>
      <c r="V2951" s="1"/>
      <c r="W2951" s="1"/>
      <c r="X2951" s="1"/>
      <c r="Y2951" s="1"/>
      <c r="Z2951" s="1"/>
      <c r="AA2951" s="1"/>
      <c r="AB2951" s="1"/>
      <c r="AC2951" s="1"/>
      <c r="AD2951" s="1"/>
      <c r="AE2951" s="1"/>
      <c r="AF2951" s="1"/>
      <c r="AG2951" s="1"/>
      <c r="AH2951" s="1"/>
    </row>
    <row r="2952" spans="1:34" ht="12.5">
      <c r="A2952" s="1"/>
      <c r="B2952" s="1"/>
      <c r="C2952" s="1"/>
      <c r="D2952" s="1"/>
      <c r="E2952" s="1"/>
      <c r="F2952" s="1"/>
      <c r="G2952" s="1"/>
      <c r="H2952" s="1"/>
      <c r="I2952" s="1"/>
      <c r="J2952" s="1"/>
      <c r="K2952" s="1"/>
      <c r="L2952" s="1"/>
      <c r="M2952" s="1"/>
      <c r="N2952" s="1"/>
      <c r="O2952" s="1"/>
      <c r="P2952" s="1"/>
      <c r="Q2952" s="1"/>
      <c r="R2952" s="1"/>
      <c r="S2952" s="1"/>
      <c r="T2952" s="1"/>
      <c r="U2952" s="1"/>
      <c r="V2952" s="1"/>
      <c r="W2952" s="1"/>
      <c r="X2952" s="1"/>
      <c r="Y2952" s="1"/>
      <c r="Z2952" s="1"/>
      <c r="AA2952" s="1"/>
      <c r="AB2952" s="1"/>
      <c r="AC2952" s="1"/>
      <c r="AD2952" s="1"/>
      <c r="AE2952" s="1"/>
      <c r="AF2952" s="1"/>
      <c r="AG2952" s="1"/>
      <c r="AH2952" s="1"/>
    </row>
    <row r="2953" spans="1:34" ht="12.5">
      <c r="A2953" s="1"/>
      <c r="B2953" s="1"/>
      <c r="C2953" s="1"/>
      <c r="D2953" s="1"/>
      <c r="E2953" s="1"/>
      <c r="F2953" s="1"/>
      <c r="G2953" s="1"/>
      <c r="H2953" s="1"/>
      <c r="I2953" s="1"/>
      <c r="J2953" s="1"/>
      <c r="K2953" s="1"/>
      <c r="L2953" s="1"/>
      <c r="M2953" s="1"/>
      <c r="N2953" s="1"/>
      <c r="O2953" s="1"/>
      <c r="P2953" s="1"/>
      <c r="Q2953" s="1"/>
      <c r="R2953" s="1"/>
      <c r="S2953" s="1"/>
      <c r="T2953" s="1"/>
      <c r="U2953" s="1"/>
      <c r="V2953" s="1"/>
      <c r="W2953" s="1"/>
      <c r="X2953" s="1"/>
      <c r="Y2953" s="1"/>
      <c r="Z2953" s="1"/>
      <c r="AA2953" s="1"/>
      <c r="AB2953" s="1"/>
      <c r="AC2953" s="1"/>
      <c r="AD2953" s="1"/>
      <c r="AE2953" s="1"/>
      <c r="AF2953" s="1"/>
      <c r="AG2953" s="1"/>
      <c r="AH2953" s="1"/>
    </row>
    <row r="2954" spans="1:34" ht="12.5">
      <c r="A2954" s="1"/>
      <c r="B2954" s="1"/>
      <c r="C2954" s="1"/>
      <c r="D2954" s="1"/>
      <c r="E2954" s="1"/>
      <c r="F2954" s="1"/>
      <c r="G2954" s="1"/>
      <c r="H2954" s="1"/>
      <c r="I2954" s="1"/>
      <c r="J2954" s="1"/>
      <c r="K2954" s="1"/>
      <c r="L2954" s="1"/>
      <c r="M2954" s="1"/>
      <c r="N2954" s="1"/>
      <c r="O2954" s="1"/>
      <c r="P2954" s="1"/>
      <c r="Q2954" s="1"/>
      <c r="R2954" s="1"/>
      <c r="S2954" s="1"/>
      <c r="T2954" s="1"/>
      <c r="U2954" s="1"/>
      <c r="V2954" s="1"/>
      <c r="W2954" s="1"/>
      <c r="X2954" s="1"/>
      <c r="Y2954" s="1"/>
      <c r="Z2954" s="1"/>
      <c r="AA2954" s="1"/>
      <c r="AB2954" s="1"/>
      <c r="AC2954" s="1"/>
      <c r="AD2954" s="1"/>
      <c r="AE2954" s="1"/>
      <c r="AF2954" s="1"/>
      <c r="AG2954" s="1"/>
      <c r="AH2954" s="1"/>
    </row>
    <row r="2955" spans="1:34" ht="12.5">
      <c r="A2955" s="1"/>
      <c r="B2955" s="1"/>
      <c r="C2955" s="1"/>
      <c r="D2955" s="1"/>
      <c r="E2955" s="1"/>
      <c r="F2955" s="1"/>
      <c r="G2955" s="1"/>
      <c r="H2955" s="1"/>
      <c r="I2955" s="1"/>
      <c r="J2955" s="1"/>
      <c r="K2955" s="1"/>
      <c r="L2955" s="1"/>
      <c r="M2955" s="1"/>
      <c r="N2955" s="1"/>
      <c r="O2955" s="1"/>
      <c r="P2955" s="1"/>
      <c r="Q2955" s="1"/>
      <c r="R2955" s="1"/>
      <c r="S2955" s="1"/>
      <c r="T2955" s="1"/>
      <c r="U2955" s="1"/>
      <c r="V2955" s="1"/>
      <c r="W2955" s="1"/>
      <c r="X2955" s="1"/>
      <c r="Y2955" s="1"/>
      <c r="Z2955" s="1"/>
      <c r="AA2955" s="1"/>
      <c r="AB2955" s="1"/>
      <c r="AC2955" s="1"/>
      <c r="AD2955" s="1"/>
      <c r="AE2955" s="1"/>
      <c r="AF2955" s="1"/>
      <c r="AG2955" s="1"/>
      <c r="AH2955" s="1"/>
    </row>
    <row r="2956" spans="1:34" ht="12.5">
      <c r="A2956" s="1"/>
      <c r="B2956" s="1"/>
      <c r="C2956" s="1"/>
      <c r="D2956" s="1"/>
      <c r="E2956" s="1"/>
      <c r="F2956" s="1"/>
      <c r="G2956" s="1"/>
      <c r="H2956" s="1"/>
      <c r="I2956" s="1"/>
      <c r="J2956" s="1"/>
      <c r="K2956" s="1"/>
      <c r="L2956" s="1"/>
      <c r="M2956" s="1"/>
      <c r="N2956" s="1"/>
      <c r="O2956" s="1"/>
      <c r="P2956" s="1"/>
      <c r="Q2956" s="1"/>
      <c r="R2956" s="1"/>
      <c r="S2956" s="1"/>
      <c r="T2956" s="1"/>
      <c r="U2956" s="1"/>
      <c r="V2956" s="1"/>
      <c r="W2956" s="1"/>
      <c r="X2956" s="1"/>
      <c r="Y2956" s="1"/>
      <c r="Z2956" s="1"/>
      <c r="AA2956" s="1"/>
      <c r="AB2956" s="1"/>
      <c r="AC2956" s="1"/>
      <c r="AD2956" s="1"/>
      <c r="AE2956" s="1"/>
      <c r="AF2956" s="1"/>
      <c r="AG2956" s="1"/>
      <c r="AH2956" s="1"/>
    </row>
    <row r="2957" spans="1:34" ht="12.5">
      <c r="A2957" s="1"/>
      <c r="B2957" s="1"/>
      <c r="C2957" s="1"/>
      <c r="D2957" s="1"/>
      <c r="E2957" s="1"/>
      <c r="F2957" s="1"/>
      <c r="G2957" s="1"/>
      <c r="H2957" s="1"/>
      <c r="I2957" s="1"/>
      <c r="J2957" s="1"/>
      <c r="K2957" s="1"/>
      <c r="L2957" s="1"/>
      <c r="M2957" s="1"/>
      <c r="N2957" s="1"/>
      <c r="O2957" s="1"/>
      <c r="P2957" s="1"/>
      <c r="Q2957" s="1"/>
      <c r="R2957" s="1"/>
      <c r="S2957" s="1"/>
      <c r="T2957" s="1"/>
      <c r="U2957" s="1"/>
      <c r="V2957" s="1"/>
      <c r="W2957" s="1"/>
      <c r="X2957" s="1"/>
      <c r="Y2957" s="1"/>
      <c r="Z2957" s="1"/>
      <c r="AA2957" s="1"/>
      <c r="AB2957" s="1"/>
      <c r="AC2957" s="1"/>
      <c r="AD2957" s="1"/>
      <c r="AE2957" s="1"/>
      <c r="AF2957" s="1"/>
      <c r="AG2957" s="1"/>
      <c r="AH2957" s="1"/>
    </row>
    <row r="2958" spans="1:34" ht="12.5">
      <c r="A2958" s="1"/>
      <c r="B2958" s="1"/>
      <c r="C2958" s="1"/>
      <c r="D2958" s="1"/>
      <c r="E2958" s="1"/>
      <c r="F2958" s="1"/>
      <c r="G2958" s="1"/>
      <c r="H2958" s="1"/>
      <c r="I2958" s="1"/>
      <c r="J2958" s="1"/>
      <c r="K2958" s="1"/>
      <c r="L2958" s="1"/>
      <c r="M2958" s="1"/>
      <c r="N2958" s="1"/>
      <c r="O2958" s="1"/>
      <c r="P2958" s="1"/>
      <c r="Q2958" s="1"/>
      <c r="R2958" s="1"/>
      <c r="S2958" s="1"/>
      <c r="T2958" s="1"/>
      <c r="U2958" s="1"/>
      <c r="V2958" s="1"/>
      <c r="W2958" s="1"/>
      <c r="X2958" s="1"/>
      <c r="Y2958" s="1"/>
      <c r="Z2958" s="1"/>
      <c r="AA2958" s="1"/>
      <c r="AB2958" s="1"/>
      <c r="AC2958" s="1"/>
      <c r="AD2958" s="1"/>
      <c r="AE2958" s="1"/>
      <c r="AF2958" s="1"/>
      <c r="AG2958" s="1"/>
      <c r="AH2958" s="1"/>
    </row>
    <row r="2959" spans="1:34" ht="12.5">
      <c r="A2959" s="1"/>
      <c r="B2959" s="1"/>
      <c r="C2959" s="1"/>
      <c r="D2959" s="1"/>
      <c r="E2959" s="1"/>
      <c r="F2959" s="1"/>
      <c r="G2959" s="1"/>
      <c r="H2959" s="1"/>
      <c r="I2959" s="1"/>
      <c r="J2959" s="1"/>
      <c r="K2959" s="1"/>
      <c r="L2959" s="1"/>
      <c r="M2959" s="1"/>
      <c r="N2959" s="1"/>
      <c r="O2959" s="1"/>
      <c r="P2959" s="1"/>
      <c r="Q2959" s="1"/>
      <c r="R2959" s="1"/>
      <c r="S2959" s="1"/>
      <c r="T2959" s="1"/>
      <c r="U2959" s="1"/>
      <c r="V2959" s="1"/>
      <c r="W2959" s="1"/>
      <c r="X2959" s="1"/>
      <c r="Y2959" s="1"/>
      <c r="Z2959" s="1"/>
      <c r="AA2959" s="1"/>
      <c r="AB2959" s="1"/>
      <c r="AC2959" s="1"/>
      <c r="AD2959" s="1"/>
      <c r="AE2959" s="1"/>
      <c r="AF2959" s="1"/>
      <c r="AG2959" s="1"/>
      <c r="AH2959" s="1"/>
    </row>
    <row r="2960" spans="1:34" ht="12.5">
      <c r="A2960" s="1"/>
      <c r="B2960" s="1"/>
      <c r="C2960" s="1"/>
      <c r="D2960" s="1"/>
      <c r="E2960" s="1"/>
      <c r="F2960" s="1"/>
      <c r="G2960" s="1"/>
      <c r="H2960" s="1"/>
      <c r="I2960" s="1"/>
      <c r="J2960" s="1"/>
      <c r="K2960" s="1"/>
      <c r="L2960" s="1"/>
      <c r="M2960" s="1"/>
      <c r="N2960" s="1"/>
      <c r="O2960" s="1"/>
      <c r="P2960" s="1"/>
      <c r="Q2960" s="1"/>
      <c r="R2960" s="1"/>
      <c r="S2960" s="1"/>
      <c r="T2960" s="1"/>
      <c r="U2960" s="1"/>
      <c r="V2960" s="1"/>
      <c r="W2960" s="1"/>
      <c r="X2960" s="1"/>
      <c r="Y2960" s="1"/>
      <c r="Z2960" s="1"/>
      <c r="AA2960" s="1"/>
      <c r="AB2960" s="1"/>
      <c r="AC2960" s="1"/>
      <c r="AD2960" s="1"/>
      <c r="AE2960" s="1"/>
      <c r="AF2960" s="1"/>
      <c r="AG2960" s="1"/>
      <c r="AH2960" s="1"/>
    </row>
    <row r="2961" spans="1:34" ht="12.5">
      <c r="A2961" s="1"/>
      <c r="B2961" s="1"/>
      <c r="C2961" s="1"/>
      <c r="D2961" s="1"/>
      <c r="E2961" s="1"/>
      <c r="F2961" s="1"/>
      <c r="G2961" s="1"/>
      <c r="H2961" s="1"/>
      <c r="I2961" s="1"/>
      <c r="J2961" s="1"/>
      <c r="K2961" s="1"/>
      <c r="L2961" s="1"/>
      <c r="M2961" s="1"/>
      <c r="N2961" s="1"/>
      <c r="O2961" s="1"/>
      <c r="P2961" s="1"/>
      <c r="Q2961" s="1"/>
      <c r="R2961" s="1"/>
      <c r="S2961" s="1"/>
      <c r="T2961" s="1"/>
      <c r="U2961" s="1"/>
      <c r="V2961" s="1"/>
      <c r="W2961" s="1"/>
      <c r="X2961" s="1"/>
      <c r="Y2961" s="1"/>
      <c r="Z2961" s="1"/>
      <c r="AA2961" s="1"/>
      <c r="AB2961" s="1"/>
      <c r="AC2961" s="1"/>
      <c r="AD2961" s="1"/>
      <c r="AE2961" s="1"/>
      <c r="AF2961" s="1"/>
      <c r="AG2961" s="1"/>
      <c r="AH2961" s="1"/>
    </row>
    <row r="2962" spans="1:34" ht="12.5">
      <c r="A2962" s="1"/>
      <c r="B2962" s="1"/>
      <c r="C2962" s="1"/>
      <c r="D2962" s="1"/>
      <c r="E2962" s="1"/>
      <c r="F2962" s="1"/>
      <c r="G2962" s="1"/>
      <c r="H2962" s="1"/>
      <c r="I2962" s="1"/>
      <c r="J2962" s="1"/>
      <c r="K2962" s="1"/>
      <c r="L2962" s="1"/>
      <c r="M2962" s="1"/>
      <c r="N2962" s="1"/>
      <c r="O2962" s="1"/>
      <c r="P2962" s="1"/>
      <c r="Q2962" s="1"/>
      <c r="R2962" s="1"/>
      <c r="S2962" s="1"/>
      <c r="T2962" s="1"/>
      <c r="U2962" s="1"/>
      <c r="V2962" s="1"/>
      <c r="W2962" s="1"/>
      <c r="X2962" s="1"/>
      <c r="Y2962" s="1"/>
      <c r="Z2962" s="1"/>
      <c r="AA2962" s="1"/>
      <c r="AB2962" s="1"/>
      <c r="AC2962" s="1"/>
      <c r="AD2962" s="1"/>
      <c r="AE2962" s="1"/>
      <c r="AF2962" s="1"/>
      <c r="AG2962" s="1"/>
      <c r="AH2962" s="1"/>
    </row>
    <row r="2963" spans="1:34" ht="12.5">
      <c r="A2963" s="1"/>
      <c r="B2963" s="1"/>
      <c r="C2963" s="1"/>
      <c r="D2963" s="1"/>
      <c r="E2963" s="1"/>
      <c r="F2963" s="1"/>
      <c r="G2963" s="1"/>
      <c r="H2963" s="1"/>
      <c r="I2963" s="1"/>
      <c r="J2963" s="1"/>
      <c r="K2963" s="1"/>
      <c r="L2963" s="1"/>
      <c r="M2963" s="1"/>
      <c r="N2963" s="1"/>
      <c r="O2963" s="1"/>
      <c r="P2963" s="1"/>
      <c r="Q2963" s="1"/>
      <c r="R2963" s="1"/>
      <c r="S2963" s="1"/>
      <c r="T2963" s="1"/>
      <c r="U2963" s="1"/>
      <c r="V2963" s="1"/>
      <c r="W2963" s="1"/>
      <c r="X2963" s="1"/>
      <c r="Y2963" s="1"/>
      <c r="Z2963" s="1"/>
      <c r="AA2963" s="1"/>
      <c r="AB2963" s="1"/>
      <c r="AC2963" s="1"/>
      <c r="AD2963" s="1"/>
      <c r="AE2963" s="1"/>
      <c r="AF2963" s="1"/>
      <c r="AG2963" s="1"/>
      <c r="AH2963" s="1"/>
    </row>
    <row r="2964" spans="1:34" ht="12.5">
      <c r="A2964" s="1"/>
      <c r="B2964" s="1"/>
      <c r="C2964" s="1"/>
      <c r="D2964" s="1"/>
      <c r="E2964" s="1"/>
      <c r="F2964" s="1"/>
      <c r="G2964" s="1"/>
      <c r="H2964" s="1"/>
      <c r="I2964" s="1"/>
      <c r="J2964" s="1"/>
      <c r="K2964" s="1"/>
      <c r="L2964" s="1"/>
      <c r="M2964" s="1"/>
      <c r="N2964" s="1"/>
      <c r="O2964" s="1"/>
      <c r="P2964" s="1"/>
      <c r="Q2964" s="1"/>
      <c r="R2964" s="1"/>
      <c r="S2964" s="1"/>
      <c r="T2964" s="1"/>
      <c r="U2964" s="1"/>
      <c r="V2964" s="1"/>
      <c r="W2964" s="1"/>
      <c r="X2964" s="1"/>
      <c r="Y2964" s="1"/>
      <c r="Z2964" s="1"/>
      <c r="AA2964" s="1"/>
      <c r="AB2964" s="1"/>
      <c r="AC2964" s="1"/>
      <c r="AD2964" s="1"/>
      <c r="AE2964" s="1"/>
      <c r="AF2964" s="1"/>
      <c r="AG2964" s="1"/>
      <c r="AH2964" s="1"/>
    </row>
    <row r="2965" spans="1:34" ht="12.5">
      <c r="A2965" s="1"/>
      <c r="B2965" s="1"/>
      <c r="C2965" s="1"/>
      <c r="D2965" s="1"/>
      <c r="E2965" s="1"/>
      <c r="F2965" s="1"/>
      <c r="G2965" s="1"/>
      <c r="H2965" s="1"/>
      <c r="I2965" s="1"/>
      <c r="J2965" s="1"/>
      <c r="K2965" s="1"/>
      <c r="L2965" s="1"/>
      <c r="M2965" s="1"/>
      <c r="N2965" s="1"/>
      <c r="O2965" s="1"/>
      <c r="P2965" s="1"/>
      <c r="Q2965" s="1"/>
      <c r="R2965" s="1"/>
      <c r="S2965" s="1"/>
      <c r="T2965" s="1"/>
      <c r="U2965" s="1"/>
      <c r="V2965" s="1"/>
      <c r="W2965" s="1"/>
      <c r="X2965" s="1"/>
      <c r="Y2965" s="1"/>
      <c r="Z2965" s="1"/>
      <c r="AA2965" s="1"/>
      <c r="AB2965" s="1"/>
      <c r="AC2965" s="1"/>
      <c r="AD2965" s="1"/>
      <c r="AE2965" s="1"/>
      <c r="AF2965" s="1"/>
      <c r="AG2965" s="1"/>
      <c r="AH2965" s="1"/>
    </row>
    <row r="2966" spans="1:34" ht="12.5">
      <c r="A2966" s="1"/>
      <c r="B2966" s="1"/>
      <c r="C2966" s="1"/>
      <c r="D2966" s="1"/>
      <c r="E2966" s="1"/>
      <c r="F2966" s="1"/>
      <c r="G2966" s="1"/>
      <c r="H2966" s="1"/>
      <c r="I2966" s="1"/>
      <c r="J2966" s="1"/>
      <c r="K2966" s="1"/>
      <c r="L2966" s="1"/>
      <c r="M2966" s="1"/>
      <c r="N2966" s="1"/>
      <c r="O2966" s="1"/>
      <c r="P2966" s="1"/>
      <c r="Q2966" s="1"/>
      <c r="R2966" s="1"/>
      <c r="S2966" s="1"/>
      <c r="T2966" s="1"/>
      <c r="U2966" s="1"/>
      <c r="V2966" s="1"/>
      <c r="W2966" s="1"/>
      <c r="X2966" s="1"/>
      <c r="Y2966" s="1"/>
      <c r="Z2966" s="1"/>
      <c r="AA2966" s="1"/>
      <c r="AB2966" s="1"/>
      <c r="AC2966" s="1"/>
      <c r="AD2966" s="1"/>
      <c r="AE2966" s="1"/>
      <c r="AF2966" s="1"/>
      <c r="AG2966" s="1"/>
      <c r="AH2966" s="1"/>
    </row>
    <row r="2967" spans="1:34" ht="12.5">
      <c r="A2967" s="1"/>
      <c r="B2967" s="1"/>
      <c r="C2967" s="1"/>
      <c r="D2967" s="1"/>
      <c r="E2967" s="1"/>
      <c r="F2967" s="1"/>
      <c r="G2967" s="1"/>
      <c r="H2967" s="1"/>
      <c r="I2967" s="1"/>
      <c r="J2967" s="1"/>
      <c r="K2967" s="1"/>
      <c r="L2967" s="1"/>
      <c r="M2967" s="1"/>
      <c r="N2967" s="1"/>
      <c r="O2967" s="1"/>
      <c r="P2967" s="1"/>
      <c r="Q2967" s="1"/>
      <c r="R2967" s="1"/>
      <c r="S2967" s="1"/>
      <c r="T2967" s="1"/>
      <c r="U2967" s="1"/>
      <c r="V2967" s="1"/>
      <c r="W2967" s="1"/>
      <c r="X2967" s="1"/>
      <c r="Y2967" s="1"/>
      <c r="Z2967" s="1"/>
      <c r="AA2967" s="1"/>
      <c r="AB2967" s="1"/>
      <c r="AC2967" s="1"/>
      <c r="AD2967" s="1"/>
      <c r="AE2967" s="1"/>
      <c r="AF2967" s="1"/>
      <c r="AG2967" s="1"/>
      <c r="AH2967" s="1"/>
    </row>
    <row r="2968" spans="1:34" ht="12.5">
      <c r="A2968" s="1"/>
      <c r="B2968" s="1"/>
      <c r="C2968" s="1"/>
      <c r="D2968" s="1"/>
      <c r="E2968" s="1"/>
      <c r="F2968" s="1"/>
      <c r="G2968" s="1"/>
      <c r="H2968" s="1"/>
      <c r="I2968" s="1"/>
      <c r="J2968" s="1"/>
      <c r="K2968" s="1"/>
      <c r="L2968" s="1"/>
      <c r="M2968" s="1"/>
      <c r="N2968" s="1"/>
      <c r="O2968" s="1"/>
      <c r="P2968" s="1"/>
      <c r="Q2968" s="1"/>
      <c r="R2968" s="1"/>
      <c r="S2968" s="1"/>
      <c r="T2968" s="1"/>
      <c r="U2968" s="1"/>
      <c r="V2968" s="1"/>
      <c r="W2968" s="1"/>
      <c r="X2968" s="1"/>
      <c r="Y2968" s="1"/>
      <c r="Z2968" s="1"/>
      <c r="AA2968" s="1"/>
      <c r="AB2968" s="1"/>
      <c r="AC2968" s="1"/>
      <c r="AD2968" s="1"/>
      <c r="AE2968" s="1"/>
      <c r="AF2968" s="1"/>
      <c r="AG2968" s="1"/>
      <c r="AH2968" s="1"/>
    </row>
    <row r="2969" spans="1:34" ht="12.5">
      <c r="A2969" s="1"/>
      <c r="B2969" s="1"/>
      <c r="C2969" s="1"/>
      <c r="D2969" s="1"/>
      <c r="E2969" s="1"/>
      <c r="F2969" s="1"/>
      <c r="G2969" s="1"/>
      <c r="H2969" s="1"/>
      <c r="I2969" s="1"/>
      <c r="J2969" s="1"/>
      <c r="K2969" s="1"/>
      <c r="L2969" s="1"/>
      <c r="M2969" s="1"/>
      <c r="N2969" s="1"/>
      <c r="O2969" s="1"/>
      <c r="P2969" s="1"/>
      <c r="Q2969" s="1"/>
      <c r="R2969" s="1"/>
      <c r="S2969" s="1"/>
      <c r="T2969" s="1"/>
      <c r="U2969" s="1"/>
      <c r="V2969" s="1"/>
      <c r="W2969" s="1"/>
      <c r="X2969" s="1"/>
      <c r="Y2969" s="1"/>
      <c r="Z2969" s="1"/>
      <c r="AA2969" s="1"/>
      <c r="AB2969" s="1"/>
      <c r="AC2969" s="1"/>
      <c r="AD2969" s="1"/>
      <c r="AE2969" s="1"/>
      <c r="AF2969" s="1"/>
      <c r="AG2969" s="1"/>
      <c r="AH2969" s="1"/>
    </row>
    <row r="2970" spans="1:34" ht="12.5">
      <c r="A2970" s="1"/>
      <c r="B2970" s="1"/>
      <c r="C2970" s="1"/>
      <c r="D2970" s="1"/>
      <c r="E2970" s="1"/>
      <c r="F2970" s="1"/>
      <c r="G2970" s="1"/>
      <c r="H2970" s="1"/>
      <c r="I2970" s="1"/>
      <c r="J2970" s="1"/>
      <c r="K2970" s="1"/>
      <c r="L2970" s="1"/>
      <c r="M2970" s="1"/>
      <c r="N2970" s="1"/>
      <c r="O2970" s="1"/>
      <c r="P2970" s="1"/>
      <c r="Q2970" s="1"/>
      <c r="R2970" s="1"/>
      <c r="S2970" s="1"/>
      <c r="T2970" s="1"/>
      <c r="U2970" s="1"/>
      <c r="V2970" s="1"/>
      <c r="W2970" s="1"/>
      <c r="X2970" s="1"/>
      <c r="Y2970" s="1"/>
      <c r="Z2970" s="1"/>
      <c r="AA2970" s="1"/>
      <c r="AB2970" s="1"/>
      <c r="AC2970" s="1"/>
      <c r="AD2970" s="1"/>
      <c r="AE2970" s="1"/>
      <c r="AF2970" s="1"/>
      <c r="AG2970" s="1"/>
      <c r="AH2970" s="1"/>
    </row>
    <row r="2971" spans="1:34" ht="12.5">
      <c r="A2971" s="1"/>
      <c r="B2971" s="1"/>
      <c r="C2971" s="1"/>
      <c r="D2971" s="1"/>
      <c r="E2971" s="1"/>
      <c r="F2971" s="1"/>
      <c r="G2971" s="1"/>
      <c r="H2971" s="1"/>
      <c r="I2971" s="1"/>
      <c r="J2971" s="1"/>
      <c r="K2971" s="1"/>
      <c r="L2971" s="1"/>
      <c r="M2971" s="1"/>
      <c r="N2971" s="1"/>
      <c r="O2971" s="1"/>
      <c r="P2971" s="1"/>
      <c r="Q2971" s="1"/>
      <c r="R2971" s="1"/>
      <c r="S2971" s="1"/>
      <c r="T2971" s="1"/>
      <c r="U2971" s="1"/>
      <c r="V2971" s="1"/>
      <c r="W2971" s="1"/>
      <c r="X2971" s="1"/>
      <c r="Y2971" s="1"/>
      <c r="Z2971" s="1"/>
      <c r="AA2971" s="1"/>
      <c r="AB2971" s="1"/>
      <c r="AC2971" s="1"/>
      <c r="AD2971" s="1"/>
      <c r="AE2971" s="1"/>
      <c r="AF2971" s="1"/>
      <c r="AG2971" s="1"/>
      <c r="AH2971" s="1"/>
    </row>
    <row r="2972" spans="1:34" ht="12.5">
      <c r="A2972" s="1"/>
      <c r="B2972" s="1"/>
      <c r="C2972" s="1"/>
      <c r="D2972" s="1"/>
      <c r="E2972" s="1"/>
      <c r="F2972" s="1"/>
      <c r="G2972" s="1"/>
      <c r="H2972" s="1"/>
      <c r="I2972" s="1"/>
      <c r="J2972" s="1"/>
      <c r="K2972" s="1"/>
      <c r="L2972" s="1"/>
      <c r="M2972" s="1"/>
      <c r="N2972" s="1"/>
      <c r="O2972" s="1"/>
      <c r="P2972" s="1"/>
      <c r="Q2972" s="1"/>
      <c r="R2972" s="1"/>
      <c r="S2972" s="1"/>
      <c r="T2972" s="1"/>
      <c r="U2972" s="1"/>
      <c r="V2972" s="1"/>
      <c r="W2972" s="1"/>
      <c r="X2972" s="1"/>
      <c r="Y2972" s="1"/>
      <c r="Z2972" s="1"/>
      <c r="AA2972" s="1"/>
      <c r="AB2972" s="1"/>
      <c r="AC2972" s="1"/>
      <c r="AD2972" s="1"/>
      <c r="AE2972" s="1"/>
      <c r="AF2972" s="1"/>
      <c r="AG2972" s="1"/>
      <c r="AH2972" s="1"/>
    </row>
    <row r="2973" spans="1:34" ht="12.5">
      <c r="A2973" s="1"/>
      <c r="B2973" s="1"/>
      <c r="C2973" s="1"/>
      <c r="D2973" s="1"/>
      <c r="E2973" s="1"/>
      <c r="F2973" s="1"/>
      <c r="G2973" s="1"/>
      <c r="H2973" s="1"/>
      <c r="I2973" s="1"/>
      <c r="J2973" s="1"/>
      <c r="K2973" s="1"/>
      <c r="L2973" s="1"/>
      <c r="M2973" s="1"/>
      <c r="N2973" s="1"/>
      <c r="O2973" s="1"/>
      <c r="P2973" s="1"/>
      <c r="Q2973" s="1"/>
      <c r="R2973" s="1"/>
      <c r="S2973" s="1"/>
      <c r="T2973" s="1"/>
      <c r="U2973" s="1"/>
      <c r="V2973" s="1"/>
      <c r="W2973" s="1"/>
      <c r="X2973" s="1"/>
      <c r="Y2973" s="1"/>
      <c r="Z2973" s="1"/>
      <c r="AA2973" s="1"/>
      <c r="AB2973" s="1"/>
      <c r="AC2973" s="1"/>
      <c r="AD2973" s="1"/>
      <c r="AE2973" s="1"/>
      <c r="AF2973" s="1"/>
      <c r="AG2973" s="1"/>
      <c r="AH2973" s="1"/>
    </row>
    <row r="2974" spans="1:34" ht="12.5">
      <c r="A2974" s="1"/>
      <c r="B2974" s="1"/>
      <c r="C2974" s="1"/>
      <c r="D2974" s="1"/>
      <c r="E2974" s="1"/>
      <c r="F2974" s="1"/>
      <c r="G2974" s="1"/>
      <c r="H2974" s="1"/>
      <c r="I2974" s="1"/>
      <c r="J2974" s="1"/>
      <c r="K2974" s="1"/>
      <c r="L2974" s="1"/>
      <c r="M2974" s="1"/>
      <c r="N2974" s="1"/>
      <c r="O2974" s="1"/>
      <c r="P2974" s="1"/>
      <c r="Q2974" s="1"/>
      <c r="R2974" s="1"/>
      <c r="S2974" s="1"/>
      <c r="T2974" s="1"/>
      <c r="U2974" s="1"/>
      <c r="V2974" s="1"/>
      <c r="W2974" s="1"/>
      <c r="X2974" s="1"/>
      <c r="Y2974" s="1"/>
      <c r="Z2974" s="1"/>
      <c r="AA2974" s="1"/>
      <c r="AB2974" s="1"/>
      <c r="AC2974" s="1"/>
      <c r="AD2974" s="1"/>
      <c r="AE2974" s="1"/>
      <c r="AF2974" s="1"/>
      <c r="AG2974" s="1"/>
      <c r="AH2974" s="1"/>
    </row>
    <row r="2975" spans="1:34" ht="12.5">
      <c r="A2975" s="1"/>
      <c r="B2975" s="1"/>
      <c r="C2975" s="1"/>
      <c r="D2975" s="1"/>
      <c r="E2975" s="1"/>
      <c r="F2975" s="1"/>
      <c r="G2975" s="1"/>
      <c r="H2975" s="1"/>
      <c r="I2975" s="1"/>
      <c r="J2975" s="1"/>
      <c r="K2975" s="1"/>
      <c r="L2975" s="1"/>
      <c r="M2975" s="1"/>
      <c r="N2975" s="1"/>
      <c r="O2975" s="1"/>
      <c r="P2975" s="1"/>
      <c r="Q2975" s="1"/>
      <c r="R2975" s="1"/>
      <c r="S2975" s="1"/>
      <c r="T2975" s="1"/>
      <c r="U2975" s="1"/>
      <c r="V2975" s="1"/>
      <c r="W2975" s="1"/>
      <c r="X2975" s="1"/>
      <c r="Y2975" s="1"/>
      <c r="Z2975" s="1"/>
      <c r="AA2975" s="1"/>
      <c r="AB2975" s="1"/>
      <c r="AC2975" s="1"/>
      <c r="AD2975" s="1"/>
      <c r="AE2975" s="1"/>
      <c r="AF2975" s="1"/>
      <c r="AG2975" s="1"/>
      <c r="AH2975" s="1"/>
    </row>
    <row r="2976" spans="1:34" ht="12.5">
      <c r="A2976" s="1"/>
      <c r="B2976" s="1"/>
      <c r="C2976" s="1"/>
      <c r="D2976" s="1"/>
      <c r="E2976" s="1"/>
      <c r="F2976" s="1"/>
      <c r="G2976" s="1"/>
      <c r="H2976" s="1"/>
      <c r="I2976" s="1"/>
      <c r="J2976" s="1"/>
      <c r="K2976" s="1"/>
      <c r="L2976" s="1"/>
      <c r="M2976" s="1"/>
      <c r="N2976" s="1"/>
      <c r="O2976" s="1"/>
      <c r="P2976" s="1"/>
      <c r="Q2976" s="1"/>
      <c r="R2976" s="1"/>
      <c r="S2976" s="1"/>
      <c r="T2976" s="1"/>
      <c r="U2976" s="1"/>
      <c r="V2976" s="1"/>
      <c r="W2976" s="1"/>
      <c r="X2976" s="1"/>
      <c r="Y2976" s="1"/>
      <c r="Z2976" s="1"/>
      <c r="AA2976" s="1"/>
      <c r="AB2976" s="1"/>
      <c r="AC2976" s="1"/>
      <c r="AD2976" s="1"/>
      <c r="AE2976" s="1"/>
      <c r="AF2976" s="1"/>
      <c r="AG2976" s="1"/>
      <c r="AH2976" s="1"/>
    </row>
    <row r="2977" spans="1:34" ht="12.5">
      <c r="A2977" s="1"/>
      <c r="B2977" s="1"/>
      <c r="C2977" s="1"/>
      <c r="D2977" s="1"/>
      <c r="E2977" s="1"/>
      <c r="F2977" s="1"/>
      <c r="G2977" s="1"/>
      <c r="H2977" s="1"/>
      <c r="I2977" s="1"/>
      <c r="J2977" s="1"/>
      <c r="K2977" s="1"/>
      <c r="L2977" s="1"/>
      <c r="M2977" s="1"/>
      <c r="N2977" s="1"/>
      <c r="O2977" s="1"/>
      <c r="P2977" s="1"/>
      <c r="Q2977" s="1"/>
      <c r="R2977" s="1"/>
      <c r="S2977" s="1"/>
      <c r="T2977" s="1"/>
      <c r="U2977" s="1"/>
      <c r="V2977" s="1"/>
      <c r="W2977" s="1"/>
      <c r="X2977" s="1"/>
      <c r="Y2977" s="1"/>
      <c r="Z2977" s="1"/>
      <c r="AA2977" s="1"/>
      <c r="AB2977" s="1"/>
      <c r="AC2977" s="1"/>
      <c r="AD2977" s="1"/>
      <c r="AE2977" s="1"/>
      <c r="AF2977" s="1"/>
      <c r="AG2977" s="1"/>
      <c r="AH2977" s="1"/>
    </row>
    <row r="2978" spans="1:34" ht="12.5">
      <c r="A2978" s="1"/>
      <c r="B2978" s="1"/>
      <c r="C2978" s="1"/>
      <c r="D2978" s="1"/>
      <c r="E2978" s="1"/>
      <c r="F2978" s="1"/>
      <c r="G2978" s="1"/>
      <c r="H2978" s="1"/>
      <c r="I2978" s="1"/>
      <c r="J2978" s="1"/>
      <c r="K2978" s="1"/>
      <c r="L2978" s="1"/>
      <c r="M2978" s="1"/>
      <c r="N2978" s="1"/>
      <c r="O2978" s="1"/>
      <c r="P2978" s="1"/>
      <c r="Q2978" s="1"/>
      <c r="R2978" s="1"/>
      <c r="S2978" s="1"/>
      <c r="T2978" s="1"/>
      <c r="U2978" s="1"/>
      <c r="V2978" s="1"/>
      <c r="W2978" s="1"/>
      <c r="X2978" s="1"/>
      <c r="Y2978" s="1"/>
      <c r="Z2978" s="1"/>
      <c r="AA2978" s="1"/>
      <c r="AB2978" s="1"/>
      <c r="AC2978" s="1"/>
      <c r="AD2978" s="1"/>
      <c r="AE2978" s="1"/>
      <c r="AF2978" s="1"/>
      <c r="AG2978" s="1"/>
      <c r="AH2978" s="1"/>
    </row>
    <row r="2979" spans="1:34" ht="12.5">
      <c r="A2979" s="1"/>
      <c r="B2979" s="1"/>
      <c r="C2979" s="1"/>
      <c r="D2979" s="1"/>
      <c r="E2979" s="1"/>
      <c r="F2979" s="1"/>
      <c r="G2979" s="1"/>
      <c r="H2979" s="1"/>
      <c r="I2979" s="1"/>
      <c r="J2979" s="1"/>
      <c r="K2979" s="1"/>
      <c r="L2979" s="1"/>
      <c r="M2979" s="1"/>
      <c r="N2979" s="1"/>
      <c r="O2979" s="1"/>
      <c r="P2979" s="1"/>
      <c r="Q2979" s="1"/>
      <c r="R2979" s="1"/>
      <c r="S2979" s="1"/>
      <c r="T2979" s="1"/>
      <c r="U2979" s="1"/>
      <c r="V2979" s="1"/>
      <c r="W2979" s="1"/>
      <c r="X2979" s="1"/>
      <c r="Y2979" s="1"/>
      <c r="Z2979" s="1"/>
      <c r="AA2979" s="1"/>
      <c r="AB2979" s="1"/>
      <c r="AC2979" s="1"/>
      <c r="AD2979" s="1"/>
      <c r="AE2979" s="1"/>
      <c r="AF2979" s="1"/>
      <c r="AG2979" s="1"/>
      <c r="AH2979" s="1"/>
    </row>
    <row r="2980" spans="1:34" ht="12.5">
      <c r="A2980" s="1"/>
      <c r="B2980" s="1"/>
      <c r="C2980" s="1"/>
      <c r="D2980" s="1"/>
      <c r="E2980" s="1"/>
      <c r="F2980" s="1"/>
      <c r="G2980" s="1"/>
      <c r="H2980" s="1"/>
      <c r="I2980" s="1"/>
      <c r="J2980" s="1"/>
      <c r="K2980" s="1"/>
      <c r="L2980" s="1"/>
      <c r="M2980" s="1"/>
      <c r="N2980" s="1"/>
      <c r="O2980" s="1"/>
      <c r="P2980" s="1"/>
      <c r="Q2980" s="1"/>
      <c r="R2980" s="1"/>
      <c r="S2980" s="1"/>
      <c r="T2980" s="1"/>
      <c r="U2980" s="1"/>
      <c r="V2980" s="1"/>
      <c r="W2980" s="1"/>
      <c r="X2980" s="1"/>
      <c r="Y2980" s="1"/>
      <c r="Z2980" s="1"/>
      <c r="AA2980" s="1"/>
      <c r="AB2980" s="1"/>
      <c r="AC2980" s="1"/>
      <c r="AD2980" s="1"/>
      <c r="AE2980" s="1"/>
      <c r="AF2980" s="1"/>
      <c r="AG2980" s="1"/>
      <c r="AH2980" s="1"/>
    </row>
    <row r="2981" spans="1:34" ht="12.5">
      <c r="A2981" s="1"/>
      <c r="B2981" s="1"/>
      <c r="C2981" s="1"/>
      <c r="D2981" s="1"/>
      <c r="E2981" s="1"/>
      <c r="F2981" s="1"/>
      <c r="G2981" s="1"/>
      <c r="H2981" s="1"/>
      <c r="I2981" s="1"/>
      <c r="J2981" s="1"/>
      <c r="K2981" s="1"/>
      <c r="L2981" s="1"/>
      <c r="M2981" s="1"/>
      <c r="N2981" s="1"/>
      <c r="O2981" s="1"/>
      <c r="P2981" s="1"/>
      <c r="Q2981" s="1"/>
      <c r="R2981" s="1"/>
      <c r="S2981" s="1"/>
      <c r="T2981" s="1"/>
      <c r="U2981" s="1"/>
      <c r="V2981" s="1"/>
      <c r="W2981" s="1"/>
      <c r="X2981" s="1"/>
      <c r="Y2981" s="1"/>
      <c r="Z2981" s="1"/>
      <c r="AA2981" s="1"/>
      <c r="AB2981" s="1"/>
      <c r="AC2981" s="1"/>
      <c r="AD2981" s="1"/>
      <c r="AE2981" s="1"/>
      <c r="AF2981" s="1"/>
      <c r="AG2981" s="1"/>
      <c r="AH2981" s="1"/>
    </row>
    <row r="2982" spans="1:34" ht="12.5">
      <c r="A2982" s="1"/>
      <c r="B2982" s="1"/>
      <c r="C2982" s="1"/>
      <c r="D2982" s="1"/>
      <c r="E2982" s="1"/>
      <c r="F2982" s="1"/>
      <c r="G2982" s="1"/>
      <c r="H2982" s="1"/>
      <c r="I2982" s="1"/>
      <c r="J2982" s="1"/>
      <c r="K2982" s="1"/>
      <c r="L2982" s="1"/>
      <c r="M2982" s="1"/>
      <c r="N2982" s="1"/>
      <c r="O2982" s="1"/>
      <c r="P2982" s="1"/>
      <c r="Q2982" s="1"/>
      <c r="R2982" s="1"/>
      <c r="S2982" s="1"/>
      <c r="T2982" s="1"/>
      <c r="U2982" s="1"/>
      <c r="V2982" s="1"/>
      <c r="W2982" s="1"/>
      <c r="X2982" s="1"/>
      <c r="Y2982" s="1"/>
      <c r="Z2982" s="1"/>
      <c r="AA2982" s="1"/>
      <c r="AB2982" s="1"/>
      <c r="AC2982" s="1"/>
      <c r="AD2982" s="1"/>
      <c r="AE2982" s="1"/>
      <c r="AF2982" s="1"/>
      <c r="AG2982" s="1"/>
      <c r="AH2982" s="1"/>
    </row>
    <row r="2983" spans="1:34" ht="12.5">
      <c r="A2983" s="1"/>
      <c r="B2983" s="1"/>
      <c r="C2983" s="1"/>
      <c r="D2983" s="1"/>
      <c r="E2983" s="1"/>
      <c r="F2983" s="1"/>
      <c r="G2983" s="1"/>
      <c r="H2983" s="1"/>
      <c r="I2983" s="1"/>
      <c r="J2983" s="1"/>
      <c r="K2983" s="1"/>
      <c r="L2983" s="1"/>
      <c r="M2983" s="1"/>
      <c r="N2983" s="1"/>
      <c r="O2983" s="1"/>
      <c r="P2983" s="1"/>
      <c r="Q2983" s="1"/>
      <c r="R2983" s="1"/>
      <c r="S2983" s="1"/>
      <c r="T2983" s="1"/>
      <c r="U2983" s="1"/>
      <c r="V2983" s="1"/>
      <c r="W2983" s="1"/>
      <c r="X2983" s="1"/>
      <c r="Y2983" s="1"/>
      <c r="Z2983" s="1"/>
      <c r="AA2983" s="1"/>
      <c r="AB2983" s="1"/>
      <c r="AC2983" s="1"/>
      <c r="AD2983" s="1"/>
      <c r="AE2983" s="1"/>
      <c r="AF2983" s="1"/>
      <c r="AG2983" s="1"/>
      <c r="AH2983" s="1"/>
    </row>
    <row r="2984" spans="1:34" ht="12.5">
      <c r="A2984" s="1"/>
      <c r="B2984" s="1"/>
      <c r="C2984" s="1"/>
      <c r="D2984" s="1"/>
      <c r="E2984" s="1"/>
      <c r="F2984" s="1"/>
      <c r="G2984" s="1"/>
      <c r="H2984" s="1"/>
      <c r="I2984" s="1"/>
      <c r="J2984" s="1"/>
      <c r="K2984" s="1"/>
      <c r="L2984" s="1"/>
      <c r="M2984" s="1"/>
      <c r="N2984" s="1"/>
      <c r="O2984" s="1"/>
      <c r="P2984" s="1"/>
      <c r="Q2984" s="1"/>
      <c r="R2984" s="1"/>
      <c r="S2984" s="1"/>
      <c r="T2984" s="1"/>
      <c r="U2984" s="1"/>
      <c r="V2984" s="1"/>
      <c r="W2984" s="1"/>
      <c r="X2984" s="1"/>
      <c r="Y2984" s="1"/>
      <c r="Z2984" s="1"/>
      <c r="AA2984" s="1"/>
      <c r="AB2984" s="1"/>
      <c r="AC2984" s="1"/>
      <c r="AD2984" s="1"/>
      <c r="AE2984" s="1"/>
      <c r="AF2984" s="1"/>
      <c r="AG2984" s="1"/>
      <c r="AH2984" s="1"/>
    </row>
    <row r="2985" spans="1:34" ht="12.5">
      <c r="A2985" s="1"/>
      <c r="B2985" s="1"/>
      <c r="C2985" s="1"/>
      <c r="D2985" s="1"/>
      <c r="E2985" s="1"/>
      <c r="F2985" s="1"/>
      <c r="G2985" s="1"/>
      <c r="H2985" s="1"/>
      <c r="I2985" s="1"/>
      <c r="J2985" s="1"/>
      <c r="K2985" s="1"/>
      <c r="L2985" s="1"/>
      <c r="M2985" s="1"/>
      <c r="N2985" s="1"/>
      <c r="O2985" s="1"/>
      <c r="P2985" s="1"/>
      <c r="Q2985" s="1"/>
      <c r="R2985" s="1"/>
      <c r="S2985" s="1"/>
      <c r="T2985" s="1"/>
      <c r="U2985" s="1"/>
      <c r="V2985" s="1"/>
      <c r="W2985" s="1"/>
      <c r="X2985" s="1"/>
      <c r="Y2985" s="1"/>
      <c r="Z2985" s="1"/>
      <c r="AA2985" s="1"/>
      <c r="AB2985" s="1"/>
      <c r="AC2985" s="1"/>
      <c r="AD2985" s="1"/>
      <c r="AE2985" s="1"/>
      <c r="AF2985" s="1"/>
      <c r="AG2985" s="1"/>
      <c r="AH2985" s="1"/>
    </row>
    <row r="2986" spans="1:34" ht="12.5">
      <c r="A2986" s="1"/>
      <c r="B2986" s="1"/>
      <c r="C2986" s="1"/>
      <c r="D2986" s="1"/>
      <c r="E2986" s="1"/>
      <c r="F2986" s="1"/>
      <c r="G2986" s="1"/>
      <c r="H2986" s="1"/>
      <c r="I2986" s="1"/>
      <c r="J2986" s="1"/>
      <c r="K2986" s="1"/>
      <c r="L2986" s="1"/>
      <c r="M2986" s="1"/>
      <c r="N2986" s="1"/>
      <c r="O2986" s="1"/>
      <c r="P2986" s="1"/>
      <c r="Q2986" s="1"/>
      <c r="R2986" s="1"/>
      <c r="S2986" s="1"/>
      <c r="T2986" s="1"/>
      <c r="U2986" s="1"/>
      <c r="V2986" s="1"/>
      <c r="W2986" s="1"/>
      <c r="X2986" s="1"/>
      <c r="Y2986" s="1"/>
      <c r="Z2986" s="1"/>
      <c r="AA2986" s="1"/>
      <c r="AB2986" s="1"/>
      <c r="AC2986" s="1"/>
      <c r="AD2986" s="1"/>
      <c r="AE2986" s="1"/>
      <c r="AF2986" s="1"/>
      <c r="AG2986" s="1"/>
      <c r="AH2986" s="1"/>
    </row>
    <row r="2987" spans="1:34" ht="12.5">
      <c r="A2987" s="1"/>
      <c r="B2987" s="1"/>
      <c r="C2987" s="1"/>
      <c r="D2987" s="1"/>
      <c r="E2987" s="1"/>
      <c r="F2987" s="1"/>
      <c r="G2987" s="1"/>
      <c r="H2987" s="1"/>
      <c r="I2987" s="1"/>
      <c r="J2987" s="1"/>
      <c r="K2987" s="1"/>
      <c r="L2987" s="1"/>
      <c r="M2987" s="1"/>
      <c r="N2987" s="1"/>
      <c r="O2987" s="1"/>
      <c r="P2987" s="1"/>
      <c r="Q2987" s="1"/>
      <c r="R2987" s="1"/>
      <c r="S2987" s="1"/>
      <c r="T2987" s="1"/>
      <c r="U2987" s="1"/>
      <c r="V2987" s="1"/>
      <c r="W2987" s="1"/>
      <c r="X2987" s="1"/>
      <c r="Y2987" s="1"/>
      <c r="Z2987" s="1"/>
      <c r="AA2987" s="1"/>
      <c r="AB2987" s="1"/>
      <c r="AC2987" s="1"/>
      <c r="AD2987" s="1"/>
      <c r="AE2987" s="1"/>
      <c r="AF2987" s="1"/>
      <c r="AG2987" s="1"/>
      <c r="AH2987" s="1"/>
    </row>
    <row r="2988" spans="1:34" ht="12.5">
      <c r="A2988" s="1"/>
      <c r="B2988" s="1"/>
      <c r="C2988" s="1"/>
      <c r="D2988" s="1"/>
      <c r="E2988" s="1"/>
      <c r="F2988" s="1"/>
      <c r="G2988" s="1"/>
      <c r="H2988" s="1"/>
      <c r="I2988" s="1"/>
      <c r="J2988" s="1"/>
      <c r="K2988" s="1"/>
      <c r="L2988" s="1"/>
      <c r="M2988" s="1"/>
      <c r="N2988" s="1"/>
      <c r="O2988" s="1"/>
      <c r="P2988" s="1"/>
      <c r="Q2988" s="1"/>
      <c r="R2988" s="1"/>
      <c r="S2988" s="1"/>
      <c r="T2988" s="1"/>
      <c r="U2988" s="1"/>
      <c r="V2988" s="1"/>
      <c r="W2988" s="1"/>
      <c r="X2988" s="1"/>
      <c r="Y2988" s="1"/>
      <c r="Z2988" s="1"/>
      <c r="AA2988" s="1"/>
      <c r="AB2988" s="1"/>
      <c r="AC2988" s="1"/>
      <c r="AD2988" s="1"/>
      <c r="AE2988" s="1"/>
      <c r="AF2988" s="1"/>
      <c r="AG2988" s="1"/>
      <c r="AH2988" s="1"/>
    </row>
    <row r="2989" spans="1:34" ht="12.5">
      <c r="A2989" s="1"/>
      <c r="B2989" s="1"/>
      <c r="C2989" s="1"/>
      <c r="D2989" s="1"/>
      <c r="E2989" s="1"/>
      <c r="F2989" s="1"/>
      <c r="G2989" s="1"/>
      <c r="H2989" s="1"/>
      <c r="I2989" s="1"/>
      <c r="J2989" s="1"/>
      <c r="K2989" s="1"/>
      <c r="L2989" s="1"/>
      <c r="M2989" s="1"/>
      <c r="N2989" s="1"/>
      <c r="O2989" s="1"/>
      <c r="P2989" s="1"/>
      <c r="Q2989" s="1"/>
      <c r="R2989" s="1"/>
      <c r="S2989" s="1"/>
      <c r="T2989" s="1"/>
      <c r="U2989" s="1"/>
      <c r="V2989" s="1"/>
      <c r="W2989" s="1"/>
      <c r="X2989" s="1"/>
      <c r="Y2989" s="1"/>
      <c r="Z2989" s="1"/>
      <c r="AA2989" s="1"/>
      <c r="AB2989" s="1"/>
      <c r="AC2989" s="1"/>
      <c r="AD2989" s="1"/>
      <c r="AE2989" s="1"/>
      <c r="AF2989" s="1"/>
      <c r="AG2989" s="1"/>
      <c r="AH2989" s="1"/>
    </row>
    <row r="2990" spans="1:34" ht="12.5">
      <c r="A2990" s="1"/>
      <c r="B2990" s="1"/>
      <c r="C2990" s="1"/>
      <c r="D2990" s="1"/>
      <c r="E2990" s="1"/>
      <c r="F2990" s="1"/>
      <c r="G2990" s="1"/>
      <c r="H2990" s="1"/>
      <c r="I2990" s="1"/>
      <c r="J2990" s="1"/>
      <c r="K2990" s="1"/>
      <c r="L2990" s="1"/>
      <c r="M2990" s="1"/>
      <c r="N2990" s="1"/>
      <c r="O2990" s="1"/>
      <c r="P2990" s="1"/>
      <c r="Q2990" s="1"/>
      <c r="R2990" s="1"/>
      <c r="S2990" s="1"/>
      <c r="T2990" s="1"/>
      <c r="U2990" s="1"/>
      <c r="V2990" s="1"/>
      <c r="W2990" s="1"/>
      <c r="X2990" s="1"/>
      <c r="Y2990" s="1"/>
      <c r="Z2990" s="1"/>
      <c r="AA2990" s="1"/>
      <c r="AB2990" s="1"/>
      <c r="AC2990" s="1"/>
      <c r="AD2990" s="1"/>
      <c r="AE2990" s="1"/>
      <c r="AF2990" s="1"/>
      <c r="AG2990" s="1"/>
      <c r="AH2990" s="1"/>
    </row>
    <row r="2991" spans="1:34" ht="12.5">
      <c r="A2991" s="1"/>
      <c r="B2991" s="1"/>
      <c r="C2991" s="1"/>
      <c r="D2991" s="1"/>
      <c r="E2991" s="1"/>
      <c r="F2991" s="1"/>
      <c r="G2991" s="1"/>
      <c r="H2991" s="1"/>
      <c r="I2991" s="1"/>
      <c r="J2991" s="1"/>
      <c r="K2991" s="1"/>
      <c r="L2991" s="1"/>
      <c r="M2991" s="1"/>
      <c r="N2991" s="1"/>
      <c r="O2991" s="1"/>
      <c r="P2991" s="1"/>
      <c r="Q2991" s="1"/>
      <c r="R2991" s="1"/>
      <c r="S2991" s="1"/>
      <c r="T2991" s="1"/>
      <c r="U2991" s="1"/>
      <c r="V2991" s="1"/>
      <c r="W2991" s="1"/>
      <c r="X2991" s="1"/>
      <c r="Y2991" s="1"/>
      <c r="Z2991" s="1"/>
      <c r="AA2991" s="1"/>
      <c r="AB2991" s="1"/>
      <c r="AC2991" s="1"/>
      <c r="AD2991" s="1"/>
      <c r="AE2991" s="1"/>
      <c r="AF2991" s="1"/>
      <c r="AG2991" s="1"/>
      <c r="AH2991" s="1"/>
    </row>
    <row r="2992" spans="1:34" ht="12.5">
      <c r="A2992" s="1"/>
      <c r="B2992" s="1"/>
      <c r="C2992" s="1"/>
      <c r="D2992" s="1"/>
      <c r="E2992" s="1"/>
      <c r="F2992" s="1"/>
      <c r="G2992" s="1"/>
      <c r="H2992" s="1"/>
      <c r="I2992" s="1"/>
      <c r="J2992" s="1"/>
      <c r="K2992" s="1"/>
      <c r="L2992" s="1"/>
      <c r="M2992" s="1"/>
      <c r="N2992" s="1"/>
      <c r="O2992" s="1"/>
      <c r="P2992" s="1"/>
      <c r="Q2992" s="1"/>
      <c r="R2992" s="1"/>
      <c r="S2992" s="1"/>
      <c r="T2992" s="1"/>
      <c r="U2992" s="1"/>
      <c r="V2992" s="1"/>
      <c r="W2992" s="1"/>
      <c r="X2992" s="1"/>
      <c r="Y2992" s="1"/>
      <c r="Z2992" s="1"/>
      <c r="AA2992" s="1"/>
      <c r="AB2992" s="1"/>
      <c r="AC2992" s="1"/>
      <c r="AD2992" s="1"/>
      <c r="AE2992" s="1"/>
      <c r="AF2992" s="1"/>
      <c r="AG2992" s="1"/>
      <c r="AH2992" s="1"/>
    </row>
    <row r="2993" spans="1:34" ht="12.5">
      <c r="A2993" s="1"/>
      <c r="B2993" s="1"/>
      <c r="C2993" s="1"/>
      <c r="D2993" s="1"/>
      <c r="E2993" s="1"/>
      <c r="F2993" s="1"/>
      <c r="G2993" s="1"/>
      <c r="H2993" s="1"/>
      <c r="I2993" s="1"/>
      <c r="J2993" s="1"/>
      <c r="K2993" s="1"/>
      <c r="L2993" s="1"/>
      <c r="M2993" s="1"/>
      <c r="N2993" s="1"/>
      <c r="O2993" s="1"/>
      <c r="P2993" s="1"/>
      <c r="Q2993" s="1"/>
      <c r="R2993" s="1"/>
      <c r="S2993" s="1"/>
      <c r="T2993" s="1"/>
      <c r="U2993" s="1"/>
      <c r="V2993" s="1"/>
      <c r="W2993" s="1"/>
      <c r="X2993" s="1"/>
      <c r="Y2993" s="1"/>
      <c r="Z2993" s="1"/>
      <c r="AA2993" s="1"/>
      <c r="AB2993" s="1"/>
      <c r="AC2993" s="1"/>
      <c r="AD2993" s="1"/>
      <c r="AE2993" s="1"/>
      <c r="AF2993" s="1"/>
      <c r="AG2993" s="1"/>
      <c r="AH2993" s="1"/>
    </row>
    <row r="2994" spans="1:34" ht="12.5">
      <c r="A2994" s="1"/>
      <c r="B2994" s="1"/>
      <c r="C2994" s="1"/>
      <c r="D2994" s="1"/>
      <c r="E2994" s="1"/>
      <c r="F2994" s="1"/>
      <c r="G2994" s="1"/>
      <c r="H2994" s="1"/>
      <c r="I2994" s="1"/>
      <c r="J2994" s="1"/>
      <c r="K2994" s="1"/>
      <c r="L2994" s="1"/>
      <c r="M2994" s="1"/>
      <c r="N2994" s="1"/>
      <c r="O2994" s="1"/>
      <c r="P2994" s="1"/>
      <c r="Q2994" s="1"/>
      <c r="R2994" s="1"/>
      <c r="S2994" s="1"/>
      <c r="T2994" s="1"/>
      <c r="U2994" s="1"/>
      <c r="V2994" s="1"/>
      <c r="W2994" s="1"/>
      <c r="X2994" s="1"/>
      <c r="Y2994" s="1"/>
      <c r="Z2994" s="1"/>
      <c r="AA2994" s="1"/>
      <c r="AB2994" s="1"/>
      <c r="AC2994" s="1"/>
      <c r="AD2994" s="1"/>
      <c r="AE2994" s="1"/>
      <c r="AF2994" s="1"/>
      <c r="AG2994" s="1"/>
      <c r="AH2994" s="1"/>
    </row>
    <row r="2995" spans="1:34" ht="12.5">
      <c r="A2995" s="1"/>
      <c r="B2995" s="1"/>
      <c r="C2995" s="1"/>
      <c r="D2995" s="1"/>
      <c r="E2995" s="1"/>
      <c r="F2995" s="1"/>
      <c r="G2995" s="1"/>
      <c r="H2995" s="1"/>
      <c r="I2995" s="1"/>
      <c r="J2995" s="1"/>
      <c r="K2995" s="1"/>
      <c r="L2995" s="1"/>
      <c r="M2995" s="1"/>
      <c r="N2995" s="1"/>
      <c r="O2995" s="1"/>
      <c r="P2995" s="1"/>
      <c r="Q2995" s="1"/>
      <c r="R2995" s="1"/>
      <c r="S2995" s="1"/>
      <c r="T2995" s="1"/>
      <c r="U2995" s="1"/>
      <c r="V2995" s="1"/>
      <c r="W2995" s="1"/>
      <c r="X2995" s="1"/>
      <c r="Y2995" s="1"/>
      <c r="Z2995" s="1"/>
      <c r="AA2995" s="1"/>
      <c r="AB2995" s="1"/>
      <c r="AC2995" s="1"/>
      <c r="AD2995" s="1"/>
      <c r="AE2995" s="1"/>
      <c r="AF2995" s="1"/>
      <c r="AG2995" s="1"/>
      <c r="AH2995" s="1"/>
    </row>
    <row r="2996" spans="1:34" ht="12.5">
      <c r="A2996" s="1"/>
      <c r="B2996" s="1"/>
      <c r="C2996" s="1"/>
      <c r="D2996" s="1"/>
      <c r="E2996" s="1"/>
      <c r="F2996" s="1"/>
      <c r="G2996" s="1"/>
      <c r="H2996" s="1"/>
      <c r="I2996" s="1"/>
      <c r="J2996" s="1"/>
      <c r="K2996" s="1"/>
      <c r="L2996" s="1"/>
      <c r="M2996" s="1"/>
      <c r="N2996" s="1"/>
      <c r="O2996" s="1"/>
      <c r="P2996" s="1"/>
      <c r="Q2996" s="1"/>
      <c r="R2996" s="1"/>
      <c r="S2996" s="1"/>
      <c r="T2996" s="1"/>
      <c r="U2996" s="1"/>
      <c r="V2996" s="1"/>
      <c r="W2996" s="1"/>
      <c r="X2996" s="1"/>
      <c r="Y2996" s="1"/>
      <c r="Z2996" s="1"/>
      <c r="AA2996" s="1"/>
      <c r="AB2996" s="1"/>
      <c r="AC2996" s="1"/>
      <c r="AD2996" s="1"/>
      <c r="AE2996" s="1"/>
      <c r="AF2996" s="1"/>
      <c r="AG2996" s="1"/>
      <c r="AH2996" s="1"/>
    </row>
    <row r="2997" spans="1:34" ht="12.5">
      <c r="A2997" s="1"/>
      <c r="B2997" s="1"/>
      <c r="C2997" s="1"/>
      <c r="D2997" s="1"/>
      <c r="E2997" s="1"/>
      <c r="F2997" s="1"/>
      <c r="G2997" s="1"/>
      <c r="H2997" s="1"/>
      <c r="I2997" s="1"/>
      <c r="J2997" s="1"/>
      <c r="K2997" s="1"/>
      <c r="L2997" s="1"/>
      <c r="M2997" s="1"/>
      <c r="N2997" s="1"/>
      <c r="O2997" s="1"/>
      <c r="P2997" s="1"/>
      <c r="Q2997" s="1"/>
      <c r="R2997" s="1"/>
      <c r="S2997" s="1"/>
      <c r="T2997" s="1"/>
      <c r="U2997" s="1"/>
      <c r="V2997" s="1"/>
      <c r="W2997" s="1"/>
      <c r="X2997" s="1"/>
      <c r="Y2997" s="1"/>
      <c r="Z2997" s="1"/>
      <c r="AA2997" s="1"/>
      <c r="AB2997" s="1"/>
      <c r="AC2997" s="1"/>
      <c r="AD2997" s="1"/>
      <c r="AE2997" s="1"/>
      <c r="AF2997" s="1"/>
      <c r="AG2997" s="1"/>
      <c r="AH2997" s="1"/>
    </row>
    <row r="2998" spans="1:34" ht="12.5">
      <c r="A2998" s="1"/>
      <c r="B2998" s="1"/>
      <c r="C2998" s="1"/>
      <c r="D2998" s="1"/>
      <c r="E2998" s="1"/>
      <c r="F2998" s="1"/>
      <c r="G2998" s="1"/>
      <c r="H2998" s="1"/>
      <c r="I2998" s="1"/>
      <c r="J2998" s="1"/>
      <c r="K2998" s="1"/>
      <c r="L2998" s="1"/>
      <c r="M2998" s="1"/>
      <c r="N2998" s="1"/>
      <c r="O2998" s="1"/>
      <c r="P2998" s="1"/>
      <c r="Q2998" s="1"/>
      <c r="R2998" s="1"/>
      <c r="S2998" s="1"/>
      <c r="T2998" s="1"/>
      <c r="U2998" s="1"/>
      <c r="V2998" s="1"/>
      <c r="W2998" s="1"/>
      <c r="X2998" s="1"/>
      <c r="Y2998" s="1"/>
      <c r="Z2998" s="1"/>
      <c r="AA2998" s="1"/>
      <c r="AB2998" s="1"/>
      <c r="AC2998" s="1"/>
      <c r="AD2998" s="1"/>
      <c r="AE2998" s="1"/>
      <c r="AF2998" s="1"/>
      <c r="AG2998" s="1"/>
      <c r="AH2998" s="1"/>
    </row>
    <row r="2999" spans="1:34" ht="12.5">
      <c r="A2999" s="1"/>
      <c r="B2999" s="1"/>
      <c r="C2999" s="1"/>
      <c r="D2999" s="1"/>
      <c r="E2999" s="1"/>
      <c r="F2999" s="1"/>
      <c r="G2999" s="1"/>
      <c r="H2999" s="1"/>
      <c r="I2999" s="1"/>
      <c r="J2999" s="1"/>
      <c r="K2999" s="1"/>
      <c r="L2999" s="1"/>
      <c r="M2999" s="1"/>
      <c r="N2999" s="1"/>
      <c r="O2999" s="1"/>
      <c r="P2999" s="1"/>
      <c r="Q2999" s="1"/>
      <c r="R2999" s="1"/>
      <c r="S2999" s="1"/>
      <c r="T2999" s="1"/>
      <c r="U2999" s="1"/>
      <c r="V2999" s="1"/>
      <c r="W2999" s="1"/>
      <c r="X2999" s="1"/>
      <c r="Y2999" s="1"/>
      <c r="Z2999" s="1"/>
      <c r="AA2999" s="1"/>
      <c r="AB2999" s="1"/>
      <c r="AC2999" s="1"/>
      <c r="AD2999" s="1"/>
      <c r="AE2999" s="1"/>
      <c r="AF2999" s="1"/>
      <c r="AG2999" s="1"/>
      <c r="AH2999" s="1"/>
    </row>
    <row r="3000" spans="1:34" ht="12.5">
      <c r="A3000" s="1"/>
      <c r="B3000" s="1"/>
      <c r="C3000" s="1"/>
      <c r="D3000" s="1"/>
      <c r="E3000" s="1"/>
      <c r="F3000" s="1"/>
      <c r="G3000" s="1"/>
      <c r="H3000" s="1"/>
      <c r="I3000" s="1"/>
      <c r="J3000" s="1"/>
      <c r="K3000" s="1"/>
      <c r="L3000" s="1"/>
      <c r="M3000" s="1"/>
      <c r="N3000" s="1"/>
      <c r="O3000" s="1"/>
      <c r="P3000" s="1"/>
      <c r="Q3000" s="1"/>
      <c r="R3000" s="1"/>
      <c r="S3000" s="1"/>
      <c r="T3000" s="1"/>
      <c r="U3000" s="1"/>
      <c r="V3000" s="1"/>
      <c r="W3000" s="1"/>
      <c r="X3000" s="1"/>
      <c r="Y3000" s="1"/>
      <c r="Z3000" s="1"/>
      <c r="AA3000" s="1"/>
      <c r="AB3000" s="1"/>
      <c r="AC3000" s="1"/>
      <c r="AD3000" s="1"/>
      <c r="AE3000" s="1"/>
      <c r="AF3000" s="1"/>
      <c r="AG3000" s="1"/>
      <c r="AH3000" s="1"/>
    </row>
    <row r="3001" spans="1:34" ht="12.5">
      <c r="A3001" s="1"/>
      <c r="B3001" s="1"/>
      <c r="C3001" s="1"/>
      <c r="D3001" s="1"/>
      <c r="E3001" s="1"/>
      <c r="F3001" s="1"/>
      <c r="G3001" s="1"/>
      <c r="H3001" s="1"/>
      <c r="I3001" s="1"/>
      <c r="J3001" s="1"/>
      <c r="K3001" s="1"/>
      <c r="L3001" s="1"/>
      <c r="M3001" s="1"/>
      <c r="N3001" s="1"/>
      <c r="O3001" s="1"/>
      <c r="P3001" s="1"/>
      <c r="Q3001" s="1"/>
      <c r="R3001" s="1"/>
      <c r="S3001" s="1"/>
      <c r="T3001" s="1"/>
      <c r="U3001" s="1"/>
      <c r="V3001" s="1"/>
      <c r="W3001" s="1"/>
      <c r="X3001" s="1"/>
      <c r="Y3001" s="1"/>
      <c r="Z3001" s="1"/>
      <c r="AA3001" s="1"/>
      <c r="AB3001" s="1"/>
      <c r="AC3001" s="1"/>
      <c r="AD3001" s="1"/>
      <c r="AE3001" s="1"/>
      <c r="AF3001" s="1"/>
      <c r="AG3001" s="1"/>
      <c r="AH3001" s="1"/>
    </row>
    <row r="3002" spans="1:34" ht="12.5">
      <c r="A3002" s="1"/>
      <c r="B3002" s="1"/>
      <c r="C3002" s="1"/>
      <c r="D3002" s="1"/>
      <c r="E3002" s="1"/>
      <c r="F3002" s="1"/>
      <c r="G3002" s="1"/>
      <c r="H3002" s="1"/>
      <c r="I3002" s="1"/>
      <c r="J3002" s="1"/>
      <c r="K3002" s="1"/>
      <c r="L3002" s="1"/>
      <c r="M3002" s="1"/>
      <c r="N3002" s="1"/>
      <c r="O3002" s="1"/>
      <c r="P3002" s="1"/>
      <c r="Q3002" s="1"/>
      <c r="R3002" s="1"/>
      <c r="S3002" s="1"/>
      <c r="T3002" s="1"/>
      <c r="U3002" s="1"/>
      <c r="V3002" s="1"/>
      <c r="W3002" s="1"/>
      <c r="X3002" s="1"/>
      <c r="Y3002" s="1"/>
      <c r="Z3002" s="1"/>
      <c r="AA3002" s="1"/>
      <c r="AB3002" s="1"/>
      <c r="AC3002" s="1"/>
      <c r="AD3002" s="1"/>
      <c r="AE3002" s="1"/>
      <c r="AF3002" s="1"/>
      <c r="AG3002" s="1"/>
      <c r="AH3002" s="1"/>
    </row>
    <row r="3003" spans="1:34" ht="12.5">
      <c r="A3003" s="1"/>
      <c r="B3003" s="1"/>
      <c r="C3003" s="1"/>
      <c r="D3003" s="1"/>
      <c r="E3003" s="1"/>
      <c r="F3003" s="1"/>
      <c r="G3003" s="1"/>
      <c r="H3003" s="1"/>
      <c r="I3003" s="1"/>
      <c r="J3003" s="1"/>
      <c r="K3003" s="1"/>
      <c r="L3003" s="1"/>
      <c r="M3003" s="1"/>
      <c r="N3003" s="1"/>
      <c r="O3003" s="1"/>
      <c r="P3003" s="1"/>
      <c r="Q3003" s="1"/>
      <c r="R3003" s="1"/>
      <c r="S3003" s="1"/>
      <c r="T3003" s="1"/>
      <c r="U3003" s="1"/>
      <c r="V3003" s="1"/>
      <c r="W3003" s="1"/>
      <c r="X3003" s="1"/>
      <c r="Y3003" s="1"/>
      <c r="Z3003" s="1"/>
      <c r="AA3003" s="1"/>
      <c r="AB3003" s="1"/>
      <c r="AC3003" s="1"/>
      <c r="AD3003" s="1"/>
      <c r="AE3003" s="1"/>
      <c r="AF3003" s="1"/>
      <c r="AG3003" s="1"/>
      <c r="AH3003" s="1"/>
    </row>
    <row r="3004" spans="1:34" ht="12.5">
      <c r="A3004" s="1"/>
      <c r="B3004" s="1"/>
      <c r="C3004" s="1"/>
      <c r="D3004" s="1"/>
      <c r="E3004" s="1"/>
      <c r="F3004" s="1"/>
      <c r="G3004" s="1"/>
      <c r="H3004" s="1"/>
      <c r="I3004" s="1"/>
      <c r="J3004" s="1"/>
      <c r="K3004" s="1"/>
      <c r="L3004" s="1"/>
      <c r="M3004" s="1"/>
      <c r="N3004" s="1"/>
      <c r="O3004" s="1"/>
      <c r="P3004" s="1"/>
      <c r="Q3004" s="1"/>
      <c r="R3004" s="1"/>
      <c r="S3004" s="1"/>
      <c r="T3004" s="1"/>
      <c r="U3004" s="1"/>
      <c r="V3004" s="1"/>
      <c r="W3004" s="1"/>
      <c r="X3004" s="1"/>
      <c r="Y3004" s="1"/>
      <c r="Z3004" s="1"/>
      <c r="AA3004" s="1"/>
      <c r="AB3004" s="1"/>
      <c r="AC3004" s="1"/>
      <c r="AD3004" s="1"/>
      <c r="AE3004" s="1"/>
      <c r="AF3004" s="1"/>
      <c r="AG3004" s="1"/>
      <c r="AH3004" s="1"/>
    </row>
    <row r="3005" spans="1:34" ht="12.5">
      <c r="A3005" s="1"/>
      <c r="B3005" s="1"/>
      <c r="C3005" s="1"/>
      <c r="D3005" s="1"/>
      <c r="E3005" s="1"/>
      <c r="F3005" s="1"/>
      <c r="G3005" s="1"/>
      <c r="H3005" s="1"/>
      <c r="I3005" s="1"/>
      <c r="J3005" s="1"/>
      <c r="K3005" s="1"/>
      <c r="L3005" s="1"/>
      <c r="M3005" s="1"/>
      <c r="N3005" s="1"/>
      <c r="O3005" s="1"/>
      <c r="P3005" s="1"/>
      <c r="Q3005" s="1"/>
      <c r="R3005" s="1"/>
      <c r="S3005" s="1"/>
      <c r="T3005" s="1"/>
      <c r="U3005" s="1"/>
      <c r="V3005" s="1"/>
      <c r="W3005" s="1"/>
      <c r="X3005" s="1"/>
      <c r="Y3005" s="1"/>
      <c r="Z3005" s="1"/>
      <c r="AA3005" s="1"/>
      <c r="AB3005" s="1"/>
      <c r="AC3005" s="1"/>
      <c r="AD3005" s="1"/>
      <c r="AE3005" s="1"/>
      <c r="AF3005" s="1"/>
      <c r="AG3005" s="1"/>
      <c r="AH3005" s="1"/>
    </row>
    <row r="3006" spans="1:34" ht="12.5">
      <c r="A3006" s="1"/>
      <c r="B3006" s="1"/>
      <c r="C3006" s="1"/>
      <c r="D3006" s="1"/>
      <c r="E3006" s="1"/>
      <c r="F3006" s="1"/>
      <c r="G3006" s="1"/>
      <c r="H3006" s="1"/>
      <c r="I3006" s="1"/>
      <c r="J3006" s="1"/>
      <c r="K3006" s="1"/>
      <c r="L3006" s="1"/>
      <c r="M3006" s="1"/>
      <c r="N3006" s="1"/>
      <c r="O3006" s="1"/>
      <c r="P3006" s="1"/>
      <c r="Q3006" s="1"/>
      <c r="R3006" s="1"/>
      <c r="S3006" s="1"/>
      <c r="T3006" s="1"/>
      <c r="U3006" s="1"/>
      <c r="V3006" s="1"/>
      <c r="W3006" s="1"/>
      <c r="X3006" s="1"/>
      <c r="Y3006" s="1"/>
      <c r="Z3006" s="1"/>
      <c r="AA3006" s="1"/>
      <c r="AB3006" s="1"/>
      <c r="AC3006" s="1"/>
      <c r="AD3006" s="1"/>
      <c r="AE3006" s="1"/>
      <c r="AF3006" s="1"/>
      <c r="AG3006" s="1"/>
      <c r="AH3006" s="1"/>
    </row>
    <row r="3007" spans="1:34" ht="12.5">
      <c r="A3007" s="1"/>
      <c r="B3007" s="1"/>
      <c r="C3007" s="1"/>
      <c r="D3007" s="1"/>
      <c r="E3007" s="1"/>
      <c r="F3007" s="1"/>
      <c r="G3007" s="1"/>
      <c r="H3007" s="1"/>
      <c r="I3007" s="1"/>
      <c r="J3007" s="1"/>
      <c r="K3007" s="1"/>
      <c r="L3007" s="1"/>
      <c r="M3007" s="1"/>
      <c r="N3007" s="1"/>
      <c r="O3007" s="1"/>
      <c r="P3007" s="1"/>
      <c r="Q3007" s="1"/>
      <c r="R3007" s="1"/>
      <c r="S3007" s="1"/>
      <c r="T3007" s="1"/>
      <c r="U3007" s="1"/>
      <c r="V3007" s="1"/>
      <c r="W3007" s="1"/>
      <c r="X3007" s="1"/>
      <c r="Y3007" s="1"/>
      <c r="Z3007" s="1"/>
      <c r="AA3007" s="1"/>
      <c r="AB3007" s="1"/>
      <c r="AC3007" s="1"/>
      <c r="AD3007" s="1"/>
      <c r="AE3007" s="1"/>
      <c r="AF3007" s="1"/>
      <c r="AG3007" s="1"/>
      <c r="AH3007" s="1"/>
    </row>
    <row r="3008" spans="1:34" ht="12.5">
      <c r="A3008" s="1"/>
      <c r="B3008" s="1"/>
      <c r="C3008" s="1"/>
      <c r="D3008" s="1"/>
      <c r="E3008" s="1"/>
      <c r="F3008" s="1"/>
      <c r="G3008" s="1"/>
      <c r="H3008" s="1"/>
      <c r="I3008" s="1"/>
      <c r="J3008" s="1"/>
      <c r="K3008" s="1"/>
      <c r="L3008" s="1"/>
      <c r="M3008" s="1"/>
      <c r="N3008" s="1"/>
      <c r="O3008" s="1"/>
      <c r="P3008" s="1"/>
      <c r="Q3008" s="1"/>
      <c r="R3008" s="1"/>
      <c r="S3008" s="1"/>
      <c r="T3008" s="1"/>
      <c r="U3008" s="1"/>
      <c r="V3008" s="1"/>
      <c r="W3008" s="1"/>
      <c r="X3008" s="1"/>
      <c r="Y3008" s="1"/>
      <c r="Z3008" s="1"/>
      <c r="AA3008" s="1"/>
      <c r="AB3008" s="1"/>
      <c r="AC3008" s="1"/>
      <c r="AD3008" s="1"/>
      <c r="AE3008" s="1"/>
      <c r="AF3008" s="1"/>
      <c r="AG3008" s="1"/>
      <c r="AH3008" s="1"/>
    </row>
    <row r="3009" spans="1:34" ht="12.5">
      <c r="A3009" s="1"/>
      <c r="B3009" s="1"/>
      <c r="C3009" s="1"/>
      <c r="D3009" s="1"/>
      <c r="E3009" s="1"/>
      <c r="F3009" s="1"/>
      <c r="G3009" s="1"/>
      <c r="H3009" s="1"/>
      <c r="I3009" s="1"/>
      <c r="J3009" s="1"/>
      <c r="K3009" s="1"/>
      <c r="L3009" s="1"/>
      <c r="M3009" s="1"/>
      <c r="N3009" s="1"/>
      <c r="O3009" s="1"/>
      <c r="P3009" s="1"/>
      <c r="Q3009" s="1"/>
      <c r="R3009" s="1"/>
      <c r="S3009" s="1"/>
      <c r="T3009" s="1"/>
      <c r="U3009" s="1"/>
      <c r="V3009" s="1"/>
      <c r="W3009" s="1"/>
      <c r="X3009" s="1"/>
      <c r="Y3009" s="1"/>
      <c r="Z3009" s="1"/>
      <c r="AA3009" s="1"/>
      <c r="AB3009" s="1"/>
      <c r="AC3009" s="1"/>
      <c r="AD3009" s="1"/>
      <c r="AE3009" s="1"/>
      <c r="AF3009" s="1"/>
      <c r="AG3009" s="1"/>
      <c r="AH3009" s="1"/>
    </row>
    <row r="3010" spans="1:34" ht="12.5">
      <c r="A3010" s="1"/>
      <c r="B3010" s="1"/>
      <c r="C3010" s="1"/>
      <c r="D3010" s="1"/>
      <c r="E3010" s="1"/>
      <c r="F3010" s="1"/>
      <c r="G3010" s="1"/>
      <c r="H3010" s="1"/>
      <c r="I3010" s="1"/>
      <c r="J3010" s="1"/>
      <c r="K3010" s="1"/>
      <c r="L3010" s="1"/>
      <c r="M3010" s="1"/>
      <c r="N3010" s="1"/>
      <c r="O3010" s="1"/>
      <c r="P3010" s="1"/>
      <c r="Q3010" s="1"/>
      <c r="R3010" s="1"/>
      <c r="S3010" s="1"/>
      <c r="T3010" s="1"/>
      <c r="U3010" s="1"/>
      <c r="V3010" s="1"/>
      <c r="W3010" s="1"/>
      <c r="X3010" s="1"/>
      <c r="Y3010" s="1"/>
      <c r="Z3010" s="1"/>
      <c r="AA3010" s="1"/>
      <c r="AB3010" s="1"/>
      <c r="AC3010" s="1"/>
      <c r="AD3010" s="1"/>
      <c r="AE3010" s="1"/>
      <c r="AF3010" s="1"/>
      <c r="AG3010" s="1"/>
      <c r="AH3010" s="1"/>
    </row>
    <row r="3011" spans="1:34" ht="12.5">
      <c r="A3011" s="1"/>
      <c r="B3011" s="1"/>
      <c r="C3011" s="1"/>
      <c r="D3011" s="1"/>
      <c r="E3011" s="1"/>
      <c r="F3011" s="1"/>
      <c r="G3011" s="1"/>
      <c r="H3011" s="1"/>
      <c r="I3011" s="1"/>
      <c r="J3011" s="1"/>
      <c r="K3011" s="1"/>
      <c r="L3011" s="1"/>
      <c r="M3011" s="1"/>
      <c r="N3011" s="1"/>
      <c r="O3011" s="1"/>
      <c r="P3011" s="1"/>
      <c r="Q3011" s="1"/>
      <c r="R3011" s="1"/>
      <c r="S3011" s="1"/>
      <c r="T3011" s="1"/>
      <c r="U3011" s="1"/>
      <c r="V3011" s="1"/>
      <c r="W3011" s="1"/>
      <c r="X3011" s="1"/>
      <c r="Y3011" s="1"/>
      <c r="Z3011" s="1"/>
      <c r="AA3011" s="1"/>
      <c r="AB3011" s="1"/>
      <c r="AC3011" s="1"/>
      <c r="AD3011" s="1"/>
      <c r="AE3011" s="1"/>
      <c r="AF3011" s="1"/>
      <c r="AG3011" s="1"/>
      <c r="AH3011" s="1"/>
    </row>
    <row r="3012" spans="1:34" ht="12.5">
      <c r="A3012" s="1"/>
      <c r="B3012" s="1"/>
      <c r="C3012" s="1"/>
      <c r="D3012" s="1"/>
      <c r="E3012" s="1"/>
      <c r="F3012" s="1"/>
      <c r="G3012" s="1"/>
      <c r="H3012" s="1"/>
      <c r="I3012" s="1"/>
      <c r="J3012" s="1"/>
      <c r="K3012" s="1"/>
      <c r="L3012" s="1"/>
      <c r="M3012" s="1"/>
      <c r="N3012" s="1"/>
      <c r="O3012" s="1"/>
      <c r="P3012" s="1"/>
      <c r="Q3012" s="1"/>
      <c r="R3012" s="1"/>
      <c r="S3012" s="1"/>
      <c r="T3012" s="1"/>
      <c r="U3012" s="1"/>
      <c r="V3012" s="1"/>
      <c r="W3012" s="1"/>
      <c r="X3012" s="1"/>
      <c r="Y3012" s="1"/>
      <c r="Z3012" s="1"/>
      <c r="AA3012" s="1"/>
      <c r="AB3012" s="1"/>
      <c r="AC3012" s="1"/>
      <c r="AD3012" s="1"/>
      <c r="AE3012" s="1"/>
      <c r="AF3012" s="1"/>
      <c r="AG3012" s="1"/>
      <c r="AH3012" s="1"/>
    </row>
    <row r="3013" spans="1:34" ht="12.5">
      <c r="A3013" s="1"/>
      <c r="B3013" s="1"/>
      <c r="C3013" s="1"/>
      <c r="D3013" s="1"/>
      <c r="E3013" s="1"/>
      <c r="F3013" s="1"/>
      <c r="G3013" s="1"/>
      <c r="H3013" s="1"/>
      <c r="I3013" s="1"/>
      <c r="J3013" s="1"/>
      <c r="K3013" s="1"/>
      <c r="L3013" s="1"/>
      <c r="M3013" s="1"/>
      <c r="N3013" s="1"/>
      <c r="O3013" s="1"/>
      <c r="P3013" s="1"/>
      <c r="Q3013" s="1"/>
      <c r="R3013" s="1"/>
      <c r="S3013" s="1"/>
      <c r="T3013" s="1"/>
      <c r="U3013" s="1"/>
      <c r="V3013" s="1"/>
      <c r="W3013" s="1"/>
      <c r="X3013" s="1"/>
      <c r="Y3013" s="1"/>
      <c r="Z3013" s="1"/>
      <c r="AA3013" s="1"/>
      <c r="AB3013" s="1"/>
      <c r="AC3013" s="1"/>
      <c r="AD3013" s="1"/>
      <c r="AE3013" s="1"/>
      <c r="AF3013" s="1"/>
      <c r="AG3013" s="1"/>
      <c r="AH3013" s="1"/>
    </row>
    <row r="3014" spans="1:34" ht="12.5">
      <c r="A3014" s="1"/>
      <c r="B3014" s="1"/>
      <c r="C3014" s="1"/>
      <c r="D3014" s="1"/>
      <c r="E3014" s="1"/>
      <c r="F3014" s="1"/>
      <c r="G3014" s="1"/>
      <c r="H3014" s="1"/>
      <c r="I3014" s="1"/>
      <c r="J3014" s="1"/>
      <c r="K3014" s="1"/>
      <c r="L3014" s="1"/>
      <c r="M3014" s="1"/>
      <c r="N3014" s="1"/>
      <c r="O3014" s="1"/>
      <c r="P3014" s="1"/>
      <c r="Q3014" s="1"/>
      <c r="R3014" s="1"/>
      <c r="S3014" s="1"/>
      <c r="T3014" s="1"/>
      <c r="U3014" s="1"/>
      <c r="V3014" s="1"/>
      <c r="W3014" s="1"/>
      <c r="X3014" s="1"/>
      <c r="Y3014" s="1"/>
      <c r="Z3014" s="1"/>
      <c r="AA3014" s="1"/>
      <c r="AB3014" s="1"/>
      <c r="AC3014" s="1"/>
      <c r="AD3014" s="1"/>
      <c r="AE3014" s="1"/>
      <c r="AF3014" s="1"/>
      <c r="AG3014" s="1"/>
      <c r="AH3014" s="1"/>
    </row>
    <row r="3015" spans="1:34" ht="12.5">
      <c r="A3015" s="1"/>
      <c r="B3015" s="1"/>
      <c r="C3015" s="1"/>
      <c r="D3015" s="1"/>
      <c r="E3015" s="1"/>
      <c r="F3015" s="1"/>
      <c r="G3015" s="1"/>
      <c r="H3015" s="1"/>
      <c r="I3015" s="1"/>
      <c r="J3015" s="1"/>
      <c r="K3015" s="1"/>
      <c r="L3015" s="1"/>
      <c r="M3015" s="1"/>
      <c r="N3015" s="1"/>
      <c r="O3015" s="1"/>
      <c r="P3015" s="1"/>
      <c r="Q3015" s="1"/>
      <c r="R3015" s="1"/>
      <c r="S3015" s="1"/>
      <c r="T3015" s="1"/>
      <c r="U3015" s="1"/>
      <c r="V3015" s="1"/>
      <c r="W3015" s="1"/>
      <c r="X3015" s="1"/>
      <c r="Y3015" s="1"/>
      <c r="Z3015" s="1"/>
      <c r="AA3015" s="1"/>
      <c r="AB3015" s="1"/>
      <c r="AC3015" s="1"/>
      <c r="AD3015" s="1"/>
      <c r="AE3015" s="1"/>
      <c r="AF3015" s="1"/>
      <c r="AG3015" s="1"/>
      <c r="AH3015" s="1"/>
    </row>
    <row r="3016" spans="1:34" ht="12.5">
      <c r="A3016" s="1"/>
      <c r="B3016" s="1"/>
      <c r="C3016" s="1"/>
      <c r="D3016" s="1"/>
      <c r="E3016" s="1"/>
      <c r="F3016" s="1"/>
      <c r="G3016" s="1"/>
      <c r="H3016" s="1"/>
      <c r="I3016" s="1"/>
      <c r="J3016" s="1"/>
      <c r="K3016" s="1"/>
      <c r="L3016" s="1"/>
      <c r="M3016" s="1"/>
      <c r="N3016" s="1"/>
      <c r="O3016" s="1"/>
      <c r="P3016" s="1"/>
      <c r="Q3016" s="1"/>
      <c r="R3016" s="1"/>
      <c r="S3016" s="1"/>
      <c r="T3016" s="1"/>
      <c r="U3016" s="1"/>
      <c r="V3016" s="1"/>
      <c r="W3016" s="1"/>
      <c r="X3016" s="1"/>
      <c r="Y3016" s="1"/>
      <c r="Z3016" s="1"/>
      <c r="AA3016" s="1"/>
      <c r="AB3016" s="1"/>
      <c r="AC3016" s="1"/>
      <c r="AD3016" s="1"/>
      <c r="AE3016" s="1"/>
      <c r="AF3016" s="1"/>
      <c r="AG3016" s="1"/>
      <c r="AH3016" s="1"/>
    </row>
    <row r="3017" spans="1:34" ht="12.5">
      <c r="A3017" s="1"/>
      <c r="B3017" s="1"/>
      <c r="C3017" s="1"/>
      <c r="D3017" s="1"/>
      <c r="E3017" s="1"/>
      <c r="F3017" s="1"/>
      <c r="G3017" s="1"/>
      <c r="H3017" s="1"/>
      <c r="I3017" s="1"/>
      <c r="J3017" s="1"/>
      <c r="K3017" s="1"/>
      <c r="L3017" s="1"/>
      <c r="M3017" s="1"/>
      <c r="N3017" s="1"/>
      <c r="O3017" s="1"/>
      <c r="P3017" s="1"/>
      <c r="Q3017" s="1"/>
      <c r="R3017" s="1"/>
      <c r="S3017" s="1"/>
      <c r="T3017" s="1"/>
      <c r="U3017" s="1"/>
      <c r="V3017" s="1"/>
      <c r="W3017" s="1"/>
      <c r="X3017" s="1"/>
      <c r="Y3017" s="1"/>
      <c r="Z3017" s="1"/>
      <c r="AA3017" s="1"/>
      <c r="AB3017" s="1"/>
      <c r="AC3017" s="1"/>
      <c r="AD3017" s="1"/>
      <c r="AE3017" s="1"/>
      <c r="AF3017" s="1"/>
      <c r="AG3017" s="1"/>
      <c r="AH3017" s="1"/>
    </row>
    <row r="3018" spans="1:34" ht="12.5">
      <c r="A3018" s="1"/>
      <c r="B3018" s="1"/>
      <c r="C3018" s="1"/>
      <c r="D3018" s="1"/>
      <c r="E3018" s="1"/>
      <c r="F3018" s="1"/>
      <c r="G3018" s="1"/>
      <c r="H3018" s="1"/>
      <c r="I3018" s="1"/>
      <c r="J3018" s="1"/>
      <c r="K3018" s="1"/>
      <c r="L3018" s="1"/>
      <c r="M3018" s="1"/>
      <c r="N3018" s="1"/>
      <c r="O3018" s="1"/>
      <c r="P3018" s="1"/>
      <c r="Q3018" s="1"/>
      <c r="R3018" s="1"/>
      <c r="S3018" s="1"/>
      <c r="T3018" s="1"/>
      <c r="U3018" s="1"/>
      <c r="V3018" s="1"/>
      <c r="W3018" s="1"/>
      <c r="X3018" s="1"/>
      <c r="Y3018" s="1"/>
      <c r="Z3018" s="1"/>
      <c r="AA3018" s="1"/>
      <c r="AB3018" s="1"/>
      <c r="AC3018" s="1"/>
      <c r="AD3018" s="1"/>
      <c r="AE3018" s="1"/>
      <c r="AF3018" s="1"/>
      <c r="AG3018" s="1"/>
      <c r="AH3018" s="1"/>
    </row>
    <row r="3019" spans="1:34" ht="12.5">
      <c r="A3019" s="1"/>
      <c r="B3019" s="1"/>
      <c r="C3019" s="1"/>
      <c r="D3019" s="1"/>
      <c r="E3019" s="1"/>
      <c r="F3019" s="1"/>
      <c r="G3019" s="1"/>
      <c r="H3019" s="1"/>
      <c r="I3019" s="1"/>
      <c r="J3019" s="1"/>
      <c r="K3019" s="1"/>
      <c r="L3019" s="1"/>
      <c r="M3019" s="1"/>
      <c r="N3019" s="1"/>
      <c r="O3019" s="1"/>
      <c r="P3019" s="1"/>
      <c r="Q3019" s="1"/>
      <c r="R3019" s="1"/>
      <c r="S3019" s="1"/>
      <c r="T3019" s="1"/>
      <c r="U3019" s="1"/>
      <c r="V3019" s="1"/>
      <c r="W3019" s="1"/>
      <c r="X3019" s="1"/>
      <c r="Y3019" s="1"/>
      <c r="Z3019" s="1"/>
      <c r="AA3019" s="1"/>
      <c r="AB3019" s="1"/>
      <c r="AC3019" s="1"/>
      <c r="AD3019" s="1"/>
      <c r="AE3019" s="1"/>
      <c r="AF3019" s="1"/>
      <c r="AG3019" s="1"/>
      <c r="AH3019" s="1"/>
    </row>
    <row r="3020" spans="1:34" ht="12.5">
      <c r="A3020" s="1"/>
      <c r="B3020" s="1"/>
      <c r="C3020" s="1"/>
      <c r="D3020" s="1"/>
      <c r="E3020" s="1"/>
      <c r="F3020" s="1"/>
      <c r="G3020" s="1"/>
      <c r="H3020" s="1"/>
      <c r="I3020" s="1"/>
      <c r="J3020" s="1"/>
      <c r="K3020" s="1"/>
      <c r="L3020" s="1"/>
      <c r="M3020" s="1"/>
      <c r="N3020" s="1"/>
      <c r="O3020" s="1"/>
      <c r="P3020" s="1"/>
      <c r="Q3020" s="1"/>
      <c r="R3020" s="1"/>
      <c r="S3020" s="1"/>
      <c r="T3020" s="1"/>
      <c r="U3020" s="1"/>
      <c r="V3020" s="1"/>
      <c r="W3020" s="1"/>
      <c r="X3020" s="1"/>
      <c r="Y3020" s="1"/>
      <c r="Z3020" s="1"/>
      <c r="AA3020" s="1"/>
      <c r="AB3020" s="1"/>
      <c r="AC3020" s="1"/>
      <c r="AD3020" s="1"/>
      <c r="AE3020" s="1"/>
      <c r="AF3020" s="1"/>
      <c r="AG3020" s="1"/>
      <c r="AH3020" s="1"/>
    </row>
    <row r="3021" spans="1:34" ht="12.5">
      <c r="A3021" s="1"/>
      <c r="B3021" s="1"/>
      <c r="C3021" s="1"/>
      <c r="D3021" s="1"/>
      <c r="E3021" s="1"/>
      <c r="F3021" s="1"/>
      <c r="G3021" s="1"/>
      <c r="H3021" s="1"/>
      <c r="I3021" s="1"/>
      <c r="J3021" s="1"/>
      <c r="K3021" s="1"/>
      <c r="L3021" s="1"/>
      <c r="M3021" s="1"/>
      <c r="N3021" s="1"/>
      <c r="O3021" s="1"/>
      <c r="P3021" s="1"/>
      <c r="Q3021" s="1"/>
      <c r="R3021" s="1"/>
      <c r="S3021" s="1"/>
      <c r="T3021" s="1"/>
      <c r="U3021" s="1"/>
      <c r="V3021" s="1"/>
      <c r="W3021" s="1"/>
      <c r="X3021" s="1"/>
      <c r="Y3021" s="1"/>
      <c r="Z3021" s="1"/>
      <c r="AA3021" s="1"/>
      <c r="AB3021" s="1"/>
      <c r="AC3021" s="1"/>
      <c r="AD3021" s="1"/>
      <c r="AE3021" s="1"/>
      <c r="AF3021" s="1"/>
      <c r="AG3021" s="1"/>
      <c r="AH3021" s="1"/>
    </row>
    <row r="3022" spans="1:34" ht="12.5">
      <c r="A3022" s="1"/>
      <c r="B3022" s="1"/>
      <c r="C3022" s="1"/>
      <c r="D3022" s="1"/>
      <c r="E3022" s="1"/>
      <c r="F3022" s="1"/>
      <c r="G3022" s="1"/>
      <c r="H3022" s="1"/>
      <c r="I3022" s="1"/>
      <c r="J3022" s="1"/>
      <c r="K3022" s="1"/>
      <c r="L3022" s="1"/>
      <c r="M3022" s="1"/>
      <c r="N3022" s="1"/>
      <c r="O3022" s="1"/>
      <c r="P3022" s="1"/>
      <c r="Q3022" s="1"/>
      <c r="R3022" s="1"/>
      <c r="S3022" s="1"/>
      <c r="T3022" s="1"/>
      <c r="U3022" s="1"/>
      <c r="V3022" s="1"/>
      <c r="W3022" s="1"/>
      <c r="X3022" s="1"/>
      <c r="Y3022" s="1"/>
      <c r="Z3022" s="1"/>
      <c r="AA3022" s="1"/>
      <c r="AB3022" s="1"/>
      <c r="AC3022" s="1"/>
      <c r="AD3022" s="1"/>
      <c r="AE3022" s="1"/>
      <c r="AF3022" s="1"/>
      <c r="AG3022" s="1"/>
      <c r="AH3022" s="1"/>
    </row>
    <row r="3023" spans="1:34" ht="12.5">
      <c r="A3023" s="1"/>
      <c r="B3023" s="1"/>
      <c r="C3023" s="1"/>
      <c r="D3023" s="1"/>
      <c r="E3023" s="1"/>
      <c r="F3023" s="1"/>
      <c r="G3023" s="1"/>
      <c r="H3023" s="1"/>
      <c r="I3023" s="1"/>
      <c r="J3023" s="1"/>
      <c r="K3023" s="1"/>
      <c r="L3023" s="1"/>
      <c r="M3023" s="1"/>
      <c r="N3023" s="1"/>
      <c r="O3023" s="1"/>
      <c r="P3023" s="1"/>
      <c r="Q3023" s="1"/>
      <c r="R3023" s="1"/>
      <c r="S3023" s="1"/>
      <c r="T3023" s="1"/>
      <c r="U3023" s="1"/>
      <c r="V3023" s="1"/>
      <c r="W3023" s="1"/>
      <c r="X3023" s="1"/>
      <c r="Y3023" s="1"/>
      <c r="Z3023" s="1"/>
      <c r="AA3023" s="1"/>
      <c r="AB3023" s="1"/>
      <c r="AC3023" s="1"/>
      <c r="AD3023" s="1"/>
      <c r="AE3023" s="1"/>
      <c r="AF3023" s="1"/>
      <c r="AG3023" s="1"/>
      <c r="AH3023" s="1"/>
    </row>
    <row r="3024" spans="1:34" ht="12.5">
      <c r="A3024" s="1"/>
      <c r="B3024" s="1"/>
      <c r="C3024" s="1"/>
      <c r="D3024" s="1"/>
      <c r="E3024" s="1"/>
      <c r="F3024" s="1"/>
      <c r="G3024" s="1"/>
      <c r="H3024" s="1"/>
      <c r="I3024" s="1"/>
      <c r="J3024" s="1"/>
      <c r="K3024" s="1"/>
      <c r="L3024" s="1"/>
      <c r="M3024" s="1"/>
      <c r="N3024" s="1"/>
      <c r="O3024" s="1"/>
      <c r="P3024" s="1"/>
      <c r="Q3024" s="1"/>
      <c r="R3024" s="1"/>
      <c r="S3024" s="1"/>
      <c r="T3024" s="1"/>
      <c r="U3024" s="1"/>
      <c r="V3024" s="1"/>
      <c r="W3024" s="1"/>
      <c r="X3024" s="1"/>
      <c r="Y3024" s="1"/>
      <c r="Z3024" s="1"/>
      <c r="AA3024" s="1"/>
      <c r="AB3024" s="1"/>
      <c r="AC3024" s="1"/>
      <c r="AD3024" s="1"/>
      <c r="AE3024" s="1"/>
      <c r="AF3024" s="1"/>
      <c r="AG3024" s="1"/>
      <c r="AH3024" s="1"/>
    </row>
    <row r="3025" spans="1:34" ht="12.5">
      <c r="A3025" s="1"/>
      <c r="B3025" s="1"/>
      <c r="C3025" s="1"/>
      <c r="D3025" s="1"/>
      <c r="E3025" s="1"/>
      <c r="F3025" s="1"/>
      <c r="G3025" s="1"/>
      <c r="H3025" s="1"/>
      <c r="I3025" s="1"/>
      <c r="J3025" s="1"/>
      <c r="K3025" s="1"/>
      <c r="L3025" s="1"/>
      <c r="M3025" s="1"/>
      <c r="N3025" s="1"/>
      <c r="O3025" s="1"/>
      <c r="P3025" s="1"/>
      <c r="Q3025" s="1"/>
      <c r="R3025" s="1"/>
      <c r="S3025" s="1"/>
      <c r="T3025" s="1"/>
      <c r="U3025" s="1"/>
      <c r="V3025" s="1"/>
      <c r="W3025" s="1"/>
      <c r="X3025" s="1"/>
      <c r="Y3025" s="1"/>
      <c r="Z3025" s="1"/>
      <c r="AA3025" s="1"/>
      <c r="AB3025" s="1"/>
      <c r="AC3025" s="1"/>
      <c r="AD3025" s="1"/>
      <c r="AE3025" s="1"/>
      <c r="AF3025" s="1"/>
      <c r="AG3025" s="1"/>
      <c r="AH3025" s="1"/>
    </row>
    <row r="3026" spans="1:34" ht="12.5">
      <c r="A3026" s="1"/>
      <c r="B3026" s="1"/>
      <c r="C3026" s="1"/>
      <c r="D3026" s="1"/>
      <c r="E3026" s="1"/>
      <c r="F3026" s="1"/>
      <c r="G3026" s="1"/>
      <c r="H3026" s="1"/>
      <c r="I3026" s="1"/>
      <c r="J3026" s="1"/>
      <c r="K3026" s="1"/>
      <c r="L3026" s="1"/>
      <c r="M3026" s="1"/>
      <c r="N3026" s="1"/>
      <c r="O3026" s="1"/>
      <c r="P3026" s="1"/>
      <c r="Q3026" s="1"/>
      <c r="R3026" s="1"/>
      <c r="S3026" s="1"/>
      <c r="T3026" s="1"/>
      <c r="U3026" s="1"/>
      <c r="V3026" s="1"/>
      <c r="W3026" s="1"/>
      <c r="X3026" s="1"/>
      <c r="Y3026" s="1"/>
      <c r="Z3026" s="1"/>
      <c r="AA3026" s="1"/>
      <c r="AB3026" s="1"/>
      <c r="AC3026" s="1"/>
      <c r="AD3026" s="1"/>
      <c r="AE3026" s="1"/>
      <c r="AF3026" s="1"/>
      <c r="AG3026" s="1"/>
      <c r="AH3026" s="1"/>
    </row>
    <row r="3027" spans="1:34" ht="12.5">
      <c r="A3027" s="1"/>
      <c r="B3027" s="1"/>
      <c r="C3027" s="1"/>
      <c r="D3027" s="1"/>
      <c r="E3027" s="1"/>
      <c r="F3027" s="1"/>
      <c r="G3027" s="1"/>
      <c r="H3027" s="1"/>
      <c r="I3027" s="1"/>
      <c r="J3027" s="1"/>
      <c r="K3027" s="1"/>
      <c r="L3027" s="1"/>
      <c r="M3027" s="1"/>
      <c r="N3027" s="1"/>
      <c r="O3027" s="1"/>
      <c r="P3027" s="1"/>
      <c r="Q3027" s="1"/>
      <c r="R3027" s="1"/>
      <c r="S3027" s="1"/>
      <c r="T3027" s="1"/>
      <c r="U3027" s="1"/>
      <c r="V3027" s="1"/>
      <c r="W3027" s="1"/>
      <c r="X3027" s="1"/>
      <c r="Y3027" s="1"/>
      <c r="Z3027" s="1"/>
      <c r="AA3027" s="1"/>
      <c r="AB3027" s="1"/>
      <c r="AC3027" s="1"/>
      <c r="AD3027" s="1"/>
      <c r="AE3027" s="1"/>
      <c r="AF3027" s="1"/>
      <c r="AG3027" s="1"/>
      <c r="AH3027" s="1"/>
    </row>
    <row r="3028" spans="1:34" ht="12.5">
      <c r="A3028" s="1"/>
      <c r="B3028" s="1"/>
      <c r="C3028" s="1"/>
      <c r="D3028" s="1"/>
      <c r="E3028" s="1"/>
      <c r="F3028" s="1"/>
      <c r="G3028" s="1"/>
      <c r="H3028" s="1"/>
      <c r="I3028" s="1"/>
      <c r="J3028" s="1"/>
      <c r="K3028" s="1"/>
      <c r="L3028" s="1"/>
      <c r="M3028" s="1"/>
      <c r="N3028" s="1"/>
      <c r="O3028" s="1"/>
      <c r="P3028" s="1"/>
      <c r="Q3028" s="1"/>
      <c r="R3028" s="1"/>
      <c r="S3028" s="1"/>
      <c r="T3028" s="1"/>
      <c r="U3028" s="1"/>
      <c r="V3028" s="1"/>
      <c r="W3028" s="1"/>
      <c r="X3028" s="1"/>
      <c r="Y3028" s="1"/>
      <c r="Z3028" s="1"/>
      <c r="AA3028" s="1"/>
      <c r="AB3028" s="1"/>
      <c r="AC3028" s="1"/>
      <c r="AD3028" s="1"/>
      <c r="AE3028" s="1"/>
      <c r="AF3028" s="1"/>
      <c r="AG3028" s="1"/>
      <c r="AH3028" s="1"/>
    </row>
    <row r="3029" spans="1:34" ht="12.5">
      <c r="A3029" s="1"/>
      <c r="B3029" s="1"/>
      <c r="C3029" s="1"/>
      <c r="D3029" s="1"/>
      <c r="E3029" s="1"/>
      <c r="F3029" s="1"/>
      <c r="G3029" s="1"/>
      <c r="H3029" s="1"/>
      <c r="I3029" s="1"/>
      <c r="J3029" s="1"/>
      <c r="K3029" s="1"/>
      <c r="L3029" s="1"/>
      <c r="M3029" s="1"/>
      <c r="N3029" s="1"/>
      <c r="O3029" s="1"/>
      <c r="P3029" s="1"/>
      <c r="Q3029" s="1"/>
      <c r="R3029" s="1"/>
      <c r="S3029" s="1"/>
      <c r="T3029" s="1"/>
      <c r="U3029" s="1"/>
      <c r="V3029" s="1"/>
      <c r="W3029" s="1"/>
      <c r="X3029" s="1"/>
      <c r="Y3029" s="1"/>
      <c r="Z3029" s="1"/>
      <c r="AA3029" s="1"/>
      <c r="AB3029" s="1"/>
      <c r="AC3029" s="1"/>
      <c r="AD3029" s="1"/>
      <c r="AE3029" s="1"/>
      <c r="AF3029" s="1"/>
      <c r="AG3029" s="1"/>
      <c r="AH3029" s="1"/>
    </row>
    <row r="3030" spans="1:34" ht="12.5">
      <c r="A3030" s="1"/>
      <c r="B3030" s="1"/>
      <c r="C3030" s="1"/>
      <c r="D3030" s="1"/>
      <c r="E3030" s="1"/>
      <c r="F3030" s="1"/>
      <c r="G3030" s="1"/>
      <c r="H3030" s="1"/>
      <c r="I3030" s="1"/>
      <c r="J3030" s="1"/>
      <c r="K3030" s="1"/>
      <c r="L3030" s="1"/>
      <c r="M3030" s="1"/>
      <c r="N3030" s="1"/>
      <c r="O3030" s="1"/>
      <c r="P3030" s="1"/>
      <c r="Q3030" s="1"/>
      <c r="R3030" s="1"/>
      <c r="S3030" s="1"/>
      <c r="T3030" s="1"/>
      <c r="U3030" s="1"/>
      <c r="V3030" s="1"/>
      <c r="W3030" s="1"/>
      <c r="X3030" s="1"/>
      <c r="Y3030" s="1"/>
      <c r="Z3030" s="1"/>
      <c r="AA3030" s="1"/>
      <c r="AB3030" s="1"/>
      <c r="AC3030" s="1"/>
      <c r="AD3030" s="1"/>
      <c r="AE3030" s="1"/>
      <c r="AF3030" s="1"/>
      <c r="AG3030" s="1"/>
      <c r="AH3030" s="1"/>
    </row>
    <row r="3031" spans="1:34" ht="12.5">
      <c r="A3031" s="1"/>
      <c r="B3031" s="1"/>
      <c r="C3031" s="1"/>
      <c r="D3031" s="1"/>
      <c r="E3031" s="1"/>
      <c r="F3031" s="1"/>
      <c r="G3031" s="1"/>
      <c r="H3031" s="1"/>
      <c r="I3031" s="1"/>
      <c r="J3031" s="1"/>
      <c r="K3031" s="1"/>
      <c r="L3031" s="1"/>
      <c r="M3031" s="1"/>
      <c r="N3031" s="1"/>
      <c r="O3031" s="1"/>
      <c r="P3031" s="1"/>
      <c r="Q3031" s="1"/>
      <c r="R3031" s="1"/>
      <c r="S3031" s="1"/>
      <c r="T3031" s="1"/>
      <c r="U3031" s="1"/>
      <c r="V3031" s="1"/>
      <c r="W3031" s="1"/>
      <c r="X3031" s="1"/>
      <c r="Y3031" s="1"/>
      <c r="Z3031" s="1"/>
      <c r="AA3031" s="1"/>
      <c r="AB3031" s="1"/>
      <c r="AC3031" s="1"/>
      <c r="AD3031" s="1"/>
      <c r="AE3031" s="1"/>
      <c r="AF3031" s="1"/>
      <c r="AG3031" s="1"/>
      <c r="AH3031" s="1"/>
    </row>
    <row r="3032" spans="1:34" ht="12.5">
      <c r="A3032" s="1"/>
      <c r="B3032" s="1"/>
      <c r="C3032" s="1"/>
      <c r="D3032" s="1"/>
      <c r="E3032" s="1"/>
      <c r="F3032" s="1"/>
      <c r="G3032" s="1"/>
      <c r="H3032" s="1"/>
      <c r="I3032" s="1"/>
      <c r="J3032" s="1"/>
      <c r="K3032" s="1"/>
      <c r="L3032" s="1"/>
      <c r="M3032" s="1"/>
      <c r="N3032" s="1"/>
      <c r="O3032" s="1"/>
      <c r="P3032" s="1"/>
      <c r="Q3032" s="1"/>
      <c r="R3032" s="1"/>
      <c r="S3032" s="1"/>
      <c r="T3032" s="1"/>
      <c r="U3032" s="1"/>
      <c r="V3032" s="1"/>
      <c r="W3032" s="1"/>
      <c r="X3032" s="1"/>
      <c r="Y3032" s="1"/>
      <c r="Z3032" s="1"/>
      <c r="AA3032" s="1"/>
      <c r="AB3032" s="1"/>
      <c r="AC3032" s="1"/>
      <c r="AD3032" s="1"/>
      <c r="AE3032" s="1"/>
      <c r="AF3032" s="1"/>
      <c r="AG3032" s="1"/>
      <c r="AH3032" s="1"/>
    </row>
    <row r="3033" spans="1:34" ht="12.5">
      <c r="A3033" s="1"/>
      <c r="B3033" s="1"/>
      <c r="C3033" s="1"/>
      <c r="D3033" s="1"/>
      <c r="E3033" s="1"/>
      <c r="F3033" s="1"/>
      <c r="G3033" s="1"/>
      <c r="H3033" s="1"/>
      <c r="I3033" s="1"/>
      <c r="J3033" s="1"/>
      <c r="K3033" s="1"/>
      <c r="L3033" s="1"/>
      <c r="M3033" s="1"/>
      <c r="N3033" s="1"/>
      <c r="O3033" s="1"/>
      <c r="P3033" s="1"/>
      <c r="Q3033" s="1"/>
      <c r="R3033" s="1"/>
      <c r="S3033" s="1"/>
      <c r="T3033" s="1"/>
      <c r="U3033" s="1"/>
      <c r="V3033" s="1"/>
      <c r="W3033" s="1"/>
      <c r="X3033" s="1"/>
      <c r="Y3033" s="1"/>
      <c r="Z3033" s="1"/>
      <c r="AA3033" s="1"/>
      <c r="AB3033" s="1"/>
      <c r="AC3033" s="1"/>
      <c r="AD3033" s="1"/>
      <c r="AE3033" s="1"/>
      <c r="AF3033" s="1"/>
      <c r="AG3033" s="1"/>
      <c r="AH3033" s="1"/>
    </row>
    <row r="3034" spans="1:34" ht="12.5">
      <c r="A3034" s="1"/>
      <c r="B3034" s="1"/>
      <c r="C3034" s="1"/>
      <c r="D3034" s="1"/>
      <c r="E3034" s="1"/>
      <c r="F3034" s="1"/>
      <c r="G3034" s="1"/>
      <c r="H3034" s="1"/>
      <c r="I3034" s="1"/>
      <c r="J3034" s="1"/>
      <c r="K3034" s="1"/>
      <c r="L3034" s="1"/>
      <c r="M3034" s="1"/>
      <c r="N3034" s="1"/>
      <c r="O3034" s="1"/>
      <c r="P3034" s="1"/>
      <c r="Q3034" s="1"/>
      <c r="R3034" s="1"/>
      <c r="S3034" s="1"/>
      <c r="T3034" s="1"/>
      <c r="U3034" s="1"/>
      <c r="V3034" s="1"/>
      <c r="W3034" s="1"/>
      <c r="X3034" s="1"/>
      <c r="Y3034" s="1"/>
      <c r="Z3034" s="1"/>
      <c r="AA3034" s="1"/>
      <c r="AB3034" s="1"/>
      <c r="AC3034" s="1"/>
      <c r="AD3034" s="1"/>
      <c r="AE3034" s="1"/>
      <c r="AF3034" s="1"/>
      <c r="AG3034" s="1"/>
      <c r="AH3034" s="1"/>
    </row>
    <row r="3035" spans="1:34" ht="12.5">
      <c r="A3035" s="1"/>
      <c r="B3035" s="1"/>
      <c r="C3035" s="1"/>
      <c r="D3035" s="1"/>
      <c r="E3035" s="1"/>
      <c r="F3035" s="1"/>
      <c r="G3035" s="1"/>
      <c r="H3035" s="1"/>
      <c r="I3035" s="1"/>
      <c r="J3035" s="1"/>
      <c r="K3035" s="1"/>
      <c r="L3035" s="1"/>
      <c r="M3035" s="1"/>
      <c r="N3035" s="1"/>
      <c r="O3035" s="1"/>
      <c r="P3035" s="1"/>
      <c r="Q3035" s="1"/>
      <c r="R3035" s="1"/>
      <c r="S3035" s="1"/>
      <c r="T3035" s="1"/>
      <c r="U3035" s="1"/>
      <c r="V3035" s="1"/>
      <c r="W3035" s="1"/>
      <c r="X3035" s="1"/>
      <c r="Y3035" s="1"/>
      <c r="Z3035" s="1"/>
      <c r="AA3035" s="1"/>
      <c r="AB3035" s="1"/>
      <c r="AC3035" s="1"/>
      <c r="AD3035" s="1"/>
      <c r="AE3035" s="1"/>
      <c r="AF3035" s="1"/>
      <c r="AG3035" s="1"/>
      <c r="AH3035" s="1"/>
    </row>
    <row r="3036" spans="1:34" ht="12.5">
      <c r="A3036" s="1"/>
      <c r="B3036" s="1"/>
      <c r="C3036" s="1"/>
      <c r="D3036" s="1"/>
      <c r="E3036" s="1"/>
      <c r="F3036" s="1"/>
      <c r="G3036" s="1"/>
      <c r="H3036" s="1"/>
      <c r="I3036" s="1"/>
      <c r="J3036" s="1"/>
      <c r="K3036" s="1"/>
      <c r="L3036" s="1"/>
      <c r="M3036" s="1"/>
      <c r="N3036" s="1"/>
      <c r="O3036" s="1"/>
      <c r="P3036" s="1"/>
      <c r="Q3036" s="1"/>
      <c r="R3036" s="1"/>
      <c r="S3036" s="1"/>
      <c r="T3036" s="1"/>
      <c r="U3036" s="1"/>
      <c r="V3036" s="1"/>
      <c r="W3036" s="1"/>
      <c r="X3036" s="1"/>
      <c r="Y3036" s="1"/>
      <c r="Z3036" s="1"/>
      <c r="AA3036" s="1"/>
      <c r="AB3036" s="1"/>
      <c r="AC3036" s="1"/>
      <c r="AD3036" s="1"/>
      <c r="AE3036" s="1"/>
      <c r="AF3036" s="1"/>
      <c r="AG3036" s="1"/>
      <c r="AH3036" s="1"/>
    </row>
    <row r="3037" spans="1:34" ht="12.5">
      <c r="A3037" s="1"/>
      <c r="B3037" s="1"/>
      <c r="C3037" s="1"/>
      <c r="D3037" s="1"/>
      <c r="E3037" s="1"/>
      <c r="F3037" s="1"/>
      <c r="G3037" s="1"/>
      <c r="H3037" s="1"/>
      <c r="I3037" s="1"/>
      <c r="J3037" s="1"/>
      <c r="K3037" s="1"/>
      <c r="L3037" s="1"/>
      <c r="M3037" s="1"/>
      <c r="N3037" s="1"/>
      <c r="O3037" s="1"/>
      <c r="P3037" s="1"/>
      <c r="Q3037" s="1"/>
      <c r="R3037" s="1"/>
      <c r="S3037" s="1"/>
      <c r="T3037" s="1"/>
      <c r="U3037" s="1"/>
      <c r="V3037" s="1"/>
      <c r="W3037" s="1"/>
      <c r="X3037" s="1"/>
      <c r="Y3037" s="1"/>
      <c r="Z3037" s="1"/>
      <c r="AA3037" s="1"/>
      <c r="AB3037" s="1"/>
      <c r="AC3037" s="1"/>
      <c r="AD3037" s="1"/>
      <c r="AE3037" s="1"/>
      <c r="AF3037" s="1"/>
      <c r="AG3037" s="1"/>
      <c r="AH3037" s="1"/>
    </row>
    <row r="3038" spans="1:34" ht="12.5">
      <c r="A3038" s="1"/>
      <c r="B3038" s="1"/>
      <c r="C3038" s="1"/>
      <c r="D3038" s="1"/>
      <c r="E3038" s="1"/>
      <c r="F3038" s="1"/>
      <c r="G3038" s="1"/>
      <c r="H3038" s="1"/>
      <c r="I3038" s="1"/>
      <c r="J3038" s="1"/>
      <c r="K3038" s="1"/>
      <c r="L3038" s="1"/>
      <c r="M3038" s="1"/>
      <c r="N3038" s="1"/>
      <c r="O3038" s="1"/>
      <c r="P3038" s="1"/>
      <c r="Q3038" s="1"/>
      <c r="R3038" s="1"/>
      <c r="S3038" s="1"/>
      <c r="T3038" s="1"/>
      <c r="U3038" s="1"/>
      <c r="V3038" s="1"/>
      <c r="W3038" s="1"/>
      <c r="X3038" s="1"/>
      <c r="Y3038" s="1"/>
      <c r="Z3038" s="1"/>
      <c r="AA3038" s="1"/>
      <c r="AB3038" s="1"/>
      <c r="AC3038" s="1"/>
      <c r="AD3038" s="1"/>
      <c r="AE3038" s="1"/>
      <c r="AF3038" s="1"/>
      <c r="AG3038" s="1"/>
      <c r="AH3038" s="1"/>
    </row>
    <row r="3039" spans="1:34" ht="12.5">
      <c r="A3039" s="1"/>
      <c r="B3039" s="1"/>
      <c r="C3039" s="1"/>
      <c r="D3039" s="1"/>
      <c r="E3039" s="1"/>
      <c r="F3039" s="1"/>
      <c r="G3039" s="1"/>
      <c r="H3039" s="1"/>
      <c r="I3039" s="1"/>
      <c r="J3039" s="1"/>
      <c r="K3039" s="1"/>
      <c r="L3039" s="1"/>
      <c r="M3039" s="1"/>
      <c r="N3039" s="1"/>
      <c r="O3039" s="1"/>
      <c r="P3039" s="1"/>
      <c r="Q3039" s="1"/>
      <c r="R3039" s="1"/>
      <c r="S3039" s="1"/>
      <c r="T3039" s="1"/>
      <c r="U3039" s="1"/>
      <c r="V3039" s="1"/>
      <c r="W3039" s="1"/>
      <c r="X3039" s="1"/>
      <c r="Y3039" s="1"/>
      <c r="Z3039" s="1"/>
      <c r="AA3039" s="1"/>
      <c r="AB3039" s="1"/>
      <c r="AC3039" s="1"/>
      <c r="AD3039" s="1"/>
      <c r="AE3039" s="1"/>
      <c r="AF3039" s="1"/>
      <c r="AG3039" s="1"/>
      <c r="AH3039" s="1"/>
    </row>
    <row r="3040" spans="1:34" ht="12.5">
      <c r="A3040" s="1"/>
      <c r="B3040" s="1"/>
      <c r="C3040" s="1"/>
      <c r="D3040" s="1"/>
      <c r="E3040" s="1"/>
      <c r="F3040" s="1"/>
      <c r="G3040" s="1"/>
      <c r="H3040" s="1"/>
      <c r="I3040" s="1"/>
      <c r="J3040" s="1"/>
      <c r="K3040" s="1"/>
      <c r="L3040" s="1"/>
      <c r="M3040" s="1"/>
      <c r="N3040" s="1"/>
      <c r="O3040" s="1"/>
      <c r="P3040" s="1"/>
      <c r="Q3040" s="1"/>
      <c r="R3040" s="1"/>
      <c r="S3040" s="1"/>
      <c r="T3040" s="1"/>
      <c r="U3040" s="1"/>
      <c r="V3040" s="1"/>
      <c r="W3040" s="1"/>
      <c r="X3040" s="1"/>
      <c r="Y3040" s="1"/>
      <c r="Z3040" s="1"/>
      <c r="AA3040" s="1"/>
      <c r="AB3040" s="1"/>
      <c r="AC3040" s="1"/>
      <c r="AD3040" s="1"/>
      <c r="AE3040" s="1"/>
      <c r="AF3040" s="1"/>
      <c r="AG3040" s="1"/>
      <c r="AH3040" s="1"/>
    </row>
    <row r="3041" spans="1:34" ht="12.5">
      <c r="A3041" s="1"/>
      <c r="B3041" s="1"/>
      <c r="C3041" s="1"/>
      <c r="D3041" s="1"/>
      <c r="E3041" s="1"/>
      <c r="F3041" s="1"/>
      <c r="G3041" s="1"/>
      <c r="H3041" s="1"/>
      <c r="I3041" s="1"/>
      <c r="J3041" s="1"/>
      <c r="K3041" s="1"/>
      <c r="L3041" s="1"/>
      <c r="M3041" s="1"/>
      <c r="N3041" s="1"/>
      <c r="O3041" s="1"/>
      <c r="P3041" s="1"/>
      <c r="Q3041" s="1"/>
      <c r="R3041" s="1"/>
      <c r="S3041" s="1"/>
      <c r="T3041" s="1"/>
      <c r="U3041" s="1"/>
      <c r="V3041" s="1"/>
      <c r="W3041" s="1"/>
      <c r="X3041" s="1"/>
      <c r="Y3041" s="1"/>
      <c r="Z3041" s="1"/>
      <c r="AA3041" s="1"/>
      <c r="AB3041" s="1"/>
      <c r="AC3041" s="1"/>
      <c r="AD3041" s="1"/>
      <c r="AE3041" s="1"/>
      <c r="AF3041" s="1"/>
      <c r="AG3041" s="1"/>
      <c r="AH3041" s="1"/>
    </row>
    <row r="3042" spans="1:34" ht="12.5">
      <c r="A3042" s="1"/>
      <c r="B3042" s="1"/>
      <c r="C3042" s="1"/>
      <c r="D3042" s="1"/>
      <c r="E3042" s="1"/>
      <c r="F3042" s="1"/>
      <c r="G3042" s="1"/>
      <c r="H3042" s="1"/>
      <c r="I3042" s="1"/>
      <c r="J3042" s="1"/>
      <c r="K3042" s="1"/>
      <c r="L3042" s="1"/>
      <c r="M3042" s="1"/>
      <c r="N3042" s="1"/>
      <c r="O3042" s="1"/>
      <c r="P3042" s="1"/>
      <c r="Q3042" s="1"/>
      <c r="R3042" s="1"/>
      <c r="S3042" s="1"/>
      <c r="T3042" s="1"/>
      <c r="U3042" s="1"/>
      <c r="V3042" s="1"/>
      <c r="W3042" s="1"/>
      <c r="X3042" s="1"/>
      <c r="Y3042" s="1"/>
      <c r="Z3042" s="1"/>
      <c r="AA3042" s="1"/>
      <c r="AB3042" s="1"/>
      <c r="AC3042" s="1"/>
      <c r="AD3042" s="1"/>
      <c r="AE3042" s="1"/>
      <c r="AF3042" s="1"/>
      <c r="AG3042" s="1"/>
      <c r="AH3042" s="1"/>
    </row>
    <row r="3043" spans="1:34" ht="12.5">
      <c r="A3043" s="1"/>
      <c r="B3043" s="1"/>
      <c r="C3043" s="1"/>
      <c r="D3043" s="1"/>
      <c r="E3043" s="1"/>
      <c r="F3043" s="1"/>
      <c r="G3043" s="1"/>
      <c r="H3043" s="1"/>
      <c r="I3043" s="1"/>
      <c r="J3043" s="1"/>
      <c r="K3043" s="1"/>
      <c r="L3043" s="1"/>
      <c r="M3043" s="1"/>
      <c r="N3043" s="1"/>
      <c r="O3043" s="1"/>
      <c r="P3043" s="1"/>
      <c r="Q3043" s="1"/>
      <c r="R3043" s="1"/>
      <c r="S3043" s="1"/>
      <c r="T3043" s="1"/>
      <c r="U3043" s="1"/>
      <c r="V3043" s="1"/>
      <c r="W3043" s="1"/>
      <c r="X3043" s="1"/>
      <c r="Y3043" s="1"/>
      <c r="Z3043" s="1"/>
      <c r="AA3043" s="1"/>
      <c r="AB3043" s="1"/>
      <c r="AC3043" s="1"/>
      <c r="AD3043" s="1"/>
      <c r="AE3043" s="1"/>
      <c r="AF3043" s="1"/>
      <c r="AG3043" s="1"/>
      <c r="AH3043" s="1"/>
    </row>
    <row r="3044" spans="1:34" ht="12.5">
      <c r="A3044" s="1"/>
      <c r="B3044" s="1"/>
      <c r="C3044" s="1"/>
      <c r="D3044" s="1"/>
      <c r="E3044" s="1"/>
      <c r="F3044" s="1"/>
      <c r="G3044" s="1"/>
      <c r="H3044" s="1"/>
      <c r="I3044" s="1"/>
      <c r="J3044" s="1"/>
      <c r="K3044" s="1"/>
      <c r="L3044" s="1"/>
      <c r="M3044" s="1"/>
      <c r="N3044" s="1"/>
      <c r="O3044" s="1"/>
      <c r="P3044" s="1"/>
      <c r="Q3044" s="1"/>
      <c r="R3044" s="1"/>
      <c r="S3044" s="1"/>
      <c r="T3044" s="1"/>
      <c r="U3044" s="1"/>
      <c r="V3044" s="1"/>
      <c r="W3044" s="1"/>
      <c r="X3044" s="1"/>
      <c r="Y3044" s="1"/>
      <c r="Z3044" s="1"/>
      <c r="AA3044" s="1"/>
      <c r="AB3044" s="1"/>
      <c r="AC3044" s="1"/>
      <c r="AD3044" s="1"/>
      <c r="AE3044" s="1"/>
      <c r="AF3044" s="1"/>
      <c r="AG3044" s="1"/>
      <c r="AH3044" s="1"/>
    </row>
    <row r="3045" spans="1:34" ht="12.5">
      <c r="A3045" s="1"/>
      <c r="B3045" s="1"/>
      <c r="C3045" s="1"/>
      <c r="D3045" s="1"/>
      <c r="E3045" s="1"/>
      <c r="F3045" s="1"/>
      <c r="G3045" s="1"/>
      <c r="H3045" s="1"/>
      <c r="I3045" s="1"/>
      <c r="J3045" s="1"/>
      <c r="K3045" s="1"/>
      <c r="L3045" s="1"/>
      <c r="M3045" s="1"/>
      <c r="N3045" s="1"/>
      <c r="O3045" s="1"/>
      <c r="P3045" s="1"/>
      <c r="Q3045" s="1"/>
      <c r="R3045" s="1"/>
      <c r="S3045" s="1"/>
      <c r="T3045" s="1"/>
      <c r="U3045" s="1"/>
      <c r="V3045" s="1"/>
      <c r="W3045" s="1"/>
      <c r="X3045" s="1"/>
      <c r="Y3045" s="1"/>
      <c r="Z3045" s="1"/>
      <c r="AA3045" s="1"/>
      <c r="AB3045" s="1"/>
      <c r="AC3045" s="1"/>
      <c r="AD3045" s="1"/>
      <c r="AE3045" s="1"/>
      <c r="AF3045" s="1"/>
      <c r="AG3045" s="1"/>
      <c r="AH3045" s="1"/>
    </row>
    <row r="3046" spans="1:34" ht="12.5">
      <c r="A3046" s="1"/>
      <c r="B3046" s="1"/>
      <c r="C3046" s="1"/>
      <c r="D3046" s="1"/>
      <c r="E3046" s="1"/>
      <c r="F3046" s="1"/>
      <c r="G3046" s="1"/>
      <c r="H3046" s="1"/>
      <c r="I3046" s="1"/>
      <c r="J3046" s="1"/>
      <c r="K3046" s="1"/>
      <c r="L3046" s="1"/>
      <c r="M3046" s="1"/>
      <c r="N3046" s="1"/>
      <c r="O3046" s="1"/>
      <c r="P3046" s="1"/>
      <c r="Q3046" s="1"/>
      <c r="R3046" s="1"/>
      <c r="S3046" s="1"/>
      <c r="T3046" s="1"/>
      <c r="U3046" s="1"/>
      <c r="V3046" s="1"/>
      <c r="W3046" s="1"/>
      <c r="X3046" s="1"/>
      <c r="Y3046" s="1"/>
      <c r="Z3046" s="1"/>
      <c r="AA3046" s="1"/>
      <c r="AB3046" s="1"/>
      <c r="AC3046" s="1"/>
      <c r="AD3046" s="1"/>
      <c r="AE3046" s="1"/>
      <c r="AF3046" s="1"/>
      <c r="AG3046" s="1"/>
      <c r="AH3046" s="1"/>
    </row>
    <row r="3047" spans="1:34" ht="12.5">
      <c r="A3047" s="1"/>
      <c r="B3047" s="1"/>
      <c r="C3047" s="1"/>
      <c r="D3047" s="1"/>
      <c r="E3047" s="1"/>
      <c r="F3047" s="1"/>
      <c r="G3047" s="1"/>
      <c r="H3047" s="1"/>
      <c r="I3047" s="1"/>
      <c r="J3047" s="1"/>
      <c r="K3047" s="1"/>
      <c r="L3047" s="1"/>
      <c r="M3047" s="1"/>
      <c r="N3047" s="1"/>
      <c r="O3047" s="1"/>
      <c r="P3047" s="1"/>
      <c r="Q3047" s="1"/>
      <c r="R3047" s="1"/>
      <c r="S3047" s="1"/>
      <c r="T3047" s="1"/>
      <c r="U3047" s="1"/>
      <c r="V3047" s="1"/>
      <c r="W3047" s="1"/>
      <c r="X3047" s="1"/>
      <c r="Y3047" s="1"/>
      <c r="Z3047" s="1"/>
      <c r="AA3047" s="1"/>
      <c r="AB3047" s="1"/>
      <c r="AC3047" s="1"/>
      <c r="AD3047" s="1"/>
      <c r="AE3047" s="1"/>
      <c r="AF3047" s="1"/>
      <c r="AG3047" s="1"/>
      <c r="AH3047" s="1"/>
    </row>
    <row r="3048" spans="1:34" ht="12.5">
      <c r="A3048" s="1"/>
      <c r="B3048" s="1"/>
      <c r="C3048" s="1"/>
      <c r="D3048" s="1"/>
      <c r="E3048" s="1"/>
      <c r="F3048" s="1"/>
      <c r="G3048" s="1"/>
      <c r="H3048" s="1"/>
      <c r="I3048" s="1"/>
      <c r="J3048" s="1"/>
      <c r="K3048" s="1"/>
      <c r="L3048" s="1"/>
      <c r="M3048" s="1"/>
      <c r="N3048" s="1"/>
      <c r="O3048" s="1"/>
      <c r="P3048" s="1"/>
      <c r="Q3048" s="1"/>
      <c r="R3048" s="1"/>
      <c r="S3048" s="1"/>
      <c r="T3048" s="1"/>
      <c r="U3048" s="1"/>
      <c r="V3048" s="1"/>
      <c r="W3048" s="1"/>
      <c r="X3048" s="1"/>
      <c r="Y3048" s="1"/>
      <c r="Z3048" s="1"/>
      <c r="AA3048" s="1"/>
      <c r="AB3048" s="1"/>
      <c r="AC3048" s="1"/>
      <c r="AD3048" s="1"/>
      <c r="AE3048" s="1"/>
      <c r="AF3048" s="1"/>
      <c r="AG3048" s="1"/>
      <c r="AH3048" s="1"/>
    </row>
    <row r="3049" spans="1:34" ht="12.5">
      <c r="A3049" s="1"/>
      <c r="B3049" s="1"/>
      <c r="C3049" s="1"/>
      <c r="D3049" s="1"/>
      <c r="E3049" s="1"/>
      <c r="F3049" s="1"/>
      <c r="G3049" s="1"/>
      <c r="H3049" s="1"/>
      <c r="I3049" s="1"/>
      <c r="J3049" s="1"/>
      <c r="K3049" s="1"/>
      <c r="L3049" s="1"/>
      <c r="M3049" s="1"/>
      <c r="N3049" s="1"/>
      <c r="O3049" s="1"/>
      <c r="P3049" s="1"/>
      <c r="Q3049" s="1"/>
      <c r="R3049" s="1"/>
      <c r="S3049" s="1"/>
      <c r="T3049" s="1"/>
      <c r="U3049" s="1"/>
      <c r="V3049" s="1"/>
      <c r="W3049" s="1"/>
      <c r="X3049" s="1"/>
      <c r="Y3049" s="1"/>
      <c r="Z3049" s="1"/>
      <c r="AA3049" s="1"/>
      <c r="AB3049" s="1"/>
      <c r="AC3049" s="1"/>
      <c r="AD3049" s="1"/>
      <c r="AE3049" s="1"/>
      <c r="AF3049" s="1"/>
      <c r="AG3049" s="1"/>
      <c r="AH3049" s="1"/>
    </row>
    <row r="3050" spans="1:34" ht="12.5">
      <c r="A3050" s="1"/>
      <c r="B3050" s="1"/>
      <c r="C3050" s="1"/>
      <c r="D3050" s="1"/>
      <c r="E3050" s="1"/>
      <c r="F3050" s="1"/>
      <c r="G3050" s="1"/>
      <c r="H3050" s="1"/>
      <c r="I3050" s="1"/>
      <c r="J3050" s="1"/>
      <c r="K3050" s="1"/>
      <c r="L3050" s="1"/>
      <c r="M3050" s="1"/>
      <c r="N3050" s="1"/>
      <c r="O3050" s="1"/>
      <c r="P3050" s="1"/>
      <c r="Q3050" s="1"/>
      <c r="R3050" s="1"/>
      <c r="S3050" s="1"/>
      <c r="T3050" s="1"/>
      <c r="U3050" s="1"/>
      <c r="V3050" s="1"/>
      <c r="W3050" s="1"/>
      <c r="X3050" s="1"/>
      <c r="Y3050" s="1"/>
      <c r="Z3050" s="1"/>
      <c r="AA3050" s="1"/>
      <c r="AB3050" s="1"/>
      <c r="AC3050" s="1"/>
      <c r="AD3050" s="1"/>
      <c r="AE3050" s="1"/>
      <c r="AF3050" s="1"/>
      <c r="AG3050" s="1"/>
      <c r="AH3050" s="1"/>
    </row>
    <row r="3051" spans="1:34" ht="12.5">
      <c r="A3051" s="1"/>
      <c r="B3051" s="1"/>
      <c r="C3051" s="1"/>
      <c r="D3051" s="1"/>
      <c r="E3051" s="1"/>
      <c r="F3051" s="1"/>
      <c r="G3051" s="1"/>
      <c r="H3051" s="1"/>
      <c r="I3051" s="1"/>
      <c r="J3051" s="1"/>
      <c r="K3051" s="1"/>
      <c r="L3051" s="1"/>
      <c r="M3051" s="1"/>
      <c r="N3051" s="1"/>
      <c r="O3051" s="1"/>
      <c r="P3051" s="1"/>
      <c r="Q3051" s="1"/>
      <c r="R3051" s="1"/>
      <c r="S3051" s="1"/>
      <c r="T3051" s="1"/>
      <c r="U3051" s="1"/>
      <c r="V3051" s="1"/>
      <c r="W3051" s="1"/>
      <c r="X3051" s="1"/>
      <c r="Y3051" s="1"/>
      <c r="Z3051" s="1"/>
      <c r="AA3051" s="1"/>
      <c r="AB3051" s="1"/>
      <c r="AC3051" s="1"/>
      <c r="AD3051" s="1"/>
      <c r="AE3051" s="1"/>
      <c r="AF3051" s="1"/>
      <c r="AG3051" s="1"/>
      <c r="AH3051" s="1"/>
    </row>
    <row r="3052" spans="1:34" ht="12.5">
      <c r="A3052" s="1"/>
      <c r="B3052" s="1"/>
      <c r="C3052" s="1"/>
      <c r="D3052" s="1"/>
      <c r="E3052" s="1"/>
      <c r="F3052" s="1"/>
      <c r="G3052" s="1"/>
      <c r="H3052" s="1"/>
      <c r="I3052" s="1"/>
      <c r="J3052" s="1"/>
      <c r="K3052" s="1"/>
      <c r="L3052" s="1"/>
      <c r="M3052" s="1"/>
      <c r="N3052" s="1"/>
      <c r="O3052" s="1"/>
      <c r="P3052" s="1"/>
      <c r="Q3052" s="1"/>
      <c r="R3052" s="1"/>
      <c r="S3052" s="1"/>
      <c r="T3052" s="1"/>
      <c r="U3052" s="1"/>
      <c r="V3052" s="1"/>
      <c r="W3052" s="1"/>
      <c r="X3052" s="1"/>
      <c r="Y3052" s="1"/>
      <c r="Z3052" s="1"/>
      <c r="AA3052" s="1"/>
      <c r="AB3052" s="1"/>
      <c r="AC3052" s="1"/>
      <c r="AD3052" s="1"/>
      <c r="AE3052" s="1"/>
      <c r="AF3052" s="1"/>
      <c r="AG3052" s="1"/>
      <c r="AH3052" s="1"/>
    </row>
    <row r="3053" spans="1:34" ht="12.5">
      <c r="A3053" s="1"/>
      <c r="B3053" s="1"/>
      <c r="C3053" s="1"/>
      <c r="D3053" s="1"/>
      <c r="E3053" s="1"/>
      <c r="F3053" s="1"/>
      <c r="G3053" s="1"/>
      <c r="H3053" s="1"/>
      <c r="I3053" s="1"/>
      <c r="J3053" s="1"/>
      <c r="K3053" s="1"/>
      <c r="L3053" s="1"/>
      <c r="M3053" s="1"/>
      <c r="N3053" s="1"/>
      <c r="O3053" s="1"/>
      <c r="P3053" s="1"/>
      <c r="Q3053" s="1"/>
      <c r="R3053" s="1"/>
      <c r="S3053" s="1"/>
      <c r="T3053" s="1"/>
      <c r="U3053" s="1"/>
      <c r="V3053" s="1"/>
      <c r="W3053" s="1"/>
      <c r="X3053" s="1"/>
      <c r="Y3053" s="1"/>
      <c r="Z3053" s="1"/>
      <c r="AA3053" s="1"/>
      <c r="AB3053" s="1"/>
      <c r="AC3053" s="1"/>
      <c r="AD3053" s="1"/>
      <c r="AE3053" s="1"/>
      <c r="AF3053" s="1"/>
      <c r="AG3053" s="1"/>
      <c r="AH3053" s="1"/>
    </row>
    <row r="3054" spans="1:34" ht="12.5">
      <c r="A3054" s="1"/>
      <c r="B3054" s="1"/>
      <c r="C3054" s="1"/>
      <c r="D3054" s="1"/>
      <c r="E3054" s="1"/>
      <c r="F3054" s="1"/>
      <c r="G3054" s="1"/>
      <c r="H3054" s="1"/>
      <c r="I3054" s="1"/>
      <c r="J3054" s="1"/>
      <c r="K3054" s="1"/>
      <c r="L3054" s="1"/>
      <c r="M3054" s="1"/>
      <c r="N3054" s="1"/>
      <c r="O3054" s="1"/>
      <c r="P3054" s="1"/>
      <c r="Q3054" s="1"/>
      <c r="R3054" s="1"/>
      <c r="S3054" s="1"/>
      <c r="T3054" s="1"/>
      <c r="U3054" s="1"/>
      <c r="V3054" s="1"/>
      <c r="W3054" s="1"/>
      <c r="X3054" s="1"/>
      <c r="Y3054" s="1"/>
      <c r="Z3054" s="1"/>
      <c r="AA3054" s="1"/>
      <c r="AB3054" s="1"/>
      <c r="AC3054" s="1"/>
      <c r="AD3054" s="1"/>
      <c r="AE3054" s="1"/>
      <c r="AF3054" s="1"/>
      <c r="AG3054" s="1"/>
      <c r="AH3054" s="1"/>
    </row>
    <row r="3055" spans="1:34" ht="12.5">
      <c r="A3055" s="1"/>
      <c r="B3055" s="1"/>
      <c r="C3055" s="1"/>
      <c r="D3055" s="1"/>
      <c r="E3055" s="1"/>
      <c r="F3055" s="1"/>
      <c r="G3055" s="1"/>
      <c r="H3055" s="1"/>
      <c r="I3055" s="1"/>
      <c r="J3055" s="1"/>
      <c r="K3055" s="1"/>
      <c r="L3055" s="1"/>
      <c r="M3055" s="1"/>
      <c r="N3055" s="1"/>
      <c r="O3055" s="1"/>
      <c r="P3055" s="1"/>
      <c r="Q3055" s="1"/>
      <c r="R3055" s="1"/>
      <c r="S3055" s="1"/>
      <c r="T3055" s="1"/>
      <c r="U3055" s="1"/>
      <c r="V3055" s="1"/>
      <c r="W3055" s="1"/>
      <c r="X3055" s="1"/>
      <c r="Y3055" s="1"/>
      <c r="Z3055" s="1"/>
      <c r="AA3055" s="1"/>
      <c r="AB3055" s="1"/>
      <c r="AC3055" s="1"/>
      <c r="AD3055" s="1"/>
      <c r="AE3055" s="1"/>
      <c r="AF3055" s="1"/>
      <c r="AG3055" s="1"/>
      <c r="AH3055" s="1"/>
    </row>
    <row r="3056" spans="1:34" ht="12.5">
      <c r="A3056" s="1"/>
      <c r="B3056" s="1"/>
      <c r="C3056" s="1"/>
      <c r="D3056" s="1"/>
      <c r="E3056" s="1"/>
      <c r="F3056" s="1"/>
      <c r="G3056" s="1"/>
      <c r="H3056" s="1"/>
      <c r="I3056" s="1"/>
      <c r="J3056" s="1"/>
      <c r="K3056" s="1"/>
      <c r="L3056" s="1"/>
      <c r="M3056" s="1"/>
      <c r="N3056" s="1"/>
      <c r="O3056" s="1"/>
      <c r="P3056" s="1"/>
      <c r="Q3056" s="1"/>
      <c r="R3056" s="1"/>
      <c r="S3056" s="1"/>
      <c r="T3056" s="1"/>
      <c r="U3056" s="1"/>
      <c r="V3056" s="1"/>
      <c r="W3056" s="1"/>
      <c r="X3056" s="1"/>
      <c r="Y3056" s="1"/>
      <c r="Z3056" s="1"/>
      <c r="AA3056" s="1"/>
      <c r="AB3056" s="1"/>
      <c r="AC3056" s="1"/>
      <c r="AD3056" s="1"/>
      <c r="AE3056" s="1"/>
      <c r="AF3056" s="1"/>
      <c r="AG3056" s="1"/>
      <c r="AH3056" s="1"/>
    </row>
    <row r="3057" spans="1:34" ht="12.5">
      <c r="A3057" s="1"/>
      <c r="B3057" s="1"/>
      <c r="C3057" s="1"/>
      <c r="D3057" s="1"/>
      <c r="E3057" s="1"/>
      <c r="F3057" s="1"/>
      <c r="G3057" s="1"/>
      <c r="H3057" s="1"/>
      <c r="I3057" s="1"/>
      <c r="J3057" s="1"/>
      <c r="K3057" s="1"/>
      <c r="L3057" s="1"/>
      <c r="M3057" s="1"/>
      <c r="N3057" s="1"/>
      <c r="O3057" s="1"/>
      <c r="P3057" s="1"/>
      <c r="Q3057" s="1"/>
      <c r="R3057" s="1"/>
      <c r="S3057" s="1"/>
      <c r="T3057" s="1"/>
      <c r="U3057" s="1"/>
      <c r="V3057" s="1"/>
      <c r="W3057" s="1"/>
      <c r="X3057" s="1"/>
      <c r="Y3057" s="1"/>
      <c r="Z3057" s="1"/>
      <c r="AA3057" s="1"/>
      <c r="AB3057" s="1"/>
      <c r="AC3057" s="1"/>
      <c r="AD3057" s="1"/>
      <c r="AE3057" s="1"/>
      <c r="AF3057" s="1"/>
      <c r="AG3057" s="1"/>
      <c r="AH3057" s="1"/>
    </row>
    <row r="3058" spans="1:34" ht="12.5">
      <c r="A3058" s="1"/>
      <c r="B3058" s="1"/>
      <c r="C3058" s="1"/>
      <c r="D3058" s="1"/>
      <c r="E3058" s="1"/>
      <c r="F3058" s="1"/>
      <c r="G3058" s="1"/>
      <c r="H3058" s="1"/>
      <c r="I3058" s="1"/>
      <c r="J3058" s="1"/>
      <c r="K3058" s="1"/>
      <c r="L3058" s="1"/>
      <c r="M3058" s="1"/>
      <c r="N3058" s="1"/>
      <c r="O3058" s="1"/>
      <c r="P3058" s="1"/>
      <c r="Q3058" s="1"/>
      <c r="R3058" s="1"/>
      <c r="S3058" s="1"/>
      <c r="T3058" s="1"/>
      <c r="U3058" s="1"/>
      <c r="V3058" s="1"/>
      <c r="W3058" s="1"/>
      <c r="X3058" s="1"/>
      <c r="Y3058" s="1"/>
      <c r="Z3058" s="1"/>
      <c r="AA3058" s="1"/>
      <c r="AB3058" s="1"/>
      <c r="AC3058" s="1"/>
      <c r="AD3058" s="1"/>
      <c r="AE3058" s="1"/>
      <c r="AF3058" s="1"/>
      <c r="AG3058" s="1"/>
      <c r="AH3058" s="1"/>
    </row>
    <row r="3059" spans="1:34" ht="12.5">
      <c r="A3059" s="1"/>
      <c r="B3059" s="1"/>
      <c r="C3059" s="1"/>
      <c r="D3059" s="1"/>
      <c r="E3059" s="1"/>
      <c r="F3059" s="1"/>
      <c r="G3059" s="1"/>
      <c r="H3059" s="1"/>
      <c r="I3059" s="1"/>
      <c r="J3059" s="1"/>
      <c r="K3059" s="1"/>
      <c r="L3059" s="1"/>
      <c r="M3059" s="1"/>
      <c r="N3059" s="1"/>
      <c r="O3059" s="1"/>
      <c r="P3059" s="1"/>
      <c r="Q3059" s="1"/>
      <c r="R3059" s="1"/>
      <c r="S3059" s="1"/>
      <c r="T3059" s="1"/>
      <c r="U3059" s="1"/>
      <c r="V3059" s="1"/>
      <c r="W3059" s="1"/>
      <c r="X3059" s="1"/>
      <c r="Y3059" s="1"/>
      <c r="Z3059" s="1"/>
      <c r="AA3059" s="1"/>
      <c r="AB3059" s="1"/>
      <c r="AC3059" s="1"/>
      <c r="AD3059" s="1"/>
      <c r="AE3059" s="1"/>
      <c r="AF3059" s="1"/>
      <c r="AG3059" s="1"/>
      <c r="AH3059" s="1"/>
    </row>
    <row r="3060" spans="1:34" ht="12.5">
      <c r="A3060" s="1"/>
      <c r="B3060" s="1"/>
      <c r="C3060" s="1"/>
      <c r="D3060" s="1"/>
      <c r="E3060" s="1"/>
      <c r="F3060" s="1"/>
      <c r="G3060" s="1"/>
      <c r="H3060" s="1"/>
      <c r="I3060" s="1"/>
      <c r="J3060" s="1"/>
      <c r="K3060" s="1"/>
      <c r="L3060" s="1"/>
      <c r="M3060" s="1"/>
      <c r="N3060" s="1"/>
      <c r="O3060" s="1"/>
      <c r="P3060" s="1"/>
      <c r="Q3060" s="1"/>
      <c r="R3060" s="1"/>
      <c r="S3060" s="1"/>
      <c r="T3060" s="1"/>
      <c r="U3060" s="1"/>
      <c r="V3060" s="1"/>
      <c r="W3060" s="1"/>
      <c r="X3060" s="1"/>
      <c r="Y3060" s="1"/>
      <c r="Z3060" s="1"/>
      <c r="AA3060" s="1"/>
      <c r="AB3060" s="1"/>
      <c r="AC3060" s="1"/>
      <c r="AD3060" s="1"/>
      <c r="AE3060" s="1"/>
      <c r="AF3060" s="1"/>
      <c r="AG3060" s="1"/>
      <c r="AH3060" s="1"/>
    </row>
    <row r="3061" spans="1:34" ht="12.5">
      <c r="A3061" s="1"/>
      <c r="B3061" s="1"/>
      <c r="C3061" s="1"/>
      <c r="D3061" s="1"/>
      <c r="E3061" s="1"/>
      <c r="F3061" s="1"/>
      <c r="G3061" s="1"/>
      <c r="H3061" s="1"/>
      <c r="I3061" s="1"/>
      <c r="J3061" s="1"/>
      <c r="K3061" s="1"/>
      <c r="L3061" s="1"/>
      <c r="M3061" s="1"/>
      <c r="N3061" s="1"/>
      <c r="O3061" s="1"/>
      <c r="P3061" s="1"/>
      <c r="Q3061" s="1"/>
      <c r="R3061" s="1"/>
      <c r="S3061" s="1"/>
      <c r="T3061" s="1"/>
      <c r="U3061" s="1"/>
      <c r="V3061" s="1"/>
      <c r="W3061" s="1"/>
      <c r="X3061" s="1"/>
      <c r="Y3061" s="1"/>
      <c r="Z3061" s="1"/>
      <c r="AA3061" s="1"/>
      <c r="AB3061" s="1"/>
      <c r="AC3061" s="1"/>
      <c r="AD3061" s="1"/>
      <c r="AE3061" s="1"/>
      <c r="AF3061" s="1"/>
      <c r="AG3061" s="1"/>
      <c r="AH3061" s="1"/>
    </row>
    <row r="3062" spans="1:34" ht="12.5">
      <c r="A3062" s="1"/>
      <c r="B3062" s="1"/>
      <c r="C3062" s="1"/>
      <c r="D3062" s="1"/>
      <c r="E3062" s="1"/>
      <c r="F3062" s="1"/>
      <c r="G3062" s="1"/>
      <c r="H3062" s="1"/>
      <c r="I3062" s="1"/>
      <c r="J3062" s="1"/>
      <c r="K3062" s="1"/>
      <c r="L3062" s="1"/>
      <c r="M3062" s="1"/>
      <c r="N3062" s="1"/>
      <c r="O3062" s="1"/>
      <c r="P3062" s="1"/>
      <c r="Q3062" s="1"/>
      <c r="R3062" s="1"/>
      <c r="S3062" s="1"/>
      <c r="T3062" s="1"/>
      <c r="U3062" s="1"/>
      <c r="V3062" s="1"/>
      <c r="W3062" s="1"/>
      <c r="X3062" s="1"/>
      <c r="Y3062" s="1"/>
      <c r="Z3062" s="1"/>
      <c r="AA3062" s="1"/>
      <c r="AB3062" s="1"/>
      <c r="AC3062" s="1"/>
      <c r="AD3062" s="1"/>
      <c r="AE3062" s="1"/>
      <c r="AF3062" s="1"/>
      <c r="AG3062" s="1"/>
      <c r="AH3062" s="1"/>
    </row>
    <row r="3063" spans="1:34" ht="12.5">
      <c r="A3063" s="1"/>
      <c r="B3063" s="1"/>
      <c r="C3063" s="1"/>
      <c r="D3063" s="1"/>
      <c r="E3063" s="1"/>
      <c r="F3063" s="1"/>
      <c r="G3063" s="1"/>
      <c r="H3063" s="1"/>
      <c r="I3063" s="1"/>
      <c r="J3063" s="1"/>
      <c r="K3063" s="1"/>
      <c r="L3063" s="1"/>
      <c r="M3063" s="1"/>
      <c r="N3063" s="1"/>
      <c r="O3063" s="1"/>
      <c r="P3063" s="1"/>
      <c r="Q3063" s="1"/>
      <c r="R3063" s="1"/>
      <c r="S3063" s="1"/>
      <c r="T3063" s="1"/>
      <c r="U3063" s="1"/>
      <c r="V3063" s="1"/>
      <c r="W3063" s="1"/>
      <c r="X3063" s="1"/>
      <c r="Y3063" s="1"/>
      <c r="Z3063" s="1"/>
      <c r="AA3063" s="1"/>
      <c r="AB3063" s="1"/>
      <c r="AC3063" s="1"/>
      <c r="AD3063" s="1"/>
      <c r="AE3063" s="1"/>
      <c r="AF3063" s="1"/>
      <c r="AG3063" s="1"/>
      <c r="AH3063" s="1"/>
    </row>
    <row r="3064" spans="1:34" ht="12.5">
      <c r="A3064" s="1"/>
      <c r="B3064" s="1"/>
      <c r="C3064" s="1"/>
      <c r="D3064" s="1"/>
      <c r="E3064" s="1"/>
      <c r="F3064" s="1"/>
      <c r="G3064" s="1"/>
      <c r="H3064" s="1"/>
      <c r="I3064" s="1"/>
      <c r="J3064" s="1"/>
      <c r="K3064" s="1"/>
      <c r="L3064" s="1"/>
      <c r="M3064" s="1"/>
      <c r="N3064" s="1"/>
      <c r="O3064" s="1"/>
      <c r="P3064" s="1"/>
      <c r="Q3064" s="1"/>
      <c r="R3064" s="1"/>
      <c r="S3064" s="1"/>
      <c r="T3064" s="1"/>
      <c r="U3064" s="1"/>
      <c r="V3064" s="1"/>
      <c r="W3064" s="1"/>
      <c r="X3064" s="1"/>
      <c r="Y3064" s="1"/>
      <c r="Z3064" s="1"/>
      <c r="AA3064" s="1"/>
      <c r="AB3064" s="1"/>
      <c r="AC3064" s="1"/>
      <c r="AD3064" s="1"/>
      <c r="AE3064" s="1"/>
      <c r="AF3064" s="1"/>
      <c r="AG3064" s="1"/>
      <c r="AH3064" s="1"/>
    </row>
    <row r="3065" spans="1:34" ht="12.5">
      <c r="A3065" s="1"/>
      <c r="B3065" s="1"/>
      <c r="C3065" s="1"/>
      <c r="D3065" s="1"/>
      <c r="E3065" s="1"/>
      <c r="F3065" s="1"/>
      <c r="G3065" s="1"/>
      <c r="H3065" s="1"/>
      <c r="I3065" s="1"/>
      <c r="J3065" s="1"/>
      <c r="K3065" s="1"/>
      <c r="L3065" s="1"/>
      <c r="M3065" s="1"/>
      <c r="N3065" s="1"/>
      <c r="O3065" s="1"/>
      <c r="P3065" s="1"/>
      <c r="Q3065" s="1"/>
      <c r="R3065" s="1"/>
      <c r="S3065" s="1"/>
      <c r="T3065" s="1"/>
      <c r="U3065" s="1"/>
      <c r="V3065" s="1"/>
      <c r="W3065" s="1"/>
      <c r="X3065" s="1"/>
      <c r="Y3065" s="1"/>
      <c r="Z3065" s="1"/>
      <c r="AA3065" s="1"/>
      <c r="AB3065" s="1"/>
      <c r="AC3065" s="1"/>
      <c r="AD3065" s="1"/>
      <c r="AE3065" s="1"/>
      <c r="AF3065" s="1"/>
      <c r="AG3065" s="1"/>
      <c r="AH3065" s="1"/>
    </row>
    <row r="3066" spans="1:34" ht="12.5">
      <c r="A3066" s="1"/>
      <c r="B3066" s="1"/>
      <c r="C3066" s="1"/>
      <c r="D3066" s="1"/>
      <c r="E3066" s="1"/>
      <c r="F3066" s="1"/>
      <c r="G3066" s="1"/>
      <c r="H3066" s="1"/>
      <c r="I3066" s="1"/>
      <c r="J3066" s="1"/>
      <c r="K3066" s="1"/>
      <c r="L3066" s="1"/>
      <c r="M3066" s="1"/>
      <c r="N3066" s="1"/>
      <c r="O3066" s="1"/>
      <c r="P3066" s="1"/>
      <c r="Q3066" s="1"/>
      <c r="R3066" s="1"/>
      <c r="S3066" s="1"/>
      <c r="T3066" s="1"/>
      <c r="U3066" s="1"/>
      <c r="V3066" s="1"/>
      <c r="W3066" s="1"/>
      <c r="X3066" s="1"/>
      <c r="Y3066" s="1"/>
      <c r="Z3066" s="1"/>
      <c r="AA3066" s="1"/>
      <c r="AB3066" s="1"/>
      <c r="AC3066" s="1"/>
      <c r="AD3066" s="1"/>
      <c r="AE3066" s="1"/>
      <c r="AF3066" s="1"/>
      <c r="AG3066" s="1"/>
      <c r="AH3066" s="1"/>
    </row>
    <row r="3067" spans="1:34" ht="12.5">
      <c r="A3067" s="1"/>
      <c r="B3067" s="1"/>
      <c r="C3067" s="1"/>
      <c r="D3067" s="1"/>
      <c r="E3067" s="1"/>
      <c r="F3067" s="1"/>
      <c r="G3067" s="1"/>
      <c r="H3067" s="1"/>
      <c r="I3067" s="1"/>
      <c r="J3067" s="1"/>
      <c r="K3067" s="1"/>
      <c r="L3067" s="1"/>
      <c r="M3067" s="1"/>
      <c r="N3067" s="1"/>
      <c r="O3067" s="1"/>
      <c r="P3067" s="1"/>
      <c r="Q3067" s="1"/>
      <c r="R3067" s="1"/>
      <c r="S3067" s="1"/>
      <c r="T3067" s="1"/>
      <c r="U3067" s="1"/>
      <c r="V3067" s="1"/>
      <c r="W3067" s="1"/>
      <c r="X3067" s="1"/>
      <c r="Y3067" s="1"/>
      <c r="Z3067" s="1"/>
      <c r="AA3067" s="1"/>
      <c r="AB3067" s="1"/>
      <c r="AC3067" s="1"/>
      <c r="AD3067" s="1"/>
      <c r="AE3067" s="1"/>
      <c r="AF3067" s="1"/>
      <c r="AG3067" s="1"/>
      <c r="AH3067" s="1"/>
    </row>
    <row r="3068" spans="1:34" ht="12.5">
      <c r="A3068" s="1"/>
      <c r="B3068" s="1"/>
      <c r="C3068" s="1"/>
      <c r="D3068" s="1"/>
      <c r="E3068" s="1"/>
      <c r="F3068" s="1"/>
      <c r="G3068" s="1"/>
      <c r="H3068" s="1"/>
      <c r="I3068" s="1"/>
      <c r="J3068" s="1"/>
      <c r="K3068" s="1"/>
      <c r="L3068" s="1"/>
      <c r="M3068" s="1"/>
      <c r="N3068" s="1"/>
      <c r="O3068" s="1"/>
      <c r="P3068" s="1"/>
      <c r="Q3068" s="1"/>
      <c r="R3068" s="1"/>
      <c r="S3068" s="1"/>
      <c r="T3068" s="1"/>
      <c r="U3068" s="1"/>
      <c r="V3068" s="1"/>
      <c r="W3068" s="1"/>
      <c r="X3068" s="1"/>
      <c r="Y3068" s="1"/>
      <c r="Z3068" s="1"/>
      <c r="AA3068" s="1"/>
      <c r="AB3068" s="1"/>
      <c r="AC3068" s="1"/>
      <c r="AD3068" s="1"/>
      <c r="AE3068" s="1"/>
      <c r="AF3068" s="1"/>
      <c r="AG3068" s="1"/>
      <c r="AH3068" s="1"/>
    </row>
    <row r="3069" spans="1:34" ht="12.5">
      <c r="A3069" s="1"/>
      <c r="B3069" s="1"/>
      <c r="C3069" s="1"/>
      <c r="D3069" s="1"/>
      <c r="E3069" s="1"/>
      <c r="F3069" s="1"/>
      <c r="G3069" s="1"/>
      <c r="H3069" s="1"/>
      <c r="I3069" s="1"/>
      <c r="J3069" s="1"/>
      <c r="K3069" s="1"/>
      <c r="L3069" s="1"/>
      <c r="M3069" s="1"/>
      <c r="N3069" s="1"/>
      <c r="O3069" s="1"/>
      <c r="P3069" s="1"/>
      <c r="Q3069" s="1"/>
      <c r="R3069" s="1"/>
      <c r="S3069" s="1"/>
      <c r="T3069" s="1"/>
      <c r="U3069" s="1"/>
      <c r="V3069" s="1"/>
      <c r="W3069" s="1"/>
      <c r="X3069" s="1"/>
      <c r="Y3069" s="1"/>
      <c r="Z3069" s="1"/>
      <c r="AA3069" s="1"/>
      <c r="AB3069" s="1"/>
      <c r="AC3069" s="1"/>
      <c r="AD3069" s="1"/>
      <c r="AE3069" s="1"/>
      <c r="AF3069" s="1"/>
      <c r="AG3069" s="1"/>
      <c r="AH3069" s="1"/>
    </row>
    <row r="3070" spans="1:34" ht="12.5">
      <c r="A3070" s="1"/>
      <c r="B3070" s="1"/>
      <c r="C3070" s="1"/>
      <c r="D3070" s="1"/>
      <c r="E3070" s="1"/>
      <c r="F3070" s="1"/>
      <c r="G3070" s="1"/>
      <c r="H3070" s="1"/>
      <c r="I3070" s="1"/>
      <c r="J3070" s="1"/>
      <c r="K3070" s="1"/>
      <c r="L3070" s="1"/>
      <c r="M3070" s="1"/>
      <c r="N3070" s="1"/>
      <c r="O3070" s="1"/>
      <c r="P3070" s="1"/>
      <c r="Q3070" s="1"/>
      <c r="R3070" s="1"/>
      <c r="S3070" s="1"/>
      <c r="T3070" s="1"/>
      <c r="U3070" s="1"/>
      <c r="V3070" s="1"/>
      <c r="W3070" s="1"/>
      <c r="X3070" s="1"/>
      <c r="Y3070" s="1"/>
      <c r="Z3070" s="1"/>
      <c r="AA3070" s="1"/>
      <c r="AB3070" s="1"/>
      <c r="AC3070" s="1"/>
      <c r="AD3070" s="1"/>
      <c r="AE3070" s="1"/>
      <c r="AF3070" s="1"/>
      <c r="AG3070" s="1"/>
      <c r="AH3070" s="1"/>
    </row>
    <row r="3071" spans="1:34" ht="12.5">
      <c r="A3071" s="1"/>
      <c r="B3071" s="1"/>
      <c r="C3071" s="1"/>
      <c r="D3071" s="1"/>
      <c r="E3071" s="1"/>
      <c r="F3071" s="1"/>
      <c r="G3071" s="1"/>
      <c r="H3071" s="1"/>
      <c r="I3071" s="1"/>
      <c r="J3071" s="1"/>
      <c r="K3071" s="1"/>
      <c r="L3071" s="1"/>
      <c r="M3071" s="1"/>
      <c r="N3071" s="1"/>
      <c r="O3071" s="1"/>
      <c r="P3071" s="1"/>
      <c r="Q3071" s="1"/>
      <c r="R3071" s="1"/>
      <c r="S3071" s="1"/>
      <c r="T3071" s="1"/>
      <c r="U3071" s="1"/>
      <c r="V3071" s="1"/>
      <c r="W3071" s="1"/>
      <c r="X3071" s="1"/>
      <c r="Y3071" s="1"/>
      <c r="Z3071" s="1"/>
      <c r="AA3071" s="1"/>
      <c r="AB3071" s="1"/>
      <c r="AC3071" s="1"/>
      <c r="AD3071" s="1"/>
      <c r="AE3071" s="1"/>
      <c r="AF3071" s="1"/>
      <c r="AG3071" s="1"/>
      <c r="AH3071" s="1"/>
    </row>
    <row r="3072" spans="1:34" ht="12.5">
      <c r="A3072" s="1"/>
      <c r="B3072" s="1"/>
      <c r="C3072" s="1"/>
      <c r="D3072" s="1"/>
      <c r="E3072" s="1"/>
      <c r="F3072" s="1"/>
      <c r="G3072" s="1"/>
      <c r="H3072" s="1"/>
      <c r="I3072" s="1"/>
      <c r="J3072" s="1"/>
      <c r="K3072" s="1"/>
      <c r="L3072" s="1"/>
      <c r="M3072" s="1"/>
      <c r="N3072" s="1"/>
      <c r="O3072" s="1"/>
      <c r="P3072" s="1"/>
      <c r="Q3072" s="1"/>
      <c r="R3072" s="1"/>
      <c r="S3072" s="1"/>
      <c r="T3072" s="1"/>
      <c r="U3072" s="1"/>
      <c r="V3072" s="1"/>
      <c r="W3072" s="1"/>
      <c r="X3072" s="1"/>
      <c r="Y3072" s="1"/>
      <c r="Z3072" s="1"/>
      <c r="AA3072" s="1"/>
      <c r="AB3072" s="1"/>
      <c r="AC3072" s="1"/>
      <c r="AD3072" s="1"/>
      <c r="AE3072" s="1"/>
      <c r="AF3072" s="1"/>
      <c r="AG3072" s="1"/>
      <c r="AH3072" s="1"/>
    </row>
    <row r="3073" spans="1:34" ht="12.5">
      <c r="A3073" s="1"/>
      <c r="B3073" s="1"/>
      <c r="C3073" s="1"/>
      <c r="D3073" s="1"/>
      <c r="E3073" s="1"/>
      <c r="F3073" s="1"/>
      <c r="G3073" s="1"/>
      <c r="H3073" s="1"/>
      <c r="I3073" s="1"/>
      <c r="J3073" s="1"/>
      <c r="K3073" s="1"/>
      <c r="L3073" s="1"/>
      <c r="M3073" s="1"/>
      <c r="N3073" s="1"/>
      <c r="O3073" s="1"/>
      <c r="P3073" s="1"/>
      <c r="Q3073" s="1"/>
      <c r="R3073" s="1"/>
      <c r="S3073" s="1"/>
      <c r="T3073" s="1"/>
      <c r="U3073" s="1"/>
      <c r="V3073" s="1"/>
      <c r="W3073" s="1"/>
      <c r="X3073" s="1"/>
      <c r="Y3073" s="1"/>
      <c r="Z3073" s="1"/>
      <c r="AA3073" s="1"/>
      <c r="AB3073" s="1"/>
      <c r="AC3073" s="1"/>
      <c r="AD3073" s="1"/>
      <c r="AE3073" s="1"/>
      <c r="AF3073" s="1"/>
      <c r="AG3073" s="1"/>
      <c r="AH3073" s="1"/>
    </row>
    <row r="3074" spans="1:34" ht="12.5">
      <c r="A3074" s="1"/>
      <c r="B3074" s="1"/>
      <c r="C3074" s="1"/>
      <c r="D3074" s="1"/>
      <c r="E3074" s="1"/>
      <c r="F3074" s="1"/>
      <c r="G3074" s="1"/>
      <c r="H3074" s="1"/>
      <c r="I3074" s="1"/>
      <c r="J3074" s="1"/>
      <c r="K3074" s="1"/>
      <c r="L3074" s="1"/>
      <c r="M3074" s="1"/>
      <c r="N3074" s="1"/>
      <c r="O3074" s="1"/>
      <c r="P3074" s="1"/>
      <c r="Q3074" s="1"/>
      <c r="R3074" s="1"/>
      <c r="S3074" s="1"/>
      <c r="T3074" s="1"/>
      <c r="U3074" s="1"/>
      <c r="V3074" s="1"/>
      <c r="W3074" s="1"/>
      <c r="X3074" s="1"/>
      <c r="Y3074" s="1"/>
      <c r="Z3074" s="1"/>
      <c r="AA3074" s="1"/>
      <c r="AB3074" s="1"/>
      <c r="AC3074" s="1"/>
      <c r="AD3074" s="1"/>
      <c r="AE3074" s="1"/>
      <c r="AF3074" s="1"/>
      <c r="AG3074" s="1"/>
      <c r="AH3074" s="1"/>
    </row>
    <row r="3075" spans="1:34" ht="12.5">
      <c r="A3075" s="1"/>
      <c r="B3075" s="1"/>
      <c r="C3075" s="1"/>
      <c r="D3075" s="1"/>
      <c r="E3075" s="1"/>
      <c r="F3075" s="1"/>
      <c r="G3075" s="1"/>
      <c r="H3075" s="1"/>
      <c r="I3075" s="1"/>
      <c r="J3075" s="1"/>
      <c r="K3075" s="1"/>
      <c r="L3075" s="1"/>
      <c r="M3075" s="1"/>
      <c r="N3075" s="1"/>
      <c r="O3075" s="1"/>
      <c r="P3075" s="1"/>
      <c r="Q3075" s="1"/>
      <c r="R3075" s="1"/>
      <c r="S3075" s="1"/>
      <c r="T3075" s="1"/>
      <c r="U3075" s="1"/>
      <c r="V3075" s="1"/>
      <c r="W3075" s="1"/>
      <c r="X3075" s="1"/>
      <c r="Y3075" s="1"/>
      <c r="Z3075" s="1"/>
      <c r="AA3075" s="1"/>
      <c r="AB3075" s="1"/>
      <c r="AC3075" s="1"/>
      <c r="AD3075" s="1"/>
      <c r="AE3075" s="1"/>
      <c r="AF3075" s="1"/>
      <c r="AG3075" s="1"/>
      <c r="AH3075" s="1"/>
    </row>
  </sheetData>
  <autoFilter ref="A1:AH2660" xr:uid="{00000000-0009-0000-0000-000001000000}"/>
  <conditionalFormatting sqref="I1:I1355 I2732:I3075">
    <cfRule type="cellIs" dxfId="2" priority="1" operator="greaterThan">
      <formula>3</formula>
    </cfRule>
  </conditionalFormatting>
  <conditionalFormatting sqref="J1:J1355 J2732:J3075">
    <cfRule type="cellIs" dxfId="1" priority="2" operator="greaterThan">
      <formula>0</formula>
    </cfRule>
  </conditionalFormatting>
  <conditionalFormatting sqref="V1:V1355 V2732:V3075">
    <cfRule type="notContainsBlanks" dxfId="0" priority="3">
      <formula>LEN(TRIM(V1))&gt;0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083"/>
  <sheetViews>
    <sheetView topLeftCell="A1507" workbookViewId="0">
      <selection activeCell="A1518" sqref="A1518"/>
    </sheetView>
  </sheetViews>
  <sheetFormatPr baseColWidth="10" defaultColWidth="12.6328125" defaultRowHeight="15.75" customHeight="1"/>
  <sheetData>
    <row r="1" spans="1:8" ht="15.75" customHeight="1">
      <c r="A1" s="7" t="str">
        <f ca="1">IFERROR(__xludf.DUMMYFUNCTION("IMPORTRANGE(""https://docs.google.com/spreadsheets/d/13by1rx0kMN24Sm2nKqqR6GsRtIyhgOO8U6IyuCHwhEU/edit#gid=1519919770"", ""Shooter!A1:H5000"")"),"Incident_ID")</f>
        <v>Incident_ID</v>
      </c>
      <c r="B1" s="1" t="str">
        <f ca="1">IFERROR(__xludf.DUMMYFUNCTION("""COMPUTED_VALUE"""),"Age")</f>
        <v>Age</v>
      </c>
      <c r="C1" s="1" t="str">
        <f ca="1">IFERROR(__xludf.DUMMYFUNCTION("""COMPUTED_VALUE"""),"Gender")</f>
        <v>Gender</v>
      </c>
      <c r="D1" s="1" t="str">
        <f ca="1">IFERROR(__xludf.DUMMYFUNCTION("""COMPUTED_VALUE"""),"Race")</f>
        <v>Race</v>
      </c>
      <c r="E1" s="1" t="str">
        <f ca="1">IFERROR(__xludf.DUMMYFUNCTION("""COMPUTED_VALUE"""),"School_Affiliation")</f>
        <v>School_Affiliation</v>
      </c>
      <c r="F1" s="1" t="str">
        <f ca="1">IFERROR(__xludf.DUMMYFUNCTION("""COMPUTED_VALUE"""),"Shooter_Outcome")</f>
        <v>Shooter_Outcome</v>
      </c>
      <c r="G1" s="1" t="str">
        <f ca="1">IFERROR(__xludf.DUMMYFUNCTION("""COMPUTED_VALUE"""),"Shooter_Died")</f>
        <v>Shooter_Died</v>
      </c>
      <c r="H1" s="1" t="str">
        <f ca="1">IFERROR(__xludf.DUMMYFUNCTION("""COMPUTED_VALUE"""),"Injury")</f>
        <v>Injury</v>
      </c>
    </row>
    <row r="2" spans="1:8" ht="15.75" customHeight="1">
      <c r="A2" s="1" t="str">
        <f ca="1">IFERROR(__xludf.DUMMYFUNCTION("""COMPUTED_VALUE"""),"20240326GATUA")</f>
        <v>20240326GATUA</v>
      </c>
      <c r="B2" s="1"/>
      <c r="C2" s="1"/>
      <c r="D2" s="1"/>
      <c r="E2" s="1"/>
      <c r="F2" s="1" t="str">
        <f ca="1">IFERROR(__xludf.DUMMYFUNCTION("""COMPUTED_VALUE"""),"Fled/Apprehended")</f>
        <v>Fled/Apprehended</v>
      </c>
      <c r="G2" s="1" t="str">
        <f ca="1">IFERROR(__xludf.DUMMYFUNCTION("""COMPUTED_VALUE"""),"No")</f>
        <v>No</v>
      </c>
      <c r="H2" s="1" t="str">
        <f ca="1">IFERROR(__xludf.DUMMYFUNCTION("""COMPUTED_VALUE"""),"None")</f>
        <v>None</v>
      </c>
    </row>
    <row r="3" spans="1:8" ht="15.75" customHeight="1">
      <c r="A3" s="1" t="str">
        <f ca="1">IFERROR(__xludf.DUMMYFUNCTION("""COMPUTED_VALUE"""),"20240326MOCHC")</f>
        <v>20240326MOCHC</v>
      </c>
      <c r="B3" s="1">
        <f ca="1">IFERROR(__xludf.DUMMYFUNCTION("""COMPUTED_VALUE"""),14)</f>
        <v>14</v>
      </c>
      <c r="C3" s="1" t="str">
        <f ca="1">IFERROR(__xludf.DUMMYFUNCTION("""COMPUTED_VALUE"""),"Male")</f>
        <v>Male</v>
      </c>
      <c r="D3" s="1"/>
      <c r="E3" s="1" t="str">
        <f ca="1">IFERROR(__xludf.DUMMYFUNCTION("""COMPUTED_VALUE"""),"Student")</f>
        <v>Student</v>
      </c>
      <c r="F3" s="1" t="str">
        <f ca="1">IFERROR(__xludf.DUMMYFUNCTION("""COMPUTED_VALUE"""),"Fled/Apprehended")</f>
        <v>Fled/Apprehended</v>
      </c>
      <c r="G3" s="1" t="str">
        <f ca="1">IFERROR(__xludf.DUMMYFUNCTION("""COMPUTED_VALUE"""),"No")</f>
        <v>No</v>
      </c>
      <c r="H3" s="1" t="str">
        <f ca="1">IFERROR(__xludf.DUMMYFUNCTION("""COMPUTED_VALUE"""),"None")</f>
        <v>None</v>
      </c>
    </row>
    <row r="4" spans="1:8" ht="15.75" customHeight="1">
      <c r="A4" s="1" t="str">
        <f ca="1">IFERROR(__xludf.DUMMYFUNCTION("""COMPUTED_VALUE"""),"20240326NJWEN")</f>
        <v>20240326NJWEN</v>
      </c>
      <c r="B4" s="1"/>
      <c r="C4" s="1"/>
      <c r="D4" s="1"/>
      <c r="E4" s="1"/>
      <c r="F4" s="1" t="str">
        <f ca="1">IFERROR(__xludf.DUMMYFUNCTION("""COMPUTED_VALUE"""),"Fled/Escaped")</f>
        <v>Fled/Escaped</v>
      </c>
      <c r="G4" s="1" t="str">
        <f ca="1">IFERROR(__xludf.DUMMYFUNCTION("""COMPUTED_VALUE"""),"No")</f>
        <v>No</v>
      </c>
      <c r="H4" s="1" t="str">
        <f ca="1">IFERROR(__xludf.DUMMYFUNCTION("""COMPUTED_VALUE"""),"None")</f>
        <v>None</v>
      </c>
    </row>
    <row r="5" spans="1:8" ht="15.75" customHeight="1">
      <c r="A5" s="1" t="str">
        <f ca="1">IFERROR(__xludf.DUMMYFUNCTION("""COMPUTED_VALUE"""),"20240325HIWAW")</f>
        <v>20240325HIWAW</v>
      </c>
      <c r="B5" s="1">
        <f ca="1">IFERROR(__xludf.DUMMYFUNCTION("""COMPUTED_VALUE"""),19)</f>
        <v>19</v>
      </c>
      <c r="C5" s="1" t="str">
        <f ca="1">IFERROR(__xludf.DUMMYFUNCTION("""COMPUTED_VALUE"""),"Male")</f>
        <v>Male</v>
      </c>
      <c r="D5" s="1"/>
      <c r="E5" s="1" t="str">
        <f ca="1">IFERROR(__xludf.DUMMYFUNCTION("""COMPUTED_VALUE"""),"No Relation")</f>
        <v>No Relation</v>
      </c>
      <c r="F5" s="1" t="str">
        <f ca="1">IFERROR(__xludf.DUMMYFUNCTION("""COMPUTED_VALUE"""),"Fled/Apprehended")</f>
        <v>Fled/Apprehended</v>
      </c>
      <c r="G5" s="1" t="str">
        <f ca="1">IFERROR(__xludf.DUMMYFUNCTION("""COMPUTED_VALUE"""),"No")</f>
        <v>No</v>
      </c>
      <c r="H5" s="1" t="str">
        <f ca="1">IFERROR(__xludf.DUMMYFUNCTION("""COMPUTED_VALUE"""),"None")</f>
        <v>None</v>
      </c>
    </row>
    <row r="6" spans="1:8" ht="15.75" customHeight="1">
      <c r="A6" s="1" t="str">
        <f ca="1">IFERROR(__xludf.DUMMYFUNCTION("""COMPUTED_VALUE"""),"20240321NJMAN")</f>
        <v>20240321NJMAN</v>
      </c>
      <c r="B6" s="1"/>
      <c r="C6" s="1"/>
      <c r="D6" s="1"/>
      <c r="E6" s="1"/>
      <c r="F6" s="1" t="str">
        <f ca="1">IFERROR(__xludf.DUMMYFUNCTION("""COMPUTED_VALUE"""),"Fled/Escaped")</f>
        <v>Fled/Escaped</v>
      </c>
      <c r="G6" s="1" t="str">
        <f ca="1">IFERROR(__xludf.DUMMYFUNCTION("""COMPUTED_VALUE"""),"No")</f>
        <v>No</v>
      </c>
      <c r="H6" s="1" t="str">
        <f ca="1">IFERROR(__xludf.DUMMYFUNCTION("""COMPUTED_VALUE"""),"None")</f>
        <v>None</v>
      </c>
    </row>
    <row r="7" spans="1:8" ht="15.75" customHeight="1">
      <c r="A7" s="1" t="str">
        <f ca="1">IFERROR(__xludf.DUMMYFUNCTION("""COMPUTED_VALUE"""),"20240321CADIP")</f>
        <v>20240321CADIP</v>
      </c>
      <c r="B7" s="1" t="str">
        <f ca="1">IFERROR(__xludf.DUMMYFUNCTION("""COMPUTED_VALUE"""),"Teen")</f>
        <v>Teen</v>
      </c>
      <c r="C7" s="1" t="str">
        <f ca="1">IFERROR(__xludf.DUMMYFUNCTION("""COMPUTED_VALUE"""),"Male")</f>
        <v>Male</v>
      </c>
      <c r="D7" s="1"/>
      <c r="E7" s="1" t="str">
        <f ca="1">IFERROR(__xludf.DUMMYFUNCTION("""COMPUTED_VALUE"""),"Nonstudent")</f>
        <v>Nonstudent</v>
      </c>
      <c r="F7" s="1" t="str">
        <f ca="1">IFERROR(__xludf.DUMMYFUNCTION("""COMPUTED_VALUE"""),"Fled/Escaped")</f>
        <v>Fled/Escaped</v>
      </c>
      <c r="G7" s="1" t="str">
        <f ca="1">IFERROR(__xludf.DUMMYFUNCTION("""COMPUTED_VALUE"""),"No")</f>
        <v>No</v>
      </c>
      <c r="H7" s="1" t="str">
        <f ca="1">IFERROR(__xludf.DUMMYFUNCTION("""COMPUTED_VALUE"""),"None")</f>
        <v>None</v>
      </c>
    </row>
    <row r="8" spans="1:8" ht="15.75" customHeight="1">
      <c r="A8" s="1" t="str">
        <f ca="1">IFERROR(__xludf.DUMMYFUNCTION("""COMPUTED_VALUE"""),"20240320NCPEP")</f>
        <v>20240320NCPEP</v>
      </c>
      <c r="B8" s="1">
        <f ca="1">IFERROR(__xludf.DUMMYFUNCTION("""COMPUTED_VALUE"""),30)</f>
        <v>30</v>
      </c>
      <c r="C8" s="1" t="str">
        <f ca="1">IFERROR(__xludf.DUMMYFUNCTION("""COMPUTED_VALUE"""),"Male")</f>
        <v>Male</v>
      </c>
      <c r="D8" s="1" t="str">
        <f ca="1">IFERROR(__xludf.DUMMYFUNCTION("""COMPUTED_VALUE"""),"Black")</f>
        <v>Black</v>
      </c>
      <c r="E8" s="1"/>
      <c r="F8" s="1" t="str">
        <f ca="1">IFERROR(__xludf.DUMMYFUNCTION("""COMPUTED_VALUE"""),"Apprehended/Killed by SRO")</f>
        <v>Apprehended/Killed by SRO</v>
      </c>
      <c r="G8" s="1" t="str">
        <f ca="1">IFERROR(__xludf.DUMMYFUNCTION("""COMPUTED_VALUE"""),"No")</f>
        <v>No</v>
      </c>
      <c r="H8" s="1" t="str">
        <f ca="1">IFERROR(__xludf.DUMMYFUNCTION("""COMPUTED_VALUE"""),"None")</f>
        <v>None</v>
      </c>
    </row>
    <row r="9" spans="1:8" ht="15.75" customHeight="1">
      <c r="A9" s="1" t="str">
        <f ca="1">IFERROR(__xludf.DUMMYFUNCTION("""COMPUTED_VALUE"""),"20240320CONOD")</f>
        <v>20240320CONOD</v>
      </c>
      <c r="B9" s="1"/>
      <c r="C9" s="1" t="str">
        <f ca="1">IFERROR(__xludf.DUMMYFUNCTION("""COMPUTED_VALUE"""),"Male")</f>
        <v>Male</v>
      </c>
      <c r="D9" s="1"/>
      <c r="E9" s="1"/>
      <c r="F9" s="1" t="str">
        <f ca="1">IFERROR(__xludf.DUMMYFUNCTION("""COMPUTED_VALUE"""),"Fled/Escaped")</f>
        <v>Fled/Escaped</v>
      </c>
      <c r="G9" s="1" t="str">
        <f ca="1">IFERROR(__xludf.DUMMYFUNCTION("""COMPUTED_VALUE"""),"No")</f>
        <v>No</v>
      </c>
      <c r="H9" s="1" t="str">
        <f ca="1">IFERROR(__xludf.DUMMYFUNCTION("""COMPUTED_VALUE"""),"None")</f>
        <v>None</v>
      </c>
    </row>
    <row r="10" spans="1:8" ht="15.75" customHeight="1">
      <c r="A10" s="1" t="str">
        <f ca="1">IFERROR(__xludf.DUMMYFUNCTION("""COMPUTED_VALUE"""),"20240320CONOD")</f>
        <v>20240320CONOD</v>
      </c>
      <c r="B10" s="1"/>
      <c r="C10" s="1" t="str">
        <f ca="1">IFERROR(__xludf.DUMMYFUNCTION("""COMPUTED_VALUE"""),"Male")</f>
        <v>Male</v>
      </c>
      <c r="D10" s="1"/>
      <c r="E10" s="1"/>
      <c r="F10" s="1" t="str">
        <f ca="1">IFERROR(__xludf.DUMMYFUNCTION("""COMPUTED_VALUE"""),"Fled/Escaped")</f>
        <v>Fled/Escaped</v>
      </c>
      <c r="G10" s="1" t="str">
        <f ca="1">IFERROR(__xludf.DUMMYFUNCTION("""COMPUTED_VALUE"""),"No")</f>
        <v>No</v>
      </c>
      <c r="H10" s="1" t="str">
        <f ca="1">IFERROR(__xludf.DUMMYFUNCTION("""COMPUTED_VALUE"""),"None")</f>
        <v>None</v>
      </c>
    </row>
    <row r="11" spans="1:8" ht="15.75" customHeight="1">
      <c r="A11" s="1" t="str">
        <f ca="1">IFERROR(__xludf.DUMMYFUNCTION("""COMPUTED_VALUE"""),"20240320OHBOC")</f>
        <v>20240320OHBOC</v>
      </c>
      <c r="B11" s="1" t="str">
        <f ca="1">IFERROR(__xludf.DUMMYFUNCTION("""COMPUTED_VALUE"""),"Teen")</f>
        <v>Teen</v>
      </c>
      <c r="C11" s="1" t="str">
        <f ca="1">IFERROR(__xludf.DUMMYFUNCTION("""COMPUTED_VALUE"""),"Male")</f>
        <v>Male</v>
      </c>
      <c r="D11" s="1"/>
      <c r="E11" s="1" t="str">
        <f ca="1">IFERROR(__xludf.DUMMYFUNCTION("""COMPUTED_VALUE"""),"No Relation")</f>
        <v>No Relation</v>
      </c>
      <c r="F11" s="1" t="str">
        <f ca="1">IFERROR(__xludf.DUMMYFUNCTION("""COMPUTED_VALUE"""),"Fled/Escaped")</f>
        <v>Fled/Escaped</v>
      </c>
      <c r="G11" s="1" t="str">
        <f ca="1">IFERROR(__xludf.DUMMYFUNCTION("""COMPUTED_VALUE"""),"No")</f>
        <v>No</v>
      </c>
      <c r="H11" s="1" t="str">
        <f ca="1">IFERROR(__xludf.DUMMYFUNCTION("""COMPUTED_VALUE"""),"None")</f>
        <v>None</v>
      </c>
    </row>
    <row r="12" spans="1:8" ht="15.75" customHeight="1">
      <c r="A12" s="1" t="str">
        <f ca="1">IFERROR(__xludf.DUMMYFUNCTION("""COMPUTED_VALUE"""),"20240320ILBUC")</f>
        <v>20240320ILBUC</v>
      </c>
      <c r="B12" s="1" t="str">
        <f ca="1">IFERROR(__xludf.DUMMYFUNCTION("""COMPUTED_VALUE"""),"Teen")</f>
        <v>Teen</v>
      </c>
      <c r="C12" s="1" t="str">
        <f ca="1">IFERROR(__xludf.DUMMYFUNCTION("""COMPUTED_VALUE"""),"Male")</f>
        <v>Male</v>
      </c>
      <c r="D12" s="1"/>
      <c r="E12" s="1" t="str">
        <f ca="1">IFERROR(__xludf.DUMMYFUNCTION("""COMPUTED_VALUE"""),"No Relation")</f>
        <v>No Relation</v>
      </c>
      <c r="F12" s="1" t="str">
        <f ca="1">IFERROR(__xludf.DUMMYFUNCTION("""COMPUTED_VALUE"""),"Fled/Apprehended")</f>
        <v>Fled/Apprehended</v>
      </c>
      <c r="G12" s="1" t="str">
        <f ca="1">IFERROR(__xludf.DUMMYFUNCTION("""COMPUTED_VALUE"""),"No")</f>
        <v>No</v>
      </c>
      <c r="H12" s="1" t="str">
        <f ca="1">IFERROR(__xludf.DUMMYFUNCTION("""COMPUTED_VALUE"""),"None")</f>
        <v>None</v>
      </c>
    </row>
    <row r="13" spans="1:8" ht="15.75" customHeight="1">
      <c r="A13" s="1" t="str">
        <f ca="1">IFERROR(__xludf.DUMMYFUNCTION("""COMPUTED_VALUE"""),"20240319DETHW")</f>
        <v>20240319DETHW</v>
      </c>
      <c r="B13" s="1"/>
      <c r="C13" s="1"/>
      <c r="D13" s="1"/>
      <c r="E13" s="1"/>
      <c r="F13" s="1" t="str">
        <f ca="1">IFERROR(__xludf.DUMMYFUNCTION("""COMPUTED_VALUE"""),"Fled/Escaped")</f>
        <v>Fled/Escaped</v>
      </c>
      <c r="G13" s="1" t="str">
        <f ca="1">IFERROR(__xludf.DUMMYFUNCTION("""COMPUTED_VALUE"""),"No")</f>
        <v>No</v>
      </c>
      <c r="H13" s="1" t="str">
        <f ca="1">IFERROR(__xludf.DUMMYFUNCTION("""COMPUTED_VALUE"""),"None")</f>
        <v>None</v>
      </c>
    </row>
    <row r="14" spans="1:8" ht="15.75" customHeight="1">
      <c r="A14" s="1" t="str">
        <f ca="1">IFERROR(__xludf.DUMMYFUNCTION("""COMPUTED_VALUE"""),"20240316TNKEC")</f>
        <v>20240316TNKEC</v>
      </c>
      <c r="B14" s="1"/>
      <c r="C14" s="1"/>
      <c r="D14" s="1"/>
      <c r="E14" s="1" t="str">
        <f ca="1">IFERROR(__xludf.DUMMYFUNCTION("""COMPUTED_VALUE"""),"Nonstudent Using Athletic Facilities/Attending Game")</f>
        <v>Nonstudent Using Athletic Facilities/Attending Game</v>
      </c>
      <c r="F14" s="1" t="str">
        <f ca="1">IFERROR(__xludf.DUMMYFUNCTION("""COMPUTED_VALUE"""),"Fled/Escaped")</f>
        <v>Fled/Escaped</v>
      </c>
      <c r="G14" s="1" t="str">
        <f ca="1">IFERROR(__xludf.DUMMYFUNCTION("""COMPUTED_VALUE"""),"No")</f>
        <v>No</v>
      </c>
      <c r="H14" s="1" t="str">
        <f ca="1">IFERROR(__xludf.DUMMYFUNCTION("""COMPUTED_VALUE"""),"None")</f>
        <v>None</v>
      </c>
    </row>
    <row r="15" spans="1:8" ht="15.75" customHeight="1">
      <c r="A15" s="1" t="str">
        <f ca="1">IFERROR(__xludf.DUMMYFUNCTION("""COMPUTED_VALUE"""),"20240314OHLOD")</f>
        <v>20240314OHLOD</v>
      </c>
      <c r="B15" s="1" t="str">
        <f ca="1">IFERROR(__xludf.DUMMYFUNCTION("""COMPUTED_VALUE"""),"Teen")</f>
        <v>Teen</v>
      </c>
      <c r="C15" s="1" t="str">
        <f ca="1">IFERROR(__xludf.DUMMYFUNCTION("""COMPUTED_VALUE"""),"Male")</f>
        <v>Male</v>
      </c>
      <c r="D15" s="1"/>
      <c r="E15" s="1" t="str">
        <f ca="1">IFERROR(__xludf.DUMMYFUNCTION("""COMPUTED_VALUE"""),"No Relation")</f>
        <v>No Relation</v>
      </c>
      <c r="F15" s="1" t="str">
        <f ca="1">IFERROR(__xludf.DUMMYFUNCTION("""COMPUTED_VALUE"""),"Fled/Escaped")</f>
        <v>Fled/Escaped</v>
      </c>
      <c r="G15" s="1" t="str">
        <f ca="1">IFERROR(__xludf.DUMMYFUNCTION("""COMPUTED_VALUE"""),"No")</f>
        <v>No</v>
      </c>
      <c r="H15" s="1" t="str">
        <f ca="1">IFERROR(__xludf.DUMMYFUNCTION("""COMPUTED_VALUE"""),"None")</f>
        <v>None</v>
      </c>
    </row>
    <row r="16" spans="1:8" ht="15.75" customHeight="1">
      <c r="A16" s="1" t="str">
        <f ca="1">IFERROR(__xludf.DUMMYFUNCTION("""COMPUTED_VALUE"""),"20240313MDFOG")</f>
        <v>20240313MDFOG</v>
      </c>
      <c r="B16" s="1" t="str">
        <f ca="1">IFERROR(__xludf.DUMMYFUNCTION("""COMPUTED_VALUE"""),"Teen")</f>
        <v>Teen</v>
      </c>
      <c r="C16" s="1" t="str">
        <f ca="1">IFERROR(__xludf.DUMMYFUNCTION("""COMPUTED_VALUE"""),"Male")</f>
        <v>Male</v>
      </c>
      <c r="D16" s="1"/>
      <c r="E16" s="1" t="str">
        <f ca="1">IFERROR(__xludf.DUMMYFUNCTION("""COMPUTED_VALUE"""),"No Relation")</f>
        <v>No Relation</v>
      </c>
      <c r="F16" s="1" t="str">
        <f ca="1">IFERROR(__xludf.DUMMYFUNCTION("""COMPUTED_VALUE"""),"Fled/Escaped")</f>
        <v>Fled/Escaped</v>
      </c>
      <c r="G16" s="1" t="str">
        <f ca="1">IFERROR(__xludf.DUMMYFUNCTION("""COMPUTED_VALUE"""),"No")</f>
        <v>No</v>
      </c>
      <c r="H16" s="1" t="str">
        <f ca="1">IFERROR(__xludf.DUMMYFUNCTION("""COMPUTED_VALUE"""),"None")</f>
        <v>None</v>
      </c>
    </row>
    <row r="17" spans="1:8" ht="15.75" customHeight="1">
      <c r="A17" s="1" t="str">
        <f ca="1">IFERROR(__xludf.DUMMYFUNCTION("""COMPUTED_VALUE"""),"20240313WAGAS")</f>
        <v>20240313WAGAS</v>
      </c>
      <c r="B17" s="1"/>
      <c r="C17" s="1"/>
      <c r="D17" s="1"/>
      <c r="E17" s="1"/>
      <c r="F17" s="1" t="str">
        <f ca="1">IFERROR(__xludf.DUMMYFUNCTION("""COMPUTED_VALUE"""),"Fled/Escaped")</f>
        <v>Fled/Escaped</v>
      </c>
      <c r="G17" s="1" t="str">
        <f ca="1">IFERROR(__xludf.DUMMYFUNCTION("""COMPUTED_VALUE"""),"No")</f>
        <v>No</v>
      </c>
      <c r="H17" s="1" t="str">
        <f ca="1">IFERROR(__xludf.DUMMYFUNCTION("""COMPUTED_VALUE"""),"None")</f>
        <v>None</v>
      </c>
    </row>
    <row r="18" spans="1:8" ht="15.75" customHeight="1">
      <c r="A18" s="1" t="str">
        <f ca="1">IFERROR(__xludf.DUMMYFUNCTION("""COMPUTED_VALUE"""),"20240313MDWIB")</f>
        <v>20240313MDWIB</v>
      </c>
      <c r="B18" s="1"/>
      <c r="C18" s="1"/>
      <c r="D18" s="1"/>
      <c r="E18" s="1"/>
      <c r="F18" s="1" t="str">
        <f ca="1">IFERROR(__xludf.DUMMYFUNCTION("""COMPUTED_VALUE"""),"Fled/Escaped")</f>
        <v>Fled/Escaped</v>
      </c>
      <c r="G18" s="1" t="str">
        <f ca="1">IFERROR(__xludf.DUMMYFUNCTION("""COMPUTED_VALUE"""),"No")</f>
        <v>No</v>
      </c>
      <c r="H18" s="1" t="str">
        <f ca="1">IFERROR(__xludf.DUMMYFUNCTION("""COMPUTED_VALUE"""),"None")</f>
        <v>None</v>
      </c>
    </row>
    <row r="19" spans="1:8" ht="15.75" customHeight="1">
      <c r="A19" s="1" t="str">
        <f ca="1">IFERROR(__xludf.DUMMYFUNCTION("""COMPUTED_VALUE"""),"20240311TXCHT")</f>
        <v>20240311TXCHT</v>
      </c>
      <c r="B19" s="1"/>
      <c r="C19" s="1"/>
      <c r="D19" s="1"/>
      <c r="E19" s="1"/>
      <c r="F19" s="1" t="str">
        <f ca="1">IFERROR(__xludf.DUMMYFUNCTION("""COMPUTED_VALUE"""),"Surrendered")</f>
        <v>Surrendered</v>
      </c>
      <c r="G19" s="1" t="str">
        <f ca="1">IFERROR(__xludf.DUMMYFUNCTION("""COMPUTED_VALUE"""),"No")</f>
        <v>No</v>
      </c>
      <c r="H19" s="1" t="str">
        <f ca="1">IFERROR(__xludf.DUMMYFUNCTION("""COMPUTED_VALUE"""),"None")</f>
        <v>None</v>
      </c>
    </row>
    <row r="20" spans="1:8" ht="15.75" customHeight="1">
      <c r="A20" s="1" t="str">
        <f ca="1">IFERROR(__xludf.DUMMYFUNCTION("""COMPUTED_VALUE"""),"20240311MASPS")</f>
        <v>20240311MASPS</v>
      </c>
      <c r="B20" s="1">
        <f ca="1">IFERROR(__xludf.DUMMYFUNCTION("""COMPUTED_VALUE"""),19)</f>
        <v>19</v>
      </c>
      <c r="C20" s="1" t="str">
        <f ca="1">IFERROR(__xludf.DUMMYFUNCTION("""COMPUTED_VALUE"""),"Male")</f>
        <v>Male</v>
      </c>
      <c r="D20" s="1"/>
      <c r="E20" s="1" t="str">
        <f ca="1">IFERROR(__xludf.DUMMYFUNCTION("""COMPUTED_VALUE"""),"Nonstudent")</f>
        <v>Nonstudent</v>
      </c>
      <c r="F20" s="1" t="str">
        <f ca="1">IFERROR(__xludf.DUMMYFUNCTION("""COMPUTED_VALUE"""),"Fled/Escaped")</f>
        <v>Fled/Escaped</v>
      </c>
      <c r="G20" s="1" t="str">
        <f ca="1">IFERROR(__xludf.DUMMYFUNCTION("""COMPUTED_VALUE"""),"No")</f>
        <v>No</v>
      </c>
      <c r="H20" s="1" t="str">
        <f ca="1">IFERROR(__xludf.DUMMYFUNCTION("""COMPUTED_VALUE"""),"None")</f>
        <v>None</v>
      </c>
    </row>
    <row r="21" spans="1:8" ht="15.75" customHeight="1">
      <c r="A21" s="1" t="str">
        <f ca="1">IFERROR(__xludf.DUMMYFUNCTION("""COMPUTED_VALUE"""),"20240307NYPSB")</f>
        <v>20240307NYPSB</v>
      </c>
      <c r="B21" s="1" t="str">
        <f ca="1">IFERROR(__xludf.DUMMYFUNCTION("""COMPUTED_VALUE"""),"Teen")</f>
        <v>Teen</v>
      </c>
      <c r="C21" s="1" t="str">
        <f ca="1">IFERROR(__xludf.DUMMYFUNCTION("""COMPUTED_VALUE"""),"Male")</f>
        <v>Male</v>
      </c>
      <c r="D21" s="1"/>
      <c r="E21" s="1"/>
      <c r="F21" s="1" t="str">
        <f ca="1">IFERROR(__xludf.DUMMYFUNCTION("""COMPUTED_VALUE"""),"Fled/Escaped")</f>
        <v>Fled/Escaped</v>
      </c>
      <c r="G21" s="1" t="str">
        <f ca="1">IFERROR(__xludf.DUMMYFUNCTION("""COMPUTED_VALUE"""),"No")</f>
        <v>No</v>
      </c>
      <c r="H21" s="1" t="str">
        <f ca="1">IFERROR(__xludf.DUMMYFUNCTION("""COMPUTED_VALUE"""),"None")</f>
        <v>None</v>
      </c>
    </row>
    <row r="22" spans="1:8" ht="12.5">
      <c r="A22" s="1" t="str">
        <f ca="1">IFERROR(__xludf.DUMMYFUNCTION("""COMPUTED_VALUE"""),"20240305INHAL")</f>
        <v>20240305INHAL</v>
      </c>
      <c r="B22" s="1" t="str">
        <f ca="1">IFERROR(__xludf.DUMMYFUNCTION("""COMPUTED_VALUE"""),"Teen")</f>
        <v>Teen</v>
      </c>
      <c r="C22" s="1" t="str">
        <f ca="1">IFERROR(__xludf.DUMMYFUNCTION("""COMPUTED_VALUE"""),"Male")</f>
        <v>Male</v>
      </c>
      <c r="D22" s="1"/>
      <c r="E22" s="1" t="str">
        <f ca="1">IFERROR(__xludf.DUMMYFUNCTION("""COMPUTED_VALUE"""),"No Relation")</f>
        <v>No Relation</v>
      </c>
      <c r="F22" s="1" t="str">
        <f ca="1">IFERROR(__xludf.DUMMYFUNCTION("""COMPUTED_VALUE"""),"Fled/Apprehended")</f>
        <v>Fled/Apprehended</v>
      </c>
      <c r="G22" s="1" t="str">
        <f ca="1">IFERROR(__xludf.DUMMYFUNCTION("""COMPUTED_VALUE"""),"No")</f>
        <v>No</v>
      </c>
      <c r="H22" s="1" t="str">
        <f ca="1">IFERROR(__xludf.DUMMYFUNCTION("""COMPUTED_VALUE"""),"None")</f>
        <v>None</v>
      </c>
    </row>
    <row r="23" spans="1:8" ht="12.5">
      <c r="A23" s="1" t="str">
        <f ca="1">IFERROR(__xludf.DUMMYFUNCTION("""COMPUTED_VALUE"""),"20240304TNBRB")</f>
        <v>20240304TNBRB</v>
      </c>
      <c r="B23" s="1" t="str">
        <f ca="1">IFERROR(__xludf.DUMMYFUNCTION("""COMPUTED_VALUE"""),"Teen")</f>
        <v>Teen</v>
      </c>
      <c r="C23" s="1" t="str">
        <f ca="1">IFERROR(__xludf.DUMMYFUNCTION("""COMPUTED_VALUE"""),"Male")</f>
        <v>Male</v>
      </c>
      <c r="D23" s="1"/>
      <c r="E23" s="1" t="str">
        <f ca="1">IFERROR(__xludf.DUMMYFUNCTION("""COMPUTED_VALUE"""),"Student")</f>
        <v>Student</v>
      </c>
      <c r="F23" s="1" t="str">
        <f ca="1">IFERROR(__xludf.DUMMYFUNCTION("""COMPUTED_VALUE"""),"Apprehended/Killed by SRO")</f>
        <v>Apprehended/Killed by SRO</v>
      </c>
      <c r="G23" s="1" t="str">
        <f ca="1">IFERROR(__xludf.DUMMYFUNCTION("""COMPUTED_VALUE"""),"No")</f>
        <v>No</v>
      </c>
      <c r="H23" s="1" t="str">
        <f ca="1">IFERROR(__xludf.DUMMYFUNCTION("""COMPUTED_VALUE"""),"None")</f>
        <v>None</v>
      </c>
    </row>
    <row r="24" spans="1:8" ht="12.5">
      <c r="A24" s="1" t="str">
        <f ca="1">IFERROR(__xludf.DUMMYFUNCTION("""COMPUTED_VALUE"""),"20240302INROR")</f>
        <v>20240302INROR</v>
      </c>
      <c r="B24" s="1">
        <f ca="1">IFERROR(__xludf.DUMMYFUNCTION("""COMPUTED_VALUE"""),44)</f>
        <v>44</v>
      </c>
      <c r="C24" s="1" t="str">
        <f ca="1">IFERROR(__xludf.DUMMYFUNCTION("""COMPUTED_VALUE"""),"Male")</f>
        <v>Male</v>
      </c>
      <c r="D24" s="1" t="str">
        <f ca="1">IFERROR(__xludf.DUMMYFUNCTION("""COMPUTED_VALUE"""),"White")</f>
        <v>White</v>
      </c>
      <c r="E24" s="1" t="str">
        <f ca="1">IFERROR(__xludf.DUMMYFUNCTION("""COMPUTED_VALUE"""),"Nonstudent Using Athletic Facilities/Attending Game")</f>
        <v>Nonstudent Using Athletic Facilities/Attending Game</v>
      </c>
      <c r="F24" s="1" t="str">
        <f ca="1">IFERROR(__xludf.DUMMYFUNCTION("""COMPUTED_VALUE"""),"Apprehended/Killed by LE")</f>
        <v>Apprehended/Killed by LE</v>
      </c>
      <c r="G24" s="1" t="str">
        <f ca="1">IFERROR(__xludf.DUMMYFUNCTION("""COMPUTED_VALUE"""),"No")</f>
        <v>No</v>
      </c>
      <c r="H24" s="1" t="str">
        <f ca="1">IFERROR(__xludf.DUMMYFUNCTION("""COMPUTED_VALUE"""),"None")</f>
        <v>None</v>
      </c>
    </row>
    <row r="25" spans="1:8" ht="12.5">
      <c r="A25" s="1" t="str">
        <f ca="1">IFERROR(__xludf.DUMMYFUNCTION("""COMPUTED_VALUE"""),"20240302MONOK")</f>
        <v>20240302MONOK</v>
      </c>
      <c r="B25" s="1" t="str">
        <f ca="1">IFERROR(__xludf.DUMMYFUNCTION("""COMPUTED_VALUE"""),"Teen")</f>
        <v>Teen</v>
      </c>
      <c r="C25" s="1"/>
      <c r="D25" s="1"/>
      <c r="E25" s="1"/>
      <c r="F25" s="1" t="str">
        <f ca="1">IFERROR(__xludf.DUMMYFUNCTION("""COMPUTED_VALUE"""),"Fled/Escaped")</f>
        <v>Fled/Escaped</v>
      </c>
      <c r="G25" s="1" t="str">
        <f ca="1">IFERROR(__xludf.DUMMYFUNCTION("""COMPUTED_VALUE"""),"No")</f>
        <v>No</v>
      </c>
      <c r="H25" s="1" t="str">
        <f ca="1">IFERROR(__xludf.DUMMYFUNCTION("""COMPUTED_VALUE"""),"None")</f>
        <v>None</v>
      </c>
    </row>
    <row r="26" spans="1:8" ht="12.5">
      <c r="A26" s="1" t="str">
        <f ca="1">IFERROR(__xludf.DUMMYFUNCTION("""COMPUTED_VALUE"""),"20240302MONOK")</f>
        <v>20240302MONOK</v>
      </c>
      <c r="B26" s="1" t="str">
        <f ca="1">IFERROR(__xludf.DUMMYFUNCTION("""COMPUTED_VALUE"""),"Teen")</f>
        <v>Teen</v>
      </c>
      <c r="C26" s="1"/>
      <c r="D26" s="1"/>
      <c r="E26" s="1"/>
      <c r="F26" s="1" t="str">
        <f ca="1">IFERROR(__xludf.DUMMYFUNCTION("""COMPUTED_VALUE"""),"Fled/Escaped")</f>
        <v>Fled/Escaped</v>
      </c>
      <c r="G26" s="1" t="str">
        <f ca="1">IFERROR(__xludf.DUMMYFUNCTION("""COMPUTED_VALUE"""),"No")</f>
        <v>No</v>
      </c>
      <c r="H26" s="1" t="str">
        <f ca="1">IFERROR(__xludf.DUMMYFUNCTION("""COMPUTED_VALUE"""),"None")</f>
        <v>None</v>
      </c>
    </row>
    <row r="27" spans="1:8" ht="12.5">
      <c r="A27" s="1" t="str">
        <f ca="1">IFERROR(__xludf.DUMMYFUNCTION("""COMPUTED_VALUE"""),"20240302MONOK")</f>
        <v>20240302MONOK</v>
      </c>
      <c r="B27" s="1" t="str">
        <f ca="1">IFERROR(__xludf.DUMMYFUNCTION("""COMPUTED_VALUE"""),"Teen")</f>
        <v>Teen</v>
      </c>
      <c r="C27" s="1"/>
      <c r="D27" s="1"/>
      <c r="E27" s="1"/>
      <c r="F27" s="1" t="str">
        <f ca="1">IFERROR(__xludf.DUMMYFUNCTION("""COMPUTED_VALUE"""),"Fled/Escaped")</f>
        <v>Fled/Escaped</v>
      </c>
      <c r="G27" s="1" t="str">
        <f ca="1">IFERROR(__xludf.DUMMYFUNCTION("""COMPUTED_VALUE"""),"No")</f>
        <v>No</v>
      </c>
      <c r="H27" s="1" t="str">
        <f ca="1">IFERROR(__xludf.DUMMYFUNCTION("""COMPUTED_VALUE"""),"None")</f>
        <v>None</v>
      </c>
    </row>
    <row r="28" spans="1:8" ht="12.5">
      <c r="A28" s="1" t="str">
        <f ca="1">IFERROR(__xludf.DUMMYFUNCTION("""COMPUTED_VALUE"""),"20240302MONOK")</f>
        <v>20240302MONOK</v>
      </c>
      <c r="B28" s="1">
        <f ca="1">IFERROR(__xludf.DUMMYFUNCTION("""COMPUTED_VALUE"""),19)</f>
        <v>19</v>
      </c>
      <c r="C28" s="1" t="str">
        <f ca="1">IFERROR(__xludf.DUMMYFUNCTION("""COMPUTED_VALUE"""),"Male")</f>
        <v>Male</v>
      </c>
      <c r="D28" s="1" t="str">
        <f ca="1">IFERROR(__xludf.DUMMYFUNCTION("""COMPUTED_VALUE"""),"Black")</f>
        <v>Black</v>
      </c>
      <c r="E28" s="1" t="str">
        <f ca="1">IFERROR(__xludf.DUMMYFUNCTION("""COMPUTED_VALUE"""),"Nonstudent Using Athletic Facilities/Attending Game")</f>
        <v>Nonstudent Using Athletic Facilities/Attending Game</v>
      </c>
      <c r="F28" s="1" t="str">
        <f ca="1">IFERROR(__xludf.DUMMYFUNCTION("""COMPUTED_VALUE"""),"Fled/Apprehended")</f>
        <v>Fled/Apprehended</v>
      </c>
      <c r="G28" s="1" t="str">
        <f ca="1">IFERROR(__xludf.DUMMYFUNCTION("""COMPUTED_VALUE"""),"No")</f>
        <v>No</v>
      </c>
      <c r="H28" s="1" t="str">
        <f ca="1">IFERROR(__xludf.DUMMYFUNCTION("""COMPUTED_VALUE"""),"None")</f>
        <v>None</v>
      </c>
    </row>
    <row r="29" spans="1:8" ht="12.5">
      <c r="A29" s="1" t="str">
        <f ca="1">IFERROR(__xludf.DUMMYFUNCTION("""COMPUTED_VALUE"""),"20240302MONOK")</f>
        <v>20240302MONOK</v>
      </c>
      <c r="B29" s="1">
        <f ca="1">IFERROR(__xludf.DUMMYFUNCTION("""COMPUTED_VALUE"""),18)</f>
        <v>18</v>
      </c>
      <c r="C29" s="1" t="str">
        <f ca="1">IFERROR(__xludf.DUMMYFUNCTION("""COMPUTED_VALUE"""),"Male")</f>
        <v>Male</v>
      </c>
      <c r="D29" s="1" t="str">
        <f ca="1">IFERROR(__xludf.DUMMYFUNCTION("""COMPUTED_VALUE"""),"Black")</f>
        <v>Black</v>
      </c>
      <c r="E29" s="1" t="str">
        <f ca="1">IFERROR(__xludf.DUMMYFUNCTION("""COMPUTED_VALUE"""),"Nonstudent Using Athletic Facilities/Attending Game")</f>
        <v>Nonstudent Using Athletic Facilities/Attending Game</v>
      </c>
      <c r="F29" s="1" t="str">
        <f ca="1">IFERROR(__xludf.DUMMYFUNCTION("""COMPUTED_VALUE"""),"Fled/Apprehended")</f>
        <v>Fled/Apprehended</v>
      </c>
      <c r="G29" s="1" t="str">
        <f ca="1">IFERROR(__xludf.DUMMYFUNCTION("""COMPUTED_VALUE"""),"No")</f>
        <v>No</v>
      </c>
      <c r="H29" s="1" t="str">
        <f ca="1">IFERROR(__xludf.DUMMYFUNCTION("""COMPUTED_VALUE"""),"None")</f>
        <v>None</v>
      </c>
    </row>
    <row r="30" spans="1:8" ht="12.5">
      <c r="A30" s="1" t="str">
        <f ca="1">IFERROR(__xludf.DUMMYFUNCTION("""COMPUTED_VALUE"""),"20240301LACAC")</f>
        <v>20240301LACAC</v>
      </c>
      <c r="B30" s="1">
        <f ca="1">IFERROR(__xludf.DUMMYFUNCTION("""COMPUTED_VALUE"""),19)</f>
        <v>19</v>
      </c>
      <c r="C30" s="1" t="str">
        <f ca="1">IFERROR(__xludf.DUMMYFUNCTION("""COMPUTED_VALUE"""),"Male")</f>
        <v>Male</v>
      </c>
      <c r="D30" s="1"/>
      <c r="E30" s="1"/>
      <c r="F30" s="1" t="str">
        <f ca="1">IFERROR(__xludf.DUMMYFUNCTION("""COMPUTED_VALUE"""),"Fled/Apprehended")</f>
        <v>Fled/Apprehended</v>
      </c>
      <c r="G30" s="1" t="str">
        <f ca="1">IFERROR(__xludf.DUMMYFUNCTION("""COMPUTED_VALUE"""),"No")</f>
        <v>No</v>
      </c>
      <c r="H30" s="1" t="str">
        <f ca="1">IFERROR(__xludf.DUMMYFUNCTION("""COMPUTED_VALUE"""),"None")</f>
        <v>None</v>
      </c>
    </row>
    <row r="31" spans="1:8" ht="12.5">
      <c r="A31" s="1" t="str">
        <f ca="1">IFERROR(__xludf.DUMMYFUNCTION("""COMPUTED_VALUE"""),"20240229FLFIJ")</f>
        <v>20240229FLFIJ</v>
      </c>
      <c r="B31" s="1">
        <f ca="1">IFERROR(__xludf.DUMMYFUNCTION("""COMPUTED_VALUE"""),15)</f>
        <v>15</v>
      </c>
      <c r="C31" s="1" t="str">
        <f ca="1">IFERROR(__xludf.DUMMYFUNCTION("""COMPUTED_VALUE"""),"Male")</f>
        <v>Male</v>
      </c>
      <c r="D31" s="1"/>
      <c r="E31" s="1" t="str">
        <f ca="1">IFERROR(__xludf.DUMMYFUNCTION("""COMPUTED_VALUE"""),"Student")</f>
        <v>Student</v>
      </c>
      <c r="F31" s="1" t="str">
        <f ca="1">IFERROR(__xludf.DUMMYFUNCTION("""COMPUTED_VALUE"""),"Fled/Apprehended")</f>
        <v>Fled/Apprehended</v>
      </c>
      <c r="G31" s="1" t="str">
        <f ca="1">IFERROR(__xludf.DUMMYFUNCTION("""COMPUTED_VALUE"""),"No")</f>
        <v>No</v>
      </c>
      <c r="H31" s="1" t="str">
        <f ca="1">IFERROR(__xludf.DUMMYFUNCTION("""COMPUTED_VALUE"""),"None")</f>
        <v>None</v>
      </c>
    </row>
    <row r="32" spans="1:8" ht="12.5">
      <c r="A32" s="1" t="str">
        <f ca="1">IFERROR(__xludf.DUMMYFUNCTION("""COMPUTED_VALUE"""),"20240228NCWAG")</f>
        <v>20240228NCWAG</v>
      </c>
      <c r="B32" s="1">
        <f ca="1">IFERROR(__xludf.DUMMYFUNCTION("""COMPUTED_VALUE"""),38)</f>
        <v>38</v>
      </c>
      <c r="C32" s="1" t="str">
        <f ca="1">IFERROR(__xludf.DUMMYFUNCTION("""COMPUTED_VALUE"""),"Male")</f>
        <v>Male</v>
      </c>
      <c r="D32" s="1"/>
      <c r="E32" s="1" t="str">
        <f ca="1">IFERROR(__xludf.DUMMYFUNCTION("""COMPUTED_VALUE"""),"No Relation")</f>
        <v>No Relation</v>
      </c>
      <c r="F32" s="1" t="str">
        <f ca="1">IFERROR(__xludf.DUMMYFUNCTION("""COMPUTED_VALUE"""),"Apprehended/Killed by LE")</f>
        <v>Apprehended/Killed by LE</v>
      </c>
      <c r="G32" s="1" t="str">
        <f ca="1">IFERROR(__xludf.DUMMYFUNCTION("""COMPUTED_VALUE"""),"No")</f>
        <v>No</v>
      </c>
      <c r="H32" s="1" t="str">
        <f ca="1">IFERROR(__xludf.DUMMYFUNCTION("""COMPUTED_VALUE"""),"None")</f>
        <v>None</v>
      </c>
    </row>
    <row r="33" spans="1:8" ht="12.5">
      <c r="A33" s="1" t="str">
        <f ca="1">IFERROR(__xludf.DUMMYFUNCTION("""COMPUTED_VALUE"""),"20240228MEWAW")</f>
        <v>20240228MEWAW</v>
      </c>
      <c r="B33" s="1">
        <f ca="1">IFERROR(__xludf.DUMMYFUNCTION("""COMPUTED_VALUE"""),24)</f>
        <v>24</v>
      </c>
      <c r="C33" s="1" t="str">
        <f ca="1">IFERROR(__xludf.DUMMYFUNCTION("""COMPUTED_VALUE"""),"Male")</f>
        <v>Male</v>
      </c>
      <c r="D33" s="1"/>
      <c r="E33" s="1" t="str">
        <f ca="1">IFERROR(__xludf.DUMMYFUNCTION("""COMPUTED_VALUE"""),"No Relation")</f>
        <v>No Relation</v>
      </c>
      <c r="F33" s="1" t="str">
        <f ca="1">IFERROR(__xludf.DUMMYFUNCTION("""COMPUTED_VALUE"""),"Suicide")</f>
        <v>Suicide</v>
      </c>
      <c r="G33" s="1" t="str">
        <f ca="1">IFERROR(__xludf.DUMMYFUNCTION("""COMPUTED_VALUE"""),"Yes")</f>
        <v>Yes</v>
      </c>
      <c r="H33" s="1" t="str">
        <f ca="1">IFERROR(__xludf.DUMMYFUNCTION("""COMPUTED_VALUE"""),"Suicide")</f>
        <v>Suicide</v>
      </c>
    </row>
    <row r="34" spans="1:8" ht="12.5">
      <c r="A34" s="1" t="str">
        <f ca="1">IFERROR(__xludf.DUMMYFUNCTION("""COMPUTED_VALUE"""),"20240227DESUG")</f>
        <v>20240227DESUG</v>
      </c>
      <c r="B34" s="1">
        <f ca="1">IFERROR(__xludf.DUMMYFUNCTION("""COMPUTED_VALUE"""),15)</f>
        <v>15</v>
      </c>
      <c r="C34" s="1" t="str">
        <f ca="1">IFERROR(__xludf.DUMMYFUNCTION("""COMPUTED_VALUE"""),"Male")</f>
        <v>Male</v>
      </c>
      <c r="D34" s="1"/>
      <c r="E34" s="1" t="str">
        <f ca="1">IFERROR(__xludf.DUMMYFUNCTION("""COMPUTED_VALUE"""),"Student")</f>
        <v>Student</v>
      </c>
      <c r="F34" s="1" t="str">
        <f ca="1">IFERROR(__xludf.DUMMYFUNCTION("""COMPUTED_VALUE"""),"Fled/Apprehended")</f>
        <v>Fled/Apprehended</v>
      </c>
      <c r="G34" s="1" t="str">
        <f ca="1">IFERROR(__xludf.DUMMYFUNCTION("""COMPUTED_VALUE"""),"No")</f>
        <v>No</v>
      </c>
      <c r="H34" s="1" t="str">
        <f ca="1">IFERROR(__xludf.DUMMYFUNCTION("""COMPUTED_VALUE"""),"None")</f>
        <v>None</v>
      </c>
    </row>
    <row r="35" spans="1:8" ht="12.5">
      <c r="A35" s="1" t="str">
        <f ca="1">IFERROR(__xludf.DUMMYFUNCTION("""COMPUTED_VALUE"""),"20240226TXODO")</f>
        <v>20240226TXODO</v>
      </c>
      <c r="B35" s="1">
        <f ca="1">IFERROR(__xludf.DUMMYFUNCTION("""COMPUTED_VALUE"""),15)</f>
        <v>15</v>
      </c>
      <c r="C35" s="1" t="str">
        <f ca="1">IFERROR(__xludf.DUMMYFUNCTION("""COMPUTED_VALUE"""),"Male")</f>
        <v>Male</v>
      </c>
      <c r="D35" s="1"/>
      <c r="E35" s="1" t="str">
        <f ca="1">IFERROR(__xludf.DUMMYFUNCTION("""COMPUTED_VALUE"""),"Student")</f>
        <v>Student</v>
      </c>
      <c r="F35" s="1" t="str">
        <f ca="1">IFERROR(__xludf.DUMMYFUNCTION("""COMPUTED_VALUE"""),"Fled/Apprehended")</f>
        <v>Fled/Apprehended</v>
      </c>
      <c r="G35" s="1" t="str">
        <f ca="1">IFERROR(__xludf.DUMMYFUNCTION("""COMPUTED_VALUE"""),"No")</f>
        <v>No</v>
      </c>
      <c r="H35" s="1" t="str">
        <f ca="1">IFERROR(__xludf.DUMMYFUNCTION("""COMPUTED_VALUE"""),"None")</f>
        <v>None</v>
      </c>
    </row>
    <row r="36" spans="1:8" ht="12.5">
      <c r="A36" s="1" t="str">
        <f ca="1">IFERROR(__xludf.DUMMYFUNCTION("""COMPUTED_VALUE"""),"20240223WVBLB")</f>
        <v>20240223WVBLB</v>
      </c>
      <c r="B36" s="1"/>
      <c r="C36" s="1"/>
      <c r="D36" s="1"/>
      <c r="E36" s="1"/>
      <c r="F36" s="1" t="str">
        <f ca="1">IFERROR(__xludf.DUMMYFUNCTION("""COMPUTED_VALUE"""),"Fled/Escaped")</f>
        <v>Fled/Escaped</v>
      </c>
      <c r="G36" s="1" t="str">
        <f ca="1">IFERROR(__xludf.DUMMYFUNCTION("""COMPUTED_VALUE"""),"No")</f>
        <v>No</v>
      </c>
      <c r="H36" s="1" t="str">
        <f ca="1">IFERROR(__xludf.DUMMYFUNCTION("""COMPUTED_VALUE"""),"None")</f>
        <v>None</v>
      </c>
    </row>
    <row r="37" spans="1:8" ht="12.5">
      <c r="A37" s="1" t="str">
        <f ca="1">IFERROR(__xludf.DUMMYFUNCTION("""COMPUTED_VALUE"""),"20240221TXTRA")</f>
        <v>20240221TXTRA</v>
      </c>
      <c r="B37" s="1">
        <f ca="1">IFERROR(__xludf.DUMMYFUNCTION("""COMPUTED_VALUE"""),12)</f>
        <v>12</v>
      </c>
      <c r="C37" s="1" t="str">
        <f ca="1">IFERROR(__xludf.DUMMYFUNCTION("""COMPUTED_VALUE"""),"Male")</f>
        <v>Male</v>
      </c>
      <c r="D37" s="1"/>
      <c r="E37" s="1" t="str">
        <f ca="1">IFERROR(__xludf.DUMMYFUNCTION("""COMPUTED_VALUE"""),"Student")</f>
        <v>Student</v>
      </c>
      <c r="F37" s="1" t="str">
        <f ca="1">IFERROR(__xludf.DUMMYFUNCTION("""COMPUTED_VALUE"""),"Apprehended/Killed by LE")</f>
        <v>Apprehended/Killed by LE</v>
      </c>
      <c r="G37" s="1" t="str">
        <f ca="1">IFERROR(__xludf.DUMMYFUNCTION("""COMPUTED_VALUE"""),"No")</f>
        <v>No</v>
      </c>
      <c r="H37" s="1" t="str">
        <f ca="1">IFERROR(__xludf.DUMMYFUNCTION("""COMPUTED_VALUE"""),"None")</f>
        <v>None</v>
      </c>
    </row>
    <row r="38" spans="1:8" ht="12.5">
      <c r="A38" s="1" t="str">
        <f ca="1">IFERROR(__xludf.DUMMYFUNCTION("""COMPUTED_VALUE"""),"20240221CODED")</f>
        <v>20240221CODED</v>
      </c>
      <c r="B38" s="1"/>
      <c r="C38" s="1"/>
      <c r="D38" s="1"/>
      <c r="E38" s="1" t="str">
        <f ca="1">IFERROR(__xludf.DUMMYFUNCTION("""COMPUTED_VALUE"""),"No Relation")</f>
        <v>No Relation</v>
      </c>
      <c r="F38" s="1" t="str">
        <f ca="1">IFERROR(__xludf.DUMMYFUNCTION("""COMPUTED_VALUE"""),"Fled/Escaped")</f>
        <v>Fled/Escaped</v>
      </c>
      <c r="G38" s="1" t="str">
        <f ca="1">IFERROR(__xludf.DUMMYFUNCTION("""COMPUTED_VALUE"""),"No")</f>
        <v>No</v>
      </c>
      <c r="H38" s="1" t="str">
        <f ca="1">IFERROR(__xludf.DUMMYFUNCTION("""COMPUTED_VALUE"""),"None")</f>
        <v>None</v>
      </c>
    </row>
    <row r="39" spans="1:8" ht="12.5">
      <c r="A39" s="1" t="str">
        <f ca="1">IFERROR(__xludf.DUMMYFUNCTION("""COMPUTED_VALUE"""),"20240221TXECE")</f>
        <v>20240221TXECE</v>
      </c>
      <c r="B39" s="1" t="str">
        <f ca="1">IFERROR(__xludf.DUMMYFUNCTION("""COMPUTED_VALUE"""),"Adult")</f>
        <v>Adult</v>
      </c>
      <c r="C39" s="1" t="str">
        <f ca="1">IFERROR(__xludf.DUMMYFUNCTION("""COMPUTED_VALUE"""),"Male")</f>
        <v>Male</v>
      </c>
      <c r="D39" s="1"/>
      <c r="E39" s="1" t="str">
        <f ca="1">IFERROR(__xludf.DUMMYFUNCTION("""COMPUTED_VALUE"""),"Police Officer/SRO")</f>
        <v>Police Officer/SRO</v>
      </c>
      <c r="F39" s="1" t="str">
        <f ca="1">IFERROR(__xludf.DUMMYFUNCTION("""COMPUTED_VALUE"""),"Law Enforcement")</f>
        <v>Law Enforcement</v>
      </c>
      <c r="G39" s="1" t="str">
        <f ca="1">IFERROR(__xludf.DUMMYFUNCTION("""COMPUTED_VALUE"""),"No")</f>
        <v>No</v>
      </c>
      <c r="H39" s="1" t="str">
        <f ca="1">IFERROR(__xludf.DUMMYFUNCTION("""COMPUTED_VALUE"""),"None")</f>
        <v>None</v>
      </c>
    </row>
    <row r="40" spans="1:8" ht="12.5">
      <c r="A40" s="1" t="str">
        <f ca="1">IFERROR(__xludf.DUMMYFUNCTION("""COMPUTED_VALUE"""),"20240221AZCAT")</f>
        <v>20240221AZCAT</v>
      </c>
      <c r="B40" s="1"/>
      <c r="C40" s="1"/>
      <c r="D40" s="1"/>
      <c r="E40" s="1" t="str">
        <f ca="1">IFERROR(__xludf.DUMMYFUNCTION("""COMPUTED_VALUE"""),"No Relation")</f>
        <v>No Relation</v>
      </c>
      <c r="F40" s="1" t="str">
        <f ca="1">IFERROR(__xludf.DUMMYFUNCTION("""COMPUTED_VALUE"""),"Fled/Escaped")</f>
        <v>Fled/Escaped</v>
      </c>
      <c r="G40" s="1" t="str">
        <f ca="1">IFERROR(__xludf.DUMMYFUNCTION("""COMPUTED_VALUE"""),"No")</f>
        <v>No</v>
      </c>
      <c r="H40" s="1" t="str">
        <f ca="1">IFERROR(__xludf.DUMMYFUNCTION("""COMPUTED_VALUE"""),"None")</f>
        <v>None</v>
      </c>
    </row>
    <row r="41" spans="1:8" ht="12.5">
      <c r="A41" s="1" t="str">
        <f ca="1">IFERROR(__xludf.DUMMYFUNCTION("""COMPUTED_VALUE"""),"20240220ALPEP")</f>
        <v>20240220ALPEP</v>
      </c>
      <c r="B41" s="1" t="str">
        <f ca="1">IFERROR(__xludf.DUMMYFUNCTION("""COMPUTED_VALUE"""),"Adult")</f>
        <v>Adult</v>
      </c>
      <c r="C41" s="1"/>
      <c r="D41" s="1"/>
      <c r="E41" s="1" t="str">
        <f ca="1">IFERROR(__xludf.DUMMYFUNCTION("""COMPUTED_VALUE"""),"Nonstudent")</f>
        <v>Nonstudent</v>
      </c>
      <c r="F41" s="1" t="str">
        <f ca="1">IFERROR(__xludf.DUMMYFUNCTION("""COMPUTED_VALUE"""),"Fled/Apprehended")</f>
        <v>Fled/Apprehended</v>
      </c>
      <c r="G41" s="1" t="str">
        <f ca="1">IFERROR(__xludf.DUMMYFUNCTION("""COMPUTED_VALUE"""),"No")</f>
        <v>No</v>
      </c>
      <c r="H41" s="1" t="str">
        <f ca="1">IFERROR(__xludf.DUMMYFUNCTION("""COMPUTED_VALUE"""),"None")</f>
        <v>None</v>
      </c>
    </row>
    <row r="42" spans="1:8" ht="12.5">
      <c r="A42" s="1" t="str">
        <f ca="1">IFERROR(__xludf.DUMMYFUNCTION("""COMPUTED_VALUE"""),"20240220MISAS")</f>
        <v>20240220MISAS</v>
      </c>
      <c r="B42" s="1">
        <f ca="1">IFERROR(__xludf.DUMMYFUNCTION("""COMPUTED_VALUE"""),15)</f>
        <v>15</v>
      </c>
      <c r="C42" s="1" t="str">
        <f ca="1">IFERROR(__xludf.DUMMYFUNCTION("""COMPUTED_VALUE"""),"Male")</f>
        <v>Male</v>
      </c>
      <c r="D42" s="1"/>
      <c r="E42" s="1" t="str">
        <f ca="1">IFERROR(__xludf.DUMMYFUNCTION("""COMPUTED_VALUE"""),"Nonstudent")</f>
        <v>Nonstudent</v>
      </c>
      <c r="F42" s="1" t="str">
        <f ca="1">IFERROR(__xludf.DUMMYFUNCTION("""COMPUTED_VALUE"""),"Fled/Apprehended")</f>
        <v>Fled/Apprehended</v>
      </c>
      <c r="G42" s="1" t="str">
        <f ca="1">IFERROR(__xludf.DUMMYFUNCTION("""COMPUTED_VALUE"""),"No")</f>
        <v>No</v>
      </c>
      <c r="H42" s="1" t="str">
        <f ca="1">IFERROR(__xludf.DUMMYFUNCTION("""COMPUTED_VALUE"""),"None")</f>
        <v>None</v>
      </c>
    </row>
    <row r="43" spans="1:8" ht="12.5">
      <c r="A43" s="1" t="str">
        <f ca="1">IFERROR(__xludf.DUMMYFUNCTION("""COMPUTED_VALUE"""),"20240219TXPIM")</f>
        <v>20240219TXPIM</v>
      </c>
      <c r="B43" s="1">
        <f ca="1">IFERROR(__xludf.DUMMYFUNCTION("""COMPUTED_VALUE"""),16)</f>
        <v>16</v>
      </c>
      <c r="C43" s="1" t="str">
        <f ca="1">IFERROR(__xludf.DUMMYFUNCTION("""COMPUTED_VALUE"""),"Male")</f>
        <v>Male</v>
      </c>
      <c r="D43" s="1"/>
      <c r="E43" s="1" t="str">
        <f ca="1">IFERROR(__xludf.DUMMYFUNCTION("""COMPUTED_VALUE"""),"Student")</f>
        <v>Student</v>
      </c>
      <c r="F43" s="1" t="str">
        <f ca="1">IFERROR(__xludf.DUMMYFUNCTION("""COMPUTED_VALUE"""),"Apprehended/Killed by SRO")</f>
        <v>Apprehended/Killed by SRO</v>
      </c>
      <c r="G43" s="1" t="str">
        <f ca="1">IFERROR(__xludf.DUMMYFUNCTION("""COMPUTED_VALUE"""),"No")</f>
        <v>No</v>
      </c>
      <c r="H43" s="1" t="str">
        <f ca="1">IFERROR(__xludf.DUMMYFUNCTION("""COMPUTED_VALUE"""),"Wounded")</f>
        <v>Wounded</v>
      </c>
    </row>
    <row r="44" spans="1:8" ht="12.5">
      <c r="A44" s="1" t="str">
        <f ca="1">IFERROR(__xludf.DUMMYFUNCTION("""COMPUTED_VALUE"""),"20240215FLSHC")</f>
        <v>20240215FLSHC</v>
      </c>
      <c r="B44" s="1">
        <f ca="1">IFERROR(__xludf.DUMMYFUNCTION("""COMPUTED_VALUE"""),15)</f>
        <v>15</v>
      </c>
      <c r="C44" s="1" t="str">
        <f ca="1">IFERROR(__xludf.DUMMYFUNCTION("""COMPUTED_VALUE"""),"Male")</f>
        <v>Male</v>
      </c>
      <c r="D44" s="1"/>
      <c r="E44" s="1" t="str">
        <f ca="1">IFERROR(__xludf.DUMMYFUNCTION("""COMPUTED_VALUE"""),"Student")</f>
        <v>Student</v>
      </c>
      <c r="F44" s="1" t="str">
        <f ca="1">IFERROR(__xludf.DUMMYFUNCTION("""COMPUTED_VALUE"""),"Fled/Apprehended")</f>
        <v>Fled/Apprehended</v>
      </c>
      <c r="G44" s="1" t="str">
        <f ca="1">IFERROR(__xludf.DUMMYFUNCTION("""COMPUTED_VALUE"""),"No")</f>
        <v>No</v>
      </c>
      <c r="H44" s="1" t="str">
        <f ca="1">IFERROR(__xludf.DUMMYFUNCTION("""COMPUTED_VALUE"""),"None")</f>
        <v>None</v>
      </c>
    </row>
    <row r="45" spans="1:8" ht="12.5">
      <c r="A45" s="1" t="str">
        <f ca="1">IFERROR(__xludf.DUMMYFUNCTION("""COMPUTED_VALUE"""),"20240215FLSHC")</f>
        <v>20240215FLSHC</v>
      </c>
      <c r="B45" s="1">
        <f ca="1">IFERROR(__xludf.DUMMYFUNCTION("""COMPUTED_VALUE"""),11)</f>
        <v>11</v>
      </c>
      <c r="C45" s="1" t="str">
        <f ca="1">IFERROR(__xludf.DUMMYFUNCTION("""COMPUTED_VALUE"""),"Male")</f>
        <v>Male</v>
      </c>
      <c r="D45" s="1"/>
      <c r="E45" s="1" t="str">
        <f ca="1">IFERROR(__xludf.DUMMYFUNCTION("""COMPUTED_VALUE"""),"Student")</f>
        <v>Student</v>
      </c>
      <c r="F45" s="1" t="str">
        <f ca="1">IFERROR(__xludf.DUMMYFUNCTION("""COMPUTED_VALUE"""),"Fled/Apprehended")</f>
        <v>Fled/Apprehended</v>
      </c>
      <c r="G45" s="1" t="str">
        <f ca="1">IFERROR(__xludf.DUMMYFUNCTION("""COMPUTED_VALUE"""),"No")</f>
        <v>No</v>
      </c>
      <c r="H45" s="1" t="str">
        <f ca="1">IFERROR(__xludf.DUMMYFUNCTION("""COMPUTED_VALUE"""),"None")</f>
        <v>None</v>
      </c>
    </row>
    <row r="46" spans="1:8" ht="12.5">
      <c r="A46" s="1" t="str">
        <f ca="1">IFERROR(__xludf.DUMMYFUNCTION("""COMPUTED_VALUE"""),"20240214GABEA")</f>
        <v>20240214GABEA</v>
      </c>
      <c r="B46" s="1">
        <f ca="1">IFERROR(__xludf.DUMMYFUNCTION("""COMPUTED_VALUE"""),14)</f>
        <v>14</v>
      </c>
      <c r="C46" s="1" t="str">
        <f ca="1">IFERROR(__xludf.DUMMYFUNCTION("""COMPUTED_VALUE"""),"Male")</f>
        <v>Male</v>
      </c>
      <c r="D46" s="1"/>
      <c r="E46" s="1" t="str">
        <f ca="1">IFERROR(__xludf.DUMMYFUNCTION("""COMPUTED_VALUE"""),"Student")</f>
        <v>Student</v>
      </c>
      <c r="F46" s="1" t="str">
        <f ca="1">IFERROR(__xludf.DUMMYFUNCTION("""COMPUTED_VALUE"""),"Fled/Apprehended")</f>
        <v>Fled/Apprehended</v>
      </c>
      <c r="G46" s="1" t="str">
        <f ca="1">IFERROR(__xludf.DUMMYFUNCTION("""COMPUTED_VALUE"""),"No")</f>
        <v>No</v>
      </c>
      <c r="H46" s="1" t="str">
        <f ca="1">IFERROR(__xludf.DUMMYFUNCTION("""COMPUTED_VALUE"""),"None")</f>
        <v>None</v>
      </c>
    </row>
    <row r="47" spans="1:8" ht="12.5">
      <c r="A47" s="1" t="str">
        <f ca="1">IFERROR(__xludf.DUMMYFUNCTION("""COMPUTED_VALUE"""),"20240213TNRAM")</f>
        <v>20240213TNRAM</v>
      </c>
      <c r="B47" s="1">
        <f ca="1">IFERROR(__xludf.DUMMYFUNCTION("""COMPUTED_VALUE"""),36)</f>
        <v>36</v>
      </c>
      <c r="C47" s="1" t="str">
        <f ca="1">IFERROR(__xludf.DUMMYFUNCTION("""COMPUTED_VALUE"""),"Female")</f>
        <v>Female</v>
      </c>
      <c r="D47" s="1"/>
      <c r="E47" s="1" t="str">
        <f ca="1">IFERROR(__xludf.DUMMYFUNCTION("""COMPUTED_VALUE"""),"Parent")</f>
        <v>Parent</v>
      </c>
      <c r="F47" s="1" t="str">
        <f ca="1">IFERROR(__xludf.DUMMYFUNCTION("""COMPUTED_VALUE"""),"Fled/Apprehended")</f>
        <v>Fled/Apprehended</v>
      </c>
      <c r="G47" s="1" t="str">
        <f ca="1">IFERROR(__xludf.DUMMYFUNCTION("""COMPUTED_VALUE"""),"No")</f>
        <v>No</v>
      </c>
      <c r="H47" s="1" t="str">
        <f ca="1">IFERROR(__xludf.DUMMYFUNCTION("""COMPUTED_VALUE"""),"None")</f>
        <v>None</v>
      </c>
    </row>
    <row r="48" spans="1:8" ht="12.5">
      <c r="A48" s="1" t="str">
        <f ca="1">IFERROR(__xludf.DUMMYFUNCTION("""COMPUTED_VALUE"""),"20240212OHBEB")</f>
        <v>20240212OHBEB</v>
      </c>
      <c r="B48" s="1">
        <f ca="1">IFERROR(__xludf.DUMMYFUNCTION("""COMPUTED_VALUE"""),19)</f>
        <v>19</v>
      </c>
      <c r="C48" s="1" t="str">
        <f ca="1">IFERROR(__xludf.DUMMYFUNCTION("""COMPUTED_VALUE"""),"Male")</f>
        <v>Male</v>
      </c>
      <c r="D48" s="1"/>
      <c r="E48" s="1" t="str">
        <f ca="1">IFERROR(__xludf.DUMMYFUNCTION("""COMPUTED_VALUE"""),"Former Student")</f>
        <v>Former Student</v>
      </c>
      <c r="F48" s="1" t="str">
        <f ca="1">IFERROR(__xludf.DUMMYFUNCTION("""COMPUTED_VALUE"""),"Fled/Apprehended")</f>
        <v>Fled/Apprehended</v>
      </c>
      <c r="G48" s="1" t="str">
        <f ca="1">IFERROR(__xludf.DUMMYFUNCTION("""COMPUTED_VALUE"""),"No")</f>
        <v>No</v>
      </c>
      <c r="H48" s="1" t="str">
        <f ca="1">IFERROR(__xludf.DUMMYFUNCTION("""COMPUTED_VALUE"""),"None")</f>
        <v>None</v>
      </c>
    </row>
    <row r="49" spans="1:8" ht="12.5">
      <c r="A49" s="1" t="str">
        <f ca="1">IFERROR(__xludf.DUMMYFUNCTION("""COMPUTED_VALUE"""),"20240212IDCOI")</f>
        <v>20240212IDCOI</v>
      </c>
      <c r="B49" s="1">
        <f ca="1">IFERROR(__xludf.DUMMYFUNCTION("""COMPUTED_VALUE"""),18)</f>
        <v>18</v>
      </c>
      <c r="C49" s="1" t="str">
        <f ca="1">IFERROR(__xludf.DUMMYFUNCTION("""COMPUTED_VALUE"""),"Male")</f>
        <v>Male</v>
      </c>
      <c r="D49" s="1" t="str">
        <f ca="1">IFERROR(__xludf.DUMMYFUNCTION("""COMPUTED_VALUE"""),"White")</f>
        <v>White</v>
      </c>
      <c r="E49" s="1" t="str">
        <f ca="1">IFERROR(__xludf.DUMMYFUNCTION("""COMPUTED_VALUE"""),"No Relation")</f>
        <v>No Relation</v>
      </c>
      <c r="F49" s="1" t="str">
        <f ca="1">IFERROR(__xludf.DUMMYFUNCTION("""COMPUTED_VALUE"""),"Fled/Apprehended")</f>
        <v>Fled/Apprehended</v>
      </c>
      <c r="G49" s="1" t="str">
        <f ca="1">IFERROR(__xludf.DUMMYFUNCTION("""COMPUTED_VALUE"""),"No")</f>
        <v>No</v>
      </c>
      <c r="H49" s="1" t="str">
        <f ca="1">IFERROR(__xludf.DUMMYFUNCTION("""COMPUTED_VALUE"""),"None")</f>
        <v>None</v>
      </c>
    </row>
    <row r="50" spans="1:8" ht="12.5">
      <c r="A50" s="1" t="str">
        <f ca="1">IFERROR(__xludf.DUMMYFUNCTION("""COMPUTED_VALUE"""),"20240212IDCOI")</f>
        <v>20240212IDCOI</v>
      </c>
      <c r="B50" s="1">
        <f ca="1">IFERROR(__xludf.DUMMYFUNCTION("""COMPUTED_VALUE"""),19)</f>
        <v>19</v>
      </c>
      <c r="C50" s="1" t="str">
        <f ca="1">IFERROR(__xludf.DUMMYFUNCTION("""COMPUTED_VALUE"""),"Male")</f>
        <v>Male</v>
      </c>
      <c r="D50" s="1"/>
      <c r="E50" s="1" t="str">
        <f ca="1">IFERROR(__xludf.DUMMYFUNCTION("""COMPUTED_VALUE"""),"No Relation")</f>
        <v>No Relation</v>
      </c>
      <c r="F50" s="1" t="str">
        <f ca="1">IFERROR(__xludf.DUMMYFUNCTION("""COMPUTED_VALUE"""),"Fled/Escaped")</f>
        <v>Fled/Escaped</v>
      </c>
      <c r="G50" s="1" t="str">
        <f ca="1">IFERROR(__xludf.DUMMYFUNCTION("""COMPUTED_VALUE"""),"No")</f>
        <v>No</v>
      </c>
      <c r="H50" s="1" t="str">
        <f ca="1">IFERROR(__xludf.DUMMYFUNCTION("""COMPUTED_VALUE"""),"None")</f>
        <v>None</v>
      </c>
    </row>
    <row r="51" spans="1:8" ht="12.5">
      <c r="A51" s="1" t="str">
        <f ca="1">IFERROR(__xludf.DUMMYFUNCTION("""COMPUTED_VALUE"""),"20240212CAELC")</f>
        <v>20240212CAELC</v>
      </c>
      <c r="B51" s="1"/>
      <c r="C51" s="1"/>
      <c r="D51" s="1"/>
      <c r="E51" s="1" t="str">
        <f ca="1">IFERROR(__xludf.DUMMYFUNCTION("""COMPUTED_VALUE"""),"No Relation")</f>
        <v>No Relation</v>
      </c>
      <c r="F51" s="1" t="str">
        <f ca="1">IFERROR(__xludf.DUMMYFUNCTION("""COMPUTED_VALUE"""),"Fled/Escaped")</f>
        <v>Fled/Escaped</v>
      </c>
      <c r="G51" s="1" t="str">
        <f ca="1">IFERROR(__xludf.DUMMYFUNCTION("""COMPUTED_VALUE"""),"No")</f>
        <v>No</v>
      </c>
      <c r="H51" s="1" t="str">
        <f ca="1">IFERROR(__xludf.DUMMYFUNCTION("""COMPUTED_VALUE"""),"None")</f>
        <v>None</v>
      </c>
    </row>
    <row r="52" spans="1:8" ht="12.5">
      <c r="A52" s="1" t="str">
        <f ca="1">IFERROR(__xludf.DUMMYFUNCTION("""COMPUTED_VALUE"""),"20240211CAMAB")</f>
        <v>20240211CAMAB</v>
      </c>
      <c r="B52" s="1"/>
      <c r="C52" s="1"/>
      <c r="D52" s="1"/>
      <c r="E52" s="1" t="str">
        <f ca="1">IFERROR(__xludf.DUMMYFUNCTION("""COMPUTED_VALUE"""),"No Relation")</f>
        <v>No Relation</v>
      </c>
      <c r="F52" s="1" t="str">
        <f ca="1">IFERROR(__xludf.DUMMYFUNCTION("""COMPUTED_VALUE"""),"Fled/Escaped")</f>
        <v>Fled/Escaped</v>
      </c>
      <c r="G52" s="1" t="str">
        <f ca="1">IFERROR(__xludf.DUMMYFUNCTION("""COMPUTED_VALUE"""),"No")</f>
        <v>No</v>
      </c>
      <c r="H52" s="1" t="str">
        <f ca="1">IFERROR(__xludf.DUMMYFUNCTION("""COMPUTED_VALUE"""),"None")</f>
        <v>None</v>
      </c>
    </row>
    <row r="53" spans="1:8" ht="12.5">
      <c r="A53" s="1" t="str">
        <f ca="1">IFERROR(__xludf.DUMMYFUNCTION("""COMPUTED_VALUE"""),"20240209PACOR")</f>
        <v>20240209PACOR</v>
      </c>
      <c r="B53" s="1"/>
      <c r="C53" s="1"/>
      <c r="D53" s="1"/>
      <c r="E53" s="1"/>
      <c r="F53" s="1" t="str">
        <f ca="1">IFERROR(__xludf.DUMMYFUNCTION("""COMPUTED_VALUE"""),"Fled/Escaped")</f>
        <v>Fled/Escaped</v>
      </c>
      <c r="G53" s="1" t="str">
        <f ca="1">IFERROR(__xludf.DUMMYFUNCTION("""COMPUTED_VALUE"""),"No")</f>
        <v>No</v>
      </c>
      <c r="H53" s="1" t="str">
        <f ca="1">IFERROR(__xludf.DUMMYFUNCTION("""COMPUTED_VALUE"""),"None")</f>
        <v>None</v>
      </c>
    </row>
    <row r="54" spans="1:8" ht="12.5">
      <c r="A54" s="1" t="str">
        <f ca="1">IFERROR(__xludf.DUMMYFUNCTION("""COMPUTED_VALUE"""),"20240209GATRE")</f>
        <v>20240209GATRE</v>
      </c>
      <c r="B54" s="1">
        <f ca="1">IFERROR(__xludf.DUMMYFUNCTION("""COMPUTED_VALUE"""),15)</f>
        <v>15</v>
      </c>
      <c r="C54" s="1" t="str">
        <f ca="1">IFERROR(__xludf.DUMMYFUNCTION("""COMPUTED_VALUE"""),"Male")</f>
        <v>Male</v>
      </c>
      <c r="D54" s="1"/>
      <c r="E54" s="1" t="str">
        <f ca="1">IFERROR(__xludf.DUMMYFUNCTION("""COMPUTED_VALUE"""),"Student")</f>
        <v>Student</v>
      </c>
      <c r="F54" s="1" t="str">
        <f ca="1">IFERROR(__xludf.DUMMYFUNCTION("""COMPUTED_VALUE"""),"Fled/Apprehended")</f>
        <v>Fled/Apprehended</v>
      </c>
      <c r="G54" s="1" t="str">
        <f ca="1">IFERROR(__xludf.DUMMYFUNCTION("""COMPUTED_VALUE"""),"No")</f>
        <v>No</v>
      </c>
      <c r="H54" s="1" t="str">
        <f ca="1">IFERROR(__xludf.DUMMYFUNCTION("""COMPUTED_VALUE"""),"None")</f>
        <v>None</v>
      </c>
    </row>
    <row r="55" spans="1:8" ht="12.5">
      <c r="A55" s="1" t="str">
        <f ca="1">IFERROR(__xludf.DUMMYFUNCTION("""COMPUTED_VALUE"""),"20240208MDBEB")</f>
        <v>20240208MDBEB</v>
      </c>
      <c r="B55" s="1" t="str">
        <f ca="1">IFERROR(__xludf.DUMMYFUNCTION("""COMPUTED_VALUE"""),"Teen")</f>
        <v>Teen</v>
      </c>
      <c r="C55" s="1" t="str">
        <f ca="1">IFERROR(__xludf.DUMMYFUNCTION("""COMPUTED_VALUE"""),"Male")</f>
        <v>Male</v>
      </c>
      <c r="D55" s="1"/>
      <c r="E55" s="1" t="str">
        <f ca="1">IFERROR(__xludf.DUMMYFUNCTION("""COMPUTED_VALUE"""),"Student")</f>
        <v>Student</v>
      </c>
      <c r="F55" s="1" t="str">
        <f ca="1">IFERROR(__xludf.DUMMYFUNCTION("""COMPUTED_VALUE"""),"Fled/Escaped")</f>
        <v>Fled/Escaped</v>
      </c>
      <c r="G55" s="1" t="str">
        <f ca="1">IFERROR(__xludf.DUMMYFUNCTION("""COMPUTED_VALUE"""),"No")</f>
        <v>No</v>
      </c>
      <c r="H55" s="1" t="str">
        <f ca="1">IFERROR(__xludf.DUMMYFUNCTION("""COMPUTED_VALUE"""),"None")</f>
        <v>None</v>
      </c>
    </row>
    <row r="56" spans="1:8" ht="12.5">
      <c r="A56" s="1" t="str">
        <f ca="1">IFERROR(__xludf.DUMMYFUNCTION("""COMPUTED_VALUE"""),"20240208TNMEN")</f>
        <v>20240208TNMEN</v>
      </c>
      <c r="B56" s="1">
        <f ca="1">IFERROR(__xludf.DUMMYFUNCTION("""COMPUTED_VALUE"""),17)</f>
        <v>17</v>
      </c>
      <c r="C56" s="1" t="str">
        <f ca="1">IFERROR(__xludf.DUMMYFUNCTION("""COMPUTED_VALUE"""),"Male")</f>
        <v>Male</v>
      </c>
      <c r="D56" s="1"/>
      <c r="E56" s="1" t="str">
        <f ca="1">IFERROR(__xludf.DUMMYFUNCTION("""COMPUTED_VALUE"""),"No Relation")</f>
        <v>No Relation</v>
      </c>
      <c r="F56" s="1" t="str">
        <f ca="1">IFERROR(__xludf.DUMMYFUNCTION("""COMPUTED_VALUE"""),"Fled/Apprehended")</f>
        <v>Fled/Apprehended</v>
      </c>
      <c r="G56" s="1" t="str">
        <f ca="1">IFERROR(__xludf.DUMMYFUNCTION("""COMPUTED_VALUE"""),"No")</f>
        <v>No</v>
      </c>
      <c r="H56" s="1" t="str">
        <f ca="1">IFERROR(__xludf.DUMMYFUNCTION("""COMPUTED_VALUE"""),"None")</f>
        <v>None</v>
      </c>
    </row>
    <row r="57" spans="1:8" ht="12.5">
      <c r="A57" s="1" t="str">
        <f ca="1">IFERROR(__xludf.DUMMYFUNCTION("""COMPUTED_VALUE"""),"20240208TNMEN")</f>
        <v>20240208TNMEN</v>
      </c>
      <c r="B57" s="1">
        <f ca="1">IFERROR(__xludf.DUMMYFUNCTION("""COMPUTED_VALUE"""),18)</f>
        <v>18</v>
      </c>
      <c r="C57" s="1" t="str">
        <f ca="1">IFERROR(__xludf.DUMMYFUNCTION("""COMPUTED_VALUE"""),"Male")</f>
        <v>Male</v>
      </c>
      <c r="D57" s="1"/>
      <c r="E57" s="1" t="str">
        <f ca="1">IFERROR(__xludf.DUMMYFUNCTION("""COMPUTED_VALUE"""),"No Relation")</f>
        <v>No Relation</v>
      </c>
      <c r="F57" s="1" t="str">
        <f ca="1">IFERROR(__xludf.DUMMYFUNCTION("""COMPUTED_VALUE"""),"Fled/Apprehended")</f>
        <v>Fled/Apprehended</v>
      </c>
      <c r="G57" s="1" t="str">
        <f ca="1">IFERROR(__xludf.DUMMYFUNCTION("""COMPUTED_VALUE"""),"No")</f>
        <v>No</v>
      </c>
      <c r="H57" s="1" t="str">
        <f ca="1">IFERROR(__xludf.DUMMYFUNCTION("""COMPUTED_VALUE"""),"None")</f>
        <v>None</v>
      </c>
    </row>
    <row r="58" spans="1:8" ht="12.5">
      <c r="A58" s="1" t="str">
        <f ca="1">IFERROR(__xludf.DUMMYFUNCTION("""COMPUTED_VALUE"""),"20240207ORWIE")</f>
        <v>20240207ORWIE</v>
      </c>
      <c r="B58" s="1">
        <f ca="1">IFERROR(__xludf.DUMMYFUNCTION("""COMPUTED_VALUE"""),17)</f>
        <v>17</v>
      </c>
      <c r="C58" s="1" t="str">
        <f ca="1">IFERROR(__xludf.DUMMYFUNCTION("""COMPUTED_VALUE"""),"Male")</f>
        <v>Male</v>
      </c>
      <c r="D58" s="1"/>
      <c r="E58" s="1" t="str">
        <f ca="1">IFERROR(__xludf.DUMMYFUNCTION("""COMPUTED_VALUE"""),"No Relation")</f>
        <v>No Relation</v>
      </c>
      <c r="F58" s="1" t="str">
        <f ca="1">IFERROR(__xludf.DUMMYFUNCTION("""COMPUTED_VALUE"""),"Fled/Apprehended")</f>
        <v>Fled/Apprehended</v>
      </c>
      <c r="G58" s="1" t="str">
        <f ca="1">IFERROR(__xludf.DUMMYFUNCTION("""COMPUTED_VALUE"""),"No")</f>
        <v>No</v>
      </c>
      <c r="H58" s="1" t="str">
        <f ca="1">IFERROR(__xludf.DUMMYFUNCTION("""COMPUTED_VALUE"""),"None")</f>
        <v>None</v>
      </c>
    </row>
    <row r="59" spans="1:8" ht="12.5">
      <c r="A59" s="1" t="str">
        <f ca="1">IFERROR(__xludf.DUMMYFUNCTION("""COMPUTED_VALUE"""),"20240207ORWIE")</f>
        <v>20240207ORWIE</v>
      </c>
      <c r="B59" s="1">
        <f ca="1">IFERROR(__xludf.DUMMYFUNCTION("""COMPUTED_VALUE"""),19)</f>
        <v>19</v>
      </c>
      <c r="C59" s="1" t="str">
        <f ca="1">IFERROR(__xludf.DUMMYFUNCTION("""COMPUTED_VALUE"""),"Male")</f>
        <v>Male</v>
      </c>
      <c r="D59" s="1"/>
      <c r="E59" s="1" t="str">
        <f ca="1">IFERROR(__xludf.DUMMYFUNCTION("""COMPUTED_VALUE"""),"No Relation")</f>
        <v>No Relation</v>
      </c>
      <c r="F59" s="1" t="str">
        <f ca="1">IFERROR(__xludf.DUMMYFUNCTION("""COMPUTED_VALUE"""),"Fled/Apprehended")</f>
        <v>Fled/Apprehended</v>
      </c>
      <c r="G59" s="1" t="str">
        <f ca="1">IFERROR(__xludf.DUMMYFUNCTION("""COMPUTED_VALUE"""),"No")</f>
        <v>No</v>
      </c>
      <c r="H59" s="1" t="str">
        <f ca="1">IFERROR(__xludf.DUMMYFUNCTION("""COMPUTED_VALUE"""),"None")</f>
        <v>None</v>
      </c>
    </row>
    <row r="60" spans="1:8" ht="12.5">
      <c r="A60" s="1" t="str">
        <f ca="1">IFERROR(__xludf.DUMMYFUNCTION("""COMPUTED_VALUE"""),"2024207TXKUH")</f>
        <v>2024207TXKUH</v>
      </c>
      <c r="B60" s="1"/>
      <c r="C60" s="1"/>
      <c r="D60" s="1"/>
      <c r="E60" s="1" t="str">
        <f ca="1">IFERROR(__xludf.DUMMYFUNCTION("""COMPUTED_VALUE"""),"No Relation")</f>
        <v>No Relation</v>
      </c>
      <c r="F60" s="1" t="str">
        <f ca="1">IFERROR(__xludf.DUMMYFUNCTION("""COMPUTED_VALUE"""),"Fled/Escaped")</f>
        <v>Fled/Escaped</v>
      </c>
      <c r="G60" s="1" t="str">
        <f ca="1">IFERROR(__xludf.DUMMYFUNCTION("""COMPUTED_VALUE"""),"No")</f>
        <v>No</v>
      </c>
      <c r="H60" s="1" t="str">
        <f ca="1">IFERROR(__xludf.DUMMYFUNCTION("""COMPUTED_VALUE"""),"None")</f>
        <v>None</v>
      </c>
    </row>
    <row r="61" spans="1:8" ht="12.5">
      <c r="A61" s="1" t="str">
        <f ca="1">IFERROR(__xludf.DUMMYFUNCTION("""COMPUTED_VALUE"""),"20240206TNNOC")</f>
        <v>20240206TNNOC</v>
      </c>
      <c r="B61" s="1"/>
      <c r="C61" s="1"/>
      <c r="D61" s="1"/>
      <c r="E61" s="1"/>
      <c r="F61" s="1" t="str">
        <f ca="1">IFERROR(__xludf.DUMMYFUNCTION("""COMPUTED_VALUE"""),"Fled/Escaped")</f>
        <v>Fled/Escaped</v>
      </c>
      <c r="G61" s="1" t="str">
        <f ca="1">IFERROR(__xludf.DUMMYFUNCTION("""COMPUTED_VALUE"""),"No")</f>
        <v>No</v>
      </c>
      <c r="H61" s="1" t="str">
        <f ca="1">IFERROR(__xludf.DUMMYFUNCTION("""COMPUTED_VALUE"""),"None")</f>
        <v>None</v>
      </c>
    </row>
    <row r="62" spans="1:8" ht="12.5">
      <c r="A62" s="1" t="str">
        <f ca="1">IFERROR(__xludf.DUMMYFUNCTION("""COMPUTED_VALUE"""),"20240205GALUA")</f>
        <v>20240205GALUA</v>
      </c>
      <c r="B62" s="1" t="str">
        <f ca="1">IFERROR(__xludf.DUMMYFUNCTION("""COMPUTED_VALUE"""),"Teen")</f>
        <v>Teen</v>
      </c>
      <c r="C62" s="1" t="str">
        <f ca="1">IFERROR(__xludf.DUMMYFUNCTION("""COMPUTED_VALUE"""),"Male")</f>
        <v>Male</v>
      </c>
      <c r="D62" s="1"/>
      <c r="E62" s="1" t="str">
        <f ca="1">IFERROR(__xludf.DUMMYFUNCTION("""COMPUTED_VALUE"""),"Student")</f>
        <v>Student</v>
      </c>
      <c r="F62" s="1" t="str">
        <f ca="1">IFERROR(__xludf.DUMMYFUNCTION("""COMPUTED_VALUE"""),"Apprehended/Killed by LE")</f>
        <v>Apprehended/Killed by LE</v>
      </c>
      <c r="G62" s="1" t="str">
        <f ca="1">IFERROR(__xludf.DUMMYFUNCTION("""COMPUTED_VALUE"""),"No")</f>
        <v>No</v>
      </c>
      <c r="H62" s="1" t="str">
        <f ca="1">IFERROR(__xludf.DUMMYFUNCTION("""COMPUTED_VALUE"""),"None")</f>
        <v>None</v>
      </c>
    </row>
    <row r="63" spans="1:8" ht="12.5">
      <c r="A63" s="1" t="str">
        <f ca="1">IFERROR(__xludf.DUMMYFUNCTION("""COMPUTED_VALUE"""),"20240202AZLAA")</f>
        <v>20240202AZLAA</v>
      </c>
      <c r="B63" s="1" t="str">
        <f ca="1">IFERROR(__xludf.DUMMYFUNCTION("""COMPUTED_VALUE"""),"Teen")</f>
        <v>Teen</v>
      </c>
      <c r="C63" s="1" t="str">
        <f ca="1">IFERROR(__xludf.DUMMYFUNCTION("""COMPUTED_VALUE"""),"Male")</f>
        <v>Male</v>
      </c>
      <c r="D63" s="1"/>
      <c r="E63" s="1" t="str">
        <f ca="1">IFERROR(__xludf.DUMMYFUNCTION("""COMPUTED_VALUE"""),"Student")</f>
        <v>Student</v>
      </c>
      <c r="F63" s="1" t="str">
        <f ca="1">IFERROR(__xludf.DUMMYFUNCTION("""COMPUTED_VALUE"""),"Apprehended/Killed by LE")</f>
        <v>Apprehended/Killed by LE</v>
      </c>
      <c r="G63" s="1" t="str">
        <f ca="1">IFERROR(__xludf.DUMMYFUNCTION("""COMPUTED_VALUE"""),"No")</f>
        <v>No</v>
      </c>
      <c r="H63" s="1" t="str">
        <f ca="1">IFERROR(__xludf.DUMMYFUNCTION("""COMPUTED_VALUE"""),"None")</f>
        <v>None</v>
      </c>
    </row>
    <row r="64" spans="1:8" ht="12.5">
      <c r="A64" s="1" t="str">
        <f ca="1">IFERROR(__xludf.DUMMYFUNCTION("""COMPUTED_VALUE"""),"20240201TNHAN")</f>
        <v>20240201TNHAN</v>
      </c>
      <c r="B64" s="1">
        <f ca="1">IFERROR(__xludf.DUMMYFUNCTION("""COMPUTED_VALUE"""),13)</f>
        <v>13</v>
      </c>
      <c r="C64" s="1" t="str">
        <f ca="1">IFERROR(__xludf.DUMMYFUNCTION("""COMPUTED_VALUE"""),"Male")</f>
        <v>Male</v>
      </c>
      <c r="D64" s="1"/>
      <c r="E64" s="1" t="str">
        <f ca="1">IFERROR(__xludf.DUMMYFUNCTION("""COMPUTED_VALUE"""),"Student")</f>
        <v>Student</v>
      </c>
      <c r="F64" s="1" t="str">
        <f ca="1">IFERROR(__xludf.DUMMYFUNCTION("""COMPUTED_VALUE"""),"Fled/Apprehended")</f>
        <v>Fled/Apprehended</v>
      </c>
      <c r="G64" s="1" t="str">
        <f ca="1">IFERROR(__xludf.DUMMYFUNCTION("""COMPUTED_VALUE"""),"No")</f>
        <v>No</v>
      </c>
      <c r="H64" s="1" t="str">
        <f ca="1">IFERROR(__xludf.DUMMYFUNCTION("""COMPUTED_VALUE"""),"None")</f>
        <v>None</v>
      </c>
    </row>
    <row r="65" spans="1:8" ht="12.5">
      <c r="A65" s="1" t="str">
        <f ca="1">IFERROR(__xludf.DUMMYFUNCTION("""COMPUTED_VALUE"""),"20240201GAMCP")</f>
        <v>20240201GAMCP</v>
      </c>
      <c r="B65" s="1">
        <f ca="1">IFERROR(__xludf.DUMMYFUNCTION("""COMPUTED_VALUE"""),17)</f>
        <v>17</v>
      </c>
      <c r="C65" s="1" t="str">
        <f ca="1">IFERROR(__xludf.DUMMYFUNCTION("""COMPUTED_VALUE"""),"Male")</f>
        <v>Male</v>
      </c>
      <c r="D65" s="1"/>
      <c r="E65" s="1" t="str">
        <f ca="1">IFERROR(__xludf.DUMMYFUNCTION("""COMPUTED_VALUE"""),"Student")</f>
        <v>Student</v>
      </c>
      <c r="F65" s="1" t="str">
        <f ca="1">IFERROR(__xludf.DUMMYFUNCTION("""COMPUTED_VALUE"""),"Fled/Apprehended")</f>
        <v>Fled/Apprehended</v>
      </c>
      <c r="G65" s="1" t="str">
        <f ca="1">IFERROR(__xludf.DUMMYFUNCTION("""COMPUTED_VALUE"""),"No")</f>
        <v>No</v>
      </c>
      <c r="H65" s="1" t="str">
        <f ca="1">IFERROR(__xludf.DUMMYFUNCTION("""COMPUTED_VALUE"""),"None")</f>
        <v>None</v>
      </c>
    </row>
    <row r="66" spans="1:8" ht="12.5">
      <c r="A66" s="1" t="str">
        <f ca="1">IFERROR(__xludf.DUMMYFUNCTION("""COMPUTED_VALUE"""),"20240201GAMCP")</f>
        <v>20240201GAMCP</v>
      </c>
      <c r="B66" s="1">
        <f ca="1">IFERROR(__xludf.DUMMYFUNCTION("""COMPUTED_VALUE"""),17)</f>
        <v>17</v>
      </c>
      <c r="C66" s="1" t="str">
        <f ca="1">IFERROR(__xludf.DUMMYFUNCTION("""COMPUTED_VALUE"""),"Male")</f>
        <v>Male</v>
      </c>
      <c r="D66" s="1"/>
      <c r="E66" s="1" t="str">
        <f ca="1">IFERROR(__xludf.DUMMYFUNCTION("""COMPUTED_VALUE"""),"Student")</f>
        <v>Student</v>
      </c>
      <c r="F66" s="1" t="str">
        <f ca="1">IFERROR(__xludf.DUMMYFUNCTION("""COMPUTED_VALUE"""),"Fled/Apprehended")</f>
        <v>Fled/Apprehended</v>
      </c>
      <c r="G66" s="1" t="str">
        <f ca="1">IFERROR(__xludf.DUMMYFUNCTION("""COMPUTED_VALUE"""),"No")</f>
        <v>No</v>
      </c>
      <c r="H66" s="1" t="str">
        <f ca="1">IFERROR(__xludf.DUMMYFUNCTION("""COMPUTED_VALUE"""),"None")</f>
        <v>None</v>
      </c>
    </row>
    <row r="67" spans="1:8" ht="12.5">
      <c r="A67" s="1" t="str">
        <f ca="1">IFERROR(__xludf.DUMMYFUNCTION("""COMPUTED_VALUE"""),"20240131CADUD")</f>
        <v>20240131CADUD</v>
      </c>
      <c r="B67" s="1" t="str">
        <f ca="1">IFERROR(__xludf.DUMMYFUNCTION("""COMPUTED_VALUE"""),"Teen")</f>
        <v>Teen</v>
      </c>
      <c r="C67" s="1"/>
      <c r="D67" s="1"/>
      <c r="E67" s="1" t="str">
        <f ca="1">IFERROR(__xludf.DUMMYFUNCTION("""COMPUTED_VALUE"""),"Student")</f>
        <v>Student</v>
      </c>
      <c r="F67" s="1" t="str">
        <f ca="1">IFERROR(__xludf.DUMMYFUNCTION("""COMPUTED_VALUE"""),"Fled/Escaped")</f>
        <v>Fled/Escaped</v>
      </c>
      <c r="G67" s="1" t="str">
        <f ca="1">IFERROR(__xludf.DUMMYFUNCTION("""COMPUTED_VALUE"""),"No")</f>
        <v>No</v>
      </c>
      <c r="H67" s="1" t="str">
        <f ca="1">IFERROR(__xludf.DUMMYFUNCTION("""COMPUTED_VALUE"""),"None")</f>
        <v>None</v>
      </c>
    </row>
    <row r="68" spans="1:8" ht="12.5">
      <c r="A68" s="1" t="str">
        <f ca="1">IFERROR(__xludf.DUMMYFUNCTION("""COMPUTED_VALUE"""),"20240131ILCHC")</f>
        <v>20240131ILCHC</v>
      </c>
      <c r="B68" s="1">
        <f ca="1">IFERROR(__xludf.DUMMYFUNCTION("""COMPUTED_VALUE"""),14)</f>
        <v>14</v>
      </c>
      <c r="C68" s="1" t="str">
        <f ca="1">IFERROR(__xludf.DUMMYFUNCTION("""COMPUTED_VALUE"""),"Male")</f>
        <v>Male</v>
      </c>
      <c r="D68" s="1"/>
      <c r="E68" s="1"/>
      <c r="F68" s="1" t="str">
        <f ca="1">IFERROR(__xludf.DUMMYFUNCTION("""COMPUTED_VALUE"""),"Fled/Escaped")</f>
        <v>Fled/Escaped</v>
      </c>
      <c r="G68" s="1" t="str">
        <f ca="1">IFERROR(__xludf.DUMMYFUNCTION("""COMPUTED_VALUE"""),"No")</f>
        <v>No</v>
      </c>
      <c r="H68" s="1" t="str">
        <f ca="1">IFERROR(__xludf.DUMMYFUNCTION("""COMPUTED_VALUE"""),"None")</f>
        <v>None</v>
      </c>
    </row>
    <row r="69" spans="1:8" ht="12.5">
      <c r="A69" s="1" t="str">
        <f ca="1">IFERROR(__xludf.DUMMYFUNCTION("""COMPUTED_VALUE"""),"20240131ILCHC")</f>
        <v>20240131ILCHC</v>
      </c>
      <c r="B69" s="1">
        <f ca="1">IFERROR(__xludf.DUMMYFUNCTION("""COMPUTED_VALUE"""),17)</f>
        <v>17</v>
      </c>
      <c r="C69" s="1" t="str">
        <f ca="1">IFERROR(__xludf.DUMMYFUNCTION("""COMPUTED_VALUE"""),"Male")</f>
        <v>Male</v>
      </c>
      <c r="D69" s="1"/>
      <c r="E69" s="1"/>
      <c r="F69" s="1" t="str">
        <f ca="1">IFERROR(__xludf.DUMMYFUNCTION("""COMPUTED_VALUE"""),"Fled/Escaped")</f>
        <v>Fled/Escaped</v>
      </c>
      <c r="G69" s="1" t="str">
        <f ca="1">IFERROR(__xludf.DUMMYFUNCTION("""COMPUTED_VALUE"""),"No")</f>
        <v>No</v>
      </c>
      <c r="H69" s="1" t="str">
        <f ca="1">IFERROR(__xludf.DUMMYFUNCTION("""COMPUTED_VALUE"""),"None")</f>
        <v>None</v>
      </c>
    </row>
    <row r="70" spans="1:8" ht="12.5">
      <c r="A70" s="1" t="str">
        <f ca="1">IFERROR(__xludf.DUMMYFUNCTION("""COMPUTED_VALUE"""),"20240131ILCHC")</f>
        <v>20240131ILCHC</v>
      </c>
      <c r="B70" s="1" t="str">
        <f ca="1">IFERROR(__xludf.DUMMYFUNCTION("""COMPUTED_VALUE"""),"Teen")</f>
        <v>Teen</v>
      </c>
      <c r="C70" s="1" t="str">
        <f ca="1">IFERROR(__xludf.DUMMYFUNCTION("""COMPUTED_VALUE"""),"Male")</f>
        <v>Male</v>
      </c>
      <c r="D70" s="1"/>
      <c r="E70" s="1"/>
      <c r="F70" s="1" t="str">
        <f ca="1">IFERROR(__xludf.DUMMYFUNCTION("""COMPUTED_VALUE"""),"Fled/Escaped")</f>
        <v>Fled/Escaped</v>
      </c>
      <c r="G70" s="1" t="str">
        <f ca="1">IFERROR(__xludf.DUMMYFUNCTION("""COMPUTED_VALUE"""),"No")</f>
        <v>No</v>
      </c>
      <c r="H70" s="1" t="str">
        <f ca="1">IFERROR(__xludf.DUMMYFUNCTION("""COMPUTED_VALUE"""),"None")</f>
        <v>None</v>
      </c>
    </row>
    <row r="71" spans="1:8" ht="12.5">
      <c r="A71" s="1" t="str">
        <f ca="1">IFERROR(__xludf.DUMMYFUNCTION("""COMPUTED_VALUE"""),"20240130TNBLM")</f>
        <v>20240130TNBLM</v>
      </c>
      <c r="B71" s="1">
        <f ca="1">IFERROR(__xludf.DUMMYFUNCTION("""COMPUTED_VALUE"""),17)</f>
        <v>17</v>
      </c>
      <c r="C71" s="1" t="str">
        <f ca="1">IFERROR(__xludf.DUMMYFUNCTION("""COMPUTED_VALUE"""),"Male")</f>
        <v>Male</v>
      </c>
      <c r="D71" s="1"/>
      <c r="E71" s="1" t="str">
        <f ca="1">IFERROR(__xludf.DUMMYFUNCTION("""COMPUTED_VALUE"""),"Nonstudent Using Athletic Facilities/Attending Game")</f>
        <v>Nonstudent Using Athletic Facilities/Attending Game</v>
      </c>
      <c r="F71" s="1" t="str">
        <f ca="1">IFERROR(__xludf.DUMMYFUNCTION("""COMPUTED_VALUE"""),"Fled/Apprehended")</f>
        <v>Fled/Apprehended</v>
      </c>
      <c r="G71" s="1" t="str">
        <f ca="1">IFERROR(__xludf.DUMMYFUNCTION("""COMPUTED_VALUE"""),"No")</f>
        <v>No</v>
      </c>
      <c r="H71" s="1" t="str">
        <f ca="1">IFERROR(__xludf.DUMMYFUNCTION("""COMPUTED_VALUE"""),"None")</f>
        <v>None</v>
      </c>
    </row>
    <row r="72" spans="1:8" ht="12.5">
      <c r="A72" s="1" t="str">
        <f ca="1">IFERROR(__xludf.DUMMYFUNCTION("""COMPUTED_VALUE"""),"20240130TNBLM")</f>
        <v>20240130TNBLM</v>
      </c>
      <c r="B72" s="1">
        <f ca="1">IFERROR(__xludf.DUMMYFUNCTION("""COMPUTED_VALUE"""),17)</f>
        <v>17</v>
      </c>
      <c r="C72" s="1" t="str">
        <f ca="1">IFERROR(__xludf.DUMMYFUNCTION("""COMPUTED_VALUE"""),"Male")</f>
        <v>Male</v>
      </c>
      <c r="D72" s="1"/>
      <c r="E72" s="1" t="str">
        <f ca="1">IFERROR(__xludf.DUMMYFUNCTION("""COMPUTED_VALUE"""),"Nonstudent Using Athletic Facilities/Attending Game")</f>
        <v>Nonstudent Using Athletic Facilities/Attending Game</v>
      </c>
      <c r="F72" s="1" t="str">
        <f ca="1">IFERROR(__xludf.DUMMYFUNCTION("""COMPUTED_VALUE"""),"Fled/Apprehended")</f>
        <v>Fled/Apprehended</v>
      </c>
      <c r="G72" s="1" t="str">
        <f ca="1">IFERROR(__xludf.DUMMYFUNCTION("""COMPUTED_VALUE"""),"No")</f>
        <v>No</v>
      </c>
      <c r="H72" s="1" t="str">
        <f ca="1">IFERROR(__xludf.DUMMYFUNCTION("""COMPUTED_VALUE"""),"None")</f>
        <v>None</v>
      </c>
    </row>
    <row r="73" spans="1:8" ht="12.5">
      <c r="A73" s="1" t="str">
        <f ca="1">IFERROR(__xludf.DUMMYFUNCTION("""COMPUTED_VALUE"""),"20240130INBEB")</f>
        <v>20240130INBEB</v>
      </c>
      <c r="B73" s="1">
        <f ca="1">IFERROR(__xludf.DUMMYFUNCTION("""COMPUTED_VALUE"""),17)</f>
        <v>17</v>
      </c>
      <c r="C73" s="1" t="str">
        <f ca="1">IFERROR(__xludf.DUMMYFUNCTION("""COMPUTED_VALUE"""),"Male")</f>
        <v>Male</v>
      </c>
      <c r="D73" s="1"/>
      <c r="E73" s="1" t="str">
        <f ca="1">IFERROR(__xludf.DUMMYFUNCTION("""COMPUTED_VALUE"""),"Student")</f>
        <v>Student</v>
      </c>
      <c r="F73" s="1" t="str">
        <f ca="1">IFERROR(__xludf.DUMMYFUNCTION("""COMPUTED_VALUE"""),"Fled/Apprehended")</f>
        <v>Fled/Apprehended</v>
      </c>
      <c r="G73" s="1" t="str">
        <f ca="1">IFERROR(__xludf.DUMMYFUNCTION("""COMPUTED_VALUE"""),"No")</f>
        <v>No</v>
      </c>
      <c r="H73" s="1" t="str">
        <f ca="1">IFERROR(__xludf.DUMMYFUNCTION("""COMPUTED_VALUE"""),"None")</f>
        <v>None</v>
      </c>
    </row>
    <row r="74" spans="1:8" ht="12.5">
      <c r="A74" s="1" t="str">
        <f ca="1">IFERROR(__xludf.DUMMYFUNCTION("""COMPUTED_VALUE"""),"20240130CAGRS")</f>
        <v>20240130CAGRS</v>
      </c>
      <c r="B74" s="1">
        <f ca="1">IFERROR(__xludf.DUMMYFUNCTION("""COMPUTED_VALUE"""),14)</f>
        <v>14</v>
      </c>
      <c r="C74" s="1" t="str">
        <f ca="1">IFERROR(__xludf.DUMMYFUNCTION("""COMPUTED_VALUE"""),"Male")</f>
        <v>Male</v>
      </c>
      <c r="D74" s="1"/>
      <c r="E74" s="1" t="str">
        <f ca="1">IFERROR(__xludf.DUMMYFUNCTION("""COMPUTED_VALUE"""),"Student")</f>
        <v>Student</v>
      </c>
      <c r="F74" s="1" t="str">
        <f ca="1">IFERROR(__xludf.DUMMYFUNCTION("""COMPUTED_VALUE"""),"Fled/Apprehended")</f>
        <v>Fled/Apprehended</v>
      </c>
      <c r="G74" s="1" t="str">
        <f ca="1">IFERROR(__xludf.DUMMYFUNCTION("""COMPUTED_VALUE"""),"No")</f>
        <v>No</v>
      </c>
      <c r="H74" s="1" t="str">
        <f ca="1">IFERROR(__xludf.DUMMYFUNCTION("""COMPUTED_VALUE"""),"None")</f>
        <v>None</v>
      </c>
    </row>
    <row r="75" spans="1:8" ht="12.5">
      <c r="A75" s="1" t="str">
        <f ca="1">IFERROR(__xludf.DUMMYFUNCTION("""COMPUTED_VALUE"""),"20240130ALLEM")</f>
        <v>20240130ALLEM</v>
      </c>
      <c r="B75" s="1">
        <f ca="1">IFERROR(__xludf.DUMMYFUNCTION("""COMPUTED_VALUE"""),16)</f>
        <v>16</v>
      </c>
      <c r="C75" s="1" t="str">
        <f ca="1">IFERROR(__xludf.DUMMYFUNCTION("""COMPUTED_VALUE"""),"Female")</f>
        <v>Female</v>
      </c>
      <c r="D75" s="1"/>
      <c r="E75" s="1" t="str">
        <f ca="1">IFERROR(__xludf.DUMMYFUNCTION("""COMPUTED_VALUE"""),"Student")</f>
        <v>Student</v>
      </c>
      <c r="F75" s="1" t="str">
        <f ca="1">IFERROR(__xludf.DUMMYFUNCTION("""COMPUTED_VALUE"""),"Fled/Apprehended")</f>
        <v>Fled/Apprehended</v>
      </c>
      <c r="G75" s="1" t="str">
        <f ca="1">IFERROR(__xludf.DUMMYFUNCTION("""COMPUTED_VALUE"""),"No")</f>
        <v>No</v>
      </c>
      <c r="H75" s="1" t="str">
        <f ca="1">IFERROR(__xludf.DUMMYFUNCTION("""COMPUTED_VALUE"""),"None")</f>
        <v>None</v>
      </c>
    </row>
    <row r="76" spans="1:8" ht="12.5">
      <c r="A76" s="1" t="str">
        <f ca="1">IFERROR(__xludf.DUMMYFUNCTION("""COMPUTED_VALUE"""),"20240129TXCOA")</f>
        <v>20240129TXCOA</v>
      </c>
      <c r="B76" s="1">
        <f ca="1">IFERROR(__xludf.DUMMYFUNCTION("""COMPUTED_VALUE"""),17)</f>
        <v>17</v>
      </c>
      <c r="C76" s="1" t="str">
        <f ca="1">IFERROR(__xludf.DUMMYFUNCTION("""COMPUTED_VALUE"""),"Male")</f>
        <v>Male</v>
      </c>
      <c r="D76" s="1" t="str">
        <f ca="1">IFERROR(__xludf.DUMMYFUNCTION("""COMPUTED_VALUE"""),"Asian")</f>
        <v>Asian</v>
      </c>
      <c r="E76" s="1" t="str">
        <f ca="1">IFERROR(__xludf.DUMMYFUNCTION("""COMPUTED_VALUE"""),"Student")</f>
        <v>Student</v>
      </c>
      <c r="F76" s="1" t="str">
        <f ca="1">IFERROR(__xludf.DUMMYFUNCTION("""COMPUTED_VALUE"""),"Fled/Apprehended")</f>
        <v>Fled/Apprehended</v>
      </c>
      <c r="G76" s="1" t="str">
        <f ca="1">IFERROR(__xludf.DUMMYFUNCTION("""COMPUTED_VALUE"""),"No")</f>
        <v>No</v>
      </c>
      <c r="H76" s="1" t="str">
        <f ca="1">IFERROR(__xludf.DUMMYFUNCTION("""COMPUTED_VALUE"""),"None")</f>
        <v>None</v>
      </c>
    </row>
    <row r="77" spans="1:8" ht="12.5">
      <c r="A77" s="1" t="str">
        <f ca="1">IFERROR(__xludf.DUMMYFUNCTION("""COMPUTED_VALUE"""),"20240126ILINC")</f>
        <v>20240126ILINC</v>
      </c>
      <c r="B77" s="1"/>
      <c r="C77" s="1"/>
      <c r="D77" s="1"/>
      <c r="E77" s="1"/>
      <c r="F77" s="1" t="str">
        <f ca="1">IFERROR(__xludf.DUMMYFUNCTION("""COMPUTED_VALUE"""),"Fled/Escaped")</f>
        <v>Fled/Escaped</v>
      </c>
      <c r="G77" s="1" t="str">
        <f ca="1">IFERROR(__xludf.DUMMYFUNCTION("""COMPUTED_VALUE"""),"No")</f>
        <v>No</v>
      </c>
      <c r="H77" s="1" t="str">
        <f ca="1">IFERROR(__xludf.DUMMYFUNCTION("""COMPUTED_VALUE"""),"None")</f>
        <v>None</v>
      </c>
    </row>
    <row r="78" spans="1:8" ht="12.5">
      <c r="A78" s="1" t="str">
        <f ca="1">IFERROR(__xludf.DUMMYFUNCTION("""COMPUTED_VALUE"""),"20240126ILINC")</f>
        <v>20240126ILINC</v>
      </c>
      <c r="B78" s="1"/>
      <c r="C78" s="1"/>
      <c r="D78" s="1"/>
      <c r="E78" s="1"/>
      <c r="F78" s="1" t="str">
        <f ca="1">IFERROR(__xludf.DUMMYFUNCTION("""COMPUTED_VALUE"""),"Fled/Escaped")</f>
        <v>Fled/Escaped</v>
      </c>
      <c r="G78" s="1" t="str">
        <f ca="1">IFERROR(__xludf.DUMMYFUNCTION("""COMPUTED_VALUE"""),"No")</f>
        <v>No</v>
      </c>
      <c r="H78" s="1" t="str">
        <f ca="1">IFERROR(__xludf.DUMMYFUNCTION("""COMPUTED_VALUE"""),"None")</f>
        <v>None</v>
      </c>
    </row>
    <row r="79" spans="1:8" ht="12.5">
      <c r="A79" s="1" t="str">
        <f ca="1">IFERROR(__xludf.DUMMYFUNCTION("""COMPUTED_VALUE"""),"20240126ALHUH")</f>
        <v>20240126ALHUH</v>
      </c>
      <c r="B79" s="1">
        <f ca="1">IFERROR(__xludf.DUMMYFUNCTION("""COMPUTED_VALUE"""),30)</f>
        <v>30</v>
      </c>
      <c r="C79" s="1" t="str">
        <f ca="1">IFERROR(__xludf.DUMMYFUNCTION("""COMPUTED_VALUE"""),"Female")</f>
        <v>Female</v>
      </c>
      <c r="D79" s="1" t="str">
        <f ca="1">IFERROR(__xludf.DUMMYFUNCTION("""COMPUTED_VALUE"""),"Middle Eastern")</f>
        <v>Middle Eastern</v>
      </c>
      <c r="E79" s="1" t="str">
        <f ca="1">IFERROR(__xludf.DUMMYFUNCTION("""COMPUTED_VALUE"""),"Relative")</f>
        <v>Relative</v>
      </c>
      <c r="F79" s="1" t="str">
        <f ca="1">IFERROR(__xludf.DUMMYFUNCTION("""COMPUTED_VALUE"""),"Fled/Apprehended")</f>
        <v>Fled/Apprehended</v>
      </c>
      <c r="G79" s="1" t="str">
        <f ca="1">IFERROR(__xludf.DUMMYFUNCTION("""COMPUTED_VALUE"""),"No")</f>
        <v>No</v>
      </c>
      <c r="H79" s="1" t="str">
        <f ca="1">IFERROR(__xludf.DUMMYFUNCTION("""COMPUTED_VALUE"""),"None")</f>
        <v>None</v>
      </c>
    </row>
    <row r="80" spans="1:8" ht="12.5">
      <c r="A80" s="1" t="str">
        <f ca="1">IFERROR(__xludf.DUMMYFUNCTION("""COMPUTED_VALUE"""),"20240124TNWEM")</f>
        <v>20240124TNWEM</v>
      </c>
      <c r="B80" s="1"/>
      <c r="C80" s="1" t="str">
        <f ca="1">IFERROR(__xludf.DUMMYFUNCTION("""COMPUTED_VALUE"""),"Male")</f>
        <v>Male</v>
      </c>
      <c r="D80" s="1"/>
      <c r="E80" s="1"/>
      <c r="F80" s="1" t="str">
        <f ca="1">IFERROR(__xludf.DUMMYFUNCTION("""COMPUTED_VALUE"""),"Fled/Escaped")</f>
        <v>Fled/Escaped</v>
      </c>
      <c r="G80" s="1" t="str">
        <f ca="1">IFERROR(__xludf.DUMMYFUNCTION("""COMPUTED_VALUE"""),"No")</f>
        <v>No</v>
      </c>
      <c r="H80" s="1" t="str">
        <f ca="1">IFERROR(__xludf.DUMMYFUNCTION("""COMPUTED_VALUE"""),"None")</f>
        <v>None</v>
      </c>
    </row>
    <row r="81" spans="1:8" ht="12.5">
      <c r="A81" s="1" t="str">
        <f ca="1">IFERROR(__xludf.DUMMYFUNCTION("""COMPUTED_VALUE"""),"20240122ILCIC")</f>
        <v>20240122ILCIC</v>
      </c>
      <c r="B81" s="1"/>
      <c r="C81" s="1" t="str">
        <f ca="1">IFERROR(__xludf.DUMMYFUNCTION("""COMPUTED_VALUE"""),"Male")</f>
        <v>Male</v>
      </c>
      <c r="D81" s="1"/>
      <c r="E81" s="1"/>
      <c r="F81" s="1" t="str">
        <f ca="1">IFERROR(__xludf.DUMMYFUNCTION("""COMPUTED_VALUE"""),"Fled/Escaped")</f>
        <v>Fled/Escaped</v>
      </c>
      <c r="G81" s="1" t="str">
        <f ca="1">IFERROR(__xludf.DUMMYFUNCTION("""COMPUTED_VALUE"""),"No")</f>
        <v>No</v>
      </c>
      <c r="H81" s="1" t="str">
        <f ca="1">IFERROR(__xludf.DUMMYFUNCTION("""COMPUTED_VALUE"""),"None")</f>
        <v>None</v>
      </c>
    </row>
    <row r="82" spans="1:8" ht="12.5">
      <c r="A82" s="1" t="str">
        <f ca="1">IFERROR(__xludf.DUMMYFUNCTION("""COMPUTED_VALUE"""),"20240122ILCIC")</f>
        <v>20240122ILCIC</v>
      </c>
      <c r="B82" s="1"/>
      <c r="C82" s="1" t="str">
        <f ca="1">IFERROR(__xludf.DUMMYFUNCTION("""COMPUTED_VALUE"""),"Male")</f>
        <v>Male</v>
      </c>
      <c r="D82" s="1"/>
      <c r="E82" s="1"/>
      <c r="F82" s="1" t="str">
        <f ca="1">IFERROR(__xludf.DUMMYFUNCTION("""COMPUTED_VALUE"""),"Fled/Escaped")</f>
        <v>Fled/Escaped</v>
      </c>
      <c r="G82" s="1" t="str">
        <f ca="1">IFERROR(__xludf.DUMMYFUNCTION("""COMPUTED_VALUE"""),"No")</f>
        <v>No</v>
      </c>
      <c r="H82" s="1" t="str">
        <f ca="1">IFERROR(__xludf.DUMMYFUNCTION("""COMPUTED_VALUE"""),"None")</f>
        <v>None</v>
      </c>
    </row>
    <row r="83" spans="1:8" ht="12.5">
      <c r="A83" s="1" t="str">
        <f ca="1">IFERROR(__xludf.DUMMYFUNCTION("""COMPUTED_VALUE"""),"20240118MNCOS")</f>
        <v>20240118MNCOS</v>
      </c>
      <c r="B83" s="1">
        <f ca="1">IFERROR(__xludf.DUMMYFUNCTION("""COMPUTED_VALUE"""),30)</f>
        <v>30</v>
      </c>
      <c r="C83" s="1" t="str">
        <f ca="1">IFERROR(__xludf.DUMMYFUNCTION("""COMPUTED_VALUE"""),"Male")</f>
        <v>Male</v>
      </c>
      <c r="D83" s="1"/>
      <c r="E83" s="1" t="str">
        <f ca="1">IFERROR(__xludf.DUMMYFUNCTION("""COMPUTED_VALUE"""),"Nonstudent Using Athletic Facilities/Attending Game")</f>
        <v>Nonstudent Using Athletic Facilities/Attending Game</v>
      </c>
      <c r="F83" s="1" t="str">
        <f ca="1">IFERROR(__xludf.DUMMYFUNCTION("""COMPUTED_VALUE"""),"Surrendered")</f>
        <v>Surrendered</v>
      </c>
      <c r="G83" s="1" t="str">
        <f ca="1">IFERROR(__xludf.DUMMYFUNCTION("""COMPUTED_VALUE"""),"No")</f>
        <v>No</v>
      </c>
      <c r="H83" s="1" t="str">
        <f ca="1">IFERROR(__xludf.DUMMYFUNCTION("""COMPUTED_VALUE"""),"Wounded")</f>
        <v>Wounded</v>
      </c>
    </row>
    <row r="84" spans="1:8" ht="12.5">
      <c r="A84" s="1" t="str">
        <f ca="1">IFERROR(__xludf.DUMMYFUNCTION("""COMPUTED_VALUE"""),"20240117VAWED")</f>
        <v>20240117VAWED</v>
      </c>
      <c r="B84" s="1">
        <f ca="1">IFERROR(__xludf.DUMMYFUNCTION("""COMPUTED_VALUE"""),24)</f>
        <v>24</v>
      </c>
      <c r="C84" s="1" t="str">
        <f ca="1">IFERROR(__xludf.DUMMYFUNCTION("""COMPUTED_VALUE"""),"Male")</f>
        <v>Male</v>
      </c>
      <c r="D84" s="1" t="str">
        <f ca="1">IFERROR(__xludf.DUMMYFUNCTION("""COMPUTED_VALUE"""),"White")</f>
        <v>White</v>
      </c>
      <c r="E84" s="1" t="str">
        <f ca="1">IFERROR(__xludf.DUMMYFUNCTION("""COMPUTED_VALUE"""),"No Relation")</f>
        <v>No Relation</v>
      </c>
      <c r="F84" s="1" t="str">
        <f ca="1">IFERROR(__xludf.DUMMYFUNCTION("""COMPUTED_VALUE"""),"Attempted Suicide")</f>
        <v>Attempted Suicide</v>
      </c>
      <c r="G84" s="1" t="str">
        <f ca="1">IFERROR(__xludf.DUMMYFUNCTION("""COMPUTED_VALUE"""),"No")</f>
        <v>No</v>
      </c>
      <c r="H84" s="1" t="str">
        <f ca="1">IFERROR(__xludf.DUMMYFUNCTION("""COMPUTED_VALUE"""),"Wounded")</f>
        <v>Wounded</v>
      </c>
    </row>
    <row r="85" spans="1:8" ht="12.5">
      <c r="A85" s="1" t="str">
        <f ca="1">IFERROR(__xludf.DUMMYFUNCTION("""COMPUTED_VALUE"""),"20240117INLIG")</f>
        <v>20240117INLIG</v>
      </c>
      <c r="B85" s="1" t="str">
        <f ca="1">IFERROR(__xludf.DUMMYFUNCTION("""COMPUTED_VALUE"""),"Teen")</f>
        <v>Teen</v>
      </c>
      <c r="C85" s="1" t="str">
        <f ca="1">IFERROR(__xludf.DUMMYFUNCTION("""COMPUTED_VALUE"""),"Male")</f>
        <v>Male</v>
      </c>
      <c r="D85" s="1"/>
      <c r="E85" s="1" t="str">
        <f ca="1">IFERROR(__xludf.DUMMYFUNCTION("""COMPUTED_VALUE"""),"Student")</f>
        <v>Student</v>
      </c>
      <c r="F85" s="1" t="str">
        <f ca="1">IFERROR(__xludf.DUMMYFUNCTION("""COMPUTED_VALUE"""),"Apprehended/Killed by LE")</f>
        <v>Apprehended/Killed by LE</v>
      </c>
      <c r="G85" s="1" t="str">
        <f ca="1">IFERROR(__xludf.DUMMYFUNCTION("""COMPUTED_VALUE"""),"No")</f>
        <v>No</v>
      </c>
      <c r="H85" s="1" t="str">
        <f ca="1">IFERROR(__xludf.DUMMYFUNCTION("""COMPUTED_VALUE"""),"None")</f>
        <v>None</v>
      </c>
    </row>
    <row r="86" spans="1:8" ht="12.5">
      <c r="A86" s="1" t="str">
        <f ca="1">IFERROR(__xludf.DUMMYFUNCTION("""COMPUTED_VALUE"""),"20240117MDCHE")</f>
        <v>20240117MDCHE</v>
      </c>
      <c r="B86" s="1"/>
      <c r="C86" s="1"/>
      <c r="D86" s="1"/>
      <c r="E86" s="1"/>
      <c r="F86" s="1" t="str">
        <f ca="1">IFERROR(__xludf.DUMMYFUNCTION("""COMPUTED_VALUE"""),"Fled/Escaped")</f>
        <v>Fled/Escaped</v>
      </c>
      <c r="G86" s="1" t="str">
        <f ca="1">IFERROR(__xludf.DUMMYFUNCTION("""COMPUTED_VALUE"""),"No")</f>
        <v>No</v>
      </c>
      <c r="H86" s="1" t="str">
        <f ca="1">IFERROR(__xludf.DUMMYFUNCTION("""COMPUTED_VALUE"""),"None")</f>
        <v>None</v>
      </c>
    </row>
    <row r="87" spans="1:8" ht="12.5">
      <c r="A87" s="1" t="str">
        <f ca="1">IFERROR(__xludf.DUMMYFUNCTION("""COMPUTED_VALUE"""),"20240113INLAF")</f>
        <v>20240113INLAF</v>
      </c>
      <c r="B87" s="1"/>
      <c r="C87" s="1"/>
      <c r="D87" s="1"/>
      <c r="E87" s="1"/>
      <c r="F87" s="1" t="str">
        <f ca="1">IFERROR(__xludf.DUMMYFUNCTION("""COMPUTED_VALUE"""),"Fled/Escaped")</f>
        <v>Fled/Escaped</v>
      </c>
      <c r="G87" s="1" t="str">
        <f ca="1">IFERROR(__xludf.DUMMYFUNCTION("""COMPUTED_VALUE"""),"No")</f>
        <v>No</v>
      </c>
      <c r="H87" s="1" t="str">
        <f ca="1">IFERROR(__xludf.DUMMYFUNCTION("""COMPUTED_VALUE"""),"None")</f>
        <v>None</v>
      </c>
    </row>
    <row r="88" spans="1:8" ht="12.5">
      <c r="A88" s="1" t="str">
        <f ca="1">IFERROR(__xludf.DUMMYFUNCTION("""COMPUTED_VALUE"""),"20240112OKHEO")</f>
        <v>20240112OKHEO</v>
      </c>
      <c r="B88" s="1" t="str">
        <f ca="1">IFERROR(__xludf.DUMMYFUNCTION("""COMPUTED_VALUE"""),"Teen")</f>
        <v>Teen</v>
      </c>
      <c r="C88" s="1" t="str">
        <f ca="1">IFERROR(__xludf.DUMMYFUNCTION("""COMPUTED_VALUE"""),"Male")</f>
        <v>Male</v>
      </c>
      <c r="D88" s="1"/>
      <c r="E88" s="1" t="str">
        <f ca="1">IFERROR(__xludf.DUMMYFUNCTION("""COMPUTED_VALUE"""),"Student")</f>
        <v>Student</v>
      </c>
      <c r="F88" s="1" t="str">
        <f ca="1">IFERROR(__xludf.DUMMYFUNCTION("""COMPUTED_VALUE"""),"Apprehended/Killed by LE")</f>
        <v>Apprehended/Killed by LE</v>
      </c>
      <c r="G88" s="1" t="str">
        <f ca="1">IFERROR(__xludf.DUMMYFUNCTION("""COMPUTED_VALUE"""),"No")</f>
        <v>No</v>
      </c>
      <c r="H88" s="1" t="str">
        <f ca="1">IFERROR(__xludf.DUMMYFUNCTION("""COMPUTED_VALUE"""),"None")</f>
        <v>None</v>
      </c>
    </row>
    <row r="89" spans="1:8" ht="12.5">
      <c r="A89" s="1" t="str">
        <f ca="1">IFERROR(__xludf.DUMMYFUNCTION("""COMPUTED_VALUE"""),"20240112OHROD")</f>
        <v>20240112OHROD</v>
      </c>
      <c r="B89" s="1" t="str">
        <f ca="1">IFERROR(__xludf.DUMMYFUNCTION("""COMPUTED_VALUE"""),"Teen")</f>
        <v>Teen</v>
      </c>
      <c r="C89" s="1" t="str">
        <f ca="1">IFERROR(__xludf.DUMMYFUNCTION("""COMPUTED_VALUE"""),"Male")</f>
        <v>Male</v>
      </c>
      <c r="D89" s="1"/>
      <c r="E89" s="1" t="str">
        <f ca="1">IFERROR(__xludf.DUMMYFUNCTION("""COMPUTED_VALUE"""),"Nonstudent Using Athletic Facilities/Attending Game")</f>
        <v>Nonstudent Using Athletic Facilities/Attending Game</v>
      </c>
      <c r="F89" s="1" t="str">
        <f ca="1">IFERROR(__xludf.DUMMYFUNCTION("""COMPUTED_VALUE"""),"Fled/Escaped")</f>
        <v>Fled/Escaped</v>
      </c>
      <c r="G89" s="1" t="str">
        <f ca="1">IFERROR(__xludf.DUMMYFUNCTION("""COMPUTED_VALUE"""),"No")</f>
        <v>No</v>
      </c>
      <c r="H89" s="1" t="str">
        <f ca="1">IFERROR(__xludf.DUMMYFUNCTION("""COMPUTED_VALUE"""),"None")</f>
        <v>None</v>
      </c>
    </row>
    <row r="90" spans="1:8" ht="12.5">
      <c r="A90" s="1" t="str">
        <f ca="1">IFERROR(__xludf.DUMMYFUNCTION("""COMPUTED_VALUE"""),"20240111FLNOM")</f>
        <v>20240111FLNOM</v>
      </c>
      <c r="B90" s="1">
        <f ca="1">IFERROR(__xludf.DUMMYFUNCTION("""COMPUTED_VALUE"""),15)</f>
        <v>15</v>
      </c>
      <c r="C90" s="1" t="str">
        <f ca="1">IFERROR(__xludf.DUMMYFUNCTION("""COMPUTED_VALUE"""),"Male")</f>
        <v>Male</v>
      </c>
      <c r="D90" s="1"/>
      <c r="E90" s="1" t="str">
        <f ca="1">IFERROR(__xludf.DUMMYFUNCTION("""COMPUTED_VALUE"""),"Student")</f>
        <v>Student</v>
      </c>
      <c r="F90" s="1" t="str">
        <f ca="1">IFERROR(__xludf.DUMMYFUNCTION("""COMPUTED_VALUE"""),"Fled/Apprehended")</f>
        <v>Fled/Apprehended</v>
      </c>
      <c r="G90" s="1" t="str">
        <f ca="1">IFERROR(__xludf.DUMMYFUNCTION("""COMPUTED_VALUE"""),"No")</f>
        <v>No</v>
      </c>
      <c r="H90" s="1" t="str">
        <f ca="1">IFERROR(__xludf.DUMMYFUNCTION("""COMPUTED_VALUE"""),"None")</f>
        <v>None</v>
      </c>
    </row>
    <row r="91" spans="1:8" ht="12.5">
      <c r="A91" s="1" t="str">
        <f ca="1">IFERROR(__xludf.DUMMYFUNCTION("""COMPUTED_VALUE"""),"20240111LABOB")</f>
        <v>20240111LABOB</v>
      </c>
      <c r="B91" s="1">
        <f ca="1">IFERROR(__xludf.DUMMYFUNCTION("""COMPUTED_VALUE"""),16)</f>
        <v>16</v>
      </c>
      <c r="C91" s="1" t="str">
        <f ca="1">IFERROR(__xludf.DUMMYFUNCTION("""COMPUTED_VALUE"""),"Male")</f>
        <v>Male</v>
      </c>
      <c r="D91" s="1"/>
      <c r="E91" s="1" t="str">
        <f ca="1">IFERROR(__xludf.DUMMYFUNCTION("""COMPUTED_VALUE"""),"Student")</f>
        <v>Student</v>
      </c>
      <c r="F91" s="1" t="str">
        <f ca="1">IFERROR(__xludf.DUMMYFUNCTION("""COMPUTED_VALUE"""),"Fled/Apprehended")</f>
        <v>Fled/Apprehended</v>
      </c>
      <c r="G91" s="1" t="str">
        <f ca="1">IFERROR(__xludf.DUMMYFUNCTION("""COMPUTED_VALUE"""),"No")</f>
        <v>No</v>
      </c>
      <c r="H91" s="1" t="str">
        <f ca="1">IFERROR(__xludf.DUMMYFUNCTION("""COMPUTED_VALUE"""),"None")</f>
        <v>None</v>
      </c>
    </row>
    <row r="92" spans="1:8" ht="12.5">
      <c r="A92" s="1" t="str">
        <f ca="1">IFERROR(__xludf.DUMMYFUNCTION("""COMPUTED_VALUE"""),"20240110WAWHW")</f>
        <v>20240110WAWHW</v>
      </c>
      <c r="B92" s="1" t="str">
        <f ca="1">IFERROR(__xludf.DUMMYFUNCTION("""COMPUTED_VALUE"""),"Teen")</f>
        <v>Teen</v>
      </c>
      <c r="C92" s="1" t="str">
        <f ca="1">IFERROR(__xludf.DUMMYFUNCTION("""COMPUTED_VALUE"""),"Male")</f>
        <v>Male</v>
      </c>
      <c r="D92" s="1"/>
      <c r="E92" s="1" t="str">
        <f ca="1">IFERROR(__xludf.DUMMYFUNCTION("""COMPUTED_VALUE"""),"Student")</f>
        <v>Student</v>
      </c>
      <c r="F92" s="1" t="str">
        <f ca="1">IFERROR(__xludf.DUMMYFUNCTION("""COMPUTED_VALUE"""),"Apprehended/Killed by SRO")</f>
        <v>Apprehended/Killed by SRO</v>
      </c>
      <c r="G92" s="1" t="str">
        <f ca="1">IFERROR(__xludf.DUMMYFUNCTION("""COMPUTED_VALUE"""),"No")</f>
        <v>No</v>
      </c>
      <c r="H92" s="1" t="str">
        <f ca="1">IFERROR(__xludf.DUMMYFUNCTION("""COMPUTED_VALUE"""),"None")</f>
        <v>None</v>
      </c>
    </row>
    <row r="93" spans="1:8" ht="12.5">
      <c r="A93" s="1" t="str">
        <f ca="1">IFERROR(__xludf.DUMMYFUNCTION("""COMPUTED_VALUE"""),"20240109TXACH")</f>
        <v>20240109TXACH</v>
      </c>
      <c r="B93" s="1"/>
      <c r="C93" s="1"/>
      <c r="D93" s="1"/>
      <c r="E93" s="1" t="str">
        <f ca="1">IFERROR(__xludf.DUMMYFUNCTION("""COMPUTED_VALUE"""),"No Relation")</f>
        <v>No Relation</v>
      </c>
      <c r="F93" s="1" t="str">
        <f ca="1">IFERROR(__xludf.DUMMYFUNCTION("""COMPUTED_VALUE"""),"Fled/Escaped")</f>
        <v>Fled/Escaped</v>
      </c>
      <c r="G93" s="1" t="str">
        <f ca="1">IFERROR(__xludf.DUMMYFUNCTION("""COMPUTED_VALUE"""),"No")</f>
        <v>No</v>
      </c>
      <c r="H93" s="1" t="str">
        <f ca="1">IFERROR(__xludf.DUMMYFUNCTION("""COMPUTED_VALUE"""),"None")</f>
        <v>None</v>
      </c>
    </row>
    <row r="94" spans="1:8" ht="12.5">
      <c r="A94" s="1" t="str">
        <f ca="1">IFERROR(__xludf.DUMMYFUNCTION("""COMPUTED_VALUE"""),"20240108MSSIS")</f>
        <v>20240108MSSIS</v>
      </c>
      <c r="B94" s="1"/>
      <c r="C94" s="1"/>
      <c r="D94" s="1"/>
      <c r="E94" s="1"/>
      <c r="F94" s="1" t="str">
        <f ca="1">IFERROR(__xludf.DUMMYFUNCTION("""COMPUTED_VALUE"""),"Fled/Escaped")</f>
        <v>Fled/Escaped</v>
      </c>
      <c r="G94" s="1" t="str">
        <f ca="1">IFERROR(__xludf.DUMMYFUNCTION("""COMPUTED_VALUE"""),"No")</f>
        <v>No</v>
      </c>
      <c r="H94" s="1" t="str">
        <f ca="1">IFERROR(__xludf.DUMMYFUNCTION("""COMPUTED_VALUE"""),"None")</f>
        <v>None</v>
      </c>
    </row>
    <row r="95" spans="1:8" ht="12.5">
      <c r="A95" s="1" t="str">
        <f ca="1">IFERROR(__xludf.DUMMYFUNCTION("""COMPUTED_VALUE"""),"20240108CARIR")</f>
        <v>20240108CARIR</v>
      </c>
      <c r="B95" s="1"/>
      <c r="C95" s="1"/>
      <c r="D95" s="1"/>
      <c r="E95" s="1"/>
      <c r="F95" s="1" t="str">
        <f ca="1">IFERROR(__xludf.DUMMYFUNCTION("""COMPUTED_VALUE"""),"Fled/Escaped")</f>
        <v>Fled/Escaped</v>
      </c>
      <c r="G95" s="1" t="str">
        <f ca="1">IFERROR(__xludf.DUMMYFUNCTION("""COMPUTED_VALUE"""),"No")</f>
        <v>No</v>
      </c>
      <c r="H95" s="1" t="str">
        <f ca="1">IFERROR(__xludf.DUMMYFUNCTION("""COMPUTED_VALUE"""),"None")</f>
        <v>None</v>
      </c>
    </row>
    <row r="96" spans="1:8" ht="12.5">
      <c r="A96" s="1" t="str">
        <f ca="1">IFERROR(__xludf.DUMMYFUNCTION("""COMPUTED_VALUE"""),"20240104IAPEP")</f>
        <v>20240104IAPEP</v>
      </c>
      <c r="B96" s="1">
        <f ca="1">IFERROR(__xludf.DUMMYFUNCTION("""COMPUTED_VALUE"""),17)</f>
        <v>17</v>
      </c>
      <c r="C96" s="1" t="str">
        <f ca="1">IFERROR(__xludf.DUMMYFUNCTION("""COMPUTED_VALUE"""),"Male")</f>
        <v>Male</v>
      </c>
      <c r="D96" s="1"/>
      <c r="E96" s="1" t="str">
        <f ca="1">IFERROR(__xludf.DUMMYFUNCTION("""COMPUTED_VALUE"""),"Student")</f>
        <v>Student</v>
      </c>
      <c r="F96" s="1" t="str">
        <f ca="1">IFERROR(__xludf.DUMMYFUNCTION("""COMPUTED_VALUE"""),"Suicide")</f>
        <v>Suicide</v>
      </c>
      <c r="G96" s="1" t="str">
        <f ca="1">IFERROR(__xludf.DUMMYFUNCTION("""COMPUTED_VALUE"""),"Yes")</f>
        <v>Yes</v>
      </c>
      <c r="H96" s="1" t="str">
        <f ca="1">IFERROR(__xludf.DUMMYFUNCTION("""COMPUTED_VALUE"""),"Suicide")</f>
        <v>Suicide</v>
      </c>
    </row>
    <row r="97" spans="1:8" ht="12.5">
      <c r="A97" s="1" t="str">
        <f ca="1">IFERROR(__xludf.DUMMYFUNCTION("""COMPUTED_VALUE"""),"20240103TNFRM")</f>
        <v>20240103TNFRM</v>
      </c>
      <c r="B97" s="1"/>
      <c r="C97" s="1"/>
      <c r="D97" s="1"/>
      <c r="E97" s="1" t="str">
        <f ca="1">IFERROR(__xludf.DUMMYFUNCTION("""COMPUTED_VALUE"""),"No Relation")</f>
        <v>No Relation</v>
      </c>
      <c r="F97" s="1" t="str">
        <f ca="1">IFERROR(__xludf.DUMMYFUNCTION("""COMPUTED_VALUE"""),"Fled/Escaped")</f>
        <v>Fled/Escaped</v>
      </c>
      <c r="G97" s="1" t="str">
        <f ca="1">IFERROR(__xludf.DUMMYFUNCTION("""COMPUTED_VALUE"""),"No")</f>
        <v>No</v>
      </c>
      <c r="H97" s="1" t="str">
        <f ca="1">IFERROR(__xludf.DUMMYFUNCTION("""COMPUTED_VALUE"""),"None")</f>
        <v>None</v>
      </c>
    </row>
    <row r="98" spans="1:8" ht="12.5">
      <c r="A98" s="1" t="str">
        <f ca="1">IFERROR(__xludf.DUMMYFUNCTION("""COMPUTED_VALUE"""),"20240103VAMAM")</f>
        <v>20240103VAMAM</v>
      </c>
      <c r="B98" s="1">
        <f ca="1">IFERROR(__xludf.DUMMYFUNCTION("""COMPUTED_VALUE"""),14)</f>
        <v>14</v>
      </c>
      <c r="C98" s="1" t="str">
        <f ca="1">IFERROR(__xludf.DUMMYFUNCTION("""COMPUTED_VALUE"""),"Male")</f>
        <v>Male</v>
      </c>
      <c r="D98" s="1"/>
      <c r="E98" s="1" t="str">
        <f ca="1">IFERROR(__xludf.DUMMYFUNCTION("""COMPUTED_VALUE"""),"Student")</f>
        <v>Student</v>
      </c>
      <c r="F98" s="1" t="str">
        <f ca="1">IFERROR(__xludf.DUMMYFUNCTION("""COMPUTED_VALUE"""),"Fled/Escaped")</f>
        <v>Fled/Escaped</v>
      </c>
      <c r="G98" s="1" t="str">
        <f ca="1">IFERROR(__xludf.DUMMYFUNCTION("""COMPUTED_VALUE"""),"No")</f>
        <v>No</v>
      </c>
      <c r="H98" s="1" t="str">
        <f ca="1">IFERROR(__xludf.DUMMYFUNCTION("""COMPUTED_VALUE"""),"None")</f>
        <v>None</v>
      </c>
    </row>
    <row r="99" spans="1:8" ht="12.5">
      <c r="A99" s="1" t="str">
        <f ca="1">IFERROR(__xludf.DUMMYFUNCTION("""COMPUTED_VALUE"""),"20240101LABAM")</f>
        <v>20240101LABAM</v>
      </c>
      <c r="B99" s="1" t="str">
        <f ca="1">IFERROR(__xludf.DUMMYFUNCTION("""COMPUTED_VALUE"""),"Adult")</f>
        <v>Adult</v>
      </c>
      <c r="C99" s="1" t="str">
        <f ca="1">IFERROR(__xludf.DUMMYFUNCTION("""COMPUTED_VALUE"""),"Male")</f>
        <v>Male</v>
      </c>
      <c r="D99" s="1"/>
      <c r="E99" s="1" t="str">
        <f ca="1">IFERROR(__xludf.DUMMYFUNCTION("""COMPUTED_VALUE"""),"No Relation")</f>
        <v>No Relation</v>
      </c>
      <c r="F99" s="1" t="str">
        <f ca="1">IFERROR(__xludf.DUMMYFUNCTION("""COMPUTED_VALUE"""),"Apprehended/Killed by LE")</f>
        <v>Apprehended/Killed by LE</v>
      </c>
      <c r="G99" s="1" t="str">
        <f ca="1">IFERROR(__xludf.DUMMYFUNCTION("""COMPUTED_VALUE"""),"No")</f>
        <v>No</v>
      </c>
      <c r="H99" s="1" t="str">
        <f ca="1">IFERROR(__xludf.DUMMYFUNCTION("""COMPUTED_VALUE"""),"None")</f>
        <v>None</v>
      </c>
    </row>
    <row r="100" spans="1:8" ht="12.5">
      <c r="A100" s="1" t="str">
        <f ca="1">IFERROR(__xludf.DUMMYFUNCTION("""COMPUTED_VALUE"""),"20231226RIEME")</f>
        <v>20231226RIEME</v>
      </c>
      <c r="B100" s="1"/>
      <c r="C100" s="1"/>
      <c r="D100" s="1"/>
      <c r="E100" s="1"/>
      <c r="F100" s="1" t="str">
        <f ca="1">IFERROR(__xludf.DUMMYFUNCTION("""COMPUTED_VALUE"""),"Fled/Escaped")</f>
        <v>Fled/Escaped</v>
      </c>
      <c r="G100" s="1" t="str">
        <f ca="1">IFERROR(__xludf.DUMMYFUNCTION("""COMPUTED_VALUE"""),"No")</f>
        <v>No</v>
      </c>
      <c r="H100" s="1" t="str">
        <f ca="1">IFERROR(__xludf.DUMMYFUNCTION("""COMPUTED_VALUE"""),"None")</f>
        <v>None</v>
      </c>
    </row>
    <row r="101" spans="1:8" ht="12.5">
      <c r="A101" s="1" t="str">
        <f ca="1">IFERROR(__xludf.DUMMYFUNCTION("""COMPUTED_VALUE"""),"20231220TXEAF")</f>
        <v>20231220TXEAF</v>
      </c>
      <c r="B101" s="1" t="str">
        <f ca="1">IFERROR(__xludf.DUMMYFUNCTION("""COMPUTED_VALUE"""),"Teen")</f>
        <v>Teen</v>
      </c>
      <c r="C101" s="1"/>
      <c r="D101" s="1"/>
      <c r="E101" s="1"/>
      <c r="F101" s="1" t="str">
        <f ca="1">IFERROR(__xludf.DUMMYFUNCTION("""COMPUTED_VALUE"""),"Fled/Escaped")</f>
        <v>Fled/Escaped</v>
      </c>
      <c r="G101" s="1" t="str">
        <f ca="1">IFERROR(__xludf.DUMMYFUNCTION("""COMPUTED_VALUE"""),"No")</f>
        <v>No</v>
      </c>
      <c r="H101" s="1" t="str">
        <f ca="1">IFERROR(__xludf.DUMMYFUNCTION("""COMPUTED_VALUE"""),"None")</f>
        <v>None</v>
      </c>
    </row>
    <row r="102" spans="1:8" ht="12.5">
      <c r="A102" s="1" t="str">
        <f ca="1">IFERROR(__xludf.DUMMYFUNCTION("""COMPUTED_VALUE"""),"20231220NJKIN")</f>
        <v>20231220NJKIN</v>
      </c>
      <c r="B102" s="1"/>
      <c r="C102" s="1"/>
      <c r="D102" s="1"/>
      <c r="E102" s="1"/>
      <c r="F102" s="1" t="str">
        <f ca="1">IFERROR(__xludf.DUMMYFUNCTION("""COMPUTED_VALUE"""),"Fled/Escaped")</f>
        <v>Fled/Escaped</v>
      </c>
      <c r="G102" s="1" t="str">
        <f ca="1">IFERROR(__xludf.DUMMYFUNCTION("""COMPUTED_VALUE"""),"No")</f>
        <v>No</v>
      </c>
      <c r="H102" s="1" t="str">
        <f ca="1">IFERROR(__xludf.DUMMYFUNCTION("""COMPUTED_VALUE"""),"None")</f>
        <v>None</v>
      </c>
    </row>
    <row r="103" spans="1:8" ht="12.5">
      <c r="A103" s="1" t="str">
        <f ca="1">IFERROR(__xludf.DUMMYFUNCTION("""COMPUTED_VALUE"""),"20231219COLEC")</f>
        <v>20231219COLEC</v>
      </c>
      <c r="B103" s="1"/>
      <c r="C103" s="1"/>
      <c r="D103" s="1"/>
      <c r="E103" s="1"/>
      <c r="F103" s="1" t="str">
        <f ca="1">IFERROR(__xludf.DUMMYFUNCTION("""COMPUTED_VALUE"""),"Fled/Escaped")</f>
        <v>Fled/Escaped</v>
      </c>
      <c r="G103" s="1" t="str">
        <f ca="1">IFERROR(__xludf.DUMMYFUNCTION("""COMPUTED_VALUE"""),"No")</f>
        <v>No</v>
      </c>
      <c r="H103" s="1" t="str">
        <f ca="1">IFERROR(__xludf.DUMMYFUNCTION("""COMPUTED_VALUE"""),"None")</f>
        <v>None</v>
      </c>
    </row>
    <row r="104" spans="1:8" ht="12.5">
      <c r="A104" s="1" t="str">
        <f ca="1">IFERROR(__xludf.DUMMYFUNCTION("""COMPUTED_VALUE"""),"20231219TXCYK")</f>
        <v>20231219TXCYK</v>
      </c>
      <c r="B104" s="1" t="str">
        <f ca="1">IFERROR(__xludf.DUMMYFUNCTION("""COMPUTED_VALUE"""),"Teen")</f>
        <v>Teen</v>
      </c>
      <c r="C104" s="1" t="str">
        <f ca="1">IFERROR(__xludf.DUMMYFUNCTION("""COMPUTED_VALUE"""),"Male")</f>
        <v>Male</v>
      </c>
      <c r="D104" s="1"/>
      <c r="E104" s="1"/>
      <c r="F104" s="1" t="str">
        <f ca="1">IFERROR(__xludf.DUMMYFUNCTION("""COMPUTED_VALUE"""),"Fled/Escaped")</f>
        <v>Fled/Escaped</v>
      </c>
      <c r="G104" s="1" t="str">
        <f ca="1">IFERROR(__xludf.DUMMYFUNCTION("""COMPUTED_VALUE"""),"No")</f>
        <v>No</v>
      </c>
      <c r="H104" s="1" t="str">
        <f ca="1">IFERROR(__xludf.DUMMYFUNCTION("""COMPUTED_VALUE"""),"None")</f>
        <v>None</v>
      </c>
    </row>
    <row r="105" spans="1:8" ht="12.5">
      <c r="A105" s="1" t="str">
        <f ca="1">IFERROR(__xludf.DUMMYFUNCTION("""COMPUTED_VALUE"""),"20231218VAORC")</f>
        <v>20231218VAORC</v>
      </c>
      <c r="B105" s="1"/>
      <c r="C105" s="1"/>
      <c r="D105" s="1"/>
      <c r="E105" s="1"/>
      <c r="F105" s="1" t="str">
        <f ca="1">IFERROR(__xludf.DUMMYFUNCTION("""COMPUTED_VALUE"""),"Fled/Escaped")</f>
        <v>Fled/Escaped</v>
      </c>
      <c r="G105" s="1" t="str">
        <f ca="1">IFERROR(__xludf.DUMMYFUNCTION("""COMPUTED_VALUE"""),"No")</f>
        <v>No</v>
      </c>
      <c r="H105" s="1" t="str">
        <f ca="1">IFERROR(__xludf.DUMMYFUNCTION("""COMPUTED_VALUE"""),"None")</f>
        <v>None</v>
      </c>
    </row>
    <row r="106" spans="1:8" ht="12.5">
      <c r="A106" s="1" t="str">
        <f ca="1">IFERROR(__xludf.DUMMYFUNCTION("""COMPUTED_VALUE"""),"20231218INEGH")</f>
        <v>20231218INEGH</v>
      </c>
      <c r="B106" s="1">
        <f ca="1">IFERROR(__xludf.DUMMYFUNCTION("""COMPUTED_VALUE"""),14)</f>
        <v>14</v>
      </c>
      <c r="C106" s="1" t="str">
        <f ca="1">IFERROR(__xludf.DUMMYFUNCTION("""COMPUTED_VALUE"""),"Female")</f>
        <v>Female</v>
      </c>
      <c r="D106" s="1"/>
      <c r="E106" s="1" t="str">
        <f ca="1">IFERROR(__xludf.DUMMYFUNCTION("""COMPUTED_VALUE"""),"Student")</f>
        <v>Student</v>
      </c>
      <c r="F106" s="1" t="str">
        <f ca="1">IFERROR(__xludf.DUMMYFUNCTION("""COMPUTED_VALUE"""),"Apprehended/Killed by SRO")</f>
        <v>Apprehended/Killed by SRO</v>
      </c>
      <c r="G106" s="1" t="str">
        <f ca="1">IFERROR(__xludf.DUMMYFUNCTION("""COMPUTED_VALUE"""),"No")</f>
        <v>No</v>
      </c>
      <c r="H106" s="1" t="str">
        <f ca="1">IFERROR(__xludf.DUMMYFUNCTION("""COMPUTED_VALUE"""),"None")</f>
        <v>None</v>
      </c>
    </row>
    <row r="107" spans="1:8" ht="12.5">
      <c r="A107" s="1" t="str">
        <f ca="1">IFERROR(__xludf.DUMMYFUNCTION("""COMPUTED_VALUE"""),"20231215CAPAP")</f>
        <v>20231215CAPAP</v>
      </c>
      <c r="B107" s="1" t="str">
        <f ca="1">IFERROR(__xludf.DUMMYFUNCTION("""COMPUTED_VALUE"""),"Adult")</f>
        <v>Adult</v>
      </c>
      <c r="C107" s="1" t="str">
        <f ca="1">IFERROR(__xludf.DUMMYFUNCTION("""COMPUTED_VALUE"""),"Male")</f>
        <v>Male</v>
      </c>
      <c r="D107" s="1" t="str">
        <f ca="1">IFERROR(__xludf.DUMMYFUNCTION("""COMPUTED_VALUE"""),"Hispanic")</f>
        <v>Hispanic</v>
      </c>
      <c r="E107" s="1" t="str">
        <f ca="1">IFERROR(__xludf.DUMMYFUNCTION("""COMPUTED_VALUE"""),"No Relation")</f>
        <v>No Relation</v>
      </c>
      <c r="F107" s="1" t="str">
        <f ca="1">IFERROR(__xludf.DUMMYFUNCTION("""COMPUTED_VALUE"""),"Fled/Escaped")</f>
        <v>Fled/Escaped</v>
      </c>
      <c r="G107" s="1" t="str">
        <f ca="1">IFERROR(__xludf.DUMMYFUNCTION("""COMPUTED_VALUE"""),"No")</f>
        <v>No</v>
      </c>
      <c r="H107" s="1" t="str">
        <f ca="1">IFERROR(__xludf.DUMMYFUNCTION("""COMPUTED_VALUE"""),"None")</f>
        <v>None</v>
      </c>
    </row>
    <row r="108" spans="1:8" ht="12.5">
      <c r="A108" s="1" t="str">
        <f ca="1">IFERROR(__xludf.DUMMYFUNCTION("""COMPUTED_VALUE"""),"20231215TNLEN")</f>
        <v>20231215TNLEN</v>
      </c>
      <c r="B108" s="1"/>
      <c r="C108" s="1" t="str">
        <f ca="1">IFERROR(__xludf.DUMMYFUNCTION("""COMPUTED_VALUE"""),"Male")</f>
        <v>Male</v>
      </c>
      <c r="D108" s="1"/>
      <c r="E108" s="1" t="str">
        <f ca="1">IFERROR(__xludf.DUMMYFUNCTION("""COMPUTED_VALUE"""),"Nonstudent Using Athletic Facilities/Attending Game")</f>
        <v>Nonstudent Using Athletic Facilities/Attending Game</v>
      </c>
      <c r="F108" s="1" t="str">
        <f ca="1">IFERROR(__xludf.DUMMYFUNCTION("""COMPUTED_VALUE"""),"Fled/Escaped")</f>
        <v>Fled/Escaped</v>
      </c>
      <c r="G108" s="1" t="str">
        <f ca="1">IFERROR(__xludf.DUMMYFUNCTION("""COMPUTED_VALUE"""),"No")</f>
        <v>No</v>
      </c>
      <c r="H108" s="1" t="str">
        <f ca="1">IFERROR(__xludf.DUMMYFUNCTION("""COMPUTED_VALUE"""),"None")</f>
        <v>None</v>
      </c>
    </row>
    <row r="109" spans="1:8" ht="12.5">
      <c r="A109" s="1" t="str">
        <f ca="1">IFERROR(__xludf.DUMMYFUNCTION("""COMPUTED_VALUE"""),"20231213MIDED")</f>
        <v>20231213MIDED</v>
      </c>
      <c r="B109" s="1">
        <f ca="1">IFERROR(__xludf.DUMMYFUNCTION("""COMPUTED_VALUE"""),15)</f>
        <v>15</v>
      </c>
      <c r="C109" s="1" t="str">
        <f ca="1">IFERROR(__xludf.DUMMYFUNCTION("""COMPUTED_VALUE"""),"Male")</f>
        <v>Male</v>
      </c>
      <c r="D109" s="1"/>
      <c r="E109" s="1" t="str">
        <f ca="1">IFERROR(__xludf.DUMMYFUNCTION("""COMPUTED_VALUE"""),"Student")</f>
        <v>Student</v>
      </c>
      <c r="F109" s="1" t="str">
        <f ca="1">IFERROR(__xludf.DUMMYFUNCTION("""COMPUTED_VALUE"""),"Apprehended/Killed by LE")</f>
        <v>Apprehended/Killed by LE</v>
      </c>
      <c r="G109" s="1" t="str">
        <f ca="1">IFERROR(__xludf.DUMMYFUNCTION("""COMPUTED_VALUE"""),"No")</f>
        <v>No</v>
      </c>
      <c r="H109" s="1" t="str">
        <f ca="1">IFERROR(__xludf.DUMMYFUNCTION("""COMPUTED_VALUE"""),"None")</f>
        <v>None</v>
      </c>
    </row>
    <row r="110" spans="1:8" ht="12.5">
      <c r="A110" s="1" t="str">
        <f ca="1">IFERROR(__xludf.DUMMYFUNCTION("""COMPUTED_VALUE"""),"20231212MICOK")</f>
        <v>20231212MICOK</v>
      </c>
      <c r="B110" s="1"/>
      <c r="C110" s="1"/>
      <c r="D110" s="1"/>
      <c r="E110" s="1"/>
      <c r="F110" s="1" t="str">
        <f ca="1">IFERROR(__xludf.DUMMYFUNCTION("""COMPUTED_VALUE"""),"Fled/Escaped")</f>
        <v>Fled/Escaped</v>
      </c>
      <c r="G110" s="1" t="str">
        <f ca="1">IFERROR(__xludf.DUMMYFUNCTION("""COMPUTED_VALUE"""),"No")</f>
        <v>No</v>
      </c>
      <c r="H110" s="1" t="str">
        <f ca="1">IFERROR(__xludf.DUMMYFUNCTION("""COMPUTED_VALUE"""),"None")</f>
        <v>None</v>
      </c>
    </row>
    <row r="111" spans="1:8" ht="12.5">
      <c r="A111" s="1" t="str">
        <f ca="1">IFERROR(__xludf.DUMMYFUNCTION("""COMPUTED_VALUE"""),"20231211NYROQ")</f>
        <v>20231211NYROQ</v>
      </c>
      <c r="B111" s="1" t="str">
        <f ca="1">IFERROR(__xludf.DUMMYFUNCTION("""COMPUTED_VALUE"""),"Teen")</f>
        <v>Teen</v>
      </c>
      <c r="C111" s="1" t="str">
        <f ca="1">IFERROR(__xludf.DUMMYFUNCTION("""COMPUTED_VALUE"""),"Male")</f>
        <v>Male</v>
      </c>
      <c r="D111" s="1"/>
      <c r="E111" s="1"/>
      <c r="F111" s="1" t="str">
        <f ca="1">IFERROR(__xludf.DUMMYFUNCTION("""COMPUTED_VALUE"""),"Fled/Escaped")</f>
        <v>Fled/Escaped</v>
      </c>
      <c r="G111" s="1" t="str">
        <f ca="1">IFERROR(__xludf.DUMMYFUNCTION("""COMPUTED_VALUE"""),"No")</f>
        <v>No</v>
      </c>
      <c r="H111" s="1" t="str">
        <f ca="1">IFERROR(__xludf.DUMMYFUNCTION("""COMPUTED_VALUE"""),"None")</f>
        <v>None</v>
      </c>
    </row>
    <row r="112" spans="1:8" ht="12.5">
      <c r="A112" s="1" t="str">
        <f ca="1">IFERROR(__xludf.DUMMYFUNCTION("""COMPUTED_VALUE"""),"20231208MONOS")</f>
        <v>20231208MONOS</v>
      </c>
      <c r="B112" s="1">
        <f ca="1">IFERROR(__xludf.DUMMYFUNCTION("""COMPUTED_VALUE"""),37)</f>
        <v>37</v>
      </c>
      <c r="C112" s="1" t="str">
        <f ca="1">IFERROR(__xludf.DUMMYFUNCTION("""COMPUTED_VALUE"""),"Male")</f>
        <v>Male</v>
      </c>
      <c r="D112" s="1"/>
      <c r="E112" s="1" t="str">
        <f ca="1">IFERROR(__xludf.DUMMYFUNCTION("""COMPUTED_VALUE"""),"No Relation")</f>
        <v>No Relation</v>
      </c>
      <c r="F112" s="1" t="str">
        <f ca="1">IFERROR(__xludf.DUMMYFUNCTION("""COMPUTED_VALUE"""),"Fled/Apprehended")</f>
        <v>Fled/Apprehended</v>
      </c>
      <c r="G112" s="1" t="str">
        <f ca="1">IFERROR(__xludf.DUMMYFUNCTION("""COMPUTED_VALUE"""),"No")</f>
        <v>No</v>
      </c>
      <c r="H112" s="1" t="str">
        <f ca="1">IFERROR(__xludf.DUMMYFUNCTION("""COMPUTED_VALUE"""),"None")</f>
        <v>None</v>
      </c>
    </row>
    <row r="113" spans="1:8" ht="12.5">
      <c r="A113" s="1" t="str">
        <f ca="1">IFERROR(__xludf.DUMMYFUNCTION("""COMPUTED_VALUE"""),"20231208NMATA")</f>
        <v>20231208NMATA</v>
      </c>
      <c r="B113" s="1">
        <f ca="1">IFERROR(__xludf.DUMMYFUNCTION("""COMPUTED_VALUE"""),16)</f>
        <v>16</v>
      </c>
      <c r="C113" s="1" t="str">
        <f ca="1">IFERROR(__xludf.DUMMYFUNCTION("""COMPUTED_VALUE"""),"Male")</f>
        <v>Male</v>
      </c>
      <c r="D113" s="1"/>
      <c r="E113" s="1" t="str">
        <f ca="1">IFERROR(__xludf.DUMMYFUNCTION("""COMPUTED_VALUE"""),"Student")</f>
        <v>Student</v>
      </c>
      <c r="F113" s="1" t="str">
        <f ca="1">IFERROR(__xludf.DUMMYFUNCTION("""COMPUTED_VALUE"""),"Fled/Apprehended")</f>
        <v>Fled/Apprehended</v>
      </c>
      <c r="G113" s="1" t="str">
        <f ca="1">IFERROR(__xludf.DUMMYFUNCTION("""COMPUTED_VALUE"""),"No")</f>
        <v>No</v>
      </c>
      <c r="H113" s="1" t="str">
        <f ca="1">IFERROR(__xludf.DUMMYFUNCTION("""COMPUTED_VALUE"""),"None")</f>
        <v>None</v>
      </c>
    </row>
    <row r="114" spans="1:8" ht="12.5">
      <c r="A114" s="1" t="str">
        <f ca="1">IFERROR(__xludf.DUMMYFUNCTION("""COMPUTED_VALUE"""),"20231208VAWOW")</f>
        <v>20231208VAWOW</v>
      </c>
      <c r="B114" s="1">
        <f ca="1">IFERROR(__xludf.DUMMYFUNCTION("""COMPUTED_VALUE"""),17)</f>
        <v>17</v>
      </c>
      <c r="C114" s="1" t="str">
        <f ca="1">IFERROR(__xludf.DUMMYFUNCTION("""COMPUTED_VALUE"""),"Male")</f>
        <v>Male</v>
      </c>
      <c r="D114" s="1"/>
      <c r="E114" s="1" t="str">
        <f ca="1">IFERROR(__xludf.DUMMYFUNCTION("""COMPUTED_VALUE"""),"Student")</f>
        <v>Student</v>
      </c>
      <c r="F114" s="1" t="str">
        <f ca="1">IFERROR(__xludf.DUMMYFUNCTION("""COMPUTED_VALUE"""),"Fled/Apprehended")</f>
        <v>Fled/Apprehended</v>
      </c>
      <c r="G114" s="1" t="str">
        <f ca="1">IFERROR(__xludf.DUMMYFUNCTION("""COMPUTED_VALUE"""),"No")</f>
        <v>No</v>
      </c>
      <c r="H114" s="1" t="str">
        <f ca="1">IFERROR(__xludf.DUMMYFUNCTION("""COMPUTED_VALUE"""),"None")</f>
        <v>None</v>
      </c>
    </row>
    <row r="115" spans="1:8" ht="12.5">
      <c r="A115" s="1" t="str">
        <f ca="1">IFERROR(__xludf.DUMMYFUNCTION("""COMPUTED_VALUE"""),"20231208WIBUW")</f>
        <v>20231208WIBUW</v>
      </c>
      <c r="B115" s="1">
        <f ca="1">IFERROR(__xludf.DUMMYFUNCTION("""COMPUTED_VALUE"""),33)</f>
        <v>33</v>
      </c>
      <c r="C115" s="1" t="str">
        <f ca="1">IFERROR(__xludf.DUMMYFUNCTION("""COMPUTED_VALUE"""),"Male")</f>
        <v>Male</v>
      </c>
      <c r="D115" s="1"/>
      <c r="E115" s="1" t="str">
        <f ca="1">IFERROR(__xludf.DUMMYFUNCTION("""COMPUTED_VALUE"""),"Parent")</f>
        <v>Parent</v>
      </c>
      <c r="F115" s="1" t="str">
        <f ca="1">IFERROR(__xludf.DUMMYFUNCTION("""COMPUTED_VALUE"""),"Fled/Apprehended")</f>
        <v>Fled/Apprehended</v>
      </c>
      <c r="G115" s="1" t="str">
        <f ca="1">IFERROR(__xludf.DUMMYFUNCTION("""COMPUTED_VALUE"""),"No")</f>
        <v>No</v>
      </c>
      <c r="H115" s="1" t="str">
        <f ca="1">IFERROR(__xludf.DUMMYFUNCTION("""COMPUTED_VALUE"""),"None")</f>
        <v>None</v>
      </c>
    </row>
    <row r="116" spans="1:8" ht="12.5">
      <c r="A116" s="1" t="str">
        <f ca="1">IFERROR(__xludf.DUMMYFUNCTION("""COMPUTED_VALUE"""),"20231206INLAL")</f>
        <v>20231206INLAL</v>
      </c>
      <c r="B116" s="1">
        <f ca="1">IFERROR(__xludf.DUMMYFUNCTION("""COMPUTED_VALUE"""),13)</f>
        <v>13</v>
      </c>
      <c r="C116" s="1" t="str">
        <f ca="1">IFERROR(__xludf.DUMMYFUNCTION("""COMPUTED_VALUE"""),"Male")</f>
        <v>Male</v>
      </c>
      <c r="D116" s="1"/>
      <c r="E116" s="1" t="str">
        <f ca="1">IFERROR(__xludf.DUMMYFUNCTION("""COMPUTED_VALUE"""),"Nonstudent Using Athletic Facilities/Attending Game")</f>
        <v>Nonstudent Using Athletic Facilities/Attending Game</v>
      </c>
      <c r="F116" s="1" t="str">
        <f ca="1">IFERROR(__xludf.DUMMYFUNCTION("""COMPUTED_VALUE"""),"Fled/Apprehended")</f>
        <v>Fled/Apprehended</v>
      </c>
      <c r="G116" s="1" t="str">
        <f ca="1">IFERROR(__xludf.DUMMYFUNCTION("""COMPUTED_VALUE"""),"No")</f>
        <v>No</v>
      </c>
      <c r="H116" s="1" t="str">
        <f ca="1">IFERROR(__xludf.DUMMYFUNCTION("""COMPUTED_VALUE"""),"None")</f>
        <v>None</v>
      </c>
    </row>
    <row r="117" spans="1:8" ht="12.5">
      <c r="A117" s="1" t="str">
        <f ca="1">IFERROR(__xludf.DUMMYFUNCTION("""COMPUTED_VALUE"""),"20231205NCVAH")</f>
        <v>20231205NCVAH</v>
      </c>
      <c r="B117" s="1"/>
      <c r="C117" s="1"/>
      <c r="D117" s="1"/>
      <c r="E117" s="1"/>
      <c r="F117" s="1" t="str">
        <f ca="1">IFERROR(__xludf.DUMMYFUNCTION("""COMPUTED_VALUE"""),"Fled/Escaped")</f>
        <v>Fled/Escaped</v>
      </c>
      <c r="G117" s="1" t="str">
        <f ca="1">IFERROR(__xludf.DUMMYFUNCTION("""COMPUTED_VALUE"""),"No")</f>
        <v>No</v>
      </c>
      <c r="H117" s="1" t="str">
        <f ca="1">IFERROR(__xludf.DUMMYFUNCTION("""COMPUTED_VALUE"""),"None")</f>
        <v>None</v>
      </c>
    </row>
    <row r="118" spans="1:8" ht="12.5">
      <c r="A118" s="1" t="str">
        <f ca="1">IFERROR(__xludf.DUMMYFUNCTION("""COMPUTED_VALUE"""),"20231205TXNOA")</f>
        <v>20231205TXNOA</v>
      </c>
      <c r="B118" s="1" t="str">
        <f ca="1">IFERROR(__xludf.DUMMYFUNCTION("""COMPUTED_VALUE"""),"Adult")</f>
        <v>Adult</v>
      </c>
      <c r="C118" s="1" t="str">
        <f ca="1">IFERROR(__xludf.DUMMYFUNCTION("""COMPUTED_VALUE"""),"Male")</f>
        <v>Male</v>
      </c>
      <c r="D118" s="1"/>
      <c r="E118" s="1" t="str">
        <f ca="1">IFERROR(__xludf.DUMMYFUNCTION("""COMPUTED_VALUE"""),"No Relation")</f>
        <v>No Relation</v>
      </c>
      <c r="F118" s="1" t="str">
        <f ca="1">IFERROR(__xludf.DUMMYFUNCTION("""COMPUTED_VALUE"""),"Fled/Apprehended")</f>
        <v>Fled/Apprehended</v>
      </c>
      <c r="G118" s="1" t="str">
        <f ca="1">IFERROR(__xludf.DUMMYFUNCTION("""COMPUTED_VALUE"""),"No")</f>
        <v>No</v>
      </c>
      <c r="H118" s="1" t="str">
        <f ca="1">IFERROR(__xludf.DUMMYFUNCTION("""COMPUTED_VALUE"""),"None")</f>
        <v>None</v>
      </c>
    </row>
    <row r="119" spans="1:8" ht="12.5">
      <c r="A119" s="1" t="str">
        <f ca="1">IFERROR(__xludf.DUMMYFUNCTION("""COMPUTED_VALUE"""),"20231202VADRA")</f>
        <v>20231202VADRA</v>
      </c>
      <c r="B119" s="1">
        <f ca="1">IFERROR(__xludf.DUMMYFUNCTION("""COMPUTED_VALUE"""),21)</f>
        <v>21</v>
      </c>
      <c r="C119" s="1" t="str">
        <f ca="1">IFERROR(__xludf.DUMMYFUNCTION("""COMPUTED_VALUE"""),"Male")</f>
        <v>Male</v>
      </c>
      <c r="D119" s="1" t="str">
        <f ca="1">IFERROR(__xludf.DUMMYFUNCTION("""COMPUTED_VALUE"""),"Black")</f>
        <v>Black</v>
      </c>
      <c r="E119" s="1" t="str">
        <f ca="1">IFERROR(__xludf.DUMMYFUNCTION("""COMPUTED_VALUE"""),"No Relation")</f>
        <v>No Relation</v>
      </c>
      <c r="F119" s="1" t="str">
        <f ca="1">IFERROR(__xludf.DUMMYFUNCTION("""COMPUTED_VALUE"""),"Fled/Apprehended")</f>
        <v>Fled/Apprehended</v>
      </c>
      <c r="G119" s="1" t="str">
        <f ca="1">IFERROR(__xludf.DUMMYFUNCTION("""COMPUTED_VALUE"""),"No")</f>
        <v>No</v>
      </c>
      <c r="H119" s="1" t="str">
        <f ca="1">IFERROR(__xludf.DUMMYFUNCTION("""COMPUTED_VALUE"""),"None")</f>
        <v>None</v>
      </c>
    </row>
    <row r="120" spans="1:8" ht="12.5">
      <c r="A120" s="1" t="str">
        <f ca="1">IFERROR(__xludf.DUMMYFUNCTION("""COMPUTED_VALUE"""),"20231202VADRA")</f>
        <v>20231202VADRA</v>
      </c>
      <c r="B120" s="1">
        <f ca="1">IFERROR(__xludf.DUMMYFUNCTION("""COMPUTED_VALUE"""),18)</f>
        <v>18</v>
      </c>
      <c r="C120" s="1" t="str">
        <f ca="1">IFERROR(__xludf.DUMMYFUNCTION("""COMPUTED_VALUE"""),"Male")</f>
        <v>Male</v>
      </c>
      <c r="D120" s="1" t="str">
        <f ca="1">IFERROR(__xludf.DUMMYFUNCTION("""COMPUTED_VALUE"""),"Black")</f>
        <v>Black</v>
      </c>
      <c r="E120" s="1" t="str">
        <f ca="1">IFERROR(__xludf.DUMMYFUNCTION("""COMPUTED_VALUE"""),"No Relation")</f>
        <v>No Relation</v>
      </c>
      <c r="F120" s="1" t="str">
        <f ca="1">IFERROR(__xludf.DUMMYFUNCTION("""COMPUTED_VALUE"""),"Fled/Apprehended")</f>
        <v>Fled/Apprehended</v>
      </c>
      <c r="G120" s="1" t="str">
        <f ca="1">IFERROR(__xludf.DUMMYFUNCTION("""COMPUTED_VALUE"""),"No")</f>
        <v>No</v>
      </c>
      <c r="H120" s="1" t="str">
        <f ca="1">IFERROR(__xludf.DUMMYFUNCTION("""COMPUTED_VALUE"""),"None")</f>
        <v>None</v>
      </c>
    </row>
    <row r="121" spans="1:8" ht="12.5">
      <c r="A121" s="1" t="str">
        <f ca="1">IFERROR(__xludf.DUMMYFUNCTION("""COMPUTED_VALUE"""),"20231201OHBUA")</f>
        <v>20231201OHBUA</v>
      </c>
      <c r="B121" s="1">
        <f ca="1">IFERROR(__xludf.DUMMYFUNCTION("""COMPUTED_VALUE"""),15)</f>
        <v>15</v>
      </c>
      <c r="C121" s="1" t="str">
        <f ca="1">IFERROR(__xludf.DUMMYFUNCTION("""COMPUTED_VALUE"""),"Male")</f>
        <v>Male</v>
      </c>
      <c r="D121" s="1"/>
      <c r="E121" s="1" t="str">
        <f ca="1">IFERROR(__xludf.DUMMYFUNCTION("""COMPUTED_VALUE"""),"Nonstudent")</f>
        <v>Nonstudent</v>
      </c>
      <c r="F121" s="1" t="str">
        <f ca="1">IFERROR(__xludf.DUMMYFUNCTION("""COMPUTED_VALUE"""),"Apprehended/Killed by SRO")</f>
        <v>Apprehended/Killed by SRO</v>
      </c>
      <c r="G121" s="1" t="str">
        <f ca="1">IFERROR(__xludf.DUMMYFUNCTION("""COMPUTED_VALUE"""),"No")</f>
        <v>No</v>
      </c>
      <c r="H121" s="1" t="str">
        <f ca="1">IFERROR(__xludf.DUMMYFUNCTION("""COMPUTED_VALUE"""),"None")</f>
        <v>None</v>
      </c>
    </row>
    <row r="122" spans="1:8" ht="12.5">
      <c r="A122" s="1" t="str">
        <f ca="1">IFERROR(__xludf.DUMMYFUNCTION("""COMPUTED_VALUE"""),"20231201OHNOC")</f>
        <v>20231201OHNOC</v>
      </c>
      <c r="B122" s="1" t="str">
        <f ca="1">IFERROR(__xludf.DUMMYFUNCTION("""COMPUTED_VALUE"""),"Adult")</f>
        <v>Adult</v>
      </c>
      <c r="C122" s="1" t="str">
        <f ca="1">IFERROR(__xludf.DUMMYFUNCTION("""COMPUTED_VALUE"""),"Male")</f>
        <v>Male</v>
      </c>
      <c r="D122" s="1"/>
      <c r="E122" s="1" t="str">
        <f ca="1">IFERROR(__xludf.DUMMYFUNCTION("""COMPUTED_VALUE"""),"No Relation")</f>
        <v>No Relation</v>
      </c>
      <c r="F122" s="1" t="str">
        <f ca="1">IFERROR(__xludf.DUMMYFUNCTION("""COMPUTED_VALUE"""),"Fled/Escaped")</f>
        <v>Fled/Escaped</v>
      </c>
      <c r="G122" s="1" t="str">
        <f ca="1">IFERROR(__xludf.DUMMYFUNCTION("""COMPUTED_VALUE"""),"No")</f>
        <v>No</v>
      </c>
      <c r="H122" s="1" t="str">
        <f ca="1">IFERROR(__xludf.DUMMYFUNCTION("""COMPUTED_VALUE"""),"None")</f>
        <v>None</v>
      </c>
    </row>
    <row r="123" spans="1:8" ht="12.5">
      <c r="A123" s="1" t="str">
        <f ca="1">IFERROR(__xludf.DUMMYFUNCTION("""COMPUTED_VALUE"""),"20231201DCKIW")</f>
        <v>20231201DCKIW</v>
      </c>
      <c r="B123" s="1"/>
      <c r="C123" s="1" t="str">
        <f ca="1">IFERROR(__xludf.DUMMYFUNCTION("""COMPUTED_VALUE"""),"Male")</f>
        <v>Male</v>
      </c>
      <c r="D123" s="1"/>
      <c r="E123" s="1"/>
      <c r="F123" s="1" t="str">
        <f ca="1">IFERROR(__xludf.DUMMYFUNCTION("""COMPUTED_VALUE"""),"Fled/Escaped")</f>
        <v>Fled/Escaped</v>
      </c>
      <c r="G123" s="1" t="str">
        <f ca="1">IFERROR(__xludf.DUMMYFUNCTION("""COMPUTED_VALUE"""),"No")</f>
        <v>No</v>
      </c>
      <c r="H123" s="1" t="str">
        <f ca="1">IFERROR(__xludf.DUMMYFUNCTION("""COMPUTED_VALUE"""),"None")</f>
        <v>None</v>
      </c>
    </row>
    <row r="124" spans="1:8" ht="12.5">
      <c r="A124" s="1" t="str">
        <f ca="1">IFERROR(__xludf.DUMMYFUNCTION("""COMPUTED_VALUE"""),"20231130TXBUH")</f>
        <v>20231130TXBUH</v>
      </c>
      <c r="B124" s="1">
        <f ca="1">IFERROR(__xludf.DUMMYFUNCTION("""COMPUTED_VALUE"""),30)</f>
        <v>30</v>
      </c>
      <c r="C124" s="1" t="str">
        <f ca="1">IFERROR(__xludf.DUMMYFUNCTION("""COMPUTED_VALUE"""),"Male")</f>
        <v>Male</v>
      </c>
      <c r="D124" s="1"/>
      <c r="E124" s="1" t="str">
        <f ca="1">IFERROR(__xludf.DUMMYFUNCTION("""COMPUTED_VALUE"""),"No Relation")</f>
        <v>No Relation</v>
      </c>
      <c r="F124" s="1" t="str">
        <f ca="1">IFERROR(__xludf.DUMMYFUNCTION("""COMPUTED_VALUE"""),"Fled/Apprehended")</f>
        <v>Fled/Apprehended</v>
      </c>
      <c r="G124" s="1" t="str">
        <f ca="1">IFERROR(__xludf.DUMMYFUNCTION("""COMPUTED_VALUE"""),"Yes")</f>
        <v>Yes</v>
      </c>
      <c r="H124" s="1" t="str">
        <f ca="1">IFERROR(__xludf.DUMMYFUNCTION("""COMPUTED_VALUE"""),"Fatal")</f>
        <v>Fatal</v>
      </c>
    </row>
    <row r="125" spans="1:8" ht="12.5">
      <c r="A125" s="1" t="str">
        <f ca="1">IFERROR(__xludf.DUMMYFUNCTION("""COMPUTED_VALUE"""),"20231129OHMAT")</f>
        <v>20231129OHMAT</v>
      </c>
      <c r="B125" s="1">
        <f ca="1">IFERROR(__xludf.DUMMYFUNCTION("""COMPUTED_VALUE"""),18)</f>
        <v>18</v>
      </c>
      <c r="C125" s="1" t="str">
        <f ca="1">IFERROR(__xludf.DUMMYFUNCTION("""COMPUTED_VALUE"""),"Male")</f>
        <v>Male</v>
      </c>
      <c r="D125" s="1" t="str">
        <f ca="1">IFERROR(__xludf.DUMMYFUNCTION("""COMPUTED_VALUE"""),"Black")</f>
        <v>Black</v>
      </c>
      <c r="E125" s="1" t="str">
        <f ca="1">IFERROR(__xludf.DUMMYFUNCTION("""COMPUTED_VALUE"""),"No Relation")</f>
        <v>No Relation</v>
      </c>
      <c r="F125" s="1" t="str">
        <f ca="1">IFERROR(__xludf.DUMMYFUNCTION("""COMPUTED_VALUE"""),"Fled/Apprehended")</f>
        <v>Fled/Apprehended</v>
      </c>
      <c r="G125" s="1" t="str">
        <f ca="1">IFERROR(__xludf.DUMMYFUNCTION("""COMPUTED_VALUE"""),"No")</f>
        <v>No</v>
      </c>
      <c r="H125" s="1" t="str">
        <f ca="1">IFERROR(__xludf.DUMMYFUNCTION("""COMPUTED_VALUE"""),"None")</f>
        <v>None</v>
      </c>
    </row>
    <row r="126" spans="1:8" ht="12.5">
      <c r="A126" s="1" t="str">
        <f ca="1">IFERROR(__xludf.DUMMYFUNCTION("""COMPUTED_VALUE"""),"20231128TXNOH")</f>
        <v>20231128TXNOH</v>
      </c>
      <c r="B126" s="1" t="str">
        <f ca="1">IFERROR(__xludf.DUMMYFUNCTION("""COMPUTED_VALUE"""),"Teen")</f>
        <v>Teen</v>
      </c>
      <c r="C126" s="1" t="str">
        <f ca="1">IFERROR(__xludf.DUMMYFUNCTION("""COMPUTED_VALUE"""),"Male")</f>
        <v>Male</v>
      </c>
      <c r="D126" s="1"/>
      <c r="E126" s="1" t="str">
        <f ca="1">IFERROR(__xludf.DUMMYFUNCTION("""COMPUTED_VALUE"""),"Student")</f>
        <v>Student</v>
      </c>
      <c r="F126" s="1" t="str">
        <f ca="1">IFERROR(__xludf.DUMMYFUNCTION("""COMPUTED_VALUE"""),"Fled/Apprehended")</f>
        <v>Fled/Apprehended</v>
      </c>
      <c r="G126" s="1" t="str">
        <f ca="1">IFERROR(__xludf.DUMMYFUNCTION("""COMPUTED_VALUE"""),"No")</f>
        <v>No</v>
      </c>
      <c r="H126" s="1" t="str">
        <f ca="1">IFERROR(__xludf.DUMMYFUNCTION("""COMPUTED_VALUE"""),"None")</f>
        <v>None</v>
      </c>
    </row>
    <row r="127" spans="1:8" ht="12.5">
      <c r="A127" s="1" t="str">
        <f ca="1">IFERROR(__xludf.DUMMYFUNCTION("""COMPUTED_VALUE"""),"20231126OHEDD")</f>
        <v>20231126OHEDD</v>
      </c>
      <c r="B127" s="1" t="str">
        <f ca="1">IFERROR(__xludf.DUMMYFUNCTION("""COMPUTED_VALUE"""),"Teen")</f>
        <v>Teen</v>
      </c>
      <c r="C127" s="1" t="str">
        <f ca="1">IFERROR(__xludf.DUMMYFUNCTION("""COMPUTED_VALUE"""),"Male")</f>
        <v>Male</v>
      </c>
      <c r="D127" s="1"/>
      <c r="E127" s="1"/>
      <c r="F127" s="1" t="str">
        <f ca="1">IFERROR(__xludf.DUMMYFUNCTION("""COMPUTED_VALUE"""),"Fled/Escaped")</f>
        <v>Fled/Escaped</v>
      </c>
      <c r="G127" s="1" t="str">
        <f ca="1">IFERROR(__xludf.DUMMYFUNCTION("""COMPUTED_VALUE"""),"No")</f>
        <v>No</v>
      </c>
      <c r="H127" s="1" t="str">
        <f ca="1">IFERROR(__xludf.DUMMYFUNCTION("""COMPUTED_VALUE"""),"None")</f>
        <v>None</v>
      </c>
    </row>
    <row r="128" spans="1:8" ht="12.5">
      <c r="A128" s="1" t="str">
        <f ca="1">IFERROR(__xludf.DUMMYFUNCTION("""COMPUTED_VALUE"""),"20231123OHSOC")</f>
        <v>20231123OHSOC</v>
      </c>
      <c r="B128" s="1"/>
      <c r="C128" s="1"/>
      <c r="D128" s="1"/>
      <c r="E128" s="1" t="str">
        <f ca="1">IFERROR(__xludf.DUMMYFUNCTION("""COMPUTED_VALUE"""),"Nonstudent Using Athletic Facilities/Attending Game")</f>
        <v>Nonstudent Using Athletic Facilities/Attending Game</v>
      </c>
      <c r="F128" s="1" t="str">
        <f ca="1">IFERROR(__xludf.DUMMYFUNCTION("""COMPUTED_VALUE"""),"Fled/Escaped")</f>
        <v>Fled/Escaped</v>
      </c>
      <c r="G128" s="1" t="str">
        <f ca="1">IFERROR(__xludf.DUMMYFUNCTION("""COMPUTED_VALUE"""),"No")</f>
        <v>No</v>
      </c>
      <c r="H128" s="1" t="str">
        <f ca="1">IFERROR(__xludf.DUMMYFUNCTION("""COMPUTED_VALUE"""),"None")</f>
        <v>None</v>
      </c>
    </row>
    <row r="129" spans="1:8" ht="12.5">
      <c r="A129" s="1" t="str">
        <f ca="1">IFERROR(__xludf.DUMMYFUNCTION("""COMPUTED_VALUE"""),"20231119ILURU")</f>
        <v>20231119ILURU</v>
      </c>
      <c r="B129" s="1" t="str">
        <f ca="1">IFERROR(__xludf.DUMMYFUNCTION("""COMPUTED_VALUE"""),"Adult")</f>
        <v>Adult</v>
      </c>
      <c r="C129" s="1" t="str">
        <f ca="1">IFERROR(__xludf.DUMMYFUNCTION("""COMPUTED_VALUE"""),"Male")</f>
        <v>Male</v>
      </c>
      <c r="D129" s="1"/>
      <c r="E129" s="1" t="str">
        <f ca="1">IFERROR(__xludf.DUMMYFUNCTION("""COMPUTED_VALUE"""),"No Relation")</f>
        <v>No Relation</v>
      </c>
      <c r="F129" s="1" t="str">
        <f ca="1">IFERROR(__xludf.DUMMYFUNCTION("""COMPUTED_VALUE"""),"Fled/Escaped")</f>
        <v>Fled/Escaped</v>
      </c>
      <c r="G129" s="1" t="str">
        <f ca="1">IFERROR(__xludf.DUMMYFUNCTION("""COMPUTED_VALUE"""),"No")</f>
        <v>No</v>
      </c>
      <c r="H129" s="1" t="str">
        <f ca="1">IFERROR(__xludf.DUMMYFUNCTION("""COMPUTED_VALUE"""),"None")</f>
        <v>None</v>
      </c>
    </row>
    <row r="130" spans="1:8" ht="12.5">
      <c r="A130" s="1" t="str">
        <f ca="1">IFERROR(__xludf.DUMMYFUNCTION("""COMPUTED_VALUE"""),"20231117LAACL")</f>
        <v>20231117LAACL</v>
      </c>
      <c r="B130" s="1" t="str">
        <f ca="1">IFERROR(__xludf.DUMMYFUNCTION("""COMPUTED_VALUE"""),"Teen")</f>
        <v>Teen</v>
      </c>
      <c r="C130" s="1" t="str">
        <f ca="1">IFERROR(__xludf.DUMMYFUNCTION("""COMPUTED_VALUE"""),"Male")</f>
        <v>Male</v>
      </c>
      <c r="D130" s="1"/>
      <c r="E130" s="1" t="str">
        <f ca="1">IFERROR(__xludf.DUMMYFUNCTION("""COMPUTED_VALUE"""),"Nonstudent Using Athletic Facilities/Attending Game")</f>
        <v>Nonstudent Using Athletic Facilities/Attending Game</v>
      </c>
      <c r="F130" s="1" t="str">
        <f ca="1">IFERROR(__xludf.DUMMYFUNCTION("""COMPUTED_VALUE"""),"Fled/Apprehended")</f>
        <v>Fled/Apprehended</v>
      </c>
      <c r="G130" s="1" t="str">
        <f ca="1">IFERROR(__xludf.DUMMYFUNCTION("""COMPUTED_VALUE"""),"No")</f>
        <v>No</v>
      </c>
      <c r="H130" s="1" t="str">
        <f ca="1">IFERROR(__xludf.DUMMYFUNCTION("""COMPUTED_VALUE"""),"None")</f>
        <v>None</v>
      </c>
    </row>
    <row r="131" spans="1:8" ht="12.5">
      <c r="A131" s="1" t="str">
        <f ca="1">IFERROR(__xludf.DUMMYFUNCTION("""COMPUTED_VALUE"""),"20231116CALAW")</f>
        <v>20231116CALAW</v>
      </c>
      <c r="B131" s="1" t="str">
        <f ca="1">IFERROR(__xludf.DUMMYFUNCTION("""COMPUTED_VALUE"""),"Adult")</f>
        <v>Adult</v>
      </c>
      <c r="C131" s="1" t="str">
        <f ca="1">IFERROR(__xludf.DUMMYFUNCTION("""COMPUTED_VALUE"""),"Male")</f>
        <v>Male</v>
      </c>
      <c r="D131" s="1"/>
      <c r="E131" s="1"/>
      <c r="F131" s="1" t="str">
        <f ca="1">IFERROR(__xludf.DUMMYFUNCTION("""COMPUTED_VALUE"""),"Fled/Apprehended")</f>
        <v>Fled/Apprehended</v>
      </c>
      <c r="G131" s="1" t="str">
        <f ca="1">IFERROR(__xludf.DUMMYFUNCTION("""COMPUTED_VALUE"""),"No")</f>
        <v>No</v>
      </c>
      <c r="H131" s="1" t="str">
        <f ca="1">IFERROR(__xludf.DUMMYFUNCTION("""COMPUTED_VALUE"""),"None")</f>
        <v>None</v>
      </c>
    </row>
    <row r="132" spans="1:8" ht="12.5">
      <c r="A132" s="1" t="str">
        <f ca="1">IFERROR(__xludf.DUMMYFUNCTION("""COMPUTED_VALUE"""),"20231116OHSTC")</f>
        <v>20231116OHSTC</v>
      </c>
      <c r="B132" s="1" t="str">
        <f ca="1">IFERROR(__xludf.DUMMYFUNCTION("""COMPUTED_VALUE"""),"Adult")</f>
        <v>Adult</v>
      </c>
      <c r="C132" s="1" t="str">
        <f ca="1">IFERROR(__xludf.DUMMYFUNCTION("""COMPUTED_VALUE"""),"Male")</f>
        <v>Male</v>
      </c>
      <c r="D132" s="1"/>
      <c r="E132" s="1" t="str">
        <f ca="1">IFERROR(__xludf.DUMMYFUNCTION("""COMPUTED_VALUE"""),"No Relation")</f>
        <v>No Relation</v>
      </c>
      <c r="F132" s="1" t="str">
        <f ca="1">IFERROR(__xludf.DUMMYFUNCTION("""COMPUTED_VALUE"""),"Fled/Apprehended")</f>
        <v>Fled/Apprehended</v>
      </c>
      <c r="G132" s="1" t="str">
        <f ca="1">IFERROR(__xludf.DUMMYFUNCTION("""COMPUTED_VALUE"""),"No")</f>
        <v>No</v>
      </c>
      <c r="H132" s="1" t="str">
        <f ca="1">IFERROR(__xludf.DUMMYFUNCTION("""COMPUTED_VALUE"""),"None")</f>
        <v>None</v>
      </c>
    </row>
    <row r="133" spans="1:8" ht="12.5">
      <c r="A133" s="1" t="str">
        <f ca="1">IFERROR(__xludf.DUMMYFUNCTION("""COMPUTED_VALUE"""),"20231114MILID")</f>
        <v>20231114MILID</v>
      </c>
      <c r="B133" s="1" t="str">
        <f ca="1">IFERROR(__xludf.DUMMYFUNCTION("""COMPUTED_VALUE"""),"Teen")</f>
        <v>Teen</v>
      </c>
      <c r="C133" s="1" t="str">
        <f ca="1">IFERROR(__xludf.DUMMYFUNCTION("""COMPUTED_VALUE"""),"Male")</f>
        <v>Male</v>
      </c>
      <c r="D133" s="1"/>
      <c r="E133" s="1" t="str">
        <f ca="1">IFERROR(__xludf.DUMMYFUNCTION("""COMPUTED_VALUE"""),"Student")</f>
        <v>Student</v>
      </c>
      <c r="F133" s="1" t="str">
        <f ca="1">IFERROR(__xludf.DUMMYFUNCTION("""COMPUTED_VALUE"""),"Apprehended/Killed by SRO")</f>
        <v>Apprehended/Killed by SRO</v>
      </c>
      <c r="G133" s="1" t="str">
        <f ca="1">IFERROR(__xludf.DUMMYFUNCTION("""COMPUTED_VALUE"""),"No")</f>
        <v>No</v>
      </c>
      <c r="H133" s="1" t="str">
        <f ca="1">IFERROR(__xludf.DUMMYFUNCTION("""COMPUTED_VALUE"""),"None")</f>
        <v>None</v>
      </c>
    </row>
    <row r="134" spans="1:8" ht="12.5">
      <c r="A134" s="1" t="str">
        <f ca="1">IFERROR(__xludf.DUMMYFUNCTION("""COMPUTED_VALUE"""),"2023114ILMAP")</f>
        <v>2023114ILMAP</v>
      </c>
      <c r="B134" s="1"/>
      <c r="C134" s="1"/>
      <c r="D134" s="1"/>
      <c r="E134" s="1"/>
      <c r="F134" s="1" t="str">
        <f ca="1">IFERROR(__xludf.DUMMYFUNCTION("""COMPUTED_VALUE"""),"Fled/Escaped")</f>
        <v>Fled/Escaped</v>
      </c>
      <c r="G134" s="1" t="str">
        <f ca="1">IFERROR(__xludf.DUMMYFUNCTION("""COMPUTED_VALUE"""),"No")</f>
        <v>No</v>
      </c>
      <c r="H134" s="1" t="str">
        <f ca="1">IFERROR(__xludf.DUMMYFUNCTION("""COMPUTED_VALUE"""),"None")</f>
        <v>None</v>
      </c>
    </row>
    <row r="135" spans="1:8" ht="12.5">
      <c r="A135" s="1" t="str">
        <f ca="1">IFERROR(__xludf.DUMMYFUNCTION("""COMPUTED_VALUE"""),"2023113KYJEL")</f>
        <v>2023113KYJEL</v>
      </c>
      <c r="B135" s="1" t="str">
        <f ca="1">IFERROR(__xludf.DUMMYFUNCTION("""COMPUTED_VALUE"""),"Teen")</f>
        <v>Teen</v>
      </c>
      <c r="C135" s="1" t="str">
        <f ca="1">IFERROR(__xludf.DUMMYFUNCTION("""COMPUTED_VALUE"""),"Male")</f>
        <v>Male</v>
      </c>
      <c r="D135" s="1"/>
      <c r="E135" s="1" t="str">
        <f ca="1">IFERROR(__xludf.DUMMYFUNCTION("""COMPUTED_VALUE"""),"Student")</f>
        <v>Student</v>
      </c>
      <c r="F135" s="1" t="str">
        <f ca="1">IFERROR(__xludf.DUMMYFUNCTION("""COMPUTED_VALUE"""),"Fled/Escaped")</f>
        <v>Fled/Escaped</v>
      </c>
      <c r="G135" s="1" t="str">
        <f ca="1">IFERROR(__xludf.DUMMYFUNCTION("""COMPUTED_VALUE"""),"No")</f>
        <v>No</v>
      </c>
      <c r="H135" s="1" t="str">
        <f ca="1">IFERROR(__xludf.DUMMYFUNCTION("""COMPUTED_VALUE"""),"None")</f>
        <v>None</v>
      </c>
    </row>
    <row r="136" spans="1:8" ht="12.5">
      <c r="A136" s="1" t="str">
        <f ca="1">IFERROR(__xludf.DUMMYFUNCTION("""COMPUTED_VALUE"""),"20231113NJCEN")</f>
        <v>20231113NJCEN</v>
      </c>
      <c r="B136" s="1"/>
      <c r="C136" s="1"/>
      <c r="D136" s="1"/>
      <c r="E136" s="1"/>
      <c r="F136" s="1" t="str">
        <f ca="1">IFERROR(__xludf.DUMMYFUNCTION("""COMPUTED_VALUE"""),"Fled/Escaped")</f>
        <v>Fled/Escaped</v>
      </c>
      <c r="G136" s="1" t="str">
        <f ca="1">IFERROR(__xludf.DUMMYFUNCTION("""COMPUTED_VALUE"""),"No")</f>
        <v>No</v>
      </c>
      <c r="H136" s="1" t="str">
        <f ca="1">IFERROR(__xludf.DUMMYFUNCTION("""COMPUTED_VALUE"""),"None")</f>
        <v>None</v>
      </c>
    </row>
    <row r="137" spans="1:8" ht="12.5">
      <c r="A137" s="1" t="str">
        <f ca="1">IFERROR(__xludf.DUMMYFUNCTION("""COMPUTED_VALUE"""),"20231110CAVAV")</f>
        <v>20231110CAVAV</v>
      </c>
      <c r="B137" s="1"/>
      <c r="C137" s="1"/>
      <c r="D137" s="1"/>
      <c r="E137" s="1"/>
      <c r="F137" s="1" t="str">
        <f ca="1">IFERROR(__xludf.DUMMYFUNCTION("""COMPUTED_VALUE"""),"Fled/Escaped")</f>
        <v>Fled/Escaped</v>
      </c>
      <c r="G137" s="1" t="str">
        <f ca="1">IFERROR(__xludf.DUMMYFUNCTION("""COMPUTED_VALUE"""),"No")</f>
        <v>No</v>
      </c>
      <c r="H137" s="1" t="str">
        <f ca="1">IFERROR(__xludf.DUMMYFUNCTION("""COMPUTED_VALUE"""),"None")</f>
        <v>None</v>
      </c>
    </row>
    <row r="138" spans="1:8" ht="12.5">
      <c r="A138" s="1" t="str">
        <f ca="1">IFERROR(__xludf.DUMMYFUNCTION("""COMPUTED_VALUE"""),"20231109NVLAL")</f>
        <v>20231109NVLAL</v>
      </c>
      <c r="B138" s="1">
        <f ca="1">IFERROR(__xludf.DUMMYFUNCTION("""COMPUTED_VALUE"""),44)</f>
        <v>44</v>
      </c>
      <c r="C138" s="1" t="str">
        <f ca="1">IFERROR(__xludf.DUMMYFUNCTION("""COMPUTED_VALUE"""),"Male")</f>
        <v>Male</v>
      </c>
      <c r="D138" s="1" t="str">
        <f ca="1">IFERROR(__xludf.DUMMYFUNCTION("""COMPUTED_VALUE"""),"Black")</f>
        <v>Black</v>
      </c>
      <c r="E138" s="1" t="str">
        <f ca="1">IFERROR(__xludf.DUMMYFUNCTION("""COMPUTED_VALUE"""),"No Relation")</f>
        <v>No Relation</v>
      </c>
      <c r="F138" s="1" t="str">
        <f ca="1">IFERROR(__xludf.DUMMYFUNCTION("""COMPUTED_VALUE"""),"Fled/Apprehended")</f>
        <v>Fled/Apprehended</v>
      </c>
      <c r="G138" s="1" t="str">
        <f ca="1">IFERROR(__xludf.DUMMYFUNCTION("""COMPUTED_VALUE"""),"No")</f>
        <v>No</v>
      </c>
      <c r="H138" s="1" t="str">
        <f ca="1">IFERROR(__xludf.DUMMYFUNCTION("""COMPUTED_VALUE"""),"None")</f>
        <v>None</v>
      </c>
    </row>
    <row r="139" spans="1:8" ht="12.5">
      <c r="A139" s="1" t="str">
        <f ca="1">IFERROR(__xludf.DUMMYFUNCTION("""COMPUTED_VALUE"""),"20231109ALESA")</f>
        <v>20231109ALESA</v>
      </c>
      <c r="B139" s="1" t="str">
        <f ca="1">IFERROR(__xludf.DUMMYFUNCTION("""COMPUTED_VALUE"""),"Teen")</f>
        <v>Teen</v>
      </c>
      <c r="C139" s="1" t="str">
        <f ca="1">IFERROR(__xludf.DUMMYFUNCTION("""COMPUTED_VALUE"""),"Male")</f>
        <v>Male</v>
      </c>
      <c r="D139" s="1"/>
      <c r="E139" s="1" t="str">
        <f ca="1">IFERROR(__xludf.DUMMYFUNCTION("""COMPUTED_VALUE"""),"Nonstudent Using Athletic Facilities/Attending Game")</f>
        <v>Nonstudent Using Athletic Facilities/Attending Game</v>
      </c>
      <c r="F139" s="1" t="str">
        <f ca="1">IFERROR(__xludf.DUMMYFUNCTION("""COMPUTED_VALUE"""),"Fled/Escaped")</f>
        <v>Fled/Escaped</v>
      </c>
      <c r="G139" s="1" t="str">
        <f ca="1">IFERROR(__xludf.DUMMYFUNCTION("""COMPUTED_VALUE"""),"No")</f>
        <v>No</v>
      </c>
      <c r="H139" s="1" t="str">
        <f ca="1">IFERROR(__xludf.DUMMYFUNCTION("""COMPUTED_VALUE"""),"None")</f>
        <v>None</v>
      </c>
    </row>
    <row r="140" spans="1:8" ht="12.5">
      <c r="A140" s="1" t="str">
        <f ca="1">IFERROR(__xludf.DUMMYFUNCTION("""COMPUTED_VALUE"""),"20231108CTLIN")</f>
        <v>20231108CTLIN</v>
      </c>
      <c r="B140" s="1" t="str">
        <f ca="1">IFERROR(__xludf.DUMMYFUNCTION("""COMPUTED_VALUE"""),"Adult")</f>
        <v>Adult</v>
      </c>
      <c r="C140" s="1" t="str">
        <f ca="1">IFERROR(__xludf.DUMMYFUNCTION("""COMPUTED_VALUE"""),"Male")</f>
        <v>Male</v>
      </c>
      <c r="D140" s="1"/>
      <c r="E140" s="1" t="str">
        <f ca="1">IFERROR(__xludf.DUMMYFUNCTION("""COMPUTED_VALUE"""),"No Relation")</f>
        <v>No Relation</v>
      </c>
      <c r="F140" s="1" t="str">
        <f ca="1">IFERROR(__xludf.DUMMYFUNCTION("""COMPUTED_VALUE"""),"Subdued by Students/Staff/Other")</f>
        <v>Subdued by Students/Staff/Other</v>
      </c>
      <c r="G140" s="1" t="str">
        <f ca="1">IFERROR(__xludf.DUMMYFUNCTION("""COMPUTED_VALUE"""),"No")</f>
        <v>No</v>
      </c>
      <c r="H140" s="1" t="str">
        <f ca="1">IFERROR(__xludf.DUMMYFUNCTION("""COMPUTED_VALUE"""),"None")</f>
        <v>None</v>
      </c>
    </row>
    <row r="141" spans="1:8" ht="12.5">
      <c r="A141" s="1" t="str">
        <f ca="1">IFERROR(__xludf.DUMMYFUNCTION("""COMPUTED_VALUE"""),"20231107CABUB")</f>
        <v>20231107CABUB</v>
      </c>
      <c r="B141" s="1">
        <f ca="1">IFERROR(__xludf.DUMMYFUNCTION("""COMPUTED_VALUE"""),15)</f>
        <v>15</v>
      </c>
      <c r="C141" s="1" t="str">
        <f ca="1">IFERROR(__xludf.DUMMYFUNCTION("""COMPUTED_VALUE"""),"Male")</f>
        <v>Male</v>
      </c>
      <c r="D141" s="1"/>
      <c r="E141" s="1" t="str">
        <f ca="1">IFERROR(__xludf.DUMMYFUNCTION("""COMPUTED_VALUE"""),"Student")</f>
        <v>Student</v>
      </c>
      <c r="F141" s="1" t="str">
        <f ca="1">IFERROR(__xludf.DUMMYFUNCTION("""COMPUTED_VALUE"""),"Fled/Apprehended")</f>
        <v>Fled/Apprehended</v>
      </c>
      <c r="G141" s="1" t="str">
        <f ca="1">IFERROR(__xludf.DUMMYFUNCTION("""COMPUTED_VALUE"""),"No")</f>
        <v>No</v>
      </c>
      <c r="H141" s="1" t="str">
        <f ca="1">IFERROR(__xludf.DUMMYFUNCTION("""COMPUTED_VALUE"""),"None")</f>
        <v>None</v>
      </c>
    </row>
    <row r="142" spans="1:8" ht="12.5">
      <c r="A142" s="1" t="str">
        <f ca="1">IFERROR(__xludf.DUMMYFUNCTION("""COMPUTED_VALUE"""),"20231103INKII")</f>
        <v>20231103INKII</v>
      </c>
      <c r="B142" s="1">
        <f ca="1">IFERROR(__xludf.DUMMYFUNCTION("""COMPUTED_VALUE"""),15)</f>
        <v>15</v>
      </c>
      <c r="C142" s="1" t="str">
        <f ca="1">IFERROR(__xludf.DUMMYFUNCTION("""COMPUTED_VALUE"""),"Male")</f>
        <v>Male</v>
      </c>
      <c r="D142" s="1"/>
      <c r="E142" s="1" t="str">
        <f ca="1">IFERROR(__xludf.DUMMYFUNCTION("""COMPUTED_VALUE"""),"Nonstudent")</f>
        <v>Nonstudent</v>
      </c>
      <c r="F142" s="1" t="str">
        <f ca="1">IFERROR(__xludf.DUMMYFUNCTION("""COMPUTED_VALUE"""),"Fled/Apprehended")</f>
        <v>Fled/Apprehended</v>
      </c>
      <c r="G142" s="1" t="str">
        <f ca="1">IFERROR(__xludf.DUMMYFUNCTION("""COMPUTED_VALUE"""),"No")</f>
        <v>No</v>
      </c>
      <c r="H142" s="1" t="str">
        <f ca="1">IFERROR(__xludf.DUMMYFUNCTION("""COMPUTED_VALUE"""),"None")</f>
        <v>None</v>
      </c>
    </row>
    <row r="143" spans="1:8" ht="12.5">
      <c r="A143" s="1" t="str">
        <f ca="1">IFERROR(__xludf.DUMMYFUNCTION("""COMPUTED_VALUE"""),"20231102NCFRM")</f>
        <v>20231102NCFRM</v>
      </c>
      <c r="B143" s="1">
        <f ca="1">IFERROR(__xludf.DUMMYFUNCTION("""COMPUTED_VALUE"""),20)</f>
        <v>20</v>
      </c>
      <c r="C143" s="1" t="str">
        <f ca="1">IFERROR(__xludf.DUMMYFUNCTION("""COMPUTED_VALUE"""),"Male")</f>
        <v>Male</v>
      </c>
      <c r="D143" s="1" t="str">
        <f ca="1">IFERROR(__xludf.DUMMYFUNCTION("""COMPUTED_VALUE"""),"Black")</f>
        <v>Black</v>
      </c>
      <c r="E143" s="1" t="str">
        <f ca="1">IFERROR(__xludf.DUMMYFUNCTION("""COMPUTED_VALUE"""),"No Relation")</f>
        <v>No Relation</v>
      </c>
      <c r="F143" s="1" t="str">
        <f ca="1">IFERROR(__xludf.DUMMYFUNCTION("""COMPUTED_VALUE"""),"Fled/Apprehended")</f>
        <v>Fled/Apprehended</v>
      </c>
      <c r="G143" s="1" t="str">
        <f ca="1">IFERROR(__xludf.DUMMYFUNCTION("""COMPUTED_VALUE"""),"No")</f>
        <v>No</v>
      </c>
      <c r="H143" s="1" t="str">
        <f ca="1">IFERROR(__xludf.DUMMYFUNCTION("""COMPUTED_VALUE"""),"None")</f>
        <v>None</v>
      </c>
    </row>
    <row r="144" spans="1:8" ht="12.5">
      <c r="A144" s="1" t="str">
        <f ca="1">IFERROR(__xludf.DUMMYFUNCTION("""COMPUTED_VALUE"""),"20231102NCFRM")</f>
        <v>20231102NCFRM</v>
      </c>
      <c r="B144" s="1">
        <f ca="1">IFERROR(__xludf.DUMMYFUNCTION("""COMPUTED_VALUE"""),20)</f>
        <v>20</v>
      </c>
      <c r="C144" s="1" t="str">
        <f ca="1">IFERROR(__xludf.DUMMYFUNCTION("""COMPUTED_VALUE"""),"Male")</f>
        <v>Male</v>
      </c>
      <c r="D144" s="1" t="str">
        <f ca="1">IFERROR(__xludf.DUMMYFUNCTION("""COMPUTED_VALUE"""),"Black")</f>
        <v>Black</v>
      </c>
      <c r="E144" s="1" t="str">
        <f ca="1">IFERROR(__xludf.DUMMYFUNCTION("""COMPUTED_VALUE"""),"No Relation")</f>
        <v>No Relation</v>
      </c>
      <c r="F144" s="1" t="str">
        <f ca="1">IFERROR(__xludf.DUMMYFUNCTION("""COMPUTED_VALUE"""),"Fled/Apprehended")</f>
        <v>Fled/Apprehended</v>
      </c>
      <c r="G144" s="1" t="str">
        <f ca="1">IFERROR(__xludf.DUMMYFUNCTION("""COMPUTED_VALUE"""),"No")</f>
        <v>No</v>
      </c>
      <c r="H144" s="1" t="str">
        <f ca="1">IFERROR(__xludf.DUMMYFUNCTION("""COMPUTED_VALUE"""),"None")</f>
        <v>None</v>
      </c>
    </row>
    <row r="145" spans="1:8" ht="12.5">
      <c r="A145" s="1" t="str">
        <f ca="1">IFERROR(__xludf.DUMMYFUNCTION("""COMPUTED_VALUE"""),"20231102OHWAL")</f>
        <v>20231102OHWAL</v>
      </c>
      <c r="B145" s="1">
        <f ca="1">IFERROR(__xludf.DUMMYFUNCTION("""COMPUTED_VALUE"""),20)</f>
        <v>20</v>
      </c>
      <c r="C145" s="1" t="str">
        <f ca="1">IFERROR(__xludf.DUMMYFUNCTION("""COMPUTED_VALUE"""),"Male")</f>
        <v>Male</v>
      </c>
      <c r="D145" s="1"/>
      <c r="E145" s="1" t="str">
        <f ca="1">IFERROR(__xludf.DUMMYFUNCTION("""COMPUTED_VALUE"""),"No Relation")</f>
        <v>No Relation</v>
      </c>
      <c r="F145" s="1" t="str">
        <f ca="1">IFERROR(__xludf.DUMMYFUNCTION("""COMPUTED_VALUE"""),"Fled/Apprehended")</f>
        <v>Fled/Apprehended</v>
      </c>
      <c r="G145" s="1" t="str">
        <f ca="1">IFERROR(__xludf.DUMMYFUNCTION("""COMPUTED_VALUE"""),"No")</f>
        <v>No</v>
      </c>
      <c r="H145" s="1" t="str">
        <f ca="1">IFERROR(__xludf.DUMMYFUNCTION("""COMPUTED_VALUE"""),"None")</f>
        <v>None</v>
      </c>
    </row>
    <row r="146" spans="1:8" ht="12.5">
      <c r="A146" s="1" t="str">
        <f ca="1">IFERROR(__xludf.DUMMYFUNCTION("""COMPUTED_VALUE"""),"20231102ALSMS")</f>
        <v>20231102ALSMS</v>
      </c>
      <c r="B146" s="1">
        <f ca="1">IFERROR(__xludf.DUMMYFUNCTION("""COMPUTED_VALUE"""),16)</f>
        <v>16</v>
      </c>
      <c r="C146" s="1" t="str">
        <f ca="1">IFERROR(__xludf.DUMMYFUNCTION("""COMPUTED_VALUE"""),"Male")</f>
        <v>Male</v>
      </c>
      <c r="D146" s="1"/>
      <c r="E146" s="1" t="str">
        <f ca="1">IFERROR(__xludf.DUMMYFUNCTION("""COMPUTED_VALUE"""),"Student")</f>
        <v>Student</v>
      </c>
      <c r="F146" s="1" t="str">
        <f ca="1">IFERROR(__xludf.DUMMYFUNCTION("""COMPUTED_VALUE"""),"Fled/Apprehended")</f>
        <v>Fled/Apprehended</v>
      </c>
      <c r="G146" s="1" t="str">
        <f ca="1">IFERROR(__xludf.DUMMYFUNCTION("""COMPUTED_VALUE"""),"No")</f>
        <v>No</v>
      </c>
      <c r="H146" s="1" t="str">
        <f ca="1">IFERROR(__xludf.DUMMYFUNCTION("""COMPUTED_VALUE"""),"None")</f>
        <v>None</v>
      </c>
    </row>
    <row r="147" spans="1:8" ht="12.5">
      <c r="A147" s="1" t="str">
        <f ca="1">IFERROR(__xludf.DUMMYFUNCTION("""COMPUTED_VALUE"""),"20231031NVCOL")</f>
        <v>20231031NVCOL</v>
      </c>
      <c r="B147" s="1" t="str">
        <f ca="1">IFERROR(__xludf.DUMMYFUNCTION("""COMPUTED_VALUE"""),"Adult")</f>
        <v>Adult</v>
      </c>
      <c r="C147" s="1" t="str">
        <f ca="1">IFERROR(__xludf.DUMMYFUNCTION("""COMPUTED_VALUE"""),"Male")</f>
        <v>Male</v>
      </c>
      <c r="D147" s="1" t="str">
        <f ca="1">IFERROR(__xludf.DUMMYFUNCTION("""COMPUTED_VALUE"""),"Hispanic")</f>
        <v>Hispanic</v>
      </c>
      <c r="E147" s="1" t="str">
        <f ca="1">IFERROR(__xludf.DUMMYFUNCTION("""COMPUTED_VALUE"""),"Parent")</f>
        <v>Parent</v>
      </c>
      <c r="F147" s="1" t="str">
        <f ca="1">IFERROR(__xludf.DUMMYFUNCTION("""COMPUTED_VALUE"""),"Fled/Apprehended")</f>
        <v>Fled/Apprehended</v>
      </c>
      <c r="G147" s="1" t="str">
        <f ca="1">IFERROR(__xludf.DUMMYFUNCTION("""COMPUTED_VALUE"""),"No")</f>
        <v>No</v>
      </c>
      <c r="H147" s="1" t="str">
        <f ca="1">IFERROR(__xludf.DUMMYFUNCTION("""COMPUTED_VALUE"""),"None")</f>
        <v>None</v>
      </c>
    </row>
    <row r="148" spans="1:8" ht="12.5">
      <c r="A148" s="1" t="str">
        <f ca="1">IFERROR(__xludf.DUMMYFUNCTION("""COMPUTED_VALUE"""),"20231030NCRAR")</f>
        <v>20231030NCRAR</v>
      </c>
      <c r="B148" s="1"/>
      <c r="C148" s="1"/>
      <c r="D148" s="1"/>
      <c r="E148" s="1"/>
      <c r="F148" s="1" t="str">
        <f ca="1">IFERROR(__xludf.DUMMYFUNCTION("""COMPUTED_VALUE"""),"Fled/Escaped")</f>
        <v>Fled/Escaped</v>
      </c>
      <c r="G148" s="1" t="str">
        <f ca="1">IFERROR(__xludf.DUMMYFUNCTION("""COMPUTED_VALUE"""),"No")</f>
        <v>No</v>
      </c>
      <c r="H148" s="1" t="str">
        <f ca="1">IFERROR(__xludf.DUMMYFUNCTION("""COMPUTED_VALUE"""),"None")</f>
        <v>None</v>
      </c>
    </row>
    <row r="149" spans="1:8" ht="12.5">
      <c r="A149" s="1" t="str">
        <f ca="1">IFERROR(__xludf.DUMMYFUNCTION("""COMPUTED_VALUE"""),"20231027TXDUS")</f>
        <v>20231027TXDUS</v>
      </c>
      <c r="B149" s="1" t="str">
        <f ca="1">IFERROR(__xludf.DUMMYFUNCTION("""COMPUTED_VALUE"""),"Adult")</f>
        <v>Adult</v>
      </c>
      <c r="C149" s="1"/>
      <c r="D149" s="1"/>
      <c r="E149" s="1" t="str">
        <f ca="1">IFERROR(__xludf.DUMMYFUNCTION("""COMPUTED_VALUE"""),"Police Officer/SRO")</f>
        <v>Police Officer/SRO</v>
      </c>
      <c r="F149" s="1" t="str">
        <f ca="1">IFERROR(__xludf.DUMMYFUNCTION("""COMPUTED_VALUE"""),"Law Enforcement")</f>
        <v>Law Enforcement</v>
      </c>
      <c r="G149" s="1" t="str">
        <f ca="1">IFERROR(__xludf.DUMMYFUNCTION("""COMPUTED_VALUE"""),"No")</f>
        <v>No</v>
      </c>
      <c r="H149" s="1" t="str">
        <f ca="1">IFERROR(__xludf.DUMMYFUNCTION("""COMPUTED_VALUE"""),"None")</f>
        <v>None</v>
      </c>
    </row>
    <row r="150" spans="1:8" ht="12.5">
      <c r="A150" s="1" t="str">
        <f ca="1">IFERROR(__xludf.DUMMYFUNCTION("""COMPUTED_VALUE"""),"20231027LADOD")</f>
        <v>20231027LADOD</v>
      </c>
      <c r="B150" s="1">
        <f ca="1">IFERROR(__xludf.DUMMYFUNCTION("""COMPUTED_VALUE"""),21)</f>
        <v>21</v>
      </c>
      <c r="C150" s="1" t="str">
        <f ca="1">IFERROR(__xludf.DUMMYFUNCTION("""COMPUTED_VALUE"""),"Male")</f>
        <v>Male</v>
      </c>
      <c r="D150" s="1"/>
      <c r="E150" s="1" t="str">
        <f ca="1">IFERROR(__xludf.DUMMYFUNCTION("""COMPUTED_VALUE"""),"No Relation")</f>
        <v>No Relation</v>
      </c>
      <c r="F150" s="1" t="str">
        <f ca="1">IFERROR(__xludf.DUMMYFUNCTION("""COMPUTED_VALUE"""),"Fled/Apprehended")</f>
        <v>Fled/Apprehended</v>
      </c>
      <c r="G150" s="1" t="str">
        <f ca="1">IFERROR(__xludf.DUMMYFUNCTION("""COMPUTED_VALUE"""),"No")</f>
        <v>No</v>
      </c>
      <c r="H150" s="1" t="str">
        <f ca="1">IFERROR(__xludf.DUMMYFUNCTION("""COMPUTED_VALUE"""),"None")</f>
        <v>None</v>
      </c>
    </row>
    <row r="151" spans="1:8" ht="12.5">
      <c r="A151" s="1" t="str">
        <f ca="1">IFERROR(__xludf.DUMMYFUNCTION("""COMPUTED_VALUE"""),"20231027MDCAB")</f>
        <v>20231027MDCAB</v>
      </c>
      <c r="B151" s="1">
        <f ca="1">IFERROR(__xludf.DUMMYFUNCTION("""COMPUTED_VALUE"""),15)</f>
        <v>15</v>
      </c>
      <c r="C151" s="1" t="str">
        <f ca="1">IFERROR(__xludf.DUMMYFUNCTION("""COMPUTED_VALUE"""),"Male")</f>
        <v>Male</v>
      </c>
      <c r="D151" s="1"/>
      <c r="E151" s="1" t="str">
        <f ca="1">IFERROR(__xludf.DUMMYFUNCTION("""COMPUTED_VALUE"""),"Student")</f>
        <v>Student</v>
      </c>
      <c r="F151" s="1" t="str">
        <f ca="1">IFERROR(__xludf.DUMMYFUNCTION("""COMPUTED_VALUE"""),"Apprehended/Killed by LE")</f>
        <v>Apprehended/Killed by LE</v>
      </c>
      <c r="G151" s="1" t="str">
        <f ca="1">IFERROR(__xludf.DUMMYFUNCTION("""COMPUTED_VALUE"""),"No")</f>
        <v>No</v>
      </c>
      <c r="H151" s="1" t="str">
        <f ca="1">IFERROR(__xludf.DUMMYFUNCTION("""COMPUTED_VALUE"""),"Wounded")</f>
        <v>Wounded</v>
      </c>
    </row>
    <row r="152" spans="1:8" ht="12.5">
      <c r="A152" s="1" t="str">
        <f ca="1">IFERROR(__xludf.DUMMYFUNCTION("""COMPUTED_VALUE"""),"20231027MDCAB")</f>
        <v>20231027MDCAB</v>
      </c>
      <c r="B152" s="1">
        <f ca="1">IFERROR(__xludf.DUMMYFUNCTION("""COMPUTED_VALUE"""),15)</f>
        <v>15</v>
      </c>
      <c r="C152" s="1" t="str">
        <f ca="1">IFERROR(__xludf.DUMMYFUNCTION("""COMPUTED_VALUE"""),"Male")</f>
        <v>Male</v>
      </c>
      <c r="D152" s="1"/>
      <c r="E152" s="1" t="str">
        <f ca="1">IFERROR(__xludf.DUMMYFUNCTION("""COMPUTED_VALUE"""),"Student")</f>
        <v>Student</v>
      </c>
      <c r="F152" s="1" t="str">
        <f ca="1">IFERROR(__xludf.DUMMYFUNCTION("""COMPUTED_VALUE"""),"Apprehended/Killed by LE")</f>
        <v>Apprehended/Killed by LE</v>
      </c>
      <c r="G152" s="1" t="str">
        <f ca="1">IFERROR(__xludf.DUMMYFUNCTION("""COMPUTED_VALUE"""),"No")</f>
        <v>No</v>
      </c>
      <c r="H152" s="1" t="str">
        <f ca="1">IFERROR(__xludf.DUMMYFUNCTION("""COMPUTED_VALUE"""),"Wounded")</f>
        <v>Wounded</v>
      </c>
    </row>
    <row r="153" spans="1:8" ht="12.5">
      <c r="A153" s="1" t="str">
        <f ca="1">IFERROR(__xludf.DUMMYFUNCTION("""COMPUTED_VALUE"""),"20231027MIDED")</f>
        <v>20231027MIDED</v>
      </c>
      <c r="B153" s="1"/>
      <c r="C153" s="1"/>
      <c r="D153" s="1"/>
      <c r="E153" s="1"/>
      <c r="F153" s="1" t="str">
        <f ca="1">IFERROR(__xludf.DUMMYFUNCTION("""COMPUTED_VALUE"""),"Fled/Escaped")</f>
        <v>Fled/Escaped</v>
      </c>
      <c r="G153" s="1" t="str">
        <f ca="1">IFERROR(__xludf.DUMMYFUNCTION("""COMPUTED_VALUE"""),"No")</f>
        <v>No</v>
      </c>
      <c r="H153" s="1" t="str">
        <f ca="1">IFERROR(__xludf.DUMMYFUNCTION("""COMPUTED_VALUE"""),"None")</f>
        <v>None</v>
      </c>
    </row>
    <row r="154" spans="1:8" ht="12.5">
      <c r="A154" s="1" t="str">
        <f ca="1">IFERROR(__xludf.DUMMYFUNCTION("""COMPUTED_VALUE"""),"20231026CALEL")</f>
        <v>20231026CALEL</v>
      </c>
      <c r="B154" s="1" t="str">
        <f ca="1">IFERROR(__xludf.DUMMYFUNCTION("""COMPUTED_VALUE"""),"Adult")</f>
        <v>Adult</v>
      </c>
      <c r="C154" s="1"/>
      <c r="D154" s="1"/>
      <c r="E154" s="1" t="str">
        <f ca="1">IFERROR(__xludf.DUMMYFUNCTION("""COMPUTED_VALUE"""),"Police Officer/SRO")</f>
        <v>Police Officer/SRO</v>
      </c>
      <c r="F154" s="1" t="str">
        <f ca="1">IFERROR(__xludf.DUMMYFUNCTION("""COMPUTED_VALUE"""),"Law Enforcement")</f>
        <v>Law Enforcement</v>
      </c>
      <c r="G154" s="1" t="str">
        <f ca="1">IFERROR(__xludf.DUMMYFUNCTION("""COMPUTED_VALUE"""),"No")</f>
        <v>No</v>
      </c>
      <c r="H154" s="1" t="str">
        <f ca="1">IFERROR(__xludf.DUMMYFUNCTION("""COMPUTED_VALUE"""),"None")</f>
        <v>None</v>
      </c>
    </row>
    <row r="155" spans="1:8" ht="12.5">
      <c r="A155" s="1" t="str">
        <f ca="1">IFERROR(__xludf.DUMMYFUNCTION("""COMPUTED_VALUE"""),"20231026VTMOM")</f>
        <v>20231026VTMOM</v>
      </c>
      <c r="B155" s="1" t="str">
        <f ca="1">IFERROR(__xludf.DUMMYFUNCTION("""COMPUTED_VALUE"""),"Adult")</f>
        <v>Adult</v>
      </c>
      <c r="C155" s="1"/>
      <c r="D155" s="1"/>
      <c r="E155" s="1" t="str">
        <f ca="1">IFERROR(__xludf.DUMMYFUNCTION("""COMPUTED_VALUE"""),"No Relation")</f>
        <v>No Relation</v>
      </c>
      <c r="F155" s="1" t="str">
        <f ca="1">IFERROR(__xludf.DUMMYFUNCTION("""COMPUTED_VALUE"""),"Fled/Apprehended")</f>
        <v>Fled/Apprehended</v>
      </c>
      <c r="G155" s="1" t="str">
        <f ca="1">IFERROR(__xludf.DUMMYFUNCTION("""COMPUTED_VALUE"""),"No")</f>
        <v>No</v>
      </c>
      <c r="H155" s="1" t="str">
        <f ca="1">IFERROR(__xludf.DUMMYFUNCTION("""COMPUTED_VALUE"""),"None")</f>
        <v>None</v>
      </c>
    </row>
    <row r="156" spans="1:8" ht="12.5">
      <c r="A156" s="1" t="str">
        <f ca="1">IFERROR(__xludf.DUMMYFUNCTION("""COMPUTED_VALUE"""),"20231026FLNFJ")</f>
        <v>20231026FLNFJ</v>
      </c>
      <c r="B156" s="1" t="str">
        <f ca="1">IFERROR(__xludf.DUMMYFUNCTION("""COMPUTED_VALUE"""),"Adult")</f>
        <v>Adult</v>
      </c>
      <c r="C156" s="1" t="str">
        <f ca="1">IFERROR(__xludf.DUMMYFUNCTION("""COMPUTED_VALUE"""),"Male")</f>
        <v>Male</v>
      </c>
      <c r="D156" s="1"/>
      <c r="E156" s="1" t="str">
        <f ca="1">IFERROR(__xludf.DUMMYFUNCTION("""COMPUTED_VALUE"""),"No Relation")</f>
        <v>No Relation</v>
      </c>
      <c r="F156" s="1" t="str">
        <f ca="1">IFERROR(__xludf.DUMMYFUNCTION("""COMPUTED_VALUE"""),"Apprehended/Killed by LE")</f>
        <v>Apprehended/Killed by LE</v>
      </c>
      <c r="G156" s="1" t="str">
        <f ca="1">IFERROR(__xludf.DUMMYFUNCTION("""COMPUTED_VALUE"""),"No")</f>
        <v>No</v>
      </c>
      <c r="H156" s="1" t="str">
        <f ca="1">IFERROR(__xludf.DUMMYFUNCTION("""COMPUTED_VALUE"""),"None")</f>
        <v>None</v>
      </c>
    </row>
    <row r="157" spans="1:8" ht="12.5">
      <c r="A157" s="1" t="str">
        <f ca="1">IFERROR(__xludf.DUMMYFUNCTION("""COMPUTED_VALUE"""),"20231024MDEDW")</f>
        <v>20231024MDEDW</v>
      </c>
      <c r="B157" s="1">
        <f ca="1">IFERROR(__xludf.DUMMYFUNCTION("""COMPUTED_VALUE"""),29)</f>
        <v>29</v>
      </c>
      <c r="C157" s="1" t="str">
        <f ca="1">IFERROR(__xludf.DUMMYFUNCTION("""COMPUTED_VALUE"""),"Male")</f>
        <v>Male</v>
      </c>
      <c r="D157" s="1"/>
      <c r="E157" s="1" t="str">
        <f ca="1">IFERROR(__xludf.DUMMYFUNCTION("""COMPUTED_VALUE"""),"No Relation")</f>
        <v>No Relation</v>
      </c>
      <c r="F157" s="1" t="str">
        <f ca="1">IFERROR(__xludf.DUMMYFUNCTION("""COMPUTED_VALUE"""),"Fled/Apprehended")</f>
        <v>Fled/Apprehended</v>
      </c>
      <c r="G157" s="1" t="str">
        <f ca="1">IFERROR(__xludf.DUMMYFUNCTION("""COMPUTED_VALUE"""),"No")</f>
        <v>No</v>
      </c>
      <c r="H157" s="1" t="str">
        <f ca="1">IFERROR(__xludf.DUMMYFUNCTION("""COMPUTED_VALUE"""),"None")</f>
        <v>None</v>
      </c>
    </row>
    <row r="158" spans="1:8" ht="12.5">
      <c r="A158" s="1" t="str">
        <f ca="1">IFERROR(__xludf.DUMMYFUNCTION("""COMPUTED_VALUE"""),"20231023WIKEG")</f>
        <v>20231023WIKEG</v>
      </c>
      <c r="B158" s="1">
        <f ca="1">IFERROR(__xludf.DUMMYFUNCTION("""COMPUTED_VALUE"""),32)</f>
        <v>32</v>
      </c>
      <c r="C158" s="1" t="str">
        <f ca="1">IFERROR(__xludf.DUMMYFUNCTION("""COMPUTED_VALUE"""),"Male")</f>
        <v>Male</v>
      </c>
      <c r="D158" s="1" t="str">
        <f ca="1">IFERROR(__xludf.DUMMYFUNCTION("""COMPUTED_VALUE"""),"White")</f>
        <v>White</v>
      </c>
      <c r="E158" s="1" t="str">
        <f ca="1">IFERROR(__xludf.DUMMYFUNCTION("""COMPUTED_VALUE"""),"No Relation")</f>
        <v>No Relation</v>
      </c>
      <c r="F158" s="1" t="str">
        <f ca="1">IFERROR(__xludf.DUMMYFUNCTION("""COMPUTED_VALUE"""),"Apprehended/Killed by LE")</f>
        <v>Apprehended/Killed by LE</v>
      </c>
      <c r="G158" s="1" t="str">
        <f ca="1">IFERROR(__xludf.DUMMYFUNCTION("""COMPUTED_VALUE"""),"Yes")</f>
        <v>Yes</v>
      </c>
      <c r="H158" s="1" t="str">
        <f ca="1">IFERROR(__xludf.DUMMYFUNCTION("""COMPUTED_VALUE"""),"Fatal")</f>
        <v>Fatal</v>
      </c>
    </row>
    <row r="159" spans="1:8" ht="12.5">
      <c r="A159" s="1" t="str">
        <f ca="1">IFERROR(__xludf.DUMMYFUNCTION("""COMPUTED_VALUE"""),"20231020FLLIT")</f>
        <v>20231020FLLIT</v>
      </c>
      <c r="B159" s="1">
        <f ca="1">IFERROR(__xludf.DUMMYFUNCTION("""COMPUTED_VALUE"""),16)</f>
        <v>16</v>
      </c>
      <c r="C159" s="1" t="str">
        <f ca="1">IFERROR(__xludf.DUMMYFUNCTION("""COMPUTED_VALUE"""),"Male")</f>
        <v>Male</v>
      </c>
      <c r="D159" s="1"/>
      <c r="E159" s="1" t="str">
        <f ca="1">IFERROR(__xludf.DUMMYFUNCTION("""COMPUTED_VALUE"""),"Student")</f>
        <v>Student</v>
      </c>
      <c r="F159" s="1" t="str">
        <f ca="1">IFERROR(__xludf.DUMMYFUNCTION("""COMPUTED_VALUE"""),"Apprehended/Killed by SRO")</f>
        <v>Apprehended/Killed by SRO</v>
      </c>
      <c r="G159" s="1" t="str">
        <f ca="1">IFERROR(__xludf.DUMMYFUNCTION("""COMPUTED_VALUE"""),"No")</f>
        <v>No</v>
      </c>
      <c r="H159" s="1" t="str">
        <f ca="1">IFERROR(__xludf.DUMMYFUNCTION("""COMPUTED_VALUE"""),"None")</f>
        <v>None</v>
      </c>
    </row>
    <row r="160" spans="1:8" ht="12.5">
      <c r="A160" s="1" t="str">
        <f ca="1">IFERROR(__xludf.DUMMYFUNCTION("""COMPUTED_VALUE"""),"20231020FLFAT")</f>
        <v>20231020FLFAT</v>
      </c>
      <c r="B160" s="1">
        <f ca="1">IFERROR(__xludf.DUMMYFUNCTION("""COMPUTED_VALUE"""),53)</f>
        <v>53</v>
      </c>
      <c r="C160" s="1" t="str">
        <f ca="1">IFERROR(__xludf.DUMMYFUNCTION("""COMPUTED_VALUE"""),"Male")</f>
        <v>Male</v>
      </c>
      <c r="D160" s="1"/>
      <c r="E160" s="1" t="str">
        <f ca="1">IFERROR(__xludf.DUMMYFUNCTION("""COMPUTED_VALUE"""),"Intimate Relationship")</f>
        <v>Intimate Relationship</v>
      </c>
      <c r="F160" s="1" t="str">
        <f ca="1">IFERROR(__xludf.DUMMYFUNCTION("""COMPUTED_VALUE"""),"Suicide")</f>
        <v>Suicide</v>
      </c>
      <c r="G160" s="1" t="str">
        <f ca="1">IFERROR(__xludf.DUMMYFUNCTION("""COMPUTED_VALUE"""),"Yes")</f>
        <v>Yes</v>
      </c>
      <c r="H160" s="1" t="str">
        <f ca="1">IFERROR(__xludf.DUMMYFUNCTION("""COMPUTED_VALUE"""),"Suicide")</f>
        <v>Suicide</v>
      </c>
    </row>
    <row r="161" spans="1:8" ht="12.5">
      <c r="A161" s="1" t="str">
        <f ca="1">IFERROR(__xludf.DUMMYFUNCTION("""COMPUTED_VALUE"""),"20231019WAEVV")</f>
        <v>20231019WAEVV</v>
      </c>
      <c r="B161" s="1">
        <f ca="1">IFERROR(__xludf.DUMMYFUNCTION("""COMPUTED_VALUE"""),16)</f>
        <v>16</v>
      </c>
      <c r="C161" s="1" t="str">
        <f ca="1">IFERROR(__xludf.DUMMYFUNCTION("""COMPUTED_VALUE"""),"Male")</f>
        <v>Male</v>
      </c>
      <c r="D161" s="1"/>
      <c r="E161" s="1" t="str">
        <f ca="1">IFERROR(__xludf.DUMMYFUNCTION("""COMPUTED_VALUE"""),"Student")</f>
        <v>Student</v>
      </c>
      <c r="F161" s="1" t="str">
        <f ca="1">IFERROR(__xludf.DUMMYFUNCTION("""COMPUTED_VALUE"""),"Fled/Apprehended")</f>
        <v>Fled/Apprehended</v>
      </c>
      <c r="G161" s="1" t="str">
        <f ca="1">IFERROR(__xludf.DUMMYFUNCTION("""COMPUTED_VALUE"""),"No")</f>
        <v>No</v>
      </c>
      <c r="H161" s="1" t="str">
        <f ca="1">IFERROR(__xludf.DUMMYFUNCTION("""COMPUTED_VALUE"""),"None")</f>
        <v>None</v>
      </c>
    </row>
    <row r="162" spans="1:8" ht="12.5">
      <c r="A162" s="1" t="str">
        <f ca="1">IFERROR(__xludf.DUMMYFUNCTION("""COMPUTED_VALUE"""),"20231019ILMAC")</f>
        <v>20231019ILMAC</v>
      </c>
      <c r="B162" s="1"/>
      <c r="C162" s="1"/>
      <c r="D162" s="1"/>
      <c r="E162" s="1"/>
      <c r="F162" s="1" t="str">
        <f ca="1">IFERROR(__xludf.DUMMYFUNCTION("""COMPUTED_VALUE"""),"Fled/Escaped")</f>
        <v>Fled/Escaped</v>
      </c>
      <c r="G162" s="1" t="str">
        <f ca="1">IFERROR(__xludf.DUMMYFUNCTION("""COMPUTED_VALUE"""),"No")</f>
        <v>No</v>
      </c>
      <c r="H162" s="1" t="str">
        <f ca="1">IFERROR(__xludf.DUMMYFUNCTION("""COMPUTED_VALUE"""),"None")</f>
        <v>None</v>
      </c>
    </row>
    <row r="163" spans="1:8" ht="12.5">
      <c r="A163" s="1" t="str">
        <f ca="1">IFERROR(__xludf.DUMMYFUNCTION("""COMPUTED_VALUE"""),"20231019TXNAA")</f>
        <v>20231019TXNAA</v>
      </c>
      <c r="B163" s="1"/>
      <c r="C163" s="1"/>
      <c r="D163" s="1"/>
      <c r="E163" s="1"/>
      <c r="F163" s="1" t="str">
        <f ca="1">IFERROR(__xludf.DUMMYFUNCTION("""COMPUTED_VALUE"""),"Fled/Escaped")</f>
        <v>Fled/Escaped</v>
      </c>
      <c r="G163" s="1" t="str">
        <f ca="1">IFERROR(__xludf.DUMMYFUNCTION("""COMPUTED_VALUE"""),"No")</f>
        <v>No</v>
      </c>
      <c r="H163" s="1" t="str">
        <f ca="1">IFERROR(__xludf.DUMMYFUNCTION("""COMPUTED_VALUE"""),"None")</f>
        <v>None</v>
      </c>
    </row>
    <row r="164" spans="1:8" ht="12.5">
      <c r="A164" s="1" t="str">
        <f ca="1">IFERROR(__xludf.DUMMYFUNCTION("""COMPUTED_VALUE"""),"20231019CAGRF")</f>
        <v>20231019CAGRF</v>
      </c>
      <c r="B164" s="1">
        <f ca="1">IFERROR(__xludf.DUMMYFUNCTION("""COMPUTED_VALUE"""),12)</f>
        <v>12</v>
      </c>
      <c r="C164" s="1" t="str">
        <f ca="1">IFERROR(__xludf.DUMMYFUNCTION("""COMPUTED_VALUE"""),"Male")</f>
        <v>Male</v>
      </c>
      <c r="D164" s="1" t="str">
        <f ca="1">IFERROR(__xludf.DUMMYFUNCTION("""COMPUTED_VALUE"""),"Black")</f>
        <v>Black</v>
      </c>
      <c r="E164" s="1" t="str">
        <f ca="1">IFERROR(__xludf.DUMMYFUNCTION("""COMPUTED_VALUE"""),"Student")</f>
        <v>Student</v>
      </c>
      <c r="F164" s="1" t="str">
        <f ca="1">IFERROR(__xludf.DUMMYFUNCTION("""COMPUTED_VALUE"""),"Subdued by Students/Staff/Other")</f>
        <v>Subdued by Students/Staff/Other</v>
      </c>
      <c r="G164" s="1" t="str">
        <f ca="1">IFERROR(__xludf.DUMMYFUNCTION("""COMPUTED_VALUE"""),"No")</f>
        <v>No</v>
      </c>
      <c r="H164" s="1" t="str">
        <f ca="1">IFERROR(__xludf.DUMMYFUNCTION("""COMPUTED_VALUE"""),"None")</f>
        <v>None</v>
      </c>
    </row>
    <row r="165" spans="1:8" ht="12.5">
      <c r="A165" s="1" t="str">
        <f ca="1">IFERROR(__xludf.DUMMYFUNCTION("""COMPUTED_VALUE"""),"20231018WILUW")</f>
        <v>20231018WILUW</v>
      </c>
      <c r="B165" s="1" t="str">
        <f ca="1">IFERROR(__xludf.DUMMYFUNCTION("""COMPUTED_VALUE"""),"Adult")</f>
        <v>Adult</v>
      </c>
      <c r="C165" s="1" t="str">
        <f ca="1">IFERROR(__xludf.DUMMYFUNCTION("""COMPUTED_VALUE"""),"Male")</f>
        <v>Male</v>
      </c>
      <c r="D165" s="1"/>
      <c r="E165" s="1" t="str">
        <f ca="1">IFERROR(__xludf.DUMMYFUNCTION("""COMPUTED_VALUE"""),"No Relation")</f>
        <v>No Relation</v>
      </c>
      <c r="F165" s="1" t="str">
        <f ca="1">IFERROR(__xludf.DUMMYFUNCTION("""COMPUTED_VALUE"""),"Apprehended/Killed by LE")</f>
        <v>Apprehended/Killed by LE</v>
      </c>
      <c r="G165" s="1" t="str">
        <f ca="1">IFERROR(__xludf.DUMMYFUNCTION("""COMPUTED_VALUE"""),"Yes")</f>
        <v>Yes</v>
      </c>
      <c r="H165" s="1" t="str">
        <f ca="1">IFERROR(__xludf.DUMMYFUNCTION("""COMPUTED_VALUE"""),"Fatal")</f>
        <v>Fatal</v>
      </c>
    </row>
    <row r="166" spans="1:8" ht="12.5">
      <c r="A166" s="1" t="str">
        <f ca="1">IFERROR(__xludf.DUMMYFUNCTION("""COMPUTED_VALUE"""),"20231015OHEAT")</f>
        <v>20231015OHEAT</v>
      </c>
      <c r="B166" s="1">
        <f ca="1">IFERROR(__xludf.DUMMYFUNCTION("""COMPUTED_VALUE"""),23)</f>
        <v>23</v>
      </c>
      <c r="C166" s="1" t="str">
        <f ca="1">IFERROR(__xludf.DUMMYFUNCTION("""COMPUTED_VALUE"""),"Male")</f>
        <v>Male</v>
      </c>
      <c r="D166" s="1" t="str">
        <f ca="1">IFERROR(__xludf.DUMMYFUNCTION("""COMPUTED_VALUE"""),"Black")</f>
        <v>Black</v>
      </c>
      <c r="E166" s="1" t="str">
        <f ca="1">IFERROR(__xludf.DUMMYFUNCTION("""COMPUTED_VALUE"""),"Nonstudent Using Athletic Facilities/Attending Game")</f>
        <v>Nonstudent Using Athletic Facilities/Attending Game</v>
      </c>
      <c r="F166" s="1" t="str">
        <f ca="1">IFERROR(__xludf.DUMMYFUNCTION("""COMPUTED_VALUE"""),"Fled/Apprehended")</f>
        <v>Fled/Apprehended</v>
      </c>
      <c r="G166" s="1" t="str">
        <f ca="1">IFERROR(__xludf.DUMMYFUNCTION("""COMPUTED_VALUE"""),"No")</f>
        <v>No</v>
      </c>
      <c r="H166" s="1" t="str">
        <f ca="1">IFERROR(__xludf.DUMMYFUNCTION("""COMPUTED_VALUE"""),"None")</f>
        <v>None</v>
      </c>
    </row>
    <row r="167" spans="1:8" ht="12.5">
      <c r="A167" s="1" t="str">
        <f ca="1">IFERROR(__xludf.DUMMYFUNCTION("""COMPUTED_VALUE"""),"20231015MOKIK")</f>
        <v>20231015MOKIK</v>
      </c>
      <c r="B167" s="1">
        <f ca="1">IFERROR(__xludf.DUMMYFUNCTION("""COMPUTED_VALUE"""),39)</f>
        <v>39</v>
      </c>
      <c r="C167" s="1" t="str">
        <f ca="1">IFERROR(__xludf.DUMMYFUNCTION("""COMPUTED_VALUE"""),"Male")</f>
        <v>Male</v>
      </c>
      <c r="D167" s="1" t="str">
        <f ca="1">IFERROR(__xludf.DUMMYFUNCTION("""COMPUTED_VALUE"""),"White")</f>
        <v>White</v>
      </c>
      <c r="E167" s="1" t="str">
        <f ca="1">IFERROR(__xludf.DUMMYFUNCTION("""COMPUTED_VALUE"""),"Parent")</f>
        <v>Parent</v>
      </c>
      <c r="F167" s="1" t="str">
        <f ca="1">IFERROR(__xludf.DUMMYFUNCTION("""COMPUTED_VALUE"""),"Subdued by Students/Staff/Other")</f>
        <v>Subdued by Students/Staff/Other</v>
      </c>
      <c r="G167" s="1" t="str">
        <f ca="1">IFERROR(__xludf.DUMMYFUNCTION("""COMPUTED_VALUE"""),"No")</f>
        <v>No</v>
      </c>
      <c r="H167" s="1" t="str">
        <f ca="1">IFERROR(__xludf.DUMMYFUNCTION("""COMPUTED_VALUE"""),"None")</f>
        <v>None</v>
      </c>
    </row>
    <row r="168" spans="1:8" ht="12.5">
      <c r="A168" s="1" t="str">
        <f ca="1">IFERROR(__xludf.DUMMYFUNCTION("""COMPUTED_VALUE"""),"20231015TXFRD")</f>
        <v>20231015TXFRD</v>
      </c>
      <c r="B168" s="1">
        <f ca="1">IFERROR(__xludf.DUMMYFUNCTION("""COMPUTED_VALUE"""),22)</f>
        <v>22</v>
      </c>
      <c r="C168" s="1" t="str">
        <f ca="1">IFERROR(__xludf.DUMMYFUNCTION("""COMPUTED_VALUE"""),"Male")</f>
        <v>Male</v>
      </c>
      <c r="D168" s="1" t="str">
        <f ca="1">IFERROR(__xludf.DUMMYFUNCTION("""COMPUTED_VALUE"""),"Black")</f>
        <v>Black</v>
      </c>
      <c r="E168" s="1" t="str">
        <f ca="1">IFERROR(__xludf.DUMMYFUNCTION("""COMPUTED_VALUE"""),"No Relation")</f>
        <v>No Relation</v>
      </c>
      <c r="F168" s="1" t="str">
        <f ca="1">IFERROR(__xludf.DUMMYFUNCTION("""COMPUTED_VALUE"""),"Fled/Apprehended")</f>
        <v>Fled/Apprehended</v>
      </c>
      <c r="G168" s="1" t="str">
        <f ca="1">IFERROR(__xludf.DUMMYFUNCTION("""COMPUTED_VALUE"""),"No")</f>
        <v>No</v>
      </c>
      <c r="H168" s="1" t="str">
        <f ca="1">IFERROR(__xludf.DUMMYFUNCTION("""COMPUTED_VALUE"""),"None")</f>
        <v>None</v>
      </c>
    </row>
    <row r="169" spans="1:8" ht="12.5">
      <c r="A169" s="1" t="str">
        <f ca="1">IFERROR(__xludf.DUMMYFUNCTION("""COMPUTED_VALUE"""),"20231015TXFRD")</f>
        <v>20231015TXFRD</v>
      </c>
      <c r="B169" s="1">
        <f ca="1">IFERROR(__xludf.DUMMYFUNCTION("""COMPUTED_VALUE"""),38)</f>
        <v>38</v>
      </c>
      <c r="C169" s="1" t="str">
        <f ca="1">IFERROR(__xludf.DUMMYFUNCTION("""COMPUTED_VALUE"""),"Male")</f>
        <v>Male</v>
      </c>
      <c r="D169" s="1" t="str">
        <f ca="1">IFERROR(__xludf.DUMMYFUNCTION("""COMPUTED_VALUE"""),"Black")</f>
        <v>Black</v>
      </c>
      <c r="E169" s="1" t="str">
        <f ca="1">IFERROR(__xludf.DUMMYFUNCTION("""COMPUTED_VALUE"""),"No Relation")</f>
        <v>No Relation</v>
      </c>
      <c r="F169" s="1" t="str">
        <f ca="1">IFERROR(__xludf.DUMMYFUNCTION("""COMPUTED_VALUE"""),"Fled/Apprehended")</f>
        <v>Fled/Apprehended</v>
      </c>
      <c r="G169" s="1" t="str">
        <f ca="1">IFERROR(__xludf.DUMMYFUNCTION("""COMPUTED_VALUE"""),"No")</f>
        <v>No</v>
      </c>
      <c r="H169" s="1" t="str">
        <f ca="1">IFERROR(__xludf.DUMMYFUNCTION("""COMPUTED_VALUE"""),"None")</f>
        <v>None</v>
      </c>
    </row>
    <row r="170" spans="1:8" ht="12.5">
      <c r="A170" s="1" t="str">
        <f ca="1">IFERROR(__xludf.DUMMYFUNCTION("""COMPUTED_VALUE"""),"20231013FLBOS")</f>
        <v>20231013FLBOS</v>
      </c>
      <c r="B170" s="1"/>
      <c r="C170" s="1"/>
      <c r="D170" s="1"/>
      <c r="E170" s="1"/>
      <c r="F170" s="1" t="str">
        <f ca="1">IFERROR(__xludf.DUMMYFUNCTION("""COMPUTED_VALUE"""),"Fled/Escaped")</f>
        <v>Fled/Escaped</v>
      </c>
      <c r="G170" s="1" t="str">
        <f ca="1">IFERROR(__xludf.DUMMYFUNCTION("""COMPUTED_VALUE"""),"No")</f>
        <v>No</v>
      </c>
      <c r="H170" s="1" t="str">
        <f ca="1">IFERROR(__xludf.DUMMYFUNCTION("""COMPUTED_VALUE"""),"None")</f>
        <v>None</v>
      </c>
    </row>
    <row r="171" spans="1:8" ht="12.5">
      <c r="A171" s="1" t="str">
        <f ca="1">IFERROR(__xludf.DUMMYFUNCTION("""COMPUTED_VALUE"""),"20231013OHCLC")</f>
        <v>20231013OHCLC</v>
      </c>
      <c r="B171" s="1">
        <f ca="1">IFERROR(__xludf.DUMMYFUNCTION("""COMPUTED_VALUE"""),15)</f>
        <v>15</v>
      </c>
      <c r="C171" s="1" t="str">
        <f ca="1">IFERROR(__xludf.DUMMYFUNCTION("""COMPUTED_VALUE"""),"Male")</f>
        <v>Male</v>
      </c>
      <c r="D171" s="1"/>
      <c r="E171" s="1" t="str">
        <f ca="1">IFERROR(__xludf.DUMMYFUNCTION("""COMPUTED_VALUE"""),"Student")</f>
        <v>Student</v>
      </c>
      <c r="F171" s="1" t="str">
        <f ca="1">IFERROR(__xludf.DUMMYFUNCTION("""COMPUTED_VALUE"""),"Fled/Apprehended")</f>
        <v>Fled/Apprehended</v>
      </c>
      <c r="G171" s="1" t="str">
        <f ca="1">IFERROR(__xludf.DUMMYFUNCTION("""COMPUTED_VALUE"""),"No")</f>
        <v>No</v>
      </c>
      <c r="H171" s="1" t="str">
        <f ca="1">IFERROR(__xludf.DUMMYFUNCTION("""COMPUTED_VALUE"""),"None")</f>
        <v>None</v>
      </c>
    </row>
    <row r="172" spans="1:8" ht="12.5">
      <c r="A172" s="1" t="str">
        <f ca="1">IFERROR(__xludf.DUMMYFUNCTION("""COMPUTED_VALUE"""),"20231011CAMAL")</f>
        <v>20231011CAMAL</v>
      </c>
      <c r="B172" s="1"/>
      <c r="C172" s="1"/>
      <c r="D172" s="1"/>
      <c r="E172" s="1" t="str">
        <f ca="1">IFERROR(__xludf.DUMMYFUNCTION("""COMPUTED_VALUE"""),"No Relation")</f>
        <v>No Relation</v>
      </c>
      <c r="F172" s="1" t="str">
        <f ca="1">IFERROR(__xludf.DUMMYFUNCTION("""COMPUTED_VALUE"""),"Fled/Escaped")</f>
        <v>Fled/Escaped</v>
      </c>
      <c r="G172" s="1" t="str">
        <f ca="1">IFERROR(__xludf.DUMMYFUNCTION("""COMPUTED_VALUE"""),"No")</f>
        <v>No</v>
      </c>
      <c r="H172" s="1" t="str">
        <f ca="1">IFERROR(__xludf.DUMMYFUNCTION("""COMPUTED_VALUE"""),"None")</f>
        <v>None</v>
      </c>
    </row>
    <row r="173" spans="1:8" ht="12.5">
      <c r="A173" s="1" t="str">
        <f ca="1">IFERROR(__xludf.DUMMYFUNCTION("""COMPUTED_VALUE"""),"20231011FLMIM")</f>
        <v>20231011FLMIM</v>
      </c>
      <c r="B173" s="1" t="str">
        <f ca="1">IFERROR(__xludf.DUMMYFUNCTION("""COMPUTED_VALUE"""),"Adult")</f>
        <v>Adult</v>
      </c>
      <c r="C173" s="1" t="str">
        <f ca="1">IFERROR(__xludf.DUMMYFUNCTION("""COMPUTED_VALUE"""),"Male")</f>
        <v>Male</v>
      </c>
      <c r="D173" s="1"/>
      <c r="E173" s="1" t="str">
        <f ca="1">IFERROR(__xludf.DUMMYFUNCTION("""COMPUTED_VALUE"""),"No Relation")</f>
        <v>No Relation</v>
      </c>
      <c r="F173" s="1" t="str">
        <f ca="1">IFERROR(__xludf.DUMMYFUNCTION("""COMPUTED_VALUE"""),"Apprehended/Killed by LE")</f>
        <v>Apprehended/Killed by LE</v>
      </c>
      <c r="G173" s="1" t="str">
        <f ca="1">IFERROR(__xludf.DUMMYFUNCTION("""COMPUTED_VALUE"""),"No")</f>
        <v>No</v>
      </c>
      <c r="H173" s="1" t="str">
        <f ca="1">IFERROR(__xludf.DUMMYFUNCTION("""COMPUTED_VALUE"""),"None")</f>
        <v>None</v>
      </c>
    </row>
    <row r="174" spans="1:8" ht="12.5">
      <c r="A174" s="1" t="str">
        <f ca="1">IFERROR(__xludf.DUMMYFUNCTION("""COMPUTED_VALUE"""),"20231011TXSEF")</f>
        <v>20231011TXSEF</v>
      </c>
      <c r="B174" s="1" t="str">
        <f ca="1">IFERROR(__xludf.DUMMYFUNCTION("""COMPUTED_VALUE"""),"Adult")</f>
        <v>Adult</v>
      </c>
      <c r="C174" s="1"/>
      <c r="D174" s="1"/>
      <c r="E174" s="1" t="str">
        <f ca="1">IFERROR(__xludf.DUMMYFUNCTION("""COMPUTED_VALUE"""),"Intimate Relationship")</f>
        <v>Intimate Relationship</v>
      </c>
      <c r="F174" s="1" t="str">
        <f ca="1">IFERROR(__xludf.DUMMYFUNCTION("""COMPUTED_VALUE"""),"Fled/Escaped")</f>
        <v>Fled/Escaped</v>
      </c>
      <c r="G174" s="1" t="str">
        <f ca="1">IFERROR(__xludf.DUMMYFUNCTION("""COMPUTED_VALUE"""),"No")</f>
        <v>No</v>
      </c>
      <c r="H174" s="1" t="str">
        <f ca="1">IFERROR(__xludf.DUMMYFUNCTION("""COMPUTED_VALUE"""),"None")</f>
        <v>None</v>
      </c>
    </row>
    <row r="175" spans="1:8" ht="12.5">
      <c r="A175" s="1" t="str">
        <f ca="1">IFERROR(__xludf.DUMMYFUNCTION("""COMPUTED_VALUE"""),"20231010MOBAS")</f>
        <v>20231010MOBAS</v>
      </c>
      <c r="B175" s="1"/>
      <c r="C175" s="1"/>
      <c r="D175" s="1"/>
      <c r="E175" s="1"/>
      <c r="F175" s="1" t="str">
        <f ca="1">IFERROR(__xludf.DUMMYFUNCTION("""COMPUTED_VALUE"""),"Fled/Escaped")</f>
        <v>Fled/Escaped</v>
      </c>
      <c r="G175" s="1" t="str">
        <f ca="1">IFERROR(__xludf.DUMMYFUNCTION("""COMPUTED_VALUE"""),"No")</f>
        <v>No</v>
      </c>
      <c r="H175" s="1" t="str">
        <f ca="1">IFERROR(__xludf.DUMMYFUNCTION("""COMPUTED_VALUE"""),"None")</f>
        <v>None</v>
      </c>
    </row>
    <row r="176" spans="1:8" ht="12.5">
      <c r="A176" s="1" t="str">
        <f ca="1">IFERROR(__xludf.DUMMYFUNCTION("""COMPUTED_VALUE"""),"20231010NCTEF")</f>
        <v>20231010NCTEF</v>
      </c>
      <c r="B176" s="1" t="str">
        <f ca="1">IFERROR(__xludf.DUMMYFUNCTION("""COMPUTED_VALUE"""),"Adult")</f>
        <v>Adult</v>
      </c>
      <c r="C176" s="1" t="str">
        <f ca="1">IFERROR(__xludf.DUMMYFUNCTION("""COMPUTED_VALUE"""),"Male")</f>
        <v>Male</v>
      </c>
      <c r="D176" s="1"/>
      <c r="E176" s="1" t="str">
        <f ca="1">IFERROR(__xludf.DUMMYFUNCTION("""COMPUTED_VALUE"""),"No Relation")</f>
        <v>No Relation</v>
      </c>
      <c r="F176" s="1" t="str">
        <f ca="1">IFERROR(__xludf.DUMMYFUNCTION("""COMPUTED_VALUE"""),"Surrendered")</f>
        <v>Surrendered</v>
      </c>
      <c r="G176" s="1" t="str">
        <f ca="1">IFERROR(__xludf.DUMMYFUNCTION("""COMPUTED_VALUE"""),"No")</f>
        <v>No</v>
      </c>
      <c r="H176" s="1" t="str">
        <f ca="1">IFERROR(__xludf.DUMMYFUNCTION("""COMPUTED_VALUE"""),"None")</f>
        <v>None</v>
      </c>
    </row>
    <row r="177" spans="1:8" ht="12.5">
      <c r="A177" s="1" t="str">
        <f ca="1">IFERROR(__xludf.DUMMYFUNCTION("""COMPUTED_VALUE"""),"20231010SCDAD")</f>
        <v>20231010SCDAD</v>
      </c>
      <c r="B177" s="1"/>
      <c r="C177" s="1"/>
      <c r="D177" s="1"/>
      <c r="E177" s="1"/>
      <c r="F177" s="1" t="str">
        <f ca="1">IFERROR(__xludf.DUMMYFUNCTION("""COMPUTED_VALUE"""),"Fled/Escaped")</f>
        <v>Fled/Escaped</v>
      </c>
      <c r="G177" s="1" t="str">
        <f ca="1">IFERROR(__xludf.DUMMYFUNCTION("""COMPUTED_VALUE"""),"No")</f>
        <v>No</v>
      </c>
      <c r="H177" s="1" t="str">
        <f ca="1">IFERROR(__xludf.DUMMYFUNCTION("""COMPUTED_VALUE"""),"None")</f>
        <v>None</v>
      </c>
    </row>
    <row r="178" spans="1:8" ht="12.5">
      <c r="A178" s="1" t="str">
        <f ca="1">IFERROR(__xludf.DUMMYFUNCTION("""COMPUTED_VALUE"""),"20231008ILTHD")</f>
        <v>20231008ILTHD</v>
      </c>
      <c r="B178" s="1" t="str">
        <f ca="1">IFERROR(__xludf.DUMMYFUNCTION("""COMPUTED_VALUE"""),"Adult")</f>
        <v>Adult</v>
      </c>
      <c r="C178" s="1" t="str">
        <f ca="1">IFERROR(__xludf.DUMMYFUNCTION("""COMPUTED_VALUE"""),"Male")</f>
        <v>Male</v>
      </c>
      <c r="D178" s="1"/>
      <c r="E178" s="1" t="str">
        <f ca="1">IFERROR(__xludf.DUMMYFUNCTION("""COMPUTED_VALUE"""),"Nonstudent Using Athletic Facilities/Attending Game")</f>
        <v>Nonstudent Using Athletic Facilities/Attending Game</v>
      </c>
      <c r="F178" s="1" t="str">
        <f ca="1">IFERROR(__xludf.DUMMYFUNCTION("""COMPUTED_VALUE"""),"Fled/Apprehended")</f>
        <v>Fled/Apprehended</v>
      </c>
      <c r="G178" s="1" t="str">
        <f ca="1">IFERROR(__xludf.DUMMYFUNCTION("""COMPUTED_VALUE"""),"No")</f>
        <v>No</v>
      </c>
      <c r="H178" s="1" t="str">
        <f ca="1">IFERROR(__xludf.DUMMYFUNCTION("""COMPUTED_VALUE"""),"None")</f>
        <v>None</v>
      </c>
    </row>
    <row r="179" spans="1:8" ht="12.5">
      <c r="A179" s="1" t="str">
        <f ca="1">IFERROR(__xludf.DUMMYFUNCTION("""COMPUTED_VALUE"""),"20231006LATHT")</f>
        <v>20231006LATHT</v>
      </c>
      <c r="B179" s="1">
        <f ca="1">IFERROR(__xludf.DUMMYFUNCTION("""COMPUTED_VALUE"""),13)</f>
        <v>13</v>
      </c>
      <c r="C179" s="1" t="str">
        <f ca="1">IFERROR(__xludf.DUMMYFUNCTION("""COMPUTED_VALUE"""),"Male")</f>
        <v>Male</v>
      </c>
      <c r="D179" s="1"/>
      <c r="E179" s="1" t="str">
        <f ca="1">IFERROR(__xludf.DUMMYFUNCTION("""COMPUTED_VALUE"""),"Student")</f>
        <v>Student</v>
      </c>
      <c r="F179" s="1" t="str">
        <f ca="1">IFERROR(__xludf.DUMMYFUNCTION("""COMPUTED_VALUE"""),"Fled/Apprehended")</f>
        <v>Fled/Apprehended</v>
      </c>
      <c r="G179" s="1" t="str">
        <f ca="1">IFERROR(__xludf.DUMMYFUNCTION("""COMPUTED_VALUE"""),"No")</f>
        <v>No</v>
      </c>
      <c r="H179" s="1" t="str">
        <f ca="1">IFERROR(__xludf.DUMMYFUNCTION("""COMPUTED_VALUE"""),"None")</f>
        <v>None</v>
      </c>
    </row>
    <row r="180" spans="1:8" ht="12.5">
      <c r="A180" s="1" t="str">
        <f ca="1">IFERROR(__xludf.DUMMYFUNCTION("""COMPUTED_VALUE"""),"20231006MIOAO")</f>
        <v>20231006MIOAO</v>
      </c>
      <c r="B180" s="1"/>
      <c r="C180" s="1"/>
      <c r="D180" s="1"/>
      <c r="E180" s="1"/>
      <c r="F180" s="1" t="str">
        <f ca="1">IFERROR(__xludf.DUMMYFUNCTION("""COMPUTED_VALUE"""),"Fled/Escaped")</f>
        <v>Fled/Escaped</v>
      </c>
      <c r="G180" s="1" t="str">
        <f ca="1">IFERROR(__xludf.DUMMYFUNCTION("""COMPUTED_VALUE"""),"No")</f>
        <v>No</v>
      </c>
      <c r="H180" s="1" t="str">
        <f ca="1">IFERROR(__xludf.DUMMYFUNCTION("""COMPUTED_VALUE"""),"None")</f>
        <v>None</v>
      </c>
    </row>
    <row r="181" spans="1:8" ht="12.5">
      <c r="A181" s="1" t="str">
        <f ca="1">IFERROR(__xludf.DUMMYFUNCTION("""COMPUTED_VALUE"""),"20231004PAMIE")</f>
        <v>20231004PAMIE</v>
      </c>
      <c r="B181" s="1">
        <f ca="1">IFERROR(__xludf.DUMMYFUNCTION("""COMPUTED_VALUE"""),4)</f>
        <v>4</v>
      </c>
      <c r="C181" s="1"/>
      <c r="D181" s="1"/>
      <c r="E181" s="1" t="str">
        <f ca="1">IFERROR(__xludf.DUMMYFUNCTION("""COMPUTED_VALUE"""),"Relative")</f>
        <v>Relative</v>
      </c>
      <c r="F181" s="1" t="str">
        <f ca="1">IFERROR(__xludf.DUMMYFUNCTION("""COMPUTED_VALUE"""),"Other")</f>
        <v>Other</v>
      </c>
      <c r="G181" s="1" t="str">
        <f ca="1">IFERROR(__xludf.DUMMYFUNCTION("""COMPUTED_VALUE"""),"No")</f>
        <v>No</v>
      </c>
      <c r="H181" s="1" t="str">
        <f ca="1">IFERROR(__xludf.DUMMYFUNCTION("""COMPUTED_VALUE"""),"None")</f>
        <v>None</v>
      </c>
    </row>
    <row r="182" spans="1:8" ht="12.5">
      <c r="A182" s="1" t="str">
        <f ca="1">IFERROR(__xludf.DUMMYFUNCTION("""COMPUTED_VALUE"""),"20231004COROD")</f>
        <v>20231004COROD</v>
      </c>
      <c r="B182" s="1">
        <f ca="1">IFERROR(__xludf.DUMMYFUNCTION("""COMPUTED_VALUE"""),15)</f>
        <v>15</v>
      </c>
      <c r="C182" s="1" t="str">
        <f ca="1">IFERROR(__xludf.DUMMYFUNCTION("""COMPUTED_VALUE"""),"Male")</f>
        <v>Male</v>
      </c>
      <c r="D182" s="1"/>
      <c r="E182" s="1" t="str">
        <f ca="1">IFERROR(__xludf.DUMMYFUNCTION("""COMPUTED_VALUE"""),"No Relation")</f>
        <v>No Relation</v>
      </c>
      <c r="F182" s="1" t="str">
        <f ca="1">IFERROR(__xludf.DUMMYFUNCTION("""COMPUTED_VALUE"""),"Fled/Apprehended")</f>
        <v>Fled/Apprehended</v>
      </c>
      <c r="G182" s="1" t="str">
        <f ca="1">IFERROR(__xludf.DUMMYFUNCTION("""COMPUTED_VALUE"""),"No")</f>
        <v>No</v>
      </c>
      <c r="H182" s="1" t="str">
        <f ca="1">IFERROR(__xludf.DUMMYFUNCTION("""COMPUTED_VALUE"""),"None")</f>
        <v>None</v>
      </c>
    </row>
    <row r="183" spans="1:8" ht="12.5">
      <c r="A183" s="1" t="str">
        <f ca="1">IFERROR(__xludf.DUMMYFUNCTION("""COMPUTED_VALUE"""),"20231004WAGAS")</f>
        <v>20231004WAGAS</v>
      </c>
      <c r="B183" s="1"/>
      <c r="C183" s="1"/>
      <c r="D183" s="1"/>
      <c r="E183" s="1"/>
      <c r="F183" s="1" t="str">
        <f ca="1">IFERROR(__xludf.DUMMYFUNCTION("""COMPUTED_VALUE"""),"Fled/Escaped")</f>
        <v>Fled/Escaped</v>
      </c>
      <c r="G183" s="1" t="str">
        <f ca="1">IFERROR(__xludf.DUMMYFUNCTION("""COMPUTED_VALUE"""),"No")</f>
        <v>No</v>
      </c>
      <c r="H183" s="1" t="str">
        <f ca="1">IFERROR(__xludf.DUMMYFUNCTION("""COMPUTED_VALUE"""),"None")</f>
        <v>None</v>
      </c>
    </row>
    <row r="184" spans="1:8" ht="12.5">
      <c r="A184" s="1" t="str">
        <f ca="1">IFERROR(__xludf.DUMMYFUNCTION("""COMPUTED_VALUE"""),"20231004GASAS")</f>
        <v>20231004GASAS</v>
      </c>
      <c r="B184" s="1"/>
      <c r="C184" s="1"/>
      <c r="D184" s="1"/>
      <c r="E184" s="1"/>
      <c r="F184" s="1" t="str">
        <f ca="1">IFERROR(__xludf.DUMMYFUNCTION("""COMPUTED_VALUE"""),"Fled/Escaped")</f>
        <v>Fled/Escaped</v>
      </c>
      <c r="G184" s="1" t="str">
        <f ca="1">IFERROR(__xludf.DUMMYFUNCTION("""COMPUTED_VALUE"""),"No")</f>
        <v>No</v>
      </c>
      <c r="H184" s="1" t="str">
        <f ca="1">IFERROR(__xludf.DUMMYFUNCTION("""COMPUTED_VALUE"""),"None")</f>
        <v>None</v>
      </c>
    </row>
    <row r="185" spans="1:8" ht="12.5">
      <c r="A185" s="1" t="str">
        <f ca="1">IFERROR(__xludf.DUMMYFUNCTION("""COMPUTED_VALUE"""),"20231002CAALL")</f>
        <v>20231002CAALL</v>
      </c>
      <c r="B185" s="1" t="str">
        <f ca="1">IFERROR(__xludf.DUMMYFUNCTION("""COMPUTED_VALUE"""),"Adult")</f>
        <v>Adult</v>
      </c>
      <c r="C185" s="1" t="str">
        <f ca="1">IFERROR(__xludf.DUMMYFUNCTION("""COMPUTED_VALUE"""),"Male")</f>
        <v>Male</v>
      </c>
      <c r="D185" s="1"/>
      <c r="E185" s="1" t="str">
        <f ca="1">IFERROR(__xludf.DUMMYFUNCTION("""COMPUTED_VALUE"""),"No Relation")</f>
        <v>No Relation</v>
      </c>
      <c r="F185" s="1" t="str">
        <f ca="1">IFERROR(__xludf.DUMMYFUNCTION("""COMPUTED_VALUE"""),"Fled/Escaped")</f>
        <v>Fled/Escaped</v>
      </c>
      <c r="G185" s="1" t="str">
        <f ca="1">IFERROR(__xludf.DUMMYFUNCTION("""COMPUTED_VALUE"""),"No")</f>
        <v>No</v>
      </c>
      <c r="H185" s="1" t="str">
        <f ca="1">IFERROR(__xludf.DUMMYFUNCTION("""COMPUTED_VALUE"""),"None")</f>
        <v>None</v>
      </c>
    </row>
    <row r="186" spans="1:8" ht="12.5">
      <c r="A186" s="1" t="str">
        <f ca="1">IFERROR(__xludf.DUMMYFUNCTION("""COMPUTED_VALUE"""),"20231002AZALP")</f>
        <v>20231002AZALP</v>
      </c>
      <c r="B186" s="1"/>
      <c r="C186" s="1"/>
      <c r="D186" s="1"/>
      <c r="E186" s="1"/>
      <c r="F186" s="1" t="str">
        <f ca="1">IFERROR(__xludf.DUMMYFUNCTION("""COMPUTED_VALUE"""),"Fled/Escaped")</f>
        <v>Fled/Escaped</v>
      </c>
      <c r="G186" s="1" t="str">
        <f ca="1">IFERROR(__xludf.DUMMYFUNCTION("""COMPUTED_VALUE"""),"No")</f>
        <v>No</v>
      </c>
      <c r="H186" s="1" t="str">
        <f ca="1">IFERROR(__xludf.DUMMYFUNCTION("""COMPUTED_VALUE"""),"None")</f>
        <v>None</v>
      </c>
    </row>
    <row r="187" spans="1:8" ht="12.5">
      <c r="A187" s="1" t="str">
        <f ca="1">IFERROR(__xludf.DUMMYFUNCTION("""COMPUTED_VALUE"""),"20230930GAGRG")</f>
        <v>20230930GAGRG</v>
      </c>
      <c r="B187" s="1">
        <f ca="1">IFERROR(__xludf.DUMMYFUNCTION("""COMPUTED_VALUE"""),17)</f>
        <v>17</v>
      </c>
      <c r="C187" s="1" t="str">
        <f ca="1">IFERROR(__xludf.DUMMYFUNCTION("""COMPUTED_VALUE"""),"Male")</f>
        <v>Male</v>
      </c>
      <c r="D187" s="1" t="str">
        <f ca="1">IFERROR(__xludf.DUMMYFUNCTION("""COMPUTED_VALUE"""),"Black")</f>
        <v>Black</v>
      </c>
      <c r="E187" s="1"/>
      <c r="F187" s="1" t="str">
        <f ca="1">IFERROR(__xludf.DUMMYFUNCTION("""COMPUTED_VALUE"""),"Fled/Escaped")</f>
        <v>Fled/Escaped</v>
      </c>
      <c r="G187" s="1" t="str">
        <f ca="1">IFERROR(__xludf.DUMMYFUNCTION("""COMPUTED_VALUE"""),"No")</f>
        <v>No</v>
      </c>
      <c r="H187" s="1" t="str">
        <f ca="1">IFERROR(__xludf.DUMMYFUNCTION("""COMPUTED_VALUE"""),"None")</f>
        <v>None</v>
      </c>
    </row>
    <row r="188" spans="1:8" ht="12.5">
      <c r="A188" s="1" t="str">
        <f ca="1">IFERROR(__xludf.DUMMYFUNCTION("""COMPUTED_VALUE"""),"20230929AKWAW")</f>
        <v>20230929AKWAW</v>
      </c>
      <c r="B188" s="1" t="str">
        <f ca="1">IFERROR(__xludf.DUMMYFUNCTION("""COMPUTED_VALUE"""),"Adult")</f>
        <v>Adult</v>
      </c>
      <c r="C188" s="1" t="str">
        <f ca="1">IFERROR(__xludf.DUMMYFUNCTION("""COMPUTED_VALUE"""),"Male")</f>
        <v>Male</v>
      </c>
      <c r="D188" s="1"/>
      <c r="E188" s="1" t="str">
        <f ca="1">IFERROR(__xludf.DUMMYFUNCTION("""COMPUTED_VALUE"""),"No Relation")</f>
        <v>No Relation</v>
      </c>
      <c r="F188" s="1" t="str">
        <f ca="1">IFERROR(__xludf.DUMMYFUNCTION("""COMPUTED_VALUE"""),"Surrendered")</f>
        <v>Surrendered</v>
      </c>
      <c r="G188" s="1" t="str">
        <f ca="1">IFERROR(__xludf.DUMMYFUNCTION("""COMPUTED_VALUE"""),"No")</f>
        <v>No</v>
      </c>
      <c r="H188" s="1" t="str">
        <f ca="1">IFERROR(__xludf.DUMMYFUNCTION("""COMPUTED_VALUE"""),"None")</f>
        <v>None</v>
      </c>
    </row>
    <row r="189" spans="1:8" ht="12.5">
      <c r="A189" s="1" t="str">
        <f ca="1">IFERROR(__xludf.DUMMYFUNCTION("""COMPUTED_VALUE"""),"20230929NCDUG")</f>
        <v>20230929NCDUG</v>
      </c>
      <c r="B189" s="1">
        <f ca="1">IFERROR(__xludf.DUMMYFUNCTION("""COMPUTED_VALUE"""),18)</f>
        <v>18</v>
      </c>
      <c r="C189" s="1" t="str">
        <f ca="1">IFERROR(__xludf.DUMMYFUNCTION("""COMPUTED_VALUE"""),"Male")</f>
        <v>Male</v>
      </c>
      <c r="D189" s="1"/>
      <c r="E189" s="1" t="str">
        <f ca="1">IFERROR(__xludf.DUMMYFUNCTION("""COMPUTED_VALUE"""),"Student")</f>
        <v>Student</v>
      </c>
      <c r="F189" s="1" t="str">
        <f ca="1">IFERROR(__xludf.DUMMYFUNCTION("""COMPUTED_VALUE"""),"Fled/Apprehended")</f>
        <v>Fled/Apprehended</v>
      </c>
      <c r="G189" s="1" t="str">
        <f ca="1">IFERROR(__xludf.DUMMYFUNCTION("""COMPUTED_VALUE"""),"No")</f>
        <v>No</v>
      </c>
      <c r="H189" s="1" t="str">
        <f ca="1">IFERROR(__xludf.DUMMYFUNCTION("""COMPUTED_VALUE"""),"None")</f>
        <v>None</v>
      </c>
    </row>
    <row r="190" spans="1:8" ht="12.5">
      <c r="A190" s="1" t="str">
        <f ca="1">IFERROR(__xludf.DUMMYFUNCTION("""COMPUTED_VALUE"""),"20230929NCDUG")</f>
        <v>20230929NCDUG</v>
      </c>
      <c r="B190" s="1">
        <f ca="1">IFERROR(__xludf.DUMMYFUNCTION("""COMPUTED_VALUE"""),17)</f>
        <v>17</v>
      </c>
      <c r="C190" s="1" t="str">
        <f ca="1">IFERROR(__xludf.DUMMYFUNCTION("""COMPUTED_VALUE"""),"Male")</f>
        <v>Male</v>
      </c>
      <c r="D190" s="1"/>
      <c r="E190" s="1" t="str">
        <f ca="1">IFERROR(__xludf.DUMMYFUNCTION("""COMPUTED_VALUE"""),"Student")</f>
        <v>Student</v>
      </c>
      <c r="F190" s="1" t="str">
        <f ca="1">IFERROR(__xludf.DUMMYFUNCTION("""COMPUTED_VALUE"""),"Fled/Apprehended")</f>
        <v>Fled/Apprehended</v>
      </c>
      <c r="G190" s="1" t="str">
        <f ca="1">IFERROR(__xludf.DUMMYFUNCTION("""COMPUTED_VALUE"""),"No")</f>
        <v>No</v>
      </c>
      <c r="H190" s="1" t="str">
        <f ca="1">IFERROR(__xludf.DUMMYFUNCTION("""COMPUTED_VALUE"""),"None")</f>
        <v>None</v>
      </c>
    </row>
    <row r="191" spans="1:8" ht="12.5">
      <c r="A191" s="1" t="str">
        <f ca="1">IFERROR(__xludf.DUMMYFUNCTION("""COMPUTED_VALUE"""),"20230928MDEDE")</f>
        <v>20230928MDEDE</v>
      </c>
      <c r="B191" s="1"/>
      <c r="C191" s="1"/>
      <c r="D191" s="1"/>
      <c r="E191" s="1"/>
      <c r="F191" s="1" t="str">
        <f ca="1">IFERROR(__xludf.DUMMYFUNCTION("""COMPUTED_VALUE"""),"Apprehended/Killed by LE")</f>
        <v>Apprehended/Killed by LE</v>
      </c>
      <c r="G191" s="1" t="str">
        <f ca="1">IFERROR(__xludf.DUMMYFUNCTION("""COMPUTED_VALUE"""),"No")</f>
        <v>No</v>
      </c>
      <c r="H191" s="1" t="str">
        <f ca="1">IFERROR(__xludf.DUMMYFUNCTION("""COMPUTED_VALUE"""),"None")</f>
        <v>None</v>
      </c>
    </row>
    <row r="192" spans="1:8" ht="12.5">
      <c r="A192" s="1" t="str">
        <f ca="1">IFERROR(__xludf.DUMMYFUNCTION("""COMPUTED_VALUE"""),"20230928GAROC")</f>
        <v>20230928GAROC</v>
      </c>
      <c r="B192" s="1" t="str">
        <f ca="1">IFERROR(__xludf.DUMMYFUNCTION("""COMPUTED_VALUE"""),"Teen")</f>
        <v>Teen</v>
      </c>
      <c r="C192" s="1" t="str">
        <f ca="1">IFERROR(__xludf.DUMMYFUNCTION("""COMPUTED_VALUE"""),"Male")</f>
        <v>Male</v>
      </c>
      <c r="D192" s="1"/>
      <c r="E192" s="1" t="str">
        <f ca="1">IFERROR(__xludf.DUMMYFUNCTION("""COMPUTED_VALUE"""),"Student")</f>
        <v>Student</v>
      </c>
      <c r="F192" s="1" t="str">
        <f ca="1">IFERROR(__xludf.DUMMYFUNCTION("""COMPUTED_VALUE"""),"Surrendered")</f>
        <v>Surrendered</v>
      </c>
      <c r="G192" s="1" t="str">
        <f ca="1">IFERROR(__xludf.DUMMYFUNCTION("""COMPUTED_VALUE"""),"No")</f>
        <v>No</v>
      </c>
      <c r="H192" s="1" t="str">
        <f ca="1">IFERROR(__xludf.DUMMYFUNCTION("""COMPUTED_VALUE"""),"Wounded")</f>
        <v>Wounded</v>
      </c>
    </row>
    <row r="193" spans="1:8" ht="12.5">
      <c r="A193" s="1" t="str">
        <f ca="1">IFERROR(__xludf.DUMMYFUNCTION("""COMPUTED_VALUE"""),"20230925DCSTW")</f>
        <v>20230925DCSTW</v>
      </c>
      <c r="B193" s="1"/>
      <c r="C193" s="1"/>
      <c r="D193" s="1"/>
      <c r="E193" s="1" t="str">
        <f ca="1">IFERROR(__xludf.DUMMYFUNCTION("""COMPUTED_VALUE"""),"No Relation")</f>
        <v>No Relation</v>
      </c>
      <c r="F193" s="1" t="str">
        <f ca="1">IFERROR(__xludf.DUMMYFUNCTION("""COMPUTED_VALUE"""),"Fled/Escaped")</f>
        <v>Fled/Escaped</v>
      </c>
      <c r="G193" s="1" t="str">
        <f ca="1">IFERROR(__xludf.DUMMYFUNCTION("""COMPUTED_VALUE"""),"No")</f>
        <v>No</v>
      </c>
      <c r="H193" s="1" t="str">
        <f ca="1">IFERROR(__xludf.DUMMYFUNCTION("""COMPUTED_VALUE"""),"None")</f>
        <v>None</v>
      </c>
    </row>
    <row r="194" spans="1:8" ht="12.5">
      <c r="A194" s="1" t="str">
        <f ca="1">IFERROR(__xludf.DUMMYFUNCTION("""COMPUTED_VALUE"""),"20230925MDDUB")</f>
        <v>20230925MDDUB</v>
      </c>
      <c r="B194" s="1" t="str">
        <f ca="1">IFERROR(__xludf.DUMMYFUNCTION("""COMPUTED_VALUE"""),"Teen")</f>
        <v>Teen</v>
      </c>
      <c r="C194" s="1" t="str">
        <f ca="1">IFERROR(__xludf.DUMMYFUNCTION("""COMPUTED_VALUE"""),"Male")</f>
        <v>Male</v>
      </c>
      <c r="D194" s="1"/>
      <c r="E194" s="1" t="str">
        <f ca="1">IFERROR(__xludf.DUMMYFUNCTION("""COMPUTED_VALUE"""),"Student")</f>
        <v>Student</v>
      </c>
      <c r="F194" s="1" t="str">
        <f ca="1">IFERROR(__xludf.DUMMYFUNCTION("""COMPUTED_VALUE"""),"Surrendered")</f>
        <v>Surrendered</v>
      </c>
      <c r="G194" s="1" t="str">
        <f ca="1">IFERROR(__xludf.DUMMYFUNCTION("""COMPUTED_VALUE"""),"No")</f>
        <v>No</v>
      </c>
      <c r="H194" s="1" t="str">
        <f ca="1">IFERROR(__xludf.DUMMYFUNCTION("""COMPUTED_VALUE"""),"Wounded")</f>
        <v>Wounded</v>
      </c>
    </row>
    <row r="195" spans="1:8" ht="12.5">
      <c r="A195" s="1" t="str">
        <f ca="1">IFERROR(__xludf.DUMMYFUNCTION("""COMPUTED_VALUE"""),"20230925MDGIB")</f>
        <v>20230925MDGIB</v>
      </c>
      <c r="B195" s="1"/>
      <c r="C195" s="1"/>
      <c r="D195" s="1"/>
      <c r="E195" s="1"/>
      <c r="F195" s="1" t="str">
        <f ca="1">IFERROR(__xludf.DUMMYFUNCTION("""COMPUTED_VALUE"""),"Fled/Escaped")</f>
        <v>Fled/Escaped</v>
      </c>
      <c r="G195" s="1" t="str">
        <f ca="1">IFERROR(__xludf.DUMMYFUNCTION("""COMPUTED_VALUE"""),"No")</f>
        <v>No</v>
      </c>
      <c r="H195" s="1" t="str">
        <f ca="1">IFERROR(__xludf.DUMMYFUNCTION("""COMPUTED_VALUE"""),"None")</f>
        <v>None</v>
      </c>
    </row>
    <row r="196" spans="1:8" ht="12.5">
      <c r="A196" s="1" t="str">
        <f ca="1">IFERROR(__xludf.DUMMYFUNCTION("""COMPUTED_VALUE"""),"20230923OHMAC")</f>
        <v>20230923OHMAC</v>
      </c>
      <c r="B196" s="1" t="str">
        <f ca="1">IFERROR(__xludf.DUMMYFUNCTION("""COMPUTED_VALUE"""),"Teen")</f>
        <v>Teen</v>
      </c>
      <c r="C196" s="1" t="str">
        <f ca="1">IFERROR(__xludf.DUMMYFUNCTION("""COMPUTED_VALUE"""),"Male")</f>
        <v>Male</v>
      </c>
      <c r="D196" s="1" t="str">
        <f ca="1">IFERROR(__xludf.DUMMYFUNCTION("""COMPUTED_VALUE"""),"Black")</f>
        <v>Black</v>
      </c>
      <c r="E196" s="1" t="str">
        <f ca="1">IFERROR(__xludf.DUMMYFUNCTION("""COMPUTED_VALUE"""),"No Relation")</f>
        <v>No Relation</v>
      </c>
      <c r="F196" s="1" t="str">
        <f ca="1">IFERROR(__xludf.DUMMYFUNCTION("""COMPUTED_VALUE"""),"Fled/Escaped")</f>
        <v>Fled/Escaped</v>
      </c>
      <c r="G196" s="1" t="str">
        <f ca="1">IFERROR(__xludf.DUMMYFUNCTION("""COMPUTED_VALUE"""),"No")</f>
        <v>No</v>
      </c>
      <c r="H196" s="1" t="str">
        <f ca="1">IFERROR(__xludf.DUMMYFUNCTION("""COMPUTED_VALUE"""),"None")</f>
        <v>None</v>
      </c>
    </row>
    <row r="197" spans="1:8" ht="12.5">
      <c r="A197" s="1" t="str">
        <f ca="1">IFERROR(__xludf.DUMMYFUNCTION("""COMPUTED_VALUE"""),"20230922IAOTO")</f>
        <v>20230922IAOTO</v>
      </c>
      <c r="B197" s="1"/>
      <c r="C197" s="1"/>
      <c r="D197" s="1"/>
      <c r="E197" s="1"/>
      <c r="F197" s="1" t="str">
        <f ca="1">IFERROR(__xludf.DUMMYFUNCTION("""COMPUTED_VALUE"""),"Fled/Escaped")</f>
        <v>Fled/Escaped</v>
      </c>
      <c r="G197" s="1" t="str">
        <f ca="1">IFERROR(__xludf.DUMMYFUNCTION("""COMPUTED_VALUE"""),"No")</f>
        <v>No</v>
      </c>
      <c r="H197" s="1" t="str">
        <f ca="1">IFERROR(__xludf.DUMMYFUNCTION("""COMPUTED_VALUE"""),"None")</f>
        <v>None</v>
      </c>
    </row>
    <row r="198" spans="1:8" ht="12.5">
      <c r="A198" s="1" t="str">
        <f ca="1">IFERROR(__xludf.DUMMYFUNCTION("""COMPUTED_VALUE"""),"20230922KYMAL")</f>
        <v>20230922KYMAL</v>
      </c>
      <c r="B198" s="1"/>
      <c r="C198" s="1"/>
      <c r="D198" s="1"/>
      <c r="E198" s="1"/>
      <c r="F198" s="1" t="str">
        <f ca="1">IFERROR(__xludf.DUMMYFUNCTION("""COMPUTED_VALUE"""),"Fled/Escaped")</f>
        <v>Fled/Escaped</v>
      </c>
      <c r="G198" s="1" t="str">
        <f ca="1">IFERROR(__xludf.DUMMYFUNCTION("""COMPUTED_VALUE"""),"No")</f>
        <v>No</v>
      </c>
      <c r="H198" s="1" t="str">
        <f ca="1">IFERROR(__xludf.DUMMYFUNCTION("""COMPUTED_VALUE"""),"None")</f>
        <v>None</v>
      </c>
    </row>
    <row r="199" spans="1:8" ht="12.5">
      <c r="A199" s="1" t="str">
        <f ca="1">IFERROR(__xludf.DUMMYFUNCTION("""COMPUTED_VALUE"""),"20230922TNWEM")</f>
        <v>20230922TNWEM</v>
      </c>
      <c r="B199" s="1">
        <f ca="1">IFERROR(__xludf.DUMMYFUNCTION("""COMPUTED_VALUE"""),14)</f>
        <v>14</v>
      </c>
      <c r="C199" s="1" t="str">
        <f ca="1">IFERROR(__xludf.DUMMYFUNCTION("""COMPUTED_VALUE"""),"Male")</f>
        <v>Male</v>
      </c>
      <c r="D199" s="1"/>
      <c r="E199" s="1" t="str">
        <f ca="1">IFERROR(__xludf.DUMMYFUNCTION("""COMPUTED_VALUE"""),"Student")</f>
        <v>Student</v>
      </c>
      <c r="F199" s="1" t="str">
        <f ca="1">IFERROR(__xludf.DUMMYFUNCTION("""COMPUTED_VALUE"""),"Fled/Apprehended")</f>
        <v>Fled/Apprehended</v>
      </c>
      <c r="G199" s="1" t="str">
        <f ca="1">IFERROR(__xludf.DUMMYFUNCTION("""COMPUTED_VALUE"""),"No")</f>
        <v>No</v>
      </c>
      <c r="H199" s="1" t="str">
        <f ca="1">IFERROR(__xludf.DUMMYFUNCTION("""COMPUTED_VALUE"""),"None")</f>
        <v>None</v>
      </c>
    </row>
    <row r="200" spans="1:8" ht="12.5">
      <c r="A200" s="1" t="str">
        <f ca="1">IFERROR(__xludf.DUMMYFUNCTION("""COMPUTED_VALUE"""),"20230922TNSWS")</f>
        <v>20230922TNSWS</v>
      </c>
      <c r="B200" s="1" t="str">
        <f ca="1">IFERROR(__xludf.DUMMYFUNCTION("""COMPUTED_VALUE"""),"Teen")</f>
        <v>Teen</v>
      </c>
      <c r="C200" s="1" t="str">
        <f ca="1">IFERROR(__xludf.DUMMYFUNCTION("""COMPUTED_VALUE"""),"Male")</f>
        <v>Male</v>
      </c>
      <c r="D200" s="1"/>
      <c r="E200" s="1"/>
      <c r="F200" s="1" t="str">
        <f ca="1">IFERROR(__xludf.DUMMYFUNCTION("""COMPUTED_VALUE"""),"Fled/Escaped")</f>
        <v>Fled/Escaped</v>
      </c>
      <c r="G200" s="1" t="str">
        <f ca="1">IFERROR(__xludf.DUMMYFUNCTION("""COMPUTED_VALUE"""),"No")</f>
        <v>No</v>
      </c>
      <c r="H200" s="1" t="str">
        <f ca="1">IFERROR(__xludf.DUMMYFUNCTION("""COMPUTED_VALUE"""),"None")</f>
        <v>None</v>
      </c>
    </row>
    <row r="201" spans="1:8" ht="12.5">
      <c r="A201" s="1" t="str">
        <f ca="1">IFERROR(__xludf.DUMMYFUNCTION("""COMPUTED_VALUE"""),"20230922WIMIM")</f>
        <v>20230922WIMIM</v>
      </c>
      <c r="B201" s="1"/>
      <c r="C201" s="1"/>
      <c r="D201" s="1"/>
      <c r="E201" s="1"/>
      <c r="F201" s="1" t="str">
        <f ca="1">IFERROR(__xludf.DUMMYFUNCTION("""COMPUTED_VALUE"""),"Fled/Escaped")</f>
        <v>Fled/Escaped</v>
      </c>
      <c r="G201" s="1" t="str">
        <f ca="1">IFERROR(__xludf.DUMMYFUNCTION("""COMPUTED_VALUE"""),"No")</f>
        <v>No</v>
      </c>
      <c r="H201" s="1" t="str">
        <f ca="1">IFERROR(__xludf.DUMMYFUNCTION("""COMPUTED_VALUE"""),"None")</f>
        <v>None</v>
      </c>
    </row>
    <row r="202" spans="1:8" ht="12.5">
      <c r="A202" s="1" t="str">
        <f ca="1">IFERROR(__xludf.DUMMYFUNCTION("""COMPUTED_VALUE"""),"20230920ILVOC")</f>
        <v>20230920ILVOC</v>
      </c>
      <c r="B202" s="1"/>
      <c r="C202" s="1"/>
      <c r="D202" s="1"/>
      <c r="E202" s="1"/>
      <c r="F202" s="1" t="str">
        <f ca="1">IFERROR(__xludf.DUMMYFUNCTION("""COMPUTED_VALUE"""),"Fled/Escaped")</f>
        <v>Fled/Escaped</v>
      </c>
      <c r="G202" s="1" t="str">
        <f ca="1">IFERROR(__xludf.DUMMYFUNCTION("""COMPUTED_VALUE"""),"No")</f>
        <v>No</v>
      </c>
      <c r="H202" s="1" t="str">
        <f ca="1">IFERROR(__xludf.DUMMYFUNCTION("""COMPUTED_VALUE"""),"None")</f>
        <v>None</v>
      </c>
    </row>
    <row r="203" spans="1:8" ht="12.5">
      <c r="A203" s="1" t="str">
        <f ca="1">IFERROR(__xludf.DUMMYFUNCTION("""COMPUTED_VALUE"""),"20230919TXKEB")</f>
        <v>20230919TXKEB</v>
      </c>
      <c r="B203" s="1">
        <f ca="1">IFERROR(__xludf.DUMMYFUNCTION("""COMPUTED_VALUE"""),11)</f>
        <v>11</v>
      </c>
      <c r="C203" s="1" t="str">
        <f ca="1">IFERROR(__xludf.DUMMYFUNCTION("""COMPUTED_VALUE"""),"Male")</f>
        <v>Male</v>
      </c>
      <c r="D203" s="1"/>
      <c r="E203" s="1" t="str">
        <f ca="1">IFERROR(__xludf.DUMMYFUNCTION("""COMPUTED_VALUE"""),"Student")</f>
        <v>Student</v>
      </c>
      <c r="F203" s="1" t="str">
        <f ca="1">IFERROR(__xludf.DUMMYFUNCTION("""COMPUTED_VALUE"""),"Apprehended/Killed by LE")</f>
        <v>Apprehended/Killed by LE</v>
      </c>
      <c r="G203" s="1" t="str">
        <f ca="1">IFERROR(__xludf.DUMMYFUNCTION("""COMPUTED_VALUE"""),"No")</f>
        <v>No</v>
      </c>
      <c r="H203" s="1" t="str">
        <f ca="1">IFERROR(__xludf.DUMMYFUNCTION("""COMPUTED_VALUE"""),"None")</f>
        <v>None</v>
      </c>
    </row>
    <row r="204" spans="1:8" ht="12.5">
      <c r="A204" s="1" t="str">
        <f ca="1">IFERROR(__xludf.DUMMYFUNCTION("""COMPUTED_VALUE"""),"20230919FLWOP")</f>
        <v>20230919FLWOP</v>
      </c>
      <c r="B204" s="1">
        <f ca="1">IFERROR(__xludf.DUMMYFUNCTION("""COMPUTED_VALUE"""),24)</f>
        <v>24</v>
      </c>
      <c r="C204" s="1" t="str">
        <f ca="1">IFERROR(__xludf.DUMMYFUNCTION("""COMPUTED_VALUE"""),"Male")</f>
        <v>Male</v>
      </c>
      <c r="D204" s="1" t="str">
        <f ca="1">IFERROR(__xludf.DUMMYFUNCTION("""COMPUTED_VALUE"""),"Black")</f>
        <v>Black</v>
      </c>
      <c r="E204" s="1" t="str">
        <f ca="1">IFERROR(__xludf.DUMMYFUNCTION("""COMPUTED_VALUE"""),"Nonstudent Using Athletic Facilities/Attending Game")</f>
        <v>Nonstudent Using Athletic Facilities/Attending Game</v>
      </c>
      <c r="F204" s="1" t="str">
        <f ca="1">IFERROR(__xludf.DUMMYFUNCTION("""COMPUTED_VALUE"""),"Fled/Apprehended")</f>
        <v>Fled/Apprehended</v>
      </c>
      <c r="G204" s="1" t="str">
        <f ca="1">IFERROR(__xludf.DUMMYFUNCTION("""COMPUTED_VALUE"""),"No")</f>
        <v>No</v>
      </c>
      <c r="H204" s="1" t="str">
        <f ca="1">IFERROR(__xludf.DUMMYFUNCTION("""COMPUTED_VALUE"""),"None")</f>
        <v>None</v>
      </c>
    </row>
    <row r="205" spans="1:8" ht="12.5">
      <c r="A205" s="1" t="str">
        <f ca="1">IFERROR(__xludf.DUMMYFUNCTION("""COMPUTED_VALUE"""),"20230919DCROW")</f>
        <v>20230919DCROW</v>
      </c>
      <c r="B205" s="1"/>
      <c r="C205" s="1"/>
      <c r="D205" s="1"/>
      <c r="E205" s="1" t="str">
        <f ca="1">IFERROR(__xludf.DUMMYFUNCTION("""COMPUTED_VALUE"""),"No Relation")</f>
        <v>No Relation</v>
      </c>
      <c r="F205" s="1" t="str">
        <f ca="1">IFERROR(__xludf.DUMMYFUNCTION("""COMPUTED_VALUE"""),"Fled/Escaped")</f>
        <v>Fled/Escaped</v>
      </c>
      <c r="G205" s="1" t="str">
        <f ca="1">IFERROR(__xludf.DUMMYFUNCTION("""COMPUTED_VALUE"""),"No")</f>
        <v>No</v>
      </c>
      <c r="H205" s="1" t="str">
        <f ca="1">IFERROR(__xludf.DUMMYFUNCTION("""COMPUTED_VALUE"""),"None")</f>
        <v>None</v>
      </c>
    </row>
    <row r="206" spans="1:8" ht="12.5">
      <c r="A206" s="1" t="str">
        <f ca="1">IFERROR(__xludf.DUMMYFUNCTION("""COMPUTED_VALUE"""),"20230918MDDUB")</f>
        <v>20230918MDDUB</v>
      </c>
      <c r="B206" s="1" t="str">
        <f ca="1">IFERROR(__xludf.DUMMYFUNCTION("""COMPUTED_VALUE"""),"Teen")</f>
        <v>Teen</v>
      </c>
      <c r="C206" s="1"/>
      <c r="D206" s="1"/>
      <c r="E206" s="1" t="str">
        <f ca="1">IFERROR(__xludf.DUMMYFUNCTION("""COMPUTED_VALUE"""),"Student")</f>
        <v>Student</v>
      </c>
      <c r="F206" s="1" t="str">
        <f ca="1">IFERROR(__xludf.DUMMYFUNCTION("""COMPUTED_VALUE"""),"Apprehended/Killed by LE")</f>
        <v>Apprehended/Killed by LE</v>
      </c>
      <c r="G206" s="1" t="str">
        <f ca="1">IFERROR(__xludf.DUMMYFUNCTION("""COMPUTED_VALUE"""),"No")</f>
        <v>No</v>
      </c>
      <c r="H206" s="1" t="str">
        <f ca="1">IFERROR(__xludf.DUMMYFUNCTION("""COMPUTED_VALUE"""),"None")</f>
        <v>None</v>
      </c>
    </row>
    <row r="207" spans="1:8" ht="12.5">
      <c r="A207" s="1" t="str">
        <f ca="1">IFERROR(__xludf.DUMMYFUNCTION("""COMPUTED_VALUE"""),"20230916OHEAC")</f>
        <v>20230916OHEAC</v>
      </c>
      <c r="B207" s="1"/>
      <c r="C207" s="1"/>
      <c r="D207" s="1"/>
      <c r="E207" s="1" t="str">
        <f ca="1">IFERROR(__xludf.DUMMYFUNCTION("""COMPUTED_VALUE"""),"No Relation")</f>
        <v>No Relation</v>
      </c>
      <c r="F207" s="1" t="str">
        <f ca="1">IFERROR(__xludf.DUMMYFUNCTION("""COMPUTED_VALUE"""),"Fled/Escaped")</f>
        <v>Fled/Escaped</v>
      </c>
      <c r="G207" s="1" t="str">
        <f ca="1">IFERROR(__xludf.DUMMYFUNCTION("""COMPUTED_VALUE"""),"No")</f>
        <v>No</v>
      </c>
      <c r="H207" s="1" t="str">
        <f ca="1">IFERROR(__xludf.DUMMYFUNCTION("""COMPUTED_VALUE"""),"None")</f>
        <v>None</v>
      </c>
    </row>
    <row r="208" spans="1:8" ht="12.5">
      <c r="A208" s="1" t="str">
        <f ca="1">IFERROR(__xludf.DUMMYFUNCTION("""COMPUTED_VALUE"""),"20230915ILHIC")</f>
        <v>20230915ILHIC</v>
      </c>
      <c r="B208" s="1"/>
      <c r="C208" s="1"/>
      <c r="D208" s="1"/>
      <c r="E208" s="1"/>
      <c r="F208" s="1" t="str">
        <f ca="1">IFERROR(__xludf.DUMMYFUNCTION("""COMPUTED_VALUE"""),"Fled/Escaped")</f>
        <v>Fled/Escaped</v>
      </c>
      <c r="G208" s="1" t="str">
        <f ca="1">IFERROR(__xludf.DUMMYFUNCTION("""COMPUTED_VALUE"""),"No")</f>
        <v>No</v>
      </c>
      <c r="H208" s="1" t="str">
        <f ca="1">IFERROR(__xludf.DUMMYFUNCTION("""COMPUTED_VALUE"""),"None")</f>
        <v>None</v>
      </c>
    </row>
    <row r="209" spans="1:8" ht="12.5">
      <c r="A209" s="1" t="str">
        <f ca="1">IFERROR(__xludf.DUMMYFUNCTION("""COMPUTED_VALUE"""),"20230915KSWYK")</f>
        <v>20230915KSWYK</v>
      </c>
      <c r="B209" s="1"/>
      <c r="C209" s="1"/>
      <c r="D209" s="1"/>
      <c r="E209" s="1"/>
      <c r="F209" s="1" t="str">
        <f ca="1">IFERROR(__xludf.DUMMYFUNCTION("""COMPUTED_VALUE"""),"Fled/Escaped")</f>
        <v>Fled/Escaped</v>
      </c>
      <c r="G209" s="1" t="str">
        <f ca="1">IFERROR(__xludf.DUMMYFUNCTION("""COMPUTED_VALUE"""),"No")</f>
        <v>No</v>
      </c>
      <c r="H209" s="1" t="str">
        <f ca="1">IFERROR(__xludf.DUMMYFUNCTION("""COMPUTED_VALUE"""),"None")</f>
        <v>None</v>
      </c>
    </row>
    <row r="210" spans="1:8" ht="12.5">
      <c r="A210" s="1" t="str">
        <f ca="1">IFERROR(__xludf.DUMMYFUNCTION("""COMPUTED_VALUE"""),"20230915KSWYK")</f>
        <v>20230915KSWYK</v>
      </c>
      <c r="B210" s="1"/>
      <c r="C210" s="1"/>
      <c r="D210" s="1"/>
      <c r="E210" s="1"/>
      <c r="F210" s="1" t="str">
        <f ca="1">IFERROR(__xludf.DUMMYFUNCTION("""COMPUTED_VALUE"""),"Fled/Escaped")</f>
        <v>Fled/Escaped</v>
      </c>
      <c r="G210" s="1" t="str">
        <f ca="1">IFERROR(__xludf.DUMMYFUNCTION("""COMPUTED_VALUE"""),"No")</f>
        <v>No</v>
      </c>
      <c r="H210" s="1" t="str">
        <f ca="1">IFERROR(__xludf.DUMMYFUNCTION("""COMPUTED_VALUE"""),"None")</f>
        <v>None</v>
      </c>
    </row>
    <row r="211" spans="1:8" ht="12.5">
      <c r="A211" s="1" t="str">
        <f ca="1">IFERROR(__xludf.DUMMYFUNCTION("""COMPUTED_VALUE"""),"20230915MDJAB")</f>
        <v>20230915MDJAB</v>
      </c>
      <c r="B211" s="1"/>
      <c r="C211" s="1"/>
      <c r="D211" s="1"/>
      <c r="E211" s="1"/>
      <c r="F211" s="1" t="str">
        <f ca="1">IFERROR(__xludf.DUMMYFUNCTION("""COMPUTED_VALUE"""),"Fled/Escaped")</f>
        <v>Fled/Escaped</v>
      </c>
      <c r="G211" s="1" t="str">
        <f ca="1">IFERROR(__xludf.DUMMYFUNCTION("""COMPUTED_VALUE"""),"No")</f>
        <v>No</v>
      </c>
      <c r="H211" s="1" t="str">
        <f ca="1">IFERROR(__xludf.DUMMYFUNCTION("""COMPUTED_VALUE"""),"None")</f>
        <v>None</v>
      </c>
    </row>
    <row r="212" spans="1:8" ht="12.5">
      <c r="A212" s="1" t="str">
        <f ca="1">IFERROR(__xludf.DUMMYFUNCTION("""COMPUTED_VALUE"""),"20230914ILBOU")</f>
        <v>20230914ILBOU</v>
      </c>
      <c r="B212" s="1">
        <f ca="1">IFERROR(__xludf.DUMMYFUNCTION("""COMPUTED_VALUE"""),15)</f>
        <v>15</v>
      </c>
      <c r="C212" s="1" t="str">
        <f ca="1">IFERROR(__xludf.DUMMYFUNCTION("""COMPUTED_VALUE"""),"Male")</f>
        <v>Male</v>
      </c>
      <c r="D212" s="1"/>
      <c r="E212" s="1" t="str">
        <f ca="1">IFERROR(__xludf.DUMMYFUNCTION("""COMPUTED_VALUE"""),"Student")</f>
        <v>Student</v>
      </c>
      <c r="F212" s="1" t="str">
        <f ca="1">IFERROR(__xludf.DUMMYFUNCTION("""COMPUTED_VALUE"""),"Fled/Apprehended")</f>
        <v>Fled/Apprehended</v>
      </c>
      <c r="G212" s="1" t="str">
        <f ca="1">IFERROR(__xludf.DUMMYFUNCTION("""COMPUTED_VALUE"""),"No")</f>
        <v>No</v>
      </c>
      <c r="H212" s="1" t="str">
        <f ca="1">IFERROR(__xludf.DUMMYFUNCTION("""COMPUTED_VALUE"""),"None")</f>
        <v>None</v>
      </c>
    </row>
    <row r="213" spans="1:8" ht="12.5">
      <c r="A213" s="1" t="str">
        <f ca="1">IFERROR(__xludf.DUMMYFUNCTION("""COMPUTED_VALUE"""),"20230914ILBOU")</f>
        <v>20230914ILBOU</v>
      </c>
      <c r="B213" s="1">
        <f ca="1">IFERROR(__xludf.DUMMYFUNCTION("""COMPUTED_VALUE"""),16)</f>
        <v>16</v>
      </c>
      <c r="C213" s="1" t="str">
        <f ca="1">IFERROR(__xludf.DUMMYFUNCTION("""COMPUTED_VALUE"""),"Male")</f>
        <v>Male</v>
      </c>
      <c r="D213" s="1"/>
      <c r="E213" s="1" t="str">
        <f ca="1">IFERROR(__xludf.DUMMYFUNCTION("""COMPUTED_VALUE"""),"Student")</f>
        <v>Student</v>
      </c>
      <c r="F213" s="1" t="str">
        <f ca="1">IFERROR(__xludf.DUMMYFUNCTION("""COMPUTED_VALUE"""),"Fled/Apprehended")</f>
        <v>Fled/Apprehended</v>
      </c>
      <c r="G213" s="1" t="str">
        <f ca="1">IFERROR(__xludf.DUMMYFUNCTION("""COMPUTED_VALUE"""),"No")</f>
        <v>No</v>
      </c>
      <c r="H213" s="1" t="str">
        <f ca="1">IFERROR(__xludf.DUMMYFUNCTION("""COMPUTED_VALUE"""),"None")</f>
        <v>None</v>
      </c>
    </row>
    <row r="214" spans="1:8" ht="12.5">
      <c r="A214" s="1" t="str">
        <f ca="1">IFERROR(__xludf.DUMMYFUNCTION("""COMPUTED_VALUE"""),"20230914ILBOU")</f>
        <v>20230914ILBOU</v>
      </c>
      <c r="B214" s="1">
        <f ca="1">IFERROR(__xludf.DUMMYFUNCTION("""COMPUTED_VALUE"""),16)</f>
        <v>16</v>
      </c>
      <c r="C214" s="1" t="str">
        <f ca="1">IFERROR(__xludf.DUMMYFUNCTION("""COMPUTED_VALUE"""),"Male")</f>
        <v>Male</v>
      </c>
      <c r="D214" s="1"/>
      <c r="E214" s="1" t="str">
        <f ca="1">IFERROR(__xludf.DUMMYFUNCTION("""COMPUTED_VALUE"""),"Student")</f>
        <v>Student</v>
      </c>
      <c r="F214" s="1" t="str">
        <f ca="1">IFERROR(__xludf.DUMMYFUNCTION("""COMPUTED_VALUE"""),"Fled/Apprehended")</f>
        <v>Fled/Apprehended</v>
      </c>
      <c r="G214" s="1" t="str">
        <f ca="1">IFERROR(__xludf.DUMMYFUNCTION("""COMPUTED_VALUE"""),"No")</f>
        <v>No</v>
      </c>
      <c r="H214" s="1" t="str">
        <f ca="1">IFERROR(__xludf.DUMMYFUNCTION("""COMPUTED_VALUE"""),"None")</f>
        <v>None</v>
      </c>
    </row>
    <row r="215" spans="1:8" ht="12.5">
      <c r="A215" s="1" t="str">
        <f ca="1">IFERROR(__xludf.DUMMYFUNCTION("""COMPUTED_VALUE"""),"20230914ILBOU")</f>
        <v>20230914ILBOU</v>
      </c>
      <c r="B215" s="1">
        <f ca="1">IFERROR(__xludf.DUMMYFUNCTION("""COMPUTED_VALUE"""),18)</f>
        <v>18</v>
      </c>
      <c r="C215" s="1" t="str">
        <f ca="1">IFERROR(__xludf.DUMMYFUNCTION("""COMPUTED_VALUE"""),"Male")</f>
        <v>Male</v>
      </c>
      <c r="D215" s="1"/>
      <c r="E215" s="1" t="str">
        <f ca="1">IFERROR(__xludf.DUMMYFUNCTION("""COMPUTED_VALUE"""),"Student")</f>
        <v>Student</v>
      </c>
      <c r="F215" s="1" t="str">
        <f ca="1">IFERROR(__xludf.DUMMYFUNCTION("""COMPUTED_VALUE"""),"Fled/Apprehended")</f>
        <v>Fled/Apprehended</v>
      </c>
      <c r="G215" s="1" t="str">
        <f ca="1">IFERROR(__xludf.DUMMYFUNCTION("""COMPUTED_VALUE"""),"No")</f>
        <v>No</v>
      </c>
      <c r="H215" s="1" t="str">
        <f ca="1">IFERROR(__xludf.DUMMYFUNCTION("""COMPUTED_VALUE"""),"None")</f>
        <v>None</v>
      </c>
    </row>
    <row r="216" spans="1:8" ht="12.5">
      <c r="A216" s="1" t="str">
        <f ca="1">IFERROR(__xludf.DUMMYFUNCTION("""COMPUTED_VALUE"""),"20230913GALAA")</f>
        <v>20230913GALAA</v>
      </c>
      <c r="B216" s="1" t="str">
        <f ca="1">IFERROR(__xludf.DUMMYFUNCTION("""COMPUTED_VALUE"""),"Adult")</f>
        <v>Adult</v>
      </c>
      <c r="C216" s="1" t="str">
        <f ca="1">IFERROR(__xludf.DUMMYFUNCTION("""COMPUTED_VALUE"""),"Male")</f>
        <v>Male</v>
      </c>
      <c r="D216" s="1"/>
      <c r="E216" s="1" t="str">
        <f ca="1">IFERROR(__xludf.DUMMYFUNCTION("""COMPUTED_VALUE"""),"Parent")</f>
        <v>Parent</v>
      </c>
      <c r="F216" s="1" t="str">
        <f ca="1">IFERROR(__xludf.DUMMYFUNCTION("""COMPUTED_VALUE"""),"Fled/Escaped")</f>
        <v>Fled/Escaped</v>
      </c>
      <c r="G216" s="1" t="str">
        <f ca="1">IFERROR(__xludf.DUMMYFUNCTION("""COMPUTED_VALUE"""),"No")</f>
        <v>No</v>
      </c>
      <c r="H216" s="1" t="str">
        <f ca="1">IFERROR(__xludf.DUMMYFUNCTION("""COMPUTED_VALUE"""),"None")</f>
        <v>None</v>
      </c>
    </row>
    <row r="217" spans="1:8" ht="12.5">
      <c r="A217" s="1" t="str">
        <f ca="1">IFERROR(__xludf.DUMMYFUNCTION("""COMPUTED_VALUE"""),"20230913DCLIW")</f>
        <v>20230913DCLIW</v>
      </c>
      <c r="B217" s="1"/>
      <c r="C217" s="1"/>
      <c r="D217" s="1"/>
      <c r="E217" s="1"/>
      <c r="F217" s="1" t="str">
        <f ca="1">IFERROR(__xludf.DUMMYFUNCTION("""COMPUTED_VALUE"""),"Fled/Escaped")</f>
        <v>Fled/Escaped</v>
      </c>
      <c r="G217" s="1" t="str">
        <f ca="1">IFERROR(__xludf.DUMMYFUNCTION("""COMPUTED_VALUE"""),"No")</f>
        <v>No</v>
      </c>
      <c r="H217" s="1" t="str">
        <f ca="1">IFERROR(__xludf.DUMMYFUNCTION("""COMPUTED_VALUE"""),"None")</f>
        <v>None</v>
      </c>
    </row>
    <row r="218" spans="1:8" ht="12.5">
      <c r="A218" s="1" t="str">
        <f ca="1">IFERROR(__xludf.DUMMYFUNCTION("""COMPUTED_VALUE"""),"20230912WAEIY")</f>
        <v>20230912WAEIY</v>
      </c>
      <c r="B218" s="1">
        <f ca="1">IFERROR(__xludf.DUMMYFUNCTION("""COMPUTED_VALUE"""),15)</f>
        <v>15</v>
      </c>
      <c r="C218" s="1" t="str">
        <f ca="1">IFERROR(__xludf.DUMMYFUNCTION("""COMPUTED_VALUE"""),"Male")</f>
        <v>Male</v>
      </c>
      <c r="D218" s="1"/>
      <c r="E218" s="1" t="str">
        <f ca="1">IFERROR(__xludf.DUMMYFUNCTION("""COMPUTED_VALUE"""),"Student")</f>
        <v>Student</v>
      </c>
      <c r="F218" s="1" t="str">
        <f ca="1">IFERROR(__xludf.DUMMYFUNCTION("""COMPUTED_VALUE"""),"Fled/Apprehended")</f>
        <v>Fled/Apprehended</v>
      </c>
      <c r="G218" s="1" t="str">
        <f ca="1">IFERROR(__xludf.DUMMYFUNCTION("""COMPUTED_VALUE"""),"No")</f>
        <v>No</v>
      </c>
      <c r="H218" s="1" t="str">
        <f ca="1">IFERROR(__xludf.DUMMYFUNCTION("""COMPUTED_VALUE"""),"None")</f>
        <v>None</v>
      </c>
    </row>
    <row r="219" spans="1:8" ht="12.5">
      <c r="A219" s="1" t="str">
        <f ca="1">IFERROR(__xludf.DUMMYFUNCTION("""COMPUTED_VALUE"""),"20230912LASTG")</f>
        <v>20230912LASTG</v>
      </c>
      <c r="B219" s="1">
        <f ca="1">IFERROR(__xludf.DUMMYFUNCTION("""COMPUTED_VALUE"""),14)</f>
        <v>14</v>
      </c>
      <c r="C219" s="1" t="str">
        <f ca="1">IFERROR(__xludf.DUMMYFUNCTION("""COMPUTED_VALUE"""),"Male")</f>
        <v>Male</v>
      </c>
      <c r="D219" s="1"/>
      <c r="E219" s="1" t="str">
        <f ca="1">IFERROR(__xludf.DUMMYFUNCTION("""COMPUTED_VALUE"""),"Student")</f>
        <v>Student</v>
      </c>
      <c r="F219" s="1" t="str">
        <f ca="1">IFERROR(__xludf.DUMMYFUNCTION("""COMPUTED_VALUE"""),"Fled/Apprehended")</f>
        <v>Fled/Apprehended</v>
      </c>
      <c r="G219" s="1" t="str">
        <f ca="1">IFERROR(__xludf.DUMMYFUNCTION("""COMPUTED_VALUE"""),"No")</f>
        <v>No</v>
      </c>
      <c r="H219" s="1" t="str">
        <f ca="1">IFERROR(__xludf.DUMMYFUNCTION("""COMPUTED_VALUE"""),"None")</f>
        <v>None</v>
      </c>
    </row>
    <row r="220" spans="1:8" ht="12.5">
      <c r="A220" s="1" t="str">
        <f ca="1">IFERROR(__xludf.DUMMYFUNCTION("""COMPUTED_VALUE"""),"20230911MDDUL")</f>
        <v>20230911MDDUL</v>
      </c>
      <c r="B220" s="1">
        <f ca="1">IFERROR(__xludf.DUMMYFUNCTION("""COMPUTED_VALUE"""),16)</f>
        <v>16</v>
      </c>
      <c r="C220" s="1" t="str">
        <f ca="1">IFERROR(__xludf.DUMMYFUNCTION("""COMPUTED_VALUE"""),"Male")</f>
        <v>Male</v>
      </c>
      <c r="D220" s="1"/>
      <c r="E220" s="1" t="str">
        <f ca="1">IFERROR(__xludf.DUMMYFUNCTION("""COMPUTED_VALUE"""),"Student")</f>
        <v>Student</v>
      </c>
      <c r="F220" s="1" t="str">
        <f ca="1">IFERROR(__xludf.DUMMYFUNCTION("""COMPUTED_VALUE"""),"Fled/Apprehended")</f>
        <v>Fled/Apprehended</v>
      </c>
      <c r="G220" s="1" t="str">
        <f ca="1">IFERROR(__xludf.DUMMYFUNCTION("""COMPUTED_VALUE"""),"No")</f>
        <v>No</v>
      </c>
      <c r="H220" s="1" t="str">
        <f ca="1">IFERROR(__xludf.DUMMYFUNCTION("""COMPUTED_VALUE"""),"None")</f>
        <v>None</v>
      </c>
    </row>
    <row r="221" spans="1:8" ht="12.5">
      <c r="A221" s="1" t="str">
        <f ca="1">IFERROR(__xludf.DUMMYFUNCTION("""COMPUTED_VALUE"""),"20230911ARPRN")</f>
        <v>20230911ARPRN</v>
      </c>
      <c r="B221" s="1"/>
      <c r="C221" s="1"/>
      <c r="D221" s="1"/>
      <c r="E221" s="1"/>
      <c r="F221" s="1" t="str">
        <f ca="1">IFERROR(__xludf.DUMMYFUNCTION("""COMPUTED_VALUE"""),"Fled/Escaped")</f>
        <v>Fled/Escaped</v>
      </c>
      <c r="G221" s="1" t="str">
        <f ca="1">IFERROR(__xludf.DUMMYFUNCTION("""COMPUTED_VALUE"""),"No")</f>
        <v>No</v>
      </c>
      <c r="H221" s="1" t="str">
        <f ca="1">IFERROR(__xludf.DUMMYFUNCTION("""COMPUTED_VALUE"""),"None")</f>
        <v>None</v>
      </c>
    </row>
    <row r="222" spans="1:8" ht="12.5">
      <c r="A222" s="1" t="str">
        <f ca="1">IFERROR(__xludf.DUMMYFUNCTION("""COMPUTED_VALUE"""),"20230909NYPRU")</f>
        <v>20230909NYPRU</v>
      </c>
      <c r="B222" s="1">
        <f ca="1">IFERROR(__xludf.DUMMYFUNCTION("""COMPUTED_VALUE"""),16)</f>
        <v>16</v>
      </c>
      <c r="C222" s="1" t="str">
        <f ca="1">IFERROR(__xludf.DUMMYFUNCTION("""COMPUTED_VALUE"""),"Male")</f>
        <v>Male</v>
      </c>
      <c r="D222" s="1"/>
      <c r="E222" s="1" t="str">
        <f ca="1">IFERROR(__xludf.DUMMYFUNCTION("""COMPUTED_VALUE"""),"Student")</f>
        <v>Student</v>
      </c>
      <c r="F222" s="1" t="str">
        <f ca="1">IFERROR(__xludf.DUMMYFUNCTION("""COMPUTED_VALUE"""),"Fled/Apprehended")</f>
        <v>Fled/Apprehended</v>
      </c>
      <c r="G222" s="1" t="str">
        <f ca="1">IFERROR(__xludf.DUMMYFUNCTION("""COMPUTED_VALUE"""),"No")</f>
        <v>No</v>
      </c>
      <c r="H222" s="1" t="str">
        <f ca="1">IFERROR(__xludf.DUMMYFUNCTION("""COMPUTED_VALUE"""),"None")</f>
        <v>None</v>
      </c>
    </row>
    <row r="223" spans="1:8" ht="12.5">
      <c r="A223" s="1" t="str">
        <f ca="1">IFERROR(__xludf.DUMMYFUNCTION("""COMPUTED_VALUE"""),"20230908NCLUL")</f>
        <v>20230908NCLUL</v>
      </c>
      <c r="B223" s="1">
        <f ca="1">IFERROR(__xludf.DUMMYFUNCTION("""COMPUTED_VALUE"""),21)</f>
        <v>21</v>
      </c>
      <c r="C223" s="1" t="str">
        <f ca="1">IFERROR(__xludf.DUMMYFUNCTION("""COMPUTED_VALUE"""),"Male")</f>
        <v>Male</v>
      </c>
      <c r="D223" s="1"/>
      <c r="E223" s="1"/>
      <c r="F223" s="1" t="str">
        <f ca="1">IFERROR(__xludf.DUMMYFUNCTION("""COMPUTED_VALUE"""),"Fled/Apprehended")</f>
        <v>Fled/Apprehended</v>
      </c>
      <c r="G223" s="1" t="str">
        <f ca="1">IFERROR(__xludf.DUMMYFUNCTION("""COMPUTED_VALUE"""),"No")</f>
        <v>No</v>
      </c>
      <c r="H223" s="1" t="str">
        <f ca="1">IFERROR(__xludf.DUMMYFUNCTION("""COMPUTED_VALUE"""),"None")</f>
        <v>None</v>
      </c>
    </row>
    <row r="224" spans="1:8" ht="12.5">
      <c r="A224" s="1" t="str">
        <f ca="1">IFERROR(__xludf.DUMMYFUNCTION("""COMPUTED_VALUE"""),"20230908NCLUL")</f>
        <v>20230908NCLUL</v>
      </c>
      <c r="B224" s="1">
        <f ca="1">IFERROR(__xludf.DUMMYFUNCTION("""COMPUTED_VALUE"""),17)</f>
        <v>17</v>
      </c>
      <c r="C224" s="1" t="str">
        <f ca="1">IFERROR(__xludf.DUMMYFUNCTION("""COMPUTED_VALUE"""),"Male")</f>
        <v>Male</v>
      </c>
      <c r="D224" s="1"/>
      <c r="E224" s="1"/>
      <c r="F224" s="1" t="str">
        <f ca="1">IFERROR(__xludf.DUMMYFUNCTION("""COMPUTED_VALUE"""),"Fled/Apprehended")</f>
        <v>Fled/Apprehended</v>
      </c>
      <c r="G224" s="1" t="str">
        <f ca="1">IFERROR(__xludf.DUMMYFUNCTION("""COMPUTED_VALUE"""),"No")</f>
        <v>No</v>
      </c>
      <c r="H224" s="1" t="str">
        <f ca="1">IFERROR(__xludf.DUMMYFUNCTION("""COMPUTED_VALUE"""),"None")</f>
        <v>None</v>
      </c>
    </row>
    <row r="225" spans="1:8" ht="12.5">
      <c r="A225" s="1" t="str">
        <f ca="1">IFERROR(__xludf.DUMMYFUNCTION("""COMPUTED_VALUE"""),"20230906FLANT")</f>
        <v>20230906FLANT</v>
      </c>
      <c r="B225" s="1">
        <f ca="1">IFERROR(__xludf.DUMMYFUNCTION("""COMPUTED_VALUE"""),32)</f>
        <v>32</v>
      </c>
      <c r="C225" s="1" t="str">
        <f ca="1">IFERROR(__xludf.DUMMYFUNCTION("""COMPUTED_VALUE"""),"Female")</f>
        <v>Female</v>
      </c>
      <c r="D225" s="1" t="str">
        <f ca="1">IFERROR(__xludf.DUMMYFUNCTION("""COMPUTED_VALUE"""),"Black")</f>
        <v>Black</v>
      </c>
      <c r="E225" s="1" t="str">
        <f ca="1">IFERROR(__xludf.DUMMYFUNCTION("""COMPUTED_VALUE"""),"Parent")</f>
        <v>Parent</v>
      </c>
      <c r="F225" s="1" t="str">
        <f ca="1">IFERROR(__xludf.DUMMYFUNCTION("""COMPUTED_VALUE"""),"Fled/Apprehended")</f>
        <v>Fled/Apprehended</v>
      </c>
      <c r="G225" s="1" t="str">
        <f ca="1">IFERROR(__xludf.DUMMYFUNCTION("""COMPUTED_VALUE"""),"No")</f>
        <v>No</v>
      </c>
      <c r="H225" s="1" t="str">
        <f ca="1">IFERROR(__xludf.DUMMYFUNCTION("""COMPUTED_VALUE"""),"None")</f>
        <v>None</v>
      </c>
    </row>
    <row r="226" spans="1:8" ht="12.5">
      <c r="A226" s="1" t="str">
        <f ca="1">IFERROR(__xludf.DUMMYFUNCTION("""COMPUTED_VALUE"""),"20230905CASKO")</f>
        <v>20230905CASKO</v>
      </c>
      <c r="B226" s="1" t="str">
        <f ca="1">IFERROR(__xludf.DUMMYFUNCTION("""COMPUTED_VALUE"""),"Teen")</f>
        <v>Teen</v>
      </c>
      <c r="C226" s="1" t="str">
        <f ca="1">IFERROR(__xludf.DUMMYFUNCTION("""COMPUTED_VALUE"""),"Male")</f>
        <v>Male</v>
      </c>
      <c r="D226" s="1"/>
      <c r="E226" s="1" t="str">
        <f ca="1">IFERROR(__xludf.DUMMYFUNCTION("""COMPUTED_VALUE"""),"Student")</f>
        <v>Student</v>
      </c>
      <c r="F226" s="1" t="str">
        <f ca="1">IFERROR(__xludf.DUMMYFUNCTION("""COMPUTED_VALUE"""),"Fled/Apprehended")</f>
        <v>Fled/Apprehended</v>
      </c>
      <c r="G226" s="1" t="str">
        <f ca="1">IFERROR(__xludf.DUMMYFUNCTION("""COMPUTED_VALUE"""),"No")</f>
        <v>No</v>
      </c>
      <c r="H226" s="1" t="str">
        <f ca="1">IFERROR(__xludf.DUMMYFUNCTION("""COMPUTED_VALUE"""),"None")</f>
        <v>None</v>
      </c>
    </row>
    <row r="227" spans="1:8" ht="12.5">
      <c r="A227" s="1" t="str">
        <f ca="1">IFERROR(__xludf.DUMMYFUNCTION("""COMPUTED_VALUE"""),"20230901TNMEM")</f>
        <v>20230901TNMEM</v>
      </c>
      <c r="B227" s="1"/>
      <c r="C227" s="1" t="str">
        <f ca="1">IFERROR(__xludf.DUMMYFUNCTION("""COMPUTED_VALUE"""),"Male")</f>
        <v>Male</v>
      </c>
      <c r="D227" s="1"/>
      <c r="E227" s="1"/>
      <c r="F227" s="1" t="str">
        <f ca="1">IFERROR(__xludf.DUMMYFUNCTION("""COMPUTED_VALUE"""),"Fled/Escaped")</f>
        <v>Fled/Escaped</v>
      </c>
      <c r="G227" s="1" t="str">
        <f ca="1">IFERROR(__xludf.DUMMYFUNCTION("""COMPUTED_VALUE"""),"No")</f>
        <v>No</v>
      </c>
      <c r="H227" s="1" t="str">
        <f ca="1">IFERROR(__xludf.DUMMYFUNCTION("""COMPUTED_VALUE"""),"None")</f>
        <v>None</v>
      </c>
    </row>
    <row r="228" spans="1:8" ht="12.5">
      <c r="A228" s="1" t="str">
        <f ca="1">IFERROR(__xludf.DUMMYFUNCTION("""COMPUTED_VALUE"""),"20230901MDDUB")</f>
        <v>20230901MDDUB</v>
      </c>
      <c r="B228" s="1">
        <f ca="1">IFERROR(__xludf.DUMMYFUNCTION("""COMPUTED_VALUE"""),15)</f>
        <v>15</v>
      </c>
      <c r="C228" s="1" t="str">
        <f ca="1">IFERROR(__xludf.DUMMYFUNCTION("""COMPUTED_VALUE"""),"Male")</f>
        <v>Male</v>
      </c>
      <c r="D228" s="1"/>
      <c r="E228" s="1"/>
      <c r="F228" s="1" t="str">
        <f ca="1">IFERROR(__xludf.DUMMYFUNCTION("""COMPUTED_VALUE"""),"Fled/Apprehended")</f>
        <v>Fled/Apprehended</v>
      </c>
      <c r="G228" s="1" t="str">
        <f ca="1">IFERROR(__xludf.DUMMYFUNCTION("""COMPUTED_VALUE"""),"No")</f>
        <v>No</v>
      </c>
      <c r="H228" s="1" t="str">
        <f ca="1">IFERROR(__xludf.DUMMYFUNCTION("""COMPUTED_VALUE"""),"None")</f>
        <v>None</v>
      </c>
    </row>
    <row r="229" spans="1:8" ht="12.5">
      <c r="A229" s="1" t="str">
        <f ca="1">IFERROR(__xludf.DUMMYFUNCTION("""COMPUTED_VALUE"""),"20230901ILMOC")</f>
        <v>20230901ILMOC</v>
      </c>
      <c r="B229" s="1"/>
      <c r="C229" s="1"/>
      <c r="D229" s="1"/>
      <c r="E229" s="1"/>
      <c r="F229" s="1" t="str">
        <f ca="1">IFERROR(__xludf.DUMMYFUNCTION("""COMPUTED_VALUE"""),"Fled/Escaped")</f>
        <v>Fled/Escaped</v>
      </c>
      <c r="G229" s="1" t="str">
        <f ca="1">IFERROR(__xludf.DUMMYFUNCTION("""COMPUTED_VALUE"""),"No")</f>
        <v>No</v>
      </c>
      <c r="H229" s="1" t="str">
        <f ca="1">IFERROR(__xludf.DUMMYFUNCTION("""COMPUTED_VALUE"""),"None")</f>
        <v>None</v>
      </c>
    </row>
    <row r="230" spans="1:8" ht="12.5">
      <c r="A230" s="1" t="str">
        <f ca="1">IFERROR(__xludf.DUMMYFUNCTION("""COMPUTED_VALUE"""),"20230901LAPOP")</f>
        <v>20230901LAPOP</v>
      </c>
      <c r="B230" s="1"/>
      <c r="C230" s="1"/>
      <c r="D230" s="1"/>
      <c r="E230" s="1"/>
      <c r="F230" s="1" t="str">
        <f ca="1">IFERROR(__xludf.DUMMYFUNCTION("""COMPUTED_VALUE"""),"Fled/Escaped")</f>
        <v>Fled/Escaped</v>
      </c>
      <c r="G230" s="1" t="str">
        <f ca="1">IFERROR(__xludf.DUMMYFUNCTION("""COMPUTED_VALUE"""),"No")</f>
        <v>No</v>
      </c>
      <c r="H230" s="1" t="str">
        <f ca="1">IFERROR(__xludf.DUMMYFUNCTION("""COMPUTED_VALUE"""),"None")</f>
        <v>None</v>
      </c>
    </row>
    <row r="231" spans="1:8" ht="12.5">
      <c r="A231" s="1" t="str">
        <f ca="1">IFERROR(__xludf.DUMMYFUNCTION("""COMPUTED_VALUE"""),"20230831KSWEW")</f>
        <v>20230831KSWEW</v>
      </c>
      <c r="B231" s="1"/>
      <c r="C231" s="1"/>
      <c r="D231" s="1"/>
      <c r="E231" s="1"/>
      <c r="F231" s="1" t="str">
        <f ca="1">IFERROR(__xludf.DUMMYFUNCTION("""COMPUTED_VALUE"""),"Fled/Escaped")</f>
        <v>Fled/Escaped</v>
      </c>
      <c r="G231" s="1" t="str">
        <f ca="1">IFERROR(__xludf.DUMMYFUNCTION("""COMPUTED_VALUE"""),"No")</f>
        <v>No</v>
      </c>
      <c r="H231" s="1" t="str">
        <f ca="1">IFERROR(__xludf.DUMMYFUNCTION("""COMPUTED_VALUE"""),"None")</f>
        <v>None</v>
      </c>
    </row>
    <row r="232" spans="1:8" ht="12.5">
      <c r="A232" s="1" t="str">
        <f ca="1">IFERROR(__xludf.DUMMYFUNCTION("""COMPUTED_VALUE"""),"20230831MSBRB")</f>
        <v>20230831MSBRB</v>
      </c>
      <c r="B232" s="1">
        <f ca="1">IFERROR(__xludf.DUMMYFUNCTION("""COMPUTED_VALUE"""),11)</f>
        <v>11</v>
      </c>
      <c r="C232" s="1" t="str">
        <f ca="1">IFERROR(__xludf.DUMMYFUNCTION("""COMPUTED_VALUE"""),"Male")</f>
        <v>Male</v>
      </c>
      <c r="D232" s="1"/>
      <c r="E232" s="1" t="str">
        <f ca="1">IFERROR(__xludf.DUMMYFUNCTION("""COMPUTED_VALUE"""),"Student")</f>
        <v>Student</v>
      </c>
      <c r="F232" s="1" t="str">
        <f ca="1">IFERROR(__xludf.DUMMYFUNCTION("""COMPUTED_VALUE"""),"Fled/Apprehended")</f>
        <v>Fled/Apprehended</v>
      </c>
      <c r="G232" s="1" t="str">
        <f ca="1">IFERROR(__xludf.DUMMYFUNCTION("""COMPUTED_VALUE"""),"No")</f>
        <v>No</v>
      </c>
      <c r="H232" s="1" t="str">
        <f ca="1">IFERROR(__xludf.DUMMYFUNCTION("""COMPUTED_VALUE"""),"None")</f>
        <v>None</v>
      </c>
    </row>
    <row r="233" spans="1:8" ht="12.5">
      <c r="A233" s="1" t="str">
        <f ca="1">IFERROR(__xludf.DUMMYFUNCTION("""COMPUTED_VALUE"""),"20230831WANOD")</f>
        <v>20230831WANOD</v>
      </c>
      <c r="B233" s="1" t="str">
        <f ca="1">IFERROR(__xludf.DUMMYFUNCTION("""COMPUTED_VALUE"""),"Teen")</f>
        <v>Teen</v>
      </c>
      <c r="C233" s="1" t="str">
        <f ca="1">IFERROR(__xludf.DUMMYFUNCTION("""COMPUTED_VALUE"""),"Male")</f>
        <v>Male</v>
      </c>
      <c r="D233" s="1"/>
      <c r="E233" s="1" t="str">
        <f ca="1">IFERROR(__xludf.DUMMYFUNCTION("""COMPUTED_VALUE"""),"No Relation")</f>
        <v>No Relation</v>
      </c>
      <c r="F233" s="1" t="str">
        <f ca="1">IFERROR(__xludf.DUMMYFUNCTION("""COMPUTED_VALUE"""),"Fled/Escaped")</f>
        <v>Fled/Escaped</v>
      </c>
      <c r="G233" s="1" t="str">
        <f ca="1">IFERROR(__xludf.DUMMYFUNCTION("""COMPUTED_VALUE"""),"No")</f>
        <v>No</v>
      </c>
      <c r="H233" s="1" t="str">
        <f ca="1">IFERROR(__xludf.DUMMYFUNCTION("""COMPUTED_VALUE"""),"None")</f>
        <v>None</v>
      </c>
    </row>
    <row r="234" spans="1:8" ht="12.5">
      <c r="A234" s="1" t="str">
        <f ca="1">IFERROR(__xludf.DUMMYFUNCTION("""COMPUTED_VALUE"""),"20230831WANOD")</f>
        <v>20230831WANOD</v>
      </c>
      <c r="B234" s="1" t="str">
        <f ca="1">IFERROR(__xludf.DUMMYFUNCTION("""COMPUTED_VALUE"""),"Teen")</f>
        <v>Teen</v>
      </c>
      <c r="C234" s="1" t="str">
        <f ca="1">IFERROR(__xludf.DUMMYFUNCTION("""COMPUTED_VALUE"""),"Male")</f>
        <v>Male</v>
      </c>
      <c r="D234" s="1"/>
      <c r="E234" s="1" t="str">
        <f ca="1">IFERROR(__xludf.DUMMYFUNCTION("""COMPUTED_VALUE"""),"No Relation")</f>
        <v>No Relation</v>
      </c>
      <c r="F234" s="1" t="str">
        <f ca="1">IFERROR(__xludf.DUMMYFUNCTION("""COMPUTED_VALUE"""),"Fled/Escaped")</f>
        <v>Fled/Escaped</v>
      </c>
      <c r="G234" s="1" t="str">
        <f ca="1">IFERROR(__xludf.DUMMYFUNCTION("""COMPUTED_VALUE"""),"No")</f>
        <v>No</v>
      </c>
      <c r="H234" s="1" t="str">
        <f ca="1">IFERROR(__xludf.DUMMYFUNCTION("""COMPUTED_VALUE"""),"None")</f>
        <v>None</v>
      </c>
    </row>
    <row r="235" spans="1:8" ht="12.5">
      <c r="A235" s="1" t="str">
        <f ca="1">IFERROR(__xludf.DUMMYFUNCTION("""COMPUTED_VALUE"""),"20230831WANOD")</f>
        <v>20230831WANOD</v>
      </c>
      <c r="B235" s="1" t="str">
        <f ca="1">IFERROR(__xludf.DUMMYFUNCTION("""COMPUTED_VALUE"""),"Teen")</f>
        <v>Teen</v>
      </c>
      <c r="C235" s="1" t="str">
        <f ca="1">IFERROR(__xludf.DUMMYFUNCTION("""COMPUTED_VALUE"""),"Male")</f>
        <v>Male</v>
      </c>
      <c r="D235" s="1"/>
      <c r="E235" s="1" t="str">
        <f ca="1">IFERROR(__xludf.DUMMYFUNCTION("""COMPUTED_VALUE"""),"No Relation")</f>
        <v>No Relation</v>
      </c>
      <c r="F235" s="1" t="str">
        <f ca="1">IFERROR(__xludf.DUMMYFUNCTION("""COMPUTED_VALUE"""),"Fled/Escaped")</f>
        <v>Fled/Escaped</v>
      </c>
      <c r="G235" s="1" t="str">
        <f ca="1">IFERROR(__xludf.DUMMYFUNCTION("""COMPUTED_VALUE"""),"No")</f>
        <v>No</v>
      </c>
      <c r="H235" s="1" t="str">
        <f ca="1">IFERROR(__xludf.DUMMYFUNCTION("""COMPUTED_VALUE"""),"None")</f>
        <v>None</v>
      </c>
    </row>
    <row r="236" spans="1:8" ht="12.5">
      <c r="A236" s="1" t="str">
        <f ca="1">IFERROR(__xludf.DUMMYFUNCTION("""COMPUTED_VALUE"""),"20230829NVCLL")</f>
        <v>20230829NVCLL</v>
      </c>
      <c r="B236" s="1"/>
      <c r="C236" s="1"/>
      <c r="D236" s="1"/>
      <c r="E236" s="1"/>
      <c r="F236" s="1" t="str">
        <f ca="1">IFERROR(__xludf.DUMMYFUNCTION("""COMPUTED_VALUE"""),"Fled/Escaped")</f>
        <v>Fled/Escaped</v>
      </c>
      <c r="G236" s="1" t="str">
        <f ca="1">IFERROR(__xludf.DUMMYFUNCTION("""COMPUTED_VALUE"""),"No")</f>
        <v>No</v>
      </c>
      <c r="H236" s="1" t="str">
        <f ca="1">IFERROR(__xludf.DUMMYFUNCTION("""COMPUTED_VALUE"""),"None")</f>
        <v>None</v>
      </c>
    </row>
    <row r="237" spans="1:8" ht="12.5">
      <c r="A237" s="1" t="str">
        <f ca="1">IFERROR(__xludf.DUMMYFUNCTION("""COMPUTED_VALUE"""),"20230826CAFAF")</f>
        <v>20230826CAFAF</v>
      </c>
      <c r="B237" s="1" t="str">
        <f ca="1">IFERROR(__xludf.DUMMYFUNCTION("""COMPUTED_VALUE"""),"Adult")</f>
        <v>Adult</v>
      </c>
      <c r="C237" s="1"/>
      <c r="D237" s="1"/>
      <c r="E237" s="1"/>
      <c r="F237" s="1" t="str">
        <f ca="1">IFERROR(__xludf.DUMMYFUNCTION("""COMPUTED_VALUE"""),"Fled/Escaped")</f>
        <v>Fled/Escaped</v>
      </c>
      <c r="G237" s="1" t="str">
        <f ca="1">IFERROR(__xludf.DUMMYFUNCTION("""COMPUTED_VALUE"""),"No")</f>
        <v>No</v>
      </c>
      <c r="H237" s="1" t="str">
        <f ca="1">IFERROR(__xludf.DUMMYFUNCTION("""COMPUTED_VALUE"""),"None")</f>
        <v>None</v>
      </c>
    </row>
    <row r="238" spans="1:8" ht="12.5">
      <c r="A238" s="1" t="str">
        <f ca="1">IFERROR(__xludf.DUMMYFUNCTION("""COMPUTED_VALUE"""),"20230825MSOBG")</f>
        <v>20230825MSOBG</v>
      </c>
      <c r="B238" s="1" t="str">
        <f ca="1">IFERROR(__xludf.DUMMYFUNCTION("""COMPUTED_VALUE"""),"Adult")</f>
        <v>Adult</v>
      </c>
      <c r="C238" s="1" t="str">
        <f ca="1">IFERROR(__xludf.DUMMYFUNCTION("""COMPUTED_VALUE"""),"Male")</f>
        <v>Male</v>
      </c>
      <c r="D238" s="1"/>
      <c r="E238" s="1"/>
      <c r="F238" s="1" t="str">
        <f ca="1">IFERROR(__xludf.DUMMYFUNCTION("""COMPUTED_VALUE"""),"Fled/Escaped")</f>
        <v>Fled/Escaped</v>
      </c>
      <c r="G238" s="1" t="str">
        <f ca="1">IFERROR(__xludf.DUMMYFUNCTION("""COMPUTED_VALUE"""),"No")</f>
        <v>No</v>
      </c>
      <c r="H238" s="1" t="str">
        <f ca="1">IFERROR(__xludf.DUMMYFUNCTION("""COMPUTED_VALUE"""),"None")</f>
        <v>None</v>
      </c>
    </row>
    <row r="239" spans="1:8" ht="12.5">
      <c r="A239" s="1" t="str">
        <f ca="1">IFERROR(__xludf.DUMMYFUNCTION("""COMPUTED_VALUE"""),"20230825MSOBG")</f>
        <v>20230825MSOBG</v>
      </c>
      <c r="B239" s="1" t="str">
        <f ca="1">IFERROR(__xludf.DUMMYFUNCTION("""COMPUTED_VALUE"""),"Adult")</f>
        <v>Adult</v>
      </c>
      <c r="C239" s="1" t="str">
        <f ca="1">IFERROR(__xludf.DUMMYFUNCTION("""COMPUTED_VALUE"""),"Male")</f>
        <v>Male</v>
      </c>
      <c r="D239" s="1"/>
      <c r="E239" s="1"/>
      <c r="F239" s="1" t="str">
        <f ca="1">IFERROR(__xludf.DUMMYFUNCTION("""COMPUTED_VALUE"""),"Fled/Escaped")</f>
        <v>Fled/Escaped</v>
      </c>
      <c r="G239" s="1" t="str">
        <f ca="1">IFERROR(__xludf.DUMMYFUNCTION("""COMPUTED_VALUE"""),"No")</f>
        <v>No</v>
      </c>
      <c r="H239" s="1" t="str">
        <f ca="1">IFERROR(__xludf.DUMMYFUNCTION("""COMPUTED_VALUE"""),"None")</f>
        <v>None</v>
      </c>
    </row>
    <row r="240" spans="1:8" ht="12.5">
      <c r="A240" s="1" t="str">
        <f ca="1">IFERROR(__xludf.DUMMYFUNCTION("""COMPUTED_VALUE"""),"20230825MSOBG")</f>
        <v>20230825MSOBG</v>
      </c>
      <c r="B240" s="1" t="str">
        <f ca="1">IFERROR(__xludf.DUMMYFUNCTION("""COMPUTED_VALUE"""),"Adult")</f>
        <v>Adult</v>
      </c>
      <c r="C240" s="1" t="str">
        <f ca="1">IFERROR(__xludf.DUMMYFUNCTION("""COMPUTED_VALUE"""),"Male")</f>
        <v>Male</v>
      </c>
      <c r="D240" s="1"/>
      <c r="E240" s="1"/>
      <c r="F240" s="1" t="str">
        <f ca="1">IFERROR(__xludf.DUMMYFUNCTION("""COMPUTED_VALUE"""),"Fled/Escaped")</f>
        <v>Fled/Escaped</v>
      </c>
      <c r="G240" s="1" t="str">
        <f ca="1">IFERROR(__xludf.DUMMYFUNCTION("""COMPUTED_VALUE"""),"No")</f>
        <v>No</v>
      </c>
      <c r="H240" s="1" t="str">
        <f ca="1">IFERROR(__xludf.DUMMYFUNCTION("""COMPUTED_VALUE"""),"None")</f>
        <v>None</v>
      </c>
    </row>
    <row r="241" spans="1:8" ht="12.5">
      <c r="A241" s="1" t="str">
        <f ca="1">IFERROR(__xludf.DUMMYFUNCTION("""COMPUTED_VALUE"""),"20230825MSOBG")</f>
        <v>20230825MSOBG</v>
      </c>
      <c r="B241" s="1" t="str">
        <f ca="1">IFERROR(__xludf.DUMMYFUNCTION("""COMPUTED_VALUE"""),"Adult")</f>
        <v>Adult</v>
      </c>
      <c r="C241" s="1" t="str">
        <f ca="1">IFERROR(__xludf.DUMMYFUNCTION("""COMPUTED_VALUE"""),"Male")</f>
        <v>Male</v>
      </c>
      <c r="D241" s="1"/>
      <c r="E241" s="1"/>
      <c r="F241" s="1" t="str">
        <f ca="1">IFERROR(__xludf.DUMMYFUNCTION("""COMPUTED_VALUE"""),"Fled/Escaped")</f>
        <v>Fled/Escaped</v>
      </c>
      <c r="G241" s="1" t="str">
        <f ca="1">IFERROR(__xludf.DUMMYFUNCTION("""COMPUTED_VALUE"""),"No")</f>
        <v>No</v>
      </c>
      <c r="H241" s="1" t="str">
        <f ca="1">IFERROR(__xludf.DUMMYFUNCTION("""COMPUTED_VALUE"""),"None")</f>
        <v>None</v>
      </c>
    </row>
    <row r="242" spans="1:8" ht="12.5">
      <c r="A242" s="1" t="str">
        <f ca="1">IFERROR(__xludf.DUMMYFUNCTION("""COMPUTED_VALUE"""),"20230825CADRL")</f>
        <v>20230825CADRL</v>
      </c>
      <c r="B242" s="1"/>
      <c r="C242" s="1"/>
      <c r="D242" s="1"/>
      <c r="E242" s="1"/>
      <c r="F242" s="1" t="str">
        <f ca="1">IFERROR(__xludf.DUMMYFUNCTION("""COMPUTED_VALUE"""),"Fled/Escaped")</f>
        <v>Fled/Escaped</v>
      </c>
      <c r="G242" s="1" t="str">
        <f ca="1">IFERROR(__xludf.DUMMYFUNCTION("""COMPUTED_VALUE"""),"No")</f>
        <v>No</v>
      </c>
      <c r="H242" s="1" t="str">
        <f ca="1">IFERROR(__xludf.DUMMYFUNCTION("""COMPUTED_VALUE"""),"None")</f>
        <v>None</v>
      </c>
    </row>
    <row r="243" spans="1:8" ht="12.5">
      <c r="A243" s="1" t="str">
        <f ca="1">IFERROR(__xludf.DUMMYFUNCTION("""COMPUTED_VALUE"""),"20230825OKBOT")</f>
        <v>20230825OKBOT</v>
      </c>
      <c r="B243" s="1" t="str">
        <f ca="1">IFERROR(__xludf.DUMMYFUNCTION("""COMPUTED_VALUE"""),"Teen")</f>
        <v>Teen</v>
      </c>
      <c r="C243" s="1" t="str">
        <f ca="1">IFERROR(__xludf.DUMMYFUNCTION("""COMPUTED_VALUE"""),"Male")</f>
        <v>Male</v>
      </c>
      <c r="D243" s="1" t="str">
        <f ca="1">IFERROR(__xludf.DUMMYFUNCTION("""COMPUTED_VALUE"""),"Hispanic")</f>
        <v>Hispanic</v>
      </c>
      <c r="E243" s="1" t="str">
        <f ca="1">IFERROR(__xludf.DUMMYFUNCTION("""COMPUTED_VALUE"""),"Student")</f>
        <v>Student</v>
      </c>
      <c r="F243" s="1" t="str">
        <f ca="1">IFERROR(__xludf.DUMMYFUNCTION("""COMPUTED_VALUE"""),"Fled/Escaped")</f>
        <v>Fled/Escaped</v>
      </c>
      <c r="G243" s="1" t="str">
        <f ca="1">IFERROR(__xludf.DUMMYFUNCTION("""COMPUTED_VALUE"""),"No")</f>
        <v>No</v>
      </c>
      <c r="H243" s="1" t="str">
        <f ca="1">IFERROR(__xludf.DUMMYFUNCTION("""COMPUTED_VALUE"""),"None")</f>
        <v>None</v>
      </c>
    </row>
    <row r="244" spans="1:8" ht="12.5">
      <c r="A244" s="1" t="str">
        <f ca="1">IFERROR(__xludf.DUMMYFUNCTION("""COMPUTED_VALUE"""),"20230825SCGEG")</f>
        <v>20230825SCGEG</v>
      </c>
      <c r="B244" s="1">
        <f ca="1">IFERROR(__xludf.DUMMYFUNCTION("""COMPUTED_VALUE"""),19)</f>
        <v>19</v>
      </c>
      <c r="C244" s="1" t="str">
        <f ca="1">IFERROR(__xludf.DUMMYFUNCTION("""COMPUTED_VALUE"""),"Male")</f>
        <v>Male</v>
      </c>
      <c r="D244" s="1" t="str">
        <f ca="1">IFERROR(__xludf.DUMMYFUNCTION("""COMPUTED_VALUE"""),"Black")</f>
        <v>Black</v>
      </c>
      <c r="E244" s="1" t="str">
        <f ca="1">IFERROR(__xludf.DUMMYFUNCTION("""COMPUTED_VALUE"""),"Nonstudent Using Athletic Facilities/Attending Game")</f>
        <v>Nonstudent Using Athletic Facilities/Attending Game</v>
      </c>
      <c r="F244" s="1" t="str">
        <f ca="1">IFERROR(__xludf.DUMMYFUNCTION("""COMPUTED_VALUE"""),"Fled/Apprehended")</f>
        <v>Fled/Apprehended</v>
      </c>
      <c r="G244" s="1" t="str">
        <f ca="1">IFERROR(__xludf.DUMMYFUNCTION("""COMPUTED_VALUE"""),"No")</f>
        <v>No</v>
      </c>
      <c r="H244" s="1" t="str">
        <f ca="1">IFERROR(__xludf.DUMMYFUNCTION("""COMPUTED_VALUE"""),"None")</f>
        <v>None</v>
      </c>
    </row>
    <row r="245" spans="1:8" ht="12.5">
      <c r="A245" s="1" t="str">
        <f ca="1">IFERROR(__xludf.DUMMYFUNCTION("""COMPUTED_VALUE"""),"20230825OKCHC")</f>
        <v>20230825OKCHC</v>
      </c>
      <c r="B245" s="1">
        <f ca="1">IFERROR(__xludf.DUMMYFUNCTION("""COMPUTED_VALUE"""),15)</f>
        <v>15</v>
      </c>
      <c r="C245" s="1" t="str">
        <f ca="1">IFERROR(__xludf.DUMMYFUNCTION("""COMPUTED_VALUE"""),"Male")</f>
        <v>Male</v>
      </c>
      <c r="D245" s="1"/>
      <c r="E245" s="1" t="str">
        <f ca="1">IFERROR(__xludf.DUMMYFUNCTION("""COMPUTED_VALUE"""),"Student")</f>
        <v>Student</v>
      </c>
      <c r="F245" s="1" t="str">
        <f ca="1">IFERROR(__xludf.DUMMYFUNCTION("""COMPUTED_VALUE"""),"Fled/Apprehended")</f>
        <v>Fled/Apprehended</v>
      </c>
      <c r="G245" s="1" t="str">
        <f ca="1">IFERROR(__xludf.DUMMYFUNCTION("""COMPUTED_VALUE"""),"No")</f>
        <v>No</v>
      </c>
      <c r="H245" s="1" t="str">
        <f ca="1">IFERROR(__xludf.DUMMYFUNCTION("""COMPUTED_VALUE"""),"None")</f>
        <v>None</v>
      </c>
    </row>
    <row r="246" spans="1:8" ht="12.5">
      <c r="A246" s="1" t="str">
        <f ca="1">IFERROR(__xludf.DUMMYFUNCTION("""COMPUTED_VALUE"""),"20230824NMRAT")</f>
        <v>20230824NMRAT</v>
      </c>
      <c r="B246" s="1"/>
      <c r="C246" s="1"/>
      <c r="D246" s="1"/>
      <c r="E246" s="1"/>
      <c r="F246" s="1" t="str">
        <f ca="1">IFERROR(__xludf.DUMMYFUNCTION("""COMPUTED_VALUE"""),"Fled/Escaped")</f>
        <v>Fled/Escaped</v>
      </c>
      <c r="G246" s="1" t="str">
        <f ca="1">IFERROR(__xludf.DUMMYFUNCTION("""COMPUTED_VALUE"""),"No")</f>
        <v>No</v>
      </c>
      <c r="H246" s="1" t="str">
        <f ca="1">IFERROR(__xludf.DUMMYFUNCTION("""COMPUTED_VALUE"""),"None")</f>
        <v>None</v>
      </c>
    </row>
    <row r="247" spans="1:8" ht="12.5">
      <c r="A247" s="1" t="str">
        <f ca="1">IFERROR(__xludf.DUMMYFUNCTION("""COMPUTED_VALUE"""),"20230824VAWAP")</f>
        <v>20230824VAWAP</v>
      </c>
      <c r="B247" s="1"/>
      <c r="C247" s="1"/>
      <c r="D247" s="1"/>
      <c r="E247" s="1"/>
      <c r="F247" s="1" t="str">
        <f ca="1">IFERROR(__xludf.DUMMYFUNCTION("""COMPUTED_VALUE"""),"Fled/Escaped")</f>
        <v>Fled/Escaped</v>
      </c>
      <c r="G247" s="1" t="str">
        <f ca="1">IFERROR(__xludf.DUMMYFUNCTION("""COMPUTED_VALUE"""),"No")</f>
        <v>No</v>
      </c>
      <c r="H247" s="1" t="str">
        <f ca="1">IFERROR(__xludf.DUMMYFUNCTION("""COMPUTED_VALUE"""),"None")</f>
        <v>None</v>
      </c>
    </row>
    <row r="248" spans="1:8" ht="12.5">
      <c r="A248" s="1" t="str">
        <f ca="1">IFERROR(__xludf.DUMMYFUNCTION("""COMPUTED_VALUE"""),"20230824VAKEV")</f>
        <v>20230824VAKEV</v>
      </c>
      <c r="B248" s="1"/>
      <c r="C248" s="1"/>
      <c r="D248" s="1"/>
      <c r="E248" s="1" t="str">
        <f ca="1">IFERROR(__xludf.DUMMYFUNCTION("""COMPUTED_VALUE"""),"No Relation")</f>
        <v>No Relation</v>
      </c>
      <c r="F248" s="1" t="str">
        <f ca="1">IFERROR(__xludf.DUMMYFUNCTION("""COMPUTED_VALUE"""),"Fled/Escaped")</f>
        <v>Fled/Escaped</v>
      </c>
      <c r="G248" s="1" t="str">
        <f ca="1">IFERROR(__xludf.DUMMYFUNCTION("""COMPUTED_VALUE"""),"No")</f>
        <v>No</v>
      </c>
      <c r="H248" s="1" t="str">
        <f ca="1">IFERROR(__xludf.DUMMYFUNCTION("""COMPUTED_VALUE"""),"None")</f>
        <v>None</v>
      </c>
    </row>
    <row r="249" spans="1:8" ht="12.5">
      <c r="A249" s="1" t="str">
        <f ca="1">IFERROR(__xludf.DUMMYFUNCTION("""COMPUTED_VALUE"""),"20230824AZPHP")</f>
        <v>20230824AZPHP</v>
      </c>
      <c r="B249" s="1" t="str">
        <f ca="1">IFERROR(__xludf.DUMMYFUNCTION("""COMPUTED_VALUE"""),"Child")</f>
        <v>Child</v>
      </c>
      <c r="C249" s="1"/>
      <c r="D249" s="1"/>
      <c r="E249" s="1" t="str">
        <f ca="1">IFERROR(__xludf.DUMMYFUNCTION("""COMPUTED_VALUE"""),"Student")</f>
        <v>Student</v>
      </c>
      <c r="F249" s="1" t="str">
        <f ca="1">IFERROR(__xludf.DUMMYFUNCTION("""COMPUTED_VALUE"""),"Apprehended/Killed by LE")</f>
        <v>Apprehended/Killed by LE</v>
      </c>
      <c r="G249" s="1" t="str">
        <f ca="1">IFERROR(__xludf.DUMMYFUNCTION("""COMPUTED_VALUE"""),"No")</f>
        <v>No</v>
      </c>
      <c r="H249" s="1" t="str">
        <f ca="1">IFERROR(__xludf.DUMMYFUNCTION("""COMPUTED_VALUE"""),"None")</f>
        <v>None</v>
      </c>
    </row>
    <row r="250" spans="1:8" ht="12.5">
      <c r="A250" s="1" t="str">
        <f ca="1">IFERROR(__xludf.DUMMYFUNCTION("""COMPUTED_VALUE"""),"20230823MDTOT")</f>
        <v>20230823MDTOT</v>
      </c>
      <c r="B250" s="1"/>
      <c r="C250" s="1"/>
      <c r="D250" s="1"/>
      <c r="E250" s="1"/>
      <c r="F250" s="1" t="str">
        <f ca="1">IFERROR(__xludf.DUMMYFUNCTION("""COMPUTED_VALUE"""),"Fled/Escaped")</f>
        <v>Fled/Escaped</v>
      </c>
      <c r="G250" s="1" t="str">
        <f ca="1">IFERROR(__xludf.DUMMYFUNCTION("""COMPUTED_VALUE"""),"No")</f>
        <v>No</v>
      </c>
      <c r="H250" s="1" t="str">
        <f ca="1">IFERROR(__xludf.DUMMYFUNCTION("""COMPUTED_VALUE"""),"None")</f>
        <v>None</v>
      </c>
    </row>
    <row r="251" spans="1:8" ht="12.5">
      <c r="A251" s="1" t="str">
        <f ca="1">IFERROR(__xludf.DUMMYFUNCTION("""COMPUTED_VALUE"""),"20230822OKSTS")</f>
        <v>20230822OKSTS</v>
      </c>
      <c r="B251" s="1" t="str">
        <f ca="1">IFERROR(__xludf.DUMMYFUNCTION("""COMPUTED_VALUE"""),"Teen")</f>
        <v>Teen</v>
      </c>
      <c r="C251" s="1" t="str">
        <f ca="1">IFERROR(__xludf.DUMMYFUNCTION("""COMPUTED_VALUE"""),"Male")</f>
        <v>Male</v>
      </c>
      <c r="D251" s="1"/>
      <c r="E251" s="1" t="str">
        <f ca="1">IFERROR(__xludf.DUMMYFUNCTION("""COMPUTED_VALUE"""),"Student")</f>
        <v>Student</v>
      </c>
      <c r="F251" s="1" t="str">
        <f ca="1">IFERROR(__xludf.DUMMYFUNCTION("""COMPUTED_VALUE"""),"Fled/Apprehended")</f>
        <v>Fled/Apprehended</v>
      </c>
      <c r="G251" s="1" t="str">
        <f ca="1">IFERROR(__xludf.DUMMYFUNCTION("""COMPUTED_VALUE"""),"No")</f>
        <v>No</v>
      </c>
      <c r="H251" s="1" t="str">
        <f ca="1">IFERROR(__xludf.DUMMYFUNCTION("""COMPUTED_VALUE"""),"None")</f>
        <v>None</v>
      </c>
    </row>
    <row r="252" spans="1:8" ht="12.5">
      <c r="A252" s="1" t="str">
        <f ca="1">IFERROR(__xludf.DUMMYFUNCTION("""COMPUTED_VALUE"""),"20230822TNSTC")</f>
        <v>20230822TNSTC</v>
      </c>
      <c r="B252" s="1" t="str">
        <f ca="1">IFERROR(__xludf.DUMMYFUNCTION("""COMPUTED_VALUE"""),"Adult")</f>
        <v>Adult</v>
      </c>
      <c r="C252" s="1" t="str">
        <f ca="1">IFERROR(__xludf.DUMMYFUNCTION("""COMPUTED_VALUE"""),"Male")</f>
        <v>Male</v>
      </c>
      <c r="D252" s="1"/>
      <c r="E252" s="1"/>
      <c r="F252" s="1" t="str">
        <f ca="1">IFERROR(__xludf.DUMMYFUNCTION("""COMPUTED_VALUE"""),"Apprehended/Killed by SRO")</f>
        <v>Apprehended/Killed by SRO</v>
      </c>
      <c r="G252" s="1" t="str">
        <f ca="1">IFERROR(__xludf.DUMMYFUNCTION("""COMPUTED_VALUE"""),"No")</f>
        <v>No</v>
      </c>
      <c r="H252" s="1" t="str">
        <f ca="1">IFERROR(__xludf.DUMMYFUNCTION("""COMPUTED_VALUE"""),"None")</f>
        <v>None</v>
      </c>
    </row>
    <row r="253" spans="1:8" ht="12.5">
      <c r="A253" s="1" t="str">
        <f ca="1">IFERROR(__xludf.DUMMYFUNCTION("""COMPUTED_VALUE"""),"20230822TXJES")</f>
        <v>20230822TXJES</v>
      </c>
      <c r="B253" s="1" t="str">
        <f ca="1">IFERROR(__xludf.DUMMYFUNCTION("""COMPUTED_VALUE"""),"Child")</f>
        <v>Child</v>
      </c>
      <c r="C253" s="1" t="str">
        <f ca="1">IFERROR(__xludf.DUMMYFUNCTION("""COMPUTED_VALUE"""),"Male")</f>
        <v>Male</v>
      </c>
      <c r="D253" s="1"/>
      <c r="E253" s="1" t="str">
        <f ca="1">IFERROR(__xludf.DUMMYFUNCTION("""COMPUTED_VALUE"""),"Student")</f>
        <v>Student</v>
      </c>
      <c r="F253" s="1" t="str">
        <f ca="1">IFERROR(__xludf.DUMMYFUNCTION("""COMPUTED_VALUE"""),"Apprehended/Killed by Other")</f>
        <v>Apprehended/Killed by Other</v>
      </c>
      <c r="G253" s="1" t="str">
        <f ca="1">IFERROR(__xludf.DUMMYFUNCTION("""COMPUTED_VALUE"""),"No")</f>
        <v>No</v>
      </c>
      <c r="H253" s="1" t="str">
        <f ca="1">IFERROR(__xludf.DUMMYFUNCTION("""COMPUTED_VALUE"""),"None")</f>
        <v>None</v>
      </c>
    </row>
    <row r="254" spans="1:8" ht="12.5">
      <c r="A254" s="1" t="str">
        <f ca="1">IFERROR(__xludf.DUMMYFUNCTION("""COMPUTED_VALUE"""),"20230818GANOK")</f>
        <v>20230818GANOK</v>
      </c>
      <c r="B254" s="1" t="str">
        <f ca="1">IFERROR(__xludf.DUMMYFUNCTION("""COMPUTED_VALUE"""),"Teen")</f>
        <v>Teen</v>
      </c>
      <c r="C254" s="1" t="str">
        <f ca="1">IFERROR(__xludf.DUMMYFUNCTION("""COMPUTED_VALUE"""),"Male")</f>
        <v>Male</v>
      </c>
      <c r="D254" s="1"/>
      <c r="E254" s="1" t="str">
        <f ca="1">IFERROR(__xludf.DUMMYFUNCTION("""COMPUTED_VALUE"""),"Student")</f>
        <v>Student</v>
      </c>
      <c r="F254" s="1" t="str">
        <f ca="1">IFERROR(__xludf.DUMMYFUNCTION("""COMPUTED_VALUE"""),"Fled/Escaped")</f>
        <v>Fled/Escaped</v>
      </c>
      <c r="G254" s="1" t="str">
        <f ca="1">IFERROR(__xludf.DUMMYFUNCTION("""COMPUTED_VALUE"""),"No")</f>
        <v>No</v>
      </c>
      <c r="H254" s="1" t="str">
        <f ca="1">IFERROR(__xludf.DUMMYFUNCTION("""COMPUTED_VALUE"""),"None")</f>
        <v>None</v>
      </c>
    </row>
    <row r="255" spans="1:8" ht="12.5">
      <c r="A255" s="1" t="str">
        <f ca="1">IFERROR(__xludf.DUMMYFUNCTION("""COMPUTED_VALUE"""),"20230818CAETR")</f>
        <v>20230818CAETR</v>
      </c>
      <c r="B255" s="1" t="str">
        <f ca="1">IFERROR(__xludf.DUMMYFUNCTION("""COMPUTED_VALUE"""),"Teen")</f>
        <v>Teen</v>
      </c>
      <c r="C255" s="1" t="str">
        <f ca="1">IFERROR(__xludf.DUMMYFUNCTION("""COMPUTED_VALUE"""),"Male")</f>
        <v>Male</v>
      </c>
      <c r="D255" s="1"/>
      <c r="E255" s="1" t="str">
        <f ca="1">IFERROR(__xludf.DUMMYFUNCTION("""COMPUTED_VALUE"""),"Student")</f>
        <v>Student</v>
      </c>
      <c r="F255" s="1" t="str">
        <f ca="1">IFERROR(__xludf.DUMMYFUNCTION("""COMPUTED_VALUE"""),"Fled/Escaped")</f>
        <v>Fled/Escaped</v>
      </c>
      <c r="G255" s="1" t="str">
        <f ca="1">IFERROR(__xludf.DUMMYFUNCTION("""COMPUTED_VALUE"""),"No")</f>
        <v>No</v>
      </c>
      <c r="H255" s="1" t="str">
        <f ca="1">IFERROR(__xludf.DUMMYFUNCTION("""COMPUTED_VALUE"""),"None")</f>
        <v>None</v>
      </c>
    </row>
    <row r="256" spans="1:8" ht="12.5">
      <c r="A256" s="1" t="str">
        <f ca="1">IFERROR(__xludf.DUMMYFUNCTION("""COMPUTED_VALUE"""),"20230818GAJOJ")</f>
        <v>20230818GAJOJ</v>
      </c>
      <c r="B256" s="1" t="str">
        <f ca="1">IFERROR(__xludf.DUMMYFUNCTION("""COMPUTED_VALUE"""),"Teen")</f>
        <v>Teen</v>
      </c>
      <c r="C256" s="1" t="str">
        <f ca="1">IFERROR(__xludf.DUMMYFUNCTION("""COMPUTED_VALUE"""),"Male")</f>
        <v>Male</v>
      </c>
      <c r="D256" s="1"/>
      <c r="E256" s="1" t="str">
        <f ca="1">IFERROR(__xludf.DUMMYFUNCTION("""COMPUTED_VALUE"""),"Student")</f>
        <v>Student</v>
      </c>
      <c r="F256" s="1" t="str">
        <f ca="1">IFERROR(__xludf.DUMMYFUNCTION("""COMPUTED_VALUE"""),"Fled/Escaped")</f>
        <v>Fled/Escaped</v>
      </c>
      <c r="G256" s="1" t="str">
        <f ca="1">IFERROR(__xludf.DUMMYFUNCTION("""COMPUTED_VALUE"""),"No")</f>
        <v>No</v>
      </c>
      <c r="H256" s="1" t="str">
        <f ca="1">IFERROR(__xludf.DUMMYFUNCTION("""COMPUTED_VALUE"""),"None")</f>
        <v>None</v>
      </c>
    </row>
    <row r="257" spans="1:8" ht="12.5">
      <c r="A257" s="1" t="str">
        <f ca="1">IFERROR(__xludf.DUMMYFUNCTION("""COMPUTED_VALUE"""),"20230818MSPAP")</f>
        <v>20230818MSPAP</v>
      </c>
      <c r="B257" s="1" t="str">
        <f ca="1">IFERROR(__xludf.DUMMYFUNCTION("""COMPUTED_VALUE"""),"Teen")</f>
        <v>Teen</v>
      </c>
      <c r="C257" s="1" t="str">
        <f ca="1">IFERROR(__xludf.DUMMYFUNCTION("""COMPUTED_VALUE"""),"Male")</f>
        <v>Male</v>
      </c>
      <c r="D257" s="1"/>
      <c r="E257" s="1" t="str">
        <f ca="1">IFERROR(__xludf.DUMMYFUNCTION("""COMPUTED_VALUE"""),"Student")</f>
        <v>Student</v>
      </c>
      <c r="F257" s="1" t="str">
        <f ca="1">IFERROR(__xludf.DUMMYFUNCTION("""COMPUTED_VALUE"""),"Fled/Escaped")</f>
        <v>Fled/Escaped</v>
      </c>
      <c r="G257" s="1" t="str">
        <f ca="1">IFERROR(__xludf.DUMMYFUNCTION("""COMPUTED_VALUE"""),"No")</f>
        <v>No</v>
      </c>
      <c r="H257" s="1" t="str">
        <f ca="1">IFERROR(__xludf.DUMMYFUNCTION("""COMPUTED_VALUE"""),"None")</f>
        <v>None</v>
      </c>
    </row>
    <row r="258" spans="1:8" ht="12.5">
      <c r="A258" s="1" t="str">
        <f ca="1">IFERROR(__xludf.DUMMYFUNCTION("""COMPUTED_VALUE"""),"20230818FLFIJ")</f>
        <v>20230818FLFIJ</v>
      </c>
      <c r="B258" s="1">
        <f ca="1">IFERROR(__xludf.DUMMYFUNCTION("""COMPUTED_VALUE"""),15)</f>
        <v>15</v>
      </c>
      <c r="C258" s="1" t="str">
        <f ca="1">IFERROR(__xludf.DUMMYFUNCTION("""COMPUTED_VALUE"""),"Male")</f>
        <v>Male</v>
      </c>
      <c r="D258" s="1"/>
      <c r="E258" s="1" t="str">
        <f ca="1">IFERROR(__xludf.DUMMYFUNCTION("""COMPUTED_VALUE"""),"Student")</f>
        <v>Student</v>
      </c>
      <c r="F258" s="1" t="str">
        <f ca="1">IFERROR(__xludf.DUMMYFUNCTION("""COMPUTED_VALUE"""),"Fled/Apprehended")</f>
        <v>Fled/Apprehended</v>
      </c>
      <c r="G258" s="1" t="str">
        <f ca="1">IFERROR(__xludf.DUMMYFUNCTION("""COMPUTED_VALUE"""),"No")</f>
        <v>No</v>
      </c>
      <c r="H258" s="1" t="str">
        <f ca="1">IFERROR(__xludf.DUMMYFUNCTION("""COMPUTED_VALUE"""),"Wounded")</f>
        <v>Wounded</v>
      </c>
    </row>
    <row r="259" spans="1:8" ht="12.5">
      <c r="A259" s="1" t="str">
        <f ca="1">IFERROR(__xludf.DUMMYFUNCTION("""COMPUTED_VALUE"""),"20230816GAJOA")</f>
        <v>20230816GAJOA</v>
      </c>
      <c r="B259" s="1" t="str">
        <f ca="1">IFERROR(__xludf.DUMMYFUNCTION("""COMPUTED_VALUE"""),"Teen")</f>
        <v>Teen</v>
      </c>
      <c r="C259" s="1" t="str">
        <f ca="1">IFERROR(__xludf.DUMMYFUNCTION("""COMPUTED_VALUE"""),"Male")</f>
        <v>Male</v>
      </c>
      <c r="D259" s="1"/>
      <c r="E259" s="1" t="str">
        <f ca="1">IFERROR(__xludf.DUMMYFUNCTION("""COMPUTED_VALUE"""),"Student")</f>
        <v>Student</v>
      </c>
      <c r="F259" s="1" t="str">
        <f ca="1">IFERROR(__xludf.DUMMYFUNCTION("""COMPUTED_VALUE"""),"Fled/Apprehended")</f>
        <v>Fled/Apprehended</v>
      </c>
      <c r="G259" s="1" t="str">
        <f ca="1">IFERROR(__xludf.DUMMYFUNCTION("""COMPUTED_VALUE"""),"No")</f>
        <v>No</v>
      </c>
      <c r="H259" s="1" t="str">
        <f ca="1">IFERROR(__xludf.DUMMYFUNCTION("""COMPUTED_VALUE"""),"None")</f>
        <v>None</v>
      </c>
    </row>
    <row r="260" spans="1:8" ht="12.5">
      <c r="A260" s="1" t="str">
        <f ca="1">IFERROR(__xludf.DUMMYFUNCTION("""COMPUTED_VALUE"""),"20230813NEWON")</f>
        <v>20230813NEWON</v>
      </c>
      <c r="B260" s="1">
        <f ca="1">IFERROR(__xludf.DUMMYFUNCTION("""COMPUTED_VALUE"""),14)</f>
        <v>14</v>
      </c>
      <c r="C260" s="1" t="str">
        <f ca="1">IFERROR(__xludf.DUMMYFUNCTION("""COMPUTED_VALUE"""),"Male")</f>
        <v>Male</v>
      </c>
      <c r="D260" s="1"/>
      <c r="E260" s="1" t="str">
        <f ca="1">IFERROR(__xludf.DUMMYFUNCTION("""COMPUTED_VALUE"""),"No Relation")</f>
        <v>No Relation</v>
      </c>
      <c r="F260" s="1" t="str">
        <f ca="1">IFERROR(__xludf.DUMMYFUNCTION("""COMPUTED_VALUE"""),"Fled/Apprehended")</f>
        <v>Fled/Apprehended</v>
      </c>
      <c r="G260" s="1" t="str">
        <f ca="1">IFERROR(__xludf.DUMMYFUNCTION("""COMPUTED_VALUE"""),"No")</f>
        <v>No</v>
      </c>
      <c r="H260" s="1" t="str">
        <f ca="1">IFERROR(__xludf.DUMMYFUNCTION("""COMPUTED_VALUE"""),"None")</f>
        <v>None</v>
      </c>
    </row>
    <row r="261" spans="1:8" ht="12.5">
      <c r="A261" s="1" t="str">
        <f ca="1">IFERROR(__xludf.DUMMYFUNCTION("""COMPUTED_VALUE"""),"20230812MSSTS")</f>
        <v>20230812MSSTS</v>
      </c>
      <c r="B261" s="1"/>
      <c r="C261" s="1"/>
      <c r="D261" s="1"/>
      <c r="E261" s="1"/>
      <c r="F261" s="1" t="str">
        <f ca="1">IFERROR(__xludf.DUMMYFUNCTION("""COMPUTED_VALUE"""),"Fled/Escaped")</f>
        <v>Fled/Escaped</v>
      </c>
      <c r="G261" s="1" t="str">
        <f ca="1">IFERROR(__xludf.DUMMYFUNCTION("""COMPUTED_VALUE"""),"No")</f>
        <v>No</v>
      </c>
      <c r="H261" s="1" t="str">
        <f ca="1">IFERROR(__xludf.DUMMYFUNCTION("""COMPUTED_VALUE"""),"None")</f>
        <v>None</v>
      </c>
    </row>
    <row r="262" spans="1:8" ht="12.5">
      <c r="A262" s="1" t="str">
        <f ca="1">IFERROR(__xludf.DUMMYFUNCTION("""COMPUTED_VALUE"""),"20230810TNCOM")</f>
        <v>20230810TNCOM</v>
      </c>
      <c r="B262" s="1">
        <f ca="1">IFERROR(__xludf.DUMMYFUNCTION("""COMPUTED_VALUE"""),22)</f>
        <v>22</v>
      </c>
      <c r="C262" s="1" t="str">
        <f ca="1">IFERROR(__xludf.DUMMYFUNCTION("""COMPUTED_VALUE"""),"Male")</f>
        <v>Male</v>
      </c>
      <c r="D262" s="1"/>
      <c r="E262" s="1" t="str">
        <f ca="1">IFERROR(__xludf.DUMMYFUNCTION("""COMPUTED_VALUE"""),"Nonstudent Using Athletic Facilities/Attending Game")</f>
        <v>Nonstudent Using Athletic Facilities/Attending Game</v>
      </c>
      <c r="F262" s="1" t="str">
        <f ca="1">IFERROR(__xludf.DUMMYFUNCTION("""COMPUTED_VALUE"""),"Fled/Apprehended")</f>
        <v>Fled/Apprehended</v>
      </c>
      <c r="G262" s="1" t="str">
        <f ca="1">IFERROR(__xludf.DUMMYFUNCTION("""COMPUTED_VALUE"""),"No")</f>
        <v>No</v>
      </c>
      <c r="H262" s="1" t="str">
        <f ca="1">IFERROR(__xludf.DUMMYFUNCTION("""COMPUTED_VALUE"""),"None")</f>
        <v>None</v>
      </c>
    </row>
    <row r="263" spans="1:8" ht="12.5">
      <c r="A263" s="1" t="str">
        <f ca="1">IFERROR(__xludf.DUMMYFUNCTION("""COMPUTED_VALUE"""),"20230808ILBOC")</f>
        <v>20230808ILBOC</v>
      </c>
      <c r="B263" s="1"/>
      <c r="C263" s="1"/>
      <c r="D263" s="1"/>
      <c r="E263" s="1"/>
      <c r="F263" s="1" t="str">
        <f ca="1">IFERROR(__xludf.DUMMYFUNCTION("""COMPUTED_VALUE"""),"Fled/Escaped")</f>
        <v>Fled/Escaped</v>
      </c>
      <c r="G263" s="1" t="str">
        <f ca="1">IFERROR(__xludf.DUMMYFUNCTION("""COMPUTED_VALUE"""),"No")</f>
        <v>No</v>
      </c>
      <c r="H263" s="1" t="str">
        <f ca="1">IFERROR(__xludf.DUMMYFUNCTION("""COMPUTED_VALUE"""),"None")</f>
        <v>None</v>
      </c>
    </row>
    <row r="264" spans="1:8" ht="12.5">
      <c r="A264" s="1" t="str">
        <f ca="1">IFERROR(__xludf.DUMMYFUNCTION("""COMPUTED_VALUE"""),"20230807WAHIS")</f>
        <v>20230807WAHIS</v>
      </c>
      <c r="B264" s="1"/>
      <c r="C264" s="1"/>
      <c r="D264" s="1"/>
      <c r="E264" s="1" t="str">
        <f ca="1">IFERROR(__xludf.DUMMYFUNCTION("""COMPUTED_VALUE"""),"No Relation")</f>
        <v>No Relation</v>
      </c>
      <c r="F264" s="1" t="str">
        <f ca="1">IFERROR(__xludf.DUMMYFUNCTION("""COMPUTED_VALUE"""),"Fled/Escaped")</f>
        <v>Fled/Escaped</v>
      </c>
      <c r="G264" s="1" t="str">
        <f ca="1">IFERROR(__xludf.DUMMYFUNCTION("""COMPUTED_VALUE"""),"No")</f>
        <v>No</v>
      </c>
      <c r="H264" s="1" t="str">
        <f ca="1">IFERROR(__xludf.DUMMYFUNCTION("""COMPUTED_VALUE"""),"None")</f>
        <v>None</v>
      </c>
    </row>
    <row r="265" spans="1:8" ht="12.5">
      <c r="A265" s="1" t="str">
        <f ca="1">IFERROR(__xludf.DUMMYFUNCTION("""COMPUTED_VALUE"""),"20230731TNMAM")</f>
        <v>20230731TNMAM</v>
      </c>
      <c r="B265" s="1">
        <f ca="1">IFERROR(__xludf.DUMMYFUNCTION("""COMPUTED_VALUE"""),33)</f>
        <v>33</v>
      </c>
      <c r="C265" s="1" t="str">
        <f ca="1">IFERROR(__xludf.DUMMYFUNCTION("""COMPUTED_VALUE"""),"Male")</f>
        <v>Male</v>
      </c>
      <c r="D265" s="1" t="str">
        <f ca="1">IFERROR(__xludf.DUMMYFUNCTION("""COMPUTED_VALUE"""),"White")</f>
        <v>White</v>
      </c>
      <c r="E265" s="1" t="str">
        <f ca="1">IFERROR(__xludf.DUMMYFUNCTION("""COMPUTED_VALUE"""),"Former Student")</f>
        <v>Former Student</v>
      </c>
      <c r="F265" s="1" t="str">
        <f ca="1">IFERROR(__xludf.DUMMYFUNCTION("""COMPUTED_VALUE"""),"Fled/Apprehended")</f>
        <v>Fled/Apprehended</v>
      </c>
      <c r="G265" s="1" t="str">
        <f ca="1">IFERROR(__xludf.DUMMYFUNCTION("""COMPUTED_VALUE"""),"No")</f>
        <v>No</v>
      </c>
      <c r="H265" s="1" t="str">
        <f ca="1">IFERROR(__xludf.DUMMYFUNCTION("""COMPUTED_VALUE"""),"Wounded")</f>
        <v>Wounded</v>
      </c>
    </row>
    <row r="266" spans="1:8" ht="12.5">
      <c r="A266" s="1" t="str">
        <f ca="1">IFERROR(__xludf.DUMMYFUNCTION("""COMPUTED_VALUE"""),"20230726DCMAW")</f>
        <v>20230726DCMAW</v>
      </c>
      <c r="B266" s="1" t="str">
        <f ca="1">IFERROR(__xludf.DUMMYFUNCTION("""COMPUTED_VALUE"""),"Adult")</f>
        <v>Adult</v>
      </c>
      <c r="C266" s="1" t="str">
        <f ca="1">IFERROR(__xludf.DUMMYFUNCTION("""COMPUTED_VALUE"""),"Male")</f>
        <v>Male</v>
      </c>
      <c r="D266" s="1" t="str">
        <f ca="1">IFERROR(__xludf.DUMMYFUNCTION("""COMPUTED_VALUE"""),"Black")</f>
        <v>Black</v>
      </c>
      <c r="E266" s="1" t="str">
        <f ca="1">IFERROR(__xludf.DUMMYFUNCTION("""COMPUTED_VALUE"""),"Nonstudent Using Athletic Facilities/Attending Game")</f>
        <v>Nonstudent Using Athletic Facilities/Attending Game</v>
      </c>
      <c r="F266" s="1" t="str">
        <f ca="1">IFERROR(__xludf.DUMMYFUNCTION("""COMPUTED_VALUE"""),"Fled/Escaped")</f>
        <v>Fled/Escaped</v>
      </c>
      <c r="G266" s="1" t="str">
        <f ca="1">IFERROR(__xludf.DUMMYFUNCTION("""COMPUTED_VALUE"""),"No")</f>
        <v>No</v>
      </c>
      <c r="H266" s="1" t="str">
        <f ca="1">IFERROR(__xludf.DUMMYFUNCTION("""COMPUTED_VALUE"""),"None")</f>
        <v>None</v>
      </c>
    </row>
    <row r="267" spans="1:8" ht="12.5">
      <c r="A267" s="1" t="str">
        <f ca="1">IFERROR(__xludf.DUMMYFUNCTION("""COMPUTED_VALUE"""),"20230725TNFRM")</f>
        <v>20230725TNFRM</v>
      </c>
      <c r="B267" s="1" t="str">
        <f ca="1">IFERROR(__xludf.DUMMYFUNCTION("""COMPUTED_VALUE"""),"Adult")</f>
        <v>Adult</v>
      </c>
      <c r="C267" s="1" t="str">
        <f ca="1">IFERROR(__xludf.DUMMYFUNCTION("""COMPUTED_VALUE"""),"Male")</f>
        <v>Male</v>
      </c>
      <c r="D267" s="1"/>
      <c r="E267" s="1" t="str">
        <f ca="1">IFERROR(__xludf.DUMMYFUNCTION("""COMPUTED_VALUE"""),"No Relation")</f>
        <v>No Relation</v>
      </c>
      <c r="F267" s="1" t="str">
        <f ca="1">IFERROR(__xludf.DUMMYFUNCTION("""COMPUTED_VALUE"""),"Fled/Escaped")</f>
        <v>Fled/Escaped</v>
      </c>
      <c r="G267" s="1" t="str">
        <f ca="1">IFERROR(__xludf.DUMMYFUNCTION("""COMPUTED_VALUE"""),"No")</f>
        <v>No</v>
      </c>
      <c r="H267" s="1" t="str">
        <f ca="1">IFERROR(__xludf.DUMMYFUNCTION("""COMPUTED_VALUE"""),"None")</f>
        <v>None</v>
      </c>
    </row>
    <row r="268" spans="1:8" ht="12.5">
      <c r="A268" s="1" t="str">
        <f ca="1">IFERROR(__xludf.DUMMYFUNCTION("""COMPUTED_VALUE"""),"20230725NCJUC")</f>
        <v>20230725NCJUC</v>
      </c>
      <c r="B268" s="1" t="str">
        <f ca="1">IFERROR(__xludf.DUMMYFUNCTION("""COMPUTED_VALUE"""),"Adult")</f>
        <v>Adult</v>
      </c>
      <c r="C268" s="1"/>
      <c r="D268" s="1"/>
      <c r="E268" s="1" t="str">
        <f ca="1">IFERROR(__xludf.DUMMYFUNCTION("""COMPUTED_VALUE"""),"No Relation")</f>
        <v>No Relation</v>
      </c>
      <c r="F268" s="1" t="str">
        <f ca="1">IFERROR(__xludf.DUMMYFUNCTION("""COMPUTED_VALUE"""),"Fled/Escaped")</f>
        <v>Fled/Escaped</v>
      </c>
      <c r="G268" s="1" t="str">
        <f ca="1">IFERROR(__xludf.DUMMYFUNCTION("""COMPUTED_VALUE"""),"No")</f>
        <v>No</v>
      </c>
      <c r="H268" s="1" t="str">
        <f ca="1">IFERROR(__xludf.DUMMYFUNCTION("""COMPUTED_VALUE"""),"None")</f>
        <v>None</v>
      </c>
    </row>
    <row r="269" spans="1:8" ht="12.5">
      <c r="A269" s="1" t="str">
        <f ca="1">IFERROR(__xludf.DUMMYFUNCTION("""COMPUTED_VALUE"""),"20230724PAJOH")</f>
        <v>20230724PAJOH</v>
      </c>
      <c r="B269" s="1">
        <f ca="1">IFERROR(__xludf.DUMMYFUNCTION("""COMPUTED_VALUE"""),15)</f>
        <v>15</v>
      </c>
      <c r="C269" s="1" t="str">
        <f ca="1">IFERROR(__xludf.DUMMYFUNCTION("""COMPUTED_VALUE"""),"Male")</f>
        <v>Male</v>
      </c>
      <c r="D269" s="1"/>
      <c r="E269" s="1"/>
      <c r="F269" s="1" t="str">
        <f ca="1">IFERROR(__xludf.DUMMYFUNCTION("""COMPUTED_VALUE"""),"Fled/Apprehended")</f>
        <v>Fled/Apprehended</v>
      </c>
      <c r="G269" s="1" t="str">
        <f ca="1">IFERROR(__xludf.DUMMYFUNCTION("""COMPUTED_VALUE"""),"No")</f>
        <v>No</v>
      </c>
      <c r="H269" s="1" t="str">
        <f ca="1">IFERROR(__xludf.DUMMYFUNCTION("""COMPUTED_VALUE"""),"None")</f>
        <v>None</v>
      </c>
    </row>
    <row r="270" spans="1:8" ht="12.5">
      <c r="A270" s="1" t="str">
        <f ca="1">IFERROR(__xludf.DUMMYFUNCTION("""COMPUTED_VALUE"""),"20230718NYFRB")</f>
        <v>20230718NYFRB</v>
      </c>
      <c r="B270" s="1">
        <f ca="1">IFERROR(__xludf.DUMMYFUNCTION("""COMPUTED_VALUE"""),17)</f>
        <v>17</v>
      </c>
      <c r="C270" s="1" t="str">
        <f ca="1">IFERROR(__xludf.DUMMYFUNCTION("""COMPUTED_VALUE"""),"Male")</f>
        <v>Male</v>
      </c>
      <c r="D270" s="1"/>
      <c r="E270" s="1" t="str">
        <f ca="1">IFERROR(__xludf.DUMMYFUNCTION("""COMPUTED_VALUE"""),"Student")</f>
        <v>Student</v>
      </c>
      <c r="F270" s="1" t="str">
        <f ca="1">IFERROR(__xludf.DUMMYFUNCTION("""COMPUTED_VALUE"""),"Fled/Escaped")</f>
        <v>Fled/Escaped</v>
      </c>
      <c r="G270" s="1" t="str">
        <f ca="1">IFERROR(__xludf.DUMMYFUNCTION("""COMPUTED_VALUE"""),"No")</f>
        <v>No</v>
      </c>
      <c r="H270" s="1" t="str">
        <f ca="1">IFERROR(__xludf.DUMMYFUNCTION("""COMPUTED_VALUE"""),"None")</f>
        <v>None</v>
      </c>
    </row>
    <row r="271" spans="1:8" ht="12.5">
      <c r="A271" s="1" t="str">
        <f ca="1">IFERROR(__xludf.DUMMYFUNCTION("""COMPUTED_VALUE"""),"20230716GALOH")</f>
        <v>20230716GALOH</v>
      </c>
      <c r="B271" s="1">
        <f ca="1">IFERROR(__xludf.DUMMYFUNCTION("""COMPUTED_VALUE"""),20)</f>
        <v>20</v>
      </c>
      <c r="C271" s="1" t="str">
        <f ca="1">IFERROR(__xludf.DUMMYFUNCTION("""COMPUTED_VALUE"""),"Male")</f>
        <v>Male</v>
      </c>
      <c r="D271" s="1"/>
      <c r="E271" s="1" t="str">
        <f ca="1">IFERROR(__xludf.DUMMYFUNCTION("""COMPUTED_VALUE"""),"No Relation")</f>
        <v>No Relation</v>
      </c>
      <c r="F271" s="1" t="str">
        <f ca="1">IFERROR(__xludf.DUMMYFUNCTION("""COMPUTED_VALUE"""),"Apprehended/Killed by LE")</f>
        <v>Apprehended/Killed by LE</v>
      </c>
      <c r="G271" s="1" t="str">
        <f ca="1">IFERROR(__xludf.DUMMYFUNCTION("""COMPUTED_VALUE"""),"No")</f>
        <v>No</v>
      </c>
      <c r="H271" s="1" t="str">
        <f ca="1">IFERROR(__xludf.DUMMYFUNCTION("""COMPUTED_VALUE"""),"None")</f>
        <v>None</v>
      </c>
    </row>
    <row r="272" spans="1:8" ht="12.5">
      <c r="A272" s="1" t="str">
        <f ca="1">IFERROR(__xludf.DUMMYFUNCTION("""COMPUTED_VALUE"""),"20230714NYKIT")</f>
        <v>20230714NYKIT</v>
      </c>
      <c r="B272" s="1" t="str">
        <f ca="1">IFERROR(__xludf.DUMMYFUNCTION("""COMPUTED_VALUE"""),"Teen")</f>
        <v>Teen</v>
      </c>
      <c r="C272" s="1" t="str">
        <f ca="1">IFERROR(__xludf.DUMMYFUNCTION("""COMPUTED_VALUE"""),"Male")</f>
        <v>Male</v>
      </c>
      <c r="D272" s="1"/>
      <c r="E272" s="1" t="str">
        <f ca="1">IFERROR(__xludf.DUMMYFUNCTION("""COMPUTED_VALUE"""),"No Relation")</f>
        <v>No Relation</v>
      </c>
      <c r="F272" s="1" t="str">
        <f ca="1">IFERROR(__xludf.DUMMYFUNCTION("""COMPUTED_VALUE"""),"Fled/Escaped")</f>
        <v>Fled/Escaped</v>
      </c>
      <c r="G272" s="1" t="str">
        <f ca="1">IFERROR(__xludf.DUMMYFUNCTION("""COMPUTED_VALUE"""),"No")</f>
        <v>No</v>
      </c>
      <c r="H272" s="1" t="str">
        <f ca="1">IFERROR(__xludf.DUMMYFUNCTION("""COMPUTED_VALUE"""),"None")</f>
        <v>None</v>
      </c>
    </row>
    <row r="273" spans="1:8" ht="12.5">
      <c r="A273" s="1" t="str">
        <f ca="1">IFERROR(__xludf.DUMMYFUNCTION("""COMPUTED_VALUE"""),"20230714TXJAS")</f>
        <v>20230714TXJAS</v>
      </c>
      <c r="B273" s="1" t="str">
        <f ca="1">IFERROR(__xludf.DUMMYFUNCTION("""COMPUTED_VALUE"""),"Teen")</f>
        <v>Teen</v>
      </c>
      <c r="C273" s="1" t="str">
        <f ca="1">IFERROR(__xludf.DUMMYFUNCTION("""COMPUTED_VALUE"""),"Male")</f>
        <v>Male</v>
      </c>
      <c r="D273" s="1"/>
      <c r="E273" s="1" t="str">
        <f ca="1">IFERROR(__xludf.DUMMYFUNCTION("""COMPUTED_VALUE"""),"No Relation")</f>
        <v>No Relation</v>
      </c>
      <c r="F273" s="1" t="str">
        <f ca="1">IFERROR(__xludf.DUMMYFUNCTION("""COMPUTED_VALUE"""),"Apprehended/Killed by LE")</f>
        <v>Apprehended/Killed by LE</v>
      </c>
      <c r="G273" s="1" t="str">
        <f ca="1">IFERROR(__xludf.DUMMYFUNCTION("""COMPUTED_VALUE"""),"No")</f>
        <v>No</v>
      </c>
      <c r="H273" s="1" t="str">
        <f ca="1">IFERROR(__xludf.DUMMYFUNCTION("""COMPUTED_VALUE"""),"None")</f>
        <v>None</v>
      </c>
    </row>
    <row r="274" spans="1:8" ht="12.5">
      <c r="A274" s="1" t="str">
        <f ca="1">IFERROR(__xludf.DUMMYFUNCTION("""COMPUTED_VALUE"""),"20230708ALWOB")</f>
        <v>20230708ALWOB</v>
      </c>
      <c r="B274" s="1">
        <f ca="1">IFERROR(__xludf.DUMMYFUNCTION("""COMPUTED_VALUE"""),19)</f>
        <v>19</v>
      </c>
      <c r="C274" s="1" t="str">
        <f ca="1">IFERROR(__xludf.DUMMYFUNCTION("""COMPUTED_VALUE"""),"Male")</f>
        <v>Male</v>
      </c>
      <c r="D274" s="1"/>
      <c r="E274" s="1" t="str">
        <f ca="1">IFERROR(__xludf.DUMMYFUNCTION("""COMPUTED_VALUE"""),"No Relation")</f>
        <v>No Relation</v>
      </c>
      <c r="F274" s="1" t="str">
        <f ca="1">IFERROR(__xludf.DUMMYFUNCTION("""COMPUTED_VALUE"""),"Suicide")</f>
        <v>Suicide</v>
      </c>
      <c r="G274" s="1" t="str">
        <f ca="1">IFERROR(__xludf.DUMMYFUNCTION("""COMPUTED_VALUE"""),"Yes")</f>
        <v>Yes</v>
      </c>
      <c r="H274" s="1" t="str">
        <f ca="1">IFERROR(__xludf.DUMMYFUNCTION("""COMPUTED_VALUE"""),"Suicide")</f>
        <v>Suicide</v>
      </c>
    </row>
    <row r="275" spans="1:8" ht="12.5">
      <c r="A275" s="1" t="str">
        <f ca="1">IFERROR(__xludf.DUMMYFUNCTION("""COMPUTED_VALUE"""),"20230707MDPIP")</f>
        <v>20230707MDPIP</v>
      </c>
      <c r="B275" s="1"/>
      <c r="C275" s="1"/>
      <c r="D275" s="1"/>
      <c r="E275" s="1"/>
      <c r="F275" s="1" t="str">
        <f ca="1">IFERROR(__xludf.DUMMYFUNCTION("""COMPUTED_VALUE"""),"Fled/Escaped")</f>
        <v>Fled/Escaped</v>
      </c>
      <c r="G275" s="1" t="str">
        <f ca="1">IFERROR(__xludf.DUMMYFUNCTION("""COMPUTED_VALUE"""),"No")</f>
        <v>No</v>
      </c>
      <c r="H275" s="1" t="str">
        <f ca="1">IFERROR(__xludf.DUMMYFUNCTION("""COMPUTED_VALUE"""),"None")</f>
        <v>None</v>
      </c>
    </row>
    <row r="276" spans="1:8" ht="12.5">
      <c r="A276" s="1" t="str">
        <f ca="1">IFERROR(__xludf.DUMMYFUNCTION("""COMPUTED_VALUE"""),"20230706OHHUC")</f>
        <v>20230706OHHUC</v>
      </c>
      <c r="B276" s="1"/>
      <c r="C276" s="1"/>
      <c r="D276" s="1"/>
      <c r="E276" s="1"/>
      <c r="F276" s="1" t="str">
        <f ca="1">IFERROR(__xludf.DUMMYFUNCTION("""COMPUTED_VALUE"""),"Fled/Escaped")</f>
        <v>Fled/Escaped</v>
      </c>
      <c r="G276" s="1" t="str">
        <f ca="1">IFERROR(__xludf.DUMMYFUNCTION("""COMPUTED_VALUE"""),"No")</f>
        <v>No</v>
      </c>
      <c r="H276" s="1" t="str">
        <f ca="1">IFERROR(__xludf.DUMMYFUNCTION("""COMPUTED_VALUE"""),"None")</f>
        <v>None</v>
      </c>
    </row>
    <row r="277" spans="1:8" ht="12.5">
      <c r="A277" s="1" t="str">
        <f ca="1">IFERROR(__xludf.DUMMYFUNCTION("""COMPUTED_VALUE"""),"20230702MNUNF")</f>
        <v>20230702MNUNF</v>
      </c>
      <c r="B277" s="1">
        <f ca="1">IFERROR(__xludf.DUMMYFUNCTION("""COMPUTED_VALUE"""),19)</f>
        <v>19</v>
      </c>
      <c r="C277" s="1" t="str">
        <f ca="1">IFERROR(__xludf.DUMMYFUNCTION("""COMPUTED_VALUE"""),"Male")</f>
        <v>Male</v>
      </c>
      <c r="D277" s="1"/>
      <c r="E277" s="1"/>
      <c r="F277" s="1" t="str">
        <f ca="1">IFERROR(__xludf.DUMMYFUNCTION("""COMPUTED_VALUE"""),"Fled/Apprehended")</f>
        <v>Fled/Apprehended</v>
      </c>
      <c r="G277" s="1" t="str">
        <f ca="1">IFERROR(__xludf.DUMMYFUNCTION("""COMPUTED_VALUE"""),"No")</f>
        <v>No</v>
      </c>
      <c r="H277" s="1" t="str">
        <f ca="1">IFERROR(__xludf.DUMMYFUNCTION("""COMPUTED_VALUE"""),"None")</f>
        <v>None</v>
      </c>
    </row>
    <row r="278" spans="1:8" ht="12.5">
      <c r="A278" s="1" t="str">
        <f ca="1">IFERROR(__xludf.DUMMYFUNCTION("""COMPUTED_VALUE"""),"20230623NMKEA")</f>
        <v>20230623NMKEA</v>
      </c>
      <c r="B278" s="1">
        <f ca="1">IFERROR(__xludf.DUMMYFUNCTION("""COMPUTED_VALUE"""),17)</f>
        <v>17</v>
      </c>
      <c r="C278" s="1" t="str">
        <f ca="1">IFERROR(__xludf.DUMMYFUNCTION("""COMPUTED_VALUE"""),"Male")</f>
        <v>Male</v>
      </c>
      <c r="D278" s="1"/>
      <c r="E278" s="1" t="str">
        <f ca="1">IFERROR(__xludf.DUMMYFUNCTION("""COMPUTED_VALUE"""),"No Relation")</f>
        <v>No Relation</v>
      </c>
      <c r="F278" s="1" t="str">
        <f ca="1">IFERROR(__xludf.DUMMYFUNCTION("""COMPUTED_VALUE"""),"Fled/Apprehended")</f>
        <v>Fled/Apprehended</v>
      </c>
      <c r="G278" s="1" t="str">
        <f ca="1">IFERROR(__xludf.DUMMYFUNCTION("""COMPUTED_VALUE"""),"No")</f>
        <v>No</v>
      </c>
      <c r="H278" s="1" t="str">
        <f ca="1">IFERROR(__xludf.DUMMYFUNCTION("""COMPUTED_VALUE"""),"None")</f>
        <v>None</v>
      </c>
    </row>
    <row r="279" spans="1:8" ht="12.5">
      <c r="A279" s="1" t="str">
        <f ca="1">IFERROR(__xludf.DUMMYFUNCTION("""COMPUTED_VALUE"""),"20230622ARSOS")</f>
        <v>20230622ARSOS</v>
      </c>
      <c r="B279" s="1">
        <f ca="1">IFERROR(__xludf.DUMMYFUNCTION("""COMPUTED_VALUE"""),29)</f>
        <v>29</v>
      </c>
      <c r="C279" s="1" t="str">
        <f ca="1">IFERROR(__xludf.DUMMYFUNCTION("""COMPUTED_VALUE"""),"Male")</f>
        <v>Male</v>
      </c>
      <c r="D279" s="1" t="str">
        <f ca="1">IFERROR(__xludf.DUMMYFUNCTION("""COMPUTED_VALUE"""),"White")</f>
        <v>White</v>
      </c>
      <c r="E279" s="1" t="str">
        <f ca="1">IFERROR(__xludf.DUMMYFUNCTION("""COMPUTED_VALUE"""),"No Relation")</f>
        <v>No Relation</v>
      </c>
      <c r="F279" s="1" t="str">
        <f ca="1">IFERROR(__xludf.DUMMYFUNCTION("""COMPUTED_VALUE"""),"Fled/Apprehended")</f>
        <v>Fled/Apprehended</v>
      </c>
      <c r="G279" s="1" t="str">
        <f ca="1">IFERROR(__xludf.DUMMYFUNCTION("""COMPUTED_VALUE"""),"No")</f>
        <v>No</v>
      </c>
      <c r="H279" s="1" t="str">
        <f ca="1">IFERROR(__xludf.DUMMYFUNCTION("""COMPUTED_VALUE"""),"None")</f>
        <v>None</v>
      </c>
    </row>
    <row r="280" spans="1:8" ht="12.5">
      <c r="A280" s="1" t="str">
        <f ca="1">IFERROR(__xludf.DUMMYFUNCTION("""COMPUTED_VALUE"""),"20230613PAJUP")</f>
        <v>20230613PAJUP</v>
      </c>
      <c r="B280" s="1" t="str">
        <f ca="1">IFERROR(__xludf.DUMMYFUNCTION("""COMPUTED_VALUE"""),"Adult")</f>
        <v>Adult</v>
      </c>
      <c r="C280" s="1" t="str">
        <f ca="1">IFERROR(__xludf.DUMMYFUNCTION("""COMPUTED_VALUE"""),"Male")</f>
        <v>Male</v>
      </c>
      <c r="D280" s="1"/>
      <c r="E280" s="1" t="str">
        <f ca="1">IFERROR(__xludf.DUMMYFUNCTION("""COMPUTED_VALUE"""),"No Relation")</f>
        <v>No Relation</v>
      </c>
      <c r="F280" s="1" t="str">
        <f ca="1">IFERROR(__xludf.DUMMYFUNCTION("""COMPUTED_VALUE"""),"Fled/Escaped")</f>
        <v>Fled/Escaped</v>
      </c>
      <c r="G280" s="1" t="str">
        <f ca="1">IFERROR(__xludf.DUMMYFUNCTION("""COMPUTED_VALUE"""),"No")</f>
        <v>No</v>
      </c>
      <c r="H280" s="1" t="str">
        <f ca="1">IFERROR(__xludf.DUMMYFUNCTION("""COMPUTED_VALUE"""),"None")</f>
        <v>None</v>
      </c>
    </row>
    <row r="281" spans="1:8" ht="12.5">
      <c r="A281" s="1" t="str">
        <f ca="1">IFERROR(__xludf.DUMMYFUNCTION("""COMPUTED_VALUE"""),"20230612NJRIM")</f>
        <v>20230612NJRIM</v>
      </c>
      <c r="B281" s="1">
        <f ca="1">IFERROR(__xludf.DUMMYFUNCTION("""COMPUTED_VALUE"""),18)</f>
        <v>18</v>
      </c>
      <c r="C281" s="1" t="str">
        <f ca="1">IFERROR(__xludf.DUMMYFUNCTION("""COMPUTED_VALUE"""),"Male")</f>
        <v>Male</v>
      </c>
      <c r="D281" s="1"/>
      <c r="E281" s="1" t="str">
        <f ca="1">IFERROR(__xludf.DUMMYFUNCTION("""COMPUTED_VALUE"""),"No Relation")</f>
        <v>No Relation</v>
      </c>
      <c r="F281" s="1" t="str">
        <f ca="1">IFERROR(__xludf.DUMMYFUNCTION("""COMPUTED_VALUE"""),"Fled/Apprehended")</f>
        <v>Fled/Apprehended</v>
      </c>
      <c r="G281" s="1" t="str">
        <f ca="1">IFERROR(__xludf.DUMMYFUNCTION("""COMPUTED_VALUE"""),"No")</f>
        <v>No</v>
      </c>
      <c r="H281" s="1" t="str">
        <f ca="1">IFERROR(__xludf.DUMMYFUNCTION("""COMPUTED_VALUE"""),"None")</f>
        <v>None</v>
      </c>
    </row>
    <row r="282" spans="1:8" ht="12.5">
      <c r="A282" s="1" t="str">
        <f ca="1">IFERROR(__xludf.DUMMYFUNCTION("""COMPUTED_VALUE"""),"20230612GAKEC")</f>
        <v>20230612GAKEC</v>
      </c>
      <c r="B282" s="1"/>
      <c r="C282" s="1"/>
      <c r="D282" s="1"/>
      <c r="E282" s="1"/>
      <c r="F282" s="1" t="str">
        <f ca="1">IFERROR(__xludf.DUMMYFUNCTION("""COMPUTED_VALUE"""),"Fled/Escaped")</f>
        <v>Fled/Escaped</v>
      </c>
      <c r="G282" s="1" t="str">
        <f ca="1">IFERROR(__xludf.DUMMYFUNCTION("""COMPUTED_VALUE"""),"No")</f>
        <v>No</v>
      </c>
      <c r="H282" s="1" t="str">
        <f ca="1">IFERROR(__xludf.DUMMYFUNCTION("""COMPUTED_VALUE"""),"None")</f>
        <v>None</v>
      </c>
    </row>
    <row r="283" spans="1:8" ht="12.5">
      <c r="A283" s="1" t="str">
        <f ca="1">IFERROR(__xludf.DUMMYFUNCTION("""COMPUTED_VALUE"""),"20230609DCTUW")</f>
        <v>20230609DCTUW</v>
      </c>
      <c r="B283" s="1"/>
      <c r="C283" s="1"/>
      <c r="D283" s="1"/>
      <c r="E283" s="1" t="str">
        <f ca="1">IFERROR(__xludf.DUMMYFUNCTION("""COMPUTED_VALUE"""),"No Relation")</f>
        <v>No Relation</v>
      </c>
      <c r="F283" s="1" t="str">
        <f ca="1">IFERROR(__xludf.DUMMYFUNCTION("""COMPUTED_VALUE"""),"Fled/Escaped")</f>
        <v>Fled/Escaped</v>
      </c>
      <c r="G283" s="1" t="str">
        <f ca="1">IFERROR(__xludf.DUMMYFUNCTION("""COMPUTED_VALUE"""),"No")</f>
        <v>No</v>
      </c>
      <c r="H283" s="1" t="str">
        <f ca="1">IFERROR(__xludf.DUMMYFUNCTION("""COMPUTED_VALUE"""),"None")</f>
        <v>None</v>
      </c>
    </row>
    <row r="284" spans="1:8" ht="12.5">
      <c r="A284" s="1" t="str">
        <f ca="1">IFERROR(__xludf.DUMMYFUNCTION("""COMPUTED_VALUE"""),"20230607VADRA")</f>
        <v>20230607VADRA</v>
      </c>
      <c r="B284" s="1">
        <f ca="1">IFERROR(__xludf.DUMMYFUNCTION("""COMPUTED_VALUE"""),21)</f>
        <v>21</v>
      </c>
      <c r="C284" s="1" t="str">
        <f ca="1">IFERROR(__xludf.DUMMYFUNCTION("""COMPUTED_VALUE"""),"Male")</f>
        <v>Male</v>
      </c>
      <c r="D284" s="1"/>
      <c r="E284" s="1" t="str">
        <f ca="1">IFERROR(__xludf.DUMMYFUNCTION("""COMPUTED_VALUE"""),"No Relation")</f>
        <v>No Relation</v>
      </c>
      <c r="F284" s="1" t="str">
        <f ca="1">IFERROR(__xludf.DUMMYFUNCTION("""COMPUTED_VALUE"""),"Fled/Apprehended")</f>
        <v>Fled/Apprehended</v>
      </c>
      <c r="G284" s="1" t="str">
        <f ca="1">IFERROR(__xludf.DUMMYFUNCTION("""COMPUTED_VALUE"""),"No")</f>
        <v>No</v>
      </c>
      <c r="H284" s="1" t="str">
        <f ca="1">IFERROR(__xludf.DUMMYFUNCTION("""COMPUTED_VALUE"""),"None")</f>
        <v>None</v>
      </c>
    </row>
    <row r="285" spans="1:8" ht="12.5">
      <c r="A285" s="1" t="str">
        <f ca="1">IFERROR(__xludf.DUMMYFUNCTION("""COMPUTED_VALUE"""),"20230607WIMIM")</f>
        <v>20230607WIMIM</v>
      </c>
      <c r="B285" s="1"/>
      <c r="C285" s="1"/>
      <c r="D285" s="1"/>
      <c r="E285" s="1"/>
      <c r="F285" s="1" t="str">
        <f ca="1">IFERROR(__xludf.DUMMYFUNCTION("""COMPUTED_VALUE"""),"Fled/Escaped")</f>
        <v>Fled/Escaped</v>
      </c>
      <c r="G285" s="1" t="str">
        <f ca="1">IFERROR(__xludf.DUMMYFUNCTION("""COMPUTED_VALUE"""),"No")</f>
        <v>No</v>
      </c>
      <c r="H285" s="1" t="str">
        <f ca="1">IFERROR(__xludf.DUMMYFUNCTION("""COMPUTED_VALUE"""),"None")</f>
        <v>None</v>
      </c>
    </row>
    <row r="286" spans="1:8" ht="12.5">
      <c r="A286" s="1" t="str">
        <f ca="1">IFERROR(__xludf.DUMMYFUNCTION("""COMPUTED_VALUE"""),"20230606VAHUR")</f>
        <v>20230606VAHUR</v>
      </c>
      <c r="B286" s="1">
        <f ca="1">IFERROR(__xludf.DUMMYFUNCTION("""COMPUTED_VALUE"""),19)</f>
        <v>19</v>
      </c>
      <c r="C286" s="1" t="str">
        <f ca="1">IFERROR(__xludf.DUMMYFUNCTION("""COMPUTED_VALUE"""),"Male")</f>
        <v>Male</v>
      </c>
      <c r="D286" s="1"/>
      <c r="E286" s="1"/>
      <c r="F286" s="1" t="str">
        <f ca="1">IFERROR(__xludf.DUMMYFUNCTION("""COMPUTED_VALUE"""),"Fled/Apprehended")</f>
        <v>Fled/Apprehended</v>
      </c>
      <c r="G286" s="1" t="str">
        <f ca="1">IFERROR(__xludf.DUMMYFUNCTION("""COMPUTED_VALUE"""),"No")</f>
        <v>No</v>
      </c>
      <c r="H286" s="1" t="str">
        <f ca="1">IFERROR(__xludf.DUMMYFUNCTION("""COMPUTED_VALUE"""),"None")</f>
        <v>None</v>
      </c>
    </row>
    <row r="287" spans="1:8" ht="12.5">
      <c r="A287" s="1" t="str">
        <f ca="1">IFERROR(__xludf.DUMMYFUNCTION("""COMPUTED_VALUE"""),"20230605MIMIW")</f>
        <v>20230605MIMIW</v>
      </c>
      <c r="B287" s="1">
        <f ca="1">IFERROR(__xludf.DUMMYFUNCTION("""COMPUTED_VALUE"""),22)</f>
        <v>22</v>
      </c>
      <c r="C287" s="1" t="str">
        <f ca="1">IFERROR(__xludf.DUMMYFUNCTION("""COMPUTED_VALUE"""),"Male")</f>
        <v>Male</v>
      </c>
      <c r="D287" s="1" t="str">
        <f ca="1">IFERROR(__xludf.DUMMYFUNCTION("""COMPUTED_VALUE"""),"Black")</f>
        <v>Black</v>
      </c>
      <c r="E287" s="1" t="str">
        <f ca="1">IFERROR(__xludf.DUMMYFUNCTION("""COMPUTED_VALUE"""),"Relative")</f>
        <v>Relative</v>
      </c>
      <c r="F287" s="1" t="str">
        <f ca="1">IFERROR(__xludf.DUMMYFUNCTION("""COMPUTED_VALUE"""),"Fled/Apprehended")</f>
        <v>Fled/Apprehended</v>
      </c>
      <c r="G287" s="1" t="str">
        <f ca="1">IFERROR(__xludf.DUMMYFUNCTION("""COMPUTED_VALUE"""),"No")</f>
        <v>No</v>
      </c>
      <c r="H287" s="1" t="str">
        <f ca="1">IFERROR(__xludf.DUMMYFUNCTION("""COMPUTED_VALUE"""),"None")</f>
        <v>None</v>
      </c>
    </row>
    <row r="288" spans="1:8" ht="12.5">
      <c r="A288" s="1" t="str">
        <f ca="1">IFERROR(__xludf.DUMMYFUNCTION("""COMPUTED_VALUE"""),"20230605MARID")</f>
        <v>20230605MARID</v>
      </c>
      <c r="B288" s="1"/>
      <c r="C288" s="1"/>
      <c r="D288" s="1"/>
      <c r="E288" s="1"/>
      <c r="F288" s="1" t="str">
        <f ca="1">IFERROR(__xludf.DUMMYFUNCTION("""COMPUTED_VALUE"""),"Fled/Escaped")</f>
        <v>Fled/Escaped</v>
      </c>
      <c r="G288" s="1" t="str">
        <f ca="1">IFERROR(__xludf.DUMMYFUNCTION("""COMPUTED_VALUE"""),"No")</f>
        <v>No</v>
      </c>
      <c r="H288" s="1" t="str">
        <f ca="1">IFERROR(__xludf.DUMMYFUNCTION("""COMPUTED_VALUE"""),"None")</f>
        <v>None</v>
      </c>
    </row>
    <row r="289" spans="1:8" ht="12.5">
      <c r="A289" s="1" t="str">
        <f ca="1">IFERROR(__xludf.DUMMYFUNCTION("""COMPUTED_VALUE"""),"20230602MAWOW")</f>
        <v>20230602MAWOW</v>
      </c>
      <c r="B289" s="1"/>
      <c r="C289" s="1"/>
      <c r="D289" s="1"/>
      <c r="E289" s="1"/>
      <c r="F289" s="1" t="str">
        <f ca="1">IFERROR(__xludf.DUMMYFUNCTION("""COMPUTED_VALUE"""),"Fled/Escaped")</f>
        <v>Fled/Escaped</v>
      </c>
      <c r="G289" s="1" t="str">
        <f ca="1">IFERROR(__xludf.DUMMYFUNCTION("""COMPUTED_VALUE"""),"No")</f>
        <v>No</v>
      </c>
      <c r="H289" s="1" t="str">
        <f ca="1">IFERROR(__xludf.DUMMYFUNCTION("""COMPUTED_VALUE"""),"None")</f>
        <v>None</v>
      </c>
    </row>
    <row r="290" spans="1:8" ht="12.5">
      <c r="A290" s="1" t="str">
        <f ca="1">IFERROR(__xludf.DUMMYFUNCTION("""COMPUTED_VALUE"""),"20230602MDSAE")</f>
        <v>20230602MDSAE</v>
      </c>
      <c r="B290" s="1" t="str">
        <f ca="1">IFERROR(__xludf.DUMMYFUNCTION("""COMPUTED_VALUE"""),"Teen")</f>
        <v>Teen</v>
      </c>
      <c r="C290" s="1" t="str">
        <f ca="1">IFERROR(__xludf.DUMMYFUNCTION("""COMPUTED_VALUE"""),"Male")</f>
        <v>Male</v>
      </c>
      <c r="D290" s="1"/>
      <c r="E290" s="1" t="str">
        <f ca="1">IFERROR(__xludf.DUMMYFUNCTION("""COMPUTED_VALUE"""),"No Relation")</f>
        <v>No Relation</v>
      </c>
      <c r="F290" s="1" t="str">
        <f ca="1">IFERROR(__xludf.DUMMYFUNCTION("""COMPUTED_VALUE"""),"Surrendered")</f>
        <v>Surrendered</v>
      </c>
      <c r="G290" s="1" t="str">
        <f ca="1">IFERROR(__xludf.DUMMYFUNCTION("""COMPUTED_VALUE"""),"No")</f>
        <v>No</v>
      </c>
      <c r="H290" s="1" t="str">
        <f ca="1">IFERROR(__xludf.DUMMYFUNCTION("""COMPUTED_VALUE"""),"Wounded")</f>
        <v>Wounded</v>
      </c>
    </row>
    <row r="291" spans="1:8" ht="12.5">
      <c r="A291" s="1" t="str">
        <f ca="1">IFERROR(__xludf.DUMMYFUNCTION("""COMPUTED_VALUE"""),"20230602MDSAE")</f>
        <v>20230602MDSAE</v>
      </c>
      <c r="B291" s="1" t="str">
        <f ca="1">IFERROR(__xludf.DUMMYFUNCTION("""COMPUTED_VALUE"""),"Teen")</f>
        <v>Teen</v>
      </c>
      <c r="C291" s="1" t="str">
        <f ca="1">IFERROR(__xludf.DUMMYFUNCTION("""COMPUTED_VALUE"""),"Male")</f>
        <v>Male</v>
      </c>
      <c r="D291" s="1"/>
      <c r="E291" s="1" t="str">
        <f ca="1">IFERROR(__xludf.DUMMYFUNCTION("""COMPUTED_VALUE"""),"No Relation")</f>
        <v>No Relation</v>
      </c>
      <c r="F291" s="1" t="str">
        <f ca="1">IFERROR(__xludf.DUMMYFUNCTION("""COMPUTED_VALUE"""),"Surrendered")</f>
        <v>Surrendered</v>
      </c>
      <c r="G291" s="1" t="str">
        <f ca="1">IFERROR(__xludf.DUMMYFUNCTION("""COMPUTED_VALUE"""),"No")</f>
        <v>No</v>
      </c>
      <c r="H291" s="1" t="str">
        <f ca="1">IFERROR(__xludf.DUMMYFUNCTION("""COMPUTED_VALUE"""),"Wounded")</f>
        <v>Wounded</v>
      </c>
    </row>
    <row r="292" spans="1:8" ht="12.5">
      <c r="A292" s="1" t="str">
        <f ca="1">IFERROR(__xludf.DUMMYFUNCTION("""COMPUTED_VALUE"""),"20230601TXCAF")</f>
        <v>20230601TXCAF</v>
      </c>
      <c r="B292" s="1" t="str">
        <f ca="1">IFERROR(__xludf.DUMMYFUNCTION("""COMPUTED_VALUE"""),"Adult")</f>
        <v>Adult</v>
      </c>
      <c r="C292" s="1" t="str">
        <f ca="1">IFERROR(__xludf.DUMMYFUNCTION("""COMPUTED_VALUE"""),"Male")</f>
        <v>Male</v>
      </c>
      <c r="D292" s="1"/>
      <c r="E292" s="1"/>
      <c r="F292" s="1" t="str">
        <f ca="1">IFERROR(__xludf.DUMMYFUNCTION("""COMPUTED_VALUE"""),"Fled/Escaped")</f>
        <v>Fled/Escaped</v>
      </c>
      <c r="G292" s="1" t="str">
        <f ca="1">IFERROR(__xludf.DUMMYFUNCTION("""COMPUTED_VALUE"""),"No")</f>
        <v>No</v>
      </c>
      <c r="H292" s="1" t="str">
        <f ca="1">IFERROR(__xludf.DUMMYFUNCTION("""COMPUTED_VALUE"""),"None")</f>
        <v>None</v>
      </c>
    </row>
    <row r="293" spans="1:8" ht="12.5">
      <c r="A293" s="1" t="str">
        <f ca="1">IFERROR(__xludf.DUMMYFUNCTION("""COMPUTED_VALUE"""),"20230531CABAB")</f>
        <v>20230531CABAB</v>
      </c>
      <c r="B293" s="1">
        <f ca="1">IFERROR(__xludf.DUMMYFUNCTION("""COMPUTED_VALUE"""),19)</f>
        <v>19</v>
      </c>
      <c r="C293" s="1" t="str">
        <f ca="1">IFERROR(__xludf.DUMMYFUNCTION("""COMPUTED_VALUE"""),"Male")</f>
        <v>Male</v>
      </c>
      <c r="D293" s="1" t="str">
        <f ca="1">IFERROR(__xludf.DUMMYFUNCTION("""COMPUTED_VALUE"""),"Black")</f>
        <v>Black</v>
      </c>
      <c r="E293" s="1"/>
      <c r="F293" s="1" t="str">
        <f ca="1">IFERROR(__xludf.DUMMYFUNCTION("""COMPUTED_VALUE"""),"Fled/Apprehended")</f>
        <v>Fled/Apprehended</v>
      </c>
      <c r="G293" s="1" t="str">
        <f ca="1">IFERROR(__xludf.DUMMYFUNCTION("""COMPUTED_VALUE"""),"No")</f>
        <v>No</v>
      </c>
      <c r="H293" s="1" t="str">
        <f ca="1">IFERROR(__xludf.DUMMYFUNCTION("""COMPUTED_VALUE"""),"None")</f>
        <v>None</v>
      </c>
    </row>
    <row r="294" spans="1:8" ht="12.5">
      <c r="A294" s="1" t="str">
        <f ca="1">IFERROR(__xludf.DUMMYFUNCTION("""COMPUTED_VALUE"""),"20230528GABEA")</f>
        <v>20230528GABEA</v>
      </c>
      <c r="B294" s="1" t="str">
        <f ca="1">IFERROR(__xludf.DUMMYFUNCTION("""COMPUTED_VALUE"""),"Teen")</f>
        <v>Teen</v>
      </c>
      <c r="C294" s="1" t="str">
        <f ca="1">IFERROR(__xludf.DUMMYFUNCTION("""COMPUTED_VALUE"""),"Male")</f>
        <v>Male</v>
      </c>
      <c r="D294" s="1"/>
      <c r="E294" s="1" t="str">
        <f ca="1">IFERROR(__xludf.DUMMYFUNCTION("""COMPUTED_VALUE"""),"Student")</f>
        <v>Student</v>
      </c>
      <c r="F294" s="1" t="str">
        <f ca="1">IFERROR(__xludf.DUMMYFUNCTION("""COMPUTED_VALUE"""),"Fled/Escaped")</f>
        <v>Fled/Escaped</v>
      </c>
      <c r="G294" s="1" t="str">
        <f ca="1">IFERROR(__xludf.DUMMYFUNCTION("""COMPUTED_VALUE"""),"No")</f>
        <v>No</v>
      </c>
      <c r="H294" s="1" t="str">
        <f ca="1">IFERROR(__xludf.DUMMYFUNCTION("""COMPUTED_VALUE"""),"None")</f>
        <v>None</v>
      </c>
    </row>
    <row r="295" spans="1:8" ht="12.5">
      <c r="A295" s="1" t="str">
        <f ca="1">IFERROR(__xludf.DUMMYFUNCTION("""COMPUTED_VALUE"""),"20230526MIHAH")</f>
        <v>20230526MIHAH</v>
      </c>
      <c r="B295" s="1"/>
      <c r="C295" s="1"/>
      <c r="D295" s="1"/>
      <c r="E295" s="1"/>
      <c r="F295" s="1" t="str">
        <f ca="1">IFERROR(__xludf.DUMMYFUNCTION("""COMPUTED_VALUE"""),"Fled/Escaped")</f>
        <v>Fled/Escaped</v>
      </c>
      <c r="G295" s="1" t="str">
        <f ca="1">IFERROR(__xludf.DUMMYFUNCTION("""COMPUTED_VALUE"""),"No")</f>
        <v>No</v>
      </c>
      <c r="H295" s="1" t="str">
        <f ca="1">IFERROR(__xludf.DUMMYFUNCTION("""COMPUTED_VALUE"""),"None")</f>
        <v>None</v>
      </c>
    </row>
    <row r="296" spans="1:8" ht="12.5">
      <c r="A296" s="1" t="str">
        <f ca="1">IFERROR(__xludf.DUMMYFUNCTION("""COMPUTED_VALUE"""),"20230526NYMOM")</f>
        <v>20230526NYMOM</v>
      </c>
      <c r="B296" s="1"/>
      <c r="C296" s="1"/>
      <c r="D296" s="1"/>
      <c r="E296" s="1"/>
      <c r="F296" s="1" t="str">
        <f ca="1">IFERROR(__xludf.DUMMYFUNCTION("""COMPUTED_VALUE"""),"Fled/Escaped")</f>
        <v>Fled/Escaped</v>
      </c>
      <c r="G296" s="1" t="str">
        <f ca="1">IFERROR(__xludf.DUMMYFUNCTION("""COMPUTED_VALUE"""),"No")</f>
        <v>No</v>
      </c>
      <c r="H296" s="1" t="str">
        <f ca="1">IFERROR(__xludf.DUMMYFUNCTION("""COMPUTED_VALUE"""),"None")</f>
        <v>None</v>
      </c>
    </row>
    <row r="297" spans="1:8" ht="12.5">
      <c r="A297" s="1" t="str">
        <f ca="1">IFERROR(__xludf.DUMMYFUNCTION("""COMPUTED_VALUE"""),"20230525PASAB")</f>
        <v>20230525PASAB</v>
      </c>
      <c r="B297" s="1" t="str">
        <f ca="1">IFERROR(__xludf.DUMMYFUNCTION("""COMPUTED_VALUE"""),"Teen")</f>
        <v>Teen</v>
      </c>
      <c r="C297" s="1"/>
      <c r="D297" s="1"/>
      <c r="E297" s="1" t="str">
        <f ca="1">IFERROR(__xludf.DUMMYFUNCTION("""COMPUTED_VALUE"""),"No Relation")</f>
        <v>No Relation</v>
      </c>
      <c r="F297" s="1" t="str">
        <f ca="1">IFERROR(__xludf.DUMMYFUNCTION("""COMPUTED_VALUE"""),"Fled/Escaped")</f>
        <v>Fled/Escaped</v>
      </c>
      <c r="G297" s="1" t="str">
        <f ca="1">IFERROR(__xludf.DUMMYFUNCTION("""COMPUTED_VALUE"""),"No")</f>
        <v>No</v>
      </c>
      <c r="H297" s="1" t="str">
        <f ca="1">IFERROR(__xludf.DUMMYFUNCTION("""COMPUTED_VALUE"""),"None")</f>
        <v>None</v>
      </c>
    </row>
    <row r="298" spans="1:8" ht="12.5">
      <c r="A298" s="1" t="str">
        <f ca="1">IFERROR(__xludf.DUMMYFUNCTION("""COMPUTED_VALUE"""),"20230525OHBEC")</f>
        <v>20230525OHBEC</v>
      </c>
      <c r="B298" s="1" t="str">
        <f ca="1">IFERROR(__xludf.DUMMYFUNCTION("""COMPUTED_VALUE"""),"Adult")</f>
        <v>Adult</v>
      </c>
      <c r="C298" s="1" t="str">
        <f ca="1">IFERROR(__xludf.DUMMYFUNCTION("""COMPUTED_VALUE"""),"Male")</f>
        <v>Male</v>
      </c>
      <c r="D298" s="1"/>
      <c r="E298" s="1" t="str">
        <f ca="1">IFERROR(__xludf.DUMMYFUNCTION("""COMPUTED_VALUE"""),"No Relation")</f>
        <v>No Relation</v>
      </c>
      <c r="F298" s="1" t="str">
        <f ca="1">IFERROR(__xludf.DUMMYFUNCTION("""COMPUTED_VALUE"""),"Fled/Escaped")</f>
        <v>Fled/Escaped</v>
      </c>
      <c r="G298" s="1" t="str">
        <f ca="1">IFERROR(__xludf.DUMMYFUNCTION("""COMPUTED_VALUE"""),"No")</f>
        <v>No</v>
      </c>
      <c r="H298" s="1" t="str">
        <f ca="1">IFERROR(__xludf.DUMMYFUNCTION("""COMPUTED_VALUE"""),"None")</f>
        <v>None</v>
      </c>
    </row>
    <row r="299" spans="1:8" ht="12.5">
      <c r="A299" s="1" t="str">
        <f ca="1">IFERROR(__xludf.DUMMYFUNCTION("""COMPUTED_VALUE"""),"20230525CABEM")</f>
        <v>20230525CABEM</v>
      </c>
      <c r="B299" s="1" t="str">
        <f ca="1">IFERROR(__xludf.DUMMYFUNCTION("""COMPUTED_VALUE"""),"Adult")</f>
        <v>Adult</v>
      </c>
      <c r="C299" s="1" t="str">
        <f ca="1">IFERROR(__xludf.DUMMYFUNCTION("""COMPUTED_VALUE"""),"Male")</f>
        <v>Male</v>
      </c>
      <c r="D299" s="1"/>
      <c r="E299" s="1" t="str">
        <f ca="1">IFERROR(__xludf.DUMMYFUNCTION("""COMPUTED_VALUE"""),"No Relation")</f>
        <v>No Relation</v>
      </c>
      <c r="F299" s="1" t="str">
        <f ca="1">IFERROR(__xludf.DUMMYFUNCTION("""COMPUTED_VALUE"""),"Fled/Escaped")</f>
        <v>Fled/Escaped</v>
      </c>
      <c r="G299" s="1" t="str">
        <f ca="1">IFERROR(__xludf.DUMMYFUNCTION("""COMPUTED_VALUE"""),"No")</f>
        <v>No</v>
      </c>
      <c r="H299" s="1" t="str">
        <f ca="1">IFERROR(__xludf.DUMMYFUNCTION("""COMPUTED_VALUE"""),"None")</f>
        <v>None</v>
      </c>
    </row>
    <row r="300" spans="1:8" ht="12.5">
      <c r="A300" s="1" t="str">
        <f ca="1">IFERROR(__xludf.DUMMYFUNCTION("""COMPUTED_VALUE"""),"20230525MNWAM")</f>
        <v>20230525MNWAM</v>
      </c>
      <c r="B300" s="1">
        <f ca="1">IFERROR(__xludf.DUMMYFUNCTION("""COMPUTED_VALUE"""),16)</f>
        <v>16</v>
      </c>
      <c r="C300" s="1" t="str">
        <f ca="1">IFERROR(__xludf.DUMMYFUNCTION("""COMPUTED_VALUE"""),"Male")</f>
        <v>Male</v>
      </c>
      <c r="D300" s="1"/>
      <c r="E300" s="1" t="str">
        <f ca="1">IFERROR(__xludf.DUMMYFUNCTION("""COMPUTED_VALUE"""),"Student")</f>
        <v>Student</v>
      </c>
      <c r="F300" s="1" t="str">
        <f ca="1">IFERROR(__xludf.DUMMYFUNCTION("""COMPUTED_VALUE"""),"Fled/Apprehended")</f>
        <v>Fled/Apprehended</v>
      </c>
      <c r="G300" s="1" t="str">
        <f ca="1">IFERROR(__xludf.DUMMYFUNCTION("""COMPUTED_VALUE"""),"No")</f>
        <v>No</v>
      </c>
      <c r="H300" s="1" t="str">
        <f ca="1">IFERROR(__xludf.DUMMYFUNCTION("""COMPUTED_VALUE"""),"None")</f>
        <v>None</v>
      </c>
    </row>
    <row r="301" spans="1:8" ht="12.5">
      <c r="A301" s="1" t="str">
        <f ca="1">IFERROR(__xludf.DUMMYFUNCTION("""COMPUTED_VALUE"""),"20230524NCJHG")</f>
        <v>20230524NCJHG</v>
      </c>
      <c r="B301" s="1">
        <f ca="1">IFERROR(__xludf.DUMMYFUNCTION("""COMPUTED_VALUE"""),19)</f>
        <v>19</v>
      </c>
      <c r="C301" s="1" t="str">
        <f ca="1">IFERROR(__xludf.DUMMYFUNCTION("""COMPUTED_VALUE"""),"Male")</f>
        <v>Male</v>
      </c>
      <c r="D301" s="1"/>
      <c r="E301" s="1" t="str">
        <f ca="1">IFERROR(__xludf.DUMMYFUNCTION("""COMPUTED_VALUE"""),"No Relation")</f>
        <v>No Relation</v>
      </c>
      <c r="F301" s="1" t="str">
        <f ca="1">IFERROR(__xludf.DUMMYFUNCTION("""COMPUTED_VALUE"""),"Fled/Apprehended")</f>
        <v>Fled/Apprehended</v>
      </c>
      <c r="G301" s="1" t="str">
        <f ca="1">IFERROR(__xludf.DUMMYFUNCTION("""COMPUTED_VALUE"""),"No")</f>
        <v>No</v>
      </c>
      <c r="H301" s="1" t="str">
        <f ca="1">IFERROR(__xludf.DUMMYFUNCTION("""COMPUTED_VALUE"""),"None")</f>
        <v>None</v>
      </c>
    </row>
    <row r="302" spans="1:8" ht="12.5">
      <c r="A302" s="1" t="str">
        <f ca="1">IFERROR(__xludf.DUMMYFUNCTION("""COMPUTED_VALUE"""),"20230524PAOLP")</f>
        <v>20230524PAOLP</v>
      </c>
      <c r="B302" s="1">
        <f ca="1">IFERROR(__xludf.DUMMYFUNCTION("""COMPUTED_VALUE"""),15)</f>
        <v>15</v>
      </c>
      <c r="C302" s="1" t="str">
        <f ca="1">IFERROR(__xludf.DUMMYFUNCTION("""COMPUTED_VALUE"""),"Male")</f>
        <v>Male</v>
      </c>
      <c r="D302" s="1"/>
      <c r="E302" s="1" t="str">
        <f ca="1">IFERROR(__xludf.DUMMYFUNCTION("""COMPUTED_VALUE"""),"Student")</f>
        <v>Student</v>
      </c>
      <c r="F302" s="1" t="str">
        <f ca="1">IFERROR(__xludf.DUMMYFUNCTION("""COMPUTED_VALUE"""),"Fled/Apprehended")</f>
        <v>Fled/Apprehended</v>
      </c>
      <c r="G302" s="1" t="str">
        <f ca="1">IFERROR(__xludf.DUMMYFUNCTION("""COMPUTED_VALUE"""),"No")</f>
        <v>No</v>
      </c>
      <c r="H302" s="1" t="str">
        <f ca="1">IFERROR(__xludf.DUMMYFUNCTION("""COMPUTED_VALUE"""),"None")</f>
        <v>None</v>
      </c>
    </row>
    <row r="303" spans="1:8" ht="12.5">
      <c r="A303" s="1" t="str">
        <f ca="1">IFERROR(__xludf.DUMMYFUNCTION("""COMPUTED_VALUE"""),"20230524NCNOD")</f>
        <v>20230524NCNOD</v>
      </c>
      <c r="B303" s="1">
        <f ca="1">IFERROR(__xludf.DUMMYFUNCTION("""COMPUTED_VALUE"""),16)</f>
        <v>16</v>
      </c>
      <c r="C303" s="1" t="str">
        <f ca="1">IFERROR(__xludf.DUMMYFUNCTION("""COMPUTED_VALUE"""),"Male")</f>
        <v>Male</v>
      </c>
      <c r="D303" s="1"/>
      <c r="E303" s="1"/>
      <c r="F303" s="1" t="str">
        <f ca="1">IFERROR(__xludf.DUMMYFUNCTION("""COMPUTED_VALUE"""),"Apprehended/Killed by LE")</f>
        <v>Apprehended/Killed by LE</v>
      </c>
      <c r="G303" s="1" t="str">
        <f ca="1">IFERROR(__xludf.DUMMYFUNCTION("""COMPUTED_VALUE"""),"No")</f>
        <v>No</v>
      </c>
      <c r="H303" s="1" t="str">
        <f ca="1">IFERROR(__xludf.DUMMYFUNCTION("""COMPUTED_VALUE"""),"None")</f>
        <v>None</v>
      </c>
    </row>
    <row r="304" spans="1:8" ht="12.5">
      <c r="A304" s="1" t="str">
        <f ca="1">IFERROR(__xludf.DUMMYFUNCTION("""COMPUTED_VALUE"""),"20230523MIYPY")</f>
        <v>20230523MIYPY</v>
      </c>
      <c r="B304" s="1"/>
      <c r="C304" s="1"/>
      <c r="D304" s="1"/>
      <c r="E304" s="1" t="str">
        <f ca="1">IFERROR(__xludf.DUMMYFUNCTION("""COMPUTED_VALUE"""),"No Relation")</f>
        <v>No Relation</v>
      </c>
      <c r="F304" s="1" t="str">
        <f ca="1">IFERROR(__xludf.DUMMYFUNCTION("""COMPUTED_VALUE"""),"Fled/Escaped")</f>
        <v>Fled/Escaped</v>
      </c>
      <c r="G304" s="1" t="str">
        <f ca="1">IFERROR(__xludf.DUMMYFUNCTION("""COMPUTED_VALUE"""),"No")</f>
        <v>No</v>
      </c>
      <c r="H304" s="1" t="str">
        <f ca="1">IFERROR(__xludf.DUMMYFUNCTION("""COMPUTED_VALUE"""),"None")</f>
        <v>None</v>
      </c>
    </row>
    <row r="305" spans="1:8" ht="12.5">
      <c r="A305" s="1" t="str">
        <f ca="1">IFERROR(__xludf.DUMMYFUNCTION("""COMPUTED_VALUE"""),"20230522MASTD")</f>
        <v>20230522MASTD</v>
      </c>
      <c r="B305" s="1" t="str">
        <f ca="1">IFERROR(__xludf.DUMMYFUNCTION("""COMPUTED_VALUE"""),"Adult")</f>
        <v>Adult</v>
      </c>
      <c r="C305" s="1"/>
      <c r="D305" s="1"/>
      <c r="E305" s="1" t="str">
        <f ca="1">IFERROR(__xludf.DUMMYFUNCTION("""COMPUTED_VALUE"""),"Police Officer/SRO")</f>
        <v>Police Officer/SRO</v>
      </c>
      <c r="F305" s="1" t="str">
        <f ca="1">IFERROR(__xludf.DUMMYFUNCTION("""COMPUTED_VALUE"""),"Law Enforcement")</f>
        <v>Law Enforcement</v>
      </c>
      <c r="G305" s="1" t="str">
        <f ca="1">IFERROR(__xludf.DUMMYFUNCTION("""COMPUTED_VALUE"""),"No")</f>
        <v>No</v>
      </c>
      <c r="H305" s="1" t="str">
        <f ca="1">IFERROR(__xludf.DUMMYFUNCTION("""COMPUTED_VALUE"""),"None")</f>
        <v>None</v>
      </c>
    </row>
    <row r="306" spans="1:8" ht="12.5">
      <c r="A306" s="1" t="str">
        <f ca="1">IFERROR(__xludf.DUMMYFUNCTION("""COMPUTED_VALUE"""),"20230522DCKID")</f>
        <v>20230522DCKID</v>
      </c>
      <c r="B306" s="1" t="str">
        <f ca="1">IFERROR(__xludf.DUMMYFUNCTION("""COMPUTED_VALUE"""),"Teen")</f>
        <v>Teen</v>
      </c>
      <c r="C306" s="1" t="str">
        <f ca="1">IFERROR(__xludf.DUMMYFUNCTION("""COMPUTED_VALUE"""),"Male")</f>
        <v>Male</v>
      </c>
      <c r="D306" s="1"/>
      <c r="E306" s="1"/>
      <c r="F306" s="1" t="str">
        <f ca="1">IFERROR(__xludf.DUMMYFUNCTION("""COMPUTED_VALUE"""),"Fled/Escaped")</f>
        <v>Fled/Escaped</v>
      </c>
      <c r="G306" s="1" t="str">
        <f ca="1">IFERROR(__xludf.DUMMYFUNCTION("""COMPUTED_VALUE"""),"No")</f>
        <v>No</v>
      </c>
      <c r="H306" s="1" t="str">
        <f ca="1">IFERROR(__xludf.DUMMYFUNCTION("""COMPUTED_VALUE"""),"None")</f>
        <v>None</v>
      </c>
    </row>
    <row r="307" spans="1:8" ht="12.5">
      <c r="A307" s="1" t="str">
        <f ca="1">IFERROR(__xludf.DUMMYFUNCTION("""COMPUTED_VALUE"""),"20230521NJCEN")</f>
        <v>20230521NJCEN</v>
      </c>
      <c r="B307" s="1" t="str">
        <f ca="1">IFERROR(__xludf.DUMMYFUNCTION("""COMPUTED_VALUE"""),"Teen")</f>
        <v>Teen</v>
      </c>
      <c r="C307" s="1" t="str">
        <f ca="1">IFERROR(__xludf.DUMMYFUNCTION("""COMPUTED_VALUE"""),"Male")</f>
        <v>Male</v>
      </c>
      <c r="D307" s="1"/>
      <c r="E307" s="1"/>
      <c r="F307" s="1" t="str">
        <f ca="1">IFERROR(__xludf.DUMMYFUNCTION("""COMPUTED_VALUE"""),"Fled/Escaped")</f>
        <v>Fled/Escaped</v>
      </c>
      <c r="G307" s="1" t="str">
        <f ca="1">IFERROR(__xludf.DUMMYFUNCTION("""COMPUTED_VALUE"""),"No")</f>
        <v>No</v>
      </c>
      <c r="H307" s="1" t="str">
        <f ca="1">IFERROR(__xludf.DUMMYFUNCTION("""COMPUTED_VALUE"""),"None")</f>
        <v>None</v>
      </c>
    </row>
    <row r="308" spans="1:8" ht="12.5">
      <c r="A308" s="1" t="str">
        <f ca="1">IFERROR(__xludf.DUMMYFUNCTION("""COMPUTED_VALUE"""),"20230519AZBOP")</f>
        <v>20230519AZBOP</v>
      </c>
      <c r="B308" s="1">
        <f ca="1">IFERROR(__xludf.DUMMYFUNCTION("""COMPUTED_VALUE"""),15)</f>
        <v>15</v>
      </c>
      <c r="C308" s="1" t="str">
        <f ca="1">IFERROR(__xludf.DUMMYFUNCTION("""COMPUTED_VALUE"""),"Male")</f>
        <v>Male</v>
      </c>
      <c r="D308" s="1"/>
      <c r="E308" s="1" t="str">
        <f ca="1">IFERROR(__xludf.DUMMYFUNCTION("""COMPUTED_VALUE"""),"Student")</f>
        <v>Student</v>
      </c>
      <c r="F308" s="1" t="str">
        <f ca="1">IFERROR(__xludf.DUMMYFUNCTION("""COMPUTED_VALUE"""),"Apprehended/Killed by LE")</f>
        <v>Apprehended/Killed by LE</v>
      </c>
      <c r="G308" s="1" t="str">
        <f ca="1">IFERROR(__xludf.DUMMYFUNCTION("""COMPUTED_VALUE"""),"No")</f>
        <v>No</v>
      </c>
      <c r="H308" s="1" t="str">
        <f ca="1">IFERROR(__xludf.DUMMYFUNCTION("""COMPUTED_VALUE"""),"None")</f>
        <v>None</v>
      </c>
    </row>
    <row r="309" spans="1:8" ht="12.5">
      <c r="A309" s="1" t="str">
        <f ca="1">IFERROR(__xludf.DUMMYFUNCTION("""COMPUTED_VALUE"""),"20230519DEFAD")</f>
        <v>20230519DEFAD</v>
      </c>
      <c r="B309" s="1"/>
      <c r="C309" s="1"/>
      <c r="D309" s="1"/>
      <c r="E309" s="1"/>
      <c r="F309" s="1" t="str">
        <f ca="1">IFERROR(__xludf.DUMMYFUNCTION("""COMPUTED_VALUE"""),"Fled/Escaped")</f>
        <v>Fled/Escaped</v>
      </c>
      <c r="G309" s="1" t="str">
        <f ca="1">IFERROR(__xludf.DUMMYFUNCTION("""COMPUTED_VALUE"""),"No")</f>
        <v>No</v>
      </c>
      <c r="H309" s="1" t="str">
        <f ca="1">IFERROR(__xludf.DUMMYFUNCTION("""COMPUTED_VALUE"""),"None")</f>
        <v>None</v>
      </c>
    </row>
    <row r="310" spans="1:8" ht="12.5">
      <c r="A310" s="1" t="str">
        <f ca="1">IFERROR(__xludf.DUMMYFUNCTION("""COMPUTED_VALUE"""),"20230519NYPSS")</f>
        <v>20230519NYPSS</v>
      </c>
      <c r="B310" s="1" t="str">
        <f ca="1">IFERROR(__xludf.DUMMYFUNCTION("""COMPUTED_VALUE"""),"Teen")</f>
        <v>Teen</v>
      </c>
      <c r="C310" s="1" t="str">
        <f ca="1">IFERROR(__xludf.DUMMYFUNCTION("""COMPUTED_VALUE"""),"Male")</f>
        <v>Male</v>
      </c>
      <c r="D310" s="1"/>
      <c r="E310" s="1" t="str">
        <f ca="1">IFERROR(__xludf.DUMMYFUNCTION("""COMPUTED_VALUE"""),"Student")</f>
        <v>Student</v>
      </c>
      <c r="F310" s="1" t="str">
        <f ca="1">IFERROR(__xludf.DUMMYFUNCTION("""COMPUTED_VALUE"""),"Fled/Escaped")</f>
        <v>Fled/Escaped</v>
      </c>
      <c r="G310" s="1" t="str">
        <f ca="1">IFERROR(__xludf.DUMMYFUNCTION("""COMPUTED_VALUE"""),"No")</f>
        <v>No</v>
      </c>
      <c r="H310" s="1" t="str">
        <f ca="1">IFERROR(__xludf.DUMMYFUNCTION("""COMPUTED_VALUE"""),"None")</f>
        <v>None</v>
      </c>
    </row>
    <row r="311" spans="1:8" ht="12.5">
      <c r="A311" s="1" t="str">
        <f ca="1">IFERROR(__xludf.DUMMYFUNCTION("""COMPUTED_VALUE"""),"20230518WAGAS")</f>
        <v>20230518WAGAS</v>
      </c>
      <c r="B311" s="1" t="str">
        <f ca="1">IFERROR(__xludf.DUMMYFUNCTION("""COMPUTED_VALUE"""),"Teen")</f>
        <v>Teen</v>
      </c>
      <c r="C311" s="1" t="str">
        <f ca="1">IFERROR(__xludf.DUMMYFUNCTION("""COMPUTED_VALUE"""),"Male")</f>
        <v>Male</v>
      </c>
      <c r="D311" s="1"/>
      <c r="E311" s="1"/>
      <c r="F311" s="1" t="str">
        <f ca="1">IFERROR(__xludf.DUMMYFUNCTION("""COMPUTED_VALUE"""),"Fled/Escaped")</f>
        <v>Fled/Escaped</v>
      </c>
      <c r="G311" s="1" t="str">
        <f ca="1">IFERROR(__xludf.DUMMYFUNCTION("""COMPUTED_VALUE"""),"No")</f>
        <v>No</v>
      </c>
      <c r="H311" s="1" t="str">
        <f ca="1">IFERROR(__xludf.DUMMYFUNCTION("""COMPUTED_VALUE"""),"None")</f>
        <v>None</v>
      </c>
    </row>
    <row r="312" spans="1:8" ht="12.5">
      <c r="A312" s="1" t="str">
        <f ca="1">IFERROR(__xludf.DUMMYFUNCTION("""COMPUTED_VALUE"""),"20230518CACHW")</f>
        <v>20230518CACHW</v>
      </c>
      <c r="B312" s="1" t="str">
        <f ca="1">IFERROR(__xludf.DUMMYFUNCTION("""COMPUTED_VALUE"""),"Adult")</f>
        <v>Adult</v>
      </c>
      <c r="C312" s="1" t="str">
        <f ca="1">IFERROR(__xludf.DUMMYFUNCTION("""COMPUTED_VALUE"""),"Male")</f>
        <v>Male</v>
      </c>
      <c r="D312" s="1"/>
      <c r="E312" s="1" t="str">
        <f ca="1">IFERROR(__xludf.DUMMYFUNCTION("""COMPUTED_VALUE"""),"No Relation")</f>
        <v>No Relation</v>
      </c>
      <c r="F312" s="1" t="str">
        <f ca="1">IFERROR(__xludf.DUMMYFUNCTION("""COMPUTED_VALUE"""),"Fled/Apprehended")</f>
        <v>Fled/Apprehended</v>
      </c>
      <c r="G312" s="1" t="str">
        <f ca="1">IFERROR(__xludf.DUMMYFUNCTION("""COMPUTED_VALUE"""),"No")</f>
        <v>No</v>
      </c>
      <c r="H312" s="1" t="str">
        <f ca="1">IFERROR(__xludf.DUMMYFUNCTION("""COMPUTED_VALUE"""),"None")</f>
        <v>None</v>
      </c>
    </row>
    <row r="313" spans="1:8" ht="12.5">
      <c r="A313" s="1" t="str">
        <f ca="1">IFERROR(__xludf.DUMMYFUNCTION("""COMPUTED_VALUE"""),"20230517DCTHW")</f>
        <v>20230517DCTHW</v>
      </c>
      <c r="B313" s="1"/>
      <c r="C313" s="1" t="str">
        <f ca="1">IFERROR(__xludf.DUMMYFUNCTION("""COMPUTED_VALUE"""),"Male")</f>
        <v>Male</v>
      </c>
      <c r="D313" s="1"/>
      <c r="E313" s="1"/>
      <c r="F313" s="1" t="str">
        <f ca="1">IFERROR(__xludf.DUMMYFUNCTION("""COMPUTED_VALUE"""),"Fled/Escaped")</f>
        <v>Fled/Escaped</v>
      </c>
      <c r="G313" s="1" t="str">
        <f ca="1">IFERROR(__xludf.DUMMYFUNCTION("""COMPUTED_VALUE"""),"No")</f>
        <v>No</v>
      </c>
      <c r="H313" s="1" t="str">
        <f ca="1">IFERROR(__xludf.DUMMYFUNCTION("""COMPUTED_VALUE"""),"None")</f>
        <v>None</v>
      </c>
    </row>
    <row r="314" spans="1:8" ht="12.5">
      <c r="A314" s="1" t="str">
        <f ca="1">IFERROR(__xludf.DUMMYFUNCTION("""COMPUTED_VALUE"""),"20230516NJSCP")</f>
        <v>20230516NJSCP</v>
      </c>
      <c r="B314" s="1">
        <f ca="1">IFERROR(__xludf.DUMMYFUNCTION("""COMPUTED_VALUE"""),59)</f>
        <v>59</v>
      </c>
      <c r="C314" s="1" t="str">
        <f ca="1">IFERROR(__xludf.DUMMYFUNCTION("""COMPUTED_VALUE"""),"Male")</f>
        <v>Male</v>
      </c>
      <c r="D314" s="1"/>
      <c r="E314" s="1" t="str">
        <f ca="1">IFERROR(__xludf.DUMMYFUNCTION("""COMPUTED_VALUE"""),"No Relation")</f>
        <v>No Relation</v>
      </c>
      <c r="F314" s="1" t="str">
        <f ca="1">IFERROR(__xludf.DUMMYFUNCTION("""COMPUTED_VALUE"""),"Fled/Apprehended")</f>
        <v>Fled/Apprehended</v>
      </c>
      <c r="G314" s="1" t="str">
        <f ca="1">IFERROR(__xludf.DUMMYFUNCTION("""COMPUTED_VALUE"""),"No")</f>
        <v>No</v>
      </c>
      <c r="H314" s="1" t="str">
        <f ca="1">IFERROR(__xludf.DUMMYFUNCTION("""COMPUTED_VALUE"""),"None")</f>
        <v>None</v>
      </c>
    </row>
    <row r="315" spans="1:8" ht="12.5">
      <c r="A315" s="1" t="str">
        <f ca="1">IFERROR(__xludf.DUMMYFUNCTION("""COMPUTED_VALUE"""),"20230516OHEAC")</f>
        <v>20230516OHEAC</v>
      </c>
      <c r="B315" s="1"/>
      <c r="C315" s="1" t="str">
        <f ca="1">IFERROR(__xludf.DUMMYFUNCTION("""COMPUTED_VALUE"""),"Male")</f>
        <v>Male</v>
      </c>
      <c r="D315" s="1"/>
      <c r="E315" s="1"/>
      <c r="F315" s="1" t="str">
        <f ca="1">IFERROR(__xludf.DUMMYFUNCTION("""COMPUTED_VALUE"""),"Fled/Escaped")</f>
        <v>Fled/Escaped</v>
      </c>
      <c r="G315" s="1" t="str">
        <f ca="1">IFERROR(__xludf.DUMMYFUNCTION("""COMPUTED_VALUE"""),"No")</f>
        <v>No</v>
      </c>
      <c r="H315" s="1" t="str">
        <f ca="1">IFERROR(__xludf.DUMMYFUNCTION("""COMPUTED_VALUE"""),"None")</f>
        <v>None</v>
      </c>
    </row>
    <row r="316" spans="1:8" ht="12.5">
      <c r="A316" s="1" t="str">
        <f ca="1">IFERROR(__xludf.DUMMYFUNCTION("""COMPUTED_VALUE"""),"20230516MNDAM")</f>
        <v>20230516MNDAM</v>
      </c>
      <c r="B316" s="1" t="str">
        <f ca="1">IFERROR(__xludf.DUMMYFUNCTION("""COMPUTED_VALUE"""),"Teen")</f>
        <v>Teen</v>
      </c>
      <c r="C316" s="1" t="str">
        <f ca="1">IFERROR(__xludf.DUMMYFUNCTION("""COMPUTED_VALUE"""),"Male")</f>
        <v>Male</v>
      </c>
      <c r="D316" s="1" t="str">
        <f ca="1">IFERROR(__xludf.DUMMYFUNCTION("""COMPUTED_VALUE"""),"Black")</f>
        <v>Black</v>
      </c>
      <c r="E316" s="1"/>
      <c r="F316" s="1" t="str">
        <f ca="1">IFERROR(__xludf.DUMMYFUNCTION("""COMPUTED_VALUE"""),"Fled/Escaped")</f>
        <v>Fled/Escaped</v>
      </c>
      <c r="G316" s="1" t="str">
        <f ca="1">IFERROR(__xludf.DUMMYFUNCTION("""COMPUTED_VALUE"""),"No")</f>
        <v>No</v>
      </c>
      <c r="H316" s="1" t="str">
        <f ca="1">IFERROR(__xludf.DUMMYFUNCTION("""COMPUTED_VALUE"""),"None")</f>
        <v>None</v>
      </c>
    </row>
    <row r="317" spans="1:8" ht="12.5">
      <c r="A317" s="1" t="str">
        <f ca="1">IFERROR(__xludf.DUMMYFUNCTION("""COMPUTED_VALUE"""),"20230516MNDAM")</f>
        <v>20230516MNDAM</v>
      </c>
      <c r="B317" s="1" t="str">
        <f ca="1">IFERROR(__xludf.DUMMYFUNCTION("""COMPUTED_VALUE"""),"Teen")</f>
        <v>Teen</v>
      </c>
      <c r="C317" s="1" t="str">
        <f ca="1">IFERROR(__xludf.DUMMYFUNCTION("""COMPUTED_VALUE"""),"Male")</f>
        <v>Male</v>
      </c>
      <c r="D317" s="1" t="str">
        <f ca="1">IFERROR(__xludf.DUMMYFUNCTION("""COMPUTED_VALUE"""),"Black")</f>
        <v>Black</v>
      </c>
      <c r="E317" s="1"/>
      <c r="F317" s="1" t="str">
        <f ca="1">IFERROR(__xludf.DUMMYFUNCTION("""COMPUTED_VALUE"""),"Fled/Escaped")</f>
        <v>Fled/Escaped</v>
      </c>
      <c r="G317" s="1" t="str">
        <f ca="1">IFERROR(__xludf.DUMMYFUNCTION("""COMPUTED_VALUE"""),"No")</f>
        <v>No</v>
      </c>
      <c r="H317" s="1" t="str">
        <f ca="1">IFERROR(__xludf.DUMMYFUNCTION("""COMPUTED_VALUE"""),"None")</f>
        <v>None</v>
      </c>
    </row>
    <row r="318" spans="1:8" ht="12.5">
      <c r="A318" s="1" t="str">
        <f ca="1">IFERROR(__xludf.DUMMYFUNCTION("""COMPUTED_VALUE"""),"20230516MNDAM")</f>
        <v>20230516MNDAM</v>
      </c>
      <c r="B318" s="1" t="str">
        <f ca="1">IFERROR(__xludf.DUMMYFUNCTION("""COMPUTED_VALUE"""),"Teen")</f>
        <v>Teen</v>
      </c>
      <c r="C318" s="1" t="str">
        <f ca="1">IFERROR(__xludf.DUMMYFUNCTION("""COMPUTED_VALUE"""),"Male")</f>
        <v>Male</v>
      </c>
      <c r="D318" s="1" t="str">
        <f ca="1">IFERROR(__xludf.DUMMYFUNCTION("""COMPUTED_VALUE"""),"Black")</f>
        <v>Black</v>
      </c>
      <c r="E318" s="1"/>
      <c r="F318" s="1" t="str">
        <f ca="1">IFERROR(__xludf.DUMMYFUNCTION("""COMPUTED_VALUE"""),"Fled/Escaped")</f>
        <v>Fled/Escaped</v>
      </c>
      <c r="G318" s="1" t="str">
        <f ca="1">IFERROR(__xludf.DUMMYFUNCTION("""COMPUTED_VALUE"""),"No")</f>
        <v>No</v>
      </c>
      <c r="H318" s="1" t="str">
        <f ca="1">IFERROR(__xludf.DUMMYFUNCTION("""COMPUTED_VALUE"""),"None")</f>
        <v>None</v>
      </c>
    </row>
    <row r="319" spans="1:8" ht="12.5">
      <c r="A319" s="1" t="str">
        <f ca="1">IFERROR(__xludf.DUMMYFUNCTION("""COMPUTED_VALUE"""),"20230515ININI")</f>
        <v>20230515ININI</v>
      </c>
      <c r="B319" s="1">
        <f ca="1">IFERROR(__xludf.DUMMYFUNCTION("""COMPUTED_VALUE"""),16)</f>
        <v>16</v>
      </c>
      <c r="C319" s="1" t="str">
        <f ca="1">IFERROR(__xludf.DUMMYFUNCTION("""COMPUTED_VALUE"""),"Male")</f>
        <v>Male</v>
      </c>
      <c r="D319" s="1" t="str">
        <f ca="1">IFERROR(__xludf.DUMMYFUNCTION("""COMPUTED_VALUE"""),"Black")</f>
        <v>Black</v>
      </c>
      <c r="E319" s="1" t="str">
        <f ca="1">IFERROR(__xludf.DUMMYFUNCTION("""COMPUTED_VALUE"""),"Student")</f>
        <v>Student</v>
      </c>
      <c r="F319" s="1" t="str">
        <f ca="1">IFERROR(__xludf.DUMMYFUNCTION("""COMPUTED_VALUE"""),"Apprehended/Killed by LE")</f>
        <v>Apprehended/Killed by LE</v>
      </c>
      <c r="G319" s="1" t="str">
        <f ca="1">IFERROR(__xludf.DUMMYFUNCTION("""COMPUTED_VALUE"""),"No")</f>
        <v>No</v>
      </c>
      <c r="H319" s="1" t="str">
        <f ca="1">IFERROR(__xludf.DUMMYFUNCTION("""COMPUTED_VALUE"""),"None")</f>
        <v>None</v>
      </c>
    </row>
    <row r="320" spans="1:8" ht="12.5">
      <c r="A320" s="1" t="str">
        <f ca="1">IFERROR(__xludf.DUMMYFUNCTION("""COMPUTED_VALUE"""),"20230515ININI")</f>
        <v>20230515ININI</v>
      </c>
      <c r="B320" s="1">
        <f ca="1">IFERROR(__xludf.DUMMYFUNCTION("""COMPUTED_VALUE"""),16)</f>
        <v>16</v>
      </c>
      <c r="C320" s="1" t="str">
        <f ca="1">IFERROR(__xludf.DUMMYFUNCTION("""COMPUTED_VALUE"""),"Male")</f>
        <v>Male</v>
      </c>
      <c r="D320" s="1" t="str">
        <f ca="1">IFERROR(__xludf.DUMMYFUNCTION("""COMPUTED_VALUE"""),"Black")</f>
        <v>Black</v>
      </c>
      <c r="E320" s="1" t="str">
        <f ca="1">IFERROR(__xludf.DUMMYFUNCTION("""COMPUTED_VALUE"""),"Student")</f>
        <v>Student</v>
      </c>
      <c r="F320" s="1" t="str">
        <f ca="1">IFERROR(__xludf.DUMMYFUNCTION("""COMPUTED_VALUE"""),"Apprehended/Killed by LE")</f>
        <v>Apprehended/Killed by LE</v>
      </c>
      <c r="G320" s="1" t="str">
        <f ca="1">IFERROR(__xludf.DUMMYFUNCTION("""COMPUTED_VALUE"""),"No")</f>
        <v>No</v>
      </c>
      <c r="H320" s="1" t="str">
        <f ca="1">IFERROR(__xludf.DUMMYFUNCTION("""COMPUTED_VALUE"""),"None")</f>
        <v>None</v>
      </c>
    </row>
    <row r="321" spans="1:8" ht="12.5">
      <c r="A321" s="1" t="str">
        <f ca="1">IFERROR(__xludf.DUMMYFUNCTION("""COMPUTED_VALUE"""),"20230515CAPIP")</f>
        <v>20230515CAPIP</v>
      </c>
      <c r="B321" s="1" t="str">
        <f ca="1">IFERROR(__xludf.DUMMYFUNCTION("""COMPUTED_VALUE"""),"Adult")</f>
        <v>Adult</v>
      </c>
      <c r="C321" s="1" t="str">
        <f ca="1">IFERROR(__xludf.DUMMYFUNCTION("""COMPUTED_VALUE"""),"Male")</f>
        <v>Male</v>
      </c>
      <c r="D321" s="1"/>
      <c r="E321" s="1" t="str">
        <f ca="1">IFERROR(__xludf.DUMMYFUNCTION("""COMPUTED_VALUE"""),"No Relation")</f>
        <v>No Relation</v>
      </c>
      <c r="F321" s="1" t="str">
        <f ca="1">IFERROR(__xludf.DUMMYFUNCTION("""COMPUTED_VALUE"""),"Apprehended/Killed by LE")</f>
        <v>Apprehended/Killed by LE</v>
      </c>
      <c r="G321" s="1" t="str">
        <f ca="1">IFERROR(__xludf.DUMMYFUNCTION("""COMPUTED_VALUE"""),"No")</f>
        <v>No</v>
      </c>
      <c r="H321" s="1" t="str">
        <f ca="1">IFERROR(__xludf.DUMMYFUNCTION("""COMPUTED_VALUE"""),"None")</f>
        <v>None</v>
      </c>
    </row>
    <row r="322" spans="1:8" ht="12.5">
      <c r="A322" s="1" t="str">
        <f ca="1">IFERROR(__xludf.DUMMYFUNCTION("""COMPUTED_VALUE"""),"20230515ORCRP")</f>
        <v>20230515ORCRP</v>
      </c>
      <c r="B322" s="1">
        <f ca="1">IFERROR(__xludf.DUMMYFUNCTION("""COMPUTED_VALUE"""),13)</f>
        <v>13</v>
      </c>
      <c r="C322" s="1" t="str">
        <f ca="1">IFERROR(__xludf.DUMMYFUNCTION("""COMPUTED_VALUE"""),"Male")</f>
        <v>Male</v>
      </c>
      <c r="D322" s="1"/>
      <c r="E322" s="1" t="str">
        <f ca="1">IFERROR(__xludf.DUMMYFUNCTION("""COMPUTED_VALUE"""),"Former Student")</f>
        <v>Former Student</v>
      </c>
      <c r="F322" s="1" t="str">
        <f ca="1">IFERROR(__xludf.DUMMYFUNCTION("""COMPUTED_VALUE"""),"Apprehended/Killed by LE")</f>
        <v>Apprehended/Killed by LE</v>
      </c>
      <c r="G322" s="1" t="str">
        <f ca="1">IFERROR(__xludf.DUMMYFUNCTION("""COMPUTED_VALUE"""),"No")</f>
        <v>No</v>
      </c>
      <c r="H322" s="1" t="str">
        <f ca="1">IFERROR(__xludf.DUMMYFUNCTION("""COMPUTED_VALUE"""),"None")</f>
        <v>None</v>
      </c>
    </row>
    <row r="323" spans="1:8" ht="12.5">
      <c r="A323" s="1" t="str">
        <f ca="1">IFERROR(__xludf.DUMMYFUNCTION("""COMPUTED_VALUE"""),"20230512OHEDD")</f>
        <v>20230512OHEDD</v>
      </c>
      <c r="B323" s="1">
        <f ca="1">IFERROR(__xludf.DUMMYFUNCTION("""COMPUTED_VALUE"""),19)</f>
        <v>19</v>
      </c>
      <c r="C323" s="1" t="str">
        <f ca="1">IFERROR(__xludf.DUMMYFUNCTION("""COMPUTED_VALUE"""),"Male")</f>
        <v>Male</v>
      </c>
      <c r="D323" s="1" t="str">
        <f ca="1">IFERROR(__xludf.DUMMYFUNCTION("""COMPUTED_VALUE"""),"Black")</f>
        <v>Black</v>
      </c>
      <c r="E323" s="1" t="str">
        <f ca="1">IFERROR(__xludf.DUMMYFUNCTION("""COMPUTED_VALUE"""),"No Relation")</f>
        <v>No Relation</v>
      </c>
      <c r="F323" s="1" t="str">
        <f ca="1">IFERROR(__xludf.DUMMYFUNCTION("""COMPUTED_VALUE"""),"Fled/Apprehended")</f>
        <v>Fled/Apprehended</v>
      </c>
      <c r="G323" s="1" t="str">
        <f ca="1">IFERROR(__xludf.DUMMYFUNCTION("""COMPUTED_VALUE"""),"No")</f>
        <v>No</v>
      </c>
      <c r="H323" s="1" t="str">
        <f ca="1">IFERROR(__xludf.DUMMYFUNCTION("""COMPUTED_VALUE"""),"None")</f>
        <v>None</v>
      </c>
    </row>
    <row r="324" spans="1:8" ht="12.5">
      <c r="A324" s="1" t="str">
        <f ca="1">IFERROR(__xludf.DUMMYFUNCTION("""COMPUTED_VALUE"""),"20230512OHEDD")</f>
        <v>20230512OHEDD</v>
      </c>
      <c r="B324" s="1" t="str">
        <f ca="1">IFERROR(__xludf.DUMMYFUNCTION("""COMPUTED_VALUE"""),"Teen")</f>
        <v>Teen</v>
      </c>
      <c r="C324" s="1" t="str">
        <f ca="1">IFERROR(__xludf.DUMMYFUNCTION("""COMPUTED_VALUE"""),"Male")</f>
        <v>Male</v>
      </c>
      <c r="D324" s="1"/>
      <c r="E324" s="1" t="str">
        <f ca="1">IFERROR(__xludf.DUMMYFUNCTION("""COMPUTED_VALUE"""),"No Relation")</f>
        <v>No Relation</v>
      </c>
      <c r="F324" s="1" t="str">
        <f ca="1">IFERROR(__xludf.DUMMYFUNCTION("""COMPUTED_VALUE"""),"Fled/Escaped")</f>
        <v>Fled/Escaped</v>
      </c>
      <c r="G324" s="1" t="str">
        <f ca="1">IFERROR(__xludf.DUMMYFUNCTION("""COMPUTED_VALUE"""),"No")</f>
        <v>No</v>
      </c>
      <c r="H324" s="1" t="str">
        <f ca="1">IFERROR(__xludf.DUMMYFUNCTION("""COMPUTED_VALUE"""),"None")</f>
        <v>None</v>
      </c>
    </row>
    <row r="325" spans="1:8" ht="12.5">
      <c r="A325" s="1" t="str">
        <f ca="1">IFERROR(__xludf.DUMMYFUNCTION("""COMPUTED_VALUE"""),"20230512DCKEW")</f>
        <v>20230512DCKEW</v>
      </c>
      <c r="B325" s="1" t="str">
        <f ca="1">IFERROR(__xludf.DUMMYFUNCTION("""COMPUTED_VALUE"""),"Adult")</f>
        <v>Adult</v>
      </c>
      <c r="C325" s="1" t="str">
        <f ca="1">IFERROR(__xludf.DUMMYFUNCTION("""COMPUTED_VALUE"""),"Male")</f>
        <v>Male</v>
      </c>
      <c r="D325" s="1"/>
      <c r="E325" s="1" t="str">
        <f ca="1">IFERROR(__xludf.DUMMYFUNCTION("""COMPUTED_VALUE"""),"No Relation")</f>
        <v>No Relation</v>
      </c>
      <c r="F325" s="1" t="str">
        <f ca="1">IFERROR(__xludf.DUMMYFUNCTION("""COMPUTED_VALUE"""),"Fled/Escaped")</f>
        <v>Fled/Escaped</v>
      </c>
      <c r="G325" s="1" t="str">
        <f ca="1">IFERROR(__xludf.DUMMYFUNCTION("""COMPUTED_VALUE"""),"No")</f>
        <v>No</v>
      </c>
      <c r="H325" s="1" t="str">
        <f ca="1">IFERROR(__xludf.DUMMYFUNCTION("""COMPUTED_VALUE"""),"None")</f>
        <v>None</v>
      </c>
    </row>
    <row r="326" spans="1:8" ht="12.5">
      <c r="A326" s="1" t="str">
        <f ca="1">IFERROR(__xludf.DUMMYFUNCTION("""COMPUTED_VALUE"""),"20230512TNLEL")</f>
        <v>20230512TNLEL</v>
      </c>
      <c r="B326" s="1" t="str">
        <f ca="1">IFERROR(__xludf.DUMMYFUNCTION("""COMPUTED_VALUE"""),"Adult")</f>
        <v>Adult</v>
      </c>
      <c r="C326" s="1" t="str">
        <f ca="1">IFERROR(__xludf.DUMMYFUNCTION("""COMPUTED_VALUE"""),"Male")</f>
        <v>Male</v>
      </c>
      <c r="D326" s="1"/>
      <c r="E326" s="1" t="str">
        <f ca="1">IFERROR(__xludf.DUMMYFUNCTION("""COMPUTED_VALUE"""),"Parent")</f>
        <v>Parent</v>
      </c>
      <c r="F326" s="1" t="str">
        <f ca="1">IFERROR(__xludf.DUMMYFUNCTION("""COMPUTED_VALUE"""),"Surrendered")</f>
        <v>Surrendered</v>
      </c>
      <c r="G326" s="1" t="str">
        <f ca="1">IFERROR(__xludf.DUMMYFUNCTION("""COMPUTED_VALUE"""),"No")</f>
        <v>No</v>
      </c>
      <c r="H326" s="1" t="str">
        <f ca="1">IFERROR(__xludf.DUMMYFUNCTION("""COMPUTED_VALUE"""),"Wounded")</f>
        <v>Wounded</v>
      </c>
    </row>
    <row r="327" spans="1:8" ht="12.5">
      <c r="A327" s="1" t="str">
        <f ca="1">IFERROR(__xludf.DUMMYFUNCTION("""COMPUTED_VALUE"""),"20230511MDNOF")</f>
        <v>20230511MDNOF</v>
      </c>
      <c r="B327" s="1">
        <f ca="1">IFERROR(__xludf.DUMMYFUNCTION("""COMPUTED_VALUE"""),18)</f>
        <v>18</v>
      </c>
      <c r="C327" s="1" t="str">
        <f ca="1">IFERROR(__xludf.DUMMYFUNCTION("""COMPUTED_VALUE"""),"Male")</f>
        <v>Male</v>
      </c>
      <c r="D327" s="1"/>
      <c r="E327" s="1" t="str">
        <f ca="1">IFERROR(__xludf.DUMMYFUNCTION("""COMPUTED_VALUE"""),"No Relation")</f>
        <v>No Relation</v>
      </c>
      <c r="F327" s="1" t="str">
        <f ca="1">IFERROR(__xludf.DUMMYFUNCTION("""COMPUTED_VALUE"""),"Fled/Apprehended")</f>
        <v>Fled/Apprehended</v>
      </c>
      <c r="G327" s="1" t="str">
        <f ca="1">IFERROR(__xludf.DUMMYFUNCTION("""COMPUTED_VALUE"""),"No")</f>
        <v>No</v>
      </c>
      <c r="H327" s="1" t="str">
        <f ca="1">IFERROR(__xludf.DUMMYFUNCTION("""COMPUTED_VALUE"""),"None")</f>
        <v>None</v>
      </c>
    </row>
    <row r="328" spans="1:8" ht="12.5">
      <c r="A328" s="1" t="str">
        <f ca="1">IFERROR(__xludf.DUMMYFUNCTION("""COMPUTED_VALUE"""),"20230511ILNER")</f>
        <v>20230511ILNER</v>
      </c>
      <c r="B328" s="1">
        <f ca="1">IFERROR(__xludf.DUMMYFUNCTION("""COMPUTED_VALUE"""),10)</f>
        <v>10</v>
      </c>
      <c r="C328" s="1" t="str">
        <f ca="1">IFERROR(__xludf.DUMMYFUNCTION("""COMPUTED_VALUE"""),"Female")</f>
        <v>Female</v>
      </c>
      <c r="D328" s="1"/>
      <c r="E328" s="1" t="str">
        <f ca="1">IFERROR(__xludf.DUMMYFUNCTION("""COMPUTED_VALUE"""),"Student")</f>
        <v>Student</v>
      </c>
      <c r="F328" s="1" t="str">
        <f ca="1">IFERROR(__xludf.DUMMYFUNCTION("""COMPUTED_VALUE"""),"Subdued by Students/Staff/Other")</f>
        <v>Subdued by Students/Staff/Other</v>
      </c>
      <c r="G328" s="1" t="str">
        <f ca="1">IFERROR(__xludf.DUMMYFUNCTION("""COMPUTED_VALUE"""),"No")</f>
        <v>No</v>
      </c>
      <c r="H328" s="1" t="str">
        <f ca="1">IFERROR(__xludf.DUMMYFUNCTION("""COMPUTED_VALUE"""),"None")</f>
        <v>None</v>
      </c>
    </row>
    <row r="329" spans="1:8" ht="12.5">
      <c r="A329" s="1" t="str">
        <f ca="1">IFERROR(__xludf.DUMMYFUNCTION("""COMPUTED_VALUE"""),"20230510NYPSQ")</f>
        <v>20230510NYPSQ</v>
      </c>
      <c r="B329" s="1" t="str">
        <f ca="1">IFERROR(__xludf.DUMMYFUNCTION("""COMPUTED_VALUE"""),"Teen")</f>
        <v>Teen</v>
      </c>
      <c r="C329" s="1" t="str">
        <f ca="1">IFERROR(__xludf.DUMMYFUNCTION("""COMPUTED_VALUE"""),"Male")</f>
        <v>Male</v>
      </c>
      <c r="D329" s="1"/>
      <c r="E329" s="1" t="str">
        <f ca="1">IFERROR(__xludf.DUMMYFUNCTION("""COMPUTED_VALUE"""),"Nonstudent Using Athletic Facilities/Attending Game")</f>
        <v>Nonstudent Using Athletic Facilities/Attending Game</v>
      </c>
      <c r="F329" s="1" t="str">
        <f ca="1">IFERROR(__xludf.DUMMYFUNCTION("""COMPUTED_VALUE"""),"Fled/Escaped")</f>
        <v>Fled/Escaped</v>
      </c>
      <c r="G329" s="1" t="str">
        <f ca="1">IFERROR(__xludf.DUMMYFUNCTION("""COMPUTED_VALUE"""),"No")</f>
        <v>No</v>
      </c>
      <c r="H329" s="1" t="str">
        <f ca="1">IFERROR(__xludf.DUMMYFUNCTION("""COMPUTED_VALUE"""),"None")</f>
        <v>None</v>
      </c>
    </row>
    <row r="330" spans="1:8" ht="12.5">
      <c r="A330" s="1" t="str">
        <f ca="1">IFERROR(__xludf.DUMMYFUNCTION("""COMPUTED_VALUE"""),"20230509CACAO")</f>
        <v>20230509CACAO</v>
      </c>
      <c r="B330" s="1"/>
      <c r="C330" s="1"/>
      <c r="D330" s="1"/>
      <c r="E330" s="1"/>
      <c r="F330" s="1" t="str">
        <f ca="1">IFERROR(__xludf.DUMMYFUNCTION("""COMPUTED_VALUE"""),"Fled/Escaped")</f>
        <v>Fled/Escaped</v>
      </c>
      <c r="G330" s="1" t="str">
        <f ca="1">IFERROR(__xludf.DUMMYFUNCTION("""COMPUTED_VALUE"""),"No")</f>
        <v>No</v>
      </c>
      <c r="H330" s="1" t="str">
        <f ca="1">IFERROR(__xludf.DUMMYFUNCTION("""COMPUTED_VALUE"""),"None")</f>
        <v>None</v>
      </c>
    </row>
    <row r="331" spans="1:8" ht="12.5">
      <c r="A331" s="1" t="str">
        <f ca="1">IFERROR(__xludf.DUMMYFUNCTION("""COMPUTED_VALUE"""),"20230508SCSUS")</f>
        <v>20230508SCSUS</v>
      </c>
      <c r="B331" s="1" t="str">
        <f ca="1">IFERROR(__xludf.DUMMYFUNCTION("""COMPUTED_VALUE"""),"Teen")</f>
        <v>Teen</v>
      </c>
      <c r="C331" s="1" t="str">
        <f ca="1">IFERROR(__xludf.DUMMYFUNCTION("""COMPUTED_VALUE"""),"Male")</f>
        <v>Male</v>
      </c>
      <c r="D331" s="1"/>
      <c r="E331" s="1" t="str">
        <f ca="1">IFERROR(__xludf.DUMMYFUNCTION("""COMPUTED_VALUE"""),"Student")</f>
        <v>Student</v>
      </c>
      <c r="F331" s="1" t="str">
        <f ca="1">IFERROR(__xludf.DUMMYFUNCTION("""COMPUTED_VALUE"""),"Fled/Apprehended")</f>
        <v>Fled/Apprehended</v>
      </c>
      <c r="G331" s="1" t="str">
        <f ca="1">IFERROR(__xludf.DUMMYFUNCTION("""COMPUTED_VALUE"""),"No")</f>
        <v>No</v>
      </c>
      <c r="H331" s="1" t="str">
        <f ca="1">IFERROR(__xludf.DUMMYFUNCTION("""COMPUTED_VALUE"""),"None")</f>
        <v>None</v>
      </c>
    </row>
    <row r="332" spans="1:8" ht="12.5">
      <c r="A332" s="1" t="str">
        <f ca="1">IFERROR(__xludf.DUMMYFUNCTION("""COMPUTED_VALUE"""),"20230508PAEWP")</f>
        <v>20230508PAEWP</v>
      </c>
      <c r="B332" s="1">
        <f ca="1">IFERROR(__xludf.DUMMYFUNCTION("""COMPUTED_VALUE"""),12)</f>
        <v>12</v>
      </c>
      <c r="C332" s="1" t="str">
        <f ca="1">IFERROR(__xludf.DUMMYFUNCTION("""COMPUTED_VALUE"""),"Male")</f>
        <v>Male</v>
      </c>
      <c r="D332" s="1"/>
      <c r="E332" s="1" t="str">
        <f ca="1">IFERROR(__xludf.DUMMYFUNCTION("""COMPUTED_VALUE"""),"Student")</f>
        <v>Student</v>
      </c>
      <c r="F332" s="1" t="str">
        <f ca="1">IFERROR(__xludf.DUMMYFUNCTION("""COMPUTED_VALUE"""),"Fled/Apprehended")</f>
        <v>Fled/Apprehended</v>
      </c>
      <c r="G332" s="1" t="str">
        <f ca="1">IFERROR(__xludf.DUMMYFUNCTION("""COMPUTED_VALUE"""),"No")</f>
        <v>No</v>
      </c>
      <c r="H332" s="1" t="str">
        <f ca="1">IFERROR(__xludf.DUMMYFUNCTION("""COMPUTED_VALUE"""),"None")</f>
        <v>None</v>
      </c>
    </row>
    <row r="333" spans="1:8" ht="12.5">
      <c r="A333" s="1" t="str">
        <f ca="1">IFERROR(__xludf.DUMMYFUNCTION("""COMPUTED_VALUE"""),"20230508NVVOL")</f>
        <v>20230508NVVOL</v>
      </c>
      <c r="B333" s="1">
        <f ca="1">IFERROR(__xludf.DUMMYFUNCTION("""COMPUTED_VALUE"""),18)</f>
        <v>18</v>
      </c>
      <c r="C333" s="1" t="str">
        <f ca="1">IFERROR(__xludf.DUMMYFUNCTION("""COMPUTED_VALUE"""),"Male")</f>
        <v>Male</v>
      </c>
      <c r="D333" s="1" t="str">
        <f ca="1">IFERROR(__xludf.DUMMYFUNCTION("""COMPUTED_VALUE"""),"Hispanic")</f>
        <v>Hispanic</v>
      </c>
      <c r="E333" s="1" t="str">
        <f ca="1">IFERROR(__xludf.DUMMYFUNCTION("""COMPUTED_VALUE"""),"No Relation")</f>
        <v>No Relation</v>
      </c>
      <c r="F333" s="1" t="str">
        <f ca="1">IFERROR(__xludf.DUMMYFUNCTION("""COMPUTED_VALUE"""),"Fled/Apprehended")</f>
        <v>Fled/Apprehended</v>
      </c>
      <c r="G333" s="1" t="str">
        <f ca="1">IFERROR(__xludf.DUMMYFUNCTION("""COMPUTED_VALUE"""),"No")</f>
        <v>No</v>
      </c>
      <c r="H333" s="1" t="str">
        <f ca="1">IFERROR(__xludf.DUMMYFUNCTION("""COMPUTED_VALUE"""),"None")</f>
        <v>None</v>
      </c>
    </row>
    <row r="334" spans="1:8" ht="12.5">
      <c r="A334" s="1" t="str">
        <f ca="1">IFERROR(__xludf.DUMMYFUNCTION("""COMPUTED_VALUE"""),"20230506SCCOL")</f>
        <v>20230506SCCOL</v>
      </c>
      <c r="B334" s="1">
        <f ca="1">IFERROR(__xludf.DUMMYFUNCTION("""COMPUTED_VALUE"""),14)</f>
        <v>14</v>
      </c>
      <c r="C334" s="1" t="str">
        <f ca="1">IFERROR(__xludf.DUMMYFUNCTION("""COMPUTED_VALUE"""),"Male")</f>
        <v>Male</v>
      </c>
      <c r="D334" s="1"/>
      <c r="E334" s="1" t="str">
        <f ca="1">IFERROR(__xludf.DUMMYFUNCTION("""COMPUTED_VALUE"""),"Nonstudent Using Athletic Facilities/Attending Game")</f>
        <v>Nonstudent Using Athletic Facilities/Attending Game</v>
      </c>
      <c r="F334" s="1" t="str">
        <f ca="1">IFERROR(__xludf.DUMMYFUNCTION("""COMPUTED_VALUE"""),"Surrendered")</f>
        <v>Surrendered</v>
      </c>
      <c r="G334" s="1" t="str">
        <f ca="1">IFERROR(__xludf.DUMMYFUNCTION("""COMPUTED_VALUE"""),"No")</f>
        <v>No</v>
      </c>
      <c r="H334" s="1" t="str">
        <f ca="1">IFERROR(__xludf.DUMMYFUNCTION("""COMPUTED_VALUE"""),"None")</f>
        <v>None</v>
      </c>
    </row>
    <row r="335" spans="1:8" ht="12.5">
      <c r="A335" s="1" t="str">
        <f ca="1">IFERROR(__xludf.DUMMYFUNCTION("""COMPUTED_VALUE"""),"20230505INLIE")</f>
        <v>20230505INLIE</v>
      </c>
      <c r="B335" s="1" t="str">
        <f ca="1">IFERROR(__xludf.DUMMYFUNCTION("""COMPUTED_VALUE"""),"Teen")</f>
        <v>Teen</v>
      </c>
      <c r="C335" s="1" t="str">
        <f ca="1">IFERROR(__xludf.DUMMYFUNCTION("""COMPUTED_VALUE"""),"Male")</f>
        <v>Male</v>
      </c>
      <c r="D335" s="1"/>
      <c r="E335" s="1"/>
      <c r="F335" s="1" t="str">
        <f ca="1">IFERROR(__xludf.DUMMYFUNCTION("""COMPUTED_VALUE"""),"Fled/Escaped")</f>
        <v>Fled/Escaped</v>
      </c>
      <c r="G335" s="1" t="str">
        <f ca="1">IFERROR(__xludf.DUMMYFUNCTION("""COMPUTED_VALUE"""),"No")</f>
        <v>No</v>
      </c>
      <c r="H335" s="1" t="str">
        <f ca="1">IFERROR(__xludf.DUMMYFUNCTION("""COMPUTED_VALUE"""),"None")</f>
        <v>None</v>
      </c>
    </row>
    <row r="336" spans="1:8" ht="12.5">
      <c r="A336" s="1" t="str">
        <f ca="1">IFERROR(__xludf.DUMMYFUNCTION("""COMPUTED_VALUE"""),"20230503NCJOE")</f>
        <v>20230503NCJOE</v>
      </c>
      <c r="B336" s="1"/>
      <c r="C336" s="1"/>
      <c r="D336" s="1"/>
      <c r="E336" s="1"/>
      <c r="F336" s="1" t="str">
        <f ca="1">IFERROR(__xludf.DUMMYFUNCTION("""COMPUTED_VALUE"""),"Fled/Escaped")</f>
        <v>Fled/Escaped</v>
      </c>
      <c r="G336" s="1" t="str">
        <f ca="1">IFERROR(__xludf.DUMMYFUNCTION("""COMPUTED_VALUE"""),"No")</f>
        <v>No</v>
      </c>
      <c r="H336" s="1" t="str">
        <f ca="1">IFERROR(__xludf.DUMMYFUNCTION("""COMPUTED_VALUE"""),"None")</f>
        <v>None</v>
      </c>
    </row>
    <row r="337" spans="1:8" ht="12.5">
      <c r="A337" s="1" t="str">
        <f ca="1">IFERROR(__xludf.DUMMYFUNCTION("""COMPUTED_VALUE"""),"20230502AZRAM")</f>
        <v>20230502AZRAM</v>
      </c>
      <c r="B337" s="1" t="str">
        <f ca="1">IFERROR(__xludf.DUMMYFUNCTION("""COMPUTED_VALUE"""),"Adult")</f>
        <v>Adult</v>
      </c>
      <c r="C337" s="1" t="str">
        <f ca="1">IFERROR(__xludf.DUMMYFUNCTION("""COMPUTED_VALUE"""),"Male")</f>
        <v>Male</v>
      </c>
      <c r="D337" s="1"/>
      <c r="E337" s="1" t="str">
        <f ca="1">IFERROR(__xludf.DUMMYFUNCTION("""COMPUTED_VALUE"""),"No Relation")</f>
        <v>No Relation</v>
      </c>
      <c r="F337" s="1" t="str">
        <f ca="1">IFERROR(__xludf.DUMMYFUNCTION("""COMPUTED_VALUE"""),"Fled/Escaped")</f>
        <v>Fled/Escaped</v>
      </c>
      <c r="G337" s="1" t="str">
        <f ca="1">IFERROR(__xludf.DUMMYFUNCTION("""COMPUTED_VALUE"""),"No")</f>
        <v>No</v>
      </c>
      <c r="H337" s="1" t="str">
        <f ca="1">IFERROR(__xludf.DUMMYFUNCTION("""COMPUTED_VALUE"""),"None")</f>
        <v>None</v>
      </c>
    </row>
    <row r="338" spans="1:8" ht="12.5">
      <c r="A338" s="1" t="str">
        <f ca="1">IFERROR(__xludf.DUMMYFUNCTION("""COMPUTED_VALUE"""),"20230501MDPRS")</f>
        <v>20230501MDPRS</v>
      </c>
      <c r="B338" s="1">
        <f ca="1">IFERROR(__xludf.DUMMYFUNCTION("""COMPUTED_VALUE"""),15)</f>
        <v>15</v>
      </c>
      <c r="C338" s="1" t="str">
        <f ca="1">IFERROR(__xludf.DUMMYFUNCTION("""COMPUTED_VALUE"""),"Male")</f>
        <v>Male</v>
      </c>
      <c r="D338" s="1" t="str">
        <f ca="1">IFERROR(__xludf.DUMMYFUNCTION("""COMPUTED_VALUE"""),"Black")</f>
        <v>Black</v>
      </c>
      <c r="E338" s="1" t="str">
        <f ca="1">IFERROR(__xludf.DUMMYFUNCTION("""COMPUTED_VALUE"""),"Student")</f>
        <v>Student</v>
      </c>
      <c r="F338" s="1" t="str">
        <f ca="1">IFERROR(__xludf.DUMMYFUNCTION("""COMPUTED_VALUE"""),"Fled/Apprehended")</f>
        <v>Fled/Apprehended</v>
      </c>
      <c r="G338" s="1" t="str">
        <f ca="1">IFERROR(__xludf.DUMMYFUNCTION("""COMPUTED_VALUE"""),"No")</f>
        <v>No</v>
      </c>
      <c r="H338" s="1" t="str">
        <f ca="1">IFERROR(__xludf.DUMMYFUNCTION("""COMPUTED_VALUE"""),"None")</f>
        <v>None</v>
      </c>
    </row>
    <row r="339" spans="1:8" ht="12.5">
      <c r="A339" s="1" t="str">
        <f ca="1">IFERROR(__xludf.DUMMYFUNCTION("""COMPUTED_VALUE"""),"20230501MIINF")</f>
        <v>20230501MIINF</v>
      </c>
      <c r="B339" s="1">
        <f ca="1">IFERROR(__xludf.DUMMYFUNCTION("""COMPUTED_VALUE"""),30)</f>
        <v>30</v>
      </c>
      <c r="C339" s="1" t="str">
        <f ca="1">IFERROR(__xludf.DUMMYFUNCTION("""COMPUTED_VALUE"""),"Female")</f>
        <v>Female</v>
      </c>
      <c r="D339" s="1"/>
      <c r="E339" s="1" t="str">
        <f ca="1">IFERROR(__xludf.DUMMYFUNCTION("""COMPUTED_VALUE"""),"Parent")</f>
        <v>Parent</v>
      </c>
      <c r="F339" s="1" t="str">
        <f ca="1">IFERROR(__xludf.DUMMYFUNCTION("""COMPUTED_VALUE"""),"Fled/Apprehended")</f>
        <v>Fled/Apprehended</v>
      </c>
      <c r="G339" s="1" t="str">
        <f ca="1">IFERROR(__xludf.DUMMYFUNCTION("""COMPUTED_VALUE"""),"No")</f>
        <v>No</v>
      </c>
      <c r="H339" s="1" t="str">
        <f ca="1">IFERROR(__xludf.DUMMYFUNCTION("""COMPUTED_VALUE"""),"None")</f>
        <v>None</v>
      </c>
    </row>
    <row r="340" spans="1:8" ht="12.5">
      <c r="A340" s="1" t="str">
        <f ca="1">IFERROR(__xludf.DUMMYFUNCTION("""COMPUTED_VALUE"""),"20230430CAKNP")</f>
        <v>20230430CAKNP</v>
      </c>
      <c r="B340" s="1" t="str">
        <f ca="1">IFERROR(__xludf.DUMMYFUNCTION("""COMPUTED_VALUE"""),"Adult")</f>
        <v>Adult</v>
      </c>
      <c r="C340" s="1" t="str">
        <f ca="1">IFERROR(__xludf.DUMMYFUNCTION("""COMPUTED_VALUE"""),"Female")</f>
        <v>Female</v>
      </c>
      <c r="D340" s="1"/>
      <c r="E340" s="1" t="str">
        <f ca="1">IFERROR(__xludf.DUMMYFUNCTION("""COMPUTED_VALUE"""),"Parent")</f>
        <v>Parent</v>
      </c>
      <c r="F340" s="1" t="str">
        <f ca="1">IFERROR(__xludf.DUMMYFUNCTION("""COMPUTED_VALUE"""),"Apprehended/Killed by LE")</f>
        <v>Apprehended/Killed by LE</v>
      </c>
      <c r="G340" s="1" t="str">
        <f ca="1">IFERROR(__xludf.DUMMYFUNCTION("""COMPUTED_VALUE"""),"No")</f>
        <v>No</v>
      </c>
      <c r="H340" s="1" t="str">
        <f ca="1">IFERROR(__xludf.DUMMYFUNCTION("""COMPUTED_VALUE"""),"None")</f>
        <v>None</v>
      </c>
    </row>
    <row r="341" spans="1:8" ht="12.5">
      <c r="A341" s="1" t="str">
        <f ca="1">IFERROR(__xludf.DUMMYFUNCTION("""COMPUTED_VALUE"""),"20230430KYPAP")</f>
        <v>20230430KYPAP</v>
      </c>
      <c r="B341" s="1" t="str">
        <f ca="1">IFERROR(__xludf.DUMMYFUNCTION("""COMPUTED_VALUE"""),"Teen")</f>
        <v>Teen</v>
      </c>
      <c r="C341" s="1" t="str">
        <f ca="1">IFERROR(__xludf.DUMMYFUNCTION("""COMPUTED_VALUE"""),"Male")</f>
        <v>Male</v>
      </c>
      <c r="D341" s="1"/>
      <c r="E341" s="1" t="str">
        <f ca="1">IFERROR(__xludf.DUMMYFUNCTION("""COMPUTED_VALUE"""),"Student")</f>
        <v>Student</v>
      </c>
      <c r="F341" s="1" t="str">
        <f ca="1">IFERROR(__xludf.DUMMYFUNCTION("""COMPUTED_VALUE"""),"Fled/Escaped")</f>
        <v>Fled/Escaped</v>
      </c>
      <c r="G341" s="1" t="str">
        <f ca="1">IFERROR(__xludf.DUMMYFUNCTION("""COMPUTED_VALUE"""),"No")</f>
        <v>No</v>
      </c>
      <c r="H341" s="1" t="str">
        <f ca="1">IFERROR(__xludf.DUMMYFUNCTION("""COMPUTED_VALUE"""),"None")</f>
        <v>None</v>
      </c>
    </row>
    <row r="342" spans="1:8" ht="12.5">
      <c r="A342" s="1" t="str">
        <f ca="1">IFERROR(__xludf.DUMMYFUNCTION("""COMPUTED_VALUE"""),"20230430KYPAP")</f>
        <v>20230430KYPAP</v>
      </c>
      <c r="B342" s="1" t="str">
        <f ca="1">IFERROR(__xludf.DUMMYFUNCTION("""COMPUTED_VALUE"""),"Teen")</f>
        <v>Teen</v>
      </c>
      <c r="C342" s="1" t="str">
        <f ca="1">IFERROR(__xludf.DUMMYFUNCTION("""COMPUTED_VALUE"""),"Male")</f>
        <v>Male</v>
      </c>
      <c r="D342" s="1"/>
      <c r="E342" s="1" t="str">
        <f ca="1">IFERROR(__xludf.DUMMYFUNCTION("""COMPUTED_VALUE"""),"Student")</f>
        <v>Student</v>
      </c>
      <c r="F342" s="1" t="str">
        <f ca="1">IFERROR(__xludf.DUMMYFUNCTION("""COMPUTED_VALUE"""),"Fled/Escaped")</f>
        <v>Fled/Escaped</v>
      </c>
      <c r="G342" s="1" t="str">
        <f ca="1">IFERROR(__xludf.DUMMYFUNCTION("""COMPUTED_VALUE"""),"No")</f>
        <v>No</v>
      </c>
      <c r="H342" s="1" t="str">
        <f ca="1">IFERROR(__xludf.DUMMYFUNCTION("""COMPUTED_VALUE"""),"None")</f>
        <v>None</v>
      </c>
    </row>
    <row r="343" spans="1:8" ht="12.5">
      <c r="A343" s="1" t="str">
        <f ca="1">IFERROR(__xludf.DUMMYFUNCTION("""COMPUTED_VALUE"""),"20230428TNWEK")</f>
        <v>20230428TNWEK</v>
      </c>
      <c r="B343" s="1">
        <f ca="1">IFERROR(__xludf.DUMMYFUNCTION("""COMPUTED_VALUE"""),14)</f>
        <v>14</v>
      </c>
      <c r="C343" s="1" t="str">
        <f ca="1">IFERROR(__xludf.DUMMYFUNCTION("""COMPUTED_VALUE"""),"Male")</f>
        <v>Male</v>
      </c>
      <c r="D343" s="1"/>
      <c r="E343" s="1" t="str">
        <f ca="1">IFERROR(__xludf.DUMMYFUNCTION("""COMPUTED_VALUE"""),"Student")</f>
        <v>Student</v>
      </c>
      <c r="F343" s="1" t="str">
        <f ca="1">IFERROR(__xludf.DUMMYFUNCTION("""COMPUTED_VALUE"""),"Surrendered")</f>
        <v>Surrendered</v>
      </c>
      <c r="G343" s="1" t="str">
        <f ca="1">IFERROR(__xludf.DUMMYFUNCTION("""COMPUTED_VALUE"""),"No")</f>
        <v>No</v>
      </c>
      <c r="H343" s="1" t="str">
        <f ca="1">IFERROR(__xludf.DUMMYFUNCTION("""COMPUTED_VALUE"""),"None")</f>
        <v>None</v>
      </c>
    </row>
    <row r="344" spans="1:8" ht="12.5">
      <c r="A344" s="1" t="str">
        <f ca="1">IFERROR(__xludf.DUMMYFUNCTION("""COMPUTED_VALUE"""),"20230427GACHK")</f>
        <v>20230427GACHK</v>
      </c>
      <c r="B344" s="1"/>
      <c r="C344" s="1"/>
      <c r="D344" s="1"/>
      <c r="E344" s="1"/>
      <c r="F344" s="1" t="str">
        <f ca="1">IFERROR(__xludf.DUMMYFUNCTION("""COMPUTED_VALUE"""),"Fled/Escaped")</f>
        <v>Fled/Escaped</v>
      </c>
      <c r="G344" s="1" t="str">
        <f ca="1">IFERROR(__xludf.DUMMYFUNCTION("""COMPUTED_VALUE"""),"No")</f>
        <v>No</v>
      </c>
      <c r="H344" s="1" t="str">
        <f ca="1">IFERROR(__xludf.DUMMYFUNCTION("""COMPUTED_VALUE"""),"None")</f>
        <v>None</v>
      </c>
    </row>
    <row r="345" spans="1:8" ht="12.5">
      <c r="A345" s="1" t="str">
        <f ca="1">IFERROR(__xludf.DUMMYFUNCTION("""COMPUTED_VALUE"""),"20230427VAGER")</f>
        <v>20230427VAGER</v>
      </c>
      <c r="B345" s="1">
        <f ca="1">IFERROR(__xludf.DUMMYFUNCTION("""COMPUTED_VALUE"""),18)</f>
        <v>18</v>
      </c>
      <c r="C345" s="1" t="str">
        <f ca="1">IFERROR(__xludf.DUMMYFUNCTION("""COMPUTED_VALUE"""),"Male")</f>
        <v>Male</v>
      </c>
      <c r="D345" s="1"/>
      <c r="E345" s="1" t="str">
        <f ca="1">IFERROR(__xludf.DUMMYFUNCTION("""COMPUTED_VALUE"""),"Student")</f>
        <v>Student</v>
      </c>
      <c r="F345" s="1" t="str">
        <f ca="1">IFERROR(__xludf.DUMMYFUNCTION("""COMPUTED_VALUE"""),"Fled/Apprehended")</f>
        <v>Fled/Apprehended</v>
      </c>
      <c r="G345" s="1" t="str">
        <f ca="1">IFERROR(__xludf.DUMMYFUNCTION("""COMPUTED_VALUE"""),"No")</f>
        <v>No</v>
      </c>
      <c r="H345" s="1" t="str">
        <f ca="1">IFERROR(__xludf.DUMMYFUNCTION("""COMPUTED_VALUE"""),"None")</f>
        <v>None</v>
      </c>
    </row>
    <row r="346" spans="1:8" ht="12.5">
      <c r="A346" s="1" t="str">
        <f ca="1">IFERROR(__xludf.DUMMYFUNCTION("""COMPUTED_VALUE"""),"20230426MNLIH")</f>
        <v>20230426MNLIH</v>
      </c>
      <c r="B346" s="1" t="str">
        <f ca="1">IFERROR(__xludf.DUMMYFUNCTION("""COMPUTED_VALUE"""),"Teen")</f>
        <v>Teen</v>
      </c>
      <c r="C346" s="1" t="str">
        <f ca="1">IFERROR(__xludf.DUMMYFUNCTION("""COMPUTED_VALUE"""),"Male")</f>
        <v>Male</v>
      </c>
      <c r="D346" s="1"/>
      <c r="E346" s="1" t="str">
        <f ca="1">IFERROR(__xludf.DUMMYFUNCTION("""COMPUTED_VALUE"""),"Former Student")</f>
        <v>Former Student</v>
      </c>
      <c r="F346" s="1" t="str">
        <f ca="1">IFERROR(__xludf.DUMMYFUNCTION("""COMPUTED_VALUE"""),"Fled/Apprehended")</f>
        <v>Fled/Apprehended</v>
      </c>
      <c r="G346" s="1" t="str">
        <f ca="1">IFERROR(__xludf.DUMMYFUNCTION("""COMPUTED_VALUE"""),"No")</f>
        <v>No</v>
      </c>
      <c r="H346" s="1" t="str">
        <f ca="1">IFERROR(__xludf.DUMMYFUNCTION("""COMPUTED_VALUE"""),"None")</f>
        <v>None</v>
      </c>
    </row>
    <row r="347" spans="1:8" ht="12.5">
      <c r="A347" s="1" t="str">
        <f ca="1">IFERROR(__xludf.DUMMYFUNCTION("""COMPUTED_VALUE"""),"20230426MNLIH")</f>
        <v>20230426MNLIH</v>
      </c>
      <c r="B347" s="1" t="str">
        <f ca="1">IFERROR(__xludf.DUMMYFUNCTION("""COMPUTED_VALUE"""),"Teen")</f>
        <v>Teen</v>
      </c>
      <c r="C347" s="1" t="str">
        <f ca="1">IFERROR(__xludf.DUMMYFUNCTION("""COMPUTED_VALUE"""),"Male")</f>
        <v>Male</v>
      </c>
      <c r="D347" s="1"/>
      <c r="E347" s="1" t="str">
        <f ca="1">IFERROR(__xludf.DUMMYFUNCTION("""COMPUTED_VALUE"""),"Former Student")</f>
        <v>Former Student</v>
      </c>
      <c r="F347" s="1" t="str">
        <f ca="1">IFERROR(__xludf.DUMMYFUNCTION("""COMPUTED_VALUE"""),"Fled/Apprehended")</f>
        <v>Fled/Apprehended</v>
      </c>
      <c r="G347" s="1" t="str">
        <f ca="1">IFERROR(__xludf.DUMMYFUNCTION("""COMPUTED_VALUE"""),"No")</f>
        <v>No</v>
      </c>
      <c r="H347" s="1" t="str">
        <f ca="1">IFERROR(__xludf.DUMMYFUNCTION("""COMPUTED_VALUE"""),"None")</f>
        <v>None</v>
      </c>
    </row>
    <row r="348" spans="1:8" ht="12.5">
      <c r="A348" s="1" t="str">
        <f ca="1">IFERROR(__xludf.DUMMYFUNCTION("""COMPUTED_VALUE"""),"20230426MNLIH")</f>
        <v>20230426MNLIH</v>
      </c>
      <c r="B348" s="1" t="str">
        <f ca="1">IFERROR(__xludf.DUMMYFUNCTION("""COMPUTED_VALUE"""),"Teen")</f>
        <v>Teen</v>
      </c>
      <c r="C348" s="1" t="str">
        <f ca="1">IFERROR(__xludf.DUMMYFUNCTION("""COMPUTED_VALUE"""),"Male")</f>
        <v>Male</v>
      </c>
      <c r="D348" s="1"/>
      <c r="E348" s="1" t="str">
        <f ca="1">IFERROR(__xludf.DUMMYFUNCTION("""COMPUTED_VALUE"""),"Former Student")</f>
        <v>Former Student</v>
      </c>
      <c r="F348" s="1" t="str">
        <f ca="1">IFERROR(__xludf.DUMMYFUNCTION("""COMPUTED_VALUE"""),"Fled/Apprehended")</f>
        <v>Fled/Apprehended</v>
      </c>
      <c r="G348" s="1" t="str">
        <f ca="1">IFERROR(__xludf.DUMMYFUNCTION("""COMPUTED_VALUE"""),"No")</f>
        <v>No</v>
      </c>
      <c r="H348" s="1" t="str">
        <f ca="1">IFERROR(__xludf.DUMMYFUNCTION("""COMPUTED_VALUE"""),"None")</f>
        <v>None</v>
      </c>
    </row>
    <row r="349" spans="1:8" ht="12.5">
      <c r="A349" s="1" t="str">
        <f ca="1">IFERROR(__xludf.DUMMYFUNCTION("""COMPUTED_VALUE"""),"20230426CTJON")</f>
        <v>20230426CTJON</v>
      </c>
      <c r="B349" s="1"/>
      <c r="C349" s="1"/>
      <c r="D349" s="1"/>
      <c r="E349" s="1"/>
      <c r="F349" s="1" t="str">
        <f ca="1">IFERROR(__xludf.DUMMYFUNCTION("""COMPUTED_VALUE"""),"Fled/Escaped")</f>
        <v>Fled/Escaped</v>
      </c>
      <c r="G349" s="1" t="str">
        <f ca="1">IFERROR(__xludf.DUMMYFUNCTION("""COMPUTED_VALUE"""),"No")</f>
        <v>No</v>
      </c>
      <c r="H349" s="1" t="str">
        <f ca="1">IFERROR(__xludf.DUMMYFUNCTION("""COMPUTED_VALUE"""),"None")</f>
        <v>None</v>
      </c>
    </row>
    <row r="350" spans="1:8" ht="12.5">
      <c r="A350" s="1" t="str">
        <f ca="1">IFERROR(__xludf.DUMMYFUNCTION("""COMPUTED_VALUE"""),"20230425NVCOH")</f>
        <v>20230425NVCOH</v>
      </c>
      <c r="B350" s="1"/>
      <c r="C350" s="1"/>
      <c r="D350" s="1"/>
      <c r="E350" s="1"/>
      <c r="F350" s="1" t="str">
        <f ca="1">IFERROR(__xludf.DUMMYFUNCTION("""COMPUTED_VALUE"""),"Fled/Escaped")</f>
        <v>Fled/Escaped</v>
      </c>
      <c r="G350" s="1" t="str">
        <f ca="1">IFERROR(__xludf.DUMMYFUNCTION("""COMPUTED_VALUE"""),"No")</f>
        <v>No</v>
      </c>
      <c r="H350" s="1" t="str">
        <f ca="1">IFERROR(__xludf.DUMMYFUNCTION("""COMPUTED_VALUE"""),"None")</f>
        <v>None</v>
      </c>
    </row>
    <row r="351" spans="1:8" ht="12.5">
      <c r="A351" s="1" t="str">
        <f ca="1">IFERROR(__xludf.DUMMYFUNCTION("""COMPUTED_VALUE"""),"20230425CAKIL")</f>
        <v>20230425CAKIL</v>
      </c>
      <c r="B351" s="1"/>
      <c r="C351" s="1"/>
      <c r="D351" s="1"/>
      <c r="E351" s="1"/>
      <c r="F351" s="1" t="str">
        <f ca="1">IFERROR(__xludf.DUMMYFUNCTION("""COMPUTED_VALUE"""),"Fled/Escaped")</f>
        <v>Fled/Escaped</v>
      </c>
      <c r="G351" s="1" t="str">
        <f ca="1">IFERROR(__xludf.DUMMYFUNCTION("""COMPUTED_VALUE"""),"No")</f>
        <v>No</v>
      </c>
      <c r="H351" s="1" t="str">
        <f ca="1">IFERROR(__xludf.DUMMYFUNCTION("""COMPUTED_VALUE"""),"None")</f>
        <v>None</v>
      </c>
    </row>
    <row r="352" spans="1:8" ht="12.5">
      <c r="A352" s="1" t="str">
        <f ca="1">IFERROR(__xludf.DUMMYFUNCTION("""COMPUTED_VALUE"""),"20230423VAJOD")</f>
        <v>20230423VAJOD</v>
      </c>
      <c r="B352" s="1"/>
      <c r="C352" s="1" t="str">
        <f ca="1">IFERROR(__xludf.DUMMYFUNCTION("""COMPUTED_VALUE"""),"Male")</f>
        <v>Male</v>
      </c>
      <c r="D352" s="1"/>
      <c r="E352" s="1" t="str">
        <f ca="1">IFERROR(__xludf.DUMMYFUNCTION("""COMPUTED_VALUE"""),"Nonstudent Using Athletic Facilities/Attending Game")</f>
        <v>Nonstudent Using Athletic Facilities/Attending Game</v>
      </c>
      <c r="F352" s="1" t="str">
        <f ca="1">IFERROR(__xludf.DUMMYFUNCTION("""COMPUTED_VALUE"""),"Fled/Escaped")</f>
        <v>Fled/Escaped</v>
      </c>
      <c r="G352" s="1" t="str">
        <f ca="1">IFERROR(__xludf.DUMMYFUNCTION("""COMPUTED_VALUE"""),"No")</f>
        <v>No</v>
      </c>
      <c r="H352" s="1" t="str">
        <f ca="1">IFERROR(__xludf.DUMMYFUNCTION("""COMPUTED_VALUE"""),"None")</f>
        <v>None</v>
      </c>
    </row>
    <row r="353" spans="1:8" ht="12.5">
      <c r="A353" s="1" t="str">
        <f ca="1">IFERROR(__xludf.DUMMYFUNCTION("""COMPUTED_VALUE"""),"20230420ARLIL")</f>
        <v>20230420ARLIL</v>
      </c>
      <c r="B353" s="1"/>
      <c r="C353" s="1"/>
      <c r="D353" s="1"/>
      <c r="E353" s="1"/>
      <c r="F353" s="1" t="str">
        <f ca="1">IFERROR(__xludf.DUMMYFUNCTION("""COMPUTED_VALUE"""),"Fled/Escaped")</f>
        <v>Fled/Escaped</v>
      </c>
      <c r="G353" s="1" t="str">
        <f ca="1">IFERROR(__xludf.DUMMYFUNCTION("""COMPUTED_VALUE"""),"No")</f>
        <v>No</v>
      </c>
      <c r="H353" s="1" t="str">
        <f ca="1">IFERROR(__xludf.DUMMYFUNCTION("""COMPUTED_VALUE"""),"None")</f>
        <v>None</v>
      </c>
    </row>
    <row r="354" spans="1:8" ht="12.5">
      <c r="A354" s="1" t="str">
        <f ca="1">IFERROR(__xludf.DUMMYFUNCTION("""COMPUTED_VALUE"""),"20230419FLFOA")</f>
        <v>20230419FLFOA</v>
      </c>
      <c r="B354" s="1" t="str">
        <f ca="1">IFERROR(__xludf.DUMMYFUNCTION("""COMPUTED_VALUE"""),"Adult")</f>
        <v>Adult</v>
      </c>
      <c r="C354" s="1" t="str">
        <f ca="1">IFERROR(__xludf.DUMMYFUNCTION("""COMPUTED_VALUE"""),"Male")</f>
        <v>Male</v>
      </c>
      <c r="D354" s="1"/>
      <c r="E354" s="1" t="str">
        <f ca="1">IFERROR(__xludf.DUMMYFUNCTION("""COMPUTED_VALUE"""),"Parent")</f>
        <v>Parent</v>
      </c>
      <c r="F354" s="1" t="str">
        <f ca="1">IFERROR(__xludf.DUMMYFUNCTION("""COMPUTED_VALUE"""),"Apprehended/Killed by LE")</f>
        <v>Apprehended/Killed by LE</v>
      </c>
      <c r="G354" s="1" t="str">
        <f ca="1">IFERROR(__xludf.DUMMYFUNCTION("""COMPUTED_VALUE"""),"No")</f>
        <v>No</v>
      </c>
      <c r="H354" s="1" t="str">
        <f ca="1">IFERROR(__xludf.DUMMYFUNCTION("""COMPUTED_VALUE"""),"None")</f>
        <v>None</v>
      </c>
    </row>
    <row r="355" spans="1:8" ht="12.5">
      <c r="A355" s="1" t="str">
        <f ca="1">IFERROR(__xludf.DUMMYFUNCTION("""COMPUTED_VALUE"""),"20230418TXRIH")</f>
        <v>20230418TXRIH</v>
      </c>
      <c r="B355" s="1" t="str">
        <f ca="1">IFERROR(__xludf.DUMMYFUNCTION("""COMPUTED_VALUE"""),"Adult")</f>
        <v>Adult</v>
      </c>
      <c r="C355" s="1" t="str">
        <f ca="1">IFERROR(__xludf.DUMMYFUNCTION("""COMPUTED_VALUE"""),"Male")</f>
        <v>Male</v>
      </c>
      <c r="D355" s="1"/>
      <c r="E355" s="1" t="str">
        <f ca="1">IFERROR(__xludf.DUMMYFUNCTION("""COMPUTED_VALUE"""),"No Relation")</f>
        <v>No Relation</v>
      </c>
      <c r="F355" s="1" t="str">
        <f ca="1">IFERROR(__xludf.DUMMYFUNCTION("""COMPUTED_VALUE"""),"Fled/Escaped")</f>
        <v>Fled/Escaped</v>
      </c>
      <c r="G355" s="1" t="str">
        <f ca="1">IFERROR(__xludf.DUMMYFUNCTION("""COMPUTED_VALUE"""),"No")</f>
        <v>No</v>
      </c>
      <c r="H355" s="1" t="str">
        <f ca="1">IFERROR(__xludf.DUMMYFUNCTION("""COMPUTED_VALUE"""),"None")</f>
        <v>None</v>
      </c>
    </row>
    <row r="356" spans="1:8" ht="12.5">
      <c r="A356" s="1" t="str">
        <f ca="1">IFERROR(__xludf.DUMMYFUNCTION("""COMPUTED_VALUE"""),"20230417LASON")</f>
        <v>20230417LASON</v>
      </c>
      <c r="B356" s="1"/>
      <c r="C356" s="1"/>
      <c r="D356" s="1"/>
      <c r="E356" s="1"/>
      <c r="F356" s="1" t="str">
        <f ca="1">IFERROR(__xludf.DUMMYFUNCTION("""COMPUTED_VALUE"""),"Fled/Escaped")</f>
        <v>Fled/Escaped</v>
      </c>
      <c r="G356" s="1" t="str">
        <f ca="1">IFERROR(__xludf.DUMMYFUNCTION("""COMPUTED_VALUE"""),"No")</f>
        <v>No</v>
      </c>
      <c r="H356" s="1" t="str">
        <f ca="1">IFERROR(__xludf.DUMMYFUNCTION("""COMPUTED_VALUE"""),"None")</f>
        <v>None</v>
      </c>
    </row>
    <row r="357" spans="1:8" ht="12.5">
      <c r="A357" s="1" t="str">
        <f ca="1">IFERROR(__xludf.DUMMYFUNCTION("""COMPUTED_VALUE"""),"20230414AZDEP")</f>
        <v>20230414AZDEP</v>
      </c>
      <c r="B357" s="1">
        <f ca="1">IFERROR(__xludf.DUMMYFUNCTION("""COMPUTED_VALUE"""),38)</f>
        <v>38</v>
      </c>
      <c r="C357" s="1" t="str">
        <f ca="1">IFERROR(__xludf.DUMMYFUNCTION("""COMPUTED_VALUE"""),"Male")</f>
        <v>Male</v>
      </c>
      <c r="D357" s="1"/>
      <c r="E357" s="1" t="str">
        <f ca="1">IFERROR(__xludf.DUMMYFUNCTION("""COMPUTED_VALUE"""),"No Relation")</f>
        <v>No Relation</v>
      </c>
      <c r="F357" s="1" t="str">
        <f ca="1">IFERROR(__xludf.DUMMYFUNCTION("""COMPUTED_VALUE"""),"Fled/Apprehended")</f>
        <v>Fled/Apprehended</v>
      </c>
      <c r="G357" s="1" t="str">
        <f ca="1">IFERROR(__xludf.DUMMYFUNCTION("""COMPUTED_VALUE"""),"No")</f>
        <v>No</v>
      </c>
      <c r="H357" s="1" t="str">
        <f ca="1">IFERROR(__xludf.DUMMYFUNCTION("""COMPUTED_VALUE"""),"None")</f>
        <v>None</v>
      </c>
    </row>
    <row r="358" spans="1:8" ht="12.5">
      <c r="A358" s="1" t="str">
        <f ca="1">IFERROR(__xludf.DUMMYFUNCTION("""COMPUTED_VALUE"""),"20230414WIWAW")</f>
        <v>20230414WIWAW</v>
      </c>
      <c r="B358" s="1">
        <f ca="1">IFERROR(__xludf.DUMMYFUNCTION("""COMPUTED_VALUE"""),17)</f>
        <v>17</v>
      </c>
      <c r="C358" s="1" t="str">
        <f ca="1">IFERROR(__xludf.DUMMYFUNCTION("""COMPUTED_VALUE"""),"Male")</f>
        <v>Male</v>
      </c>
      <c r="D358" s="1"/>
      <c r="E358" s="1" t="str">
        <f ca="1">IFERROR(__xludf.DUMMYFUNCTION("""COMPUTED_VALUE"""),"Student")</f>
        <v>Student</v>
      </c>
      <c r="F358" s="1" t="str">
        <f ca="1">IFERROR(__xludf.DUMMYFUNCTION("""COMPUTED_VALUE"""),"Surrendered")</f>
        <v>Surrendered</v>
      </c>
      <c r="G358" s="1" t="str">
        <f ca="1">IFERROR(__xludf.DUMMYFUNCTION("""COMPUTED_VALUE"""),"No")</f>
        <v>No</v>
      </c>
      <c r="H358" s="1" t="str">
        <f ca="1">IFERROR(__xludf.DUMMYFUNCTION("""COMPUTED_VALUE"""),"None")</f>
        <v>None</v>
      </c>
    </row>
    <row r="359" spans="1:8" ht="12.5">
      <c r="A359" s="1" t="str">
        <f ca="1">IFERROR(__xludf.DUMMYFUNCTION("""COMPUTED_VALUE"""),"20230414PAWOP")</f>
        <v>20230414PAWOP</v>
      </c>
      <c r="B359" s="1"/>
      <c r="C359" s="1"/>
      <c r="D359" s="1"/>
      <c r="E359" s="1" t="str">
        <f ca="1">IFERROR(__xludf.DUMMYFUNCTION("""COMPUTED_VALUE"""),"No Relation")</f>
        <v>No Relation</v>
      </c>
      <c r="F359" s="1" t="str">
        <f ca="1">IFERROR(__xludf.DUMMYFUNCTION("""COMPUTED_VALUE"""),"Fled/Escaped")</f>
        <v>Fled/Escaped</v>
      </c>
      <c r="G359" s="1" t="str">
        <f ca="1">IFERROR(__xludf.DUMMYFUNCTION("""COMPUTED_VALUE"""),"No")</f>
        <v>No</v>
      </c>
      <c r="H359" s="1" t="str">
        <f ca="1">IFERROR(__xludf.DUMMYFUNCTION("""COMPUTED_VALUE"""),"None")</f>
        <v>None</v>
      </c>
    </row>
    <row r="360" spans="1:8" ht="12.5">
      <c r="A360" s="1" t="str">
        <f ca="1">IFERROR(__xludf.DUMMYFUNCTION("""COMPUTED_VALUE"""),"20230413ILCHC")</f>
        <v>20230413ILCHC</v>
      </c>
      <c r="B360" s="1" t="str">
        <f ca="1">IFERROR(__xludf.DUMMYFUNCTION("""COMPUTED_VALUE"""),"Adult")</f>
        <v>Adult</v>
      </c>
      <c r="C360" s="1" t="str">
        <f ca="1">IFERROR(__xludf.DUMMYFUNCTION("""COMPUTED_VALUE"""),"Male")</f>
        <v>Male</v>
      </c>
      <c r="D360" s="1"/>
      <c r="E360" s="1" t="str">
        <f ca="1">IFERROR(__xludf.DUMMYFUNCTION("""COMPUTED_VALUE"""),"No Relation")</f>
        <v>No Relation</v>
      </c>
      <c r="F360" s="1" t="str">
        <f ca="1">IFERROR(__xludf.DUMMYFUNCTION("""COMPUTED_VALUE"""),"Fled/Escaped")</f>
        <v>Fled/Escaped</v>
      </c>
      <c r="G360" s="1" t="str">
        <f ca="1">IFERROR(__xludf.DUMMYFUNCTION("""COMPUTED_VALUE"""),"No")</f>
        <v>No</v>
      </c>
      <c r="H360" s="1" t="str">
        <f ca="1">IFERROR(__xludf.DUMMYFUNCTION("""COMPUTED_VALUE"""),"None")</f>
        <v>None</v>
      </c>
    </row>
    <row r="361" spans="1:8" ht="12.5">
      <c r="A361" s="1" t="str">
        <f ca="1">IFERROR(__xludf.DUMMYFUNCTION("""COMPUTED_VALUE"""),"20230413ILCHC")</f>
        <v>20230413ILCHC</v>
      </c>
      <c r="B361" s="1" t="str">
        <f ca="1">IFERROR(__xludf.DUMMYFUNCTION("""COMPUTED_VALUE"""),"Adult")</f>
        <v>Adult</v>
      </c>
      <c r="C361" s="1" t="str">
        <f ca="1">IFERROR(__xludf.DUMMYFUNCTION("""COMPUTED_VALUE"""),"Male")</f>
        <v>Male</v>
      </c>
      <c r="D361" s="1"/>
      <c r="E361" s="1" t="str">
        <f ca="1">IFERROR(__xludf.DUMMYFUNCTION("""COMPUTED_VALUE"""),"No Relation")</f>
        <v>No Relation</v>
      </c>
      <c r="F361" s="1" t="str">
        <f ca="1">IFERROR(__xludf.DUMMYFUNCTION("""COMPUTED_VALUE"""),"Surrendered")</f>
        <v>Surrendered</v>
      </c>
      <c r="G361" s="1" t="str">
        <f ca="1">IFERROR(__xludf.DUMMYFUNCTION("""COMPUTED_VALUE"""),"No")</f>
        <v>No</v>
      </c>
      <c r="H361" s="1" t="str">
        <f ca="1">IFERROR(__xludf.DUMMYFUNCTION("""COMPUTED_VALUE"""),"None")</f>
        <v>None</v>
      </c>
    </row>
    <row r="362" spans="1:8" ht="12.5">
      <c r="A362" s="1" t="str">
        <f ca="1">IFERROR(__xludf.DUMMYFUNCTION("""COMPUTED_VALUE"""),"20230412TXLOH")</f>
        <v>20230412TXLOH</v>
      </c>
      <c r="B362" s="1">
        <f ca="1">IFERROR(__xludf.DUMMYFUNCTION("""COMPUTED_VALUE"""),12)</f>
        <v>12</v>
      </c>
      <c r="C362" s="1" t="str">
        <f ca="1">IFERROR(__xludf.DUMMYFUNCTION("""COMPUTED_VALUE"""),"Male")</f>
        <v>Male</v>
      </c>
      <c r="D362" s="1" t="str">
        <f ca="1">IFERROR(__xludf.DUMMYFUNCTION("""COMPUTED_VALUE"""),"Hispanic")</f>
        <v>Hispanic</v>
      </c>
      <c r="E362" s="1"/>
      <c r="F362" s="1" t="str">
        <f ca="1">IFERROR(__xludf.DUMMYFUNCTION("""COMPUTED_VALUE"""),"Fled/Escaped")</f>
        <v>Fled/Escaped</v>
      </c>
      <c r="G362" s="1" t="str">
        <f ca="1">IFERROR(__xludf.DUMMYFUNCTION("""COMPUTED_VALUE"""),"No")</f>
        <v>No</v>
      </c>
      <c r="H362" s="1" t="str">
        <f ca="1">IFERROR(__xludf.DUMMYFUNCTION("""COMPUTED_VALUE"""),"None")</f>
        <v>None</v>
      </c>
    </row>
    <row r="363" spans="1:8" ht="12.5">
      <c r="A363" s="1" t="str">
        <f ca="1">IFERROR(__xludf.DUMMYFUNCTION("""COMPUTED_VALUE"""),"20230412CACES")</f>
        <v>20230412CACES</v>
      </c>
      <c r="B363" s="1"/>
      <c r="C363" s="1"/>
      <c r="D363" s="1"/>
      <c r="E363" s="1"/>
      <c r="F363" s="1" t="str">
        <f ca="1">IFERROR(__xludf.DUMMYFUNCTION("""COMPUTED_VALUE"""),"Fled/Escaped")</f>
        <v>Fled/Escaped</v>
      </c>
      <c r="G363" s="1" t="str">
        <f ca="1">IFERROR(__xludf.DUMMYFUNCTION("""COMPUTED_VALUE"""),"No")</f>
        <v>No</v>
      </c>
      <c r="H363" s="1" t="str">
        <f ca="1">IFERROR(__xludf.DUMMYFUNCTION("""COMPUTED_VALUE"""),"None")</f>
        <v>None</v>
      </c>
    </row>
    <row r="364" spans="1:8" ht="12.5">
      <c r="A364" s="1" t="str">
        <f ca="1">IFERROR(__xludf.DUMMYFUNCTION("""COMPUTED_VALUE"""),"20230407WACHS")</f>
        <v>20230407WACHS</v>
      </c>
      <c r="B364" s="1"/>
      <c r="C364" s="1"/>
      <c r="D364" s="1"/>
      <c r="E364" s="1"/>
      <c r="F364" s="1" t="str">
        <f ca="1">IFERROR(__xludf.DUMMYFUNCTION("""COMPUTED_VALUE"""),"Fled/Escaped")</f>
        <v>Fled/Escaped</v>
      </c>
      <c r="G364" s="1" t="str">
        <f ca="1">IFERROR(__xludf.DUMMYFUNCTION("""COMPUTED_VALUE"""),"No")</f>
        <v>No</v>
      </c>
      <c r="H364" s="1" t="str">
        <f ca="1">IFERROR(__xludf.DUMMYFUNCTION("""COMPUTED_VALUE"""),"None")</f>
        <v>None</v>
      </c>
    </row>
    <row r="365" spans="1:8" ht="12.5">
      <c r="A365" s="1" t="str">
        <f ca="1">IFERROR(__xludf.DUMMYFUNCTION("""COMPUTED_VALUE"""),"20230406NCSOW")</f>
        <v>20230406NCSOW</v>
      </c>
      <c r="B365" s="1">
        <f ca="1">IFERROR(__xludf.DUMMYFUNCTION("""COMPUTED_VALUE"""),14)</f>
        <v>14</v>
      </c>
      <c r="C365" s="1" t="str">
        <f ca="1">IFERROR(__xludf.DUMMYFUNCTION("""COMPUTED_VALUE"""),"Male")</f>
        <v>Male</v>
      </c>
      <c r="D365" s="1"/>
      <c r="E365" s="1" t="str">
        <f ca="1">IFERROR(__xludf.DUMMYFUNCTION("""COMPUTED_VALUE"""),"Student")</f>
        <v>Student</v>
      </c>
      <c r="F365" s="1" t="str">
        <f ca="1">IFERROR(__xludf.DUMMYFUNCTION("""COMPUTED_VALUE"""),"Fled/Apprehended")</f>
        <v>Fled/Apprehended</v>
      </c>
      <c r="G365" s="1" t="str">
        <f ca="1">IFERROR(__xludf.DUMMYFUNCTION("""COMPUTED_VALUE"""),"No")</f>
        <v>No</v>
      </c>
      <c r="H365" s="1" t="str">
        <f ca="1">IFERROR(__xludf.DUMMYFUNCTION("""COMPUTED_VALUE"""),"None")</f>
        <v>None</v>
      </c>
    </row>
    <row r="366" spans="1:8" ht="12.5">
      <c r="A366" s="1" t="str">
        <f ca="1">IFERROR(__xludf.DUMMYFUNCTION("""COMPUTED_VALUE"""),"20230405OHROC")</f>
        <v>20230405OHROC</v>
      </c>
      <c r="B366" s="1" t="str">
        <f ca="1">IFERROR(__xludf.DUMMYFUNCTION("""COMPUTED_VALUE"""),"Teen")</f>
        <v>Teen</v>
      </c>
      <c r="C366" s="1" t="str">
        <f ca="1">IFERROR(__xludf.DUMMYFUNCTION("""COMPUTED_VALUE"""),"Male")</f>
        <v>Male</v>
      </c>
      <c r="D366" s="1"/>
      <c r="E366" s="1" t="str">
        <f ca="1">IFERROR(__xludf.DUMMYFUNCTION("""COMPUTED_VALUE"""),"Student")</f>
        <v>Student</v>
      </c>
      <c r="F366" s="1" t="str">
        <f ca="1">IFERROR(__xludf.DUMMYFUNCTION("""COMPUTED_VALUE"""),"Fled/Apprehended")</f>
        <v>Fled/Apprehended</v>
      </c>
      <c r="G366" s="1" t="str">
        <f ca="1">IFERROR(__xludf.DUMMYFUNCTION("""COMPUTED_VALUE"""),"No")</f>
        <v>No</v>
      </c>
      <c r="H366" s="1" t="str">
        <f ca="1">IFERROR(__xludf.DUMMYFUNCTION("""COMPUTED_VALUE"""),"None")</f>
        <v>None</v>
      </c>
    </row>
    <row r="367" spans="1:8" ht="12.5">
      <c r="A367" s="1" t="str">
        <f ca="1">IFERROR(__xludf.DUMMYFUNCTION("""COMPUTED_VALUE"""),"20230405SCHOG")</f>
        <v>20230405SCHOG</v>
      </c>
      <c r="B367" s="1" t="str">
        <f ca="1">IFERROR(__xludf.DUMMYFUNCTION("""COMPUTED_VALUE"""),"Teen")</f>
        <v>Teen</v>
      </c>
      <c r="C367" s="1" t="str">
        <f ca="1">IFERROR(__xludf.DUMMYFUNCTION("""COMPUTED_VALUE"""),"Male")</f>
        <v>Male</v>
      </c>
      <c r="D367" s="1"/>
      <c r="E367" s="1" t="str">
        <f ca="1">IFERROR(__xludf.DUMMYFUNCTION("""COMPUTED_VALUE"""),"No Relation")</f>
        <v>No Relation</v>
      </c>
      <c r="F367" s="1" t="str">
        <f ca="1">IFERROR(__xludf.DUMMYFUNCTION("""COMPUTED_VALUE"""),"Fled/Escaped")</f>
        <v>Fled/Escaped</v>
      </c>
      <c r="G367" s="1" t="str">
        <f ca="1">IFERROR(__xludf.DUMMYFUNCTION("""COMPUTED_VALUE"""),"No")</f>
        <v>No</v>
      </c>
      <c r="H367" s="1" t="str">
        <f ca="1">IFERROR(__xludf.DUMMYFUNCTION("""COMPUTED_VALUE"""),"None")</f>
        <v>None</v>
      </c>
    </row>
    <row r="368" spans="1:8" ht="12.5">
      <c r="A368" s="1" t="str">
        <f ca="1">IFERROR(__xludf.DUMMYFUNCTION("""COMPUTED_VALUE"""),"20230404TXCHH")</f>
        <v>20230404TXCHH</v>
      </c>
      <c r="B368" s="1">
        <f ca="1">IFERROR(__xludf.DUMMYFUNCTION("""COMPUTED_VALUE"""),18)</f>
        <v>18</v>
      </c>
      <c r="C368" s="1" t="str">
        <f ca="1">IFERROR(__xludf.DUMMYFUNCTION("""COMPUTED_VALUE"""),"Male")</f>
        <v>Male</v>
      </c>
      <c r="D368" s="1"/>
      <c r="E368" s="1" t="str">
        <f ca="1">IFERROR(__xludf.DUMMYFUNCTION("""COMPUTED_VALUE"""),"Student")</f>
        <v>Student</v>
      </c>
      <c r="F368" s="1" t="str">
        <f ca="1">IFERROR(__xludf.DUMMYFUNCTION("""COMPUTED_VALUE"""),"Surrendered")</f>
        <v>Surrendered</v>
      </c>
      <c r="G368" s="1" t="str">
        <f ca="1">IFERROR(__xludf.DUMMYFUNCTION("""COMPUTED_VALUE"""),"No")</f>
        <v>No</v>
      </c>
      <c r="H368" s="1" t="str">
        <f ca="1">IFERROR(__xludf.DUMMYFUNCTION("""COMPUTED_VALUE"""),"None")</f>
        <v>None</v>
      </c>
    </row>
    <row r="369" spans="1:8" ht="12.5">
      <c r="A369" s="1" t="str">
        <f ca="1">IFERROR(__xludf.DUMMYFUNCTION("""COMPUTED_VALUE"""),"20230404OHWOC")</f>
        <v>20230404OHWOC</v>
      </c>
      <c r="B369" s="1" t="str">
        <f ca="1">IFERROR(__xludf.DUMMYFUNCTION("""COMPUTED_VALUE"""),"Teen")</f>
        <v>Teen</v>
      </c>
      <c r="C369" s="1" t="str">
        <f ca="1">IFERROR(__xludf.DUMMYFUNCTION("""COMPUTED_VALUE"""),"Male")</f>
        <v>Male</v>
      </c>
      <c r="D369" s="1"/>
      <c r="E369" s="1" t="str">
        <f ca="1">IFERROR(__xludf.DUMMYFUNCTION("""COMPUTED_VALUE"""),"Student")</f>
        <v>Student</v>
      </c>
      <c r="F369" s="1" t="str">
        <f ca="1">IFERROR(__xludf.DUMMYFUNCTION("""COMPUTED_VALUE"""),"Fled/Apprehended")</f>
        <v>Fled/Apprehended</v>
      </c>
      <c r="G369" s="1" t="str">
        <f ca="1">IFERROR(__xludf.DUMMYFUNCTION("""COMPUTED_VALUE"""),"No")</f>
        <v>No</v>
      </c>
      <c r="H369" s="1" t="str">
        <f ca="1">IFERROR(__xludf.DUMMYFUNCTION("""COMPUTED_VALUE"""),"None")</f>
        <v>None</v>
      </c>
    </row>
    <row r="370" spans="1:8" ht="12.5">
      <c r="A370" s="1" t="str">
        <f ca="1">IFERROR(__xludf.DUMMYFUNCTION("""COMPUTED_VALUE"""),"20230404OHWOC")</f>
        <v>20230404OHWOC</v>
      </c>
      <c r="B370" s="1" t="str">
        <f ca="1">IFERROR(__xludf.DUMMYFUNCTION("""COMPUTED_VALUE"""),"Teen")</f>
        <v>Teen</v>
      </c>
      <c r="C370" s="1" t="str">
        <f ca="1">IFERROR(__xludf.DUMMYFUNCTION("""COMPUTED_VALUE"""),"Male")</f>
        <v>Male</v>
      </c>
      <c r="D370" s="1"/>
      <c r="E370" s="1" t="str">
        <f ca="1">IFERROR(__xludf.DUMMYFUNCTION("""COMPUTED_VALUE"""),"Student")</f>
        <v>Student</v>
      </c>
      <c r="F370" s="1" t="str">
        <f ca="1">IFERROR(__xludf.DUMMYFUNCTION("""COMPUTED_VALUE"""),"Fled/Apprehended")</f>
        <v>Fled/Apprehended</v>
      </c>
      <c r="G370" s="1" t="str">
        <f ca="1">IFERROR(__xludf.DUMMYFUNCTION("""COMPUTED_VALUE"""),"No")</f>
        <v>No</v>
      </c>
      <c r="H370" s="1" t="str">
        <f ca="1">IFERROR(__xludf.DUMMYFUNCTION("""COMPUTED_VALUE"""),"None")</f>
        <v>None</v>
      </c>
    </row>
    <row r="371" spans="1:8" ht="12.5">
      <c r="A371" s="1" t="str">
        <f ca="1">IFERROR(__xludf.DUMMYFUNCTION("""COMPUTED_VALUE"""),"20230403PAFAP")</f>
        <v>20230403PAFAP</v>
      </c>
      <c r="B371" s="1"/>
      <c r="C371" s="1"/>
      <c r="D371" s="1"/>
      <c r="E371" s="1"/>
      <c r="F371" s="1" t="str">
        <f ca="1">IFERROR(__xludf.DUMMYFUNCTION("""COMPUTED_VALUE"""),"Fled/Escaped")</f>
        <v>Fled/Escaped</v>
      </c>
      <c r="G371" s="1" t="str">
        <f ca="1">IFERROR(__xludf.DUMMYFUNCTION("""COMPUTED_VALUE"""),"No")</f>
        <v>No</v>
      </c>
      <c r="H371" s="1" t="str">
        <f ca="1">IFERROR(__xludf.DUMMYFUNCTION("""COMPUTED_VALUE"""),"None")</f>
        <v>None</v>
      </c>
    </row>
    <row r="372" spans="1:8" ht="12.5">
      <c r="A372" s="1" t="str">
        <f ca="1">IFERROR(__xludf.DUMMYFUNCTION("""COMPUTED_VALUE"""),"20230331MSGNJ")</f>
        <v>20230331MSGNJ</v>
      </c>
      <c r="B372" s="1"/>
      <c r="C372" s="1"/>
      <c r="D372" s="1"/>
      <c r="E372" s="1"/>
      <c r="F372" s="1" t="str">
        <f ca="1">IFERROR(__xludf.DUMMYFUNCTION("""COMPUTED_VALUE"""),"Fled/Escaped")</f>
        <v>Fled/Escaped</v>
      </c>
      <c r="G372" s="1" t="str">
        <f ca="1">IFERROR(__xludf.DUMMYFUNCTION("""COMPUTED_VALUE"""),"No")</f>
        <v>No</v>
      </c>
      <c r="H372" s="1" t="str">
        <f ca="1">IFERROR(__xludf.DUMMYFUNCTION("""COMPUTED_VALUE"""),"None")</f>
        <v>None</v>
      </c>
    </row>
    <row r="373" spans="1:8" ht="12.5">
      <c r="A373" s="1" t="str">
        <f ca="1">IFERROR(__xludf.DUMMYFUNCTION("""COMPUTED_VALUE"""),"20230331CAWOC")</f>
        <v>20230331CAWOC</v>
      </c>
      <c r="B373" s="1"/>
      <c r="C373" s="1"/>
      <c r="D373" s="1"/>
      <c r="E373" s="1"/>
      <c r="F373" s="1" t="str">
        <f ca="1">IFERROR(__xludf.DUMMYFUNCTION("""COMPUTED_VALUE"""),"Fled/Escaped")</f>
        <v>Fled/Escaped</v>
      </c>
      <c r="G373" s="1" t="str">
        <f ca="1">IFERROR(__xludf.DUMMYFUNCTION("""COMPUTED_VALUE"""),"No")</f>
        <v>No</v>
      </c>
      <c r="H373" s="1" t="str">
        <f ca="1">IFERROR(__xludf.DUMMYFUNCTION("""COMPUTED_VALUE"""),"None")</f>
        <v>None</v>
      </c>
    </row>
    <row r="374" spans="1:8" ht="12.5">
      <c r="A374" s="1" t="str">
        <f ca="1">IFERROR(__xludf.DUMMYFUNCTION("""COMPUTED_VALUE"""),"20230331DCCAD")</f>
        <v>20230331DCCAD</v>
      </c>
      <c r="B374" s="1"/>
      <c r="C374" s="1"/>
      <c r="D374" s="1"/>
      <c r="E374" s="1"/>
      <c r="F374" s="1" t="str">
        <f ca="1">IFERROR(__xludf.DUMMYFUNCTION("""COMPUTED_VALUE"""),"Fled/Escaped")</f>
        <v>Fled/Escaped</v>
      </c>
      <c r="G374" s="1" t="str">
        <f ca="1">IFERROR(__xludf.DUMMYFUNCTION("""COMPUTED_VALUE"""),"No")</f>
        <v>No</v>
      </c>
      <c r="H374" s="1" t="str">
        <f ca="1">IFERROR(__xludf.DUMMYFUNCTION("""COMPUTED_VALUE"""),"None")</f>
        <v>None</v>
      </c>
    </row>
    <row r="375" spans="1:8" ht="12.5">
      <c r="A375" s="1" t="str">
        <f ca="1">IFERROR(__xludf.DUMMYFUNCTION("""COMPUTED_VALUE"""),"20230331CAJAR")</f>
        <v>20230331CAJAR</v>
      </c>
      <c r="B375" s="1">
        <f ca="1">IFERROR(__xludf.DUMMYFUNCTION("""COMPUTED_VALUE"""),33)</f>
        <v>33</v>
      </c>
      <c r="C375" s="1" t="str">
        <f ca="1">IFERROR(__xludf.DUMMYFUNCTION("""COMPUTED_VALUE"""),"Male")</f>
        <v>Male</v>
      </c>
      <c r="D375" s="1"/>
      <c r="E375" s="1" t="str">
        <f ca="1">IFERROR(__xludf.DUMMYFUNCTION("""COMPUTED_VALUE"""),"No Relation")</f>
        <v>No Relation</v>
      </c>
      <c r="F375" s="1" t="str">
        <f ca="1">IFERROR(__xludf.DUMMYFUNCTION("""COMPUTED_VALUE"""),"Suicide")</f>
        <v>Suicide</v>
      </c>
      <c r="G375" s="1" t="str">
        <f ca="1">IFERROR(__xludf.DUMMYFUNCTION("""COMPUTED_VALUE"""),"Yes")</f>
        <v>Yes</v>
      </c>
      <c r="H375" s="1" t="str">
        <f ca="1">IFERROR(__xludf.DUMMYFUNCTION("""COMPUTED_VALUE"""),"Suicide")</f>
        <v>Suicide</v>
      </c>
    </row>
    <row r="376" spans="1:8" ht="12.5">
      <c r="A376" s="1" t="str">
        <f ca="1">IFERROR(__xludf.DUMMYFUNCTION("""COMPUTED_VALUE"""),"20230330NCFOW")</f>
        <v>20230330NCFOW</v>
      </c>
      <c r="B376" s="1">
        <f ca="1">IFERROR(__xludf.DUMMYFUNCTION("""COMPUTED_VALUE"""),18)</f>
        <v>18</v>
      </c>
      <c r="C376" s="1" t="str">
        <f ca="1">IFERROR(__xludf.DUMMYFUNCTION("""COMPUTED_VALUE"""),"Male")</f>
        <v>Male</v>
      </c>
      <c r="D376" s="1"/>
      <c r="E376" s="1" t="str">
        <f ca="1">IFERROR(__xludf.DUMMYFUNCTION("""COMPUTED_VALUE"""),"Student")</f>
        <v>Student</v>
      </c>
      <c r="F376" s="1" t="str">
        <f ca="1">IFERROR(__xludf.DUMMYFUNCTION("""COMPUTED_VALUE"""),"Apprehended/Killed by LE")</f>
        <v>Apprehended/Killed by LE</v>
      </c>
      <c r="G376" s="1" t="str">
        <f ca="1">IFERROR(__xludf.DUMMYFUNCTION("""COMPUTED_VALUE"""),"No")</f>
        <v>No</v>
      </c>
      <c r="H376" s="1" t="str">
        <f ca="1">IFERROR(__xludf.DUMMYFUNCTION("""COMPUTED_VALUE"""),"Wounded")</f>
        <v>Wounded</v>
      </c>
    </row>
    <row r="377" spans="1:8" ht="12.5">
      <c r="A377" s="1" t="str">
        <f ca="1">IFERROR(__xludf.DUMMYFUNCTION("""COMPUTED_VALUE"""),"20230329MDBRO")</f>
        <v>20230329MDBRO</v>
      </c>
      <c r="B377" s="1"/>
      <c r="C377" s="1"/>
      <c r="D377" s="1"/>
      <c r="E377" s="1"/>
      <c r="F377" s="1" t="str">
        <f ca="1">IFERROR(__xludf.DUMMYFUNCTION("""COMPUTED_VALUE"""),"Fled/Escaped")</f>
        <v>Fled/Escaped</v>
      </c>
      <c r="G377" s="1" t="str">
        <f ca="1">IFERROR(__xludf.DUMMYFUNCTION("""COMPUTED_VALUE"""),"No")</f>
        <v>No</v>
      </c>
      <c r="H377" s="1" t="str">
        <f ca="1">IFERROR(__xludf.DUMMYFUNCTION("""COMPUTED_VALUE"""),"None")</f>
        <v>None</v>
      </c>
    </row>
    <row r="378" spans="1:8" ht="12.5">
      <c r="A378" s="1" t="str">
        <f ca="1">IFERROR(__xludf.DUMMYFUNCTION("""COMPUTED_VALUE"""),"20230329GANED")</f>
        <v>20230329GANED</v>
      </c>
      <c r="B378" s="1">
        <f ca="1">IFERROR(__xludf.DUMMYFUNCTION("""COMPUTED_VALUE"""),29)</f>
        <v>29</v>
      </c>
      <c r="C378" s="1" t="str">
        <f ca="1">IFERROR(__xludf.DUMMYFUNCTION("""COMPUTED_VALUE"""),"Male")</f>
        <v>Male</v>
      </c>
      <c r="D378" s="1" t="str">
        <f ca="1">IFERROR(__xludf.DUMMYFUNCTION("""COMPUTED_VALUE"""),"Black")</f>
        <v>Black</v>
      </c>
      <c r="E378" s="1" t="str">
        <f ca="1">IFERROR(__xludf.DUMMYFUNCTION("""COMPUTED_VALUE"""),"Nonstudent Using Athletic Facilities/Attending Game")</f>
        <v>Nonstudent Using Athletic Facilities/Attending Game</v>
      </c>
      <c r="F378" s="1" t="str">
        <f ca="1">IFERROR(__xludf.DUMMYFUNCTION("""COMPUTED_VALUE"""),"Apprehended/Killed by LE")</f>
        <v>Apprehended/Killed by LE</v>
      </c>
      <c r="G378" s="1" t="str">
        <f ca="1">IFERROR(__xludf.DUMMYFUNCTION("""COMPUTED_VALUE"""),"Yes")</f>
        <v>Yes</v>
      </c>
      <c r="H378" s="1" t="str">
        <f ca="1">IFERROR(__xludf.DUMMYFUNCTION("""COMPUTED_VALUE"""),"Fatal")</f>
        <v>Fatal</v>
      </c>
    </row>
    <row r="379" spans="1:8" ht="12.5">
      <c r="A379" s="1" t="str">
        <f ca="1">IFERROR(__xludf.DUMMYFUNCTION("""COMPUTED_VALUE"""),"20230331NCLIR")</f>
        <v>20230331NCLIR</v>
      </c>
      <c r="B379" s="1" t="str">
        <f ca="1">IFERROR(__xludf.DUMMYFUNCTION("""COMPUTED_VALUE"""),"Adult")</f>
        <v>Adult</v>
      </c>
      <c r="C379" s="1" t="str">
        <f ca="1">IFERROR(__xludf.DUMMYFUNCTION("""COMPUTED_VALUE"""),"Male")</f>
        <v>Male</v>
      </c>
      <c r="D379" s="1" t="str">
        <f ca="1">IFERROR(__xludf.DUMMYFUNCTION("""COMPUTED_VALUE"""),"Hispanic")</f>
        <v>Hispanic</v>
      </c>
      <c r="E379" s="1" t="str">
        <f ca="1">IFERROR(__xludf.DUMMYFUNCTION("""COMPUTED_VALUE"""),"No Relation")</f>
        <v>No Relation</v>
      </c>
      <c r="F379" s="1" t="str">
        <f ca="1">IFERROR(__xludf.DUMMYFUNCTION("""COMPUTED_VALUE"""),"Apprehended/Killed by LE")</f>
        <v>Apprehended/Killed by LE</v>
      </c>
      <c r="G379" s="1" t="str">
        <f ca="1">IFERROR(__xludf.DUMMYFUNCTION("""COMPUTED_VALUE"""),"Yes")</f>
        <v>Yes</v>
      </c>
      <c r="H379" s="1" t="str">
        <f ca="1">IFERROR(__xludf.DUMMYFUNCTION("""COMPUTED_VALUE"""),"Fatal")</f>
        <v>Fatal</v>
      </c>
    </row>
    <row r="380" spans="1:8" ht="12.5">
      <c r="A380" s="1" t="str">
        <f ca="1">IFERROR(__xludf.DUMMYFUNCTION("""COMPUTED_VALUE"""),"20230327TNCON")</f>
        <v>20230327TNCON</v>
      </c>
      <c r="B380" s="1">
        <f ca="1">IFERROR(__xludf.DUMMYFUNCTION("""COMPUTED_VALUE"""),28)</f>
        <v>28</v>
      </c>
      <c r="C380" s="1" t="str">
        <f ca="1">IFERROR(__xludf.DUMMYFUNCTION("""COMPUTED_VALUE"""),"Transgender")</f>
        <v>Transgender</v>
      </c>
      <c r="D380" s="1" t="str">
        <f ca="1">IFERROR(__xludf.DUMMYFUNCTION("""COMPUTED_VALUE"""),"White")</f>
        <v>White</v>
      </c>
      <c r="E380" s="1" t="str">
        <f ca="1">IFERROR(__xludf.DUMMYFUNCTION("""COMPUTED_VALUE"""),"Former Student")</f>
        <v>Former Student</v>
      </c>
      <c r="F380" s="1" t="str">
        <f ca="1">IFERROR(__xludf.DUMMYFUNCTION("""COMPUTED_VALUE"""),"Apprehended/Killed by LE")</f>
        <v>Apprehended/Killed by LE</v>
      </c>
      <c r="G380" s="1" t="str">
        <f ca="1">IFERROR(__xludf.DUMMYFUNCTION("""COMPUTED_VALUE"""),"Yes")</f>
        <v>Yes</v>
      </c>
      <c r="H380" s="1" t="str">
        <f ca="1">IFERROR(__xludf.DUMMYFUNCTION("""COMPUTED_VALUE"""),"Fatal")</f>
        <v>Fatal</v>
      </c>
    </row>
    <row r="381" spans="1:8" ht="12.5">
      <c r="A381" s="1" t="str">
        <f ca="1">IFERROR(__xludf.DUMMYFUNCTION("""COMPUTED_VALUE"""),"20230324INNOM")</f>
        <v>20230324INNOM</v>
      </c>
      <c r="B381" s="1">
        <f ca="1">IFERROR(__xludf.DUMMYFUNCTION("""COMPUTED_VALUE"""),43)</f>
        <v>43</v>
      </c>
      <c r="C381" s="1" t="str">
        <f ca="1">IFERROR(__xludf.DUMMYFUNCTION("""COMPUTED_VALUE"""),"Male")</f>
        <v>Male</v>
      </c>
      <c r="D381" s="1" t="str">
        <f ca="1">IFERROR(__xludf.DUMMYFUNCTION("""COMPUTED_VALUE"""),"White")</f>
        <v>White</v>
      </c>
      <c r="E381" s="1" t="str">
        <f ca="1">IFERROR(__xludf.DUMMYFUNCTION("""COMPUTED_VALUE"""),"Teacher")</f>
        <v>Teacher</v>
      </c>
      <c r="F381" s="1" t="str">
        <f ca="1">IFERROR(__xludf.DUMMYFUNCTION("""COMPUTED_VALUE"""),"Suicide")</f>
        <v>Suicide</v>
      </c>
      <c r="G381" s="1" t="str">
        <f ca="1">IFERROR(__xludf.DUMMYFUNCTION("""COMPUTED_VALUE"""),"Yes")</f>
        <v>Yes</v>
      </c>
      <c r="H381" s="1" t="str">
        <f ca="1">IFERROR(__xludf.DUMMYFUNCTION("""COMPUTED_VALUE"""),"Suicide")</f>
        <v>Suicide</v>
      </c>
    </row>
    <row r="382" spans="1:8" ht="12.5">
      <c r="A382" s="1" t="str">
        <f ca="1">IFERROR(__xludf.DUMMYFUNCTION("""COMPUTED_VALUE"""),"20230324NJTHM")</f>
        <v>20230324NJTHM</v>
      </c>
      <c r="B382" s="1"/>
      <c r="C382" s="1"/>
      <c r="D382" s="1"/>
      <c r="E382" s="1"/>
      <c r="F382" s="1" t="str">
        <f ca="1">IFERROR(__xludf.DUMMYFUNCTION("""COMPUTED_VALUE"""),"Fled/Escaped")</f>
        <v>Fled/Escaped</v>
      </c>
      <c r="G382" s="1" t="str">
        <f ca="1">IFERROR(__xludf.DUMMYFUNCTION("""COMPUTED_VALUE"""),"No")</f>
        <v>No</v>
      </c>
      <c r="H382" s="1" t="str">
        <f ca="1">IFERROR(__xludf.DUMMYFUNCTION("""COMPUTED_VALUE"""),"None")</f>
        <v>None</v>
      </c>
    </row>
    <row r="383" spans="1:8" ht="12.5">
      <c r="A383" s="1" t="str">
        <f ca="1">IFERROR(__xludf.DUMMYFUNCTION("""COMPUTED_VALUE"""),"20230323TNHAM")</f>
        <v>20230323TNHAM</v>
      </c>
      <c r="B383" s="1">
        <f ca="1">IFERROR(__xludf.DUMMYFUNCTION("""COMPUTED_VALUE"""),13)</f>
        <v>13</v>
      </c>
      <c r="C383" s="1" t="str">
        <f ca="1">IFERROR(__xludf.DUMMYFUNCTION("""COMPUTED_VALUE"""),"Male")</f>
        <v>Male</v>
      </c>
      <c r="D383" s="1" t="str">
        <f ca="1">IFERROR(__xludf.DUMMYFUNCTION("""COMPUTED_VALUE"""),"Black")</f>
        <v>Black</v>
      </c>
      <c r="E383" s="1" t="str">
        <f ca="1">IFERROR(__xludf.DUMMYFUNCTION("""COMPUTED_VALUE"""),"Student")</f>
        <v>Student</v>
      </c>
      <c r="F383" s="1" t="str">
        <f ca="1">IFERROR(__xludf.DUMMYFUNCTION("""COMPUTED_VALUE"""),"Fled/Escaped")</f>
        <v>Fled/Escaped</v>
      </c>
      <c r="G383" s="1" t="str">
        <f ca="1">IFERROR(__xludf.DUMMYFUNCTION("""COMPUTED_VALUE"""),"No")</f>
        <v>No</v>
      </c>
      <c r="H383" s="1" t="str">
        <f ca="1">IFERROR(__xludf.DUMMYFUNCTION("""COMPUTED_VALUE"""),"None")</f>
        <v>None</v>
      </c>
    </row>
    <row r="384" spans="1:8" ht="12.5">
      <c r="A384" s="1" t="str">
        <f ca="1">IFERROR(__xludf.DUMMYFUNCTION("""COMPUTED_VALUE"""),"20230322ALANA")</f>
        <v>20230322ALANA</v>
      </c>
      <c r="B384" s="1" t="str">
        <f ca="1">IFERROR(__xludf.DUMMYFUNCTION("""COMPUTED_VALUE"""),"Teen")</f>
        <v>Teen</v>
      </c>
      <c r="C384" s="1" t="str">
        <f ca="1">IFERROR(__xludf.DUMMYFUNCTION("""COMPUTED_VALUE"""),"Male")</f>
        <v>Male</v>
      </c>
      <c r="D384" s="1"/>
      <c r="E384" s="1" t="str">
        <f ca="1">IFERROR(__xludf.DUMMYFUNCTION("""COMPUTED_VALUE"""),"Student")</f>
        <v>Student</v>
      </c>
      <c r="F384" s="1" t="str">
        <f ca="1">IFERROR(__xludf.DUMMYFUNCTION("""COMPUTED_VALUE"""),"Fled/Apprehended")</f>
        <v>Fled/Apprehended</v>
      </c>
      <c r="G384" s="1" t="str">
        <f ca="1">IFERROR(__xludf.DUMMYFUNCTION("""COMPUTED_VALUE"""),"No")</f>
        <v>No</v>
      </c>
      <c r="H384" s="1" t="str">
        <f ca="1">IFERROR(__xludf.DUMMYFUNCTION("""COMPUTED_VALUE"""),"None")</f>
        <v>None</v>
      </c>
    </row>
    <row r="385" spans="1:8" ht="12.5">
      <c r="A385" s="1" t="str">
        <f ca="1">IFERROR(__xludf.DUMMYFUNCTION("""COMPUTED_VALUE"""),"20230322PAHAP")</f>
        <v>20230322PAHAP</v>
      </c>
      <c r="B385" s="1"/>
      <c r="C385" s="1"/>
      <c r="D385" s="1"/>
      <c r="E385" s="1" t="str">
        <f ca="1">IFERROR(__xludf.DUMMYFUNCTION("""COMPUTED_VALUE"""),"No Relation")</f>
        <v>No Relation</v>
      </c>
      <c r="F385" s="1" t="str">
        <f ca="1">IFERROR(__xludf.DUMMYFUNCTION("""COMPUTED_VALUE"""),"Fled/Escaped")</f>
        <v>Fled/Escaped</v>
      </c>
      <c r="G385" s="1" t="str">
        <f ca="1">IFERROR(__xludf.DUMMYFUNCTION("""COMPUTED_VALUE"""),"No")</f>
        <v>No</v>
      </c>
      <c r="H385" s="1" t="str">
        <f ca="1">IFERROR(__xludf.DUMMYFUNCTION("""COMPUTED_VALUE"""),"None")</f>
        <v>None</v>
      </c>
    </row>
    <row r="386" spans="1:8" ht="12.5">
      <c r="A386" s="1" t="str">
        <f ca="1">IFERROR(__xludf.DUMMYFUNCTION("""COMPUTED_VALUE"""),"20230322COEAD")</f>
        <v>20230322COEAD</v>
      </c>
      <c r="B386" s="1">
        <f ca="1">IFERROR(__xludf.DUMMYFUNCTION("""COMPUTED_VALUE"""),17)</f>
        <v>17</v>
      </c>
      <c r="C386" s="1" t="str">
        <f ca="1">IFERROR(__xludf.DUMMYFUNCTION("""COMPUTED_VALUE"""),"Male")</f>
        <v>Male</v>
      </c>
      <c r="D386" s="1"/>
      <c r="E386" s="1" t="str">
        <f ca="1">IFERROR(__xludf.DUMMYFUNCTION("""COMPUTED_VALUE"""),"Student")</f>
        <v>Student</v>
      </c>
      <c r="F386" s="1" t="str">
        <f ca="1">IFERROR(__xludf.DUMMYFUNCTION("""COMPUTED_VALUE"""),"Fled/Escaped")</f>
        <v>Fled/Escaped</v>
      </c>
      <c r="G386" s="1" t="str">
        <f ca="1">IFERROR(__xludf.DUMMYFUNCTION("""COMPUTED_VALUE"""),"Yes")</f>
        <v>Yes</v>
      </c>
      <c r="H386" s="1" t="str">
        <f ca="1">IFERROR(__xludf.DUMMYFUNCTION("""COMPUTED_VALUE"""),"Suicide")</f>
        <v>Suicide</v>
      </c>
    </row>
    <row r="387" spans="1:8" ht="12.5">
      <c r="A387" s="1" t="str">
        <f ca="1">IFERROR(__xludf.DUMMYFUNCTION("""COMPUTED_VALUE"""),"20230321TXTHD")</f>
        <v>20230321TXTHD</v>
      </c>
      <c r="B387" s="1" t="str">
        <f ca="1">IFERROR(__xludf.DUMMYFUNCTION("""COMPUTED_VALUE"""),"Teen")</f>
        <v>Teen</v>
      </c>
      <c r="C387" s="1" t="str">
        <f ca="1">IFERROR(__xludf.DUMMYFUNCTION("""COMPUTED_VALUE"""),"Male")</f>
        <v>Male</v>
      </c>
      <c r="D387" s="1"/>
      <c r="E387" s="1" t="str">
        <f ca="1">IFERROR(__xludf.DUMMYFUNCTION("""COMPUTED_VALUE"""),"Student")</f>
        <v>Student</v>
      </c>
      <c r="F387" s="1" t="str">
        <f ca="1">IFERROR(__xludf.DUMMYFUNCTION("""COMPUTED_VALUE"""),"Fled/Apprehended")</f>
        <v>Fled/Apprehended</v>
      </c>
      <c r="G387" s="1" t="str">
        <f ca="1">IFERROR(__xludf.DUMMYFUNCTION("""COMPUTED_VALUE"""),"No")</f>
        <v>No</v>
      </c>
      <c r="H387" s="1" t="str">
        <f ca="1">IFERROR(__xludf.DUMMYFUNCTION("""COMPUTED_VALUE"""),"None")</f>
        <v>None</v>
      </c>
    </row>
    <row r="388" spans="1:8" ht="12.5">
      <c r="A388" s="1" t="str">
        <f ca="1">IFERROR(__xludf.DUMMYFUNCTION("""COMPUTED_VALUE"""),"20230320TXLAA")</f>
        <v>20230320TXLAA</v>
      </c>
      <c r="B388" s="1">
        <f ca="1">IFERROR(__xludf.DUMMYFUNCTION("""COMPUTED_VALUE"""),15)</f>
        <v>15</v>
      </c>
      <c r="C388" s="1" t="str">
        <f ca="1">IFERROR(__xludf.DUMMYFUNCTION("""COMPUTED_VALUE"""),"Male")</f>
        <v>Male</v>
      </c>
      <c r="D388" s="1"/>
      <c r="E388" s="1" t="str">
        <f ca="1">IFERROR(__xludf.DUMMYFUNCTION("""COMPUTED_VALUE"""),"Student")</f>
        <v>Student</v>
      </c>
      <c r="F388" s="1" t="str">
        <f ca="1">IFERROR(__xludf.DUMMYFUNCTION("""COMPUTED_VALUE"""),"Fled/Apprehended")</f>
        <v>Fled/Apprehended</v>
      </c>
      <c r="G388" s="1" t="str">
        <f ca="1">IFERROR(__xludf.DUMMYFUNCTION("""COMPUTED_VALUE"""),"No")</f>
        <v>No</v>
      </c>
      <c r="H388" s="1" t="str">
        <f ca="1">IFERROR(__xludf.DUMMYFUNCTION("""COMPUTED_VALUE"""),"None")</f>
        <v>None</v>
      </c>
    </row>
    <row r="389" spans="1:8" ht="12.5">
      <c r="A389" s="1" t="str">
        <f ca="1">IFERROR(__xludf.DUMMYFUNCTION("""COMPUTED_VALUE"""),"20230319ORFOS")</f>
        <v>20230319ORFOS</v>
      </c>
      <c r="B389" s="1" t="str">
        <f ca="1">IFERROR(__xludf.DUMMYFUNCTION("""COMPUTED_VALUE"""),"Adult")</f>
        <v>Adult</v>
      </c>
      <c r="C389" s="1" t="str">
        <f ca="1">IFERROR(__xludf.DUMMYFUNCTION("""COMPUTED_VALUE"""),"Male")</f>
        <v>Male</v>
      </c>
      <c r="D389" s="1"/>
      <c r="E389" s="1" t="str">
        <f ca="1">IFERROR(__xludf.DUMMYFUNCTION("""COMPUTED_VALUE"""),"No Relation")</f>
        <v>No Relation</v>
      </c>
      <c r="F389" s="1" t="str">
        <f ca="1">IFERROR(__xludf.DUMMYFUNCTION("""COMPUTED_VALUE"""),"Apprehended/Killed by LE")</f>
        <v>Apprehended/Killed by LE</v>
      </c>
      <c r="G389" s="1" t="str">
        <f ca="1">IFERROR(__xludf.DUMMYFUNCTION("""COMPUTED_VALUE"""),"No")</f>
        <v>No</v>
      </c>
      <c r="H389" s="1" t="str">
        <f ca="1">IFERROR(__xludf.DUMMYFUNCTION("""COMPUTED_VALUE"""),"None")</f>
        <v>None</v>
      </c>
    </row>
    <row r="390" spans="1:8" ht="12.5">
      <c r="A390" s="1" t="str">
        <f ca="1">IFERROR(__xludf.DUMMYFUNCTION("""COMPUTED_VALUE"""),"20230316NCLOD")</f>
        <v>20230316NCLOD</v>
      </c>
      <c r="B390" s="1">
        <f ca="1">IFERROR(__xludf.DUMMYFUNCTION("""COMPUTED_VALUE"""),14)</f>
        <v>14</v>
      </c>
      <c r="C390" s="1" t="str">
        <f ca="1">IFERROR(__xludf.DUMMYFUNCTION("""COMPUTED_VALUE"""),"Male")</f>
        <v>Male</v>
      </c>
      <c r="D390" s="1"/>
      <c r="E390" s="1" t="str">
        <f ca="1">IFERROR(__xludf.DUMMYFUNCTION("""COMPUTED_VALUE"""),"Student")</f>
        <v>Student</v>
      </c>
      <c r="F390" s="1" t="str">
        <f ca="1">IFERROR(__xludf.DUMMYFUNCTION("""COMPUTED_VALUE"""),"Apprehended/Killed by SRO")</f>
        <v>Apprehended/Killed by SRO</v>
      </c>
      <c r="G390" s="1" t="str">
        <f ca="1">IFERROR(__xludf.DUMMYFUNCTION("""COMPUTED_VALUE"""),"No")</f>
        <v>No</v>
      </c>
      <c r="H390" s="1" t="str">
        <f ca="1">IFERROR(__xludf.DUMMYFUNCTION("""COMPUTED_VALUE"""),"None")</f>
        <v>None</v>
      </c>
    </row>
    <row r="391" spans="1:8" ht="12.5">
      <c r="A391" s="1" t="str">
        <f ca="1">IFERROR(__xludf.DUMMYFUNCTION("""COMPUTED_VALUE"""),"20230316DCCOW")</f>
        <v>20230316DCCOW</v>
      </c>
      <c r="B391" s="1" t="str">
        <f ca="1">IFERROR(__xludf.DUMMYFUNCTION("""COMPUTED_VALUE"""),"Teen")</f>
        <v>Teen</v>
      </c>
      <c r="C391" s="1" t="str">
        <f ca="1">IFERROR(__xludf.DUMMYFUNCTION("""COMPUTED_VALUE"""),"Male")</f>
        <v>Male</v>
      </c>
      <c r="D391" s="1"/>
      <c r="E391" s="1"/>
      <c r="F391" s="1" t="str">
        <f ca="1">IFERROR(__xludf.DUMMYFUNCTION("""COMPUTED_VALUE"""),"Fled/Escaped")</f>
        <v>Fled/Escaped</v>
      </c>
      <c r="G391" s="1" t="str">
        <f ca="1">IFERROR(__xludf.DUMMYFUNCTION("""COMPUTED_VALUE"""),"No")</f>
        <v>No</v>
      </c>
      <c r="H391" s="1" t="str">
        <f ca="1">IFERROR(__xludf.DUMMYFUNCTION("""COMPUTED_VALUE"""),"None")</f>
        <v>None</v>
      </c>
    </row>
    <row r="392" spans="1:8" ht="12.5">
      <c r="A392" s="1" t="str">
        <f ca="1">IFERROR(__xludf.DUMMYFUNCTION("""COMPUTED_VALUE"""),"20230316NYPSB")</f>
        <v>20230316NYPSB</v>
      </c>
      <c r="B392" s="1" t="str">
        <f ca="1">IFERROR(__xludf.DUMMYFUNCTION("""COMPUTED_VALUE"""),"Teen")</f>
        <v>Teen</v>
      </c>
      <c r="C392" s="1" t="str">
        <f ca="1">IFERROR(__xludf.DUMMYFUNCTION("""COMPUTED_VALUE"""),"Male")</f>
        <v>Male</v>
      </c>
      <c r="D392" s="1"/>
      <c r="E392" s="1" t="str">
        <f ca="1">IFERROR(__xludf.DUMMYFUNCTION("""COMPUTED_VALUE"""),"No Relation")</f>
        <v>No Relation</v>
      </c>
      <c r="F392" s="1" t="str">
        <f ca="1">IFERROR(__xludf.DUMMYFUNCTION("""COMPUTED_VALUE"""),"Fled/Escaped")</f>
        <v>Fled/Escaped</v>
      </c>
      <c r="G392" s="1" t="str">
        <f ca="1">IFERROR(__xludf.DUMMYFUNCTION("""COMPUTED_VALUE"""),"No")</f>
        <v>No</v>
      </c>
      <c r="H392" s="1" t="str">
        <f ca="1">IFERROR(__xludf.DUMMYFUNCTION("""COMPUTED_VALUE"""),"None")</f>
        <v>None</v>
      </c>
    </row>
    <row r="393" spans="1:8" ht="12.5">
      <c r="A393" s="1" t="str">
        <f ca="1">IFERROR(__xludf.DUMMYFUNCTION("""COMPUTED_VALUE"""),"20230316NYPSB")</f>
        <v>20230316NYPSB</v>
      </c>
      <c r="B393" s="1" t="str">
        <f ca="1">IFERROR(__xludf.DUMMYFUNCTION("""COMPUTED_VALUE"""),"Teen")</f>
        <v>Teen</v>
      </c>
      <c r="C393" s="1" t="str">
        <f ca="1">IFERROR(__xludf.DUMMYFUNCTION("""COMPUTED_VALUE"""),"Male")</f>
        <v>Male</v>
      </c>
      <c r="D393" s="1"/>
      <c r="E393" s="1" t="str">
        <f ca="1">IFERROR(__xludf.DUMMYFUNCTION("""COMPUTED_VALUE"""),"No Relation")</f>
        <v>No Relation</v>
      </c>
      <c r="F393" s="1" t="str">
        <f ca="1">IFERROR(__xludf.DUMMYFUNCTION("""COMPUTED_VALUE"""),"Fled/Escaped")</f>
        <v>Fled/Escaped</v>
      </c>
      <c r="G393" s="1" t="str">
        <f ca="1">IFERROR(__xludf.DUMMYFUNCTION("""COMPUTED_VALUE"""),"No")</f>
        <v>No</v>
      </c>
      <c r="H393" s="1" t="str">
        <f ca="1">IFERROR(__xludf.DUMMYFUNCTION("""COMPUTED_VALUE"""),"None")</f>
        <v>None</v>
      </c>
    </row>
    <row r="394" spans="1:8" ht="12.5">
      <c r="A394" s="1" t="str">
        <f ca="1">IFERROR(__xludf.DUMMYFUNCTION("""COMPUTED_VALUE"""),"20230315COINB")</f>
        <v>20230315COINB</v>
      </c>
      <c r="B394" s="1" t="str">
        <f ca="1">IFERROR(__xludf.DUMMYFUNCTION("""COMPUTED_VALUE"""),"Teen")</f>
        <v>Teen</v>
      </c>
      <c r="C394" s="1" t="str">
        <f ca="1">IFERROR(__xludf.DUMMYFUNCTION("""COMPUTED_VALUE"""),"Male")</f>
        <v>Male</v>
      </c>
      <c r="D394" s="1"/>
      <c r="E394" s="1" t="str">
        <f ca="1">IFERROR(__xludf.DUMMYFUNCTION("""COMPUTED_VALUE"""),"Student")</f>
        <v>Student</v>
      </c>
      <c r="F394" s="1" t="str">
        <f ca="1">IFERROR(__xludf.DUMMYFUNCTION("""COMPUTED_VALUE"""),"Fled/Apprehended")</f>
        <v>Fled/Apprehended</v>
      </c>
      <c r="G394" s="1" t="str">
        <f ca="1">IFERROR(__xludf.DUMMYFUNCTION("""COMPUTED_VALUE"""),"No")</f>
        <v>No</v>
      </c>
      <c r="H394" s="1" t="str">
        <f ca="1">IFERROR(__xludf.DUMMYFUNCTION("""COMPUTED_VALUE"""),"None")</f>
        <v>None</v>
      </c>
    </row>
    <row r="395" spans="1:8" ht="12.5">
      <c r="A395" s="1" t="str">
        <f ca="1">IFERROR(__xludf.DUMMYFUNCTION("""COMPUTED_VALUE"""),"20230315COINB")</f>
        <v>20230315COINB</v>
      </c>
      <c r="B395" s="1" t="str">
        <f ca="1">IFERROR(__xludf.DUMMYFUNCTION("""COMPUTED_VALUE"""),"Teen")</f>
        <v>Teen</v>
      </c>
      <c r="C395" s="1" t="str">
        <f ca="1">IFERROR(__xludf.DUMMYFUNCTION("""COMPUTED_VALUE"""),"Male")</f>
        <v>Male</v>
      </c>
      <c r="D395" s="1"/>
      <c r="E395" s="1" t="str">
        <f ca="1">IFERROR(__xludf.DUMMYFUNCTION("""COMPUTED_VALUE"""),"Student")</f>
        <v>Student</v>
      </c>
      <c r="F395" s="1" t="str">
        <f ca="1">IFERROR(__xludf.DUMMYFUNCTION("""COMPUTED_VALUE"""),"Fled/Apprehended")</f>
        <v>Fled/Apprehended</v>
      </c>
      <c r="G395" s="1" t="str">
        <f ca="1">IFERROR(__xludf.DUMMYFUNCTION("""COMPUTED_VALUE"""),"No")</f>
        <v>No</v>
      </c>
      <c r="H395" s="1" t="str">
        <f ca="1">IFERROR(__xludf.DUMMYFUNCTION("""COMPUTED_VALUE"""),"None")</f>
        <v>None</v>
      </c>
    </row>
    <row r="396" spans="1:8" ht="12.5">
      <c r="A396" s="1" t="str">
        <f ca="1">IFERROR(__xludf.DUMMYFUNCTION("""COMPUTED_VALUE"""),"20230315CALIG")</f>
        <v>20230315CALIG</v>
      </c>
      <c r="B396" s="1"/>
      <c r="C396" s="1"/>
      <c r="D396" s="1"/>
      <c r="E396" s="1"/>
      <c r="F396" s="1" t="str">
        <f ca="1">IFERROR(__xludf.DUMMYFUNCTION("""COMPUTED_VALUE"""),"Fled/Escaped")</f>
        <v>Fled/Escaped</v>
      </c>
      <c r="G396" s="1" t="str">
        <f ca="1">IFERROR(__xludf.DUMMYFUNCTION("""COMPUTED_VALUE"""),"No")</f>
        <v>No</v>
      </c>
      <c r="H396" s="1" t="str">
        <f ca="1">IFERROR(__xludf.DUMMYFUNCTION("""COMPUTED_VALUE"""),"None")</f>
        <v>None</v>
      </c>
    </row>
    <row r="397" spans="1:8" ht="12.5">
      <c r="A397" s="1" t="str">
        <f ca="1">IFERROR(__xludf.DUMMYFUNCTION("""COMPUTED_VALUE"""),"20230315MICEW")</f>
        <v>20230315MICEW</v>
      </c>
      <c r="B397" s="1"/>
      <c r="C397" s="1"/>
      <c r="D397" s="1"/>
      <c r="E397" s="1"/>
      <c r="F397" s="1" t="str">
        <f ca="1">IFERROR(__xludf.DUMMYFUNCTION("""COMPUTED_VALUE"""),"Fled/Escaped")</f>
        <v>Fled/Escaped</v>
      </c>
      <c r="G397" s="1" t="str">
        <f ca="1">IFERROR(__xludf.DUMMYFUNCTION("""COMPUTED_VALUE"""),"No")</f>
        <v>No</v>
      </c>
      <c r="H397" s="1" t="str">
        <f ca="1">IFERROR(__xludf.DUMMYFUNCTION("""COMPUTED_VALUE"""),"None")</f>
        <v>None</v>
      </c>
    </row>
    <row r="398" spans="1:8" ht="12.5">
      <c r="A398" s="1" t="str">
        <f ca="1">IFERROR(__xludf.DUMMYFUNCTION("""COMPUTED_VALUE"""),"20230313NYPSN")</f>
        <v>20230313NYPSN</v>
      </c>
      <c r="B398" s="1" t="str">
        <f ca="1">IFERROR(__xludf.DUMMYFUNCTION("""COMPUTED_VALUE"""),"Teen")</f>
        <v>Teen</v>
      </c>
      <c r="C398" s="1" t="str">
        <f ca="1">IFERROR(__xludf.DUMMYFUNCTION("""COMPUTED_VALUE"""),"Male")</f>
        <v>Male</v>
      </c>
      <c r="D398" s="1"/>
      <c r="E398" s="1" t="str">
        <f ca="1">IFERROR(__xludf.DUMMYFUNCTION("""COMPUTED_VALUE"""),"Nonstudent")</f>
        <v>Nonstudent</v>
      </c>
      <c r="F398" s="1" t="str">
        <f ca="1">IFERROR(__xludf.DUMMYFUNCTION("""COMPUTED_VALUE"""),"Fled/Escaped")</f>
        <v>Fled/Escaped</v>
      </c>
      <c r="G398" s="1" t="str">
        <f ca="1">IFERROR(__xludf.DUMMYFUNCTION("""COMPUTED_VALUE"""),"No")</f>
        <v>No</v>
      </c>
      <c r="H398" s="1" t="str">
        <f ca="1">IFERROR(__xludf.DUMMYFUNCTION("""COMPUTED_VALUE"""),"None")</f>
        <v>None</v>
      </c>
    </row>
    <row r="399" spans="1:8" ht="12.5">
      <c r="A399" s="1" t="str">
        <f ca="1">IFERROR(__xludf.DUMMYFUNCTION("""COMPUTED_VALUE"""),"20230314NYHAN")</f>
        <v>20230314NYHAN</v>
      </c>
      <c r="B399" s="1" t="str">
        <f ca="1">IFERROR(__xludf.DUMMYFUNCTION("""COMPUTED_VALUE"""),"Teen")</f>
        <v>Teen</v>
      </c>
      <c r="C399" s="1" t="str">
        <f ca="1">IFERROR(__xludf.DUMMYFUNCTION("""COMPUTED_VALUE"""),"Male")</f>
        <v>Male</v>
      </c>
      <c r="D399" s="1"/>
      <c r="E399" s="1" t="str">
        <f ca="1">IFERROR(__xludf.DUMMYFUNCTION("""COMPUTED_VALUE"""),"Nonstudent")</f>
        <v>Nonstudent</v>
      </c>
      <c r="F399" s="1" t="str">
        <f ca="1">IFERROR(__xludf.DUMMYFUNCTION("""COMPUTED_VALUE"""),"Fled/Escaped")</f>
        <v>Fled/Escaped</v>
      </c>
      <c r="G399" s="1" t="str">
        <f ca="1">IFERROR(__xludf.DUMMYFUNCTION("""COMPUTED_VALUE"""),"No")</f>
        <v>No</v>
      </c>
      <c r="H399" s="1" t="str">
        <f ca="1">IFERROR(__xludf.DUMMYFUNCTION("""COMPUTED_VALUE"""),"None")</f>
        <v>None</v>
      </c>
    </row>
    <row r="400" spans="1:8" ht="12.5">
      <c r="A400" s="1" t="str">
        <f ca="1">IFERROR(__xludf.DUMMYFUNCTION("""COMPUTED_VALUE"""),"20230314NYMAM")</f>
        <v>20230314NYMAM</v>
      </c>
      <c r="B400" s="1">
        <f ca="1">IFERROR(__xludf.DUMMYFUNCTION("""COMPUTED_VALUE"""),19)</f>
        <v>19</v>
      </c>
      <c r="C400" s="1"/>
      <c r="D400" s="1"/>
      <c r="E400" s="1" t="str">
        <f ca="1">IFERROR(__xludf.DUMMYFUNCTION("""COMPUTED_VALUE"""),"Former Student")</f>
        <v>Former Student</v>
      </c>
      <c r="F400" s="1" t="str">
        <f ca="1">IFERROR(__xludf.DUMMYFUNCTION("""COMPUTED_VALUE"""),"Fled/Apprehended")</f>
        <v>Fled/Apprehended</v>
      </c>
      <c r="G400" s="1" t="str">
        <f ca="1">IFERROR(__xludf.DUMMYFUNCTION("""COMPUTED_VALUE"""),"No")</f>
        <v>No</v>
      </c>
      <c r="H400" s="1" t="str">
        <f ca="1">IFERROR(__xludf.DUMMYFUNCTION("""COMPUTED_VALUE"""),"None")</f>
        <v>None</v>
      </c>
    </row>
    <row r="401" spans="1:8" ht="12.5">
      <c r="A401" s="1" t="str">
        <f ca="1">IFERROR(__xludf.DUMMYFUNCTION("""COMPUTED_VALUE"""),"20230309WIBAM")</f>
        <v>20230309WIBAM</v>
      </c>
      <c r="B401" s="1">
        <f ca="1">IFERROR(__xludf.DUMMYFUNCTION("""COMPUTED_VALUE"""),18)</f>
        <v>18</v>
      </c>
      <c r="C401" s="1" t="str">
        <f ca="1">IFERROR(__xludf.DUMMYFUNCTION("""COMPUTED_VALUE"""),"Male")</f>
        <v>Male</v>
      </c>
      <c r="D401" s="1" t="str">
        <f ca="1">IFERROR(__xludf.DUMMYFUNCTION("""COMPUTED_VALUE"""),"Black")</f>
        <v>Black</v>
      </c>
      <c r="E401" s="1" t="str">
        <f ca="1">IFERROR(__xludf.DUMMYFUNCTION("""COMPUTED_VALUE"""),"Student")</f>
        <v>Student</v>
      </c>
      <c r="F401" s="1" t="str">
        <f ca="1">IFERROR(__xludf.DUMMYFUNCTION("""COMPUTED_VALUE"""),"Fled/Apprehended")</f>
        <v>Fled/Apprehended</v>
      </c>
      <c r="G401" s="1" t="str">
        <f ca="1">IFERROR(__xludf.DUMMYFUNCTION("""COMPUTED_VALUE"""),"No")</f>
        <v>No</v>
      </c>
      <c r="H401" s="1" t="str">
        <f ca="1">IFERROR(__xludf.DUMMYFUNCTION("""COMPUTED_VALUE"""),"None")</f>
        <v>None</v>
      </c>
    </row>
    <row r="402" spans="1:8" ht="12.5">
      <c r="A402" s="1" t="str">
        <f ca="1">IFERROR(__xludf.DUMMYFUNCTION("""COMPUTED_VALUE"""),"20230309OHMAM")</f>
        <v>20230309OHMAM</v>
      </c>
      <c r="B402" s="1"/>
      <c r="C402" s="1"/>
      <c r="D402" s="1"/>
      <c r="E402" s="1" t="str">
        <f ca="1">IFERROR(__xludf.DUMMYFUNCTION("""COMPUTED_VALUE"""),"Nonstudent")</f>
        <v>Nonstudent</v>
      </c>
      <c r="F402" s="1" t="str">
        <f ca="1">IFERROR(__xludf.DUMMYFUNCTION("""COMPUTED_VALUE"""),"Fled/Escaped")</f>
        <v>Fled/Escaped</v>
      </c>
      <c r="G402" s="1" t="str">
        <f ca="1">IFERROR(__xludf.DUMMYFUNCTION("""COMPUTED_VALUE"""),"No")</f>
        <v>No</v>
      </c>
      <c r="H402" s="1" t="str">
        <f ca="1">IFERROR(__xludf.DUMMYFUNCTION("""COMPUTED_VALUE"""),"None")</f>
        <v>None</v>
      </c>
    </row>
    <row r="403" spans="1:8" ht="12.5">
      <c r="A403" s="1" t="str">
        <f ca="1">IFERROR(__xludf.DUMMYFUNCTION("""COMPUTED_VALUE"""),"20230308WVHIH")</f>
        <v>20230308WVHIH</v>
      </c>
      <c r="B403" s="1">
        <f ca="1">IFERROR(__xludf.DUMMYFUNCTION("""COMPUTED_VALUE"""),23)</f>
        <v>23</v>
      </c>
      <c r="C403" s="1" t="str">
        <f ca="1">IFERROR(__xludf.DUMMYFUNCTION("""COMPUTED_VALUE"""),"Male")</f>
        <v>Male</v>
      </c>
      <c r="D403" s="1" t="str">
        <f ca="1">IFERROR(__xludf.DUMMYFUNCTION("""COMPUTED_VALUE"""),"White")</f>
        <v>White</v>
      </c>
      <c r="E403" s="1" t="str">
        <f ca="1">IFERROR(__xludf.DUMMYFUNCTION("""COMPUTED_VALUE"""),"No Relation")</f>
        <v>No Relation</v>
      </c>
      <c r="F403" s="1" t="str">
        <f ca="1">IFERROR(__xludf.DUMMYFUNCTION("""COMPUTED_VALUE"""),"Apprehended/Killed by LE")</f>
        <v>Apprehended/Killed by LE</v>
      </c>
      <c r="G403" s="1" t="str">
        <f ca="1">IFERROR(__xludf.DUMMYFUNCTION("""COMPUTED_VALUE"""),"No")</f>
        <v>No</v>
      </c>
      <c r="H403" s="1" t="str">
        <f ca="1">IFERROR(__xludf.DUMMYFUNCTION("""COMPUTED_VALUE"""),"None")</f>
        <v>None</v>
      </c>
    </row>
    <row r="404" spans="1:8" ht="12.5">
      <c r="A404" s="1" t="str">
        <f ca="1">IFERROR(__xludf.DUMMYFUNCTION("""COMPUTED_VALUE"""),"20230308PAHEP")</f>
        <v>20230308PAHEP</v>
      </c>
      <c r="B404" s="1"/>
      <c r="C404" s="1"/>
      <c r="D404" s="1"/>
      <c r="E404" s="1" t="str">
        <f ca="1">IFERROR(__xludf.DUMMYFUNCTION("""COMPUTED_VALUE"""),"No Relation")</f>
        <v>No Relation</v>
      </c>
      <c r="F404" s="1" t="str">
        <f ca="1">IFERROR(__xludf.DUMMYFUNCTION("""COMPUTED_VALUE"""),"Fled/Escaped")</f>
        <v>Fled/Escaped</v>
      </c>
      <c r="G404" s="1" t="str">
        <f ca="1">IFERROR(__xludf.DUMMYFUNCTION("""COMPUTED_VALUE"""),"No")</f>
        <v>No</v>
      </c>
      <c r="H404" s="1" t="str">
        <f ca="1">IFERROR(__xludf.DUMMYFUNCTION("""COMPUTED_VALUE"""),"None")</f>
        <v>None</v>
      </c>
    </row>
    <row r="405" spans="1:8" ht="12.5">
      <c r="A405" s="1" t="str">
        <f ca="1">IFERROR(__xludf.DUMMYFUNCTION("""COMPUTED_VALUE"""),"20230307INTHI")</f>
        <v>20230307INTHI</v>
      </c>
      <c r="B405" s="1"/>
      <c r="C405" s="1"/>
      <c r="D405" s="1"/>
      <c r="E405" s="1"/>
      <c r="F405" s="1" t="str">
        <f ca="1">IFERROR(__xludf.DUMMYFUNCTION("""COMPUTED_VALUE"""),"Fled/Escaped")</f>
        <v>Fled/Escaped</v>
      </c>
      <c r="G405" s="1" t="str">
        <f ca="1">IFERROR(__xludf.DUMMYFUNCTION("""COMPUTED_VALUE"""),"No")</f>
        <v>No</v>
      </c>
      <c r="H405" s="1" t="str">
        <f ca="1">IFERROR(__xludf.DUMMYFUNCTION("""COMPUTED_VALUE"""),"None")</f>
        <v>None</v>
      </c>
    </row>
    <row r="406" spans="1:8" ht="12.5">
      <c r="A406" s="1" t="str">
        <f ca="1">IFERROR(__xludf.DUMMYFUNCTION("""COMPUTED_VALUE"""),"20230306NYPAN")</f>
        <v>20230306NYPAN</v>
      </c>
      <c r="B406" s="1"/>
      <c r="C406" s="1"/>
      <c r="D406" s="1"/>
      <c r="E406" s="1"/>
      <c r="F406" s="1" t="str">
        <f ca="1">IFERROR(__xludf.DUMMYFUNCTION("""COMPUTED_VALUE"""),"Fled/Escaped")</f>
        <v>Fled/Escaped</v>
      </c>
      <c r="G406" s="1" t="str">
        <f ca="1">IFERROR(__xludf.DUMMYFUNCTION("""COMPUTED_VALUE"""),"No")</f>
        <v>No</v>
      </c>
      <c r="H406" s="1" t="str">
        <f ca="1">IFERROR(__xludf.DUMMYFUNCTION("""COMPUTED_VALUE"""),"None")</f>
        <v>None</v>
      </c>
    </row>
    <row r="407" spans="1:8" ht="12.5">
      <c r="A407" s="1" t="str">
        <f ca="1">IFERROR(__xludf.DUMMYFUNCTION("""COMPUTED_VALUE"""),"20230306TXPAA")</f>
        <v>20230306TXPAA</v>
      </c>
      <c r="B407" s="1">
        <f ca="1">IFERROR(__xludf.DUMMYFUNCTION("""COMPUTED_VALUE"""),16)</f>
        <v>16</v>
      </c>
      <c r="C407" s="1" t="str">
        <f ca="1">IFERROR(__xludf.DUMMYFUNCTION("""COMPUTED_VALUE"""),"Male")</f>
        <v>Male</v>
      </c>
      <c r="D407" s="1"/>
      <c r="E407" s="1" t="str">
        <f ca="1">IFERROR(__xludf.DUMMYFUNCTION("""COMPUTED_VALUE"""),"Student")</f>
        <v>Student</v>
      </c>
      <c r="F407" s="1" t="str">
        <f ca="1">IFERROR(__xludf.DUMMYFUNCTION("""COMPUTED_VALUE"""),"Fled/Apprehended")</f>
        <v>Fled/Apprehended</v>
      </c>
      <c r="G407" s="1" t="str">
        <f ca="1">IFERROR(__xludf.DUMMYFUNCTION("""COMPUTED_VALUE"""),"No")</f>
        <v>No</v>
      </c>
      <c r="H407" s="1" t="str">
        <f ca="1">IFERROR(__xludf.DUMMYFUNCTION("""COMPUTED_VALUE"""),"None")</f>
        <v>None</v>
      </c>
    </row>
    <row r="408" spans="1:8" ht="12.5">
      <c r="A408" s="1" t="str">
        <f ca="1">IFERROR(__xludf.DUMMYFUNCTION("""COMPUTED_VALUE"""),"20230306TXPAA")</f>
        <v>20230306TXPAA</v>
      </c>
      <c r="B408" s="1">
        <f ca="1">IFERROR(__xludf.DUMMYFUNCTION("""COMPUTED_VALUE"""),18)</f>
        <v>18</v>
      </c>
      <c r="C408" s="1" t="str">
        <f ca="1">IFERROR(__xludf.DUMMYFUNCTION("""COMPUTED_VALUE"""),"Male")</f>
        <v>Male</v>
      </c>
      <c r="D408" s="1"/>
      <c r="E408" s="1" t="str">
        <f ca="1">IFERROR(__xludf.DUMMYFUNCTION("""COMPUTED_VALUE"""),"Student")</f>
        <v>Student</v>
      </c>
      <c r="F408" s="1" t="str">
        <f ca="1">IFERROR(__xludf.DUMMYFUNCTION("""COMPUTED_VALUE"""),"Fled/Apprehended")</f>
        <v>Fled/Apprehended</v>
      </c>
      <c r="G408" s="1" t="str">
        <f ca="1">IFERROR(__xludf.DUMMYFUNCTION("""COMPUTED_VALUE"""),"No")</f>
        <v>No</v>
      </c>
      <c r="H408" s="1" t="str">
        <f ca="1">IFERROR(__xludf.DUMMYFUNCTION("""COMPUTED_VALUE"""),"None")</f>
        <v>None</v>
      </c>
    </row>
    <row r="409" spans="1:8" ht="12.5">
      <c r="A409" s="1" t="str">
        <f ca="1">IFERROR(__xludf.DUMMYFUNCTION("""COMPUTED_VALUE"""),"20230306MDLEB")</f>
        <v>20230306MDLEB</v>
      </c>
      <c r="B409" s="1" t="str">
        <f ca="1">IFERROR(__xludf.DUMMYFUNCTION("""COMPUTED_VALUE"""),"Adult")</f>
        <v>Adult</v>
      </c>
      <c r="C409" s="1" t="str">
        <f ca="1">IFERROR(__xludf.DUMMYFUNCTION("""COMPUTED_VALUE"""),"Male")</f>
        <v>Male</v>
      </c>
      <c r="D409" s="1"/>
      <c r="E409" s="1" t="str">
        <f ca="1">IFERROR(__xludf.DUMMYFUNCTION("""COMPUTED_VALUE"""),"Parent")</f>
        <v>Parent</v>
      </c>
      <c r="F409" s="1" t="str">
        <f ca="1">IFERROR(__xludf.DUMMYFUNCTION("""COMPUTED_VALUE"""),"Fled/Escaped")</f>
        <v>Fled/Escaped</v>
      </c>
      <c r="G409" s="1" t="str">
        <f ca="1">IFERROR(__xludf.DUMMYFUNCTION("""COMPUTED_VALUE"""),"No")</f>
        <v>No</v>
      </c>
      <c r="H409" s="1" t="str">
        <f ca="1">IFERROR(__xludf.DUMMYFUNCTION("""COMPUTED_VALUE"""),"None")</f>
        <v>None</v>
      </c>
    </row>
    <row r="410" spans="1:8" ht="12.5">
      <c r="A410" s="1" t="str">
        <f ca="1">IFERROR(__xludf.DUMMYFUNCTION("""COMPUTED_VALUE"""),"20230306MISTR")</f>
        <v>20230306MISTR</v>
      </c>
      <c r="B410" s="1">
        <f ca="1">IFERROR(__xludf.DUMMYFUNCTION("""COMPUTED_VALUE"""),13)</f>
        <v>13</v>
      </c>
      <c r="C410" s="1" t="str">
        <f ca="1">IFERROR(__xludf.DUMMYFUNCTION("""COMPUTED_VALUE"""),"Male")</f>
        <v>Male</v>
      </c>
      <c r="D410" s="1"/>
      <c r="E410" s="1" t="str">
        <f ca="1">IFERROR(__xludf.DUMMYFUNCTION("""COMPUTED_VALUE"""),"Student")</f>
        <v>Student</v>
      </c>
      <c r="F410" s="1" t="str">
        <f ca="1">IFERROR(__xludf.DUMMYFUNCTION("""COMPUTED_VALUE"""),"Fled/Apprehended")</f>
        <v>Fled/Apprehended</v>
      </c>
      <c r="G410" s="1" t="str">
        <f ca="1">IFERROR(__xludf.DUMMYFUNCTION("""COMPUTED_VALUE"""),"No")</f>
        <v>No</v>
      </c>
      <c r="H410" s="1" t="str">
        <f ca="1">IFERROR(__xludf.DUMMYFUNCTION("""COMPUTED_VALUE"""),"None")</f>
        <v>None</v>
      </c>
    </row>
    <row r="411" spans="1:8" ht="12.5">
      <c r="A411" s="1" t="str">
        <f ca="1">IFERROR(__xludf.DUMMYFUNCTION("""COMPUTED_VALUE"""),"20230306MDPAB")</f>
        <v>20230306MDPAB</v>
      </c>
      <c r="B411" s="1">
        <f ca="1">IFERROR(__xludf.DUMMYFUNCTION("""COMPUTED_VALUE"""),23)</f>
        <v>23</v>
      </c>
      <c r="C411" s="1" t="str">
        <f ca="1">IFERROR(__xludf.DUMMYFUNCTION("""COMPUTED_VALUE"""),"Male")</f>
        <v>Male</v>
      </c>
      <c r="D411" s="1"/>
      <c r="E411" s="1" t="str">
        <f ca="1">IFERROR(__xludf.DUMMYFUNCTION("""COMPUTED_VALUE"""),"No Relation")</f>
        <v>No Relation</v>
      </c>
      <c r="F411" s="1" t="str">
        <f ca="1">IFERROR(__xludf.DUMMYFUNCTION("""COMPUTED_VALUE"""),"Fled/Apprehended")</f>
        <v>Fled/Apprehended</v>
      </c>
      <c r="G411" s="1" t="str">
        <f ca="1">IFERROR(__xludf.DUMMYFUNCTION("""COMPUTED_VALUE"""),"No")</f>
        <v>No</v>
      </c>
      <c r="H411" s="1" t="str">
        <f ca="1">IFERROR(__xludf.DUMMYFUNCTION("""COMPUTED_VALUE"""),"None")</f>
        <v>None</v>
      </c>
    </row>
    <row r="412" spans="1:8" ht="12.5">
      <c r="A412" s="1" t="str">
        <f ca="1">IFERROR(__xludf.DUMMYFUNCTION("""COMPUTED_VALUE"""),"20230303MTGAL")</f>
        <v>20230303MTGAL</v>
      </c>
      <c r="B412" s="1" t="str">
        <f ca="1">IFERROR(__xludf.DUMMYFUNCTION("""COMPUTED_VALUE"""),"Teen")</f>
        <v>Teen</v>
      </c>
      <c r="C412" s="1"/>
      <c r="D412" s="1"/>
      <c r="E412" s="1"/>
      <c r="F412" s="1" t="str">
        <f ca="1">IFERROR(__xludf.DUMMYFUNCTION("""COMPUTED_VALUE"""),"Fled/Apprehended")</f>
        <v>Fled/Apprehended</v>
      </c>
      <c r="G412" s="1" t="str">
        <f ca="1">IFERROR(__xludf.DUMMYFUNCTION("""COMPUTED_VALUE"""),"No")</f>
        <v>No</v>
      </c>
      <c r="H412" s="1" t="str">
        <f ca="1">IFERROR(__xludf.DUMMYFUNCTION("""COMPUTED_VALUE"""),"None")</f>
        <v>None</v>
      </c>
    </row>
    <row r="413" spans="1:8" ht="12.5">
      <c r="A413" s="1" t="str">
        <f ca="1">IFERROR(__xludf.DUMMYFUNCTION("""COMPUTED_VALUE"""),"20230303MTGAL")</f>
        <v>20230303MTGAL</v>
      </c>
      <c r="B413" s="1" t="str">
        <f ca="1">IFERROR(__xludf.DUMMYFUNCTION("""COMPUTED_VALUE"""),"Teen")</f>
        <v>Teen</v>
      </c>
      <c r="C413" s="1"/>
      <c r="D413" s="1"/>
      <c r="E413" s="1"/>
      <c r="F413" s="1" t="str">
        <f ca="1">IFERROR(__xludf.DUMMYFUNCTION("""COMPUTED_VALUE"""),"Fled/Apprehended")</f>
        <v>Fled/Apprehended</v>
      </c>
      <c r="G413" s="1" t="str">
        <f ca="1">IFERROR(__xludf.DUMMYFUNCTION("""COMPUTED_VALUE"""),"No")</f>
        <v>No</v>
      </c>
      <c r="H413" s="1" t="str">
        <f ca="1">IFERROR(__xludf.DUMMYFUNCTION("""COMPUTED_VALUE"""),"None")</f>
        <v>None</v>
      </c>
    </row>
    <row r="414" spans="1:8" ht="12.5">
      <c r="A414" s="1" t="str">
        <f ca="1">IFERROR(__xludf.DUMMYFUNCTION("""COMPUTED_VALUE"""),"20230301ILMAM")</f>
        <v>20230301ILMAM</v>
      </c>
      <c r="B414" s="1">
        <f ca="1">IFERROR(__xludf.DUMMYFUNCTION("""COMPUTED_VALUE"""),18)</f>
        <v>18</v>
      </c>
      <c r="C414" s="1" t="str">
        <f ca="1">IFERROR(__xludf.DUMMYFUNCTION("""COMPUTED_VALUE"""),"Male")</f>
        <v>Male</v>
      </c>
      <c r="D414" s="1" t="str">
        <f ca="1">IFERROR(__xludf.DUMMYFUNCTION("""COMPUTED_VALUE"""),"White")</f>
        <v>White</v>
      </c>
      <c r="E414" s="1" t="str">
        <f ca="1">IFERROR(__xludf.DUMMYFUNCTION("""COMPUTED_VALUE"""),"No Relation")</f>
        <v>No Relation</v>
      </c>
      <c r="F414" s="1" t="str">
        <f ca="1">IFERROR(__xludf.DUMMYFUNCTION("""COMPUTED_VALUE"""),"Fled/Apprehended")</f>
        <v>Fled/Apprehended</v>
      </c>
      <c r="G414" s="1" t="str">
        <f ca="1">IFERROR(__xludf.DUMMYFUNCTION("""COMPUTED_VALUE"""),"No")</f>
        <v>No</v>
      </c>
      <c r="H414" s="1" t="str">
        <f ca="1">IFERROR(__xludf.DUMMYFUNCTION("""COMPUTED_VALUE"""),"None")</f>
        <v>None</v>
      </c>
    </row>
    <row r="415" spans="1:8" ht="12.5">
      <c r="A415" s="1" t="str">
        <f ca="1">IFERROR(__xludf.DUMMYFUNCTION("""COMPUTED_VALUE"""),"20230301ILMAM")</f>
        <v>20230301ILMAM</v>
      </c>
      <c r="B415" s="1">
        <f ca="1">IFERROR(__xludf.DUMMYFUNCTION("""COMPUTED_VALUE"""),23)</f>
        <v>23</v>
      </c>
      <c r="C415" s="1" t="str">
        <f ca="1">IFERROR(__xludf.DUMMYFUNCTION("""COMPUTED_VALUE"""),"Male")</f>
        <v>Male</v>
      </c>
      <c r="D415" s="1" t="str">
        <f ca="1">IFERROR(__xludf.DUMMYFUNCTION("""COMPUTED_VALUE"""),"White")</f>
        <v>White</v>
      </c>
      <c r="E415" s="1" t="str">
        <f ca="1">IFERROR(__xludf.DUMMYFUNCTION("""COMPUTED_VALUE"""),"No Relation")</f>
        <v>No Relation</v>
      </c>
      <c r="F415" s="1" t="str">
        <f ca="1">IFERROR(__xludf.DUMMYFUNCTION("""COMPUTED_VALUE"""),"Fled/Apprehended")</f>
        <v>Fled/Apprehended</v>
      </c>
      <c r="G415" s="1" t="str">
        <f ca="1">IFERROR(__xludf.DUMMYFUNCTION("""COMPUTED_VALUE"""),"No")</f>
        <v>No</v>
      </c>
      <c r="H415" s="1" t="str">
        <f ca="1">IFERROR(__xludf.DUMMYFUNCTION("""COMPUTED_VALUE"""),"None")</f>
        <v>None</v>
      </c>
    </row>
    <row r="416" spans="1:8" ht="12.5">
      <c r="A416" s="1" t="str">
        <f ca="1">IFERROR(__xludf.DUMMYFUNCTION("""COMPUTED_VALUE"""),"20230301ILMAM")</f>
        <v>20230301ILMAM</v>
      </c>
      <c r="B416" s="1">
        <f ca="1">IFERROR(__xludf.DUMMYFUNCTION("""COMPUTED_VALUE"""),18)</f>
        <v>18</v>
      </c>
      <c r="C416" s="1" t="str">
        <f ca="1">IFERROR(__xludf.DUMMYFUNCTION("""COMPUTED_VALUE"""),"Male")</f>
        <v>Male</v>
      </c>
      <c r="D416" s="1" t="str">
        <f ca="1">IFERROR(__xludf.DUMMYFUNCTION("""COMPUTED_VALUE"""),"White")</f>
        <v>White</v>
      </c>
      <c r="E416" s="1" t="str">
        <f ca="1">IFERROR(__xludf.DUMMYFUNCTION("""COMPUTED_VALUE"""),"No Relation")</f>
        <v>No Relation</v>
      </c>
      <c r="F416" s="1" t="str">
        <f ca="1">IFERROR(__xludf.DUMMYFUNCTION("""COMPUTED_VALUE"""),"Fled/Apprehended")</f>
        <v>Fled/Apprehended</v>
      </c>
      <c r="G416" s="1" t="str">
        <f ca="1">IFERROR(__xludf.DUMMYFUNCTION("""COMPUTED_VALUE"""),"No")</f>
        <v>No</v>
      </c>
      <c r="H416" s="1" t="str">
        <f ca="1">IFERROR(__xludf.DUMMYFUNCTION("""COMPUTED_VALUE"""),"None")</f>
        <v>None</v>
      </c>
    </row>
    <row r="417" spans="1:8" ht="12.5">
      <c r="A417" s="1" t="str">
        <f ca="1">IFERROR(__xludf.DUMMYFUNCTION("""COMPUTED_VALUE"""),"20230301GASAS")</f>
        <v>20230301GASAS</v>
      </c>
      <c r="B417" s="1">
        <f ca="1">IFERROR(__xludf.DUMMYFUNCTION("""COMPUTED_VALUE"""),16)</f>
        <v>16</v>
      </c>
      <c r="C417" s="1" t="str">
        <f ca="1">IFERROR(__xludf.DUMMYFUNCTION("""COMPUTED_VALUE"""),"Male")</f>
        <v>Male</v>
      </c>
      <c r="D417" s="1"/>
      <c r="E417" s="1" t="str">
        <f ca="1">IFERROR(__xludf.DUMMYFUNCTION("""COMPUTED_VALUE"""),"Nonstudent")</f>
        <v>Nonstudent</v>
      </c>
      <c r="F417" s="1" t="str">
        <f ca="1">IFERROR(__xludf.DUMMYFUNCTION("""COMPUTED_VALUE"""),"Fled/Apprehended")</f>
        <v>Fled/Apprehended</v>
      </c>
      <c r="G417" s="1" t="str">
        <f ca="1">IFERROR(__xludf.DUMMYFUNCTION("""COMPUTED_VALUE"""),"No")</f>
        <v>No</v>
      </c>
      <c r="H417" s="1" t="str">
        <f ca="1">IFERROR(__xludf.DUMMYFUNCTION("""COMPUTED_VALUE"""),"None")</f>
        <v>None</v>
      </c>
    </row>
    <row r="418" spans="1:8" ht="12.5">
      <c r="A418" s="1" t="str">
        <f ca="1">IFERROR(__xludf.DUMMYFUNCTION("""COMPUTED_VALUE"""),"20230301ILSAC")</f>
        <v>20230301ILSAC</v>
      </c>
      <c r="B418" s="1">
        <f ca="1">IFERROR(__xludf.DUMMYFUNCTION("""COMPUTED_VALUE"""),18)</f>
        <v>18</v>
      </c>
      <c r="C418" s="1" t="str">
        <f ca="1">IFERROR(__xludf.DUMMYFUNCTION("""COMPUTED_VALUE"""),"Male")</f>
        <v>Male</v>
      </c>
      <c r="D418" s="1"/>
      <c r="E418" s="1" t="str">
        <f ca="1">IFERROR(__xludf.DUMMYFUNCTION("""COMPUTED_VALUE"""),"No Relation")</f>
        <v>No Relation</v>
      </c>
      <c r="F418" s="1" t="str">
        <f ca="1">IFERROR(__xludf.DUMMYFUNCTION("""COMPUTED_VALUE"""),"Apprehended/Killed by LE")</f>
        <v>Apprehended/Killed by LE</v>
      </c>
      <c r="G418" s="1" t="str">
        <f ca="1">IFERROR(__xludf.DUMMYFUNCTION("""COMPUTED_VALUE"""),"No")</f>
        <v>No</v>
      </c>
      <c r="H418" s="1" t="str">
        <f ca="1">IFERROR(__xludf.DUMMYFUNCTION("""COMPUTED_VALUE"""),"Wounded")</f>
        <v>Wounded</v>
      </c>
    </row>
    <row r="419" spans="1:8" ht="12.5">
      <c r="A419" s="1" t="str">
        <f ca="1">IFERROR(__xludf.DUMMYFUNCTION("""COMPUTED_VALUE"""),"20230301CONOP")</f>
        <v>20230301CONOP</v>
      </c>
      <c r="B419" s="1" t="str">
        <f ca="1">IFERROR(__xludf.DUMMYFUNCTION("""COMPUTED_VALUE"""),"Adult")</f>
        <v>Adult</v>
      </c>
      <c r="C419" s="1" t="str">
        <f ca="1">IFERROR(__xludf.DUMMYFUNCTION("""COMPUTED_VALUE"""),"Male")</f>
        <v>Male</v>
      </c>
      <c r="D419" s="1"/>
      <c r="E419" s="1" t="str">
        <f ca="1">IFERROR(__xludf.DUMMYFUNCTION("""COMPUTED_VALUE"""),"No Relation")</f>
        <v>No Relation</v>
      </c>
      <c r="F419" s="1" t="str">
        <f ca="1">IFERROR(__xludf.DUMMYFUNCTION("""COMPUTED_VALUE"""),"Apprehended/Killed by LE")</f>
        <v>Apprehended/Killed by LE</v>
      </c>
      <c r="G419" s="1" t="str">
        <f ca="1">IFERROR(__xludf.DUMMYFUNCTION("""COMPUTED_VALUE"""),"Yes")</f>
        <v>Yes</v>
      </c>
      <c r="H419" s="1" t="str">
        <f ca="1">IFERROR(__xludf.DUMMYFUNCTION("""COMPUTED_VALUE"""),"Fatal")</f>
        <v>Fatal</v>
      </c>
    </row>
    <row r="420" spans="1:8" ht="12.5">
      <c r="A420" s="1" t="str">
        <f ca="1">IFERROR(__xludf.DUMMYFUNCTION("""COMPUTED_VALUE"""),"20230227CAGAC")</f>
        <v>20230227CAGAC</v>
      </c>
      <c r="B420" s="1" t="str">
        <f ca="1">IFERROR(__xludf.DUMMYFUNCTION("""COMPUTED_VALUE"""),"Adult")</f>
        <v>Adult</v>
      </c>
      <c r="C420" s="1"/>
      <c r="D420" s="1"/>
      <c r="E420" s="1"/>
      <c r="F420" s="1" t="str">
        <f ca="1">IFERROR(__xludf.DUMMYFUNCTION("""COMPUTED_VALUE"""),"Fled/Escaped")</f>
        <v>Fled/Escaped</v>
      </c>
      <c r="G420" s="1" t="str">
        <f ca="1">IFERROR(__xludf.DUMMYFUNCTION("""COMPUTED_VALUE"""),"No")</f>
        <v>No</v>
      </c>
      <c r="H420" s="1" t="str">
        <f ca="1">IFERROR(__xludf.DUMMYFUNCTION("""COMPUTED_VALUE"""),"None")</f>
        <v>None</v>
      </c>
    </row>
    <row r="421" spans="1:8" ht="12.5">
      <c r="A421" s="1" t="str">
        <f ca="1">IFERROR(__xludf.DUMMYFUNCTION("""COMPUTED_VALUE"""),"20230223OHWOC")</f>
        <v>20230223OHWOC</v>
      </c>
      <c r="B421" s="1"/>
      <c r="C421" s="1"/>
      <c r="D421" s="1"/>
      <c r="E421" s="1"/>
      <c r="F421" s="1" t="str">
        <f ca="1">IFERROR(__xludf.DUMMYFUNCTION("""COMPUTED_VALUE"""),"Fled/Escaped")</f>
        <v>Fled/Escaped</v>
      </c>
      <c r="G421" s="1" t="str">
        <f ca="1">IFERROR(__xludf.DUMMYFUNCTION("""COMPUTED_VALUE"""),"No")</f>
        <v>No</v>
      </c>
      <c r="H421" s="1" t="str">
        <f ca="1">IFERROR(__xludf.DUMMYFUNCTION("""COMPUTED_VALUE"""),"None")</f>
        <v>None</v>
      </c>
    </row>
    <row r="422" spans="1:8" ht="12.5">
      <c r="A422" s="1" t="str">
        <f ca="1">IFERROR(__xludf.DUMMYFUNCTION("""COMPUTED_VALUE"""),"20230222COESE")</f>
        <v>20230222COESE</v>
      </c>
      <c r="B422" s="1" t="str">
        <f ca="1">IFERROR(__xludf.DUMMYFUNCTION("""COMPUTED_VALUE"""),"Adult")</f>
        <v>Adult</v>
      </c>
      <c r="C422" s="1"/>
      <c r="D422" s="1"/>
      <c r="E422" s="1" t="str">
        <f ca="1">IFERROR(__xludf.DUMMYFUNCTION("""COMPUTED_VALUE"""),"Police Officer/SRO")</f>
        <v>Police Officer/SRO</v>
      </c>
      <c r="F422" s="1" t="str">
        <f ca="1">IFERROR(__xludf.DUMMYFUNCTION("""COMPUTED_VALUE"""),"Law Enforcement")</f>
        <v>Law Enforcement</v>
      </c>
      <c r="G422" s="1" t="str">
        <f ca="1">IFERROR(__xludf.DUMMYFUNCTION("""COMPUTED_VALUE"""),"No")</f>
        <v>No</v>
      </c>
      <c r="H422" s="1" t="str">
        <f ca="1">IFERROR(__xludf.DUMMYFUNCTION("""COMPUTED_VALUE"""),"None")</f>
        <v>None</v>
      </c>
    </row>
    <row r="423" spans="1:8" ht="12.5">
      <c r="A423" s="1" t="str">
        <f ca="1">IFERROR(__xludf.DUMMYFUNCTION("""COMPUTED_VALUE"""),"20230221LARUR")</f>
        <v>20230221LARUR</v>
      </c>
      <c r="B423" s="1"/>
      <c r="C423" s="1"/>
      <c r="D423" s="1"/>
      <c r="E423" s="1"/>
      <c r="F423" s="1" t="str">
        <f ca="1">IFERROR(__xludf.DUMMYFUNCTION("""COMPUTED_VALUE"""),"Fled/Escaped")</f>
        <v>Fled/Escaped</v>
      </c>
      <c r="G423" s="1" t="str">
        <f ca="1">IFERROR(__xludf.DUMMYFUNCTION("""COMPUTED_VALUE"""),"No")</f>
        <v>No</v>
      </c>
      <c r="H423" s="1" t="str">
        <f ca="1">IFERROR(__xludf.DUMMYFUNCTION("""COMPUTED_VALUE"""),"None")</f>
        <v>None</v>
      </c>
    </row>
    <row r="424" spans="1:8" ht="12.5">
      <c r="A424" s="1" t="str">
        <f ca="1">IFERROR(__xludf.DUMMYFUNCTION("""COMPUTED_VALUE"""),"20230217NCERE")</f>
        <v>20230217NCERE</v>
      </c>
      <c r="B424" s="1">
        <f ca="1">IFERROR(__xludf.DUMMYFUNCTION("""COMPUTED_VALUE"""),9)</f>
        <v>9</v>
      </c>
      <c r="C424" s="1" t="str">
        <f ca="1">IFERROR(__xludf.DUMMYFUNCTION("""COMPUTED_VALUE"""),"Male")</f>
        <v>Male</v>
      </c>
      <c r="D424" s="1"/>
      <c r="E424" s="1" t="str">
        <f ca="1">IFERROR(__xludf.DUMMYFUNCTION("""COMPUTED_VALUE"""),"Student")</f>
        <v>Student</v>
      </c>
      <c r="F424" s="1" t="str">
        <f ca="1">IFERROR(__xludf.DUMMYFUNCTION("""COMPUTED_VALUE"""),"Apprehended/Killed by SRO")</f>
        <v>Apprehended/Killed by SRO</v>
      </c>
      <c r="G424" s="1" t="str">
        <f ca="1">IFERROR(__xludf.DUMMYFUNCTION("""COMPUTED_VALUE"""),"No")</f>
        <v>No</v>
      </c>
      <c r="H424" s="1" t="str">
        <f ca="1">IFERROR(__xludf.DUMMYFUNCTION("""COMPUTED_VALUE"""),"None")</f>
        <v>None</v>
      </c>
    </row>
    <row r="425" spans="1:8" ht="12.5">
      <c r="A425" s="1" t="str">
        <f ca="1">IFERROR(__xludf.DUMMYFUNCTION("""COMPUTED_VALUE"""),"20230217ILCAC")</f>
        <v>20230217ILCAC</v>
      </c>
      <c r="B425" s="1"/>
      <c r="C425" s="1"/>
      <c r="D425" s="1"/>
      <c r="E425" s="1"/>
      <c r="F425" s="1" t="str">
        <f ca="1">IFERROR(__xludf.DUMMYFUNCTION("""COMPUTED_VALUE"""),"Fled/Escaped")</f>
        <v>Fled/Escaped</v>
      </c>
      <c r="G425" s="1" t="str">
        <f ca="1">IFERROR(__xludf.DUMMYFUNCTION("""COMPUTED_VALUE"""),"No")</f>
        <v>No</v>
      </c>
      <c r="H425" s="1" t="str">
        <f ca="1">IFERROR(__xludf.DUMMYFUNCTION("""COMPUTED_VALUE"""),"None")</f>
        <v>None</v>
      </c>
    </row>
    <row r="426" spans="1:8" ht="12.5">
      <c r="A426" s="1" t="str">
        <f ca="1">IFERROR(__xludf.DUMMYFUNCTION("""COMPUTED_VALUE"""),"20230216TXGAG")</f>
        <v>20230216TXGAG</v>
      </c>
      <c r="B426" s="1">
        <f ca="1">IFERROR(__xludf.DUMMYFUNCTION("""COMPUTED_VALUE"""),17)</f>
        <v>17</v>
      </c>
      <c r="C426" s="1" t="str">
        <f ca="1">IFERROR(__xludf.DUMMYFUNCTION("""COMPUTED_VALUE"""),"Male")</f>
        <v>Male</v>
      </c>
      <c r="D426" s="1"/>
      <c r="E426" s="1"/>
      <c r="F426" s="1" t="str">
        <f ca="1">IFERROR(__xludf.DUMMYFUNCTION("""COMPUTED_VALUE"""),"Fled/Apprehended")</f>
        <v>Fled/Apprehended</v>
      </c>
      <c r="G426" s="1" t="str">
        <f ca="1">IFERROR(__xludf.DUMMYFUNCTION("""COMPUTED_VALUE"""),"No")</f>
        <v>No</v>
      </c>
      <c r="H426" s="1" t="str">
        <f ca="1">IFERROR(__xludf.DUMMYFUNCTION("""COMPUTED_VALUE"""),"None")</f>
        <v>None</v>
      </c>
    </row>
    <row r="427" spans="1:8" ht="12.5">
      <c r="A427" s="1" t="str">
        <f ca="1">IFERROR(__xludf.DUMMYFUNCTION("""COMPUTED_VALUE"""),"20230215TXDAH")</f>
        <v>20230215TXDAH</v>
      </c>
      <c r="B427" s="1" t="str">
        <f ca="1">IFERROR(__xludf.DUMMYFUNCTION("""COMPUTED_VALUE"""),"Adult")</f>
        <v>Adult</v>
      </c>
      <c r="C427" s="1"/>
      <c r="D427" s="1"/>
      <c r="E427" s="1" t="str">
        <f ca="1">IFERROR(__xludf.DUMMYFUNCTION("""COMPUTED_VALUE"""),"Police Officer/SRO")</f>
        <v>Police Officer/SRO</v>
      </c>
      <c r="F427" s="1" t="str">
        <f ca="1">IFERROR(__xludf.DUMMYFUNCTION("""COMPUTED_VALUE"""),"Law Enforcement")</f>
        <v>Law Enforcement</v>
      </c>
      <c r="G427" s="1" t="str">
        <f ca="1">IFERROR(__xludf.DUMMYFUNCTION("""COMPUTED_VALUE"""),"No")</f>
        <v>No</v>
      </c>
      <c r="H427" s="1" t="str">
        <f ca="1">IFERROR(__xludf.DUMMYFUNCTION("""COMPUTED_VALUE"""),"None")</f>
        <v>None</v>
      </c>
    </row>
    <row r="428" spans="1:8" ht="12.5">
      <c r="A428" s="1" t="str">
        <f ca="1">IFERROR(__xludf.DUMMYFUNCTION("""COMPUTED_VALUE"""),"20230215OHCOC")</f>
        <v>20230215OHCOC</v>
      </c>
      <c r="B428" s="1">
        <f ca="1">IFERROR(__xludf.DUMMYFUNCTION("""COMPUTED_VALUE"""),18)</f>
        <v>18</v>
      </c>
      <c r="C428" s="1" t="str">
        <f ca="1">IFERROR(__xludf.DUMMYFUNCTION("""COMPUTED_VALUE"""),"Male")</f>
        <v>Male</v>
      </c>
      <c r="D428" s="1"/>
      <c r="E428" s="1" t="str">
        <f ca="1">IFERROR(__xludf.DUMMYFUNCTION("""COMPUTED_VALUE"""),"Student")</f>
        <v>Student</v>
      </c>
      <c r="F428" s="1" t="str">
        <f ca="1">IFERROR(__xludf.DUMMYFUNCTION("""COMPUTED_VALUE"""),"Fled/Apprehended")</f>
        <v>Fled/Apprehended</v>
      </c>
      <c r="G428" s="1" t="str">
        <f ca="1">IFERROR(__xludf.DUMMYFUNCTION("""COMPUTED_VALUE"""),"No")</f>
        <v>No</v>
      </c>
      <c r="H428" s="1" t="str">
        <f ca="1">IFERROR(__xludf.DUMMYFUNCTION("""COMPUTED_VALUE"""),"None")</f>
        <v>None</v>
      </c>
    </row>
    <row r="429" spans="1:8" ht="12.5">
      <c r="A429" s="1" t="str">
        <f ca="1">IFERROR(__xludf.DUMMYFUNCTION("""COMPUTED_VALUE"""),"20230215MDWAB")</f>
        <v>20230215MDWAB</v>
      </c>
      <c r="B429" s="1"/>
      <c r="C429" s="1"/>
      <c r="D429" s="1"/>
      <c r="E429" s="1"/>
      <c r="F429" s="1" t="str">
        <f ca="1">IFERROR(__xludf.DUMMYFUNCTION("""COMPUTED_VALUE"""),"Fled/Escaped")</f>
        <v>Fled/Escaped</v>
      </c>
      <c r="G429" s="1" t="str">
        <f ca="1">IFERROR(__xludf.DUMMYFUNCTION("""COMPUTED_VALUE"""),"No")</f>
        <v>No</v>
      </c>
      <c r="H429" s="1" t="str">
        <f ca="1">IFERROR(__xludf.DUMMYFUNCTION("""COMPUTED_VALUE"""),"None")</f>
        <v>None</v>
      </c>
    </row>
    <row r="430" spans="1:8" ht="12.5">
      <c r="A430" s="1" t="str">
        <f ca="1">IFERROR(__xludf.DUMMYFUNCTION("""COMPUTED_VALUE"""),"20230214GAMID")</f>
        <v>20230214GAMID</v>
      </c>
      <c r="B430" s="1" t="str">
        <f ca="1">IFERROR(__xludf.DUMMYFUNCTION("""COMPUTED_VALUE"""),"Teen")</f>
        <v>Teen</v>
      </c>
      <c r="C430" s="1"/>
      <c r="D430" s="1"/>
      <c r="E430" s="1" t="str">
        <f ca="1">IFERROR(__xludf.DUMMYFUNCTION("""COMPUTED_VALUE"""),"Student")</f>
        <v>Student</v>
      </c>
      <c r="F430" s="1" t="str">
        <f ca="1">IFERROR(__xludf.DUMMYFUNCTION("""COMPUTED_VALUE"""),"Apprehended/Killed by SRO")</f>
        <v>Apprehended/Killed by SRO</v>
      </c>
      <c r="G430" s="1" t="str">
        <f ca="1">IFERROR(__xludf.DUMMYFUNCTION("""COMPUTED_VALUE"""),"No")</f>
        <v>No</v>
      </c>
      <c r="H430" s="1" t="str">
        <f ca="1">IFERROR(__xludf.DUMMYFUNCTION("""COMPUTED_VALUE"""),"None")</f>
        <v>None</v>
      </c>
    </row>
    <row r="431" spans="1:8" ht="12.5">
      <c r="A431" s="1" t="str">
        <f ca="1">IFERROR(__xludf.DUMMYFUNCTION("""COMPUTED_VALUE"""),"20230214PAWEP")</f>
        <v>20230214PAWEP</v>
      </c>
      <c r="B431" s="1">
        <f ca="1">IFERROR(__xludf.DUMMYFUNCTION("""COMPUTED_VALUE"""),14)</f>
        <v>14</v>
      </c>
      <c r="C431" s="1" t="str">
        <f ca="1">IFERROR(__xludf.DUMMYFUNCTION("""COMPUTED_VALUE"""),"Male")</f>
        <v>Male</v>
      </c>
      <c r="D431" s="1"/>
      <c r="E431" s="1" t="str">
        <f ca="1">IFERROR(__xludf.DUMMYFUNCTION("""COMPUTED_VALUE"""),"Student")</f>
        <v>Student</v>
      </c>
      <c r="F431" s="1" t="str">
        <f ca="1">IFERROR(__xludf.DUMMYFUNCTION("""COMPUTED_VALUE"""),"Fled/Apprehended")</f>
        <v>Fled/Apprehended</v>
      </c>
      <c r="G431" s="1" t="str">
        <f ca="1">IFERROR(__xludf.DUMMYFUNCTION("""COMPUTED_VALUE"""),"No")</f>
        <v>No</v>
      </c>
      <c r="H431" s="1" t="str">
        <f ca="1">IFERROR(__xludf.DUMMYFUNCTION("""COMPUTED_VALUE"""),"None")</f>
        <v>None</v>
      </c>
    </row>
    <row r="432" spans="1:8" ht="12.5">
      <c r="A432" s="1" t="str">
        <f ca="1">IFERROR(__xludf.DUMMYFUNCTION("""COMPUTED_VALUE"""),"20230214PAWEP")</f>
        <v>20230214PAWEP</v>
      </c>
      <c r="B432" s="1">
        <f ca="1">IFERROR(__xludf.DUMMYFUNCTION("""COMPUTED_VALUE"""),17)</f>
        <v>17</v>
      </c>
      <c r="C432" s="1" t="str">
        <f ca="1">IFERROR(__xludf.DUMMYFUNCTION("""COMPUTED_VALUE"""),"Male")</f>
        <v>Male</v>
      </c>
      <c r="D432" s="1"/>
      <c r="E432" s="1" t="str">
        <f ca="1">IFERROR(__xludf.DUMMYFUNCTION("""COMPUTED_VALUE"""),"Student")</f>
        <v>Student</v>
      </c>
      <c r="F432" s="1" t="str">
        <f ca="1">IFERROR(__xludf.DUMMYFUNCTION("""COMPUTED_VALUE"""),"Fled/Apprehended")</f>
        <v>Fled/Apprehended</v>
      </c>
      <c r="G432" s="1" t="str">
        <f ca="1">IFERROR(__xludf.DUMMYFUNCTION("""COMPUTED_VALUE"""),"No")</f>
        <v>No</v>
      </c>
      <c r="H432" s="1" t="str">
        <f ca="1">IFERROR(__xludf.DUMMYFUNCTION("""COMPUTED_VALUE"""),"None")</f>
        <v>None</v>
      </c>
    </row>
    <row r="433" spans="1:8" ht="12.5">
      <c r="A433" s="1" t="str">
        <f ca="1">IFERROR(__xludf.DUMMYFUNCTION("""COMPUTED_VALUE"""),"20230213NYPSS")</f>
        <v>20230213NYPSS</v>
      </c>
      <c r="B433" s="1"/>
      <c r="C433" s="1"/>
      <c r="D433" s="1"/>
      <c r="E433" s="1"/>
      <c r="F433" s="1" t="str">
        <f ca="1">IFERROR(__xludf.DUMMYFUNCTION("""COMPUTED_VALUE"""),"Fled/Escaped")</f>
        <v>Fled/Escaped</v>
      </c>
      <c r="G433" s="1" t="str">
        <f ca="1">IFERROR(__xludf.DUMMYFUNCTION("""COMPUTED_VALUE"""),"No")</f>
        <v>No</v>
      </c>
      <c r="H433" s="1" t="str">
        <f ca="1">IFERROR(__xludf.DUMMYFUNCTION("""COMPUTED_VALUE"""),"None")</f>
        <v>None</v>
      </c>
    </row>
    <row r="434" spans="1:8" ht="12.5">
      <c r="A434" s="1" t="str">
        <f ca="1">IFERROR(__xludf.DUMMYFUNCTION("""COMPUTED_VALUE"""),"20230213COEMD")</f>
        <v>20230213COEMD</v>
      </c>
      <c r="B434" s="1">
        <f ca="1">IFERROR(__xludf.DUMMYFUNCTION("""COMPUTED_VALUE"""),18)</f>
        <v>18</v>
      </c>
      <c r="C434" s="1" t="str">
        <f ca="1">IFERROR(__xludf.DUMMYFUNCTION("""COMPUTED_VALUE"""),"Male")</f>
        <v>Male</v>
      </c>
      <c r="D434" s="1"/>
      <c r="E434" s="1" t="str">
        <f ca="1">IFERROR(__xludf.DUMMYFUNCTION("""COMPUTED_VALUE"""),"Student")</f>
        <v>Student</v>
      </c>
      <c r="F434" s="1" t="str">
        <f ca="1">IFERROR(__xludf.DUMMYFUNCTION("""COMPUTED_VALUE"""),"Fled/Apprehended")</f>
        <v>Fled/Apprehended</v>
      </c>
      <c r="G434" s="1" t="str">
        <f ca="1">IFERROR(__xludf.DUMMYFUNCTION("""COMPUTED_VALUE"""),"No")</f>
        <v>No</v>
      </c>
      <c r="H434" s="1" t="str">
        <f ca="1">IFERROR(__xludf.DUMMYFUNCTION("""COMPUTED_VALUE"""),"None")</f>
        <v>None</v>
      </c>
    </row>
    <row r="435" spans="1:8" ht="12.5">
      <c r="A435" s="1" t="str">
        <f ca="1">IFERROR(__xludf.DUMMYFUNCTION("""COMPUTED_VALUE"""),"20230213COEAD")</f>
        <v>20230213COEAD</v>
      </c>
      <c r="B435" s="1">
        <f ca="1">IFERROR(__xludf.DUMMYFUNCTION("""COMPUTED_VALUE"""),16)</f>
        <v>16</v>
      </c>
      <c r="C435" s="1" t="str">
        <f ca="1">IFERROR(__xludf.DUMMYFUNCTION("""COMPUTED_VALUE"""),"Male")</f>
        <v>Male</v>
      </c>
      <c r="D435" s="1"/>
      <c r="E435" s="1" t="str">
        <f ca="1">IFERROR(__xludf.DUMMYFUNCTION("""COMPUTED_VALUE"""),"Student")</f>
        <v>Student</v>
      </c>
      <c r="F435" s="1" t="str">
        <f ca="1">IFERROR(__xludf.DUMMYFUNCTION("""COMPUTED_VALUE"""),"Fled/Apprehended")</f>
        <v>Fled/Apprehended</v>
      </c>
      <c r="G435" s="1" t="str">
        <f ca="1">IFERROR(__xludf.DUMMYFUNCTION("""COMPUTED_VALUE"""),"No")</f>
        <v>No</v>
      </c>
      <c r="H435" s="1" t="str">
        <f ca="1">IFERROR(__xludf.DUMMYFUNCTION("""COMPUTED_VALUE"""),"None")</f>
        <v>None</v>
      </c>
    </row>
    <row r="436" spans="1:8" ht="12.5">
      <c r="A436" s="1" t="str">
        <f ca="1">IFERROR(__xludf.DUMMYFUNCTION("""COMPUTED_VALUE"""),"20230213COEAD")</f>
        <v>20230213COEAD</v>
      </c>
      <c r="B436" s="1">
        <f ca="1">IFERROR(__xludf.DUMMYFUNCTION("""COMPUTED_VALUE"""),17)</f>
        <v>17</v>
      </c>
      <c r="C436" s="1" t="str">
        <f ca="1">IFERROR(__xludf.DUMMYFUNCTION("""COMPUTED_VALUE"""),"Male")</f>
        <v>Male</v>
      </c>
      <c r="D436" s="1"/>
      <c r="E436" s="1" t="str">
        <f ca="1">IFERROR(__xludf.DUMMYFUNCTION("""COMPUTED_VALUE"""),"Student")</f>
        <v>Student</v>
      </c>
      <c r="F436" s="1" t="str">
        <f ca="1">IFERROR(__xludf.DUMMYFUNCTION("""COMPUTED_VALUE"""),"Fled/Apprehended")</f>
        <v>Fled/Apprehended</v>
      </c>
      <c r="G436" s="1" t="str">
        <f ca="1">IFERROR(__xludf.DUMMYFUNCTION("""COMPUTED_VALUE"""),"No")</f>
        <v>No</v>
      </c>
      <c r="H436" s="1" t="str">
        <f ca="1">IFERROR(__xludf.DUMMYFUNCTION("""COMPUTED_VALUE"""),"None")</f>
        <v>None</v>
      </c>
    </row>
    <row r="437" spans="1:8" ht="12.5">
      <c r="A437" s="1" t="str">
        <f ca="1">IFERROR(__xludf.DUMMYFUNCTION("""COMPUTED_VALUE"""),"20230213TXDAD")</f>
        <v>20230213TXDAD</v>
      </c>
      <c r="B437" s="1" t="str">
        <f ca="1">IFERROR(__xludf.DUMMYFUNCTION("""COMPUTED_VALUE"""),"Teen")</f>
        <v>Teen</v>
      </c>
      <c r="C437" s="1"/>
      <c r="D437" s="1"/>
      <c r="E437" s="1" t="str">
        <f ca="1">IFERROR(__xludf.DUMMYFUNCTION("""COMPUTED_VALUE"""),"Student")</f>
        <v>Student</v>
      </c>
      <c r="F437" s="1" t="str">
        <f ca="1">IFERROR(__xludf.DUMMYFUNCTION("""COMPUTED_VALUE"""),"Surrendered")</f>
        <v>Surrendered</v>
      </c>
      <c r="G437" s="1" t="str">
        <f ca="1">IFERROR(__xludf.DUMMYFUNCTION("""COMPUTED_VALUE"""),"No")</f>
        <v>No</v>
      </c>
      <c r="H437" s="1" t="str">
        <f ca="1">IFERROR(__xludf.DUMMYFUNCTION("""COMPUTED_VALUE"""),"None")</f>
        <v>None</v>
      </c>
    </row>
    <row r="438" spans="1:8" ht="12.5">
      <c r="A438" s="1" t="str">
        <f ca="1">IFERROR(__xludf.DUMMYFUNCTION("""COMPUTED_VALUE"""),"20230210CAHEF")</f>
        <v>20230210CAHEF</v>
      </c>
      <c r="B438" s="1" t="str">
        <f ca="1">IFERROR(__xludf.DUMMYFUNCTION("""COMPUTED_VALUE"""),"Child")</f>
        <v>Child</v>
      </c>
      <c r="C438" s="1" t="str">
        <f ca="1">IFERROR(__xludf.DUMMYFUNCTION("""COMPUTED_VALUE"""),"Male")</f>
        <v>Male</v>
      </c>
      <c r="D438" s="1"/>
      <c r="E438" s="1" t="str">
        <f ca="1">IFERROR(__xludf.DUMMYFUNCTION("""COMPUTED_VALUE"""),"Student")</f>
        <v>Student</v>
      </c>
      <c r="F438" s="1" t="str">
        <f ca="1">IFERROR(__xludf.DUMMYFUNCTION("""COMPUTED_VALUE"""),"Fled/Escaped")</f>
        <v>Fled/Escaped</v>
      </c>
      <c r="G438" s="1" t="str">
        <f ca="1">IFERROR(__xludf.DUMMYFUNCTION("""COMPUTED_VALUE"""),"No")</f>
        <v>No</v>
      </c>
      <c r="H438" s="1" t="str">
        <f ca="1">IFERROR(__xludf.DUMMYFUNCTION("""COMPUTED_VALUE"""),"None")</f>
        <v>None</v>
      </c>
    </row>
    <row r="439" spans="1:8" ht="12.5">
      <c r="A439" s="1" t="str">
        <f ca="1">IFERROR(__xludf.DUMMYFUNCTION("""COMPUTED_VALUE"""),"20230208NYWIB")</f>
        <v>20230208NYWIB</v>
      </c>
      <c r="B439" s="1" t="str">
        <f ca="1">IFERROR(__xludf.DUMMYFUNCTION("""COMPUTED_VALUE"""),"Teen")</f>
        <v>Teen</v>
      </c>
      <c r="C439" s="1" t="str">
        <f ca="1">IFERROR(__xludf.DUMMYFUNCTION("""COMPUTED_VALUE"""),"Male")</f>
        <v>Male</v>
      </c>
      <c r="D439" s="1" t="str">
        <f ca="1">IFERROR(__xludf.DUMMYFUNCTION("""COMPUTED_VALUE"""),"Black")</f>
        <v>Black</v>
      </c>
      <c r="E439" s="1" t="str">
        <f ca="1">IFERROR(__xludf.DUMMYFUNCTION("""COMPUTED_VALUE"""),"Student")</f>
        <v>Student</v>
      </c>
      <c r="F439" s="1" t="str">
        <f ca="1">IFERROR(__xludf.DUMMYFUNCTION("""COMPUTED_VALUE"""),"Fled/Escaped")</f>
        <v>Fled/Escaped</v>
      </c>
      <c r="G439" s="1" t="str">
        <f ca="1">IFERROR(__xludf.DUMMYFUNCTION("""COMPUTED_VALUE"""),"No")</f>
        <v>No</v>
      </c>
      <c r="H439" s="1" t="str">
        <f ca="1">IFERROR(__xludf.DUMMYFUNCTION("""COMPUTED_VALUE"""),"None")</f>
        <v>None</v>
      </c>
    </row>
    <row r="440" spans="1:8" ht="12.5">
      <c r="A440" s="1" t="str">
        <f ca="1">IFERROR(__xludf.DUMMYFUNCTION("""COMPUTED_VALUE"""),"20230206ARKIF")</f>
        <v>20230206ARKIF</v>
      </c>
      <c r="B440" s="1">
        <f ca="1">IFERROR(__xludf.DUMMYFUNCTION("""COMPUTED_VALUE"""),14)</f>
        <v>14</v>
      </c>
      <c r="C440" s="1" t="str">
        <f ca="1">IFERROR(__xludf.DUMMYFUNCTION("""COMPUTED_VALUE"""),"Male")</f>
        <v>Male</v>
      </c>
      <c r="D440" s="1"/>
      <c r="E440" s="1" t="str">
        <f ca="1">IFERROR(__xludf.DUMMYFUNCTION("""COMPUTED_VALUE"""),"Student")</f>
        <v>Student</v>
      </c>
      <c r="F440" s="1" t="str">
        <f ca="1">IFERROR(__xludf.DUMMYFUNCTION("""COMPUTED_VALUE"""),"Fled/Apprehended")</f>
        <v>Fled/Apprehended</v>
      </c>
      <c r="G440" s="1" t="str">
        <f ca="1">IFERROR(__xludf.DUMMYFUNCTION("""COMPUTED_VALUE"""),"No")</f>
        <v>No</v>
      </c>
      <c r="H440" s="1" t="str">
        <f ca="1">IFERROR(__xludf.DUMMYFUNCTION("""COMPUTED_VALUE"""),"None")</f>
        <v>None</v>
      </c>
    </row>
    <row r="441" spans="1:8" ht="12.5">
      <c r="A441" s="1" t="str">
        <f ca="1">IFERROR(__xludf.DUMMYFUNCTION("""COMPUTED_VALUE"""),"20230206DEAPM")</f>
        <v>20230206DEAPM</v>
      </c>
      <c r="B441" s="1">
        <f ca="1">IFERROR(__xludf.DUMMYFUNCTION("""COMPUTED_VALUE"""),16)</f>
        <v>16</v>
      </c>
      <c r="C441" s="1" t="str">
        <f ca="1">IFERROR(__xludf.DUMMYFUNCTION("""COMPUTED_VALUE"""),"Male")</f>
        <v>Male</v>
      </c>
      <c r="D441" s="1"/>
      <c r="E441" s="1" t="str">
        <f ca="1">IFERROR(__xludf.DUMMYFUNCTION("""COMPUTED_VALUE"""),"Student")</f>
        <v>Student</v>
      </c>
      <c r="F441" s="1" t="str">
        <f ca="1">IFERROR(__xludf.DUMMYFUNCTION("""COMPUTED_VALUE"""),"Fled/Apprehended")</f>
        <v>Fled/Apprehended</v>
      </c>
      <c r="G441" s="1" t="str">
        <f ca="1">IFERROR(__xludf.DUMMYFUNCTION("""COMPUTED_VALUE"""),"No")</f>
        <v>No</v>
      </c>
      <c r="H441" s="1" t="str">
        <f ca="1">IFERROR(__xludf.DUMMYFUNCTION("""COMPUTED_VALUE"""),"None")</f>
        <v>None</v>
      </c>
    </row>
    <row r="442" spans="1:8" ht="12.5">
      <c r="A442" s="1" t="str">
        <f ca="1">IFERROR(__xludf.DUMMYFUNCTION("""COMPUTED_VALUE"""),"20230206FLMIM")</f>
        <v>20230206FLMIM</v>
      </c>
      <c r="B442" s="1">
        <f ca="1">IFERROR(__xludf.DUMMYFUNCTION("""COMPUTED_VALUE"""),16)</f>
        <v>16</v>
      </c>
      <c r="C442" s="1" t="str">
        <f ca="1">IFERROR(__xludf.DUMMYFUNCTION("""COMPUTED_VALUE"""),"Male")</f>
        <v>Male</v>
      </c>
      <c r="D442" s="1"/>
      <c r="E442" s="1" t="str">
        <f ca="1">IFERROR(__xludf.DUMMYFUNCTION("""COMPUTED_VALUE"""),"Student")</f>
        <v>Student</v>
      </c>
      <c r="F442" s="1" t="str">
        <f ca="1">IFERROR(__xludf.DUMMYFUNCTION("""COMPUTED_VALUE"""),"Fled/Apprehended")</f>
        <v>Fled/Apprehended</v>
      </c>
      <c r="G442" s="1" t="str">
        <f ca="1">IFERROR(__xludf.DUMMYFUNCTION("""COMPUTED_VALUE"""),"No")</f>
        <v>No</v>
      </c>
      <c r="H442" s="1" t="str">
        <f ca="1">IFERROR(__xludf.DUMMYFUNCTION("""COMPUTED_VALUE"""),"None")</f>
        <v>None</v>
      </c>
    </row>
    <row r="443" spans="1:8" ht="12.5">
      <c r="A443" s="1" t="str">
        <f ca="1">IFERROR(__xludf.DUMMYFUNCTION("""COMPUTED_VALUE"""),"20230202UTPAS")</f>
        <v>20230202UTPAS</v>
      </c>
      <c r="B443" s="1">
        <f ca="1">IFERROR(__xludf.DUMMYFUNCTION("""COMPUTED_VALUE"""),18)</f>
        <v>18</v>
      </c>
      <c r="C443" s="1" t="str">
        <f ca="1">IFERROR(__xludf.DUMMYFUNCTION("""COMPUTED_VALUE"""),"Male")</f>
        <v>Male</v>
      </c>
      <c r="D443" s="1"/>
      <c r="E443" s="1" t="str">
        <f ca="1">IFERROR(__xludf.DUMMYFUNCTION("""COMPUTED_VALUE"""),"Nonstudent Using Athletic Facilities/Attending Game")</f>
        <v>Nonstudent Using Athletic Facilities/Attending Game</v>
      </c>
      <c r="F443" s="1" t="str">
        <f ca="1">IFERROR(__xludf.DUMMYFUNCTION("""COMPUTED_VALUE"""),"Fled/Apprehended")</f>
        <v>Fled/Apprehended</v>
      </c>
      <c r="G443" s="1" t="str">
        <f ca="1">IFERROR(__xludf.DUMMYFUNCTION("""COMPUTED_VALUE"""),"No")</f>
        <v>No</v>
      </c>
      <c r="H443" s="1" t="str">
        <f ca="1">IFERROR(__xludf.DUMMYFUNCTION("""COMPUTED_VALUE"""),"None")</f>
        <v>None</v>
      </c>
    </row>
    <row r="444" spans="1:8" ht="12.5">
      <c r="A444" s="1" t="str">
        <f ca="1">IFERROR(__xludf.DUMMYFUNCTION("""COMPUTED_VALUE"""),"20230202OHRIP")</f>
        <v>20230202OHRIP</v>
      </c>
      <c r="B444" s="1" t="str">
        <f ca="1">IFERROR(__xludf.DUMMYFUNCTION("""COMPUTED_VALUE"""),"Adult")</f>
        <v>Adult</v>
      </c>
      <c r="C444" s="1" t="str">
        <f ca="1">IFERROR(__xludf.DUMMYFUNCTION("""COMPUTED_VALUE"""),"Male")</f>
        <v>Male</v>
      </c>
      <c r="D444" s="1"/>
      <c r="E444" s="1" t="str">
        <f ca="1">IFERROR(__xludf.DUMMYFUNCTION("""COMPUTED_VALUE"""),"Parent")</f>
        <v>Parent</v>
      </c>
      <c r="F444" s="1" t="str">
        <f ca="1">IFERROR(__xludf.DUMMYFUNCTION("""COMPUTED_VALUE"""),"Suicide")</f>
        <v>Suicide</v>
      </c>
      <c r="G444" s="1" t="str">
        <f ca="1">IFERROR(__xludf.DUMMYFUNCTION("""COMPUTED_VALUE"""),"Yes")</f>
        <v>Yes</v>
      </c>
      <c r="H444" s="1" t="str">
        <f ca="1">IFERROR(__xludf.DUMMYFUNCTION("""COMPUTED_VALUE"""),"Fatal")</f>
        <v>Fatal</v>
      </c>
    </row>
    <row r="445" spans="1:8" ht="12.5">
      <c r="A445" s="1" t="str">
        <f ca="1">IFERROR(__xludf.DUMMYFUNCTION("""COMPUTED_VALUE"""),"20230131ILZIZ")</f>
        <v>20230131ILZIZ</v>
      </c>
      <c r="B445" s="1">
        <f ca="1">IFERROR(__xludf.DUMMYFUNCTION("""COMPUTED_VALUE"""),17)</f>
        <v>17</v>
      </c>
      <c r="C445" s="1" t="str">
        <f ca="1">IFERROR(__xludf.DUMMYFUNCTION("""COMPUTED_VALUE"""),"Male")</f>
        <v>Male</v>
      </c>
      <c r="D445" s="1"/>
      <c r="E445" s="1" t="str">
        <f ca="1">IFERROR(__xludf.DUMMYFUNCTION("""COMPUTED_VALUE"""),"Former Student")</f>
        <v>Former Student</v>
      </c>
      <c r="F445" s="1" t="str">
        <f ca="1">IFERROR(__xludf.DUMMYFUNCTION("""COMPUTED_VALUE"""),"Fled/Apprehended")</f>
        <v>Fled/Apprehended</v>
      </c>
      <c r="G445" s="1" t="str">
        <f ca="1">IFERROR(__xludf.DUMMYFUNCTION("""COMPUTED_VALUE"""),"No")</f>
        <v>No</v>
      </c>
      <c r="H445" s="1" t="str">
        <f ca="1">IFERROR(__xludf.DUMMYFUNCTION("""COMPUTED_VALUE"""),"None")</f>
        <v>None</v>
      </c>
    </row>
    <row r="446" spans="1:8" ht="12.5">
      <c r="A446" s="1" t="str">
        <f ca="1">IFERROR(__xludf.DUMMYFUNCTION("""COMPUTED_VALUE"""),"20230131OKGEG")</f>
        <v>20230131OKGEG</v>
      </c>
      <c r="B446" s="1" t="str">
        <f ca="1">IFERROR(__xludf.DUMMYFUNCTION("""COMPUTED_VALUE"""),"Adult")</f>
        <v>Adult</v>
      </c>
      <c r="C446" s="1" t="str">
        <f ca="1">IFERROR(__xludf.DUMMYFUNCTION("""COMPUTED_VALUE"""),"Male")</f>
        <v>Male</v>
      </c>
      <c r="D446" s="1"/>
      <c r="E446" s="1" t="str">
        <f ca="1">IFERROR(__xludf.DUMMYFUNCTION("""COMPUTED_VALUE"""),"Parent")</f>
        <v>Parent</v>
      </c>
      <c r="F446" s="1" t="str">
        <f ca="1">IFERROR(__xludf.DUMMYFUNCTION("""COMPUTED_VALUE"""),"Surrendered")</f>
        <v>Surrendered</v>
      </c>
      <c r="G446" s="1" t="str">
        <f ca="1">IFERROR(__xludf.DUMMYFUNCTION("""COMPUTED_VALUE"""),"No")</f>
        <v>No</v>
      </c>
      <c r="H446" s="1" t="str">
        <f ca="1">IFERROR(__xludf.DUMMYFUNCTION("""COMPUTED_VALUE"""),"None")</f>
        <v>None</v>
      </c>
    </row>
    <row r="447" spans="1:8" ht="12.5">
      <c r="A447" s="1" t="str">
        <f ca="1">IFERROR(__xludf.DUMMYFUNCTION("""COMPUTED_VALUE"""),"20230130ALHOM")</f>
        <v>20230130ALHOM</v>
      </c>
      <c r="B447" s="1"/>
      <c r="C447" s="1"/>
      <c r="D447" s="1"/>
      <c r="E447" s="1"/>
      <c r="F447" s="1" t="str">
        <f ca="1">IFERROR(__xludf.DUMMYFUNCTION("""COMPUTED_VALUE"""),"Fled/Escaped")</f>
        <v>Fled/Escaped</v>
      </c>
      <c r="G447" s="1" t="str">
        <f ca="1">IFERROR(__xludf.DUMMYFUNCTION("""COMPUTED_VALUE"""),"No")</f>
        <v>No</v>
      </c>
      <c r="H447" s="1" t="str">
        <f ca="1">IFERROR(__xludf.DUMMYFUNCTION("""COMPUTED_VALUE"""),"None")</f>
        <v>None</v>
      </c>
    </row>
    <row r="448" spans="1:8" ht="12.5">
      <c r="A448" s="1" t="str">
        <f ca="1">IFERROR(__xludf.DUMMYFUNCTION("""COMPUTED_VALUE"""),"20230130DCCOW")</f>
        <v>20230130DCCOW</v>
      </c>
      <c r="B448" s="1"/>
      <c r="C448" s="1"/>
      <c r="D448" s="1"/>
      <c r="E448" s="1"/>
      <c r="F448" s="1" t="str">
        <f ca="1">IFERROR(__xludf.DUMMYFUNCTION("""COMPUTED_VALUE"""),"Fled/Escaped")</f>
        <v>Fled/Escaped</v>
      </c>
      <c r="G448" s="1" t="str">
        <f ca="1">IFERROR(__xludf.DUMMYFUNCTION("""COMPUTED_VALUE"""),"No")</f>
        <v>No</v>
      </c>
      <c r="H448" s="1" t="str">
        <f ca="1">IFERROR(__xludf.DUMMYFUNCTION("""COMPUTED_VALUE"""),"None")</f>
        <v>None</v>
      </c>
    </row>
    <row r="449" spans="1:8" ht="12.5">
      <c r="A449" s="1" t="str">
        <f ca="1">IFERROR(__xludf.DUMMYFUNCTION("""COMPUTED_VALUE"""),"20230130AZGIY")</f>
        <v>20230130AZGIY</v>
      </c>
      <c r="B449" s="1">
        <f ca="1">IFERROR(__xludf.DUMMYFUNCTION("""COMPUTED_VALUE"""),16)</f>
        <v>16</v>
      </c>
      <c r="C449" s="1" t="str">
        <f ca="1">IFERROR(__xludf.DUMMYFUNCTION("""COMPUTED_VALUE"""),"Male")</f>
        <v>Male</v>
      </c>
      <c r="D449" s="1"/>
      <c r="E449" s="1" t="str">
        <f ca="1">IFERROR(__xludf.DUMMYFUNCTION("""COMPUTED_VALUE"""),"Student")</f>
        <v>Student</v>
      </c>
      <c r="F449" s="1" t="str">
        <f ca="1">IFERROR(__xludf.DUMMYFUNCTION("""COMPUTED_VALUE"""),"Fled/Apprehended")</f>
        <v>Fled/Apprehended</v>
      </c>
      <c r="G449" s="1" t="str">
        <f ca="1">IFERROR(__xludf.DUMMYFUNCTION("""COMPUTED_VALUE"""),"No")</f>
        <v>No</v>
      </c>
      <c r="H449" s="1" t="str">
        <f ca="1">IFERROR(__xludf.DUMMYFUNCTION("""COMPUTED_VALUE"""),"None")</f>
        <v>None</v>
      </c>
    </row>
    <row r="450" spans="1:8" ht="12.5">
      <c r="A450" s="1" t="str">
        <f ca="1">IFERROR(__xludf.DUMMYFUNCTION("""COMPUTED_VALUE"""),"20230128MOGLS")</f>
        <v>20230128MOGLS</v>
      </c>
      <c r="B450" s="1">
        <f ca="1">IFERROR(__xludf.DUMMYFUNCTION("""COMPUTED_VALUE"""),20)</f>
        <v>20</v>
      </c>
      <c r="C450" s="1" t="str">
        <f ca="1">IFERROR(__xludf.DUMMYFUNCTION("""COMPUTED_VALUE"""),"Male")</f>
        <v>Male</v>
      </c>
      <c r="D450" s="1"/>
      <c r="E450" s="1" t="str">
        <f ca="1">IFERROR(__xludf.DUMMYFUNCTION("""COMPUTED_VALUE"""),"No Relation")</f>
        <v>No Relation</v>
      </c>
      <c r="F450" s="1" t="str">
        <f ca="1">IFERROR(__xludf.DUMMYFUNCTION("""COMPUTED_VALUE"""),"Fled/Apprehended")</f>
        <v>Fled/Apprehended</v>
      </c>
      <c r="G450" s="1" t="str">
        <f ca="1">IFERROR(__xludf.DUMMYFUNCTION("""COMPUTED_VALUE"""),"No")</f>
        <v>No</v>
      </c>
      <c r="H450" s="1" t="str">
        <f ca="1">IFERROR(__xludf.DUMMYFUNCTION("""COMPUTED_VALUE"""),"None")</f>
        <v>None</v>
      </c>
    </row>
    <row r="451" spans="1:8" ht="12.5">
      <c r="A451" s="1" t="str">
        <f ca="1">IFERROR(__xludf.DUMMYFUNCTION("""COMPUTED_VALUE"""),"20230127NJHOW")</f>
        <v>20230127NJHOW</v>
      </c>
      <c r="B451" s="1">
        <f ca="1">IFERROR(__xludf.DUMMYFUNCTION("""COMPUTED_VALUE"""),15)</f>
        <v>15</v>
      </c>
      <c r="C451" s="1" t="str">
        <f ca="1">IFERROR(__xludf.DUMMYFUNCTION("""COMPUTED_VALUE"""),"Male")</f>
        <v>Male</v>
      </c>
      <c r="D451" s="1"/>
      <c r="E451" s="1" t="str">
        <f ca="1">IFERROR(__xludf.DUMMYFUNCTION("""COMPUTED_VALUE"""),"Nonstudent")</f>
        <v>Nonstudent</v>
      </c>
      <c r="F451" s="1" t="str">
        <f ca="1">IFERROR(__xludf.DUMMYFUNCTION("""COMPUTED_VALUE"""),"Apprehended/Killed by LE")</f>
        <v>Apprehended/Killed by LE</v>
      </c>
      <c r="G451" s="1" t="str">
        <f ca="1">IFERROR(__xludf.DUMMYFUNCTION("""COMPUTED_VALUE"""),"No")</f>
        <v>No</v>
      </c>
      <c r="H451" s="1" t="str">
        <f ca="1">IFERROR(__xludf.DUMMYFUNCTION("""COMPUTED_VALUE"""),"None")</f>
        <v>None</v>
      </c>
    </row>
    <row r="452" spans="1:8" ht="12.5">
      <c r="A452" s="1" t="str">
        <f ca="1">IFERROR(__xludf.DUMMYFUNCTION("""COMPUTED_VALUE"""),"20230126UTTAT")</f>
        <v>20230126UTTAT</v>
      </c>
      <c r="B452" s="1" t="str">
        <f ca="1">IFERROR(__xludf.DUMMYFUNCTION("""COMPUTED_VALUE"""),"Teen")</f>
        <v>Teen</v>
      </c>
      <c r="C452" s="1" t="str">
        <f ca="1">IFERROR(__xludf.DUMMYFUNCTION("""COMPUTED_VALUE"""),"Male")</f>
        <v>Male</v>
      </c>
      <c r="D452" s="1"/>
      <c r="E452" s="1" t="str">
        <f ca="1">IFERROR(__xludf.DUMMYFUNCTION("""COMPUTED_VALUE"""),"Student")</f>
        <v>Student</v>
      </c>
      <c r="F452" s="1" t="str">
        <f ca="1">IFERROR(__xludf.DUMMYFUNCTION("""COMPUTED_VALUE"""),"Fled/Escaped")</f>
        <v>Fled/Escaped</v>
      </c>
      <c r="G452" s="1" t="str">
        <f ca="1">IFERROR(__xludf.DUMMYFUNCTION("""COMPUTED_VALUE"""),"No")</f>
        <v>No</v>
      </c>
      <c r="H452" s="1" t="str">
        <f ca="1">IFERROR(__xludf.DUMMYFUNCTION("""COMPUTED_VALUE"""),"None")</f>
        <v>None</v>
      </c>
    </row>
    <row r="453" spans="1:8" ht="12.5">
      <c r="A453" s="1" t="str">
        <f ca="1">IFERROR(__xludf.DUMMYFUNCTION("""COMPUTED_VALUE"""),"20230125OHTOT")</f>
        <v>20230125OHTOT</v>
      </c>
      <c r="B453" s="1"/>
      <c r="C453" s="1"/>
      <c r="D453" s="1"/>
      <c r="E453" s="1" t="str">
        <f ca="1">IFERROR(__xludf.DUMMYFUNCTION("""COMPUTED_VALUE"""),"No Relation")</f>
        <v>No Relation</v>
      </c>
      <c r="F453" s="1" t="str">
        <f ca="1">IFERROR(__xludf.DUMMYFUNCTION("""COMPUTED_VALUE"""),"Fled/Escaped")</f>
        <v>Fled/Escaped</v>
      </c>
      <c r="G453" s="1" t="str">
        <f ca="1">IFERROR(__xludf.DUMMYFUNCTION("""COMPUTED_VALUE"""),"No")</f>
        <v>No</v>
      </c>
      <c r="H453" s="1" t="str">
        <f ca="1">IFERROR(__xludf.DUMMYFUNCTION("""COMPUTED_VALUE"""),"None")</f>
        <v>None</v>
      </c>
    </row>
    <row r="454" spans="1:8" ht="12.5">
      <c r="A454" s="1" t="str">
        <f ca="1">IFERROR(__xludf.DUMMYFUNCTION("""COMPUTED_VALUE"""),"20230124MOTHK")</f>
        <v>20230124MOTHK</v>
      </c>
      <c r="B454" s="1"/>
      <c r="C454" s="1"/>
      <c r="D454" s="1"/>
      <c r="E454" s="1"/>
      <c r="F454" s="1" t="str">
        <f ca="1">IFERROR(__xludf.DUMMYFUNCTION("""COMPUTED_VALUE"""),"Fled/Escaped")</f>
        <v>Fled/Escaped</v>
      </c>
      <c r="G454" s="1" t="str">
        <f ca="1">IFERROR(__xludf.DUMMYFUNCTION("""COMPUTED_VALUE"""),"No")</f>
        <v>No</v>
      </c>
      <c r="H454" s="1" t="str">
        <f ca="1">IFERROR(__xludf.DUMMYFUNCTION("""COMPUTED_VALUE"""),"None")</f>
        <v>None</v>
      </c>
    </row>
    <row r="455" spans="1:8" ht="12.5">
      <c r="A455" s="1" t="str">
        <f ca="1">IFERROR(__xludf.DUMMYFUNCTION("""COMPUTED_VALUE"""),"20230123TXABA")</f>
        <v>20230123TXABA</v>
      </c>
      <c r="B455" s="1" t="str">
        <f ca="1">IFERROR(__xludf.DUMMYFUNCTION("""COMPUTED_VALUE"""),"Teen")</f>
        <v>Teen</v>
      </c>
      <c r="C455" s="1"/>
      <c r="D455" s="1"/>
      <c r="E455" s="1" t="str">
        <f ca="1">IFERROR(__xludf.DUMMYFUNCTION("""COMPUTED_VALUE"""),"Student")</f>
        <v>Student</v>
      </c>
      <c r="F455" s="1" t="str">
        <f ca="1">IFERROR(__xludf.DUMMYFUNCTION("""COMPUTED_VALUE"""),"Fled/Apprehended")</f>
        <v>Fled/Apprehended</v>
      </c>
      <c r="G455" s="1" t="str">
        <f ca="1">IFERROR(__xludf.DUMMYFUNCTION("""COMPUTED_VALUE"""),"No")</f>
        <v>No</v>
      </c>
      <c r="H455" s="1" t="str">
        <f ca="1">IFERROR(__xludf.DUMMYFUNCTION("""COMPUTED_VALUE"""),"None")</f>
        <v>None</v>
      </c>
    </row>
    <row r="456" spans="1:8" ht="12.5">
      <c r="A456" s="1" t="str">
        <f ca="1">IFERROR(__xludf.DUMMYFUNCTION("""COMPUTED_VALUE"""),"20230123IASTD")</f>
        <v>20230123IASTD</v>
      </c>
      <c r="B456" s="1">
        <f ca="1">IFERROR(__xludf.DUMMYFUNCTION("""COMPUTED_VALUE"""),18)</f>
        <v>18</v>
      </c>
      <c r="C456" s="1" t="str">
        <f ca="1">IFERROR(__xludf.DUMMYFUNCTION("""COMPUTED_VALUE"""),"Male")</f>
        <v>Male</v>
      </c>
      <c r="D456" s="1" t="str">
        <f ca="1">IFERROR(__xludf.DUMMYFUNCTION("""COMPUTED_VALUE"""),"Black")</f>
        <v>Black</v>
      </c>
      <c r="E456" s="1" t="str">
        <f ca="1">IFERROR(__xludf.DUMMYFUNCTION("""COMPUTED_VALUE"""),"Student")</f>
        <v>Student</v>
      </c>
      <c r="F456" s="1" t="str">
        <f ca="1">IFERROR(__xludf.DUMMYFUNCTION("""COMPUTED_VALUE"""),"Fled/Apprehended")</f>
        <v>Fled/Apprehended</v>
      </c>
      <c r="G456" s="1" t="str">
        <f ca="1">IFERROR(__xludf.DUMMYFUNCTION("""COMPUTED_VALUE"""),"No")</f>
        <v>No</v>
      </c>
      <c r="H456" s="1" t="str">
        <f ca="1">IFERROR(__xludf.DUMMYFUNCTION("""COMPUTED_VALUE"""),"None")</f>
        <v>None</v>
      </c>
    </row>
    <row r="457" spans="1:8" ht="12.5">
      <c r="A457" s="1" t="str">
        <f ca="1">IFERROR(__xludf.DUMMYFUNCTION("""COMPUTED_VALUE"""),"20230122WAMOT")</f>
        <v>20230122WAMOT</v>
      </c>
      <c r="B457" s="1" t="str">
        <f ca="1">IFERROR(__xludf.DUMMYFUNCTION("""COMPUTED_VALUE"""),"Adult")</f>
        <v>Adult</v>
      </c>
      <c r="C457" s="1"/>
      <c r="D457" s="1"/>
      <c r="E457" s="1" t="str">
        <f ca="1">IFERROR(__xludf.DUMMYFUNCTION("""COMPUTED_VALUE"""),"No Relation")</f>
        <v>No Relation</v>
      </c>
      <c r="F457" s="1" t="str">
        <f ca="1">IFERROR(__xludf.DUMMYFUNCTION("""COMPUTED_VALUE"""),"Fled/Escaped")</f>
        <v>Fled/Escaped</v>
      </c>
      <c r="G457" s="1" t="str">
        <f ca="1">IFERROR(__xludf.DUMMYFUNCTION("""COMPUTED_VALUE"""),"No")</f>
        <v>No</v>
      </c>
      <c r="H457" s="1" t="str">
        <f ca="1">IFERROR(__xludf.DUMMYFUNCTION("""COMPUTED_VALUE"""),"None")</f>
        <v>None</v>
      </c>
    </row>
    <row r="458" spans="1:8" ht="12.5">
      <c r="A458" s="1" t="str">
        <f ca="1">IFERROR(__xludf.DUMMYFUNCTION("""COMPUTED_VALUE"""),"20230121FLGLB")</f>
        <v>20230121FLGLB</v>
      </c>
      <c r="B458" s="1">
        <f ca="1">IFERROR(__xludf.DUMMYFUNCTION("""COMPUTED_VALUE"""),23)</f>
        <v>23</v>
      </c>
      <c r="C458" s="1" t="str">
        <f ca="1">IFERROR(__xludf.DUMMYFUNCTION("""COMPUTED_VALUE"""),"Male")</f>
        <v>Male</v>
      </c>
      <c r="D458" s="1" t="str">
        <f ca="1">IFERROR(__xludf.DUMMYFUNCTION("""COMPUTED_VALUE"""),"Black")</f>
        <v>Black</v>
      </c>
      <c r="E458" s="1" t="str">
        <f ca="1">IFERROR(__xludf.DUMMYFUNCTION("""COMPUTED_VALUE"""),"No Relation")</f>
        <v>No Relation</v>
      </c>
      <c r="F458" s="1" t="str">
        <f ca="1">IFERROR(__xludf.DUMMYFUNCTION("""COMPUTED_VALUE"""),"Apprehended/Killed by LE")</f>
        <v>Apprehended/Killed by LE</v>
      </c>
      <c r="G458" s="1" t="str">
        <f ca="1">IFERROR(__xludf.DUMMYFUNCTION("""COMPUTED_VALUE"""),"No")</f>
        <v>No</v>
      </c>
      <c r="H458" s="1" t="str">
        <f ca="1">IFERROR(__xludf.DUMMYFUNCTION("""COMPUTED_VALUE"""),"None")</f>
        <v>None</v>
      </c>
    </row>
    <row r="459" spans="1:8" ht="12.5">
      <c r="A459" s="1" t="str">
        <f ca="1">IFERROR(__xludf.DUMMYFUNCTION("""COMPUTED_VALUE"""),"20230120MNWAS")</f>
        <v>20230120MNWAS</v>
      </c>
      <c r="B459" s="1">
        <f ca="1">IFERROR(__xludf.DUMMYFUNCTION("""COMPUTED_VALUE"""),19)</f>
        <v>19</v>
      </c>
      <c r="C459" s="1" t="str">
        <f ca="1">IFERROR(__xludf.DUMMYFUNCTION("""COMPUTED_VALUE"""),"Male")</f>
        <v>Male</v>
      </c>
      <c r="D459" s="1" t="str">
        <f ca="1">IFERROR(__xludf.DUMMYFUNCTION("""COMPUTED_VALUE"""),"Asian")</f>
        <v>Asian</v>
      </c>
      <c r="E459" s="1" t="str">
        <f ca="1">IFERROR(__xludf.DUMMYFUNCTION("""COMPUTED_VALUE"""),"Student")</f>
        <v>Student</v>
      </c>
      <c r="F459" s="1" t="str">
        <f ca="1">IFERROR(__xludf.DUMMYFUNCTION("""COMPUTED_VALUE"""),"Fled/Apprehended")</f>
        <v>Fled/Apprehended</v>
      </c>
      <c r="G459" s="1" t="str">
        <f ca="1">IFERROR(__xludf.DUMMYFUNCTION("""COMPUTED_VALUE"""),"No")</f>
        <v>No</v>
      </c>
      <c r="H459" s="1" t="str">
        <f ca="1">IFERROR(__xludf.DUMMYFUNCTION("""COMPUTED_VALUE"""),"None")</f>
        <v>None</v>
      </c>
    </row>
    <row r="460" spans="1:8" ht="12.5">
      <c r="A460" s="1" t="str">
        <f ca="1">IFERROR(__xludf.DUMMYFUNCTION("""COMPUTED_VALUE"""),"20230119NYEAB")</f>
        <v>20230119NYEAB</v>
      </c>
      <c r="B460" s="1">
        <f ca="1">IFERROR(__xludf.DUMMYFUNCTION("""COMPUTED_VALUE"""),17)</f>
        <v>17</v>
      </c>
      <c r="C460" s="1" t="str">
        <f ca="1">IFERROR(__xludf.DUMMYFUNCTION("""COMPUTED_VALUE"""),"Male")</f>
        <v>Male</v>
      </c>
      <c r="D460" s="1"/>
      <c r="E460" s="1" t="str">
        <f ca="1">IFERROR(__xludf.DUMMYFUNCTION("""COMPUTED_VALUE"""),"Student")</f>
        <v>Student</v>
      </c>
      <c r="F460" s="1" t="str">
        <f ca="1">IFERROR(__xludf.DUMMYFUNCTION("""COMPUTED_VALUE"""),"Fled/Apprehended")</f>
        <v>Fled/Apprehended</v>
      </c>
      <c r="G460" s="1" t="str">
        <f ca="1">IFERROR(__xludf.DUMMYFUNCTION("""COMPUTED_VALUE"""),"No")</f>
        <v>No</v>
      </c>
      <c r="H460" s="1" t="str">
        <f ca="1">IFERROR(__xludf.DUMMYFUNCTION("""COMPUTED_VALUE"""),"None")</f>
        <v>None</v>
      </c>
    </row>
    <row r="461" spans="1:8" ht="12.5">
      <c r="A461" s="1" t="str">
        <f ca="1">IFERROR(__xludf.DUMMYFUNCTION("""COMPUTED_VALUE"""),"20230118NYCAQ")</f>
        <v>20230118NYCAQ</v>
      </c>
      <c r="B461" s="1">
        <f ca="1">IFERROR(__xludf.DUMMYFUNCTION("""COMPUTED_VALUE"""),13)</f>
        <v>13</v>
      </c>
      <c r="C461" s="1" t="str">
        <f ca="1">IFERROR(__xludf.DUMMYFUNCTION("""COMPUTED_VALUE"""),"Male")</f>
        <v>Male</v>
      </c>
      <c r="D461" s="1"/>
      <c r="E461" s="1" t="str">
        <f ca="1">IFERROR(__xludf.DUMMYFUNCTION("""COMPUTED_VALUE"""),"Student")</f>
        <v>Student</v>
      </c>
      <c r="F461" s="1" t="str">
        <f ca="1">IFERROR(__xludf.DUMMYFUNCTION("""COMPUTED_VALUE"""),"Fled/Apprehended")</f>
        <v>Fled/Apprehended</v>
      </c>
      <c r="G461" s="1" t="str">
        <f ca="1">IFERROR(__xludf.DUMMYFUNCTION("""COMPUTED_VALUE"""),"No")</f>
        <v>No</v>
      </c>
      <c r="H461" s="1" t="str">
        <f ca="1">IFERROR(__xludf.DUMMYFUNCTION("""COMPUTED_VALUE"""),"None")</f>
        <v>None</v>
      </c>
    </row>
    <row r="462" spans="1:8" ht="12.5">
      <c r="A462" s="1" t="str">
        <f ca="1">IFERROR(__xludf.DUMMYFUNCTION("""COMPUTED_VALUE"""),"20230118OKDED")</f>
        <v>20230118OKDED</v>
      </c>
      <c r="B462" s="1">
        <f ca="1">IFERROR(__xludf.DUMMYFUNCTION("""COMPUTED_VALUE"""),18)</f>
        <v>18</v>
      </c>
      <c r="C462" s="1" t="str">
        <f ca="1">IFERROR(__xludf.DUMMYFUNCTION("""COMPUTED_VALUE"""),"Male")</f>
        <v>Male</v>
      </c>
      <c r="D462" s="1"/>
      <c r="E462" s="1" t="str">
        <f ca="1">IFERROR(__xludf.DUMMYFUNCTION("""COMPUTED_VALUE"""),"Nonstudent Using Athletic Facilities/Attending Game")</f>
        <v>Nonstudent Using Athletic Facilities/Attending Game</v>
      </c>
      <c r="F462" s="1" t="str">
        <f ca="1">IFERROR(__xludf.DUMMYFUNCTION("""COMPUTED_VALUE"""),"Fled/Apprehended")</f>
        <v>Fled/Apprehended</v>
      </c>
      <c r="G462" s="1" t="str">
        <f ca="1">IFERROR(__xludf.DUMMYFUNCTION("""COMPUTED_VALUE"""),"No")</f>
        <v>No</v>
      </c>
      <c r="H462" s="1" t="str">
        <f ca="1">IFERROR(__xludf.DUMMYFUNCTION("""COMPUTED_VALUE"""),"None")</f>
        <v>None</v>
      </c>
    </row>
    <row r="463" spans="1:8" ht="12.5">
      <c r="A463" s="1" t="str">
        <f ca="1">IFERROR(__xludf.DUMMYFUNCTION("""COMPUTED_VALUE"""),"20230117FLMAB")</f>
        <v>20230117FLMAB</v>
      </c>
      <c r="B463" s="1">
        <f ca="1">IFERROR(__xludf.DUMMYFUNCTION("""COMPUTED_VALUE"""),17)</f>
        <v>17</v>
      </c>
      <c r="C463" s="1" t="str">
        <f ca="1">IFERROR(__xludf.DUMMYFUNCTION("""COMPUTED_VALUE"""),"Male")</f>
        <v>Male</v>
      </c>
      <c r="D463" s="1"/>
      <c r="E463" s="1" t="str">
        <f ca="1">IFERROR(__xludf.DUMMYFUNCTION("""COMPUTED_VALUE"""),"Student")</f>
        <v>Student</v>
      </c>
      <c r="F463" s="1" t="str">
        <f ca="1">IFERROR(__xludf.DUMMYFUNCTION("""COMPUTED_VALUE"""),"Fled/Apprehended")</f>
        <v>Fled/Apprehended</v>
      </c>
      <c r="G463" s="1" t="str">
        <f ca="1">IFERROR(__xludf.DUMMYFUNCTION("""COMPUTED_VALUE"""),"No")</f>
        <v>No</v>
      </c>
      <c r="H463" s="1" t="str">
        <f ca="1">IFERROR(__xludf.DUMMYFUNCTION("""COMPUTED_VALUE"""),"None")</f>
        <v>None</v>
      </c>
    </row>
    <row r="464" spans="1:8" ht="12.5">
      <c r="A464" s="1" t="str">
        <f ca="1">IFERROR(__xludf.DUMMYFUNCTION("""COMPUTED_VALUE"""),"20230117FLMAB")</f>
        <v>20230117FLMAB</v>
      </c>
      <c r="B464" s="1">
        <f ca="1">IFERROR(__xludf.DUMMYFUNCTION("""COMPUTED_VALUE"""),11)</f>
        <v>11</v>
      </c>
      <c r="C464" s="1" t="str">
        <f ca="1">IFERROR(__xludf.DUMMYFUNCTION("""COMPUTED_VALUE"""),"Male")</f>
        <v>Male</v>
      </c>
      <c r="D464" s="1"/>
      <c r="E464" s="1" t="str">
        <f ca="1">IFERROR(__xludf.DUMMYFUNCTION("""COMPUTED_VALUE"""),"Student")</f>
        <v>Student</v>
      </c>
      <c r="F464" s="1" t="str">
        <f ca="1">IFERROR(__xludf.DUMMYFUNCTION("""COMPUTED_VALUE"""),"Fled/Apprehended")</f>
        <v>Fled/Apprehended</v>
      </c>
      <c r="G464" s="1" t="str">
        <f ca="1">IFERROR(__xludf.DUMMYFUNCTION("""COMPUTED_VALUE"""),"No")</f>
        <v>No</v>
      </c>
      <c r="H464" s="1" t="str">
        <f ca="1">IFERROR(__xludf.DUMMYFUNCTION("""COMPUTED_VALUE"""),"None")</f>
        <v>None</v>
      </c>
    </row>
    <row r="465" spans="1:8" ht="12.5">
      <c r="A465" s="1" t="str">
        <f ca="1">IFERROR(__xludf.DUMMYFUNCTION("""COMPUTED_VALUE"""),"20230111VTSPV")</f>
        <v>20230111VTSPV</v>
      </c>
      <c r="B465" s="1">
        <f ca="1">IFERROR(__xludf.DUMMYFUNCTION("""COMPUTED_VALUE"""),14)</f>
        <v>14</v>
      </c>
      <c r="C465" s="1"/>
      <c r="D465" s="1"/>
      <c r="E465" s="1" t="str">
        <f ca="1">IFERROR(__xludf.DUMMYFUNCTION("""COMPUTED_VALUE"""),"Student")</f>
        <v>Student</v>
      </c>
      <c r="F465" s="1" t="str">
        <f ca="1">IFERROR(__xludf.DUMMYFUNCTION("""COMPUTED_VALUE"""),"Fled/Apprehended")</f>
        <v>Fled/Apprehended</v>
      </c>
      <c r="G465" s="1" t="str">
        <f ca="1">IFERROR(__xludf.DUMMYFUNCTION("""COMPUTED_VALUE"""),"No")</f>
        <v>No</v>
      </c>
      <c r="H465" s="1" t="str">
        <f ca="1">IFERROR(__xludf.DUMMYFUNCTION("""COMPUTED_VALUE"""),"None")</f>
        <v>None</v>
      </c>
    </row>
    <row r="466" spans="1:8" ht="12.5">
      <c r="A466" s="1" t="str">
        <f ca="1">IFERROR(__xludf.DUMMYFUNCTION("""COMPUTED_VALUE"""),"20230111VALAP")</f>
        <v>20230111VALAP</v>
      </c>
      <c r="B466" s="1"/>
      <c r="C466" s="1"/>
      <c r="D466" s="1"/>
      <c r="E466" s="1"/>
      <c r="F466" s="1" t="str">
        <f ca="1">IFERROR(__xludf.DUMMYFUNCTION("""COMPUTED_VALUE"""),"Fled/Escaped")</f>
        <v>Fled/Escaped</v>
      </c>
      <c r="G466" s="1" t="str">
        <f ca="1">IFERROR(__xludf.DUMMYFUNCTION("""COMPUTED_VALUE"""),"No")</f>
        <v>No</v>
      </c>
      <c r="H466" s="1" t="str">
        <f ca="1">IFERROR(__xludf.DUMMYFUNCTION("""COMPUTED_VALUE"""),"None")</f>
        <v>None</v>
      </c>
    </row>
    <row r="467" spans="1:8" ht="12.5">
      <c r="A467" s="1" t="str">
        <f ca="1">IFERROR(__xludf.DUMMYFUNCTION("""COMPUTED_VALUE"""),"20230110UTWES")</f>
        <v>20230110UTWES</v>
      </c>
      <c r="B467" s="1"/>
      <c r="C467" s="1"/>
      <c r="D467" s="1"/>
      <c r="E467" s="1"/>
      <c r="F467" s="1" t="str">
        <f ca="1">IFERROR(__xludf.DUMMYFUNCTION("""COMPUTED_VALUE"""),"Fled/Escaped")</f>
        <v>Fled/Escaped</v>
      </c>
      <c r="G467" s="1" t="str">
        <f ca="1">IFERROR(__xludf.DUMMYFUNCTION("""COMPUTED_VALUE"""),"No")</f>
        <v>No</v>
      </c>
      <c r="H467" s="1" t="str">
        <f ca="1">IFERROR(__xludf.DUMMYFUNCTION("""COMPUTED_VALUE"""),"None")</f>
        <v>None</v>
      </c>
    </row>
    <row r="468" spans="1:8" ht="12.5">
      <c r="A468" s="1" t="str">
        <f ca="1">IFERROR(__xludf.DUMMYFUNCTION("""COMPUTED_VALUE"""),"20230110KYSAS")</f>
        <v>20230110KYSAS</v>
      </c>
      <c r="B468" s="1" t="str">
        <f ca="1">IFERROR(__xludf.DUMMYFUNCTION("""COMPUTED_VALUE"""),"Adult")</f>
        <v>Adult</v>
      </c>
      <c r="C468" s="1"/>
      <c r="D468" s="1"/>
      <c r="E468" s="1" t="str">
        <f ca="1">IFERROR(__xludf.DUMMYFUNCTION("""COMPUTED_VALUE"""),"Other Staff")</f>
        <v>Other Staff</v>
      </c>
      <c r="F468" s="1" t="str">
        <f ca="1">IFERROR(__xludf.DUMMYFUNCTION("""COMPUTED_VALUE"""),"Fled/Apprehended")</f>
        <v>Fled/Apprehended</v>
      </c>
      <c r="G468" s="1" t="str">
        <f ca="1">IFERROR(__xludf.DUMMYFUNCTION("""COMPUTED_VALUE"""),"No")</f>
        <v>No</v>
      </c>
      <c r="H468" s="1" t="str">
        <f ca="1">IFERROR(__xludf.DUMMYFUNCTION("""COMPUTED_VALUE"""),"Wounded")</f>
        <v>Wounded</v>
      </c>
    </row>
    <row r="469" spans="1:8" ht="12.5">
      <c r="A469" s="1" t="str">
        <f ca="1">IFERROR(__xludf.DUMMYFUNCTION("""COMPUTED_VALUE"""),"20230110DEWIN")</f>
        <v>20230110DEWIN</v>
      </c>
      <c r="B469" s="1">
        <f ca="1">IFERROR(__xludf.DUMMYFUNCTION("""COMPUTED_VALUE"""),16)</f>
        <v>16</v>
      </c>
      <c r="C469" s="1" t="str">
        <f ca="1">IFERROR(__xludf.DUMMYFUNCTION("""COMPUTED_VALUE"""),"Male")</f>
        <v>Male</v>
      </c>
      <c r="D469" s="1"/>
      <c r="E469" s="1" t="str">
        <f ca="1">IFERROR(__xludf.DUMMYFUNCTION("""COMPUTED_VALUE"""),"Student")</f>
        <v>Student</v>
      </c>
      <c r="F469" s="1" t="str">
        <f ca="1">IFERROR(__xludf.DUMMYFUNCTION("""COMPUTED_VALUE"""),"Fled/Apprehended")</f>
        <v>Fled/Apprehended</v>
      </c>
      <c r="G469" s="1" t="str">
        <f ca="1">IFERROR(__xludf.DUMMYFUNCTION("""COMPUTED_VALUE"""),"No")</f>
        <v>No</v>
      </c>
      <c r="H469" s="1" t="str">
        <f ca="1">IFERROR(__xludf.DUMMYFUNCTION("""COMPUTED_VALUE"""),"None")</f>
        <v>None</v>
      </c>
    </row>
    <row r="470" spans="1:8" ht="12.5">
      <c r="A470" s="1" t="str">
        <f ca="1">IFERROR(__xludf.DUMMYFUNCTION("""COMPUTED_VALUE"""),"20230110OHJOC")</f>
        <v>20230110OHJOC</v>
      </c>
      <c r="B470" s="1"/>
      <c r="C470" s="1"/>
      <c r="D470" s="1"/>
      <c r="E470" s="1"/>
      <c r="F470" s="1" t="str">
        <f ca="1">IFERROR(__xludf.DUMMYFUNCTION("""COMPUTED_VALUE"""),"Fled/Escaped")</f>
        <v>Fled/Escaped</v>
      </c>
      <c r="G470" s="1" t="str">
        <f ca="1">IFERROR(__xludf.DUMMYFUNCTION("""COMPUTED_VALUE"""),"No")</f>
        <v>No</v>
      </c>
      <c r="H470" s="1" t="str">
        <f ca="1">IFERROR(__xludf.DUMMYFUNCTION("""COMPUTED_VALUE"""),"None")</f>
        <v>None</v>
      </c>
    </row>
    <row r="471" spans="1:8" ht="12.5">
      <c r="A471" s="1" t="str">
        <f ca="1">IFERROR(__xludf.DUMMYFUNCTION("""COMPUTED_VALUE"""),"20230110LABON")</f>
        <v>20230110LABON</v>
      </c>
      <c r="B471" s="1"/>
      <c r="C471" s="1"/>
      <c r="D471" s="1"/>
      <c r="E471" s="1"/>
      <c r="F471" s="1" t="str">
        <f ca="1">IFERROR(__xludf.DUMMYFUNCTION("""COMPUTED_VALUE"""),"Fled/Escaped")</f>
        <v>Fled/Escaped</v>
      </c>
      <c r="G471" s="1" t="str">
        <f ca="1">IFERROR(__xludf.DUMMYFUNCTION("""COMPUTED_VALUE"""),"No")</f>
        <v>No</v>
      </c>
      <c r="H471" s="1" t="str">
        <f ca="1">IFERROR(__xludf.DUMMYFUNCTION("""COMPUTED_VALUE"""),"None")</f>
        <v>None</v>
      </c>
    </row>
    <row r="472" spans="1:8" ht="12.5">
      <c r="A472" s="1" t="str">
        <f ca="1">IFERROR(__xludf.DUMMYFUNCTION("""COMPUTED_VALUE"""),"20230109VAPRW")</f>
        <v>20230109VAPRW</v>
      </c>
      <c r="B472" s="1">
        <f ca="1">IFERROR(__xludf.DUMMYFUNCTION("""COMPUTED_VALUE"""),18)</f>
        <v>18</v>
      </c>
      <c r="C472" s="1" t="str">
        <f ca="1">IFERROR(__xludf.DUMMYFUNCTION("""COMPUTED_VALUE"""),"Male")</f>
        <v>Male</v>
      </c>
      <c r="D472" s="1"/>
      <c r="E472" s="1" t="str">
        <f ca="1">IFERROR(__xludf.DUMMYFUNCTION("""COMPUTED_VALUE"""),"No Relation")</f>
        <v>No Relation</v>
      </c>
      <c r="F472" s="1" t="str">
        <f ca="1">IFERROR(__xludf.DUMMYFUNCTION("""COMPUTED_VALUE"""),"Fled/Apprehended")</f>
        <v>Fled/Apprehended</v>
      </c>
      <c r="G472" s="1" t="str">
        <f ca="1">IFERROR(__xludf.DUMMYFUNCTION("""COMPUTED_VALUE"""),"No")</f>
        <v>No</v>
      </c>
      <c r="H472" s="1" t="str">
        <f ca="1">IFERROR(__xludf.DUMMYFUNCTION("""COMPUTED_VALUE"""),"None")</f>
        <v>None</v>
      </c>
    </row>
    <row r="473" spans="1:8" ht="12.5">
      <c r="A473" s="1" t="str">
        <f ca="1">IFERROR(__xludf.DUMMYFUNCTION("""COMPUTED_VALUE"""),"20230107ORFRP")</f>
        <v>20230107ORFRP</v>
      </c>
      <c r="B473" s="1">
        <f ca="1">IFERROR(__xludf.DUMMYFUNCTION("""COMPUTED_VALUE"""),15)</f>
        <v>15</v>
      </c>
      <c r="C473" s="1" t="str">
        <f ca="1">IFERROR(__xludf.DUMMYFUNCTION("""COMPUTED_VALUE"""),"Male")</f>
        <v>Male</v>
      </c>
      <c r="D473" s="1"/>
      <c r="E473" s="1" t="str">
        <f ca="1">IFERROR(__xludf.DUMMYFUNCTION("""COMPUTED_VALUE"""),"Student")</f>
        <v>Student</v>
      </c>
      <c r="F473" s="1" t="str">
        <f ca="1">IFERROR(__xludf.DUMMYFUNCTION("""COMPUTED_VALUE"""),"Fled/Apprehended")</f>
        <v>Fled/Apprehended</v>
      </c>
      <c r="G473" s="1" t="str">
        <f ca="1">IFERROR(__xludf.DUMMYFUNCTION("""COMPUTED_VALUE"""),"No")</f>
        <v>No</v>
      </c>
      <c r="H473" s="1" t="str">
        <f ca="1">IFERROR(__xludf.DUMMYFUNCTION("""COMPUTED_VALUE"""),"None")</f>
        <v>None</v>
      </c>
    </row>
    <row r="474" spans="1:8" ht="12.5">
      <c r="A474" s="1" t="str">
        <f ca="1">IFERROR(__xludf.DUMMYFUNCTION("""COMPUTED_VALUE"""),"20230106MDBEB")</f>
        <v>20230106MDBEB</v>
      </c>
      <c r="B474" s="1">
        <f ca="1">IFERROR(__xludf.DUMMYFUNCTION("""COMPUTED_VALUE"""),16)</f>
        <v>16</v>
      </c>
      <c r="C474" s="1" t="str">
        <f ca="1">IFERROR(__xludf.DUMMYFUNCTION("""COMPUTED_VALUE"""),"Male")</f>
        <v>Male</v>
      </c>
      <c r="D474" s="1"/>
      <c r="E474" s="1" t="str">
        <f ca="1">IFERROR(__xludf.DUMMYFUNCTION("""COMPUTED_VALUE"""),"Student")</f>
        <v>Student</v>
      </c>
      <c r="F474" s="1" t="str">
        <f ca="1">IFERROR(__xludf.DUMMYFUNCTION("""COMPUTED_VALUE"""),"Fled/Apprehended")</f>
        <v>Fled/Apprehended</v>
      </c>
      <c r="G474" s="1" t="str">
        <f ca="1">IFERROR(__xludf.DUMMYFUNCTION("""COMPUTED_VALUE"""),"No")</f>
        <v>No</v>
      </c>
      <c r="H474" s="1" t="str">
        <f ca="1">IFERROR(__xludf.DUMMYFUNCTION("""COMPUTED_VALUE"""),"None")</f>
        <v>None</v>
      </c>
    </row>
    <row r="475" spans="1:8" ht="12.5">
      <c r="A475" s="1" t="str">
        <f ca="1">IFERROR(__xludf.DUMMYFUNCTION("""COMPUTED_VALUE"""),"20230106MDBEB")</f>
        <v>20230106MDBEB</v>
      </c>
      <c r="B475" s="1">
        <f ca="1">IFERROR(__xludf.DUMMYFUNCTION("""COMPUTED_VALUE"""),17)</f>
        <v>17</v>
      </c>
      <c r="C475" s="1" t="str">
        <f ca="1">IFERROR(__xludf.DUMMYFUNCTION("""COMPUTED_VALUE"""),"Male")</f>
        <v>Male</v>
      </c>
      <c r="D475" s="1"/>
      <c r="E475" s="1" t="str">
        <f ca="1">IFERROR(__xludf.DUMMYFUNCTION("""COMPUTED_VALUE"""),"Student")</f>
        <v>Student</v>
      </c>
      <c r="F475" s="1" t="str">
        <f ca="1">IFERROR(__xludf.DUMMYFUNCTION("""COMPUTED_VALUE"""),"Fled/Apprehended")</f>
        <v>Fled/Apprehended</v>
      </c>
      <c r="G475" s="1" t="str">
        <f ca="1">IFERROR(__xludf.DUMMYFUNCTION("""COMPUTED_VALUE"""),"No")</f>
        <v>No</v>
      </c>
      <c r="H475" s="1" t="str">
        <f ca="1">IFERROR(__xludf.DUMMYFUNCTION("""COMPUTED_VALUE"""),"None")</f>
        <v>None</v>
      </c>
    </row>
    <row r="476" spans="1:8" ht="12.5">
      <c r="A476" s="1" t="str">
        <f ca="1">IFERROR(__xludf.DUMMYFUNCTION("""COMPUTED_VALUE"""),"20230106MIOAD")</f>
        <v>20230106MIOAD</v>
      </c>
      <c r="B476" s="1"/>
      <c r="C476" s="1"/>
      <c r="D476" s="1"/>
      <c r="E476" s="1"/>
      <c r="F476" s="1" t="str">
        <f ca="1">IFERROR(__xludf.DUMMYFUNCTION("""COMPUTED_VALUE"""),"Fled/Apprehended")</f>
        <v>Fled/Apprehended</v>
      </c>
      <c r="G476" s="1" t="str">
        <f ca="1">IFERROR(__xludf.DUMMYFUNCTION("""COMPUTED_VALUE"""),"No")</f>
        <v>No</v>
      </c>
      <c r="H476" s="1" t="str">
        <f ca="1">IFERROR(__xludf.DUMMYFUNCTION("""COMPUTED_VALUE"""),"None")</f>
        <v>None</v>
      </c>
    </row>
    <row r="477" spans="1:8" ht="12.5">
      <c r="A477" s="1" t="str">
        <f ca="1">IFERROR(__xludf.DUMMYFUNCTION("""COMPUTED_VALUE"""),"20230106FLWEA")</f>
        <v>20230106FLWEA</v>
      </c>
      <c r="B477" s="1"/>
      <c r="C477" s="1" t="str">
        <f ca="1">IFERROR(__xludf.DUMMYFUNCTION("""COMPUTED_VALUE"""),"Male")</f>
        <v>Male</v>
      </c>
      <c r="D477" s="1"/>
      <c r="E477" s="1"/>
      <c r="F477" s="1" t="str">
        <f ca="1">IFERROR(__xludf.DUMMYFUNCTION("""COMPUTED_VALUE"""),"Fled/Escaped")</f>
        <v>Fled/Escaped</v>
      </c>
      <c r="G477" s="1" t="str">
        <f ca="1">IFERROR(__xludf.DUMMYFUNCTION("""COMPUTED_VALUE"""),"No")</f>
        <v>No</v>
      </c>
      <c r="H477" s="1" t="str">
        <f ca="1">IFERROR(__xludf.DUMMYFUNCTION("""COMPUTED_VALUE"""),"None")</f>
        <v>None</v>
      </c>
    </row>
    <row r="478" spans="1:8" ht="12.5">
      <c r="A478" s="1" t="str">
        <f ca="1">IFERROR(__xludf.DUMMYFUNCTION("""COMPUTED_VALUE"""),"20230106VARIN")</f>
        <v>20230106VARIN</v>
      </c>
      <c r="B478" s="1">
        <f ca="1">IFERROR(__xludf.DUMMYFUNCTION("""COMPUTED_VALUE"""),6)</f>
        <v>6</v>
      </c>
      <c r="C478" s="1" t="str">
        <f ca="1">IFERROR(__xludf.DUMMYFUNCTION("""COMPUTED_VALUE"""),"Male")</f>
        <v>Male</v>
      </c>
      <c r="D478" s="1"/>
      <c r="E478" s="1" t="str">
        <f ca="1">IFERROR(__xludf.DUMMYFUNCTION("""COMPUTED_VALUE"""),"Student")</f>
        <v>Student</v>
      </c>
      <c r="F478" s="1"/>
      <c r="G478" s="1" t="str">
        <f ca="1">IFERROR(__xludf.DUMMYFUNCTION("""COMPUTED_VALUE"""),"No")</f>
        <v>No</v>
      </c>
      <c r="H478" s="1" t="str">
        <f ca="1">IFERROR(__xludf.DUMMYFUNCTION("""COMPUTED_VALUE"""),"None")</f>
        <v>None</v>
      </c>
    </row>
    <row r="479" spans="1:8" ht="12.5">
      <c r="A479" s="1" t="str">
        <f ca="1">IFERROR(__xludf.DUMMYFUNCTION("""COMPUTED_VALUE"""),"20230105OHBEC")</f>
        <v>20230105OHBEC</v>
      </c>
      <c r="B479" s="1">
        <f ca="1">IFERROR(__xludf.DUMMYFUNCTION("""COMPUTED_VALUE"""),15)</f>
        <v>15</v>
      </c>
      <c r="C479" s="1" t="str">
        <f ca="1">IFERROR(__xludf.DUMMYFUNCTION("""COMPUTED_VALUE"""),"Male")</f>
        <v>Male</v>
      </c>
      <c r="D479" s="1"/>
      <c r="E479" s="1" t="str">
        <f ca="1">IFERROR(__xludf.DUMMYFUNCTION("""COMPUTED_VALUE"""),"Student")</f>
        <v>Student</v>
      </c>
      <c r="F479" s="1" t="str">
        <f ca="1">IFERROR(__xludf.DUMMYFUNCTION("""COMPUTED_VALUE"""),"Fled/Apprehended")</f>
        <v>Fled/Apprehended</v>
      </c>
      <c r="G479" s="1" t="str">
        <f ca="1">IFERROR(__xludf.DUMMYFUNCTION("""COMPUTED_VALUE"""),"No")</f>
        <v>No</v>
      </c>
      <c r="H479" s="1" t="str">
        <f ca="1">IFERROR(__xludf.DUMMYFUNCTION("""COMPUTED_VALUE"""),"None")</f>
        <v>None</v>
      </c>
    </row>
    <row r="480" spans="1:8" ht="12.5">
      <c r="A480" s="1" t="str">
        <f ca="1">IFERROR(__xludf.DUMMYFUNCTION("""COMPUTED_VALUE"""),"20230105NYFRR")</f>
        <v>20230105NYFRR</v>
      </c>
      <c r="B480" s="1"/>
      <c r="C480" s="1"/>
      <c r="D480" s="1"/>
      <c r="E480" s="1"/>
      <c r="F480" s="1" t="str">
        <f ca="1">IFERROR(__xludf.DUMMYFUNCTION("""COMPUTED_VALUE"""),"Fled/Escaped")</f>
        <v>Fled/Escaped</v>
      </c>
      <c r="G480" s="1" t="str">
        <f ca="1">IFERROR(__xludf.DUMMYFUNCTION("""COMPUTED_VALUE"""),"No")</f>
        <v>No</v>
      </c>
      <c r="H480" s="1" t="str">
        <f ca="1">IFERROR(__xludf.DUMMYFUNCTION("""COMPUTED_VALUE"""),"None")</f>
        <v>None</v>
      </c>
    </row>
    <row r="481" spans="1:8" ht="12.5">
      <c r="A481" s="1" t="str">
        <f ca="1">IFERROR(__xludf.DUMMYFUNCTION("""COMPUTED_VALUE"""),"20230104MITRD")</f>
        <v>20230104MITRD</v>
      </c>
      <c r="B481" s="1"/>
      <c r="C481" s="1"/>
      <c r="D481" s="1"/>
      <c r="E481" s="1" t="str">
        <f ca="1">IFERROR(__xludf.DUMMYFUNCTION("""COMPUTED_VALUE"""),"No Relation")</f>
        <v>No Relation</v>
      </c>
      <c r="F481" s="1" t="str">
        <f ca="1">IFERROR(__xludf.DUMMYFUNCTION("""COMPUTED_VALUE"""),"Fled/Escaped")</f>
        <v>Fled/Escaped</v>
      </c>
      <c r="G481" s="1" t="str">
        <f ca="1">IFERROR(__xludf.DUMMYFUNCTION("""COMPUTED_VALUE"""),"No")</f>
        <v>No</v>
      </c>
      <c r="H481" s="1" t="str">
        <f ca="1">IFERROR(__xludf.DUMMYFUNCTION("""COMPUTED_VALUE"""),"None")</f>
        <v>None</v>
      </c>
    </row>
    <row r="482" spans="1:8" ht="12.5">
      <c r="A482" s="1" t="str">
        <f ca="1">IFERROR(__xludf.DUMMYFUNCTION("""COMPUTED_VALUE"""),"20221221CTNEN")</f>
        <v>20221221CTNEN</v>
      </c>
      <c r="B482" s="1"/>
      <c r="C482" s="1"/>
      <c r="D482" s="1"/>
      <c r="E482" s="1" t="str">
        <f ca="1">IFERROR(__xludf.DUMMYFUNCTION("""COMPUTED_VALUE"""),"No Relation")</f>
        <v>No Relation</v>
      </c>
      <c r="F482" s="1" t="str">
        <f ca="1">IFERROR(__xludf.DUMMYFUNCTION("""COMPUTED_VALUE"""),"Fled/Escaped")</f>
        <v>Fled/Escaped</v>
      </c>
      <c r="G482" s="1" t="str">
        <f ca="1">IFERROR(__xludf.DUMMYFUNCTION("""COMPUTED_VALUE"""),"No")</f>
        <v>No</v>
      </c>
      <c r="H482" s="1" t="str">
        <f ca="1">IFERROR(__xludf.DUMMYFUNCTION("""COMPUTED_VALUE"""),"None")</f>
        <v>None</v>
      </c>
    </row>
    <row r="483" spans="1:8" ht="12.5">
      <c r="A483" s="1" t="str">
        <f ca="1">IFERROR(__xludf.DUMMYFUNCTION("""COMPUTED_VALUE"""),"20221221CAWOW")</f>
        <v>20221221CAWOW</v>
      </c>
      <c r="B483" s="1" t="str">
        <f ca="1">IFERROR(__xludf.DUMMYFUNCTION("""COMPUTED_VALUE"""),"Adult")</f>
        <v>Adult</v>
      </c>
      <c r="C483" s="1"/>
      <c r="D483" s="1"/>
      <c r="E483" s="1" t="str">
        <f ca="1">IFERROR(__xludf.DUMMYFUNCTION("""COMPUTED_VALUE"""),"No Relation")</f>
        <v>No Relation</v>
      </c>
      <c r="F483" s="1" t="str">
        <f ca="1">IFERROR(__xludf.DUMMYFUNCTION("""COMPUTED_VALUE"""),"Fled/Apprehended")</f>
        <v>Fled/Apprehended</v>
      </c>
      <c r="G483" s="1" t="str">
        <f ca="1">IFERROR(__xludf.DUMMYFUNCTION("""COMPUTED_VALUE"""),"No")</f>
        <v>No</v>
      </c>
      <c r="H483" s="1" t="str">
        <f ca="1">IFERROR(__xludf.DUMMYFUNCTION("""COMPUTED_VALUE"""),"None")</f>
        <v>None</v>
      </c>
    </row>
    <row r="484" spans="1:8" ht="12.5">
      <c r="A484" s="1" t="str">
        <f ca="1">IFERROR(__xludf.DUMMYFUNCTION("""COMPUTED_VALUE"""),"20221216ILBEC")</f>
        <v>20221216ILBEC</v>
      </c>
      <c r="B484" s="1">
        <f ca="1">IFERROR(__xludf.DUMMYFUNCTION("""COMPUTED_VALUE"""),16)</f>
        <v>16</v>
      </c>
      <c r="C484" s="1" t="str">
        <f ca="1">IFERROR(__xludf.DUMMYFUNCTION("""COMPUTED_VALUE"""),"Male")</f>
        <v>Male</v>
      </c>
      <c r="D484" s="1"/>
      <c r="E484" s="1" t="str">
        <f ca="1">IFERROR(__xludf.DUMMYFUNCTION("""COMPUTED_VALUE"""),"Former Student")</f>
        <v>Former Student</v>
      </c>
      <c r="F484" s="1" t="str">
        <f ca="1">IFERROR(__xludf.DUMMYFUNCTION("""COMPUTED_VALUE"""),"Fled/Apprehended")</f>
        <v>Fled/Apprehended</v>
      </c>
      <c r="G484" s="1" t="str">
        <f ca="1">IFERROR(__xludf.DUMMYFUNCTION("""COMPUTED_VALUE"""),"No")</f>
        <v>No</v>
      </c>
      <c r="H484" s="1" t="str">
        <f ca="1">IFERROR(__xludf.DUMMYFUNCTION("""COMPUTED_VALUE"""),"None")</f>
        <v>None</v>
      </c>
    </row>
    <row r="485" spans="1:8" ht="12.5">
      <c r="A485" s="1" t="str">
        <f ca="1">IFERROR(__xludf.DUMMYFUNCTION("""COMPUTED_VALUE"""),"20221214OHLIC")</f>
        <v>20221214OHLIC</v>
      </c>
      <c r="B485" s="1" t="str">
        <f ca="1">IFERROR(__xludf.DUMMYFUNCTION("""COMPUTED_VALUE"""),"Teen")</f>
        <v>Teen</v>
      </c>
      <c r="C485" s="1"/>
      <c r="D485" s="1"/>
      <c r="E485" s="1" t="str">
        <f ca="1">IFERROR(__xludf.DUMMYFUNCTION("""COMPUTED_VALUE"""),"Student")</f>
        <v>Student</v>
      </c>
      <c r="F485" s="1" t="str">
        <f ca="1">IFERROR(__xludf.DUMMYFUNCTION("""COMPUTED_VALUE"""),"Fled/Escaped")</f>
        <v>Fled/Escaped</v>
      </c>
      <c r="G485" s="1" t="str">
        <f ca="1">IFERROR(__xludf.DUMMYFUNCTION("""COMPUTED_VALUE"""),"No")</f>
        <v>No</v>
      </c>
      <c r="H485" s="1" t="str">
        <f ca="1">IFERROR(__xludf.DUMMYFUNCTION("""COMPUTED_VALUE"""),"None")</f>
        <v>None</v>
      </c>
    </row>
    <row r="486" spans="1:8" ht="12.5">
      <c r="A486" s="1" t="str">
        <f ca="1">IFERROR(__xludf.DUMMYFUNCTION("""COMPUTED_VALUE"""),"20221212ORGRP")</f>
        <v>20221212ORGRP</v>
      </c>
      <c r="B486" s="1"/>
      <c r="C486" s="1"/>
      <c r="D486" s="1"/>
      <c r="E486" s="1"/>
      <c r="F486" s="1" t="str">
        <f ca="1">IFERROR(__xludf.DUMMYFUNCTION("""COMPUTED_VALUE"""),"Fled/Escaped")</f>
        <v>Fled/Escaped</v>
      </c>
      <c r="G486" s="1" t="str">
        <f ca="1">IFERROR(__xludf.DUMMYFUNCTION("""COMPUTED_VALUE"""),"No")</f>
        <v>No</v>
      </c>
      <c r="H486" s="1" t="str">
        <f ca="1">IFERROR(__xludf.DUMMYFUNCTION("""COMPUTED_VALUE"""),"None")</f>
        <v>None</v>
      </c>
    </row>
    <row r="487" spans="1:8" ht="12.5">
      <c r="A487" s="1" t="str">
        <f ca="1">IFERROR(__xludf.DUMMYFUNCTION("""COMPUTED_VALUE"""),"20221210TNBRC")</f>
        <v>20221210TNBRC</v>
      </c>
      <c r="B487" s="1"/>
      <c r="C487" s="1"/>
      <c r="D487" s="1"/>
      <c r="E487" s="1"/>
      <c r="F487" s="1" t="str">
        <f ca="1">IFERROR(__xludf.DUMMYFUNCTION("""COMPUTED_VALUE"""),"Fled/Escaped")</f>
        <v>Fled/Escaped</v>
      </c>
      <c r="G487" s="1" t="str">
        <f ca="1">IFERROR(__xludf.DUMMYFUNCTION("""COMPUTED_VALUE"""),"No")</f>
        <v>No</v>
      </c>
      <c r="H487" s="1" t="str">
        <f ca="1">IFERROR(__xludf.DUMMYFUNCTION("""COMPUTED_VALUE"""),"None")</f>
        <v>None</v>
      </c>
    </row>
    <row r="488" spans="1:8" ht="12.5">
      <c r="A488" s="1" t="str">
        <f ca="1">IFERROR(__xludf.DUMMYFUNCTION("""COMPUTED_VALUE"""),"20221209PAMEP")</f>
        <v>20221209PAMEP</v>
      </c>
      <c r="B488" s="1"/>
      <c r="C488" s="1"/>
      <c r="D488" s="1"/>
      <c r="E488" s="1" t="str">
        <f ca="1">IFERROR(__xludf.DUMMYFUNCTION("""COMPUTED_VALUE"""),"No Relation")</f>
        <v>No Relation</v>
      </c>
      <c r="F488" s="1" t="str">
        <f ca="1">IFERROR(__xludf.DUMMYFUNCTION("""COMPUTED_VALUE"""),"Fled/Escaped")</f>
        <v>Fled/Escaped</v>
      </c>
      <c r="G488" s="1" t="str">
        <f ca="1">IFERROR(__xludf.DUMMYFUNCTION("""COMPUTED_VALUE"""),"No")</f>
        <v>No</v>
      </c>
      <c r="H488" s="1" t="str">
        <f ca="1">IFERROR(__xludf.DUMMYFUNCTION("""COMPUTED_VALUE"""),"None")</f>
        <v>None</v>
      </c>
    </row>
    <row r="489" spans="1:8" ht="12.5">
      <c r="A489" s="1" t="str">
        <f ca="1">IFERROR(__xludf.DUMMYFUNCTION("""COMPUTED_VALUE"""),"20221209OHMED")</f>
        <v>20221209OHMED</v>
      </c>
      <c r="B489" s="1"/>
      <c r="C489" s="1"/>
      <c r="D489" s="1"/>
      <c r="E489" s="1"/>
      <c r="F489" s="1" t="str">
        <f ca="1">IFERROR(__xludf.DUMMYFUNCTION("""COMPUTED_VALUE"""),"Fled/Escaped")</f>
        <v>Fled/Escaped</v>
      </c>
      <c r="G489" s="1" t="str">
        <f ca="1">IFERROR(__xludf.DUMMYFUNCTION("""COMPUTED_VALUE"""),"No")</f>
        <v>No</v>
      </c>
      <c r="H489" s="1" t="str">
        <f ca="1">IFERROR(__xludf.DUMMYFUNCTION("""COMPUTED_VALUE"""),"None")</f>
        <v>None</v>
      </c>
    </row>
    <row r="490" spans="1:8" ht="12.5">
      <c r="A490" s="1" t="str">
        <f ca="1">IFERROR(__xludf.DUMMYFUNCTION("""COMPUTED_VALUE"""),"20221208NCFUG")</f>
        <v>20221208NCFUG</v>
      </c>
      <c r="B490" s="1">
        <f ca="1">IFERROR(__xludf.DUMMYFUNCTION("""COMPUTED_VALUE"""),12)</f>
        <v>12</v>
      </c>
      <c r="C490" s="1" t="str">
        <f ca="1">IFERROR(__xludf.DUMMYFUNCTION("""COMPUTED_VALUE"""),"Male")</f>
        <v>Male</v>
      </c>
      <c r="D490" s="1"/>
      <c r="E490" s="1" t="str">
        <f ca="1">IFERROR(__xludf.DUMMYFUNCTION("""COMPUTED_VALUE"""),"Student")</f>
        <v>Student</v>
      </c>
      <c r="F490" s="1" t="str">
        <f ca="1">IFERROR(__xludf.DUMMYFUNCTION("""COMPUTED_VALUE"""),"Subdued by Students/Staff/Other")</f>
        <v>Subdued by Students/Staff/Other</v>
      </c>
      <c r="G490" s="1" t="str">
        <f ca="1">IFERROR(__xludf.DUMMYFUNCTION("""COMPUTED_VALUE"""),"No")</f>
        <v>No</v>
      </c>
      <c r="H490" s="1" t="str">
        <f ca="1">IFERROR(__xludf.DUMMYFUNCTION("""COMPUTED_VALUE"""),"None")</f>
        <v>None</v>
      </c>
    </row>
    <row r="491" spans="1:8" ht="12.5">
      <c r="A491" s="1" t="str">
        <f ca="1">IFERROR(__xludf.DUMMYFUNCTION("""COMPUTED_VALUE"""),"20221208MDSUD")</f>
        <v>20221208MDSUD</v>
      </c>
      <c r="B491" s="1">
        <f ca="1">IFERROR(__xludf.DUMMYFUNCTION("""COMPUTED_VALUE"""),14)</f>
        <v>14</v>
      </c>
      <c r="C491" s="1" t="str">
        <f ca="1">IFERROR(__xludf.DUMMYFUNCTION("""COMPUTED_VALUE"""),"Male")</f>
        <v>Male</v>
      </c>
      <c r="D491" s="1"/>
      <c r="E491" s="1" t="str">
        <f ca="1">IFERROR(__xludf.DUMMYFUNCTION("""COMPUTED_VALUE"""),"Student")</f>
        <v>Student</v>
      </c>
      <c r="F491" s="1" t="str">
        <f ca="1">IFERROR(__xludf.DUMMYFUNCTION("""COMPUTED_VALUE"""),"Fled/Apprehended")</f>
        <v>Fled/Apprehended</v>
      </c>
      <c r="G491" s="1" t="str">
        <f ca="1">IFERROR(__xludf.DUMMYFUNCTION("""COMPUTED_VALUE"""),"No")</f>
        <v>No</v>
      </c>
      <c r="H491" s="1" t="str">
        <f ca="1">IFERROR(__xludf.DUMMYFUNCTION("""COMPUTED_VALUE"""),"None")</f>
        <v>None</v>
      </c>
    </row>
    <row r="492" spans="1:8" ht="12.5">
      <c r="A492" s="1" t="str">
        <f ca="1">IFERROR(__xludf.DUMMYFUNCTION("""COMPUTED_VALUE"""),"20221206ALLEM")</f>
        <v>20221206ALLEM</v>
      </c>
      <c r="B492" s="1"/>
      <c r="C492" s="1"/>
      <c r="D492" s="1"/>
      <c r="E492" s="1"/>
      <c r="F492" s="1" t="str">
        <f ca="1">IFERROR(__xludf.DUMMYFUNCTION("""COMPUTED_VALUE"""),"Apprehended/Killed by LE")</f>
        <v>Apprehended/Killed by LE</v>
      </c>
      <c r="G492" s="1" t="str">
        <f ca="1">IFERROR(__xludf.DUMMYFUNCTION("""COMPUTED_VALUE"""),"No")</f>
        <v>No</v>
      </c>
      <c r="H492" s="1" t="str">
        <f ca="1">IFERROR(__xludf.DUMMYFUNCTION("""COMPUTED_VALUE"""),"None")</f>
        <v>None</v>
      </c>
    </row>
    <row r="493" spans="1:8" ht="12.5">
      <c r="A493" s="1" t="str">
        <f ca="1">IFERROR(__xludf.DUMMYFUNCTION("""COMPUTED_VALUE"""),"20221206MOCOS")</f>
        <v>20221206MOCOS</v>
      </c>
      <c r="B493" s="1">
        <f ca="1">IFERROR(__xludf.DUMMYFUNCTION("""COMPUTED_VALUE"""),20)</f>
        <v>20</v>
      </c>
      <c r="C493" s="1" t="str">
        <f ca="1">IFERROR(__xludf.DUMMYFUNCTION("""COMPUTED_VALUE"""),"Female")</f>
        <v>Female</v>
      </c>
      <c r="D493" s="1"/>
      <c r="E493" s="1" t="str">
        <f ca="1">IFERROR(__xludf.DUMMYFUNCTION("""COMPUTED_VALUE"""),"No Relation")</f>
        <v>No Relation</v>
      </c>
      <c r="F493" s="1" t="str">
        <f ca="1">IFERROR(__xludf.DUMMYFUNCTION("""COMPUTED_VALUE"""),"Apprehended/Killed by SRO")</f>
        <v>Apprehended/Killed by SRO</v>
      </c>
      <c r="G493" s="1" t="str">
        <f ca="1">IFERROR(__xludf.DUMMYFUNCTION("""COMPUTED_VALUE"""),"No")</f>
        <v>No</v>
      </c>
      <c r="H493" s="1" t="str">
        <f ca="1">IFERROR(__xludf.DUMMYFUNCTION("""COMPUTED_VALUE"""),"Wounded")</f>
        <v>Wounded</v>
      </c>
    </row>
    <row r="494" spans="1:8" ht="12.5">
      <c r="A494" s="1" t="str">
        <f ca="1">IFERROR(__xludf.DUMMYFUNCTION("""COMPUTED_VALUE"""),"20221206INSUW")</f>
        <v>20221206INSUW</v>
      </c>
      <c r="B494" s="1">
        <f ca="1">IFERROR(__xludf.DUMMYFUNCTION("""COMPUTED_VALUE"""),11)</f>
        <v>11</v>
      </c>
      <c r="C494" s="1" t="str">
        <f ca="1">IFERROR(__xludf.DUMMYFUNCTION("""COMPUTED_VALUE"""),"Male")</f>
        <v>Male</v>
      </c>
      <c r="D494" s="1"/>
      <c r="E494" s="1" t="str">
        <f ca="1">IFERROR(__xludf.DUMMYFUNCTION("""COMPUTED_VALUE"""),"Student")</f>
        <v>Student</v>
      </c>
      <c r="F494" s="1" t="str">
        <f ca="1">IFERROR(__xludf.DUMMYFUNCTION("""COMPUTED_VALUE"""),"Apprehended/Killed by LE")</f>
        <v>Apprehended/Killed by LE</v>
      </c>
      <c r="G494" s="1" t="str">
        <f ca="1">IFERROR(__xludf.DUMMYFUNCTION("""COMPUTED_VALUE"""),"No")</f>
        <v>No</v>
      </c>
      <c r="H494" s="1" t="str">
        <f ca="1">IFERROR(__xludf.DUMMYFUNCTION("""COMPUTED_VALUE"""),"None")</f>
        <v>None</v>
      </c>
    </row>
    <row r="495" spans="1:8" ht="12.5">
      <c r="A495" s="1" t="str">
        <f ca="1">IFERROR(__xludf.DUMMYFUNCTION("""COMPUTED_VALUE"""),"20221206ILMIC")</f>
        <v>20221206ILMIC</v>
      </c>
      <c r="B495" s="1"/>
      <c r="C495" s="1"/>
      <c r="D495" s="1"/>
      <c r="E495" s="1"/>
      <c r="F495" s="1" t="str">
        <f ca="1">IFERROR(__xludf.DUMMYFUNCTION("""COMPUTED_VALUE"""),"Fled/Escaped")</f>
        <v>Fled/Escaped</v>
      </c>
      <c r="G495" s="1" t="str">
        <f ca="1">IFERROR(__xludf.DUMMYFUNCTION("""COMPUTED_VALUE"""),"No")</f>
        <v>No</v>
      </c>
      <c r="H495" s="1" t="str">
        <f ca="1">IFERROR(__xludf.DUMMYFUNCTION("""COMPUTED_VALUE"""),"None")</f>
        <v>None</v>
      </c>
    </row>
    <row r="496" spans="1:8" ht="12.5">
      <c r="A496" s="1" t="str">
        <f ca="1">IFERROR(__xludf.DUMMYFUNCTION("""COMPUTED_VALUE"""),"20221206MDHAH")</f>
        <v>20221206MDHAH</v>
      </c>
      <c r="B496" s="1" t="str">
        <f ca="1">IFERROR(__xludf.DUMMYFUNCTION("""COMPUTED_VALUE"""),"Teen")</f>
        <v>Teen</v>
      </c>
      <c r="C496" s="1" t="str">
        <f ca="1">IFERROR(__xludf.DUMMYFUNCTION("""COMPUTED_VALUE"""),"Male")</f>
        <v>Male</v>
      </c>
      <c r="D496" s="1"/>
      <c r="E496" s="1" t="str">
        <f ca="1">IFERROR(__xludf.DUMMYFUNCTION("""COMPUTED_VALUE"""),"Student")</f>
        <v>Student</v>
      </c>
      <c r="F496" s="1" t="str">
        <f ca="1">IFERROR(__xludf.DUMMYFUNCTION("""COMPUTED_VALUE"""),"Fled/Apprehended")</f>
        <v>Fled/Apprehended</v>
      </c>
      <c r="G496" s="1" t="str">
        <f ca="1">IFERROR(__xludf.DUMMYFUNCTION("""COMPUTED_VALUE"""),"No")</f>
        <v>No</v>
      </c>
      <c r="H496" s="1" t="str">
        <f ca="1">IFERROR(__xludf.DUMMYFUNCTION("""COMPUTED_VALUE"""),"None")</f>
        <v>None</v>
      </c>
    </row>
    <row r="497" spans="1:8" ht="12.5">
      <c r="A497" s="1" t="str">
        <f ca="1">IFERROR(__xludf.DUMMYFUNCTION("""COMPUTED_VALUE"""),"20221205TNFRM")</f>
        <v>20221205TNFRM</v>
      </c>
      <c r="B497" s="1">
        <f ca="1">IFERROR(__xludf.DUMMYFUNCTION("""COMPUTED_VALUE"""),15)</f>
        <v>15</v>
      </c>
      <c r="C497" s="1" t="str">
        <f ca="1">IFERROR(__xludf.DUMMYFUNCTION("""COMPUTED_VALUE"""),"Male")</f>
        <v>Male</v>
      </c>
      <c r="D497" s="1"/>
      <c r="E497" s="1" t="str">
        <f ca="1">IFERROR(__xludf.DUMMYFUNCTION("""COMPUTED_VALUE"""),"Student")</f>
        <v>Student</v>
      </c>
      <c r="F497" s="1" t="str">
        <f ca="1">IFERROR(__xludf.DUMMYFUNCTION("""COMPUTED_VALUE"""),"Fled/Apprehended")</f>
        <v>Fled/Apprehended</v>
      </c>
      <c r="G497" s="1" t="str">
        <f ca="1">IFERROR(__xludf.DUMMYFUNCTION("""COMPUTED_VALUE"""),"No")</f>
        <v>No</v>
      </c>
      <c r="H497" s="1" t="str">
        <f ca="1">IFERROR(__xludf.DUMMYFUNCTION("""COMPUTED_VALUE"""),"None")</f>
        <v>None</v>
      </c>
    </row>
    <row r="498" spans="1:8" ht="12.5">
      <c r="A498" s="1" t="str">
        <f ca="1">IFERROR(__xludf.DUMMYFUNCTION("""COMPUTED_VALUE"""),"20221203WISOM")</f>
        <v>20221203WISOM</v>
      </c>
      <c r="B498" s="1">
        <f ca="1">IFERROR(__xludf.DUMMYFUNCTION("""COMPUTED_VALUE"""),27)</f>
        <v>27</v>
      </c>
      <c r="C498" s="1" t="str">
        <f ca="1">IFERROR(__xludf.DUMMYFUNCTION("""COMPUTED_VALUE"""),"Male")</f>
        <v>Male</v>
      </c>
      <c r="D498" s="1"/>
      <c r="E498" s="1" t="str">
        <f ca="1">IFERROR(__xludf.DUMMYFUNCTION("""COMPUTED_VALUE"""),"Nonstudent Using Athletic Facilities/Attending Game")</f>
        <v>Nonstudent Using Athletic Facilities/Attending Game</v>
      </c>
      <c r="F498" s="1" t="str">
        <f ca="1">IFERROR(__xludf.DUMMYFUNCTION("""COMPUTED_VALUE"""),"Fled/Apprehended")</f>
        <v>Fled/Apprehended</v>
      </c>
      <c r="G498" s="1" t="str">
        <f ca="1">IFERROR(__xludf.DUMMYFUNCTION("""COMPUTED_VALUE"""),"No")</f>
        <v>No</v>
      </c>
      <c r="H498" s="1" t="str">
        <f ca="1">IFERROR(__xludf.DUMMYFUNCTION("""COMPUTED_VALUE"""),"None")</f>
        <v>None</v>
      </c>
    </row>
    <row r="499" spans="1:8" ht="12.5">
      <c r="A499" s="1" t="str">
        <f ca="1">IFERROR(__xludf.DUMMYFUNCTION("""COMPUTED_VALUE"""),"20221202DEDEW")</f>
        <v>20221202DEDEW</v>
      </c>
      <c r="B499" s="1" t="str">
        <f ca="1">IFERROR(__xludf.DUMMYFUNCTION("""COMPUTED_VALUE"""),"Adult")</f>
        <v>Adult</v>
      </c>
      <c r="C499" s="1" t="str">
        <f ca="1">IFERROR(__xludf.DUMMYFUNCTION("""COMPUTED_VALUE"""),"Male")</f>
        <v>Male</v>
      </c>
      <c r="D499" s="1"/>
      <c r="E499" s="1" t="str">
        <f ca="1">IFERROR(__xludf.DUMMYFUNCTION("""COMPUTED_VALUE"""),"No Relation")</f>
        <v>No Relation</v>
      </c>
      <c r="F499" s="1" t="str">
        <f ca="1">IFERROR(__xludf.DUMMYFUNCTION("""COMPUTED_VALUE"""),"Fled/Apprehended")</f>
        <v>Fled/Apprehended</v>
      </c>
      <c r="G499" s="1" t="str">
        <f ca="1">IFERROR(__xludf.DUMMYFUNCTION("""COMPUTED_VALUE"""),"No")</f>
        <v>No</v>
      </c>
      <c r="H499" s="1" t="str">
        <f ca="1">IFERROR(__xludf.DUMMYFUNCTION("""COMPUTED_VALUE"""),"None")</f>
        <v>None</v>
      </c>
    </row>
    <row r="500" spans="1:8" ht="12.5">
      <c r="A500" s="1" t="str">
        <f ca="1">IFERROR(__xludf.DUMMYFUNCTION("""COMPUTED_VALUE"""),"20221121MIHED")</f>
        <v>20221121MIHED</v>
      </c>
      <c r="B500" s="1" t="str">
        <f ca="1">IFERROR(__xludf.DUMMYFUNCTION("""COMPUTED_VALUE"""),"Teen")</f>
        <v>Teen</v>
      </c>
      <c r="C500" s="1" t="str">
        <f ca="1">IFERROR(__xludf.DUMMYFUNCTION("""COMPUTED_VALUE"""),"Male")</f>
        <v>Male</v>
      </c>
      <c r="D500" s="1" t="str">
        <f ca="1">IFERROR(__xludf.DUMMYFUNCTION("""COMPUTED_VALUE"""),"Black")</f>
        <v>Black</v>
      </c>
      <c r="E500" s="1" t="str">
        <f ca="1">IFERROR(__xludf.DUMMYFUNCTION("""COMPUTED_VALUE"""),"Nonstudent")</f>
        <v>Nonstudent</v>
      </c>
      <c r="F500" s="1" t="str">
        <f ca="1">IFERROR(__xludf.DUMMYFUNCTION("""COMPUTED_VALUE"""),"Fled/Apprehended")</f>
        <v>Fled/Apprehended</v>
      </c>
      <c r="G500" s="1" t="str">
        <f ca="1">IFERROR(__xludf.DUMMYFUNCTION("""COMPUTED_VALUE"""),"No")</f>
        <v>No</v>
      </c>
      <c r="H500" s="1" t="str">
        <f ca="1">IFERROR(__xludf.DUMMYFUNCTION("""COMPUTED_VALUE"""),"None")</f>
        <v>None</v>
      </c>
    </row>
    <row r="501" spans="1:8" ht="12.5">
      <c r="A501" s="1" t="str">
        <f ca="1">IFERROR(__xludf.DUMMYFUNCTION("""COMPUTED_VALUE"""),"20221121MIHED")</f>
        <v>20221121MIHED</v>
      </c>
      <c r="B501" s="1">
        <f ca="1">IFERROR(__xludf.DUMMYFUNCTION("""COMPUTED_VALUE"""),16)</f>
        <v>16</v>
      </c>
      <c r="C501" s="1" t="str">
        <f ca="1">IFERROR(__xludf.DUMMYFUNCTION("""COMPUTED_VALUE"""),"Male")</f>
        <v>Male</v>
      </c>
      <c r="D501" s="1" t="str">
        <f ca="1">IFERROR(__xludf.DUMMYFUNCTION("""COMPUTED_VALUE"""),"Black")</f>
        <v>Black</v>
      </c>
      <c r="E501" s="1"/>
      <c r="F501" s="1" t="str">
        <f ca="1">IFERROR(__xludf.DUMMYFUNCTION("""COMPUTED_VALUE"""),"Fled/Apprehended")</f>
        <v>Fled/Apprehended</v>
      </c>
      <c r="G501" s="1" t="str">
        <f ca="1">IFERROR(__xludf.DUMMYFUNCTION("""COMPUTED_VALUE"""),"No")</f>
        <v>No</v>
      </c>
      <c r="H501" s="1" t="str">
        <f ca="1">IFERROR(__xludf.DUMMYFUNCTION("""COMPUTED_VALUE"""),"None")</f>
        <v>None</v>
      </c>
    </row>
    <row r="502" spans="1:8" ht="12.5">
      <c r="A502" s="1" t="str">
        <f ca="1">IFERROR(__xludf.DUMMYFUNCTION("""COMPUTED_VALUE"""),"20221121MIHED")</f>
        <v>20221121MIHED</v>
      </c>
      <c r="B502" s="1" t="str">
        <f ca="1">IFERROR(__xludf.DUMMYFUNCTION("""COMPUTED_VALUE"""),"Teen")</f>
        <v>Teen</v>
      </c>
      <c r="C502" s="1" t="str">
        <f ca="1">IFERROR(__xludf.DUMMYFUNCTION("""COMPUTED_VALUE"""),"Male")</f>
        <v>Male</v>
      </c>
      <c r="D502" s="1" t="str">
        <f ca="1">IFERROR(__xludf.DUMMYFUNCTION("""COMPUTED_VALUE"""),"Black")</f>
        <v>Black</v>
      </c>
      <c r="E502" s="1"/>
      <c r="F502" s="1" t="str">
        <f ca="1">IFERROR(__xludf.DUMMYFUNCTION("""COMPUTED_VALUE"""),"Fled/Escaped")</f>
        <v>Fled/Escaped</v>
      </c>
      <c r="G502" s="1" t="str">
        <f ca="1">IFERROR(__xludf.DUMMYFUNCTION("""COMPUTED_VALUE"""),"No")</f>
        <v>No</v>
      </c>
      <c r="H502" s="1" t="str">
        <f ca="1">IFERROR(__xludf.DUMMYFUNCTION("""COMPUTED_VALUE"""),"None")</f>
        <v>None</v>
      </c>
    </row>
    <row r="503" spans="1:8" ht="12.5">
      <c r="A503" s="1" t="str">
        <f ca="1">IFERROR(__xludf.DUMMYFUNCTION("""COMPUTED_VALUE"""),"20221122MISTS")</f>
        <v>20221122MISTS</v>
      </c>
      <c r="B503" s="1"/>
      <c r="C503" s="1"/>
      <c r="D503" s="1"/>
      <c r="E503" s="1"/>
      <c r="F503" s="1" t="str">
        <f ca="1">IFERROR(__xludf.DUMMYFUNCTION("""COMPUTED_VALUE"""),"Fled/Escaped")</f>
        <v>Fled/Escaped</v>
      </c>
      <c r="G503" s="1" t="str">
        <f ca="1">IFERROR(__xludf.DUMMYFUNCTION("""COMPUTED_VALUE"""),"No")</f>
        <v>No</v>
      </c>
      <c r="H503" s="1" t="str">
        <f ca="1">IFERROR(__xludf.DUMMYFUNCTION("""COMPUTED_VALUE"""),"None")</f>
        <v>None</v>
      </c>
    </row>
    <row r="504" spans="1:8" ht="12.5">
      <c r="A504" s="1" t="str">
        <f ca="1">IFERROR(__xludf.DUMMYFUNCTION("""COMPUTED_VALUE"""),"20221118NYROS")</f>
        <v>20221118NYROS</v>
      </c>
      <c r="B504" s="1"/>
      <c r="C504" s="1"/>
      <c r="D504" s="1"/>
      <c r="E504" s="1"/>
      <c r="F504" s="1" t="str">
        <f ca="1">IFERROR(__xludf.DUMMYFUNCTION("""COMPUTED_VALUE"""),"Fled/Escaped")</f>
        <v>Fled/Escaped</v>
      </c>
      <c r="G504" s="1" t="str">
        <f ca="1">IFERROR(__xludf.DUMMYFUNCTION("""COMPUTED_VALUE"""),"No")</f>
        <v>No</v>
      </c>
      <c r="H504" s="1" t="str">
        <f ca="1">IFERROR(__xludf.DUMMYFUNCTION("""COMPUTED_VALUE"""),"None")</f>
        <v>None</v>
      </c>
    </row>
    <row r="505" spans="1:8" ht="12.5">
      <c r="A505" s="1" t="str">
        <f ca="1">IFERROR(__xludf.DUMMYFUNCTION("""COMPUTED_VALUE"""),"20221118DCJAW")</f>
        <v>20221118DCJAW</v>
      </c>
      <c r="B505" s="1"/>
      <c r="C505" s="1" t="str">
        <f ca="1">IFERROR(__xludf.DUMMYFUNCTION("""COMPUTED_VALUE"""),"Male")</f>
        <v>Male</v>
      </c>
      <c r="D505" s="1"/>
      <c r="E505" s="1"/>
      <c r="F505" s="1" t="str">
        <f ca="1">IFERROR(__xludf.DUMMYFUNCTION("""COMPUTED_VALUE"""),"Fled/Escaped")</f>
        <v>Fled/Escaped</v>
      </c>
      <c r="G505" s="1" t="str">
        <f ca="1">IFERROR(__xludf.DUMMYFUNCTION("""COMPUTED_VALUE"""),"No")</f>
        <v>No</v>
      </c>
      <c r="H505" s="1" t="str">
        <f ca="1">IFERROR(__xludf.DUMMYFUNCTION("""COMPUTED_VALUE"""),"None")</f>
        <v>None</v>
      </c>
    </row>
    <row r="506" spans="1:8" ht="12.5">
      <c r="A506" s="1" t="str">
        <f ca="1">IFERROR(__xludf.DUMMYFUNCTION("""COMPUTED_VALUE"""),"20221117CAEAL")</f>
        <v>20221117CAEAL</v>
      </c>
      <c r="B506" s="1"/>
      <c r="C506" s="1"/>
      <c r="D506" s="1"/>
      <c r="E506" s="1"/>
      <c r="F506" s="1" t="str">
        <f ca="1">IFERROR(__xludf.DUMMYFUNCTION("""COMPUTED_VALUE"""),"Fled/Escaped")</f>
        <v>Fled/Escaped</v>
      </c>
      <c r="G506" s="1" t="str">
        <f ca="1">IFERROR(__xludf.DUMMYFUNCTION("""COMPUTED_VALUE"""),"No")</f>
        <v>No</v>
      </c>
      <c r="H506" s="1" t="str">
        <f ca="1">IFERROR(__xludf.DUMMYFUNCTION("""COMPUTED_VALUE"""),"None")</f>
        <v>None</v>
      </c>
    </row>
    <row r="507" spans="1:8" ht="12.5">
      <c r="A507" s="1" t="str">
        <f ca="1">IFERROR(__xludf.DUMMYFUNCTION("""COMPUTED_VALUE"""),"20221117INSOC")</f>
        <v>20221117INSOC</v>
      </c>
      <c r="B507" s="1" t="str">
        <f ca="1">IFERROR(__xludf.DUMMYFUNCTION("""COMPUTED_VALUE"""),"Adult")</f>
        <v>Adult</v>
      </c>
      <c r="C507" s="1" t="str">
        <f ca="1">IFERROR(__xludf.DUMMYFUNCTION("""COMPUTED_VALUE"""),"Male")</f>
        <v>Male</v>
      </c>
      <c r="D507" s="1"/>
      <c r="E507" s="1" t="str">
        <f ca="1">IFERROR(__xludf.DUMMYFUNCTION("""COMPUTED_VALUE"""),"Police Officer/SRO")</f>
        <v>Police Officer/SRO</v>
      </c>
      <c r="F507" s="1" t="str">
        <f ca="1">IFERROR(__xludf.DUMMYFUNCTION("""COMPUTED_VALUE"""),"Law Enforcement")</f>
        <v>Law Enforcement</v>
      </c>
      <c r="G507" s="1" t="str">
        <f ca="1">IFERROR(__xludf.DUMMYFUNCTION("""COMPUTED_VALUE"""),"No")</f>
        <v>No</v>
      </c>
      <c r="H507" s="1" t="str">
        <f ca="1">IFERROR(__xludf.DUMMYFUNCTION("""COMPUTED_VALUE"""),"None")</f>
        <v>None</v>
      </c>
    </row>
    <row r="508" spans="1:8" ht="12.5">
      <c r="A508" s="1" t="str">
        <f ca="1">IFERROR(__xludf.DUMMYFUNCTION("""COMPUTED_VALUE"""),"20221116ORMCM")</f>
        <v>20221116ORMCM</v>
      </c>
      <c r="B508" s="1"/>
      <c r="C508" s="1"/>
      <c r="D508" s="1"/>
      <c r="E508" s="1"/>
      <c r="F508" s="1" t="str">
        <f ca="1">IFERROR(__xludf.DUMMYFUNCTION("""COMPUTED_VALUE"""),"Fled/Escaped")</f>
        <v>Fled/Escaped</v>
      </c>
      <c r="G508" s="1" t="str">
        <f ca="1">IFERROR(__xludf.DUMMYFUNCTION("""COMPUTED_VALUE"""),"No")</f>
        <v>No</v>
      </c>
      <c r="H508" s="1" t="str">
        <f ca="1">IFERROR(__xludf.DUMMYFUNCTION("""COMPUTED_VALUE"""),"None")</f>
        <v>None</v>
      </c>
    </row>
    <row r="509" spans="1:8" ht="12.5">
      <c r="A509" s="1" t="str">
        <f ca="1">IFERROR(__xludf.DUMMYFUNCTION("""COMPUTED_VALUE"""),"20221116NCLUL")</f>
        <v>20221116NCLUL</v>
      </c>
      <c r="B509" s="1" t="str">
        <f ca="1">IFERROR(__xludf.DUMMYFUNCTION("""COMPUTED_VALUE"""),"Adult")</f>
        <v>Adult</v>
      </c>
      <c r="C509" s="1" t="str">
        <f ca="1">IFERROR(__xludf.DUMMYFUNCTION("""COMPUTED_VALUE"""),"Male")</f>
        <v>Male</v>
      </c>
      <c r="D509" s="1"/>
      <c r="E509" s="1"/>
      <c r="F509" s="1" t="str">
        <f ca="1">IFERROR(__xludf.DUMMYFUNCTION("""COMPUTED_VALUE"""),"Fled/Escaped")</f>
        <v>Fled/Escaped</v>
      </c>
      <c r="G509" s="1" t="str">
        <f ca="1">IFERROR(__xludf.DUMMYFUNCTION("""COMPUTED_VALUE"""),"No")</f>
        <v>No</v>
      </c>
      <c r="H509" s="1" t="str">
        <f ca="1">IFERROR(__xludf.DUMMYFUNCTION("""COMPUTED_VALUE"""),"None")</f>
        <v>None</v>
      </c>
    </row>
    <row r="510" spans="1:8" ht="12.5">
      <c r="A510" s="1" t="str">
        <f ca="1">IFERROR(__xludf.DUMMYFUNCTION("""COMPUTED_VALUE"""),"20221115TNMAN")</f>
        <v>20221115TNMAN</v>
      </c>
      <c r="B510" s="1" t="str">
        <f ca="1">IFERROR(__xludf.DUMMYFUNCTION("""COMPUTED_VALUE"""),"Adult")</f>
        <v>Adult</v>
      </c>
      <c r="C510" s="1" t="str">
        <f ca="1">IFERROR(__xludf.DUMMYFUNCTION("""COMPUTED_VALUE"""),"Male")</f>
        <v>Male</v>
      </c>
      <c r="D510" s="1"/>
      <c r="E510" s="1" t="str">
        <f ca="1">IFERROR(__xludf.DUMMYFUNCTION("""COMPUTED_VALUE"""),"No Relation")</f>
        <v>No Relation</v>
      </c>
      <c r="F510" s="1" t="str">
        <f ca="1">IFERROR(__xludf.DUMMYFUNCTION("""COMPUTED_VALUE"""),"Fled/Escaped")</f>
        <v>Fled/Escaped</v>
      </c>
      <c r="G510" s="1" t="str">
        <f ca="1">IFERROR(__xludf.DUMMYFUNCTION("""COMPUTED_VALUE"""),"No")</f>
        <v>No</v>
      </c>
      <c r="H510" s="1" t="str">
        <f ca="1">IFERROR(__xludf.DUMMYFUNCTION("""COMPUTED_VALUE"""),"None")</f>
        <v>None</v>
      </c>
    </row>
    <row r="511" spans="1:8" ht="12.5">
      <c r="A511" s="1" t="str">
        <f ca="1">IFERROR(__xludf.DUMMYFUNCTION("""COMPUTED_VALUE"""),"20221115LABAB")</f>
        <v>20221115LABAB</v>
      </c>
      <c r="B511" s="1" t="str">
        <f ca="1">IFERROR(__xludf.DUMMYFUNCTION("""COMPUTED_VALUE"""),"Adult")</f>
        <v>Adult</v>
      </c>
      <c r="C511" s="1" t="str">
        <f ca="1">IFERROR(__xludf.DUMMYFUNCTION("""COMPUTED_VALUE"""),"Male")</f>
        <v>Male</v>
      </c>
      <c r="D511" s="1"/>
      <c r="E511" s="1" t="str">
        <f ca="1">IFERROR(__xludf.DUMMYFUNCTION("""COMPUTED_VALUE"""),"No Relation")</f>
        <v>No Relation</v>
      </c>
      <c r="F511" s="1" t="str">
        <f ca="1">IFERROR(__xludf.DUMMYFUNCTION("""COMPUTED_VALUE"""),"Apprehended/Killed by SRO")</f>
        <v>Apprehended/Killed by SRO</v>
      </c>
      <c r="G511" s="1" t="str">
        <f ca="1">IFERROR(__xludf.DUMMYFUNCTION("""COMPUTED_VALUE"""),"No")</f>
        <v>No</v>
      </c>
      <c r="H511" s="1" t="str">
        <f ca="1">IFERROR(__xludf.DUMMYFUNCTION("""COMPUTED_VALUE"""),"Wounded")</f>
        <v>Wounded</v>
      </c>
    </row>
    <row r="512" spans="1:8" ht="12.5">
      <c r="A512" s="1" t="str">
        <f ca="1">IFERROR(__xludf.DUMMYFUNCTION("""COMPUTED_VALUE"""),"20221115LABAB")</f>
        <v>20221115LABAB</v>
      </c>
      <c r="B512" s="1" t="str">
        <f ca="1">IFERROR(__xludf.DUMMYFUNCTION("""COMPUTED_VALUE"""),"Teen")</f>
        <v>Teen</v>
      </c>
      <c r="C512" s="1" t="str">
        <f ca="1">IFERROR(__xludf.DUMMYFUNCTION("""COMPUTED_VALUE"""),"Male")</f>
        <v>Male</v>
      </c>
      <c r="D512" s="1"/>
      <c r="E512" s="1" t="str">
        <f ca="1">IFERROR(__xludf.DUMMYFUNCTION("""COMPUTED_VALUE"""),"No Relation")</f>
        <v>No Relation</v>
      </c>
      <c r="F512" s="1" t="str">
        <f ca="1">IFERROR(__xludf.DUMMYFUNCTION("""COMPUTED_VALUE"""),"Apprehended/Killed by SRO")</f>
        <v>Apprehended/Killed by SRO</v>
      </c>
      <c r="G512" s="1" t="str">
        <f ca="1">IFERROR(__xludf.DUMMYFUNCTION("""COMPUTED_VALUE"""),"No")</f>
        <v>No</v>
      </c>
      <c r="H512" s="1" t="str">
        <f ca="1">IFERROR(__xludf.DUMMYFUNCTION("""COMPUTED_VALUE"""),"Wounded")</f>
        <v>Wounded</v>
      </c>
    </row>
    <row r="513" spans="1:8" ht="12.5">
      <c r="A513" s="1" t="str">
        <f ca="1">IFERROR(__xludf.DUMMYFUNCTION("""COMPUTED_VALUE"""),"20221112FLJOO")</f>
        <v>20221112FLJOO</v>
      </c>
      <c r="B513" s="1" t="str">
        <f ca="1">IFERROR(__xludf.DUMMYFUNCTION("""COMPUTED_VALUE"""),"Teen")</f>
        <v>Teen</v>
      </c>
      <c r="C513" s="1" t="str">
        <f ca="1">IFERROR(__xludf.DUMMYFUNCTION("""COMPUTED_VALUE"""),"Male")</f>
        <v>Male</v>
      </c>
      <c r="D513" s="1"/>
      <c r="E513" s="1"/>
      <c r="F513" s="1" t="str">
        <f ca="1">IFERROR(__xludf.DUMMYFUNCTION("""COMPUTED_VALUE"""),"Fled/Escaped")</f>
        <v>Fled/Escaped</v>
      </c>
      <c r="G513" s="1" t="str">
        <f ca="1">IFERROR(__xludf.DUMMYFUNCTION("""COMPUTED_VALUE"""),"No")</f>
        <v>No</v>
      </c>
      <c r="H513" s="1" t="str">
        <f ca="1">IFERROR(__xludf.DUMMYFUNCTION("""COMPUTED_VALUE"""),"None")</f>
        <v>None</v>
      </c>
    </row>
    <row r="514" spans="1:8" ht="12.5">
      <c r="A514" s="1" t="str">
        <f ca="1">IFERROR(__xludf.DUMMYFUNCTION("""COMPUTED_VALUE"""),"20221112FLJOO")</f>
        <v>20221112FLJOO</v>
      </c>
      <c r="B514" s="1">
        <f ca="1">IFERROR(__xludf.DUMMYFUNCTION("""COMPUTED_VALUE"""),17)</f>
        <v>17</v>
      </c>
      <c r="C514" s="1" t="str">
        <f ca="1">IFERROR(__xludf.DUMMYFUNCTION("""COMPUTED_VALUE"""),"Male")</f>
        <v>Male</v>
      </c>
      <c r="D514" s="1" t="str">
        <f ca="1">IFERROR(__xludf.DUMMYFUNCTION("""COMPUTED_VALUE"""),"Black")</f>
        <v>Black</v>
      </c>
      <c r="E514" s="1" t="str">
        <f ca="1">IFERROR(__xludf.DUMMYFUNCTION("""COMPUTED_VALUE"""),"Former Student")</f>
        <v>Former Student</v>
      </c>
      <c r="F514" s="1" t="str">
        <f ca="1">IFERROR(__xludf.DUMMYFUNCTION("""COMPUTED_VALUE"""),"Fled/Apprehended")</f>
        <v>Fled/Apprehended</v>
      </c>
      <c r="G514" s="1" t="str">
        <f ca="1">IFERROR(__xludf.DUMMYFUNCTION("""COMPUTED_VALUE"""),"No")</f>
        <v>No</v>
      </c>
      <c r="H514" s="1" t="str">
        <f ca="1">IFERROR(__xludf.DUMMYFUNCTION("""COMPUTED_VALUE"""),"None")</f>
        <v>None</v>
      </c>
    </row>
    <row r="515" spans="1:8" ht="12.5">
      <c r="A515" s="1" t="str">
        <f ca="1">IFERROR(__xludf.DUMMYFUNCTION("""COMPUTED_VALUE"""),"20221112FLJOO")</f>
        <v>20221112FLJOO</v>
      </c>
      <c r="B515" s="1">
        <f ca="1">IFERROR(__xludf.DUMMYFUNCTION("""COMPUTED_VALUE"""),15)</f>
        <v>15</v>
      </c>
      <c r="C515" s="1" t="str">
        <f ca="1">IFERROR(__xludf.DUMMYFUNCTION("""COMPUTED_VALUE"""),"Male")</f>
        <v>Male</v>
      </c>
      <c r="D515" s="1"/>
      <c r="E515" s="1"/>
      <c r="F515" s="1" t="str">
        <f ca="1">IFERROR(__xludf.DUMMYFUNCTION("""COMPUTED_VALUE"""),"Fled/Apprehended")</f>
        <v>Fled/Apprehended</v>
      </c>
      <c r="G515" s="1" t="str">
        <f ca="1">IFERROR(__xludf.DUMMYFUNCTION("""COMPUTED_VALUE"""),"No")</f>
        <v>No</v>
      </c>
      <c r="H515" s="1" t="str">
        <f ca="1">IFERROR(__xludf.DUMMYFUNCTION("""COMPUTED_VALUE"""),"None")</f>
        <v>None</v>
      </c>
    </row>
    <row r="516" spans="1:8" ht="12.5">
      <c r="A516" s="1" t="str">
        <f ca="1">IFERROR(__xludf.DUMMYFUNCTION("""COMPUTED_VALUE"""),"20221111MSRAR")</f>
        <v>20221111MSRAR</v>
      </c>
      <c r="B516" s="1"/>
      <c r="C516" s="1"/>
      <c r="D516" s="1"/>
      <c r="E516" s="1"/>
      <c r="F516" s="1" t="str">
        <f ca="1">IFERROR(__xludf.DUMMYFUNCTION("""COMPUTED_VALUE"""),"Fled/Escaped")</f>
        <v>Fled/Escaped</v>
      </c>
      <c r="G516" s="1" t="str">
        <f ca="1">IFERROR(__xludf.DUMMYFUNCTION("""COMPUTED_VALUE"""),"No")</f>
        <v>No</v>
      </c>
      <c r="H516" s="1" t="str">
        <f ca="1">IFERROR(__xludf.DUMMYFUNCTION("""COMPUTED_VALUE"""),"None")</f>
        <v>None</v>
      </c>
    </row>
    <row r="517" spans="1:8" ht="12.5">
      <c r="A517" s="1" t="str">
        <f ca="1">IFERROR(__xludf.DUMMYFUNCTION("""COMPUTED_VALUE"""),"20221109KYCAC")</f>
        <v>20221109KYCAC</v>
      </c>
      <c r="B517" s="1">
        <f ca="1">IFERROR(__xludf.DUMMYFUNCTION("""COMPUTED_VALUE"""),37)</f>
        <v>37</v>
      </c>
      <c r="C517" s="1" t="str">
        <f ca="1">IFERROR(__xludf.DUMMYFUNCTION("""COMPUTED_VALUE"""),"Male")</f>
        <v>Male</v>
      </c>
      <c r="D517" s="1"/>
      <c r="E517" s="1" t="str">
        <f ca="1">IFERROR(__xludf.DUMMYFUNCTION("""COMPUTED_VALUE"""),"Parent")</f>
        <v>Parent</v>
      </c>
      <c r="F517" s="1" t="str">
        <f ca="1">IFERROR(__xludf.DUMMYFUNCTION("""COMPUTED_VALUE"""),"Surrendered")</f>
        <v>Surrendered</v>
      </c>
      <c r="G517" s="1" t="str">
        <f ca="1">IFERROR(__xludf.DUMMYFUNCTION("""COMPUTED_VALUE"""),"No")</f>
        <v>No</v>
      </c>
      <c r="H517" s="1" t="str">
        <f ca="1">IFERROR(__xludf.DUMMYFUNCTION("""COMPUTED_VALUE"""),"Wounded")</f>
        <v>Wounded</v>
      </c>
    </row>
    <row r="518" spans="1:8" ht="12.5">
      <c r="A518" s="1" t="str">
        <f ca="1">IFERROR(__xludf.DUMMYFUNCTION("""COMPUTED_VALUE"""),"20221108WAINS")</f>
        <v>20221108WAINS</v>
      </c>
      <c r="B518" s="1">
        <f ca="1">IFERROR(__xludf.DUMMYFUNCTION("""COMPUTED_VALUE"""),14)</f>
        <v>14</v>
      </c>
      <c r="C518" s="1" t="str">
        <f ca="1">IFERROR(__xludf.DUMMYFUNCTION("""COMPUTED_VALUE"""),"Male")</f>
        <v>Male</v>
      </c>
      <c r="D518" s="1"/>
      <c r="E518" s="1" t="str">
        <f ca="1">IFERROR(__xludf.DUMMYFUNCTION("""COMPUTED_VALUE"""),"Student")</f>
        <v>Student</v>
      </c>
      <c r="F518" s="1" t="str">
        <f ca="1">IFERROR(__xludf.DUMMYFUNCTION("""COMPUTED_VALUE"""),"Fled/Apprehended")</f>
        <v>Fled/Apprehended</v>
      </c>
      <c r="G518" s="1" t="str">
        <f ca="1">IFERROR(__xludf.DUMMYFUNCTION("""COMPUTED_VALUE"""),"No")</f>
        <v>No</v>
      </c>
      <c r="H518" s="1" t="str">
        <f ca="1">IFERROR(__xludf.DUMMYFUNCTION("""COMPUTED_VALUE"""),"None")</f>
        <v>None</v>
      </c>
    </row>
    <row r="519" spans="1:8" ht="12.5">
      <c r="A519" s="1" t="str">
        <f ca="1">IFERROR(__xludf.DUMMYFUNCTION("""COMPUTED_VALUE"""),"20221106VAHUH")</f>
        <v>20221106VAHUH</v>
      </c>
      <c r="B519" s="1" t="str">
        <f ca="1">IFERROR(__xludf.DUMMYFUNCTION("""COMPUTED_VALUE"""),"Adult")</f>
        <v>Adult</v>
      </c>
      <c r="C519" s="1" t="str">
        <f ca="1">IFERROR(__xludf.DUMMYFUNCTION("""COMPUTED_VALUE"""),"Male")</f>
        <v>Male</v>
      </c>
      <c r="D519" s="1"/>
      <c r="E519" s="1" t="str">
        <f ca="1">IFERROR(__xludf.DUMMYFUNCTION("""COMPUTED_VALUE"""),"No Relation")</f>
        <v>No Relation</v>
      </c>
      <c r="F519" s="1" t="str">
        <f ca="1">IFERROR(__xludf.DUMMYFUNCTION("""COMPUTED_VALUE"""),"Fled/Apprehended")</f>
        <v>Fled/Apprehended</v>
      </c>
      <c r="G519" s="1" t="str">
        <f ca="1">IFERROR(__xludf.DUMMYFUNCTION("""COMPUTED_VALUE"""),"No")</f>
        <v>No</v>
      </c>
      <c r="H519" s="1" t="str">
        <f ca="1">IFERROR(__xludf.DUMMYFUNCTION("""COMPUTED_VALUE"""),"None")</f>
        <v>None</v>
      </c>
    </row>
    <row r="520" spans="1:8" ht="12.5">
      <c r="A520" s="1" t="str">
        <f ca="1">IFERROR(__xludf.DUMMYFUNCTION("""COMPUTED_VALUE"""),"20221105TXDAF")</f>
        <v>20221105TXDAF</v>
      </c>
      <c r="B520" s="1" t="str">
        <f ca="1">IFERROR(__xludf.DUMMYFUNCTION("""COMPUTED_VALUE"""),"Adult")</f>
        <v>Adult</v>
      </c>
      <c r="C520" s="1"/>
      <c r="D520" s="1"/>
      <c r="E520" s="1" t="str">
        <f ca="1">IFERROR(__xludf.DUMMYFUNCTION("""COMPUTED_VALUE"""),"Police Officer/SRO")</f>
        <v>Police Officer/SRO</v>
      </c>
      <c r="F520" s="1" t="str">
        <f ca="1">IFERROR(__xludf.DUMMYFUNCTION("""COMPUTED_VALUE"""),"Law Enforcement")</f>
        <v>Law Enforcement</v>
      </c>
      <c r="G520" s="1" t="str">
        <f ca="1">IFERROR(__xludf.DUMMYFUNCTION("""COMPUTED_VALUE"""),"No")</f>
        <v>No</v>
      </c>
      <c r="H520" s="1" t="str">
        <f ca="1">IFERROR(__xludf.DUMMYFUNCTION("""COMPUTED_VALUE"""),"None")</f>
        <v>None</v>
      </c>
    </row>
    <row r="521" spans="1:8" ht="12.5">
      <c r="A521" s="1" t="str">
        <f ca="1">IFERROR(__xludf.DUMMYFUNCTION("""COMPUTED_VALUE"""),"20221104KYVAL")</f>
        <v>20221104KYVAL</v>
      </c>
      <c r="B521" s="1">
        <f ca="1">IFERROR(__xludf.DUMMYFUNCTION("""COMPUTED_VALUE"""),20)</f>
        <v>20</v>
      </c>
      <c r="C521" s="1" t="str">
        <f ca="1">IFERROR(__xludf.DUMMYFUNCTION("""COMPUTED_VALUE"""),"Male")</f>
        <v>Male</v>
      </c>
      <c r="D521" s="1"/>
      <c r="E521" s="1" t="str">
        <f ca="1">IFERROR(__xludf.DUMMYFUNCTION("""COMPUTED_VALUE"""),"No Relation")</f>
        <v>No Relation</v>
      </c>
      <c r="F521" s="1" t="str">
        <f ca="1">IFERROR(__xludf.DUMMYFUNCTION("""COMPUTED_VALUE"""),"Fled/Apprehended")</f>
        <v>Fled/Apprehended</v>
      </c>
      <c r="G521" s="1" t="str">
        <f ca="1">IFERROR(__xludf.DUMMYFUNCTION("""COMPUTED_VALUE"""),"No")</f>
        <v>No</v>
      </c>
      <c r="H521" s="1" t="str">
        <f ca="1">IFERROR(__xludf.DUMMYFUNCTION("""COMPUTED_VALUE"""),"None")</f>
        <v>None</v>
      </c>
    </row>
    <row r="522" spans="1:8" ht="12.5">
      <c r="A522" s="1" t="str">
        <f ca="1">IFERROR(__xludf.DUMMYFUNCTION("""COMPUTED_VALUE"""),"20221103GASHS")</f>
        <v>20221103GASHS</v>
      </c>
      <c r="B522" s="1"/>
      <c r="C522" s="1"/>
      <c r="D522" s="1"/>
      <c r="E522" s="1"/>
      <c r="F522" s="1" t="str">
        <f ca="1">IFERROR(__xludf.DUMMYFUNCTION("""COMPUTED_VALUE"""),"Fled/Escaped")</f>
        <v>Fled/Escaped</v>
      </c>
      <c r="G522" s="1" t="str">
        <f ca="1">IFERROR(__xludf.DUMMYFUNCTION("""COMPUTED_VALUE"""),"No")</f>
        <v>No</v>
      </c>
      <c r="H522" s="1" t="str">
        <f ca="1">IFERROR(__xludf.DUMMYFUNCTION("""COMPUTED_VALUE"""),"None")</f>
        <v>None</v>
      </c>
    </row>
    <row r="523" spans="1:8" ht="12.5">
      <c r="A523" s="1" t="str">
        <f ca="1">IFERROR(__xludf.DUMMYFUNCTION("""COMPUTED_VALUE"""),"20221102DCMCW")</f>
        <v>20221102DCMCW</v>
      </c>
      <c r="B523" s="1" t="str">
        <f ca="1">IFERROR(__xludf.DUMMYFUNCTION("""COMPUTED_VALUE"""),"Teen")</f>
        <v>Teen</v>
      </c>
      <c r="C523" s="1" t="str">
        <f ca="1">IFERROR(__xludf.DUMMYFUNCTION("""COMPUTED_VALUE"""),"Male")</f>
        <v>Male</v>
      </c>
      <c r="D523" s="1"/>
      <c r="E523" s="1"/>
      <c r="F523" s="1" t="str">
        <f ca="1">IFERROR(__xludf.DUMMYFUNCTION("""COMPUTED_VALUE"""),"Fled/Escaped")</f>
        <v>Fled/Escaped</v>
      </c>
      <c r="G523" s="1" t="str">
        <f ca="1">IFERROR(__xludf.DUMMYFUNCTION("""COMPUTED_VALUE"""),"No")</f>
        <v>No</v>
      </c>
      <c r="H523" s="1" t="str">
        <f ca="1">IFERROR(__xludf.DUMMYFUNCTION("""COMPUTED_VALUE"""),"None")</f>
        <v>None</v>
      </c>
    </row>
    <row r="524" spans="1:8" ht="12.5">
      <c r="A524" s="1" t="str">
        <f ca="1">IFERROR(__xludf.DUMMYFUNCTION("""COMPUTED_VALUE"""),"20221029TXAVA")</f>
        <v>20221029TXAVA</v>
      </c>
      <c r="B524" s="1" t="str">
        <f ca="1">IFERROR(__xludf.DUMMYFUNCTION("""COMPUTED_VALUE"""),"Teen")</f>
        <v>Teen</v>
      </c>
      <c r="C524" s="1" t="str">
        <f ca="1">IFERROR(__xludf.DUMMYFUNCTION("""COMPUTED_VALUE"""),"Male")</f>
        <v>Male</v>
      </c>
      <c r="D524" s="1"/>
      <c r="E524" s="1" t="str">
        <f ca="1">IFERROR(__xludf.DUMMYFUNCTION("""COMPUTED_VALUE"""),"No Relation")</f>
        <v>No Relation</v>
      </c>
      <c r="F524" s="1" t="str">
        <f ca="1">IFERROR(__xludf.DUMMYFUNCTION("""COMPUTED_VALUE"""),"Fled/Escaped")</f>
        <v>Fled/Escaped</v>
      </c>
      <c r="G524" s="1" t="str">
        <f ca="1">IFERROR(__xludf.DUMMYFUNCTION("""COMPUTED_VALUE"""),"No")</f>
        <v>No</v>
      </c>
      <c r="H524" s="1" t="str">
        <f ca="1">IFERROR(__xludf.DUMMYFUNCTION("""COMPUTED_VALUE"""),"None")</f>
        <v>None</v>
      </c>
    </row>
    <row r="525" spans="1:8" ht="12.5">
      <c r="A525" s="1" t="str">
        <f ca="1">IFERROR(__xludf.DUMMYFUNCTION("""COMPUTED_VALUE"""),"20221029COCRH")</f>
        <v>20221029COCRH</v>
      </c>
      <c r="B525" s="1">
        <f ca="1">IFERROR(__xludf.DUMMYFUNCTION("""COMPUTED_VALUE"""),65)</f>
        <v>65</v>
      </c>
      <c r="C525" s="1" t="str">
        <f ca="1">IFERROR(__xludf.DUMMYFUNCTION("""COMPUTED_VALUE"""),"Male")</f>
        <v>Male</v>
      </c>
      <c r="D525" s="1"/>
      <c r="E525" s="1" t="str">
        <f ca="1">IFERROR(__xludf.DUMMYFUNCTION("""COMPUTED_VALUE"""),"Nonstudent Using Athletic Facilities/Attending Game")</f>
        <v>Nonstudent Using Athletic Facilities/Attending Game</v>
      </c>
      <c r="F525" s="1" t="str">
        <f ca="1">IFERROR(__xludf.DUMMYFUNCTION("""COMPUTED_VALUE"""),"Apprehended/Killed by LE")</f>
        <v>Apprehended/Killed by LE</v>
      </c>
      <c r="G525" s="1" t="str">
        <f ca="1">IFERROR(__xludf.DUMMYFUNCTION("""COMPUTED_VALUE"""),"No")</f>
        <v>No</v>
      </c>
      <c r="H525" s="1" t="str">
        <f ca="1">IFERROR(__xludf.DUMMYFUNCTION("""COMPUTED_VALUE"""),"None")</f>
        <v>None</v>
      </c>
    </row>
    <row r="526" spans="1:8" ht="12.5">
      <c r="A526" s="1" t="str">
        <f ca="1">IFERROR(__xludf.DUMMYFUNCTION("""COMPUTED_VALUE"""),"20221028NCWAT")</f>
        <v>20221028NCWAT</v>
      </c>
      <c r="B526" s="1">
        <f ca="1">IFERROR(__xludf.DUMMYFUNCTION("""COMPUTED_VALUE"""),20)</f>
        <v>20</v>
      </c>
      <c r="C526" s="1" t="str">
        <f ca="1">IFERROR(__xludf.DUMMYFUNCTION("""COMPUTED_VALUE"""),"Male")</f>
        <v>Male</v>
      </c>
      <c r="D526" s="1"/>
      <c r="E526" s="1" t="str">
        <f ca="1">IFERROR(__xludf.DUMMYFUNCTION("""COMPUTED_VALUE"""),"Nonstudent Using Athletic Facilities/Attending Game")</f>
        <v>Nonstudent Using Athletic Facilities/Attending Game</v>
      </c>
      <c r="F526" s="1" t="str">
        <f ca="1">IFERROR(__xludf.DUMMYFUNCTION("""COMPUTED_VALUE"""),"Fled/Apprehended")</f>
        <v>Fled/Apprehended</v>
      </c>
      <c r="G526" s="1" t="str">
        <f ca="1">IFERROR(__xludf.DUMMYFUNCTION("""COMPUTED_VALUE"""),"No")</f>
        <v>No</v>
      </c>
      <c r="H526" s="1" t="str">
        <f ca="1">IFERROR(__xludf.DUMMYFUNCTION("""COMPUTED_VALUE"""),"None")</f>
        <v>None</v>
      </c>
    </row>
    <row r="527" spans="1:8" ht="12.5">
      <c r="A527" s="1" t="str">
        <f ca="1">IFERROR(__xludf.DUMMYFUNCTION("""COMPUTED_VALUE"""),"20221028TXROR")</f>
        <v>20221028TXROR</v>
      </c>
      <c r="B527" s="1" t="str">
        <f ca="1">IFERROR(__xludf.DUMMYFUNCTION("""COMPUTED_VALUE"""),"Teen")</f>
        <v>Teen</v>
      </c>
      <c r="C527" s="1" t="str">
        <f ca="1">IFERROR(__xludf.DUMMYFUNCTION("""COMPUTED_VALUE"""),"Male")</f>
        <v>Male</v>
      </c>
      <c r="D527" s="1"/>
      <c r="E527" s="1" t="str">
        <f ca="1">IFERROR(__xludf.DUMMYFUNCTION("""COMPUTED_VALUE"""),"Student")</f>
        <v>Student</v>
      </c>
      <c r="F527" s="1" t="str">
        <f ca="1">IFERROR(__xludf.DUMMYFUNCTION("""COMPUTED_VALUE"""),"Apprehended/Killed by SRO")</f>
        <v>Apprehended/Killed by SRO</v>
      </c>
      <c r="G527" s="1" t="str">
        <f ca="1">IFERROR(__xludf.DUMMYFUNCTION("""COMPUTED_VALUE"""),"No")</f>
        <v>No</v>
      </c>
      <c r="H527" s="1" t="str">
        <f ca="1">IFERROR(__xludf.DUMMYFUNCTION("""COMPUTED_VALUE"""),"None")</f>
        <v>None</v>
      </c>
    </row>
    <row r="528" spans="1:8" ht="12.5">
      <c r="A528" s="1" t="str">
        <f ca="1">IFERROR(__xludf.DUMMYFUNCTION("""COMPUTED_VALUE"""),"20221028ARROR")</f>
        <v>20221028ARROR</v>
      </c>
      <c r="B528" s="1">
        <f ca="1">IFERROR(__xludf.DUMMYFUNCTION("""COMPUTED_VALUE"""),12)</f>
        <v>12</v>
      </c>
      <c r="C528" s="1"/>
      <c r="D528" s="1"/>
      <c r="E528" s="1"/>
      <c r="F528" s="1" t="str">
        <f ca="1">IFERROR(__xludf.DUMMYFUNCTION("""COMPUTED_VALUE"""),"Fled/Apprehended")</f>
        <v>Fled/Apprehended</v>
      </c>
      <c r="G528" s="1" t="str">
        <f ca="1">IFERROR(__xludf.DUMMYFUNCTION("""COMPUTED_VALUE"""),"No")</f>
        <v>No</v>
      </c>
      <c r="H528" s="1" t="str">
        <f ca="1">IFERROR(__xludf.DUMMYFUNCTION("""COMPUTED_VALUE"""),"None")</f>
        <v>None</v>
      </c>
    </row>
    <row r="529" spans="1:8" ht="12.5">
      <c r="A529" s="1" t="str">
        <f ca="1">IFERROR(__xludf.DUMMYFUNCTION("""COMPUTED_VALUE"""),"20221026TXUTU")</f>
        <v>20221026TXUTU</v>
      </c>
      <c r="B529" s="1" t="str">
        <f ca="1">IFERROR(__xludf.DUMMYFUNCTION("""COMPUTED_VALUE"""),"Adult")</f>
        <v>Adult</v>
      </c>
      <c r="C529" s="1" t="str">
        <f ca="1">IFERROR(__xludf.DUMMYFUNCTION("""COMPUTED_VALUE"""),"Male")</f>
        <v>Male</v>
      </c>
      <c r="D529" s="1"/>
      <c r="E529" s="1" t="str">
        <f ca="1">IFERROR(__xludf.DUMMYFUNCTION("""COMPUTED_VALUE"""),"Other Staff")</f>
        <v>Other Staff</v>
      </c>
      <c r="F529" s="1" t="str">
        <f ca="1">IFERROR(__xludf.DUMMYFUNCTION("""COMPUTED_VALUE"""),"Surrendered")</f>
        <v>Surrendered</v>
      </c>
      <c r="G529" s="1" t="str">
        <f ca="1">IFERROR(__xludf.DUMMYFUNCTION("""COMPUTED_VALUE"""),"No")</f>
        <v>No</v>
      </c>
      <c r="H529" s="1" t="str">
        <f ca="1">IFERROR(__xludf.DUMMYFUNCTION("""COMPUTED_VALUE"""),"None")</f>
        <v>None</v>
      </c>
    </row>
    <row r="530" spans="1:8" ht="12.5">
      <c r="A530" s="1" t="str">
        <f ca="1">IFERROR(__xludf.DUMMYFUNCTION("""COMPUTED_VALUE"""),"20221026ILMIW")</f>
        <v>20221026ILMIW</v>
      </c>
      <c r="B530" s="1"/>
      <c r="C530" s="1"/>
      <c r="D530" s="1"/>
      <c r="E530" s="1" t="str">
        <f ca="1">IFERROR(__xludf.DUMMYFUNCTION("""COMPUTED_VALUE"""),"No Relation")</f>
        <v>No Relation</v>
      </c>
      <c r="F530" s="1" t="str">
        <f ca="1">IFERROR(__xludf.DUMMYFUNCTION("""COMPUTED_VALUE"""),"Fled/Escaped")</f>
        <v>Fled/Escaped</v>
      </c>
      <c r="G530" s="1" t="str">
        <f ca="1">IFERROR(__xludf.DUMMYFUNCTION("""COMPUTED_VALUE"""),"No")</f>
        <v>No</v>
      </c>
      <c r="H530" s="1" t="str">
        <f ca="1">IFERROR(__xludf.DUMMYFUNCTION("""COMPUTED_VALUE"""),"None")</f>
        <v>None</v>
      </c>
    </row>
    <row r="531" spans="1:8" ht="12.5">
      <c r="A531" s="1" t="str">
        <f ca="1">IFERROR(__xludf.DUMMYFUNCTION("""COMPUTED_VALUE"""),"20221025PAPAP")</f>
        <v>20221025PAPAP</v>
      </c>
      <c r="B531" s="1" t="str">
        <f ca="1">IFERROR(__xludf.DUMMYFUNCTION("""COMPUTED_VALUE"""),"Adult")</f>
        <v>Adult</v>
      </c>
      <c r="C531" s="1" t="str">
        <f ca="1">IFERROR(__xludf.DUMMYFUNCTION("""COMPUTED_VALUE"""),"Male")</f>
        <v>Male</v>
      </c>
      <c r="D531" s="1"/>
      <c r="E531" s="1" t="str">
        <f ca="1">IFERROR(__xludf.DUMMYFUNCTION("""COMPUTED_VALUE"""),"No Relation")</f>
        <v>No Relation</v>
      </c>
      <c r="F531" s="1" t="str">
        <f ca="1">IFERROR(__xludf.DUMMYFUNCTION("""COMPUTED_VALUE"""),"Fled/Apprehended")</f>
        <v>Fled/Apprehended</v>
      </c>
      <c r="G531" s="1" t="str">
        <f ca="1">IFERROR(__xludf.DUMMYFUNCTION("""COMPUTED_VALUE"""),"No")</f>
        <v>No</v>
      </c>
      <c r="H531" s="1" t="str">
        <f ca="1">IFERROR(__xludf.DUMMYFUNCTION("""COMPUTED_VALUE"""),"None")</f>
        <v>None</v>
      </c>
    </row>
    <row r="532" spans="1:8" ht="12.5">
      <c r="A532" s="1" t="str">
        <f ca="1">IFERROR(__xludf.DUMMYFUNCTION("""COMPUTED_VALUE"""),"20221025NYTOS")</f>
        <v>20221025NYTOS</v>
      </c>
      <c r="B532" s="1" t="str">
        <f ca="1">IFERROR(__xludf.DUMMYFUNCTION("""COMPUTED_VALUE"""),"Teen")</f>
        <v>Teen</v>
      </c>
      <c r="C532" s="1" t="str">
        <f ca="1">IFERROR(__xludf.DUMMYFUNCTION("""COMPUTED_VALUE"""),"Male")</f>
        <v>Male</v>
      </c>
      <c r="D532" s="1"/>
      <c r="E532" s="1" t="str">
        <f ca="1">IFERROR(__xludf.DUMMYFUNCTION("""COMPUTED_VALUE"""),"Student")</f>
        <v>Student</v>
      </c>
      <c r="F532" s="1" t="str">
        <f ca="1">IFERROR(__xludf.DUMMYFUNCTION("""COMPUTED_VALUE"""),"Fled/Escaped")</f>
        <v>Fled/Escaped</v>
      </c>
      <c r="G532" s="1" t="str">
        <f ca="1">IFERROR(__xludf.DUMMYFUNCTION("""COMPUTED_VALUE"""),"No")</f>
        <v>No</v>
      </c>
      <c r="H532" s="1" t="str">
        <f ca="1">IFERROR(__xludf.DUMMYFUNCTION("""COMPUTED_VALUE"""),"None")</f>
        <v>None</v>
      </c>
    </row>
    <row r="533" spans="1:8" ht="12.5">
      <c r="A533" s="1" t="str">
        <f ca="1">IFERROR(__xludf.DUMMYFUNCTION("""COMPUTED_VALUE"""),"20221024MOCES")</f>
        <v>20221024MOCES</v>
      </c>
      <c r="B533" s="1">
        <f ca="1">IFERROR(__xludf.DUMMYFUNCTION("""COMPUTED_VALUE"""),19)</f>
        <v>19</v>
      </c>
      <c r="C533" s="1" t="str">
        <f ca="1">IFERROR(__xludf.DUMMYFUNCTION("""COMPUTED_VALUE"""),"Male")</f>
        <v>Male</v>
      </c>
      <c r="D533" s="1"/>
      <c r="E533" s="1" t="str">
        <f ca="1">IFERROR(__xludf.DUMMYFUNCTION("""COMPUTED_VALUE"""),"Former Student")</f>
        <v>Former Student</v>
      </c>
      <c r="F533" s="1" t="str">
        <f ca="1">IFERROR(__xludf.DUMMYFUNCTION("""COMPUTED_VALUE"""),"Apprehended/Killed by LE")</f>
        <v>Apprehended/Killed by LE</v>
      </c>
      <c r="G533" s="1" t="str">
        <f ca="1">IFERROR(__xludf.DUMMYFUNCTION("""COMPUTED_VALUE"""),"Yes")</f>
        <v>Yes</v>
      </c>
      <c r="H533" s="1" t="str">
        <f ca="1">IFERROR(__xludf.DUMMYFUNCTION("""COMPUTED_VALUE"""),"Fatal")</f>
        <v>Fatal</v>
      </c>
    </row>
    <row r="534" spans="1:8" ht="12.5">
      <c r="A534" s="1" t="str">
        <f ca="1">IFERROR(__xludf.DUMMYFUNCTION("""COMPUTED_VALUE"""),"20221022OHDUC")</f>
        <v>20221022OHDUC</v>
      </c>
      <c r="B534" s="1"/>
      <c r="C534" s="1"/>
      <c r="D534" s="1"/>
      <c r="E534" s="1" t="str">
        <f ca="1">IFERROR(__xludf.DUMMYFUNCTION("""COMPUTED_VALUE"""),"No Relation")</f>
        <v>No Relation</v>
      </c>
      <c r="F534" s="1" t="str">
        <f ca="1">IFERROR(__xludf.DUMMYFUNCTION("""COMPUTED_VALUE"""),"Fled/Escaped")</f>
        <v>Fled/Escaped</v>
      </c>
      <c r="G534" s="1" t="str">
        <f ca="1">IFERROR(__xludf.DUMMYFUNCTION("""COMPUTED_VALUE"""),"No")</f>
        <v>No</v>
      </c>
      <c r="H534" s="1" t="str">
        <f ca="1">IFERROR(__xludf.DUMMYFUNCTION("""COMPUTED_VALUE"""),"None")</f>
        <v>None</v>
      </c>
    </row>
    <row r="535" spans="1:8" ht="12.5">
      <c r="A535" s="1" t="str">
        <f ca="1">IFERROR(__xludf.DUMMYFUNCTION("""COMPUTED_VALUE"""),"20221022ILCHC")</f>
        <v>20221022ILCHC</v>
      </c>
      <c r="B535" s="1" t="str">
        <f ca="1">IFERROR(__xludf.DUMMYFUNCTION("""COMPUTED_VALUE"""),"Adult")</f>
        <v>Adult</v>
      </c>
      <c r="C535" s="1" t="str">
        <f ca="1">IFERROR(__xludf.DUMMYFUNCTION("""COMPUTED_VALUE"""),"Male")</f>
        <v>Male</v>
      </c>
      <c r="D535" s="1"/>
      <c r="E535" s="1" t="str">
        <f ca="1">IFERROR(__xludf.DUMMYFUNCTION("""COMPUTED_VALUE"""),"No Relation")</f>
        <v>No Relation</v>
      </c>
      <c r="F535" s="1" t="str">
        <f ca="1">IFERROR(__xludf.DUMMYFUNCTION("""COMPUTED_VALUE"""),"Fled/Escaped")</f>
        <v>Fled/Escaped</v>
      </c>
      <c r="G535" s="1" t="str">
        <f ca="1">IFERROR(__xludf.DUMMYFUNCTION("""COMPUTED_VALUE"""),"No")</f>
        <v>No</v>
      </c>
      <c r="H535" s="1" t="str">
        <f ca="1">IFERROR(__xludf.DUMMYFUNCTION("""COMPUTED_VALUE"""),"None")</f>
        <v>None</v>
      </c>
    </row>
    <row r="536" spans="1:8" ht="12.5">
      <c r="A536" s="1" t="str">
        <f ca="1">IFERROR(__xludf.DUMMYFUNCTION("""COMPUTED_VALUE"""),"20221022ILCHC")</f>
        <v>20221022ILCHC</v>
      </c>
      <c r="B536" s="1" t="str">
        <f ca="1">IFERROR(__xludf.DUMMYFUNCTION("""COMPUTED_VALUE"""),"Adult")</f>
        <v>Adult</v>
      </c>
      <c r="C536" s="1" t="str">
        <f ca="1">IFERROR(__xludf.DUMMYFUNCTION("""COMPUTED_VALUE"""),"Male")</f>
        <v>Male</v>
      </c>
      <c r="D536" s="1"/>
      <c r="E536" s="1" t="str">
        <f ca="1">IFERROR(__xludf.DUMMYFUNCTION("""COMPUTED_VALUE"""),"No Relation")</f>
        <v>No Relation</v>
      </c>
      <c r="F536" s="1" t="str">
        <f ca="1">IFERROR(__xludf.DUMMYFUNCTION("""COMPUTED_VALUE"""),"Fled/Escaped")</f>
        <v>Fled/Escaped</v>
      </c>
      <c r="G536" s="1" t="str">
        <f ca="1">IFERROR(__xludf.DUMMYFUNCTION("""COMPUTED_VALUE"""),"No")</f>
        <v>No</v>
      </c>
      <c r="H536" s="1" t="str">
        <f ca="1">IFERROR(__xludf.DUMMYFUNCTION("""COMPUTED_VALUE"""),"None")</f>
        <v>None</v>
      </c>
    </row>
    <row r="537" spans="1:8" ht="12.5">
      <c r="A537" s="1" t="str">
        <f ca="1">IFERROR(__xludf.DUMMYFUNCTION("""COMPUTED_VALUE"""),"20221021OHSHS")</f>
        <v>20221021OHSHS</v>
      </c>
      <c r="B537" s="1" t="str">
        <f ca="1">IFERROR(__xludf.DUMMYFUNCTION("""COMPUTED_VALUE"""),"Adult")</f>
        <v>Adult</v>
      </c>
      <c r="C537" s="1"/>
      <c r="D537" s="1"/>
      <c r="E537" s="1" t="str">
        <f ca="1">IFERROR(__xludf.DUMMYFUNCTION("""COMPUTED_VALUE"""),"Police Officer/SRO")</f>
        <v>Police Officer/SRO</v>
      </c>
      <c r="F537" s="1" t="str">
        <f ca="1">IFERROR(__xludf.DUMMYFUNCTION("""COMPUTED_VALUE"""),"Law Enforcement")</f>
        <v>Law Enforcement</v>
      </c>
      <c r="G537" s="1" t="str">
        <f ca="1">IFERROR(__xludf.DUMMYFUNCTION("""COMPUTED_VALUE"""),"No")</f>
        <v>No</v>
      </c>
      <c r="H537" s="1" t="str">
        <f ca="1">IFERROR(__xludf.DUMMYFUNCTION("""COMPUTED_VALUE"""),"None")</f>
        <v>None</v>
      </c>
    </row>
    <row r="538" spans="1:8" ht="12.5">
      <c r="A538" s="1" t="str">
        <f ca="1">IFERROR(__xludf.DUMMYFUNCTION("""COMPUTED_VALUE"""),"20221021CAGRS")</f>
        <v>20221021CAGRS</v>
      </c>
      <c r="B538" s="1">
        <f ca="1">IFERROR(__xludf.DUMMYFUNCTION("""COMPUTED_VALUE"""),15)</f>
        <v>15</v>
      </c>
      <c r="C538" s="1" t="str">
        <f ca="1">IFERROR(__xludf.DUMMYFUNCTION("""COMPUTED_VALUE"""),"Male")</f>
        <v>Male</v>
      </c>
      <c r="D538" s="1"/>
      <c r="E538" s="1" t="str">
        <f ca="1">IFERROR(__xludf.DUMMYFUNCTION("""COMPUTED_VALUE"""),"Student")</f>
        <v>Student</v>
      </c>
      <c r="F538" s="1" t="str">
        <f ca="1">IFERROR(__xludf.DUMMYFUNCTION("""COMPUTED_VALUE"""),"Fled/Apprehended")</f>
        <v>Fled/Apprehended</v>
      </c>
      <c r="G538" s="1" t="str">
        <f ca="1">IFERROR(__xludf.DUMMYFUNCTION("""COMPUTED_VALUE"""),"No")</f>
        <v>No</v>
      </c>
      <c r="H538" s="1" t="str">
        <f ca="1">IFERROR(__xludf.DUMMYFUNCTION("""COMPUTED_VALUE"""),"None")</f>
        <v>None</v>
      </c>
    </row>
    <row r="539" spans="1:8" ht="12.5">
      <c r="A539" s="1" t="str">
        <f ca="1">IFERROR(__xludf.DUMMYFUNCTION("""COMPUTED_VALUE"""),"20221020COCAD")</f>
        <v>20221020COCAD</v>
      </c>
      <c r="B539" s="1" t="str">
        <f ca="1">IFERROR(__xludf.DUMMYFUNCTION("""COMPUTED_VALUE"""),"Adult")</f>
        <v>Adult</v>
      </c>
      <c r="C539" s="1" t="str">
        <f ca="1">IFERROR(__xludf.DUMMYFUNCTION("""COMPUTED_VALUE"""),"Male")</f>
        <v>Male</v>
      </c>
      <c r="D539" s="1"/>
      <c r="E539" s="1" t="str">
        <f ca="1">IFERROR(__xludf.DUMMYFUNCTION("""COMPUTED_VALUE"""),"No Relation")</f>
        <v>No Relation</v>
      </c>
      <c r="F539" s="1" t="str">
        <f ca="1">IFERROR(__xludf.DUMMYFUNCTION("""COMPUTED_VALUE"""),"Fled/Apprehended")</f>
        <v>Fled/Apprehended</v>
      </c>
      <c r="G539" s="1" t="str">
        <f ca="1">IFERROR(__xludf.DUMMYFUNCTION("""COMPUTED_VALUE"""),"No")</f>
        <v>No</v>
      </c>
      <c r="H539" s="1" t="str">
        <f ca="1">IFERROR(__xludf.DUMMYFUNCTION("""COMPUTED_VALUE"""),"None")</f>
        <v>None</v>
      </c>
    </row>
    <row r="540" spans="1:8" ht="12.5">
      <c r="A540" s="1" t="str">
        <f ca="1">IFERROR(__xludf.DUMMYFUNCTION("""COMPUTED_VALUE"""),"20221020PAPAP")</f>
        <v>20221020PAPAP</v>
      </c>
      <c r="B540" s="1" t="str">
        <f ca="1">IFERROR(__xludf.DUMMYFUNCTION("""COMPUTED_VALUE"""),"Adult")</f>
        <v>Adult</v>
      </c>
      <c r="C540" s="1" t="str">
        <f ca="1">IFERROR(__xludf.DUMMYFUNCTION("""COMPUTED_VALUE"""),"Male")</f>
        <v>Male</v>
      </c>
      <c r="D540" s="1"/>
      <c r="E540" s="1" t="str">
        <f ca="1">IFERROR(__xludf.DUMMYFUNCTION("""COMPUTED_VALUE"""),"No Relation")</f>
        <v>No Relation</v>
      </c>
      <c r="F540" s="1" t="str">
        <f ca="1">IFERROR(__xludf.DUMMYFUNCTION("""COMPUTED_VALUE"""),"Surrendered")</f>
        <v>Surrendered</v>
      </c>
      <c r="G540" s="1" t="str">
        <f ca="1">IFERROR(__xludf.DUMMYFUNCTION("""COMPUTED_VALUE"""),"No")</f>
        <v>No</v>
      </c>
      <c r="H540" s="1" t="str">
        <f ca="1">IFERROR(__xludf.DUMMYFUNCTION("""COMPUTED_VALUE"""),"None")</f>
        <v>None</v>
      </c>
    </row>
    <row r="541" spans="1:8" ht="12.5">
      <c r="A541" s="1" t="str">
        <f ca="1">IFERROR(__xludf.DUMMYFUNCTION("""COMPUTED_VALUE"""),"20221019TNROR")</f>
        <v>20221019TNROR</v>
      </c>
      <c r="B541" s="1"/>
      <c r="C541" s="1" t="str">
        <f ca="1">IFERROR(__xludf.DUMMYFUNCTION("""COMPUTED_VALUE"""),"Male")</f>
        <v>Male</v>
      </c>
      <c r="D541" s="1"/>
      <c r="E541" s="1"/>
      <c r="F541" s="1" t="str">
        <f ca="1">IFERROR(__xludf.DUMMYFUNCTION("""COMPUTED_VALUE"""),"Surrendered")</f>
        <v>Surrendered</v>
      </c>
      <c r="G541" s="1" t="str">
        <f ca="1">IFERROR(__xludf.DUMMYFUNCTION("""COMPUTED_VALUE"""),"No")</f>
        <v>No</v>
      </c>
      <c r="H541" s="1" t="str">
        <f ca="1">IFERROR(__xludf.DUMMYFUNCTION("""COMPUTED_VALUE"""),"None")</f>
        <v>None</v>
      </c>
    </row>
    <row r="542" spans="1:8" ht="12.5">
      <c r="A542" s="1" t="str">
        <f ca="1">IFERROR(__xludf.DUMMYFUNCTION("""COMPUTED_VALUE"""),"20221018NVSUL")</f>
        <v>20221018NVSUL</v>
      </c>
      <c r="B542" s="1"/>
      <c r="C542" s="1"/>
      <c r="D542" s="1"/>
      <c r="E542" s="1"/>
      <c r="F542" s="1" t="str">
        <f ca="1">IFERROR(__xludf.DUMMYFUNCTION("""COMPUTED_VALUE"""),"Fled/Escaped")</f>
        <v>Fled/Escaped</v>
      </c>
      <c r="G542" s="1" t="str">
        <f ca="1">IFERROR(__xludf.DUMMYFUNCTION("""COMPUTED_VALUE"""),"No")</f>
        <v>No</v>
      </c>
      <c r="H542" s="1" t="str">
        <f ca="1">IFERROR(__xludf.DUMMYFUNCTION("""COMPUTED_VALUE"""),"None")</f>
        <v>None</v>
      </c>
    </row>
    <row r="543" spans="1:8" ht="12.5">
      <c r="A543" s="1" t="str">
        <f ca="1">IFERROR(__xludf.DUMMYFUNCTION("""COMPUTED_VALUE"""),"20221018ORJEP")</f>
        <v>20221018ORJEP</v>
      </c>
      <c r="B543" s="1"/>
      <c r="C543" s="1"/>
      <c r="D543" s="1"/>
      <c r="E543" s="1"/>
      <c r="F543" s="1" t="str">
        <f ca="1">IFERROR(__xludf.DUMMYFUNCTION("""COMPUTED_VALUE"""),"Fled/Escaped")</f>
        <v>Fled/Escaped</v>
      </c>
      <c r="G543" s="1" t="str">
        <f ca="1">IFERROR(__xludf.DUMMYFUNCTION("""COMPUTED_VALUE"""),"No")</f>
        <v>No</v>
      </c>
      <c r="H543" s="1" t="str">
        <f ca="1">IFERROR(__xludf.DUMMYFUNCTION("""COMPUTED_VALUE"""),"None")</f>
        <v>None</v>
      </c>
    </row>
    <row r="544" spans="1:8" ht="12.5">
      <c r="A544" s="1" t="str">
        <f ca="1">IFERROR(__xludf.DUMMYFUNCTION("""COMPUTED_VALUE"""),"20221017CAWIS")</f>
        <v>20221017CAWIS</v>
      </c>
      <c r="B544" s="1"/>
      <c r="C544" s="1"/>
      <c r="D544" s="1"/>
      <c r="E544" s="1"/>
      <c r="F544" s="1" t="str">
        <f ca="1">IFERROR(__xludf.DUMMYFUNCTION("""COMPUTED_VALUE"""),"Fled/Escaped")</f>
        <v>Fled/Escaped</v>
      </c>
      <c r="G544" s="1" t="str">
        <f ca="1">IFERROR(__xludf.DUMMYFUNCTION("""COMPUTED_VALUE"""),"No")</f>
        <v>No</v>
      </c>
      <c r="H544" s="1" t="str">
        <f ca="1">IFERROR(__xludf.DUMMYFUNCTION("""COMPUTED_VALUE"""),"None")</f>
        <v>None</v>
      </c>
    </row>
    <row r="545" spans="1:8" ht="12.5">
      <c r="A545" s="1" t="str">
        <f ca="1">IFERROR(__xludf.DUMMYFUNCTION("""COMPUTED_VALUE"""),"20221017FLORT")</f>
        <v>20221017FLORT</v>
      </c>
      <c r="B545" s="1" t="str">
        <f ca="1">IFERROR(__xludf.DUMMYFUNCTION("""COMPUTED_VALUE"""),"Adult")</f>
        <v>Adult</v>
      </c>
      <c r="C545" s="1" t="str">
        <f ca="1">IFERROR(__xludf.DUMMYFUNCTION("""COMPUTED_VALUE"""),"Male")</f>
        <v>Male</v>
      </c>
      <c r="D545" s="1"/>
      <c r="E545" s="1" t="str">
        <f ca="1">IFERROR(__xludf.DUMMYFUNCTION("""COMPUTED_VALUE"""),"No Relation")</f>
        <v>No Relation</v>
      </c>
      <c r="F545" s="1" t="str">
        <f ca="1">IFERROR(__xludf.DUMMYFUNCTION("""COMPUTED_VALUE"""),"Fled/Escaped")</f>
        <v>Fled/Escaped</v>
      </c>
      <c r="G545" s="1" t="str">
        <f ca="1">IFERROR(__xludf.DUMMYFUNCTION("""COMPUTED_VALUE"""),"No")</f>
        <v>No</v>
      </c>
      <c r="H545" s="1" t="str">
        <f ca="1">IFERROR(__xludf.DUMMYFUNCTION("""COMPUTED_VALUE"""),"None")</f>
        <v>None</v>
      </c>
    </row>
    <row r="546" spans="1:8" ht="12.5">
      <c r="A546" s="1" t="str">
        <f ca="1">IFERROR(__xludf.DUMMYFUNCTION("""COMPUTED_VALUE"""),"20221016VAFAR")</f>
        <v>20221016VAFAR</v>
      </c>
      <c r="B546" s="1" t="str">
        <f ca="1">IFERROR(__xludf.DUMMYFUNCTION("""COMPUTED_VALUE"""),"Adult")</f>
        <v>Adult</v>
      </c>
      <c r="C546" s="1"/>
      <c r="D546" s="1"/>
      <c r="E546" s="1" t="str">
        <f ca="1">IFERROR(__xludf.DUMMYFUNCTION("""COMPUTED_VALUE"""),"No Relation")</f>
        <v>No Relation</v>
      </c>
      <c r="F546" s="1" t="str">
        <f ca="1">IFERROR(__xludf.DUMMYFUNCTION("""COMPUTED_VALUE"""),"Fled/Escaped")</f>
        <v>Fled/Escaped</v>
      </c>
      <c r="G546" s="1" t="str">
        <f ca="1">IFERROR(__xludf.DUMMYFUNCTION("""COMPUTED_VALUE"""),"No")</f>
        <v>No</v>
      </c>
      <c r="H546" s="1" t="str">
        <f ca="1">IFERROR(__xludf.DUMMYFUNCTION("""COMPUTED_VALUE"""),"None")</f>
        <v>None</v>
      </c>
    </row>
    <row r="547" spans="1:8" ht="12.5">
      <c r="A547" s="1" t="str">
        <f ca="1">IFERROR(__xludf.DUMMYFUNCTION("""COMPUTED_VALUE"""),"20221014LAJHA")</f>
        <v>20221014LAJHA</v>
      </c>
      <c r="B547" s="1"/>
      <c r="C547" s="1"/>
      <c r="D547" s="1"/>
      <c r="E547" s="1"/>
      <c r="F547" s="1" t="str">
        <f ca="1">IFERROR(__xludf.DUMMYFUNCTION("""COMPUTED_VALUE"""),"Fled/Escaped")</f>
        <v>Fled/Escaped</v>
      </c>
      <c r="G547" s="1" t="str">
        <f ca="1">IFERROR(__xludf.DUMMYFUNCTION("""COMPUTED_VALUE"""),"No")</f>
        <v>No</v>
      </c>
      <c r="H547" s="1" t="str">
        <f ca="1">IFERROR(__xludf.DUMMYFUNCTION("""COMPUTED_VALUE"""),"None")</f>
        <v>None</v>
      </c>
    </row>
    <row r="548" spans="1:8" ht="12.5">
      <c r="A548" s="1" t="str">
        <f ca="1">IFERROR(__xludf.DUMMYFUNCTION("""COMPUTED_VALUE"""),"20220908LAJHA")</f>
        <v>20220908LAJHA</v>
      </c>
      <c r="B548" s="1" t="str">
        <f ca="1">IFERROR(__xludf.DUMMYFUNCTION("""COMPUTED_VALUE"""),"Teen")</f>
        <v>Teen</v>
      </c>
      <c r="C548" s="1"/>
      <c r="D548" s="1"/>
      <c r="E548" s="1"/>
      <c r="F548" s="1" t="str">
        <f ca="1">IFERROR(__xludf.DUMMYFUNCTION("""COMPUTED_VALUE"""),"Fled/Escaped")</f>
        <v>Fled/Escaped</v>
      </c>
      <c r="G548" s="1" t="str">
        <f ca="1">IFERROR(__xludf.DUMMYFUNCTION("""COMPUTED_VALUE"""),"No")</f>
        <v>No</v>
      </c>
      <c r="H548" s="1" t="str">
        <f ca="1">IFERROR(__xludf.DUMMYFUNCTION("""COMPUTED_VALUE"""),"None")</f>
        <v>None</v>
      </c>
    </row>
    <row r="549" spans="1:8" ht="12.5">
      <c r="A549" s="1" t="str">
        <f ca="1">IFERROR(__xludf.DUMMYFUNCTION("""COMPUTED_VALUE"""),"20221014NCJAG")</f>
        <v>20221014NCJAG</v>
      </c>
      <c r="B549" s="1" t="str">
        <f ca="1">IFERROR(__xludf.DUMMYFUNCTION("""COMPUTED_VALUE"""),"Adult")</f>
        <v>Adult</v>
      </c>
      <c r="C549" s="1"/>
      <c r="D549" s="1"/>
      <c r="E549" s="1" t="str">
        <f ca="1">IFERROR(__xludf.DUMMYFUNCTION("""COMPUTED_VALUE"""),"Nonstudent Using Athletic Facilities/Attending Game")</f>
        <v>Nonstudent Using Athletic Facilities/Attending Game</v>
      </c>
      <c r="F549" s="1" t="str">
        <f ca="1">IFERROR(__xludf.DUMMYFUNCTION("""COMPUTED_VALUE"""),"Fled/Apprehended")</f>
        <v>Fled/Apprehended</v>
      </c>
      <c r="G549" s="1" t="str">
        <f ca="1">IFERROR(__xludf.DUMMYFUNCTION("""COMPUTED_VALUE"""),"No")</f>
        <v>No</v>
      </c>
      <c r="H549" s="1" t="str">
        <f ca="1">IFERROR(__xludf.DUMMYFUNCTION("""COMPUTED_VALUE"""),"None")</f>
        <v>None</v>
      </c>
    </row>
    <row r="550" spans="1:8" ht="12.5">
      <c r="A550" s="1" t="str">
        <f ca="1">IFERROR(__xludf.DUMMYFUNCTION("""COMPUTED_VALUE"""),"20221014NCJAG")</f>
        <v>20221014NCJAG</v>
      </c>
      <c r="B550" s="1" t="str">
        <f ca="1">IFERROR(__xludf.DUMMYFUNCTION("""COMPUTED_VALUE"""),"Adult")</f>
        <v>Adult</v>
      </c>
      <c r="C550" s="1"/>
      <c r="D550" s="1"/>
      <c r="E550" s="1" t="str">
        <f ca="1">IFERROR(__xludf.DUMMYFUNCTION("""COMPUTED_VALUE"""),"Nonstudent Using Athletic Facilities/Attending Game")</f>
        <v>Nonstudent Using Athletic Facilities/Attending Game</v>
      </c>
      <c r="F550" s="1" t="str">
        <f ca="1">IFERROR(__xludf.DUMMYFUNCTION("""COMPUTED_VALUE"""),"Apprehended/Killed by LE")</f>
        <v>Apprehended/Killed by LE</v>
      </c>
      <c r="G550" s="1" t="str">
        <f ca="1">IFERROR(__xludf.DUMMYFUNCTION("""COMPUTED_VALUE"""),"No")</f>
        <v>No</v>
      </c>
      <c r="H550" s="1" t="str">
        <f ca="1">IFERROR(__xludf.DUMMYFUNCTION("""COMPUTED_VALUE"""),"None")</f>
        <v>None</v>
      </c>
    </row>
    <row r="551" spans="1:8" ht="12.5">
      <c r="A551" s="1" t="str">
        <f ca="1">IFERROR(__xludf.DUMMYFUNCTION("""COMPUTED_VALUE"""),"20221014VAWER")</f>
        <v>20221014VAWER</v>
      </c>
      <c r="B551" s="1" t="str">
        <f ca="1">IFERROR(__xludf.DUMMYFUNCTION("""COMPUTED_VALUE"""),"Adult")</f>
        <v>Adult</v>
      </c>
      <c r="C551" s="1"/>
      <c r="D551" s="1"/>
      <c r="E551" s="1"/>
      <c r="F551" s="1" t="str">
        <f ca="1">IFERROR(__xludf.DUMMYFUNCTION("""COMPUTED_VALUE"""),"Fled/Escaped")</f>
        <v>Fled/Escaped</v>
      </c>
      <c r="G551" s="1" t="str">
        <f ca="1">IFERROR(__xludf.DUMMYFUNCTION("""COMPUTED_VALUE"""),"No")</f>
        <v>No</v>
      </c>
      <c r="H551" s="1" t="str">
        <f ca="1">IFERROR(__xludf.DUMMYFUNCTION("""COMPUTED_VALUE"""),"None")</f>
        <v>None</v>
      </c>
    </row>
    <row r="552" spans="1:8" ht="12.5">
      <c r="A552" s="1" t="str">
        <f ca="1">IFERROR(__xludf.DUMMYFUNCTION("""COMPUTED_VALUE"""),"20221014LABOB")</f>
        <v>20221014LABOB</v>
      </c>
      <c r="B552" s="1" t="str">
        <f ca="1">IFERROR(__xludf.DUMMYFUNCTION("""COMPUTED_VALUE"""),"Teen")</f>
        <v>Teen</v>
      </c>
      <c r="C552" s="1"/>
      <c r="D552" s="1"/>
      <c r="E552" s="1" t="str">
        <f ca="1">IFERROR(__xludf.DUMMYFUNCTION("""COMPUTED_VALUE"""),"Nonstudent Using Athletic Facilities/Attending Game")</f>
        <v>Nonstudent Using Athletic Facilities/Attending Game</v>
      </c>
      <c r="F552" s="1" t="str">
        <f ca="1">IFERROR(__xludf.DUMMYFUNCTION("""COMPUTED_VALUE"""),"Fled/Escaped")</f>
        <v>Fled/Escaped</v>
      </c>
      <c r="G552" s="1" t="str">
        <f ca="1">IFERROR(__xludf.DUMMYFUNCTION("""COMPUTED_VALUE"""),"No")</f>
        <v>No</v>
      </c>
      <c r="H552" s="1" t="str">
        <f ca="1">IFERROR(__xludf.DUMMYFUNCTION("""COMPUTED_VALUE"""),"None")</f>
        <v>None</v>
      </c>
    </row>
    <row r="553" spans="1:8" ht="12.5">
      <c r="A553" s="1" t="str">
        <f ca="1">IFERROR(__xludf.DUMMYFUNCTION("""COMPUTED_VALUE"""),"20221014LABOB")</f>
        <v>20221014LABOB</v>
      </c>
      <c r="B553" s="1" t="str">
        <f ca="1">IFERROR(__xludf.DUMMYFUNCTION("""COMPUTED_VALUE"""),"Adult")</f>
        <v>Adult</v>
      </c>
      <c r="C553" s="1"/>
      <c r="D553" s="1"/>
      <c r="E553" s="1" t="str">
        <f ca="1">IFERROR(__xludf.DUMMYFUNCTION("""COMPUTED_VALUE"""),"Nonstudent Using Athletic Facilities/Attending Game")</f>
        <v>Nonstudent Using Athletic Facilities/Attending Game</v>
      </c>
      <c r="F553" s="1" t="str">
        <f ca="1">IFERROR(__xludf.DUMMYFUNCTION("""COMPUTED_VALUE"""),"Fled/Apprehended")</f>
        <v>Fled/Apprehended</v>
      </c>
      <c r="G553" s="1" t="str">
        <f ca="1">IFERROR(__xludf.DUMMYFUNCTION("""COMPUTED_VALUE"""),"No")</f>
        <v>No</v>
      </c>
      <c r="H553" s="1" t="str">
        <f ca="1">IFERROR(__xludf.DUMMYFUNCTION("""COMPUTED_VALUE"""),"None")</f>
        <v>None</v>
      </c>
    </row>
    <row r="554" spans="1:8" ht="12.5">
      <c r="A554" s="1" t="str">
        <f ca="1">IFERROR(__xludf.DUMMYFUNCTION("""COMPUTED_VALUE"""),"20221014LABOB")</f>
        <v>20221014LABOB</v>
      </c>
      <c r="B554" s="1">
        <f ca="1">IFERROR(__xludf.DUMMYFUNCTION("""COMPUTED_VALUE"""),15)</f>
        <v>15</v>
      </c>
      <c r="C554" s="1"/>
      <c r="D554" s="1"/>
      <c r="E554" s="1" t="str">
        <f ca="1">IFERROR(__xludf.DUMMYFUNCTION("""COMPUTED_VALUE"""),"Nonstudent Using Athletic Facilities/Attending Game")</f>
        <v>Nonstudent Using Athletic Facilities/Attending Game</v>
      </c>
      <c r="F554" s="1" t="str">
        <f ca="1">IFERROR(__xludf.DUMMYFUNCTION("""COMPUTED_VALUE"""),"Apprehended/Killed by Other")</f>
        <v>Apprehended/Killed by Other</v>
      </c>
      <c r="G554" s="1" t="str">
        <f ca="1">IFERROR(__xludf.DUMMYFUNCTION("""COMPUTED_VALUE"""),"Yes")</f>
        <v>Yes</v>
      </c>
      <c r="H554" s="1" t="str">
        <f ca="1">IFERROR(__xludf.DUMMYFUNCTION("""COMPUTED_VALUE"""),"Fatal")</f>
        <v>Fatal</v>
      </c>
    </row>
    <row r="555" spans="1:8" ht="12.5">
      <c r="A555" s="1" t="str">
        <f ca="1">IFERROR(__xludf.DUMMYFUNCTION("""COMPUTED_VALUE"""),"20221014TNRIM")</f>
        <v>20221014TNRIM</v>
      </c>
      <c r="B555" s="1"/>
      <c r="C555" s="1"/>
      <c r="D555" s="1"/>
      <c r="E555" s="1"/>
      <c r="F555" s="1" t="str">
        <f ca="1">IFERROR(__xludf.DUMMYFUNCTION("""COMPUTED_VALUE"""),"Fled/Escaped")</f>
        <v>Fled/Escaped</v>
      </c>
      <c r="G555" s="1" t="str">
        <f ca="1">IFERROR(__xludf.DUMMYFUNCTION("""COMPUTED_VALUE"""),"No")</f>
        <v>No</v>
      </c>
      <c r="H555" s="1" t="str">
        <f ca="1">IFERROR(__xludf.DUMMYFUNCTION("""COMPUTED_VALUE"""),"None")</f>
        <v>None</v>
      </c>
    </row>
    <row r="556" spans="1:8" ht="12.5">
      <c r="A556" s="1" t="str">
        <f ca="1">IFERROR(__xludf.DUMMYFUNCTION("""COMPUTED_VALUE"""),"20221013NYSCB")</f>
        <v>20221013NYSCB</v>
      </c>
      <c r="B556" s="1" t="str">
        <f ca="1">IFERROR(__xludf.DUMMYFUNCTION("""COMPUTED_VALUE"""),"Adult")</f>
        <v>Adult</v>
      </c>
      <c r="C556" s="1"/>
      <c r="D556" s="1"/>
      <c r="E556" s="1" t="str">
        <f ca="1">IFERROR(__xludf.DUMMYFUNCTION("""COMPUTED_VALUE"""),"No Relation")</f>
        <v>No Relation</v>
      </c>
      <c r="F556" s="1" t="str">
        <f ca="1">IFERROR(__xludf.DUMMYFUNCTION("""COMPUTED_VALUE"""),"Fled/Escaped")</f>
        <v>Fled/Escaped</v>
      </c>
      <c r="G556" s="1" t="str">
        <f ca="1">IFERROR(__xludf.DUMMYFUNCTION("""COMPUTED_VALUE"""),"No")</f>
        <v>No</v>
      </c>
      <c r="H556" s="1" t="str">
        <f ca="1">IFERROR(__xludf.DUMMYFUNCTION("""COMPUTED_VALUE"""),"None")</f>
        <v>None</v>
      </c>
    </row>
    <row r="557" spans="1:8" ht="12.5">
      <c r="A557" s="1" t="str">
        <f ca="1">IFERROR(__xludf.DUMMYFUNCTION("""COMPUTED_VALUE"""),"20221013NYSCB")</f>
        <v>20221013NYSCB</v>
      </c>
      <c r="B557" s="1" t="str">
        <f ca="1">IFERROR(__xludf.DUMMYFUNCTION("""COMPUTED_VALUE"""),"Adult")</f>
        <v>Adult</v>
      </c>
      <c r="C557" s="1"/>
      <c r="D557" s="1"/>
      <c r="E557" s="1" t="str">
        <f ca="1">IFERROR(__xludf.DUMMYFUNCTION("""COMPUTED_VALUE"""),"No Relation")</f>
        <v>No Relation</v>
      </c>
      <c r="F557" s="1" t="str">
        <f ca="1">IFERROR(__xludf.DUMMYFUNCTION("""COMPUTED_VALUE"""),"Fled/Escaped")</f>
        <v>Fled/Escaped</v>
      </c>
      <c r="G557" s="1" t="str">
        <f ca="1">IFERROR(__xludf.DUMMYFUNCTION("""COMPUTED_VALUE"""),"No")</f>
        <v>No</v>
      </c>
      <c r="H557" s="1" t="str">
        <f ca="1">IFERROR(__xludf.DUMMYFUNCTION("""COMPUTED_VALUE"""),"None")</f>
        <v>None</v>
      </c>
    </row>
    <row r="558" spans="1:8" ht="12.5">
      <c r="A558" s="1" t="str">
        <f ca="1">IFERROR(__xludf.DUMMYFUNCTION("""COMPUTED_VALUE"""),"20221013TXJOD")</f>
        <v>20221013TXJOD</v>
      </c>
      <c r="B558" s="1" t="str">
        <f ca="1">IFERROR(__xludf.DUMMYFUNCTION("""COMPUTED_VALUE"""),"Child")</f>
        <v>Child</v>
      </c>
      <c r="C558" s="1"/>
      <c r="D558" s="1"/>
      <c r="E558" s="1" t="str">
        <f ca="1">IFERROR(__xludf.DUMMYFUNCTION("""COMPUTED_VALUE"""),"Student")</f>
        <v>Student</v>
      </c>
      <c r="F558" s="1" t="str">
        <f ca="1">IFERROR(__xludf.DUMMYFUNCTION("""COMPUTED_VALUE"""),"Surrendered")</f>
        <v>Surrendered</v>
      </c>
      <c r="G558" s="1" t="str">
        <f ca="1">IFERROR(__xludf.DUMMYFUNCTION("""COMPUTED_VALUE"""),"No")</f>
        <v>No</v>
      </c>
      <c r="H558" s="1" t="str">
        <f ca="1">IFERROR(__xludf.DUMMYFUNCTION("""COMPUTED_VALUE"""),"None")</f>
        <v>None</v>
      </c>
    </row>
    <row r="559" spans="1:8" ht="12.5">
      <c r="A559" s="1" t="str">
        <f ca="1">IFERROR(__xludf.DUMMYFUNCTION("""COMPUTED_VALUE"""),"20221012NCCAC")</f>
        <v>20221012NCCAC</v>
      </c>
      <c r="B559" s="1">
        <f ca="1">IFERROR(__xludf.DUMMYFUNCTION("""COMPUTED_VALUE"""),14)</f>
        <v>14</v>
      </c>
      <c r="C559" s="1" t="str">
        <f ca="1">IFERROR(__xludf.DUMMYFUNCTION("""COMPUTED_VALUE"""),"Male")</f>
        <v>Male</v>
      </c>
      <c r="D559" s="1"/>
      <c r="E559" s="1" t="str">
        <f ca="1">IFERROR(__xludf.DUMMYFUNCTION("""COMPUTED_VALUE"""),"Student")</f>
        <v>Student</v>
      </c>
      <c r="F559" s="1" t="str">
        <f ca="1">IFERROR(__xludf.DUMMYFUNCTION("""COMPUTED_VALUE"""),"Surrendered")</f>
        <v>Surrendered</v>
      </c>
      <c r="G559" s="1" t="str">
        <f ca="1">IFERROR(__xludf.DUMMYFUNCTION("""COMPUTED_VALUE"""),"No")</f>
        <v>No</v>
      </c>
      <c r="H559" s="1" t="str">
        <f ca="1">IFERROR(__xludf.DUMMYFUNCTION("""COMPUTED_VALUE"""),"None")</f>
        <v>None</v>
      </c>
    </row>
    <row r="560" spans="1:8" ht="12.5">
      <c r="A560" s="1" t="str">
        <f ca="1">IFERROR(__xludf.DUMMYFUNCTION("""COMPUTED_VALUE"""),"20221011ORREP")</f>
        <v>20221011ORREP</v>
      </c>
      <c r="B560" s="1"/>
      <c r="C560" s="1"/>
      <c r="D560" s="1"/>
      <c r="E560" s="1"/>
      <c r="F560" s="1" t="str">
        <f ca="1">IFERROR(__xludf.DUMMYFUNCTION("""COMPUTED_VALUE"""),"Fled/Escaped")</f>
        <v>Fled/Escaped</v>
      </c>
      <c r="G560" s="1" t="str">
        <f ca="1">IFERROR(__xludf.DUMMYFUNCTION("""COMPUTED_VALUE"""),"No")</f>
        <v>No</v>
      </c>
      <c r="H560" s="1" t="str">
        <f ca="1">IFERROR(__xludf.DUMMYFUNCTION("""COMPUTED_VALUE"""),"None")</f>
        <v>None</v>
      </c>
    </row>
    <row r="561" spans="1:8" ht="12.5">
      <c r="A561" s="1" t="str">
        <f ca="1">IFERROR(__xludf.DUMMYFUNCTION("""COMPUTED_VALUE"""),"20221011KSSAS")</f>
        <v>20221011KSSAS</v>
      </c>
      <c r="B561" s="1">
        <f ca="1">IFERROR(__xludf.DUMMYFUNCTION("""COMPUTED_VALUE"""),15)</f>
        <v>15</v>
      </c>
      <c r="C561" s="1" t="str">
        <f ca="1">IFERROR(__xludf.DUMMYFUNCTION("""COMPUTED_VALUE"""),"Male")</f>
        <v>Male</v>
      </c>
      <c r="D561" s="1"/>
      <c r="E561" s="1" t="str">
        <f ca="1">IFERROR(__xludf.DUMMYFUNCTION("""COMPUTED_VALUE"""),"Student")</f>
        <v>Student</v>
      </c>
      <c r="F561" s="1" t="str">
        <f ca="1">IFERROR(__xludf.DUMMYFUNCTION("""COMPUTED_VALUE"""),"Fled/Apprehended")</f>
        <v>Fled/Apprehended</v>
      </c>
      <c r="G561" s="1" t="str">
        <f ca="1">IFERROR(__xludf.DUMMYFUNCTION("""COMPUTED_VALUE"""),"No")</f>
        <v>No</v>
      </c>
      <c r="H561" s="1" t="str">
        <f ca="1">IFERROR(__xludf.DUMMYFUNCTION("""COMPUTED_VALUE"""),"None")</f>
        <v>None</v>
      </c>
    </row>
    <row r="562" spans="1:8" ht="12.5">
      <c r="A562" s="1" t="str">
        <f ca="1">IFERROR(__xludf.DUMMYFUNCTION("""COMPUTED_VALUE"""),"20221010WIJAM")</f>
        <v>20221010WIJAM</v>
      </c>
      <c r="B562" s="1">
        <f ca="1">IFERROR(__xludf.DUMMYFUNCTION("""COMPUTED_VALUE"""),17)</f>
        <v>17</v>
      </c>
      <c r="C562" s="1" t="str">
        <f ca="1">IFERROR(__xludf.DUMMYFUNCTION("""COMPUTED_VALUE"""),"Male")</f>
        <v>Male</v>
      </c>
      <c r="D562" s="1" t="str">
        <f ca="1">IFERROR(__xludf.DUMMYFUNCTION("""COMPUTED_VALUE"""),"Black")</f>
        <v>Black</v>
      </c>
      <c r="E562" s="1" t="str">
        <f ca="1">IFERROR(__xludf.DUMMYFUNCTION("""COMPUTED_VALUE"""),"Nonstudent Using Athletic Facilities/Attending Game")</f>
        <v>Nonstudent Using Athletic Facilities/Attending Game</v>
      </c>
      <c r="F562" s="1" t="str">
        <f ca="1">IFERROR(__xludf.DUMMYFUNCTION("""COMPUTED_VALUE"""),"Fled/Apprehended")</f>
        <v>Fled/Apprehended</v>
      </c>
      <c r="G562" s="1" t="str">
        <f ca="1">IFERROR(__xludf.DUMMYFUNCTION("""COMPUTED_VALUE"""),"No")</f>
        <v>No</v>
      </c>
      <c r="H562" s="1" t="str">
        <f ca="1">IFERROR(__xludf.DUMMYFUNCTION("""COMPUTED_VALUE"""),"Wounded")</f>
        <v>Wounded</v>
      </c>
    </row>
    <row r="563" spans="1:8" ht="12.5">
      <c r="A563" s="1" t="str">
        <f ca="1">IFERROR(__xludf.DUMMYFUNCTION("""COMPUTED_VALUE"""),"20221009MAWAA")</f>
        <v>20221009MAWAA</v>
      </c>
      <c r="B563" s="1"/>
      <c r="C563" s="1"/>
      <c r="D563" s="1"/>
      <c r="E563" s="1" t="str">
        <f ca="1">IFERROR(__xludf.DUMMYFUNCTION("""COMPUTED_VALUE"""),"No Relation")</f>
        <v>No Relation</v>
      </c>
      <c r="F563" s="1" t="str">
        <f ca="1">IFERROR(__xludf.DUMMYFUNCTION("""COMPUTED_VALUE"""),"Fled/Escaped")</f>
        <v>Fled/Escaped</v>
      </c>
      <c r="G563" s="1" t="str">
        <f ca="1">IFERROR(__xludf.DUMMYFUNCTION("""COMPUTED_VALUE"""),"No")</f>
        <v>No</v>
      </c>
      <c r="H563" s="1" t="str">
        <f ca="1">IFERROR(__xludf.DUMMYFUNCTION("""COMPUTED_VALUE"""),"None")</f>
        <v>None</v>
      </c>
    </row>
    <row r="564" spans="1:8" ht="12.5">
      <c r="A564" s="1" t="str">
        <f ca="1">IFERROR(__xludf.DUMMYFUNCTION("""COMPUTED_VALUE"""),"20221008MOJCK")</f>
        <v>20221008MOJCK</v>
      </c>
      <c r="B564" s="1" t="str">
        <f ca="1">IFERROR(__xludf.DUMMYFUNCTION("""COMPUTED_VALUE"""),"Teen")</f>
        <v>Teen</v>
      </c>
      <c r="C564" s="1"/>
      <c r="D564" s="1"/>
      <c r="E564" s="1" t="str">
        <f ca="1">IFERROR(__xludf.DUMMYFUNCTION("""COMPUTED_VALUE"""),"Student")</f>
        <v>Student</v>
      </c>
      <c r="F564" s="1" t="str">
        <f ca="1">IFERROR(__xludf.DUMMYFUNCTION("""COMPUTED_VALUE"""),"Fled/Escaped")</f>
        <v>Fled/Escaped</v>
      </c>
      <c r="G564" s="1" t="str">
        <f ca="1">IFERROR(__xludf.DUMMYFUNCTION("""COMPUTED_VALUE"""),"No")</f>
        <v>No</v>
      </c>
      <c r="H564" s="1" t="str">
        <f ca="1">IFERROR(__xludf.DUMMYFUNCTION("""COMPUTED_VALUE"""),"None")</f>
        <v>None</v>
      </c>
    </row>
    <row r="565" spans="1:8" ht="12.5">
      <c r="A565" s="1" t="str">
        <f ca="1">IFERROR(__xludf.DUMMYFUNCTION("""COMPUTED_VALUE"""),"20221007MIBAB")</f>
        <v>20221007MIBAB</v>
      </c>
      <c r="B565" s="1"/>
      <c r="C565" s="1"/>
      <c r="D565" s="1"/>
      <c r="E565" s="1"/>
      <c r="F565" s="1" t="str">
        <f ca="1">IFERROR(__xludf.DUMMYFUNCTION("""COMPUTED_VALUE"""),"Fled/Escaped")</f>
        <v>Fled/Escaped</v>
      </c>
      <c r="G565" s="1" t="str">
        <f ca="1">IFERROR(__xludf.DUMMYFUNCTION("""COMPUTED_VALUE"""),"No")</f>
        <v>No</v>
      </c>
      <c r="H565" s="1" t="str">
        <f ca="1">IFERROR(__xludf.DUMMYFUNCTION("""COMPUTED_VALUE"""),"None")</f>
        <v>None</v>
      </c>
    </row>
    <row r="566" spans="1:8" ht="12.5">
      <c r="A566" s="1" t="str">
        <f ca="1">IFERROR(__xludf.DUMMYFUNCTION("""COMPUTED_VALUE"""),"20221007NCJHG")</f>
        <v>20221007NCJHG</v>
      </c>
      <c r="B566" s="1"/>
      <c r="C566" s="1"/>
      <c r="D566" s="1"/>
      <c r="E566" s="1"/>
      <c r="F566" s="1" t="str">
        <f ca="1">IFERROR(__xludf.DUMMYFUNCTION("""COMPUTED_VALUE"""),"Fled/Escaped")</f>
        <v>Fled/Escaped</v>
      </c>
      <c r="G566" s="1" t="str">
        <f ca="1">IFERROR(__xludf.DUMMYFUNCTION("""COMPUTED_VALUE"""),"No")</f>
        <v>No</v>
      </c>
      <c r="H566" s="1" t="str">
        <f ca="1">IFERROR(__xludf.DUMMYFUNCTION("""COMPUTED_VALUE"""),"None")</f>
        <v>None</v>
      </c>
    </row>
    <row r="567" spans="1:8" ht="12.5">
      <c r="A567" s="1" t="str">
        <f ca="1">IFERROR(__xludf.DUMMYFUNCTION("""COMPUTED_VALUE"""),"20221007AZCAP")</f>
        <v>20221007AZCAP</v>
      </c>
      <c r="B567" s="1"/>
      <c r="C567" s="1"/>
      <c r="D567" s="1"/>
      <c r="E567" s="1"/>
      <c r="F567" s="1" t="str">
        <f ca="1">IFERROR(__xludf.DUMMYFUNCTION("""COMPUTED_VALUE"""),"Fled/Escaped")</f>
        <v>Fled/Escaped</v>
      </c>
      <c r="G567" s="1" t="str">
        <f ca="1">IFERROR(__xludf.DUMMYFUNCTION("""COMPUTED_VALUE"""),"No")</f>
        <v>No</v>
      </c>
      <c r="H567" s="1" t="str">
        <f ca="1">IFERROR(__xludf.DUMMYFUNCTION("""COMPUTED_VALUE"""),"None")</f>
        <v>None</v>
      </c>
    </row>
    <row r="568" spans="1:8" ht="12.5">
      <c r="A568" s="1" t="str">
        <f ca="1">IFERROR(__xludf.DUMMYFUNCTION("""COMPUTED_VALUE"""),"20221007OHWHT")</f>
        <v>20221007OHWHT</v>
      </c>
      <c r="B568" s="1"/>
      <c r="C568" s="1" t="str">
        <f ca="1">IFERROR(__xludf.DUMMYFUNCTION("""COMPUTED_VALUE"""),"Male")</f>
        <v>Male</v>
      </c>
      <c r="D568" s="1"/>
      <c r="E568" s="1"/>
      <c r="F568" s="1" t="str">
        <f ca="1">IFERROR(__xludf.DUMMYFUNCTION("""COMPUTED_VALUE"""),"Fled/Escaped")</f>
        <v>Fled/Escaped</v>
      </c>
      <c r="G568" s="1" t="str">
        <f ca="1">IFERROR(__xludf.DUMMYFUNCTION("""COMPUTED_VALUE"""),"No")</f>
        <v>No</v>
      </c>
      <c r="H568" s="1" t="str">
        <f ca="1">IFERROR(__xludf.DUMMYFUNCTION("""COMPUTED_VALUE"""),"None")</f>
        <v>None</v>
      </c>
    </row>
    <row r="569" spans="1:8" ht="12.5">
      <c r="A569" s="1" t="str">
        <f ca="1">IFERROR(__xludf.DUMMYFUNCTION("""COMPUTED_VALUE"""),"20221006OHMAC")</f>
        <v>20221006OHMAC</v>
      </c>
      <c r="B569" s="1" t="str">
        <f ca="1">IFERROR(__xludf.DUMMYFUNCTION("""COMPUTED_VALUE"""),"Adult")</f>
        <v>Adult</v>
      </c>
      <c r="C569" s="1"/>
      <c r="D569" s="1"/>
      <c r="E569" s="1" t="str">
        <f ca="1">IFERROR(__xludf.DUMMYFUNCTION("""COMPUTED_VALUE"""),"Nonstudent Using Athletic Facilities/Attending Game")</f>
        <v>Nonstudent Using Athletic Facilities/Attending Game</v>
      </c>
      <c r="F569" s="1" t="str">
        <f ca="1">IFERROR(__xludf.DUMMYFUNCTION("""COMPUTED_VALUE"""),"Fled/Escaped")</f>
        <v>Fled/Escaped</v>
      </c>
      <c r="G569" s="1" t="str">
        <f ca="1">IFERROR(__xludf.DUMMYFUNCTION("""COMPUTED_VALUE"""),"No")</f>
        <v>No</v>
      </c>
      <c r="H569" s="1" t="str">
        <f ca="1">IFERROR(__xludf.DUMMYFUNCTION("""COMPUTED_VALUE"""),"None")</f>
        <v>None</v>
      </c>
    </row>
    <row r="570" spans="1:8" ht="12.5">
      <c r="A570" s="1" t="str">
        <f ca="1">IFERROR(__xludf.DUMMYFUNCTION("""COMPUTED_VALUE"""),"20221004MAJB")</f>
        <v>20221004MAJB</v>
      </c>
      <c r="B570" s="1">
        <f ca="1">IFERROR(__xludf.DUMMYFUNCTION("""COMPUTED_VALUE"""),17)</f>
        <v>17</v>
      </c>
      <c r="C570" s="1" t="str">
        <f ca="1">IFERROR(__xludf.DUMMYFUNCTION("""COMPUTED_VALUE"""),"Male")</f>
        <v>Male</v>
      </c>
      <c r="D570" s="1"/>
      <c r="E570" s="1" t="str">
        <f ca="1">IFERROR(__xludf.DUMMYFUNCTION("""COMPUTED_VALUE"""),"Student")</f>
        <v>Student</v>
      </c>
      <c r="F570" s="1" t="str">
        <f ca="1">IFERROR(__xludf.DUMMYFUNCTION("""COMPUTED_VALUE"""),"Fled/Apprehended")</f>
        <v>Fled/Apprehended</v>
      </c>
      <c r="G570" s="1" t="str">
        <f ca="1">IFERROR(__xludf.DUMMYFUNCTION("""COMPUTED_VALUE"""),"No")</f>
        <v>No</v>
      </c>
      <c r="H570" s="1" t="str">
        <f ca="1">IFERROR(__xludf.DUMMYFUNCTION("""COMPUTED_VALUE"""),"None")</f>
        <v>None</v>
      </c>
    </row>
    <row r="571" spans="1:8" ht="12.5">
      <c r="A571" s="1" t="str">
        <f ca="1">IFERROR(__xludf.DUMMYFUNCTION("""COMPUTED_VALUE"""),"20221004NCPIS")</f>
        <v>20221004NCPIS</v>
      </c>
      <c r="B571" s="1" t="str">
        <f ca="1">IFERROR(__xludf.DUMMYFUNCTION("""COMPUTED_VALUE"""),"Child")</f>
        <v>Child</v>
      </c>
      <c r="C571" s="1"/>
      <c r="D571" s="1"/>
      <c r="E571" s="1" t="str">
        <f ca="1">IFERROR(__xludf.DUMMYFUNCTION("""COMPUTED_VALUE"""),"No Relation")</f>
        <v>No Relation</v>
      </c>
      <c r="F571" s="1" t="str">
        <f ca="1">IFERROR(__xludf.DUMMYFUNCTION("""COMPUTED_VALUE"""),"Fled/Apprehended")</f>
        <v>Fled/Apprehended</v>
      </c>
      <c r="G571" s="1" t="str">
        <f ca="1">IFERROR(__xludf.DUMMYFUNCTION("""COMPUTED_VALUE"""),"No")</f>
        <v>No</v>
      </c>
      <c r="H571" s="1" t="str">
        <f ca="1">IFERROR(__xludf.DUMMYFUNCTION("""COMPUTED_VALUE"""),"None")</f>
        <v>None</v>
      </c>
    </row>
    <row r="572" spans="1:8" ht="12.5">
      <c r="A572" s="1" t="str">
        <f ca="1">IFERROR(__xludf.DUMMYFUNCTION("""COMPUTED_VALUE"""),"20221003MIOXO")</f>
        <v>20221003MIOXO</v>
      </c>
      <c r="B572" s="1" t="str">
        <f ca="1">IFERROR(__xludf.DUMMYFUNCTION("""COMPUTED_VALUE"""),"Adult")</f>
        <v>Adult</v>
      </c>
      <c r="C572" s="1"/>
      <c r="D572" s="1"/>
      <c r="E572" s="1" t="str">
        <f ca="1">IFERROR(__xludf.DUMMYFUNCTION("""COMPUTED_VALUE"""),"Police Officer/SRO")</f>
        <v>Police Officer/SRO</v>
      </c>
      <c r="F572" s="1" t="str">
        <f ca="1">IFERROR(__xludf.DUMMYFUNCTION("""COMPUTED_VALUE"""),"Law Enforcement")</f>
        <v>Law Enforcement</v>
      </c>
      <c r="G572" s="1" t="str">
        <f ca="1">IFERROR(__xludf.DUMMYFUNCTION("""COMPUTED_VALUE"""),"No")</f>
        <v>No</v>
      </c>
      <c r="H572" s="1" t="str">
        <f ca="1">IFERROR(__xludf.DUMMYFUNCTION("""COMPUTED_VALUE"""),"None")</f>
        <v>None</v>
      </c>
    </row>
    <row r="573" spans="1:8" ht="12.5">
      <c r="A573" s="1" t="str">
        <f ca="1">IFERROR(__xludf.DUMMYFUNCTION("""COMPUTED_VALUE"""),"20221001CACOO")</f>
        <v>20221001CACOO</v>
      </c>
      <c r="B573" s="1">
        <f ca="1">IFERROR(__xludf.DUMMYFUNCTION("""COMPUTED_VALUE"""),37)</f>
        <v>37</v>
      </c>
      <c r="C573" s="1" t="str">
        <f ca="1">IFERROR(__xludf.DUMMYFUNCTION("""COMPUTED_VALUE"""),"Male")</f>
        <v>Male</v>
      </c>
      <c r="D573" s="1"/>
      <c r="E573" s="1"/>
      <c r="F573" s="1" t="str">
        <f ca="1">IFERROR(__xludf.DUMMYFUNCTION("""COMPUTED_VALUE"""),"Fled/Apprehended")</f>
        <v>Fled/Apprehended</v>
      </c>
      <c r="G573" s="1" t="str">
        <f ca="1">IFERROR(__xludf.DUMMYFUNCTION("""COMPUTED_VALUE"""),"No")</f>
        <v>No</v>
      </c>
      <c r="H573" s="1" t="str">
        <f ca="1">IFERROR(__xludf.DUMMYFUNCTION("""COMPUTED_VALUE"""),"None")</f>
        <v>None</v>
      </c>
    </row>
    <row r="574" spans="1:8" ht="12.5">
      <c r="A574" s="1" t="str">
        <f ca="1">IFERROR(__xludf.DUMMYFUNCTION("""COMPUTED_VALUE"""),"20220930OKMCT")</f>
        <v>20220930OKMCT</v>
      </c>
      <c r="B574" s="1">
        <f ca="1">IFERROR(__xludf.DUMMYFUNCTION("""COMPUTED_VALUE"""),16)</f>
        <v>16</v>
      </c>
      <c r="C574" s="1" t="str">
        <f ca="1">IFERROR(__xludf.DUMMYFUNCTION("""COMPUTED_VALUE"""),"Male")</f>
        <v>Male</v>
      </c>
      <c r="D574" s="1"/>
      <c r="E574" s="1" t="str">
        <f ca="1">IFERROR(__xludf.DUMMYFUNCTION("""COMPUTED_VALUE"""),"Student")</f>
        <v>Student</v>
      </c>
      <c r="F574" s="1" t="str">
        <f ca="1">IFERROR(__xludf.DUMMYFUNCTION("""COMPUTED_VALUE"""),"Fled/Apprehended")</f>
        <v>Fled/Apprehended</v>
      </c>
      <c r="G574" s="1" t="str">
        <f ca="1">IFERROR(__xludf.DUMMYFUNCTION("""COMPUTED_VALUE"""),"No")</f>
        <v>No</v>
      </c>
      <c r="H574" s="1" t="str">
        <f ca="1">IFERROR(__xludf.DUMMYFUNCTION("""COMPUTED_VALUE"""),"None")</f>
        <v>None</v>
      </c>
    </row>
    <row r="575" spans="1:8" ht="12.5">
      <c r="A575" s="1" t="str">
        <f ca="1">IFERROR(__xludf.DUMMYFUNCTION("""COMPUTED_VALUE"""),"20220930NYNEN")</f>
        <v>20220930NYNEN</v>
      </c>
      <c r="B575" s="1"/>
      <c r="C575" s="1"/>
      <c r="D575" s="1"/>
      <c r="E575" s="1"/>
      <c r="F575" s="1" t="str">
        <f ca="1">IFERROR(__xludf.DUMMYFUNCTION("""COMPUTED_VALUE"""),"Fled/Escaped")</f>
        <v>Fled/Escaped</v>
      </c>
      <c r="G575" s="1" t="str">
        <f ca="1">IFERROR(__xludf.DUMMYFUNCTION("""COMPUTED_VALUE"""),"No")</f>
        <v>No</v>
      </c>
      <c r="H575" s="1" t="str">
        <f ca="1">IFERROR(__xludf.DUMMYFUNCTION("""COMPUTED_VALUE"""),"None")</f>
        <v>None</v>
      </c>
    </row>
    <row r="576" spans="1:8" ht="12.5">
      <c r="A576" s="1" t="str">
        <f ca="1">IFERROR(__xludf.DUMMYFUNCTION("""COMPUTED_VALUE"""),"20220928LASEB")</f>
        <v>20220928LASEB</v>
      </c>
      <c r="B576" s="1">
        <f ca="1">IFERROR(__xludf.DUMMYFUNCTION("""COMPUTED_VALUE"""),15)</f>
        <v>15</v>
      </c>
      <c r="C576" s="1" t="str">
        <f ca="1">IFERROR(__xludf.DUMMYFUNCTION("""COMPUTED_VALUE"""),"Male")</f>
        <v>Male</v>
      </c>
      <c r="D576" s="1"/>
      <c r="E576" s="1" t="str">
        <f ca="1">IFERROR(__xludf.DUMMYFUNCTION("""COMPUTED_VALUE"""),"Student")</f>
        <v>Student</v>
      </c>
      <c r="F576" s="1" t="str">
        <f ca="1">IFERROR(__xludf.DUMMYFUNCTION("""COMPUTED_VALUE"""),"Fled/Apprehended")</f>
        <v>Fled/Apprehended</v>
      </c>
      <c r="G576" s="1" t="str">
        <f ca="1">IFERROR(__xludf.DUMMYFUNCTION("""COMPUTED_VALUE"""),"No")</f>
        <v>No</v>
      </c>
      <c r="H576" s="1" t="str">
        <f ca="1">IFERROR(__xludf.DUMMYFUNCTION("""COMPUTED_VALUE"""),"None")</f>
        <v>None</v>
      </c>
    </row>
    <row r="577" spans="1:8" ht="12.5">
      <c r="A577" s="1" t="str">
        <f ca="1">IFERROR(__xludf.DUMMYFUNCTION("""COMPUTED_VALUE"""),"20220928CARUO")</f>
        <v>20220928CARUO</v>
      </c>
      <c r="B577" s="1" t="str">
        <f ca="1">IFERROR(__xludf.DUMMYFUNCTION("""COMPUTED_VALUE"""),"Adult")</f>
        <v>Adult</v>
      </c>
      <c r="C577" s="1"/>
      <c r="D577" s="1"/>
      <c r="E577" s="1"/>
      <c r="F577" s="1" t="str">
        <f ca="1">IFERROR(__xludf.DUMMYFUNCTION("""COMPUTED_VALUE"""),"Fled/Escaped")</f>
        <v>Fled/Escaped</v>
      </c>
      <c r="G577" s="1" t="str">
        <f ca="1">IFERROR(__xludf.DUMMYFUNCTION("""COMPUTED_VALUE"""),"No")</f>
        <v>No</v>
      </c>
      <c r="H577" s="1" t="str">
        <f ca="1">IFERROR(__xludf.DUMMYFUNCTION("""COMPUTED_VALUE"""),"None")</f>
        <v>None</v>
      </c>
    </row>
    <row r="578" spans="1:8" ht="12.5">
      <c r="A578" s="1" t="str">
        <f ca="1">IFERROR(__xludf.DUMMYFUNCTION("""COMPUTED_VALUE"""),"20220928CARUO")</f>
        <v>20220928CARUO</v>
      </c>
      <c r="B578" s="1" t="str">
        <f ca="1">IFERROR(__xludf.DUMMYFUNCTION("""COMPUTED_VALUE"""),"Adult")</f>
        <v>Adult</v>
      </c>
      <c r="C578" s="1"/>
      <c r="D578" s="1"/>
      <c r="E578" s="1"/>
      <c r="F578" s="1" t="str">
        <f ca="1">IFERROR(__xludf.DUMMYFUNCTION("""COMPUTED_VALUE"""),"Fled/Escaped")</f>
        <v>Fled/Escaped</v>
      </c>
      <c r="G578" s="1" t="str">
        <f ca="1">IFERROR(__xludf.DUMMYFUNCTION("""COMPUTED_VALUE"""),"No")</f>
        <v>No</v>
      </c>
      <c r="H578" s="1" t="str">
        <f ca="1">IFERROR(__xludf.DUMMYFUNCTION("""COMPUTED_VALUE"""),"None")</f>
        <v>None</v>
      </c>
    </row>
    <row r="579" spans="1:8" ht="12.5">
      <c r="A579" s="1" t="str">
        <f ca="1">IFERROR(__xludf.DUMMYFUNCTION("""COMPUTED_VALUE"""),"20220927PAROP")</f>
        <v>20220927PAROP</v>
      </c>
      <c r="B579" s="1">
        <f ca="1">IFERROR(__xludf.DUMMYFUNCTION("""COMPUTED_VALUE"""),21)</f>
        <v>21</v>
      </c>
      <c r="C579" s="1" t="str">
        <f ca="1">IFERROR(__xludf.DUMMYFUNCTION("""COMPUTED_VALUE"""),"Male")</f>
        <v>Male</v>
      </c>
      <c r="D579" s="1" t="str">
        <f ca="1">IFERROR(__xludf.DUMMYFUNCTION("""COMPUTED_VALUE"""),"Black")</f>
        <v>Black</v>
      </c>
      <c r="E579" s="1" t="str">
        <f ca="1">IFERROR(__xludf.DUMMYFUNCTION("""COMPUTED_VALUE"""),"No Relation")</f>
        <v>No Relation</v>
      </c>
      <c r="F579" s="1" t="str">
        <f ca="1">IFERROR(__xludf.DUMMYFUNCTION("""COMPUTED_VALUE"""),"Fled/Apprehended")</f>
        <v>Fled/Apprehended</v>
      </c>
      <c r="G579" s="1" t="str">
        <f ca="1">IFERROR(__xludf.DUMMYFUNCTION("""COMPUTED_VALUE"""),"No")</f>
        <v>No</v>
      </c>
      <c r="H579" s="1" t="str">
        <f ca="1">IFERROR(__xludf.DUMMYFUNCTION("""COMPUTED_VALUE"""),"None")</f>
        <v>None</v>
      </c>
    </row>
    <row r="580" spans="1:8" ht="12.5">
      <c r="A580" s="1" t="str">
        <f ca="1">IFERROR(__xludf.DUMMYFUNCTION("""COMPUTED_VALUE"""),"20220927PAROP")</f>
        <v>20220927PAROP</v>
      </c>
      <c r="B580" s="1">
        <f ca="1">IFERROR(__xludf.DUMMYFUNCTION("""COMPUTED_VALUE"""),17)</f>
        <v>17</v>
      </c>
      <c r="C580" s="1" t="str">
        <f ca="1">IFERROR(__xludf.DUMMYFUNCTION("""COMPUTED_VALUE"""),"Male")</f>
        <v>Male</v>
      </c>
      <c r="D580" s="1" t="str">
        <f ca="1">IFERROR(__xludf.DUMMYFUNCTION("""COMPUTED_VALUE"""),"Black")</f>
        <v>Black</v>
      </c>
      <c r="E580" s="1" t="str">
        <f ca="1">IFERROR(__xludf.DUMMYFUNCTION("""COMPUTED_VALUE"""),"Student")</f>
        <v>Student</v>
      </c>
      <c r="F580" s="1" t="str">
        <f ca="1">IFERROR(__xludf.DUMMYFUNCTION("""COMPUTED_VALUE"""),"Fled/Apprehended")</f>
        <v>Fled/Apprehended</v>
      </c>
      <c r="G580" s="1" t="str">
        <f ca="1">IFERROR(__xludf.DUMMYFUNCTION("""COMPUTED_VALUE"""),"No")</f>
        <v>No</v>
      </c>
      <c r="H580" s="1" t="str">
        <f ca="1">IFERROR(__xludf.DUMMYFUNCTION("""COMPUTED_VALUE"""),"None")</f>
        <v>None</v>
      </c>
    </row>
    <row r="581" spans="1:8" ht="12.5">
      <c r="A581" s="1" t="str">
        <f ca="1">IFERROR(__xludf.DUMMYFUNCTION("""COMPUTED_VALUE"""),"20220927PAROP")</f>
        <v>20220927PAROP</v>
      </c>
      <c r="B581" s="1">
        <f ca="1">IFERROR(__xludf.DUMMYFUNCTION("""COMPUTED_VALUE"""),15)</f>
        <v>15</v>
      </c>
      <c r="C581" s="1" t="str">
        <f ca="1">IFERROR(__xludf.DUMMYFUNCTION("""COMPUTED_VALUE"""),"Male")</f>
        <v>Male</v>
      </c>
      <c r="D581" s="1" t="str">
        <f ca="1">IFERROR(__xludf.DUMMYFUNCTION("""COMPUTED_VALUE"""),"Black")</f>
        <v>Black</v>
      </c>
      <c r="E581" s="1" t="str">
        <f ca="1">IFERROR(__xludf.DUMMYFUNCTION("""COMPUTED_VALUE"""),"Student")</f>
        <v>Student</v>
      </c>
      <c r="F581" s="1" t="str">
        <f ca="1">IFERROR(__xludf.DUMMYFUNCTION("""COMPUTED_VALUE"""),"Fled/Apprehended")</f>
        <v>Fled/Apprehended</v>
      </c>
      <c r="G581" s="1" t="str">
        <f ca="1">IFERROR(__xludf.DUMMYFUNCTION("""COMPUTED_VALUE"""),"No")</f>
        <v>No</v>
      </c>
      <c r="H581" s="1" t="str">
        <f ca="1">IFERROR(__xludf.DUMMYFUNCTION("""COMPUTED_VALUE"""),"None")</f>
        <v>None</v>
      </c>
    </row>
    <row r="582" spans="1:8" ht="12.5">
      <c r="A582" s="1" t="str">
        <f ca="1">IFERROR(__xludf.DUMMYFUNCTION("""COMPUTED_VALUE"""),"20220927PAROP")</f>
        <v>20220927PAROP</v>
      </c>
      <c r="B582" s="1">
        <f ca="1">IFERROR(__xludf.DUMMYFUNCTION("""COMPUTED_VALUE"""),16)</f>
        <v>16</v>
      </c>
      <c r="C582" s="1" t="str">
        <f ca="1">IFERROR(__xludf.DUMMYFUNCTION("""COMPUTED_VALUE"""),"Male")</f>
        <v>Male</v>
      </c>
      <c r="D582" s="1" t="str">
        <f ca="1">IFERROR(__xludf.DUMMYFUNCTION("""COMPUTED_VALUE"""),"Black")</f>
        <v>Black</v>
      </c>
      <c r="E582" s="1" t="str">
        <f ca="1">IFERROR(__xludf.DUMMYFUNCTION("""COMPUTED_VALUE"""),"Student")</f>
        <v>Student</v>
      </c>
      <c r="F582" s="1" t="str">
        <f ca="1">IFERROR(__xludf.DUMMYFUNCTION("""COMPUTED_VALUE"""),"Fled/Apprehended")</f>
        <v>Fled/Apprehended</v>
      </c>
      <c r="G582" s="1" t="str">
        <f ca="1">IFERROR(__xludf.DUMMYFUNCTION("""COMPUTED_VALUE"""),"No")</f>
        <v>No</v>
      </c>
      <c r="H582" s="1" t="str">
        <f ca="1">IFERROR(__xludf.DUMMYFUNCTION("""COMPUTED_VALUE"""),"None")</f>
        <v>None</v>
      </c>
    </row>
    <row r="583" spans="1:8" ht="12.5">
      <c r="A583" s="1" t="str">
        <f ca="1">IFERROR(__xludf.DUMMYFUNCTION("""COMPUTED_VALUE"""),"20220927PAROP")</f>
        <v>20220927PAROP</v>
      </c>
      <c r="B583" s="1">
        <f ca="1">IFERROR(__xludf.DUMMYFUNCTION("""COMPUTED_VALUE"""),16)</f>
        <v>16</v>
      </c>
      <c r="C583" s="1" t="str">
        <f ca="1">IFERROR(__xludf.DUMMYFUNCTION("""COMPUTED_VALUE"""),"Male")</f>
        <v>Male</v>
      </c>
      <c r="D583" s="1" t="str">
        <f ca="1">IFERROR(__xludf.DUMMYFUNCTION("""COMPUTED_VALUE"""),"Black")</f>
        <v>Black</v>
      </c>
      <c r="E583" s="1" t="str">
        <f ca="1">IFERROR(__xludf.DUMMYFUNCTION("""COMPUTED_VALUE"""),"Student")</f>
        <v>Student</v>
      </c>
      <c r="F583" s="1" t="str">
        <f ca="1">IFERROR(__xludf.DUMMYFUNCTION("""COMPUTED_VALUE"""),"Fled/Apprehended")</f>
        <v>Fled/Apprehended</v>
      </c>
      <c r="G583" s="1" t="str">
        <f ca="1">IFERROR(__xludf.DUMMYFUNCTION("""COMPUTED_VALUE"""),"No")</f>
        <v>No</v>
      </c>
      <c r="H583" s="1" t="str">
        <f ca="1">IFERROR(__xludf.DUMMYFUNCTION("""COMPUTED_VALUE"""),"None")</f>
        <v>None</v>
      </c>
    </row>
    <row r="584" spans="1:8" ht="12.5">
      <c r="A584" s="1" t="str">
        <f ca="1">IFERROR(__xludf.DUMMYFUNCTION("""COMPUTED_VALUE"""),"20220927TXHGD")</f>
        <v>20220927TXHGD</v>
      </c>
      <c r="B584" s="1"/>
      <c r="C584" s="1"/>
      <c r="D584" s="1"/>
      <c r="E584" s="1"/>
      <c r="F584" s="1" t="str">
        <f ca="1">IFERROR(__xludf.DUMMYFUNCTION("""COMPUTED_VALUE"""),"Fled/Escaped")</f>
        <v>Fled/Escaped</v>
      </c>
      <c r="G584" s="1" t="str">
        <f ca="1">IFERROR(__xludf.DUMMYFUNCTION("""COMPUTED_VALUE"""),"No")</f>
        <v>No</v>
      </c>
      <c r="H584" s="1" t="str">
        <f ca="1">IFERROR(__xludf.DUMMYFUNCTION("""COMPUTED_VALUE"""),"None")</f>
        <v>None</v>
      </c>
    </row>
    <row r="585" spans="1:8" ht="12.5">
      <c r="A585" s="1" t="str">
        <f ca="1">IFERROR(__xludf.DUMMYFUNCTION("""COMPUTED_VALUE"""),"20220926GAVAV")</f>
        <v>20220926GAVAV</v>
      </c>
      <c r="B585" s="1"/>
      <c r="C585" s="1" t="str">
        <f ca="1">IFERROR(__xludf.DUMMYFUNCTION("""COMPUTED_VALUE"""),"Male")</f>
        <v>Male</v>
      </c>
      <c r="D585" s="1"/>
      <c r="E585" s="1"/>
      <c r="F585" s="1" t="str">
        <f ca="1">IFERROR(__xludf.DUMMYFUNCTION("""COMPUTED_VALUE"""),"Fled/Escaped")</f>
        <v>Fled/Escaped</v>
      </c>
      <c r="G585" s="1" t="str">
        <f ca="1">IFERROR(__xludf.DUMMYFUNCTION("""COMPUTED_VALUE"""),"No")</f>
        <v>No</v>
      </c>
      <c r="H585" s="1" t="str">
        <f ca="1">IFERROR(__xludf.DUMMYFUNCTION("""COMPUTED_VALUE"""),"None")</f>
        <v>None</v>
      </c>
    </row>
    <row r="586" spans="1:8" ht="12.5">
      <c r="A586" s="1" t="str">
        <f ca="1">IFERROR(__xludf.DUMMYFUNCTION("""COMPUTED_VALUE"""),"20220923CANOC")</f>
        <v>20220923CANOC</v>
      </c>
      <c r="B586" s="1" t="str">
        <f ca="1">IFERROR(__xludf.DUMMYFUNCTION("""COMPUTED_VALUE"""),"Teen")</f>
        <v>Teen</v>
      </c>
      <c r="C586" s="1" t="str">
        <f ca="1">IFERROR(__xludf.DUMMYFUNCTION("""COMPUTED_VALUE"""),"Male")</f>
        <v>Male</v>
      </c>
      <c r="D586" s="1"/>
      <c r="E586" s="1" t="str">
        <f ca="1">IFERROR(__xludf.DUMMYFUNCTION("""COMPUTED_VALUE"""),"Nonstudent Using Athletic Facilities/Attending Game")</f>
        <v>Nonstudent Using Athletic Facilities/Attending Game</v>
      </c>
      <c r="F586" s="1" t="str">
        <f ca="1">IFERROR(__xludf.DUMMYFUNCTION("""COMPUTED_VALUE"""),"Fled/Escaped")</f>
        <v>Fled/Escaped</v>
      </c>
      <c r="G586" s="1" t="str">
        <f ca="1">IFERROR(__xludf.DUMMYFUNCTION("""COMPUTED_VALUE"""),"No")</f>
        <v>No</v>
      </c>
      <c r="H586" s="1" t="str">
        <f ca="1">IFERROR(__xludf.DUMMYFUNCTION("""COMPUTED_VALUE"""),"None")</f>
        <v>None</v>
      </c>
    </row>
    <row r="587" spans="1:8" ht="12.5">
      <c r="A587" s="1" t="str">
        <f ca="1">IFERROR(__xludf.DUMMYFUNCTION("""COMPUTED_VALUE"""),"20220923WIROM")</f>
        <v>20220923WIROM</v>
      </c>
      <c r="B587" s="1" t="str">
        <f ca="1">IFERROR(__xludf.DUMMYFUNCTION("""COMPUTED_VALUE"""),"Adult")</f>
        <v>Adult</v>
      </c>
      <c r="C587" s="1" t="str">
        <f ca="1">IFERROR(__xludf.DUMMYFUNCTION("""COMPUTED_VALUE"""),"Male")</f>
        <v>Male</v>
      </c>
      <c r="D587" s="1"/>
      <c r="E587" s="1" t="str">
        <f ca="1">IFERROR(__xludf.DUMMYFUNCTION("""COMPUTED_VALUE"""),"No Relation")</f>
        <v>No Relation</v>
      </c>
      <c r="F587" s="1" t="str">
        <f ca="1">IFERROR(__xludf.DUMMYFUNCTION("""COMPUTED_VALUE"""),"Fled/Escaped")</f>
        <v>Fled/Escaped</v>
      </c>
      <c r="G587" s="1" t="str">
        <f ca="1">IFERROR(__xludf.DUMMYFUNCTION("""COMPUTED_VALUE"""),"No")</f>
        <v>No</v>
      </c>
      <c r="H587" s="1" t="str">
        <f ca="1">IFERROR(__xludf.DUMMYFUNCTION("""COMPUTED_VALUE"""),"None")</f>
        <v>None</v>
      </c>
    </row>
    <row r="588" spans="1:8" ht="12.5">
      <c r="A588" s="1" t="str">
        <f ca="1">IFERROR(__xludf.DUMMYFUNCTION("""COMPUTED_VALUE"""),"20220923PAWEP")</f>
        <v>20220923PAWEP</v>
      </c>
      <c r="B588" s="1"/>
      <c r="C588" s="1"/>
      <c r="D588" s="1"/>
      <c r="E588" s="1"/>
      <c r="F588" s="1" t="str">
        <f ca="1">IFERROR(__xludf.DUMMYFUNCTION("""COMPUTED_VALUE"""),"Fled/Escaped")</f>
        <v>Fled/Escaped</v>
      </c>
      <c r="G588" s="1" t="str">
        <f ca="1">IFERROR(__xludf.DUMMYFUNCTION("""COMPUTED_VALUE"""),"No")</f>
        <v>No</v>
      </c>
      <c r="H588" s="1" t="str">
        <f ca="1">IFERROR(__xludf.DUMMYFUNCTION("""COMPUTED_VALUE"""),"None")</f>
        <v>None</v>
      </c>
    </row>
    <row r="589" spans="1:8" ht="12.5">
      <c r="A589" s="1" t="str">
        <f ca="1">IFERROR(__xludf.DUMMYFUNCTION("""COMPUTED_VALUE"""),"20220923DEAPM")</f>
        <v>20220923DEAPM</v>
      </c>
      <c r="B589" s="1"/>
      <c r="C589" s="1"/>
      <c r="D589" s="1"/>
      <c r="E589" s="1"/>
      <c r="F589" s="1" t="str">
        <f ca="1">IFERROR(__xludf.DUMMYFUNCTION("""COMPUTED_VALUE"""),"Fled/Escaped")</f>
        <v>Fled/Escaped</v>
      </c>
      <c r="G589" s="1" t="str">
        <f ca="1">IFERROR(__xludf.DUMMYFUNCTION("""COMPUTED_VALUE"""),"No")</f>
        <v>No</v>
      </c>
      <c r="H589" s="1" t="str">
        <f ca="1">IFERROR(__xludf.DUMMYFUNCTION("""COMPUTED_VALUE"""),"None")</f>
        <v>None</v>
      </c>
    </row>
    <row r="590" spans="1:8" ht="12.5">
      <c r="A590" s="1" t="str">
        <f ca="1">IFERROR(__xludf.DUMMYFUNCTION("""COMPUTED_VALUE"""),"20220923MNRIM")</f>
        <v>20220923MNRIM</v>
      </c>
      <c r="B590" s="1">
        <f ca="1">IFERROR(__xludf.DUMMYFUNCTION("""COMPUTED_VALUE"""),15)</f>
        <v>15</v>
      </c>
      <c r="C590" s="1" t="str">
        <f ca="1">IFERROR(__xludf.DUMMYFUNCTION("""COMPUTED_VALUE"""),"Male")</f>
        <v>Male</v>
      </c>
      <c r="D590" s="1"/>
      <c r="E590" s="1" t="str">
        <f ca="1">IFERROR(__xludf.DUMMYFUNCTION("""COMPUTED_VALUE"""),"Student")</f>
        <v>Student</v>
      </c>
      <c r="F590" s="1" t="str">
        <f ca="1">IFERROR(__xludf.DUMMYFUNCTION("""COMPUTED_VALUE"""),"Fled/Apprehended")</f>
        <v>Fled/Apprehended</v>
      </c>
      <c r="G590" s="1" t="str">
        <f ca="1">IFERROR(__xludf.DUMMYFUNCTION("""COMPUTED_VALUE"""),"No")</f>
        <v>No</v>
      </c>
      <c r="H590" s="1" t="str">
        <f ca="1">IFERROR(__xludf.DUMMYFUNCTION("""COMPUTED_VALUE"""),"None")</f>
        <v>None</v>
      </c>
    </row>
    <row r="591" spans="1:8" ht="12.5">
      <c r="A591" s="1" t="str">
        <f ca="1">IFERROR(__xludf.DUMMYFUNCTION("""COMPUTED_VALUE"""),"20220923MNRIM")</f>
        <v>20220923MNRIM</v>
      </c>
      <c r="B591" s="1">
        <f ca="1">IFERROR(__xludf.DUMMYFUNCTION("""COMPUTED_VALUE"""),16)</f>
        <v>16</v>
      </c>
      <c r="C591" s="1" t="str">
        <f ca="1">IFERROR(__xludf.DUMMYFUNCTION("""COMPUTED_VALUE"""),"Male")</f>
        <v>Male</v>
      </c>
      <c r="D591" s="1"/>
      <c r="E591" s="1" t="str">
        <f ca="1">IFERROR(__xludf.DUMMYFUNCTION("""COMPUTED_VALUE"""),"Former Student")</f>
        <v>Former Student</v>
      </c>
      <c r="F591" s="1" t="str">
        <f ca="1">IFERROR(__xludf.DUMMYFUNCTION("""COMPUTED_VALUE"""),"Fled/Apprehended")</f>
        <v>Fled/Apprehended</v>
      </c>
      <c r="G591" s="1" t="str">
        <f ca="1">IFERROR(__xludf.DUMMYFUNCTION("""COMPUTED_VALUE"""),"No")</f>
        <v>No</v>
      </c>
      <c r="H591" s="1" t="str">
        <f ca="1">IFERROR(__xludf.DUMMYFUNCTION("""COMPUTED_VALUE"""),"None")</f>
        <v>None</v>
      </c>
    </row>
    <row r="592" spans="1:8" ht="12.5">
      <c r="A592" s="1" t="str">
        <f ca="1">IFERROR(__xludf.DUMMYFUNCTION("""COMPUTED_VALUE"""),"20220922AZMOP")</f>
        <v>20220922AZMOP</v>
      </c>
      <c r="B592" s="1">
        <f ca="1">IFERROR(__xludf.DUMMYFUNCTION("""COMPUTED_VALUE"""),29)</f>
        <v>29</v>
      </c>
      <c r="C592" s="1" t="str">
        <f ca="1">IFERROR(__xludf.DUMMYFUNCTION("""COMPUTED_VALUE"""),"Female")</f>
        <v>Female</v>
      </c>
      <c r="D592" s="1" t="str">
        <f ca="1">IFERROR(__xludf.DUMMYFUNCTION("""COMPUTED_VALUE"""),"Black")</f>
        <v>Black</v>
      </c>
      <c r="E592" s="1" t="str">
        <f ca="1">IFERROR(__xludf.DUMMYFUNCTION("""COMPUTED_VALUE"""),"Parent")</f>
        <v>Parent</v>
      </c>
      <c r="F592" s="1" t="str">
        <f ca="1">IFERROR(__xludf.DUMMYFUNCTION("""COMPUTED_VALUE"""),"Apprehended/Killed by SRO")</f>
        <v>Apprehended/Killed by SRO</v>
      </c>
      <c r="G592" s="1" t="str">
        <f ca="1">IFERROR(__xludf.DUMMYFUNCTION("""COMPUTED_VALUE"""),"No")</f>
        <v>No</v>
      </c>
      <c r="H592" s="1" t="str">
        <f ca="1">IFERROR(__xludf.DUMMYFUNCTION("""COMPUTED_VALUE"""),"None")</f>
        <v>None</v>
      </c>
    </row>
    <row r="593" spans="1:8" ht="12.5">
      <c r="A593" s="1" t="str">
        <f ca="1">IFERROR(__xludf.DUMMYFUNCTION("""COMPUTED_VALUE"""),"20220921INJAS")</f>
        <v>20220921INJAS</v>
      </c>
      <c r="B593" s="1" t="str">
        <f ca="1">IFERROR(__xludf.DUMMYFUNCTION("""COMPUTED_VALUE"""),"Teen")</f>
        <v>Teen</v>
      </c>
      <c r="C593" s="1"/>
      <c r="D593" s="1"/>
      <c r="E593" s="1" t="str">
        <f ca="1">IFERROR(__xludf.DUMMYFUNCTION("""COMPUTED_VALUE"""),"Student")</f>
        <v>Student</v>
      </c>
      <c r="F593" s="1" t="str">
        <f ca="1">IFERROR(__xludf.DUMMYFUNCTION("""COMPUTED_VALUE"""),"Fled/Apprehended")</f>
        <v>Fled/Apprehended</v>
      </c>
      <c r="G593" s="1" t="str">
        <f ca="1">IFERROR(__xludf.DUMMYFUNCTION("""COMPUTED_VALUE"""),"No")</f>
        <v>No</v>
      </c>
      <c r="H593" s="1" t="str">
        <f ca="1">IFERROR(__xludf.DUMMYFUNCTION("""COMPUTED_VALUE"""),"None")</f>
        <v>None</v>
      </c>
    </row>
    <row r="594" spans="1:8" ht="12.5">
      <c r="A594" s="1" t="str">
        <f ca="1">IFERROR(__xludf.DUMMYFUNCTION("""COMPUTED_VALUE"""),"20220920NYINB")</f>
        <v>20220920NYINB</v>
      </c>
      <c r="B594" s="1">
        <f ca="1">IFERROR(__xludf.DUMMYFUNCTION("""COMPUTED_VALUE"""),36)</f>
        <v>36</v>
      </c>
      <c r="C594" s="1" t="str">
        <f ca="1">IFERROR(__xludf.DUMMYFUNCTION("""COMPUTED_VALUE"""),"Female")</f>
        <v>Female</v>
      </c>
      <c r="D594" s="1"/>
      <c r="E594" s="1" t="str">
        <f ca="1">IFERROR(__xludf.DUMMYFUNCTION("""COMPUTED_VALUE"""),"No Relation")</f>
        <v>No Relation</v>
      </c>
      <c r="F594" s="1" t="str">
        <f ca="1">IFERROR(__xludf.DUMMYFUNCTION("""COMPUTED_VALUE"""),"Suicide")</f>
        <v>Suicide</v>
      </c>
      <c r="G594" s="1" t="str">
        <f ca="1">IFERROR(__xludf.DUMMYFUNCTION("""COMPUTED_VALUE"""),"No")</f>
        <v>No</v>
      </c>
      <c r="H594" s="1" t="str">
        <f ca="1">IFERROR(__xludf.DUMMYFUNCTION("""COMPUTED_VALUE"""),"Suicide")</f>
        <v>Suicide</v>
      </c>
    </row>
    <row r="595" spans="1:8" ht="12.5">
      <c r="A595" s="1" t="str">
        <f ca="1">IFERROR(__xludf.DUMMYFUNCTION("""COMPUTED_VALUE"""),"20220919FLTRS")</f>
        <v>20220919FLTRS</v>
      </c>
      <c r="B595" s="1" t="str">
        <f ca="1">IFERROR(__xludf.DUMMYFUNCTION("""COMPUTED_VALUE"""),"Adult")</f>
        <v>Adult</v>
      </c>
      <c r="C595" s="1" t="str">
        <f ca="1">IFERROR(__xludf.DUMMYFUNCTION("""COMPUTED_VALUE"""),"Male")</f>
        <v>Male</v>
      </c>
      <c r="D595" s="1"/>
      <c r="E595" s="1" t="str">
        <f ca="1">IFERROR(__xludf.DUMMYFUNCTION("""COMPUTED_VALUE"""),"Police Officer/SRO")</f>
        <v>Police Officer/SRO</v>
      </c>
      <c r="F595" s="1" t="str">
        <f ca="1">IFERROR(__xludf.DUMMYFUNCTION("""COMPUTED_VALUE"""),"Other")</f>
        <v>Other</v>
      </c>
      <c r="G595" s="1" t="str">
        <f ca="1">IFERROR(__xludf.DUMMYFUNCTION("""COMPUTED_VALUE"""),"No")</f>
        <v>No</v>
      </c>
      <c r="H595" s="1" t="str">
        <f ca="1">IFERROR(__xludf.DUMMYFUNCTION("""COMPUTED_VALUE"""),"None")</f>
        <v>None</v>
      </c>
    </row>
    <row r="596" spans="1:8" ht="12.5">
      <c r="A596" s="1" t="str">
        <f ca="1">IFERROR(__xludf.DUMMYFUNCTION("""COMPUTED_VALUE"""),"20220919LALAN")</f>
        <v>20220919LALAN</v>
      </c>
      <c r="B596" s="1" t="str">
        <f ca="1">IFERROR(__xludf.DUMMYFUNCTION("""COMPUTED_VALUE"""),"Child")</f>
        <v>Child</v>
      </c>
      <c r="C596" s="1" t="str">
        <f ca="1">IFERROR(__xludf.DUMMYFUNCTION("""COMPUTED_VALUE"""),"Male")</f>
        <v>Male</v>
      </c>
      <c r="D596" s="1"/>
      <c r="E596" s="1" t="str">
        <f ca="1">IFERROR(__xludf.DUMMYFUNCTION("""COMPUTED_VALUE"""),"Student")</f>
        <v>Student</v>
      </c>
      <c r="F596" s="1" t="str">
        <f ca="1">IFERROR(__xludf.DUMMYFUNCTION("""COMPUTED_VALUE"""),"Apprehended/Killed by LE")</f>
        <v>Apprehended/Killed by LE</v>
      </c>
      <c r="G596" s="1" t="str">
        <f ca="1">IFERROR(__xludf.DUMMYFUNCTION("""COMPUTED_VALUE"""),"No")</f>
        <v>No</v>
      </c>
      <c r="H596" s="1" t="str">
        <f ca="1">IFERROR(__xludf.DUMMYFUNCTION("""COMPUTED_VALUE"""),"None")</f>
        <v>None</v>
      </c>
    </row>
    <row r="597" spans="1:8" ht="12.5">
      <c r="A597" s="1" t="str">
        <f ca="1">IFERROR(__xludf.DUMMYFUNCTION("""COMPUTED_VALUE"""),"20220917GAJOA")</f>
        <v>20220917GAJOA</v>
      </c>
      <c r="B597" s="1">
        <f ca="1">IFERROR(__xludf.DUMMYFUNCTION("""COMPUTED_VALUE"""),19)</f>
        <v>19</v>
      </c>
      <c r="C597" s="1" t="str">
        <f ca="1">IFERROR(__xludf.DUMMYFUNCTION("""COMPUTED_VALUE"""),"Male")</f>
        <v>Male</v>
      </c>
      <c r="D597" s="1" t="str">
        <f ca="1">IFERROR(__xludf.DUMMYFUNCTION("""COMPUTED_VALUE"""),"Black")</f>
        <v>Black</v>
      </c>
      <c r="E597" s="1" t="str">
        <f ca="1">IFERROR(__xludf.DUMMYFUNCTION("""COMPUTED_VALUE"""),"Nonstudent Using Athletic Facilities/Attending Game")</f>
        <v>Nonstudent Using Athletic Facilities/Attending Game</v>
      </c>
      <c r="F597" s="1" t="str">
        <f ca="1">IFERROR(__xludf.DUMMYFUNCTION("""COMPUTED_VALUE"""),"Fled/Escaped")</f>
        <v>Fled/Escaped</v>
      </c>
      <c r="G597" s="1" t="str">
        <f ca="1">IFERROR(__xludf.DUMMYFUNCTION("""COMPUTED_VALUE"""),"No")</f>
        <v>No</v>
      </c>
      <c r="H597" s="1" t="str">
        <f ca="1">IFERROR(__xludf.DUMMYFUNCTION("""COMPUTED_VALUE"""),"None")</f>
        <v>None</v>
      </c>
    </row>
    <row r="598" spans="1:8" ht="12.5">
      <c r="A598" s="1" t="str">
        <f ca="1">IFERROR(__xludf.DUMMYFUNCTION("""COMPUTED_VALUE"""),"20220916GALAA")</f>
        <v>20220916GALAA</v>
      </c>
      <c r="B598" s="1" t="str">
        <f ca="1">IFERROR(__xludf.DUMMYFUNCTION("""COMPUTED_VALUE"""),"Adult")</f>
        <v>Adult</v>
      </c>
      <c r="C598" s="1"/>
      <c r="D598" s="1"/>
      <c r="E598" s="1" t="str">
        <f ca="1">IFERROR(__xludf.DUMMYFUNCTION("""COMPUTED_VALUE"""),"Nonstudent Using Athletic Facilities/Attending Game")</f>
        <v>Nonstudent Using Athletic Facilities/Attending Game</v>
      </c>
      <c r="F598" s="1" t="str">
        <f ca="1">IFERROR(__xludf.DUMMYFUNCTION("""COMPUTED_VALUE"""),"Fled/Escaped")</f>
        <v>Fled/Escaped</v>
      </c>
      <c r="G598" s="1" t="str">
        <f ca="1">IFERROR(__xludf.DUMMYFUNCTION("""COMPUTED_VALUE"""),"No")</f>
        <v>No</v>
      </c>
      <c r="H598" s="1" t="str">
        <f ca="1">IFERROR(__xludf.DUMMYFUNCTION("""COMPUTED_VALUE"""),"None")</f>
        <v>None</v>
      </c>
    </row>
    <row r="599" spans="1:8" ht="12.5">
      <c r="A599" s="1" t="str">
        <f ca="1">IFERROR(__xludf.DUMMYFUNCTION("""COMPUTED_VALUE"""),"20220916GALAA")</f>
        <v>20220916GALAA</v>
      </c>
      <c r="B599" s="1" t="str">
        <f ca="1">IFERROR(__xludf.DUMMYFUNCTION("""COMPUTED_VALUE"""),"Adult")</f>
        <v>Adult</v>
      </c>
      <c r="C599" s="1"/>
      <c r="D599" s="1"/>
      <c r="E599" s="1" t="str">
        <f ca="1">IFERROR(__xludf.DUMMYFUNCTION("""COMPUTED_VALUE"""),"Nonstudent Using Athletic Facilities/Attending Game")</f>
        <v>Nonstudent Using Athletic Facilities/Attending Game</v>
      </c>
      <c r="F599" s="1" t="str">
        <f ca="1">IFERROR(__xludf.DUMMYFUNCTION("""COMPUTED_VALUE"""),"Fled/Escaped")</f>
        <v>Fled/Escaped</v>
      </c>
      <c r="G599" s="1" t="str">
        <f ca="1">IFERROR(__xludf.DUMMYFUNCTION("""COMPUTED_VALUE"""),"No")</f>
        <v>No</v>
      </c>
      <c r="H599" s="1" t="str">
        <f ca="1">IFERROR(__xludf.DUMMYFUNCTION("""COMPUTED_VALUE"""),"None")</f>
        <v>None</v>
      </c>
    </row>
    <row r="600" spans="1:8" ht="12.5">
      <c r="A600" s="1" t="str">
        <f ca="1">IFERROR(__xludf.DUMMYFUNCTION("""COMPUTED_VALUE"""),"20220916GALAA")</f>
        <v>20220916GALAA</v>
      </c>
      <c r="B600" s="1" t="str">
        <f ca="1">IFERROR(__xludf.DUMMYFUNCTION("""COMPUTED_VALUE"""),"Adult")</f>
        <v>Adult</v>
      </c>
      <c r="C600" s="1"/>
      <c r="D600" s="1"/>
      <c r="E600" s="1" t="str">
        <f ca="1">IFERROR(__xludf.DUMMYFUNCTION("""COMPUTED_VALUE"""),"Nonstudent Using Athletic Facilities/Attending Game")</f>
        <v>Nonstudent Using Athletic Facilities/Attending Game</v>
      </c>
      <c r="F600" s="1" t="str">
        <f ca="1">IFERROR(__xludf.DUMMYFUNCTION("""COMPUTED_VALUE"""),"Fled/Escaped")</f>
        <v>Fled/Escaped</v>
      </c>
      <c r="G600" s="1" t="str">
        <f ca="1">IFERROR(__xludf.DUMMYFUNCTION("""COMPUTED_VALUE"""),"No")</f>
        <v>No</v>
      </c>
      <c r="H600" s="1" t="str">
        <f ca="1">IFERROR(__xludf.DUMMYFUNCTION("""COMPUTED_VALUE"""),"None")</f>
        <v>None</v>
      </c>
    </row>
    <row r="601" spans="1:8" ht="12.5">
      <c r="A601" s="1" t="str">
        <f ca="1">IFERROR(__xludf.DUMMYFUNCTION("""COMPUTED_VALUE"""),"20220916NYPSN")</f>
        <v>20220916NYPSN</v>
      </c>
      <c r="B601" s="1" t="str">
        <f ca="1">IFERROR(__xludf.DUMMYFUNCTION("""COMPUTED_VALUE"""),"Teen")</f>
        <v>Teen</v>
      </c>
      <c r="C601" s="1" t="str">
        <f ca="1">IFERROR(__xludf.DUMMYFUNCTION("""COMPUTED_VALUE"""),"Male")</f>
        <v>Male</v>
      </c>
      <c r="D601" s="1"/>
      <c r="E601" s="1" t="str">
        <f ca="1">IFERROR(__xludf.DUMMYFUNCTION("""COMPUTED_VALUE"""),"Nonstudent Using Athletic Facilities/Attending Game")</f>
        <v>Nonstudent Using Athletic Facilities/Attending Game</v>
      </c>
      <c r="F601" s="1" t="str">
        <f ca="1">IFERROR(__xludf.DUMMYFUNCTION("""COMPUTED_VALUE"""),"Fled/Escaped")</f>
        <v>Fled/Escaped</v>
      </c>
      <c r="G601" s="1" t="str">
        <f ca="1">IFERROR(__xludf.DUMMYFUNCTION("""COMPUTED_VALUE"""),"No")</f>
        <v>No</v>
      </c>
      <c r="H601" s="1" t="str">
        <f ca="1">IFERROR(__xludf.DUMMYFUNCTION("""COMPUTED_VALUE"""),"None")</f>
        <v>None</v>
      </c>
    </row>
    <row r="602" spans="1:8" ht="12.5">
      <c r="A602" s="1" t="str">
        <f ca="1">IFERROR(__xludf.DUMMYFUNCTION("""COMPUTED_VALUE"""),"20220914PACON")</f>
        <v>20220914PACON</v>
      </c>
      <c r="B602" s="1" t="str">
        <f ca="1">IFERROR(__xludf.DUMMYFUNCTION("""COMPUTED_VALUE"""),"Teen")</f>
        <v>Teen</v>
      </c>
      <c r="C602" s="1"/>
      <c r="D602" s="1"/>
      <c r="E602" s="1" t="str">
        <f ca="1">IFERROR(__xludf.DUMMYFUNCTION("""COMPUTED_VALUE"""),"Student")</f>
        <v>Student</v>
      </c>
      <c r="F602" s="1" t="str">
        <f ca="1">IFERROR(__xludf.DUMMYFUNCTION("""COMPUTED_VALUE"""),"Apprehended/Killed by LE")</f>
        <v>Apprehended/Killed by LE</v>
      </c>
      <c r="G602" s="1" t="str">
        <f ca="1">IFERROR(__xludf.DUMMYFUNCTION("""COMPUTED_VALUE"""),"No")</f>
        <v>No</v>
      </c>
      <c r="H602" s="1" t="str">
        <f ca="1">IFERROR(__xludf.DUMMYFUNCTION("""COMPUTED_VALUE"""),"None")</f>
        <v>None</v>
      </c>
    </row>
    <row r="603" spans="1:8" ht="12.5">
      <c r="A603" s="1" t="str">
        <f ca="1">IFERROR(__xludf.DUMMYFUNCTION("""COMPUTED_VALUE"""),"20220913UTBOB")</f>
        <v>20220913UTBOB</v>
      </c>
      <c r="B603" s="1" t="str">
        <f ca="1">IFERROR(__xludf.DUMMYFUNCTION("""COMPUTED_VALUE"""),"Teen")</f>
        <v>Teen</v>
      </c>
      <c r="C603" s="1" t="str">
        <f ca="1">IFERROR(__xludf.DUMMYFUNCTION("""COMPUTED_VALUE"""),"Male")</f>
        <v>Male</v>
      </c>
      <c r="D603" s="1"/>
      <c r="E603" s="1" t="str">
        <f ca="1">IFERROR(__xludf.DUMMYFUNCTION("""COMPUTED_VALUE"""),"Student")</f>
        <v>Student</v>
      </c>
      <c r="F603" s="1" t="str">
        <f ca="1">IFERROR(__xludf.DUMMYFUNCTION("""COMPUTED_VALUE"""),"Fled/Apprehended")</f>
        <v>Fled/Apprehended</v>
      </c>
      <c r="G603" s="1" t="str">
        <f ca="1">IFERROR(__xludf.DUMMYFUNCTION("""COMPUTED_VALUE"""),"No")</f>
        <v>No</v>
      </c>
      <c r="H603" s="1" t="str">
        <f ca="1">IFERROR(__xludf.DUMMYFUNCTION("""COMPUTED_VALUE"""),"None")</f>
        <v>None</v>
      </c>
    </row>
    <row r="604" spans="1:8" ht="12.5">
      <c r="A604" s="1" t="str">
        <f ca="1">IFERROR(__xludf.DUMMYFUNCTION("""COMPUTED_VALUE"""),"20220913MIJAJ")</f>
        <v>20220913MIJAJ</v>
      </c>
      <c r="B604" s="1"/>
      <c r="C604" s="1"/>
      <c r="D604" s="1"/>
      <c r="E604" s="1"/>
      <c r="F604" s="1" t="str">
        <f ca="1">IFERROR(__xludf.DUMMYFUNCTION("""COMPUTED_VALUE"""),"Fled/Escaped")</f>
        <v>Fled/Escaped</v>
      </c>
      <c r="G604" s="1" t="str">
        <f ca="1">IFERROR(__xludf.DUMMYFUNCTION("""COMPUTED_VALUE"""),"No")</f>
        <v>No</v>
      </c>
      <c r="H604" s="1" t="str">
        <f ca="1">IFERROR(__xludf.DUMMYFUNCTION("""COMPUTED_VALUE"""),"None")</f>
        <v>None</v>
      </c>
    </row>
    <row r="605" spans="1:8" ht="12.5">
      <c r="A605" s="1" t="str">
        <f ca="1">IFERROR(__xludf.DUMMYFUNCTION("""COMPUTED_VALUE"""),"20220913MDOXO")</f>
        <v>20220913MDOXO</v>
      </c>
      <c r="B605" s="1"/>
      <c r="C605" s="1"/>
      <c r="D605" s="1"/>
      <c r="E605" s="1"/>
      <c r="F605" s="1" t="str">
        <f ca="1">IFERROR(__xludf.DUMMYFUNCTION("""COMPUTED_VALUE"""),"Fled/Escaped")</f>
        <v>Fled/Escaped</v>
      </c>
      <c r="G605" s="1" t="str">
        <f ca="1">IFERROR(__xludf.DUMMYFUNCTION("""COMPUTED_VALUE"""),"No")</f>
        <v>No</v>
      </c>
      <c r="H605" s="1" t="str">
        <f ca="1">IFERROR(__xludf.DUMMYFUNCTION("""COMPUTED_VALUE"""),"None")</f>
        <v>None</v>
      </c>
    </row>
    <row r="606" spans="1:8" ht="12.5">
      <c r="A606" s="1" t="str">
        <f ca="1">IFERROR(__xludf.DUMMYFUNCTION("""COMPUTED_VALUE"""),"20220913CAVAV")</f>
        <v>20220913CAVAV</v>
      </c>
      <c r="B606" s="1" t="str">
        <f ca="1">IFERROR(__xludf.DUMMYFUNCTION("""COMPUTED_VALUE"""),"Teen")</f>
        <v>Teen</v>
      </c>
      <c r="C606" s="1" t="str">
        <f ca="1">IFERROR(__xludf.DUMMYFUNCTION("""COMPUTED_VALUE"""),"Male")</f>
        <v>Male</v>
      </c>
      <c r="D606" s="1"/>
      <c r="E606" s="1" t="str">
        <f ca="1">IFERROR(__xludf.DUMMYFUNCTION("""COMPUTED_VALUE"""),"Student")</f>
        <v>Student</v>
      </c>
      <c r="F606" s="1" t="str">
        <f ca="1">IFERROR(__xludf.DUMMYFUNCTION("""COMPUTED_VALUE"""),"Fled/Escaped")</f>
        <v>Fled/Escaped</v>
      </c>
      <c r="G606" s="1" t="str">
        <f ca="1">IFERROR(__xludf.DUMMYFUNCTION("""COMPUTED_VALUE"""),"No")</f>
        <v>No</v>
      </c>
      <c r="H606" s="1" t="str">
        <f ca="1">IFERROR(__xludf.DUMMYFUNCTION("""COMPUTED_VALUE"""),"None")</f>
        <v>None</v>
      </c>
    </row>
    <row r="607" spans="1:8" ht="12.5">
      <c r="A607" s="1" t="str">
        <f ca="1">IFERROR(__xludf.DUMMYFUNCTION("""COMPUTED_VALUE"""),"20220909WIWIR")</f>
        <v>20220909WIWIR</v>
      </c>
      <c r="B607" s="1"/>
      <c r="C607" s="1"/>
      <c r="D607" s="1"/>
      <c r="E607" s="1"/>
      <c r="F607" s="1" t="str">
        <f ca="1">IFERROR(__xludf.DUMMYFUNCTION("""COMPUTED_VALUE"""),"Fled/Escaped")</f>
        <v>Fled/Escaped</v>
      </c>
      <c r="G607" s="1" t="str">
        <f ca="1">IFERROR(__xludf.DUMMYFUNCTION("""COMPUTED_VALUE"""),"No")</f>
        <v>No</v>
      </c>
      <c r="H607" s="1" t="str">
        <f ca="1">IFERROR(__xludf.DUMMYFUNCTION("""COMPUTED_VALUE"""),"None")</f>
        <v>None</v>
      </c>
    </row>
    <row r="608" spans="1:8" ht="12.5">
      <c r="A608" s="1" t="str">
        <f ca="1">IFERROR(__xludf.DUMMYFUNCTION("""COMPUTED_VALUE"""),"20220909WIMIM")</f>
        <v>20220909WIMIM</v>
      </c>
      <c r="B608" s="1"/>
      <c r="C608" s="1"/>
      <c r="D608" s="1"/>
      <c r="E608" s="1" t="str">
        <f ca="1">IFERROR(__xludf.DUMMYFUNCTION("""COMPUTED_VALUE"""),"No Relation")</f>
        <v>No Relation</v>
      </c>
      <c r="F608" s="1" t="str">
        <f ca="1">IFERROR(__xludf.DUMMYFUNCTION("""COMPUTED_VALUE"""),"Fled/Escaped")</f>
        <v>Fled/Escaped</v>
      </c>
      <c r="G608" s="1" t="str">
        <f ca="1">IFERROR(__xludf.DUMMYFUNCTION("""COMPUTED_VALUE"""),"No")</f>
        <v>No</v>
      </c>
      <c r="H608" s="1" t="str">
        <f ca="1">IFERROR(__xludf.DUMMYFUNCTION("""COMPUTED_VALUE"""),"None")</f>
        <v>None</v>
      </c>
    </row>
    <row r="609" spans="1:8" ht="12.5">
      <c r="A609" s="1" t="str">
        <f ca="1">IFERROR(__xludf.DUMMYFUNCTION("""COMPUTED_VALUE"""),"20220907OHBEB")</f>
        <v>20220907OHBEB</v>
      </c>
      <c r="B609" s="1" t="str">
        <f ca="1">IFERROR(__xludf.DUMMYFUNCTION("""COMPUTED_VALUE"""),"Adult")</f>
        <v>Adult</v>
      </c>
      <c r="C609" s="1" t="str">
        <f ca="1">IFERROR(__xludf.DUMMYFUNCTION("""COMPUTED_VALUE"""),"Male")</f>
        <v>Male</v>
      </c>
      <c r="D609" s="1" t="str">
        <f ca="1">IFERROR(__xludf.DUMMYFUNCTION("""COMPUTED_VALUE"""),"White")</f>
        <v>White</v>
      </c>
      <c r="E609" s="1" t="str">
        <f ca="1">IFERROR(__xludf.DUMMYFUNCTION("""COMPUTED_VALUE"""),"No Relation")</f>
        <v>No Relation</v>
      </c>
      <c r="F609" s="1" t="str">
        <f ca="1">IFERROR(__xludf.DUMMYFUNCTION("""COMPUTED_VALUE"""),"Other")</f>
        <v>Other</v>
      </c>
      <c r="G609" s="1" t="str">
        <f ca="1">IFERROR(__xludf.DUMMYFUNCTION("""COMPUTED_VALUE"""),"No")</f>
        <v>No</v>
      </c>
      <c r="H609" s="1" t="str">
        <f ca="1">IFERROR(__xludf.DUMMYFUNCTION("""COMPUTED_VALUE"""),"None")</f>
        <v>None</v>
      </c>
    </row>
    <row r="610" spans="1:8" ht="12.5">
      <c r="A610" s="1" t="str">
        <f ca="1">IFERROR(__xludf.DUMMYFUNCTION("""COMPUTED_VALUE"""),"20220907MDCAB")</f>
        <v>20220907MDCAB</v>
      </c>
      <c r="B610" s="1"/>
      <c r="C610" s="1"/>
      <c r="D610" s="1"/>
      <c r="E610" s="1"/>
      <c r="F610" s="1" t="str">
        <f ca="1">IFERROR(__xludf.DUMMYFUNCTION("""COMPUTED_VALUE"""),"Fled/Escaped")</f>
        <v>Fled/Escaped</v>
      </c>
      <c r="G610" s="1" t="str">
        <f ca="1">IFERROR(__xludf.DUMMYFUNCTION("""COMPUTED_VALUE"""),"No")</f>
        <v>No</v>
      </c>
      <c r="H610" s="1" t="str">
        <f ca="1">IFERROR(__xludf.DUMMYFUNCTION("""COMPUTED_VALUE"""),"None")</f>
        <v>None</v>
      </c>
    </row>
    <row r="611" spans="1:8" ht="12.5">
      <c r="A611" s="1" t="str">
        <f ca="1">IFERROR(__xludf.DUMMYFUNCTION("""COMPUTED_VALUE"""),"20220907WIBAM")</f>
        <v>20220907WIBAM</v>
      </c>
      <c r="B611" s="1">
        <f ca="1">IFERROR(__xludf.DUMMYFUNCTION("""COMPUTED_VALUE"""),17)</f>
        <v>17</v>
      </c>
      <c r="C611" s="1" t="str">
        <f ca="1">IFERROR(__xludf.DUMMYFUNCTION("""COMPUTED_VALUE"""),"Male")</f>
        <v>Male</v>
      </c>
      <c r="D611" s="1" t="str">
        <f ca="1">IFERROR(__xludf.DUMMYFUNCTION("""COMPUTED_VALUE"""),"Black")</f>
        <v>Black</v>
      </c>
      <c r="E611" s="1" t="str">
        <f ca="1">IFERROR(__xludf.DUMMYFUNCTION("""COMPUTED_VALUE"""),"No Relation")</f>
        <v>No Relation</v>
      </c>
      <c r="F611" s="1" t="str">
        <f ca="1">IFERROR(__xludf.DUMMYFUNCTION("""COMPUTED_VALUE"""),"Fled/Apprehended")</f>
        <v>Fled/Apprehended</v>
      </c>
      <c r="G611" s="1" t="str">
        <f ca="1">IFERROR(__xludf.DUMMYFUNCTION("""COMPUTED_VALUE"""),"No")</f>
        <v>No</v>
      </c>
      <c r="H611" s="1" t="str">
        <f ca="1">IFERROR(__xludf.DUMMYFUNCTION("""COMPUTED_VALUE"""),"None")</f>
        <v>None</v>
      </c>
    </row>
    <row r="612" spans="1:8" ht="12.5">
      <c r="A612" s="1" t="str">
        <f ca="1">IFERROR(__xludf.DUMMYFUNCTION("""COMPUTED_VALUE"""),"20220907WIBAM")</f>
        <v>20220907WIBAM</v>
      </c>
      <c r="B612" s="1">
        <f ca="1">IFERROR(__xludf.DUMMYFUNCTION("""COMPUTED_VALUE"""),27)</f>
        <v>27</v>
      </c>
      <c r="C612" s="1" t="str">
        <f ca="1">IFERROR(__xludf.DUMMYFUNCTION("""COMPUTED_VALUE"""),"Male")</f>
        <v>Male</v>
      </c>
      <c r="D612" s="1" t="str">
        <f ca="1">IFERROR(__xludf.DUMMYFUNCTION("""COMPUTED_VALUE"""),"Black")</f>
        <v>Black</v>
      </c>
      <c r="E612" s="1" t="str">
        <f ca="1">IFERROR(__xludf.DUMMYFUNCTION("""COMPUTED_VALUE"""),"No Relation")</f>
        <v>No Relation</v>
      </c>
      <c r="F612" s="1" t="str">
        <f ca="1">IFERROR(__xludf.DUMMYFUNCTION("""COMPUTED_VALUE"""),"Fled/Apprehended")</f>
        <v>Fled/Apprehended</v>
      </c>
      <c r="G612" s="1" t="str">
        <f ca="1">IFERROR(__xludf.DUMMYFUNCTION("""COMPUTED_VALUE"""),"No")</f>
        <v>No</v>
      </c>
      <c r="H612" s="1" t="str">
        <f ca="1">IFERROR(__xludf.DUMMYFUNCTION("""COMPUTED_VALUE"""),"None")</f>
        <v>None</v>
      </c>
    </row>
    <row r="613" spans="1:8" ht="12.5">
      <c r="A613" s="1" t="str">
        <f ca="1">IFERROR(__xludf.DUMMYFUNCTION("""COMPUTED_VALUE"""),"20220906IANOS")</f>
        <v>20220906IANOS</v>
      </c>
      <c r="B613" s="1">
        <f ca="1">IFERROR(__xludf.DUMMYFUNCTION("""COMPUTED_VALUE"""),16)</f>
        <v>16</v>
      </c>
      <c r="C613" s="1"/>
      <c r="D613" s="1"/>
      <c r="E613" s="1" t="str">
        <f ca="1">IFERROR(__xludf.DUMMYFUNCTION("""COMPUTED_VALUE"""),"Student")</f>
        <v>Student</v>
      </c>
      <c r="F613" s="1" t="str">
        <f ca="1">IFERROR(__xludf.DUMMYFUNCTION("""COMPUTED_VALUE"""),"Fled/Apprehended")</f>
        <v>Fled/Apprehended</v>
      </c>
      <c r="G613" s="1" t="str">
        <f ca="1">IFERROR(__xludf.DUMMYFUNCTION("""COMPUTED_VALUE"""),"No")</f>
        <v>No</v>
      </c>
      <c r="H613" s="1" t="str">
        <f ca="1">IFERROR(__xludf.DUMMYFUNCTION("""COMPUTED_VALUE"""),"None")</f>
        <v>None</v>
      </c>
    </row>
    <row r="614" spans="1:8" ht="12.5">
      <c r="A614" s="1" t="str">
        <f ca="1">IFERROR(__xludf.DUMMYFUNCTION("""COMPUTED_VALUE"""),"20220906IANOS")</f>
        <v>20220906IANOS</v>
      </c>
      <c r="B614" s="1">
        <f ca="1">IFERROR(__xludf.DUMMYFUNCTION("""COMPUTED_VALUE"""),14)</f>
        <v>14</v>
      </c>
      <c r="C614" s="1"/>
      <c r="D614" s="1"/>
      <c r="E614" s="1" t="str">
        <f ca="1">IFERROR(__xludf.DUMMYFUNCTION("""COMPUTED_VALUE"""),"Student")</f>
        <v>Student</v>
      </c>
      <c r="F614" s="1" t="str">
        <f ca="1">IFERROR(__xludf.DUMMYFUNCTION("""COMPUTED_VALUE"""),"Fled/Apprehended")</f>
        <v>Fled/Apprehended</v>
      </c>
      <c r="G614" s="1" t="str">
        <f ca="1">IFERROR(__xludf.DUMMYFUNCTION("""COMPUTED_VALUE"""),"No")</f>
        <v>No</v>
      </c>
      <c r="H614" s="1" t="str">
        <f ca="1">IFERROR(__xludf.DUMMYFUNCTION("""COMPUTED_VALUE"""),"None")</f>
        <v>None</v>
      </c>
    </row>
    <row r="615" spans="1:8" ht="12.5">
      <c r="A615" s="1" t="str">
        <f ca="1">IFERROR(__xludf.DUMMYFUNCTION("""COMPUTED_VALUE"""),"20220904FLBOL")</f>
        <v>20220904FLBOL</v>
      </c>
      <c r="B615" s="1" t="str">
        <f ca="1">IFERROR(__xludf.DUMMYFUNCTION("""COMPUTED_VALUE"""),"Adult")</f>
        <v>Adult</v>
      </c>
      <c r="C615" s="1" t="str">
        <f ca="1">IFERROR(__xludf.DUMMYFUNCTION("""COMPUTED_VALUE"""),"Male")</f>
        <v>Male</v>
      </c>
      <c r="D615" s="1"/>
      <c r="E615" s="1" t="str">
        <f ca="1">IFERROR(__xludf.DUMMYFUNCTION("""COMPUTED_VALUE"""),"Nonstudent Using Athletic Facilities/Attending Game")</f>
        <v>Nonstudent Using Athletic Facilities/Attending Game</v>
      </c>
      <c r="F615" s="1" t="str">
        <f ca="1">IFERROR(__xludf.DUMMYFUNCTION("""COMPUTED_VALUE"""),"Fled/Escaped")</f>
        <v>Fled/Escaped</v>
      </c>
      <c r="G615" s="1" t="str">
        <f ca="1">IFERROR(__xludf.DUMMYFUNCTION("""COMPUTED_VALUE"""),"No")</f>
        <v>No</v>
      </c>
      <c r="H615" s="1" t="str">
        <f ca="1">IFERROR(__xludf.DUMMYFUNCTION("""COMPUTED_VALUE"""),"None")</f>
        <v>None</v>
      </c>
    </row>
    <row r="616" spans="1:8" ht="12.5">
      <c r="A616" s="1" t="str">
        <f ca="1">IFERROR(__xludf.DUMMYFUNCTION("""COMPUTED_VALUE"""),"20220902MDMEB")</f>
        <v>20220902MDMEB</v>
      </c>
      <c r="B616" s="1">
        <f ca="1">IFERROR(__xludf.DUMMYFUNCTION("""COMPUTED_VALUE"""),17)</f>
        <v>17</v>
      </c>
      <c r="C616" s="1" t="str">
        <f ca="1">IFERROR(__xludf.DUMMYFUNCTION("""COMPUTED_VALUE"""),"Male")</f>
        <v>Male</v>
      </c>
      <c r="D616" s="1"/>
      <c r="E616" s="1" t="str">
        <f ca="1">IFERROR(__xludf.DUMMYFUNCTION("""COMPUTED_VALUE"""),"Rival School Student")</f>
        <v>Rival School Student</v>
      </c>
      <c r="F616" s="1" t="str">
        <f ca="1">IFERROR(__xludf.DUMMYFUNCTION("""COMPUTED_VALUE"""),"Apprehended/Killed by SRO")</f>
        <v>Apprehended/Killed by SRO</v>
      </c>
      <c r="G616" s="1" t="str">
        <f ca="1">IFERROR(__xludf.DUMMYFUNCTION("""COMPUTED_VALUE"""),"No")</f>
        <v>No</v>
      </c>
      <c r="H616" s="1" t="str">
        <f ca="1">IFERROR(__xludf.DUMMYFUNCTION("""COMPUTED_VALUE"""),"None")</f>
        <v>None</v>
      </c>
    </row>
    <row r="617" spans="1:8" ht="12.5">
      <c r="A617" s="1" t="str">
        <f ca="1">IFERROR(__xludf.DUMMYFUNCTION("""COMPUTED_VALUE"""),"20220902INJEL")</f>
        <v>20220902INJEL</v>
      </c>
      <c r="B617" s="1">
        <f ca="1">IFERROR(__xludf.DUMMYFUNCTION("""COMPUTED_VALUE"""),15)</f>
        <v>15</v>
      </c>
      <c r="C617" s="1" t="str">
        <f ca="1">IFERROR(__xludf.DUMMYFUNCTION("""COMPUTED_VALUE"""),"Male")</f>
        <v>Male</v>
      </c>
      <c r="D617" s="1"/>
      <c r="E617" s="1" t="str">
        <f ca="1">IFERROR(__xludf.DUMMYFUNCTION("""COMPUTED_VALUE"""),"Student")</f>
        <v>Student</v>
      </c>
      <c r="F617" s="1" t="str">
        <f ca="1">IFERROR(__xludf.DUMMYFUNCTION("""COMPUTED_VALUE"""),"Fled/Apprehended")</f>
        <v>Fled/Apprehended</v>
      </c>
      <c r="G617" s="1" t="str">
        <f ca="1">IFERROR(__xludf.DUMMYFUNCTION("""COMPUTED_VALUE"""),"No")</f>
        <v>No</v>
      </c>
      <c r="H617" s="1" t="str">
        <f ca="1">IFERROR(__xludf.DUMMYFUNCTION("""COMPUTED_VALUE"""),"None")</f>
        <v>None</v>
      </c>
    </row>
    <row r="618" spans="1:8" ht="12.5">
      <c r="A618" s="1" t="str">
        <f ca="1">IFERROR(__xludf.DUMMYFUNCTION("""COMPUTED_VALUE"""),"20220831DCIDW")</f>
        <v>20220831DCIDW</v>
      </c>
      <c r="B618" s="1">
        <f ca="1">IFERROR(__xludf.DUMMYFUNCTION("""COMPUTED_VALUE"""),15)</f>
        <v>15</v>
      </c>
      <c r="C618" s="1" t="str">
        <f ca="1">IFERROR(__xludf.DUMMYFUNCTION("""COMPUTED_VALUE"""),"Male")</f>
        <v>Male</v>
      </c>
      <c r="D618" s="1"/>
      <c r="E618" s="1" t="str">
        <f ca="1">IFERROR(__xludf.DUMMYFUNCTION("""COMPUTED_VALUE"""),"Student")</f>
        <v>Student</v>
      </c>
      <c r="F618" s="1" t="str">
        <f ca="1">IFERROR(__xludf.DUMMYFUNCTION("""COMPUTED_VALUE"""),"Fled/Apprehended")</f>
        <v>Fled/Apprehended</v>
      </c>
      <c r="G618" s="1" t="str">
        <f ca="1">IFERROR(__xludf.DUMMYFUNCTION("""COMPUTED_VALUE"""),"No")</f>
        <v>No</v>
      </c>
      <c r="H618" s="1" t="str">
        <f ca="1">IFERROR(__xludf.DUMMYFUNCTION("""COMPUTED_VALUE"""),"None")</f>
        <v>None</v>
      </c>
    </row>
    <row r="619" spans="1:8" ht="12.5">
      <c r="A619" s="1" t="str">
        <f ca="1">IFERROR(__xludf.DUMMYFUNCTION("""COMPUTED_VALUE"""),"20220831NMDEA")</f>
        <v>20220831NMDEA</v>
      </c>
      <c r="B619" s="1">
        <f ca="1">IFERROR(__xludf.DUMMYFUNCTION("""COMPUTED_VALUE"""),17)</f>
        <v>17</v>
      </c>
      <c r="C619" s="1" t="str">
        <f ca="1">IFERROR(__xludf.DUMMYFUNCTION("""COMPUTED_VALUE"""),"Male")</f>
        <v>Male</v>
      </c>
      <c r="D619" s="1"/>
      <c r="E619" s="1" t="str">
        <f ca="1">IFERROR(__xludf.DUMMYFUNCTION("""COMPUTED_VALUE"""),"Student")</f>
        <v>Student</v>
      </c>
      <c r="F619" s="1" t="str">
        <f ca="1">IFERROR(__xludf.DUMMYFUNCTION("""COMPUTED_VALUE"""),"Fled/Apprehended")</f>
        <v>Fled/Apprehended</v>
      </c>
      <c r="G619" s="1" t="str">
        <f ca="1">IFERROR(__xludf.DUMMYFUNCTION("""COMPUTED_VALUE"""),"No")</f>
        <v>No</v>
      </c>
      <c r="H619" s="1" t="str">
        <f ca="1">IFERROR(__xludf.DUMMYFUNCTION("""COMPUTED_VALUE"""),"None")</f>
        <v>None</v>
      </c>
    </row>
    <row r="620" spans="1:8" ht="12.5">
      <c r="A620" s="1" t="str">
        <f ca="1">IFERROR(__xludf.DUMMYFUNCTION("""COMPUTED_VALUE"""),"20220831PAFRP")</f>
        <v>20220831PAFRP</v>
      </c>
      <c r="B620" s="1"/>
      <c r="C620" s="1"/>
      <c r="D620" s="1"/>
      <c r="E620" s="1" t="str">
        <f ca="1">IFERROR(__xludf.DUMMYFUNCTION("""COMPUTED_VALUE"""),"No Relation")</f>
        <v>No Relation</v>
      </c>
      <c r="F620" s="1" t="str">
        <f ca="1">IFERROR(__xludf.DUMMYFUNCTION("""COMPUTED_VALUE"""),"Fled/Escaped")</f>
        <v>Fled/Escaped</v>
      </c>
      <c r="G620" s="1" t="str">
        <f ca="1">IFERROR(__xludf.DUMMYFUNCTION("""COMPUTED_VALUE"""),"No")</f>
        <v>No</v>
      </c>
      <c r="H620" s="1" t="str">
        <f ca="1">IFERROR(__xludf.DUMMYFUNCTION("""COMPUTED_VALUE"""),"None")</f>
        <v>None</v>
      </c>
    </row>
    <row r="621" spans="1:8" ht="12.5">
      <c r="A621" s="1" t="str">
        <f ca="1">IFERROR(__xludf.DUMMYFUNCTION("""COMPUTED_VALUE"""),"20220829CAMAO")</f>
        <v>20220829CAMAO</v>
      </c>
      <c r="B621" s="1">
        <f ca="1">IFERROR(__xludf.DUMMYFUNCTION("""COMPUTED_VALUE"""),12)</f>
        <v>12</v>
      </c>
      <c r="C621" s="1" t="str">
        <f ca="1">IFERROR(__xludf.DUMMYFUNCTION("""COMPUTED_VALUE"""),"Male")</f>
        <v>Male</v>
      </c>
      <c r="D621" s="1"/>
      <c r="E621" s="1" t="str">
        <f ca="1">IFERROR(__xludf.DUMMYFUNCTION("""COMPUTED_VALUE"""),"Student")</f>
        <v>Student</v>
      </c>
      <c r="F621" s="1" t="str">
        <f ca="1">IFERROR(__xludf.DUMMYFUNCTION("""COMPUTED_VALUE"""),"Fled/Apprehended")</f>
        <v>Fled/Apprehended</v>
      </c>
      <c r="G621" s="1" t="str">
        <f ca="1">IFERROR(__xludf.DUMMYFUNCTION("""COMPUTED_VALUE"""),"No")</f>
        <v>No</v>
      </c>
      <c r="H621" s="1" t="str">
        <f ca="1">IFERROR(__xludf.DUMMYFUNCTION("""COMPUTED_VALUE"""),"None")</f>
        <v>None</v>
      </c>
    </row>
    <row r="622" spans="1:8" ht="12.5">
      <c r="A622" s="1" t="str">
        <f ca="1">IFERROR(__xludf.DUMMYFUNCTION("""COMPUTED_VALUE"""),"20220827MONOS")</f>
        <v>20220827MONOS</v>
      </c>
      <c r="B622" s="1">
        <f ca="1">IFERROR(__xludf.DUMMYFUNCTION("""COMPUTED_VALUE"""),42)</f>
        <v>42</v>
      </c>
      <c r="C622" s="1" t="str">
        <f ca="1">IFERROR(__xludf.DUMMYFUNCTION("""COMPUTED_VALUE"""),"Male")</f>
        <v>Male</v>
      </c>
      <c r="D622" s="1"/>
      <c r="E622" s="1" t="str">
        <f ca="1">IFERROR(__xludf.DUMMYFUNCTION("""COMPUTED_VALUE"""),"Nonstudent Using Athletic Facilities/Attending Game")</f>
        <v>Nonstudent Using Athletic Facilities/Attending Game</v>
      </c>
      <c r="F622" s="1" t="str">
        <f ca="1">IFERROR(__xludf.DUMMYFUNCTION("""COMPUTED_VALUE"""),"Fled/Apprehended")</f>
        <v>Fled/Apprehended</v>
      </c>
      <c r="G622" s="1" t="str">
        <f ca="1">IFERROR(__xludf.DUMMYFUNCTION("""COMPUTED_VALUE"""),"No")</f>
        <v>No</v>
      </c>
      <c r="H622" s="1" t="str">
        <f ca="1">IFERROR(__xludf.DUMMYFUNCTION("""COMPUTED_VALUE"""),"None")</f>
        <v>None</v>
      </c>
    </row>
    <row r="623" spans="1:8" ht="12.5">
      <c r="A623" s="1" t="str">
        <f ca="1">IFERROR(__xludf.DUMMYFUNCTION("""COMPUTED_VALUE"""),"20220826OHGAC")</f>
        <v>20220826OHGAC</v>
      </c>
      <c r="B623" s="1"/>
      <c r="C623" s="1"/>
      <c r="D623" s="1"/>
      <c r="E623" s="1"/>
      <c r="F623" s="1" t="str">
        <f ca="1">IFERROR(__xludf.DUMMYFUNCTION("""COMPUTED_VALUE"""),"Fled/Escaped")</f>
        <v>Fled/Escaped</v>
      </c>
      <c r="G623" s="1" t="str">
        <f ca="1">IFERROR(__xludf.DUMMYFUNCTION("""COMPUTED_VALUE"""),"No")</f>
        <v>No</v>
      </c>
      <c r="H623" s="1" t="str">
        <f ca="1">IFERROR(__xludf.DUMMYFUNCTION("""COMPUTED_VALUE"""),"None")</f>
        <v>None</v>
      </c>
    </row>
    <row r="624" spans="1:8" ht="12.5">
      <c r="A624" s="1" t="str">
        <f ca="1">IFERROR(__xludf.DUMMYFUNCTION("""COMPUTED_VALUE"""),"20220823OHINC")</f>
        <v>20220823OHINC</v>
      </c>
      <c r="B624" s="1"/>
      <c r="C624" s="1"/>
      <c r="D624" s="1"/>
      <c r="E624" s="1"/>
      <c r="F624" s="1" t="str">
        <f ca="1">IFERROR(__xludf.DUMMYFUNCTION("""COMPUTED_VALUE"""),"Fled/Escaped")</f>
        <v>Fled/Escaped</v>
      </c>
      <c r="G624" s="1" t="str">
        <f ca="1">IFERROR(__xludf.DUMMYFUNCTION("""COMPUTED_VALUE"""),"No")</f>
        <v>No</v>
      </c>
      <c r="H624" s="1" t="str">
        <f ca="1">IFERROR(__xludf.DUMMYFUNCTION("""COMPUTED_VALUE"""),"None")</f>
        <v>None</v>
      </c>
    </row>
    <row r="625" spans="1:8" ht="12.5">
      <c r="A625" s="1" t="str">
        <f ca="1">IFERROR(__xludf.DUMMYFUNCTION("""COMPUTED_VALUE"""),"20220823OHART")</f>
        <v>20220823OHART</v>
      </c>
      <c r="B625" s="1" t="str">
        <f ca="1">IFERROR(__xludf.DUMMYFUNCTION("""COMPUTED_VALUE"""),"Adult")</f>
        <v>Adult</v>
      </c>
      <c r="C625" s="1"/>
      <c r="D625" s="1"/>
      <c r="E625" s="1" t="str">
        <f ca="1">IFERROR(__xludf.DUMMYFUNCTION("""COMPUTED_VALUE"""),"Parent")</f>
        <v>Parent</v>
      </c>
      <c r="F625" s="1" t="str">
        <f ca="1">IFERROR(__xludf.DUMMYFUNCTION("""COMPUTED_VALUE"""),"Fled/Escaped")</f>
        <v>Fled/Escaped</v>
      </c>
      <c r="G625" s="1" t="str">
        <f ca="1">IFERROR(__xludf.DUMMYFUNCTION("""COMPUTED_VALUE"""),"No")</f>
        <v>No</v>
      </c>
      <c r="H625" s="1" t="str">
        <f ca="1">IFERROR(__xludf.DUMMYFUNCTION("""COMPUTED_VALUE"""),"None")</f>
        <v>None</v>
      </c>
    </row>
    <row r="626" spans="1:8" ht="12.5">
      <c r="A626" s="1" t="str">
        <f ca="1">IFERROR(__xludf.DUMMYFUNCTION("""COMPUTED_VALUE"""),"20220819LAAKN")</f>
        <v>20220819LAAKN</v>
      </c>
      <c r="B626" s="1">
        <f ca="1">IFERROR(__xludf.DUMMYFUNCTION("""COMPUTED_VALUE"""),12)</f>
        <v>12</v>
      </c>
      <c r="C626" s="1" t="str">
        <f ca="1">IFERROR(__xludf.DUMMYFUNCTION("""COMPUTED_VALUE"""),"Female")</f>
        <v>Female</v>
      </c>
      <c r="D626" s="1" t="str">
        <f ca="1">IFERROR(__xludf.DUMMYFUNCTION("""COMPUTED_VALUE"""),"Black")</f>
        <v>Black</v>
      </c>
      <c r="E626" s="1" t="str">
        <f ca="1">IFERROR(__xludf.DUMMYFUNCTION("""COMPUTED_VALUE"""),"Student")</f>
        <v>Student</v>
      </c>
      <c r="F626" s="1" t="str">
        <f ca="1">IFERROR(__xludf.DUMMYFUNCTION("""COMPUTED_VALUE"""),"Fled/Apprehended")</f>
        <v>Fled/Apprehended</v>
      </c>
      <c r="G626" s="1" t="str">
        <f ca="1">IFERROR(__xludf.DUMMYFUNCTION("""COMPUTED_VALUE"""),"No")</f>
        <v>No</v>
      </c>
      <c r="H626" s="1" t="str">
        <f ca="1">IFERROR(__xludf.DUMMYFUNCTION("""COMPUTED_VALUE"""),"None")</f>
        <v>None</v>
      </c>
    </row>
    <row r="627" spans="1:8" ht="12.5">
      <c r="A627" s="1" t="str">
        <f ca="1">IFERROR(__xludf.DUMMYFUNCTION("""COMPUTED_VALUE"""),"20220819OHGRG")</f>
        <v>20220819OHGRG</v>
      </c>
      <c r="B627" s="1">
        <f ca="1">IFERROR(__xludf.DUMMYFUNCTION("""COMPUTED_VALUE"""),18)</f>
        <v>18</v>
      </c>
      <c r="C627" s="1" t="str">
        <f ca="1">IFERROR(__xludf.DUMMYFUNCTION("""COMPUTED_VALUE"""),"Male")</f>
        <v>Male</v>
      </c>
      <c r="D627" s="1" t="str">
        <f ca="1">IFERROR(__xludf.DUMMYFUNCTION("""COMPUTED_VALUE"""),"Black")</f>
        <v>Black</v>
      </c>
      <c r="E627" s="1" t="str">
        <f ca="1">IFERROR(__xludf.DUMMYFUNCTION("""COMPUTED_VALUE"""),"Nonstudent Using Athletic Facilities/Attending Game")</f>
        <v>Nonstudent Using Athletic Facilities/Attending Game</v>
      </c>
      <c r="F627" s="1" t="str">
        <f ca="1">IFERROR(__xludf.DUMMYFUNCTION("""COMPUTED_VALUE"""),"Apprehended/Killed by LE")</f>
        <v>Apprehended/Killed by LE</v>
      </c>
      <c r="G627" s="1" t="str">
        <f ca="1">IFERROR(__xludf.DUMMYFUNCTION("""COMPUTED_VALUE"""),"No")</f>
        <v>No</v>
      </c>
      <c r="H627" s="1" t="str">
        <f ca="1">IFERROR(__xludf.DUMMYFUNCTION("""COMPUTED_VALUE"""),"None")</f>
        <v>None</v>
      </c>
    </row>
    <row r="628" spans="1:8" ht="12.5">
      <c r="A628" s="1" t="str">
        <f ca="1">IFERROR(__xludf.DUMMYFUNCTION("""COMPUTED_VALUE"""),"20220819TNWEC")</f>
        <v>20220819TNWEC</v>
      </c>
      <c r="B628" s="1">
        <f ca="1">IFERROR(__xludf.DUMMYFUNCTION("""COMPUTED_VALUE"""),16)</f>
        <v>16</v>
      </c>
      <c r="C628" s="1" t="str">
        <f ca="1">IFERROR(__xludf.DUMMYFUNCTION("""COMPUTED_VALUE"""),"Male")</f>
        <v>Male</v>
      </c>
      <c r="D628" s="1"/>
      <c r="E628" s="1"/>
      <c r="F628" s="1" t="str">
        <f ca="1">IFERROR(__xludf.DUMMYFUNCTION("""COMPUTED_VALUE"""),"Fled/Apprehended")</f>
        <v>Fled/Apprehended</v>
      </c>
      <c r="G628" s="1" t="str">
        <f ca="1">IFERROR(__xludf.DUMMYFUNCTION("""COMPUTED_VALUE"""),"No")</f>
        <v>No</v>
      </c>
      <c r="H628" s="1" t="str">
        <f ca="1">IFERROR(__xludf.DUMMYFUNCTION("""COMPUTED_VALUE"""),"None")</f>
        <v>None</v>
      </c>
    </row>
    <row r="629" spans="1:8" ht="12.5">
      <c r="A629" s="1" t="str">
        <f ca="1">IFERROR(__xludf.DUMMYFUNCTION("""COMPUTED_VALUE"""),"20220818FLLER")</f>
        <v>20220818FLLER</v>
      </c>
      <c r="B629" s="1">
        <f ca="1">IFERROR(__xludf.DUMMYFUNCTION("""COMPUTED_VALUE"""),18)</f>
        <v>18</v>
      </c>
      <c r="C629" s="1" t="str">
        <f ca="1">IFERROR(__xludf.DUMMYFUNCTION("""COMPUTED_VALUE"""),"Male")</f>
        <v>Male</v>
      </c>
      <c r="D629" s="1"/>
      <c r="E629" s="1" t="str">
        <f ca="1">IFERROR(__xludf.DUMMYFUNCTION("""COMPUTED_VALUE"""),"Former Student")</f>
        <v>Former Student</v>
      </c>
      <c r="F629" s="1" t="str">
        <f ca="1">IFERROR(__xludf.DUMMYFUNCTION("""COMPUTED_VALUE"""),"Fled/Apprehended")</f>
        <v>Fled/Apprehended</v>
      </c>
      <c r="G629" s="1" t="str">
        <f ca="1">IFERROR(__xludf.DUMMYFUNCTION("""COMPUTED_VALUE"""),"No")</f>
        <v>No</v>
      </c>
      <c r="H629" s="1" t="str">
        <f ca="1">IFERROR(__xludf.DUMMYFUNCTION("""COMPUTED_VALUE"""),"Wounded")</f>
        <v>Wounded</v>
      </c>
    </row>
    <row r="630" spans="1:8" ht="12.5">
      <c r="A630" s="1" t="str">
        <f ca="1">IFERROR(__xludf.DUMMYFUNCTION("""COMPUTED_VALUE"""),"20220816TXPOB")</f>
        <v>20220816TXPOB</v>
      </c>
      <c r="B630" s="1" t="str">
        <f ca="1">IFERROR(__xludf.DUMMYFUNCTION("""COMPUTED_VALUE"""),"Teen")</f>
        <v>Teen</v>
      </c>
      <c r="C630" s="1" t="str">
        <f ca="1">IFERROR(__xludf.DUMMYFUNCTION("""COMPUTED_VALUE"""),"Male")</f>
        <v>Male</v>
      </c>
      <c r="D630" s="1"/>
      <c r="E630" s="1" t="str">
        <f ca="1">IFERROR(__xludf.DUMMYFUNCTION("""COMPUTED_VALUE"""),"No Relation")</f>
        <v>No Relation</v>
      </c>
      <c r="F630" s="1" t="str">
        <f ca="1">IFERROR(__xludf.DUMMYFUNCTION("""COMPUTED_VALUE"""),"Fled/Apprehended")</f>
        <v>Fled/Apprehended</v>
      </c>
      <c r="G630" s="1" t="str">
        <f ca="1">IFERROR(__xludf.DUMMYFUNCTION("""COMPUTED_VALUE"""),"No")</f>
        <v>No</v>
      </c>
      <c r="H630" s="1" t="str">
        <f ca="1">IFERROR(__xludf.DUMMYFUNCTION("""COMPUTED_VALUE"""),"None")</f>
        <v>None</v>
      </c>
    </row>
    <row r="631" spans="1:8" ht="12.5">
      <c r="A631" s="1" t="str">
        <f ca="1">IFERROR(__xludf.DUMMYFUNCTION("""COMPUTED_VALUE"""),"20220815CALIS")</f>
        <v>20220815CALIS</v>
      </c>
      <c r="B631" s="1">
        <f ca="1">IFERROR(__xludf.DUMMYFUNCTION("""COMPUTED_VALUE"""),17)</f>
        <v>17</v>
      </c>
      <c r="C631" s="1" t="str">
        <f ca="1">IFERROR(__xludf.DUMMYFUNCTION("""COMPUTED_VALUE"""),"Male")</f>
        <v>Male</v>
      </c>
      <c r="D631" s="1"/>
      <c r="E631" s="1" t="str">
        <f ca="1">IFERROR(__xludf.DUMMYFUNCTION("""COMPUTED_VALUE"""),"Student")</f>
        <v>Student</v>
      </c>
      <c r="F631" s="1" t="str">
        <f ca="1">IFERROR(__xludf.DUMMYFUNCTION("""COMPUTED_VALUE"""),"Apprehended/Killed by SRO")</f>
        <v>Apprehended/Killed by SRO</v>
      </c>
      <c r="G631" s="1" t="str">
        <f ca="1">IFERROR(__xludf.DUMMYFUNCTION("""COMPUTED_VALUE"""),"No")</f>
        <v>No</v>
      </c>
      <c r="H631" s="1" t="str">
        <f ca="1">IFERROR(__xludf.DUMMYFUNCTION("""COMPUTED_VALUE"""),"None")</f>
        <v>None</v>
      </c>
    </row>
    <row r="632" spans="1:8" ht="12.5">
      <c r="A632" s="1" t="str">
        <f ca="1">IFERROR(__xludf.DUMMYFUNCTION("""COMPUTED_VALUE"""),"20220813ARMAL")</f>
        <v>20220813ARMAL</v>
      </c>
      <c r="B632" s="1"/>
      <c r="C632" s="1"/>
      <c r="D632" s="1"/>
      <c r="E632" s="1" t="str">
        <f ca="1">IFERROR(__xludf.DUMMYFUNCTION("""COMPUTED_VALUE"""),"No Relation")</f>
        <v>No Relation</v>
      </c>
      <c r="F632" s="1" t="str">
        <f ca="1">IFERROR(__xludf.DUMMYFUNCTION("""COMPUTED_VALUE"""),"Fled/Escaped")</f>
        <v>Fled/Escaped</v>
      </c>
      <c r="G632" s="1" t="str">
        <f ca="1">IFERROR(__xludf.DUMMYFUNCTION("""COMPUTED_VALUE"""),"No")</f>
        <v>No</v>
      </c>
      <c r="H632" s="1" t="str">
        <f ca="1">IFERROR(__xludf.DUMMYFUNCTION("""COMPUTED_VALUE"""),"None")</f>
        <v>None</v>
      </c>
    </row>
    <row r="633" spans="1:8" ht="12.5">
      <c r="A633" s="1" t="str">
        <f ca="1">IFERROR(__xludf.DUMMYFUNCTION("""COMPUTED_VALUE"""),"20220812MISUG")</f>
        <v>20220812MISUG</v>
      </c>
      <c r="B633" s="1" t="str">
        <f ca="1">IFERROR(__xludf.DUMMYFUNCTION("""COMPUTED_VALUE"""),"Adult")</f>
        <v>Adult</v>
      </c>
      <c r="C633" s="1" t="str">
        <f ca="1">IFERROR(__xludf.DUMMYFUNCTION("""COMPUTED_VALUE"""),"Male")</f>
        <v>Male</v>
      </c>
      <c r="D633" s="1"/>
      <c r="E633" s="1" t="str">
        <f ca="1">IFERROR(__xludf.DUMMYFUNCTION("""COMPUTED_VALUE"""),"No Relation")</f>
        <v>No Relation</v>
      </c>
      <c r="F633" s="1" t="str">
        <f ca="1">IFERROR(__xludf.DUMMYFUNCTION("""COMPUTED_VALUE"""),"Fled/Apprehended")</f>
        <v>Fled/Apprehended</v>
      </c>
      <c r="G633" s="1" t="str">
        <f ca="1">IFERROR(__xludf.DUMMYFUNCTION("""COMPUTED_VALUE"""),"No")</f>
        <v>No</v>
      </c>
      <c r="H633" s="1" t="str">
        <f ca="1">IFERROR(__xludf.DUMMYFUNCTION("""COMPUTED_VALUE"""),"None")</f>
        <v>None</v>
      </c>
    </row>
    <row r="634" spans="1:8" ht="12.5">
      <c r="A634" s="1" t="str">
        <f ca="1">IFERROR(__xludf.DUMMYFUNCTION("""COMPUTED_VALUE"""),"20220812CASIV")</f>
        <v>20220812CASIV</v>
      </c>
      <c r="B634" s="1"/>
      <c r="C634" s="1"/>
      <c r="D634" s="1"/>
      <c r="E634" s="1"/>
      <c r="F634" s="1" t="str">
        <f ca="1">IFERROR(__xludf.DUMMYFUNCTION("""COMPUTED_VALUE"""),"Fled/Escaped")</f>
        <v>Fled/Escaped</v>
      </c>
      <c r="G634" s="1" t="str">
        <f ca="1">IFERROR(__xludf.DUMMYFUNCTION("""COMPUTED_VALUE"""),"No")</f>
        <v>No</v>
      </c>
      <c r="H634" s="1" t="str">
        <f ca="1">IFERROR(__xludf.DUMMYFUNCTION("""COMPUTED_VALUE"""),"None")</f>
        <v>None</v>
      </c>
    </row>
    <row r="635" spans="1:8" ht="12.5">
      <c r="A635" s="1" t="str">
        <f ca="1">IFERROR(__xludf.DUMMYFUNCTION("""COMPUTED_VALUE"""),"20220811GAUCB")</f>
        <v>20220811GAUCB</v>
      </c>
      <c r="B635" s="1">
        <f ca="1">IFERROR(__xludf.DUMMYFUNCTION("""COMPUTED_VALUE"""),64)</f>
        <v>64</v>
      </c>
      <c r="C635" s="1" t="str">
        <f ca="1">IFERROR(__xludf.DUMMYFUNCTION("""COMPUTED_VALUE"""),"Male")</f>
        <v>Male</v>
      </c>
      <c r="D635" s="1"/>
      <c r="E635" s="1" t="str">
        <f ca="1">IFERROR(__xludf.DUMMYFUNCTION("""COMPUTED_VALUE"""),"Other Staff")</f>
        <v>Other Staff</v>
      </c>
      <c r="F635" s="1" t="str">
        <f ca="1">IFERROR(__xludf.DUMMYFUNCTION("""COMPUTED_VALUE"""),"Fled/Apprehended")</f>
        <v>Fled/Apprehended</v>
      </c>
      <c r="G635" s="1" t="str">
        <f ca="1">IFERROR(__xludf.DUMMYFUNCTION("""COMPUTED_VALUE"""),"No")</f>
        <v>No</v>
      </c>
      <c r="H635" s="1" t="str">
        <f ca="1">IFERROR(__xludf.DUMMYFUNCTION("""COMPUTED_VALUE"""),"None")</f>
        <v>None</v>
      </c>
    </row>
    <row r="636" spans="1:8" ht="12.5">
      <c r="A636" s="1" t="str">
        <f ca="1">IFERROR(__xludf.DUMMYFUNCTION("""COMPUTED_VALUE"""),"20220810GAMCA")</f>
        <v>20220810GAMCA</v>
      </c>
      <c r="B636" s="1">
        <f ca="1">IFERROR(__xludf.DUMMYFUNCTION("""COMPUTED_VALUE"""),18)</f>
        <v>18</v>
      </c>
      <c r="C636" s="1" t="str">
        <f ca="1">IFERROR(__xludf.DUMMYFUNCTION("""COMPUTED_VALUE"""),"Male")</f>
        <v>Male</v>
      </c>
      <c r="D636" s="1"/>
      <c r="E636" s="1" t="str">
        <f ca="1">IFERROR(__xludf.DUMMYFUNCTION("""COMPUTED_VALUE"""),"Student")</f>
        <v>Student</v>
      </c>
      <c r="F636" s="1" t="str">
        <f ca="1">IFERROR(__xludf.DUMMYFUNCTION("""COMPUTED_VALUE"""),"Apprehended/Killed by SRO")</f>
        <v>Apprehended/Killed by SRO</v>
      </c>
      <c r="G636" s="1" t="str">
        <f ca="1">IFERROR(__xludf.DUMMYFUNCTION("""COMPUTED_VALUE"""),"No")</f>
        <v>No</v>
      </c>
      <c r="H636" s="1" t="str">
        <f ca="1">IFERROR(__xludf.DUMMYFUNCTION("""COMPUTED_VALUE"""),"None")</f>
        <v>None</v>
      </c>
    </row>
    <row r="637" spans="1:8" ht="12.5">
      <c r="A637" s="1" t="str">
        <f ca="1">IFERROR(__xludf.DUMMYFUNCTION("""COMPUTED_VALUE"""),"20220809PACHP")</f>
        <v>20220809PACHP</v>
      </c>
      <c r="B637" s="1" t="str">
        <f ca="1">IFERROR(__xludf.DUMMYFUNCTION("""COMPUTED_VALUE"""),"Adult")</f>
        <v>Adult</v>
      </c>
      <c r="C637" s="1"/>
      <c r="D637" s="1"/>
      <c r="E637" s="1" t="str">
        <f ca="1">IFERROR(__xludf.DUMMYFUNCTION("""COMPUTED_VALUE"""),"No Relation")</f>
        <v>No Relation</v>
      </c>
      <c r="F637" s="1" t="str">
        <f ca="1">IFERROR(__xludf.DUMMYFUNCTION("""COMPUTED_VALUE"""),"Fled/Escaped")</f>
        <v>Fled/Escaped</v>
      </c>
      <c r="G637" s="1" t="str">
        <f ca="1">IFERROR(__xludf.DUMMYFUNCTION("""COMPUTED_VALUE"""),"No")</f>
        <v>No</v>
      </c>
      <c r="H637" s="1" t="str">
        <f ca="1">IFERROR(__xludf.DUMMYFUNCTION("""COMPUTED_VALUE"""),"None")</f>
        <v>None</v>
      </c>
    </row>
    <row r="638" spans="1:8" ht="12.5">
      <c r="A638" s="1" t="str">
        <f ca="1">IFERROR(__xludf.DUMMYFUNCTION("""COMPUTED_VALUE"""),"20220805MATHL")</f>
        <v>20220805MATHL</v>
      </c>
      <c r="B638" s="1">
        <f ca="1">IFERROR(__xludf.DUMMYFUNCTION("""COMPUTED_VALUE"""),25)</f>
        <v>25</v>
      </c>
      <c r="C638" s="1" t="str">
        <f ca="1">IFERROR(__xludf.DUMMYFUNCTION("""COMPUTED_VALUE"""),"Male")</f>
        <v>Male</v>
      </c>
      <c r="D638" s="1"/>
      <c r="E638" s="1" t="str">
        <f ca="1">IFERROR(__xludf.DUMMYFUNCTION("""COMPUTED_VALUE"""),"Nonstudent Using Athletic Facilities/Attending Game")</f>
        <v>Nonstudent Using Athletic Facilities/Attending Game</v>
      </c>
      <c r="F638" s="1" t="str">
        <f ca="1">IFERROR(__xludf.DUMMYFUNCTION("""COMPUTED_VALUE"""),"Fled/Apprehended")</f>
        <v>Fled/Apprehended</v>
      </c>
      <c r="G638" s="1" t="str">
        <f ca="1">IFERROR(__xludf.DUMMYFUNCTION("""COMPUTED_VALUE"""),"No")</f>
        <v>No</v>
      </c>
      <c r="H638" s="1" t="str">
        <f ca="1">IFERROR(__xludf.DUMMYFUNCTION("""COMPUTED_VALUE"""),"None")</f>
        <v>None</v>
      </c>
    </row>
    <row r="639" spans="1:8" ht="12.5">
      <c r="A639" s="1" t="str">
        <f ca="1">IFERROR(__xludf.DUMMYFUNCTION("""COMPUTED_VALUE"""),"20220805GAJOJ")</f>
        <v>20220805GAJOJ</v>
      </c>
      <c r="B639" s="1">
        <f ca="1">IFERROR(__xludf.DUMMYFUNCTION("""COMPUTED_VALUE"""),27)</f>
        <v>27</v>
      </c>
      <c r="C639" s="1" t="str">
        <f ca="1">IFERROR(__xludf.DUMMYFUNCTION("""COMPUTED_VALUE"""),"Male")</f>
        <v>Male</v>
      </c>
      <c r="D639" s="1" t="str">
        <f ca="1">IFERROR(__xludf.DUMMYFUNCTION("""COMPUTED_VALUE"""),"Black")</f>
        <v>Black</v>
      </c>
      <c r="E639" s="1" t="str">
        <f ca="1">IFERROR(__xludf.DUMMYFUNCTION("""COMPUTED_VALUE"""),"No Relation")</f>
        <v>No Relation</v>
      </c>
      <c r="F639" s="1" t="str">
        <f ca="1">IFERROR(__xludf.DUMMYFUNCTION("""COMPUTED_VALUE"""),"Apprehended/Killed by LE")</f>
        <v>Apprehended/Killed by LE</v>
      </c>
      <c r="G639" s="1" t="str">
        <f ca="1">IFERROR(__xludf.DUMMYFUNCTION("""COMPUTED_VALUE"""),"No")</f>
        <v>No</v>
      </c>
      <c r="H639" s="1" t="str">
        <f ca="1">IFERROR(__xludf.DUMMYFUNCTION("""COMPUTED_VALUE"""),"None")</f>
        <v>None</v>
      </c>
    </row>
    <row r="640" spans="1:8" ht="12.5">
      <c r="A640" s="1" t="str">
        <f ca="1">IFERROR(__xludf.DUMMYFUNCTION("""COMPUTED_VALUE"""),"20220803PALEP")</f>
        <v>20220803PALEP</v>
      </c>
      <c r="B640" s="1" t="str">
        <f ca="1">IFERROR(__xludf.DUMMYFUNCTION("""COMPUTED_VALUE"""),"Adult")</f>
        <v>Adult</v>
      </c>
      <c r="C640" s="1" t="str">
        <f ca="1">IFERROR(__xludf.DUMMYFUNCTION("""COMPUTED_VALUE"""),"Male")</f>
        <v>Male</v>
      </c>
      <c r="D640" s="1"/>
      <c r="E640" s="1" t="str">
        <f ca="1">IFERROR(__xludf.DUMMYFUNCTION("""COMPUTED_VALUE"""),"No Relation")</f>
        <v>No Relation</v>
      </c>
      <c r="F640" s="1" t="str">
        <f ca="1">IFERROR(__xludf.DUMMYFUNCTION("""COMPUTED_VALUE"""),"Fled/Escaped")</f>
        <v>Fled/Escaped</v>
      </c>
      <c r="G640" s="1" t="str">
        <f ca="1">IFERROR(__xludf.DUMMYFUNCTION("""COMPUTED_VALUE"""),"No")</f>
        <v>No</v>
      </c>
      <c r="H640" s="1" t="str">
        <f ca="1">IFERROR(__xludf.DUMMYFUNCTION("""COMPUTED_VALUE"""),"None")</f>
        <v>None</v>
      </c>
    </row>
    <row r="641" spans="1:8" ht="12.5">
      <c r="A641" s="1" t="str">
        <f ca="1">IFERROR(__xludf.DUMMYFUNCTION("""COMPUTED_VALUE"""),"20220731CAOAO")</f>
        <v>20220731CAOAO</v>
      </c>
      <c r="B641" s="1" t="str">
        <f ca="1">IFERROR(__xludf.DUMMYFUNCTION("""COMPUTED_VALUE"""),"Adult")</f>
        <v>Adult</v>
      </c>
      <c r="C641" s="1"/>
      <c r="D641" s="1"/>
      <c r="E641" s="1" t="str">
        <f ca="1">IFERROR(__xludf.DUMMYFUNCTION("""COMPUTED_VALUE"""),"Nonstudent Using Athletic Facilities/Attending Game")</f>
        <v>Nonstudent Using Athletic Facilities/Attending Game</v>
      </c>
      <c r="F641" s="1" t="str">
        <f ca="1">IFERROR(__xludf.DUMMYFUNCTION("""COMPUTED_VALUE"""),"Fled/Escaped")</f>
        <v>Fled/Escaped</v>
      </c>
      <c r="G641" s="1" t="str">
        <f ca="1">IFERROR(__xludf.DUMMYFUNCTION("""COMPUTED_VALUE"""),"No")</f>
        <v>No</v>
      </c>
      <c r="H641" s="1" t="str">
        <f ca="1">IFERROR(__xludf.DUMMYFUNCTION("""COMPUTED_VALUE"""),"None")</f>
        <v>None</v>
      </c>
    </row>
    <row r="642" spans="1:8" ht="12.5">
      <c r="A642" s="1" t="str">
        <f ca="1">IFERROR(__xludf.DUMMYFUNCTION("""COMPUTED_VALUE"""),"20220731CAOAO")</f>
        <v>20220731CAOAO</v>
      </c>
      <c r="B642" s="1" t="str">
        <f ca="1">IFERROR(__xludf.DUMMYFUNCTION("""COMPUTED_VALUE"""),"Adult")</f>
        <v>Adult</v>
      </c>
      <c r="C642" s="1"/>
      <c r="D642" s="1"/>
      <c r="E642" s="1" t="str">
        <f ca="1">IFERROR(__xludf.DUMMYFUNCTION("""COMPUTED_VALUE"""),"Nonstudent Using Athletic Facilities/Attending Game")</f>
        <v>Nonstudent Using Athletic Facilities/Attending Game</v>
      </c>
      <c r="F642" s="1" t="str">
        <f ca="1">IFERROR(__xludf.DUMMYFUNCTION("""COMPUTED_VALUE"""),"Fled/Escaped")</f>
        <v>Fled/Escaped</v>
      </c>
      <c r="G642" s="1" t="str">
        <f ca="1">IFERROR(__xludf.DUMMYFUNCTION("""COMPUTED_VALUE"""),"No")</f>
        <v>No</v>
      </c>
      <c r="H642" s="1" t="str">
        <f ca="1">IFERROR(__xludf.DUMMYFUNCTION("""COMPUTED_VALUE"""),"None")</f>
        <v>None</v>
      </c>
    </row>
    <row r="643" spans="1:8" ht="12.5">
      <c r="A643" s="1" t="str">
        <f ca="1">IFERROR(__xludf.DUMMYFUNCTION("""COMPUTED_VALUE"""),"20220731CAOAO")</f>
        <v>20220731CAOAO</v>
      </c>
      <c r="B643" s="1" t="str">
        <f ca="1">IFERROR(__xludf.DUMMYFUNCTION("""COMPUTED_VALUE"""),"Adult")</f>
        <v>Adult</v>
      </c>
      <c r="C643" s="1" t="str">
        <f ca="1">IFERROR(__xludf.DUMMYFUNCTION("""COMPUTED_VALUE"""),"Male")</f>
        <v>Male</v>
      </c>
      <c r="D643" s="1"/>
      <c r="E643" s="1" t="str">
        <f ca="1">IFERROR(__xludf.DUMMYFUNCTION("""COMPUTED_VALUE"""),"Nonstudent Using Athletic Facilities/Attending Game")</f>
        <v>Nonstudent Using Athletic Facilities/Attending Game</v>
      </c>
      <c r="F643" s="1" t="str">
        <f ca="1">IFERROR(__xludf.DUMMYFUNCTION("""COMPUTED_VALUE"""),"Fled/Escaped")</f>
        <v>Fled/Escaped</v>
      </c>
      <c r="G643" s="1" t="str">
        <f ca="1">IFERROR(__xludf.DUMMYFUNCTION("""COMPUTED_VALUE"""),"No")</f>
        <v>No</v>
      </c>
      <c r="H643" s="1" t="str">
        <f ca="1">IFERROR(__xludf.DUMMYFUNCTION("""COMPUTED_VALUE"""),"None")</f>
        <v>None</v>
      </c>
    </row>
    <row r="644" spans="1:8" ht="12.5">
      <c r="A644" s="1" t="str">
        <f ca="1">IFERROR(__xludf.DUMMYFUNCTION("""COMPUTED_VALUE"""),"20220730NYRHH")</f>
        <v>20220730NYRHH</v>
      </c>
      <c r="B644" s="1"/>
      <c r="C644" s="1"/>
      <c r="D644" s="1"/>
      <c r="E644" s="1" t="str">
        <f ca="1">IFERROR(__xludf.DUMMYFUNCTION("""COMPUTED_VALUE"""),"No Relation")</f>
        <v>No Relation</v>
      </c>
      <c r="F644" s="1" t="str">
        <f ca="1">IFERROR(__xludf.DUMMYFUNCTION("""COMPUTED_VALUE"""),"Fled/Escaped")</f>
        <v>Fled/Escaped</v>
      </c>
      <c r="G644" s="1" t="str">
        <f ca="1">IFERROR(__xludf.DUMMYFUNCTION("""COMPUTED_VALUE"""),"No")</f>
        <v>No</v>
      </c>
      <c r="H644" s="1" t="str">
        <f ca="1">IFERROR(__xludf.DUMMYFUNCTION("""COMPUTED_VALUE"""),"None")</f>
        <v>None</v>
      </c>
    </row>
    <row r="645" spans="1:8" ht="12.5">
      <c r="A645" s="1" t="str">
        <f ca="1">IFERROR(__xludf.DUMMYFUNCTION("""COMPUTED_VALUE"""),"20220729INCOS")</f>
        <v>20220729INCOS</v>
      </c>
      <c r="B645" s="1">
        <f ca="1">IFERROR(__xludf.DUMMYFUNCTION("""COMPUTED_VALUE"""),51)</f>
        <v>51</v>
      </c>
      <c r="C645" s="1" t="str">
        <f ca="1">IFERROR(__xludf.DUMMYFUNCTION("""COMPUTED_VALUE"""),"Male")</f>
        <v>Male</v>
      </c>
      <c r="D645" s="1"/>
      <c r="E645" s="1" t="str">
        <f ca="1">IFERROR(__xludf.DUMMYFUNCTION("""COMPUTED_VALUE"""),"No Relation")</f>
        <v>No Relation</v>
      </c>
      <c r="F645" s="1" t="str">
        <f ca="1">IFERROR(__xludf.DUMMYFUNCTION("""COMPUTED_VALUE"""),"Attempted Suicide")</f>
        <v>Attempted Suicide</v>
      </c>
      <c r="G645" s="1" t="str">
        <f ca="1">IFERROR(__xludf.DUMMYFUNCTION("""COMPUTED_VALUE"""),"Yes")</f>
        <v>Yes</v>
      </c>
      <c r="H645" s="1" t="str">
        <f ca="1">IFERROR(__xludf.DUMMYFUNCTION("""COMPUTED_VALUE"""),"Suicide")</f>
        <v>Suicide</v>
      </c>
    </row>
    <row r="646" spans="1:8" ht="12.5">
      <c r="A646" s="1" t="str">
        <f ca="1">IFERROR(__xludf.DUMMYFUNCTION("""COMPUTED_VALUE"""),"20220728KSMOG")</f>
        <v>20220728KSMOG</v>
      </c>
      <c r="B646" s="1">
        <f ca="1">IFERROR(__xludf.DUMMYFUNCTION("""COMPUTED_VALUE"""),22)</f>
        <v>22</v>
      </c>
      <c r="C646" s="1" t="str">
        <f ca="1">IFERROR(__xludf.DUMMYFUNCTION("""COMPUTED_VALUE"""),"Male")</f>
        <v>Male</v>
      </c>
      <c r="D646" s="1"/>
      <c r="E646" s="1" t="str">
        <f ca="1">IFERROR(__xludf.DUMMYFUNCTION("""COMPUTED_VALUE"""),"No Relation")</f>
        <v>No Relation</v>
      </c>
      <c r="F646" s="1" t="str">
        <f ca="1">IFERROR(__xludf.DUMMYFUNCTION("""COMPUTED_VALUE"""),"Attempted Suicide")</f>
        <v>Attempted Suicide</v>
      </c>
      <c r="G646" s="1" t="str">
        <f ca="1">IFERROR(__xludf.DUMMYFUNCTION("""COMPUTED_VALUE"""),"No")</f>
        <v>No</v>
      </c>
      <c r="H646" s="1" t="str">
        <f ca="1">IFERROR(__xludf.DUMMYFUNCTION("""COMPUTED_VALUE"""),"Suicide")</f>
        <v>Suicide</v>
      </c>
    </row>
    <row r="647" spans="1:8" ht="12.5">
      <c r="A647" s="1" t="str">
        <f ca="1">IFERROR(__xludf.DUMMYFUNCTION("""COMPUTED_VALUE"""),"20220726PALAL")</f>
        <v>20220726PALAL</v>
      </c>
      <c r="B647" s="1">
        <f ca="1">IFERROR(__xludf.DUMMYFUNCTION("""COMPUTED_VALUE"""),20)</f>
        <v>20</v>
      </c>
      <c r="C647" s="1" t="str">
        <f ca="1">IFERROR(__xludf.DUMMYFUNCTION("""COMPUTED_VALUE"""),"Male")</f>
        <v>Male</v>
      </c>
      <c r="D647" s="1" t="str">
        <f ca="1">IFERROR(__xludf.DUMMYFUNCTION("""COMPUTED_VALUE"""),"White")</f>
        <v>White</v>
      </c>
      <c r="E647" s="1" t="str">
        <f ca="1">IFERROR(__xludf.DUMMYFUNCTION("""COMPUTED_VALUE"""),"No Relation")</f>
        <v>No Relation</v>
      </c>
      <c r="F647" s="1" t="str">
        <f ca="1">IFERROR(__xludf.DUMMYFUNCTION("""COMPUTED_VALUE"""),"Fled/Apprehended")</f>
        <v>Fled/Apprehended</v>
      </c>
      <c r="G647" s="1" t="str">
        <f ca="1">IFERROR(__xludf.DUMMYFUNCTION("""COMPUTED_VALUE"""),"No")</f>
        <v>No</v>
      </c>
      <c r="H647" s="1" t="str">
        <f ca="1">IFERROR(__xludf.DUMMYFUNCTION("""COMPUTED_VALUE"""),"None")</f>
        <v>None</v>
      </c>
    </row>
    <row r="648" spans="1:8" ht="12.5">
      <c r="A648" s="1" t="str">
        <f ca="1">IFERROR(__xludf.DUMMYFUNCTION("""COMPUTED_VALUE"""),"20220726TXCOC")</f>
        <v>20220726TXCOC</v>
      </c>
      <c r="B648" s="1" t="str">
        <f ca="1">IFERROR(__xludf.DUMMYFUNCTION("""COMPUTED_VALUE"""),"Adult")</f>
        <v>Adult</v>
      </c>
      <c r="C648" s="1" t="str">
        <f ca="1">IFERROR(__xludf.DUMMYFUNCTION("""COMPUTED_VALUE"""),"Male")</f>
        <v>Male</v>
      </c>
      <c r="D648" s="1" t="str">
        <f ca="1">IFERROR(__xludf.DUMMYFUNCTION("""COMPUTED_VALUE"""),"Black")</f>
        <v>Black</v>
      </c>
      <c r="E648" s="1"/>
      <c r="F648" s="1" t="str">
        <f ca="1">IFERROR(__xludf.DUMMYFUNCTION("""COMPUTED_VALUE"""),"Fled/Escaped")</f>
        <v>Fled/Escaped</v>
      </c>
      <c r="G648" s="1" t="str">
        <f ca="1">IFERROR(__xludf.DUMMYFUNCTION("""COMPUTED_VALUE"""),"No")</f>
        <v>No</v>
      </c>
      <c r="H648" s="1" t="str">
        <f ca="1">IFERROR(__xludf.DUMMYFUNCTION("""COMPUTED_VALUE"""),"None")</f>
        <v>None</v>
      </c>
    </row>
    <row r="649" spans="1:8" ht="12.5">
      <c r="A649" s="1" t="str">
        <f ca="1">IFERROR(__xludf.DUMMYFUNCTION("""COMPUTED_VALUE"""),"20220725NYBRB")</f>
        <v>20220725NYBRB</v>
      </c>
      <c r="B649" s="1" t="str">
        <f ca="1">IFERROR(__xludf.DUMMYFUNCTION("""COMPUTED_VALUE"""),"Adult")</f>
        <v>Adult</v>
      </c>
      <c r="C649" s="1" t="str">
        <f ca="1">IFERROR(__xludf.DUMMYFUNCTION("""COMPUTED_VALUE"""),"Male")</f>
        <v>Male</v>
      </c>
      <c r="D649" s="1" t="str">
        <f ca="1">IFERROR(__xludf.DUMMYFUNCTION("""COMPUTED_VALUE"""),"Black")</f>
        <v>Black</v>
      </c>
      <c r="E649" s="1" t="str">
        <f ca="1">IFERROR(__xludf.DUMMYFUNCTION("""COMPUTED_VALUE"""),"No Relation")</f>
        <v>No Relation</v>
      </c>
      <c r="F649" s="1" t="str">
        <f ca="1">IFERROR(__xludf.DUMMYFUNCTION("""COMPUTED_VALUE"""),"Fled/Escaped")</f>
        <v>Fled/Escaped</v>
      </c>
      <c r="G649" s="1" t="str">
        <f ca="1">IFERROR(__xludf.DUMMYFUNCTION("""COMPUTED_VALUE"""),"No")</f>
        <v>No</v>
      </c>
      <c r="H649" s="1" t="str">
        <f ca="1">IFERROR(__xludf.DUMMYFUNCTION("""COMPUTED_VALUE"""),"None")</f>
        <v>None</v>
      </c>
    </row>
    <row r="650" spans="1:8" ht="12.5">
      <c r="A650" s="1" t="str">
        <f ca="1">IFERROR(__xludf.DUMMYFUNCTION("""COMPUTED_VALUE"""),"20220720CAJOV")</f>
        <v>20220720CAJOV</v>
      </c>
      <c r="B650" s="1" t="str">
        <f ca="1">IFERROR(__xludf.DUMMYFUNCTION("""COMPUTED_VALUE"""),"Adult")</f>
        <v>Adult</v>
      </c>
      <c r="C650" s="1" t="str">
        <f ca="1">IFERROR(__xludf.DUMMYFUNCTION("""COMPUTED_VALUE"""),"Male")</f>
        <v>Male</v>
      </c>
      <c r="D650" s="1" t="str">
        <f ca="1">IFERROR(__xludf.DUMMYFUNCTION("""COMPUTED_VALUE"""),"Hispanic")</f>
        <v>Hispanic</v>
      </c>
      <c r="E650" s="1" t="str">
        <f ca="1">IFERROR(__xludf.DUMMYFUNCTION("""COMPUTED_VALUE"""),"No Relation")</f>
        <v>No Relation</v>
      </c>
      <c r="F650" s="1" t="str">
        <f ca="1">IFERROR(__xludf.DUMMYFUNCTION("""COMPUTED_VALUE"""),"Fled/Escaped")</f>
        <v>Fled/Escaped</v>
      </c>
      <c r="G650" s="1" t="str">
        <f ca="1">IFERROR(__xludf.DUMMYFUNCTION("""COMPUTED_VALUE"""),"No")</f>
        <v>No</v>
      </c>
      <c r="H650" s="1" t="str">
        <f ca="1">IFERROR(__xludf.DUMMYFUNCTION("""COMPUTED_VALUE"""),"None")</f>
        <v>None</v>
      </c>
    </row>
    <row r="651" spans="1:8" ht="12.5">
      <c r="A651" s="1" t="str">
        <f ca="1">IFERROR(__xludf.DUMMYFUNCTION("""COMPUTED_VALUE"""),"20220716NYCLS")</f>
        <v>20220716NYCLS</v>
      </c>
      <c r="B651" s="1" t="str">
        <f ca="1">IFERROR(__xludf.DUMMYFUNCTION("""COMPUTED_VALUE"""),"Adult")</f>
        <v>Adult</v>
      </c>
      <c r="C651" s="1" t="str">
        <f ca="1">IFERROR(__xludf.DUMMYFUNCTION("""COMPUTED_VALUE"""),"Male")</f>
        <v>Male</v>
      </c>
      <c r="D651" s="1"/>
      <c r="E651" s="1" t="str">
        <f ca="1">IFERROR(__xludf.DUMMYFUNCTION("""COMPUTED_VALUE"""),"Nonstudent Using Athletic Facilities/Attending Game")</f>
        <v>Nonstudent Using Athletic Facilities/Attending Game</v>
      </c>
      <c r="F651" s="1" t="str">
        <f ca="1">IFERROR(__xludf.DUMMYFUNCTION("""COMPUTED_VALUE"""),"Fled/Escaped")</f>
        <v>Fled/Escaped</v>
      </c>
      <c r="G651" s="1" t="str">
        <f ca="1">IFERROR(__xludf.DUMMYFUNCTION("""COMPUTED_VALUE"""),"No")</f>
        <v>No</v>
      </c>
      <c r="H651" s="1" t="str">
        <f ca="1">IFERROR(__xludf.DUMMYFUNCTION("""COMPUTED_VALUE"""),"None")</f>
        <v>None</v>
      </c>
    </row>
    <row r="652" spans="1:8" ht="12.5">
      <c r="A652" s="1" t="str">
        <f ca="1">IFERROR(__xludf.DUMMYFUNCTION("""COMPUTED_VALUE"""),"20220716GAAPF")</f>
        <v>20220716GAAPF</v>
      </c>
      <c r="B652" s="1" t="str">
        <f ca="1">IFERROR(__xludf.DUMMYFUNCTION("""COMPUTED_VALUE"""),"Adult")</f>
        <v>Adult</v>
      </c>
      <c r="C652" s="1"/>
      <c r="D652" s="1"/>
      <c r="E652" s="1" t="str">
        <f ca="1">IFERROR(__xludf.DUMMYFUNCTION("""COMPUTED_VALUE"""),"No Relation")</f>
        <v>No Relation</v>
      </c>
      <c r="F652" s="1" t="str">
        <f ca="1">IFERROR(__xludf.DUMMYFUNCTION("""COMPUTED_VALUE"""),"Fled/Escaped")</f>
        <v>Fled/Escaped</v>
      </c>
      <c r="G652" s="1" t="str">
        <f ca="1">IFERROR(__xludf.DUMMYFUNCTION("""COMPUTED_VALUE"""),"No")</f>
        <v>No</v>
      </c>
      <c r="H652" s="1" t="str">
        <f ca="1">IFERROR(__xludf.DUMMYFUNCTION("""COMPUTED_VALUE"""),"None")</f>
        <v>None</v>
      </c>
    </row>
    <row r="653" spans="1:8" ht="12.5">
      <c r="A653" s="1" t="str">
        <f ca="1">IFERROR(__xludf.DUMMYFUNCTION("""COMPUTED_VALUE"""),"20220629CABUA")</f>
        <v>20220629CABUA</v>
      </c>
      <c r="B653" s="1"/>
      <c r="C653" s="1"/>
      <c r="D653" s="1"/>
      <c r="E653" s="1" t="str">
        <f ca="1">IFERROR(__xludf.DUMMYFUNCTION("""COMPUTED_VALUE"""),"No Relation")</f>
        <v>No Relation</v>
      </c>
      <c r="F653" s="1" t="str">
        <f ca="1">IFERROR(__xludf.DUMMYFUNCTION("""COMPUTED_VALUE"""),"Fled/Escaped")</f>
        <v>Fled/Escaped</v>
      </c>
      <c r="G653" s="1" t="str">
        <f ca="1">IFERROR(__xludf.DUMMYFUNCTION("""COMPUTED_VALUE"""),"No")</f>
        <v>No</v>
      </c>
      <c r="H653" s="1" t="str">
        <f ca="1">IFERROR(__xludf.DUMMYFUNCTION("""COMPUTED_VALUE"""),"None")</f>
        <v>None</v>
      </c>
    </row>
    <row r="654" spans="1:8" ht="12.5">
      <c r="A654" s="1" t="str">
        <f ca="1">IFERROR(__xludf.DUMMYFUNCTION("""COMPUTED_VALUE"""),"20220620ILGRC")</f>
        <v>20220620ILGRC</v>
      </c>
      <c r="B654" s="1"/>
      <c r="C654" s="1"/>
      <c r="D654" s="1"/>
      <c r="E654" s="1" t="str">
        <f ca="1">IFERROR(__xludf.DUMMYFUNCTION("""COMPUTED_VALUE"""),"No Relation")</f>
        <v>No Relation</v>
      </c>
      <c r="F654" s="1" t="str">
        <f ca="1">IFERROR(__xludf.DUMMYFUNCTION("""COMPUTED_VALUE"""),"Fled/Escaped")</f>
        <v>Fled/Escaped</v>
      </c>
      <c r="G654" s="1" t="str">
        <f ca="1">IFERROR(__xludf.DUMMYFUNCTION("""COMPUTED_VALUE"""),"No")</f>
        <v>No</v>
      </c>
      <c r="H654" s="1" t="str">
        <f ca="1">IFERROR(__xludf.DUMMYFUNCTION("""COMPUTED_VALUE"""),"None")</f>
        <v>None</v>
      </c>
    </row>
    <row r="655" spans="1:8" ht="12.5">
      <c r="A655" s="1" t="str">
        <f ca="1">IFERROR(__xludf.DUMMYFUNCTION("""COMPUTED_VALUE"""),"20220613WAMAE")</f>
        <v>20220613WAMAE</v>
      </c>
      <c r="B655" s="1">
        <f ca="1">IFERROR(__xludf.DUMMYFUNCTION("""COMPUTED_VALUE"""),15)</f>
        <v>15</v>
      </c>
      <c r="C655" s="1" t="str">
        <f ca="1">IFERROR(__xludf.DUMMYFUNCTION("""COMPUTED_VALUE"""),"Male")</f>
        <v>Male</v>
      </c>
      <c r="D655" s="1"/>
      <c r="E655" s="1" t="str">
        <f ca="1">IFERROR(__xludf.DUMMYFUNCTION("""COMPUTED_VALUE"""),"Student")</f>
        <v>Student</v>
      </c>
      <c r="F655" s="1" t="str">
        <f ca="1">IFERROR(__xludf.DUMMYFUNCTION("""COMPUTED_VALUE"""),"Fled/Apprehended")</f>
        <v>Fled/Apprehended</v>
      </c>
      <c r="G655" s="1" t="str">
        <f ca="1">IFERROR(__xludf.DUMMYFUNCTION("""COMPUTED_VALUE"""),"No")</f>
        <v>No</v>
      </c>
      <c r="H655" s="1" t="str">
        <f ca="1">IFERROR(__xludf.DUMMYFUNCTION("""COMPUTED_VALUE"""),"None")</f>
        <v>None</v>
      </c>
    </row>
    <row r="656" spans="1:8" ht="12.5">
      <c r="A656" s="1" t="str">
        <f ca="1">IFERROR(__xludf.DUMMYFUNCTION("""COMPUTED_VALUE"""),"20220610ALBYB")</f>
        <v>20220610ALBYB</v>
      </c>
      <c r="B656" s="1" t="str">
        <f ca="1">IFERROR(__xludf.DUMMYFUNCTION("""COMPUTED_VALUE"""),"Teen")</f>
        <v>Teen</v>
      </c>
      <c r="C656" s="1" t="str">
        <f ca="1">IFERROR(__xludf.DUMMYFUNCTION("""COMPUTED_VALUE"""),"Male")</f>
        <v>Male</v>
      </c>
      <c r="D656" s="1"/>
      <c r="E656" s="1" t="str">
        <f ca="1">IFERROR(__xludf.DUMMYFUNCTION("""COMPUTED_VALUE"""),"Student")</f>
        <v>Student</v>
      </c>
      <c r="F656" s="1" t="str">
        <f ca="1">IFERROR(__xludf.DUMMYFUNCTION("""COMPUTED_VALUE"""),"Fled/Apprehended")</f>
        <v>Fled/Apprehended</v>
      </c>
      <c r="G656" s="1" t="str">
        <f ca="1">IFERROR(__xludf.DUMMYFUNCTION("""COMPUTED_VALUE"""),"No")</f>
        <v>No</v>
      </c>
      <c r="H656" s="1" t="str">
        <f ca="1">IFERROR(__xludf.DUMMYFUNCTION("""COMPUTED_VALUE"""),"None")</f>
        <v>None</v>
      </c>
    </row>
    <row r="657" spans="1:8" ht="12.5">
      <c r="A657" s="1" t="str">
        <f ca="1">IFERROR(__xludf.DUMMYFUNCTION("""COMPUTED_VALUE"""),"20220609ALWAG")</f>
        <v>20220609ALWAG</v>
      </c>
      <c r="B657" s="1"/>
      <c r="C657" s="1"/>
      <c r="D657" s="1"/>
      <c r="E657" s="1" t="str">
        <f ca="1">IFERROR(__xludf.DUMMYFUNCTION("""COMPUTED_VALUE"""),"Police Officer/SRO")</f>
        <v>Police Officer/SRO</v>
      </c>
      <c r="F657" s="1" t="str">
        <f ca="1">IFERROR(__xludf.DUMMYFUNCTION("""COMPUTED_VALUE"""),"Law Enforcement")</f>
        <v>Law Enforcement</v>
      </c>
      <c r="G657" s="1" t="str">
        <f ca="1">IFERROR(__xludf.DUMMYFUNCTION("""COMPUTED_VALUE"""),"No")</f>
        <v>No</v>
      </c>
      <c r="H657" s="1" t="str">
        <f ca="1">IFERROR(__xludf.DUMMYFUNCTION("""COMPUTED_VALUE"""),"None")</f>
        <v>None</v>
      </c>
    </row>
    <row r="658" spans="1:8" ht="12.5">
      <c r="A658" s="1" t="str">
        <f ca="1">IFERROR(__xludf.DUMMYFUNCTION("""COMPUTED_VALUE"""),"20220608ARLIL")</f>
        <v>20220608ARLIL</v>
      </c>
      <c r="B658" s="1"/>
      <c r="C658" s="1"/>
      <c r="D658" s="1"/>
      <c r="E658" s="1" t="str">
        <f ca="1">IFERROR(__xludf.DUMMYFUNCTION("""COMPUTED_VALUE"""),"No Relation")</f>
        <v>No Relation</v>
      </c>
      <c r="F658" s="1" t="str">
        <f ca="1">IFERROR(__xludf.DUMMYFUNCTION("""COMPUTED_VALUE"""),"Fled/Escaped")</f>
        <v>Fled/Escaped</v>
      </c>
      <c r="G658" s="1" t="str">
        <f ca="1">IFERROR(__xludf.DUMMYFUNCTION("""COMPUTED_VALUE"""),"No")</f>
        <v>No</v>
      </c>
      <c r="H658" s="1" t="str">
        <f ca="1">IFERROR(__xludf.DUMMYFUNCTION("""COMPUTED_VALUE"""),"None")</f>
        <v>None</v>
      </c>
    </row>
    <row r="659" spans="1:8" ht="12.5">
      <c r="A659" s="1" t="str">
        <f ca="1">IFERROR(__xludf.DUMMYFUNCTION("""COMPUTED_VALUE"""),"20220607MIPED")</f>
        <v>20220607MIPED</v>
      </c>
      <c r="B659" s="1"/>
      <c r="C659" s="1"/>
      <c r="D659" s="1"/>
      <c r="E659" s="1"/>
      <c r="F659" s="1" t="str">
        <f ca="1">IFERROR(__xludf.DUMMYFUNCTION("""COMPUTED_VALUE"""),"Apprehended/Killed by SRO")</f>
        <v>Apprehended/Killed by SRO</v>
      </c>
      <c r="G659" s="1" t="str">
        <f ca="1">IFERROR(__xludf.DUMMYFUNCTION("""COMPUTED_VALUE"""),"No")</f>
        <v>No</v>
      </c>
      <c r="H659" s="1" t="str">
        <f ca="1">IFERROR(__xludf.DUMMYFUNCTION("""COMPUTED_VALUE"""),"None")</f>
        <v>None</v>
      </c>
    </row>
    <row r="660" spans="1:8" ht="12.5">
      <c r="A660" s="1" t="str">
        <f ca="1">IFERROR(__xludf.DUMMYFUNCTION("""COMPUTED_VALUE"""),"20220605INWEG")</f>
        <v>20220605INWEG</v>
      </c>
      <c r="B660" s="1" t="str">
        <f ca="1">IFERROR(__xludf.DUMMYFUNCTION("""COMPUTED_VALUE"""),"Teen")</f>
        <v>Teen</v>
      </c>
      <c r="C660" s="1"/>
      <c r="D660" s="1"/>
      <c r="E660" s="1"/>
      <c r="F660" s="1" t="str">
        <f ca="1">IFERROR(__xludf.DUMMYFUNCTION("""COMPUTED_VALUE"""),"Apprehended/Killed by LE")</f>
        <v>Apprehended/Killed by LE</v>
      </c>
      <c r="G660" s="1" t="str">
        <f ca="1">IFERROR(__xludf.DUMMYFUNCTION("""COMPUTED_VALUE"""),"No")</f>
        <v>No</v>
      </c>
      <c r="H660" s="1" t="str">
        <f ca="1">IFERROR(__xludf.DUMMYFUNCTION("""COMPUTED_VALUE"""),"None")</f>
        <v>None</v>
      </c>
    </row>
    <row r="661" spans="1:8" ht="12.5">
      <c r="A661" s="1" t="str">
        <f ca="1">IFERROR(__xludf.DUMMYFUNCTION("""COMPUTED_VALUE"""),"20220601CAULL")</f>
        <v>20220601CAULL</v>
      </c>
      <c r="B661" s="1"/>
      <c r="C661" s="1" t="str">
        <f ca="1">IFERROR(__xludf.DUMMYFUNCTION("""COMPUTED_VALUE"""),"Male")</f>
        <v>Male</v>
      </c>
      <c r="D661" s="1"/>
      <c r="E661" s="1"/>
      <c r="F661" s="1" t="str">
        <f ca="1">IFERROR(__xludf.DUMMYFUNCTION("""COMPUTED_VALUE"""),"Fled/Escaped")</f>
        <v>Fled/Escaped</v>
      </c>
      <c r="G661" s="1" t="str">
        <f ca="1">IFERROR(__xludf.DUMMYFUNCTION("""COMPUTED_VALUE"""),"No")</f>
        <v>No</v>
      </c>
      <c r="H661" s="1" t="str">
        <f ca="1">IFERROR(__xludf.DUMMYFUNCTION("""COMPUTED_VALUE"""),"None")</f>
        <v>None</v>
      </c>
    </row>
    <row r="662" spans="1:8" ht="12.5">
      <c r="A662" s="1" t="str">
        <f ca="1">IFERROR(__xludf.DUMMYFUNCTION("""COMPUTED_VALUE"""),"20220531LAMON")</f>
        <v>20220531LAMON</v>
      </c>
      <c r="B662" s="1">
        <f ca="1">IFERROR(__xludf.DUMMYFUNCTION("""COMPUTED_VALUE"""),18)</f>
        <v>18</v>
      </c>
      <c r="C662" s="1" t="str">
        <f ca="1">IFERROR(__xludf.DUMMYFUNCTION("""COMPUTED_VALUE"""),"Male")</f>
        <v>Male</v>
      </c>
      <c r="D662" s="1" t="str">
        <f ca="1">IFERROR(__xludf.DUMMYFUNCTION("""COMPUTED_VALUE"""),"Black")</f>
        <v>Black</v>
      </c>
      <c r="E662" s="1"/>
      <c r="F662" s="1" t="str">
        <f ca="1">IFERROR(__xludf.DUMMYFUNCTION("""COMPUTED_VALUE"""),"Fled/Apprehended")</f>
        <v>Fled/Apprehended</v>
      </c>
      <c r="G662" s="1" t="str">
        <f ca="1">IFERROR(__xludf.DUMMYFUNCTION("""COMPUTED_VALUE"""),"No")</f>
        <v>No</v>
      </c>
      <c r="H662" s="1" t="str">
        <f ca="1">IFERROR(__xludf.DUMMYFUNCTION("""COMPUTED_VALUE"""),"None")</f>
        <v>None</v>
      </c>
    </row>
    <row r="663" spans="1:8" ht="12.5">
      <c r="A663" s="1" t="str">
        <f ca="1">IFERROR(__xludf.DUMMYFUNCTION("""COMPUTED_VALUE"""),"20220531LAMON")</f>
        <v>20220531LAMON</v>
      </c>
      <c r="B663" s="1">
        <f ca="1">IFERROR(__xludf.DUMMYFUNCTION("""COMPUTED_VALUE"""),40)</f>
        <v>40</v>
      </c>
      <c r="C663" s="1" t="str">
        <f ca="1">IFERROR(__xludf.DUMMYFUNCTION("""COMPUTED_VALUE"""),"Male")</f>
        <v>Male</v>
      </c>
      <c r="D663" s="1"/>
      <c r="E663" s="1" t="str">
        <f ca="1">IFERROR(__xludf.DUMMYFUNCTION("""COMPUTED_VALUE"""),"Relative")</f>
        <v>Relative</v>
      </c>
      <c r="F663" s="1" t="str">
        <f ca="1">IFERROR(__xludf.DUMMYFUNCTION("""COMPUTED_VALUE"""),"Fled/Apprehended")</f>
        <v>Fled/Apprehended</v>
      </c>
      <c r="G663" s="1" t="str">
        <f ca="1">IFERROR(__xludf.DUMMYFUNCTION("""COMPUTED_VALUE"""),"No")</f>
        <v>No</v>
      </c>
      <c r="H663" s="1" t="str">
        <f ca="1">IFERROR(__xludf.DUMMYFUNCTION("""COMPUTED_VALUE"""),"None")</f>
        <v>None</v>
      </c>
    </row>
    <row r="664" spans="1:8" ht="12.5">
      <c r="A664" s="1" t="str">
        <f ca="1">IFERROR(__xludf.DUMMYFUNCTION("""COMPUTED_VALUE"""),"20220530CAHEL")</f>
        <v>20220530CAHEL</v>
      </c>
      <c r="B664" s="1" t="str">
        <f ca="1">IFERROR(__xludf.DUMMYFUNCTION("""COMPUTED_VALUE"""),"Adult")</f>
        <v>Adult</v>
      </c>
      <c r="C664" s="1" t="str">
        <f ca="1">IFERROR(__xludf.DUMMYFUNCTION("""COMPUTED_VALUE"""),"Male")</f>
        <v>Male</v>
      </c>
      <c r="D664" s="1"/>
      <c r="E664" s="1" t="str">
        <f ca="1">IFERROR(__xludf.DUMMYFUNCTION("""COMPUTED_VALUE"""),"No Relation")</f>
        <v>No Relation</v>
      </c>
      <c r="F664" s="1" t="str">
        <f ca="1">IFERROR(__xludf.DUMMYFUNCTION("""COMPUTED_VALUE"""),"Fled/Escaped")</f>
        <v>Fled/Escaped</v>
      </c>
      <c r="G664" s="1" t="str">
        <f ca="1">IFERROR(__xludf.DUMMYFUNCTION("""COMPUTED_VALUE"""),"No")</f>
        <v>No</v>
      </c>
      <c r="H664" s="1" t="str">
        <f ca="1">IFERROR(__xludf.DUMMYFUNCTION("""COMPUTED_VALUE"""),"None")</f>
        <v>None</v>
      </c>
    </row>
    <row r="665" spans="1:8" ht="12.5">
      <c r="A665" s="1" t="str">
        <f ca="1">IFERROR(__xludf.DUMMYFUNCTION("""COMPUTED_VALUE"""),"20220529ILDAC")</f>
        <v>20220529ILDAC</v>
      </c>
      <c r="B665" s="1"/>
      <c r="C665" s="1"/>
      <c r="D665" s="1"/>
      <c r="E665" s="1"/>
      <c r="F665" s="1" t="str">
        <f ca="1">IFERROR(__xludf.DUMMYFUNCTION("""COMPUTED_VALUE"""),"Fled/Escaped")</f>
        <v>Fled/Escaped</v>
      </c>
      <c r="G665" s="1" t="str">
        <f ca="1">IFERROR(__xludf.DUMMYFUNCTION("""COMPUTED_VALUE"""),"No")</f>
        <v>No</v>
      </c>
      <c r="H665" s="1" t="str">
        <f ca="1">IFERROR(__xludf.DUMMYFUNCTION("""COMPUTED_VALUE"""),"None")</f>
        <v>None</v>
      </c>
    </row>
    <row r="666" spans="1:8" ht="12.5">
      <c r="A666" s="1" t="str">
        <f ca="1">IFERROR(__xludf.DUMMYFUNCTION("""COMPUTED_VALUE"""),"20220529ILDAC")</f>
        <v>20220529ILDAC</v>
      </c>
      <c r="B666" s="1"/>
      <c r="C666" s="1"/>
      <c r="D666" s="1"/>
      <c r="E666" s="1"/>
      <c r="F666" s="1" t="str">
        <f ca="1">IFERROR(__xludf.DUMMYFUNCTION("""COMPUTED_VALUE"""),"Fled/Escaped")</f>
        <v>Fled/Escaped</v>
      </c>
      <c r="G666" s="1" t="str">
        <f ca="1">IFERROR(__xludf.DUMMYFUNCTION("""COMPUTED_VALUE"""),"No")</f>
        <v>No</v>
      </c>
      <c r="H666" s="1" t="str">
        <f ca="1">IFERROR(__xludf.DUMMYFUNCTION("""COMPUTED_VALUE"""),"None")</f>
        <v>None</v>
      </c>
    </row>
    <row r="667" spans="1:8" ht="12.5">
      <c r="A667" s="1" t="str">
        <f ca="1">IFERROR(__xludf.DUMMYFUNCTION("""COMPUTED_VALUE"""),"20220529ILDAC")</f>
        <v>20220529ILDAC</v>
      </c>
      <c r="B667" s="1"/>
      <c r="C667" s="1"/>
      <c r="D667" s="1"/>
      <c r="E667" s="1"/>
      <c r="F667" s="1" t="str">
        <f ca="1">IFERROR(__xludf.DUMMYFUNCTION("""COMPUTED_VALUE"""),"Fled/Escaped")</f>
        <v>Fled/Escaped</v>
      </c>
      <c r="G667" s="1" t="str">
        <f ca="1">IFERROR(__xludf.DUMMYFUNCTION("""COMPUTED_VALUE"""),"No")</f>
        <v>No</v>
      </c>
      <c r="H667" s="1" t="str">
        <f ca="1">IFERROR(__xludf.DUMMYFUNCTION("""COMPUTED_VALUE"""),"None")</f>
        <v>None</v>
      </c>
    </row>
    <row r="668" spans="1:8" ht="12.5">
      <c r="A668" s="1" t="str">
        <f ca="1">IFERROR(__xludf.DUMMYFUNCTION("""COMPUTED_VALUE"""),"20220526TXDUA")</f>
        <v>20220526TXDUA</v>
      </c>
      <c r="B668" s="1">
        <f ca="1">IFERROR(__xludf.DUMMYFUNCTION("""COMPUTED_VALUE"""),55)</f>
        <v>55</v>
      </c>
      <c r="C668" s="1" t="str">
        <f ca="1">IFERROR(__xludf.DUMMYFUNCTION("""COMPUTED_VALUE"""),"Male")</f>
        <v>Male</v>
      </c>
      <c r="D668" s="1" t="str">
        <f ca="1">IFERROR(__xludf.DUMMYFUNCTION("""COMPUTED_VALUE"""),"White")</f>
        <v>White</v>
      </c>
      <c r="E668" s="1" t="str">
        <f ca="1">IFERROR(__xludf.DUMMYFUNCTION("""COMPUTED_VALUE"""),"Relative")</f>
        <v>Relative</v>
      </c>
      <c r="F668" s="1" t="str">
        <f ca="1">IFERROR(__xludf.DUMMYFUNCTION("""COMPUTED_VALUE"""),"Surrendered")</f>
        <v>Surrendered</v>
      </c>
      <c r="G668" s="1" t="str">
        <f ca="1">IFERROR(__xludf.DUMMYFUNCTION("""COMPUTED_VALUE"""),"No")</f>
        <v>No</v>
      </c>
      <c r="H668" s="1" t="str">
        <f ca="1">IFERROR(__xludf.DUMMYFUNCTION("""COMPUTED_VALUE"""),"Wounded")</f>
        <v>Wounded</v>
      </c>
    </row>
    <row r="669" spans="1:8" ht="12.5">
      <c r="A669" s="1" t="str">
        <f ca="1">IFERROR(__xludf.DUMMYFUNCTION("""COMPUTED_VALUE"""),"20220526SCMEG")</f>
        <v>20220526SCMEG</v>
      </c>
      <c r="B669" s="1"/>
      <c r="C669" s="1"/>
      <c r="D669" s="1"/>
      <c r="E669" s="1"/>
      <c r="F669" s="1" t="str">
        <f ca="1">IFERROR(__xludf.DUMMYFUNCTION("""COMPUTED_VALUE"""),"Fled/Escaped")</f>
        <v>Fled/Escaped</v>
      </c>
      <c r="G669" s="1" t="str">
        <f ca="1">IFERROR(__xludf.DUMMYFUNCTION("""COMPUTED_VALUE"""),"No")</f>
        <v>No</v>
      </c>
      <c r="H669" s="1" t="str">
        <f ca="1">IFERROR(__xludf.DUMMYFUNCTION("""COMPUTED_VALUE"""),"None")</f>
        <v>None</v>
      </c>
    </row>
    <row r="670" spans="1:8" ht="12.5">
      <c r="A670" s="1" t="str">
        <f ca="1">IFERROR(__xludf.DUMMYFUNCTION("""COMPUTED_VALUE"""),"20220525ILSTC")</f>
        <v>20220525ILSTC</v>
      </c>
      <c r="B670" s="1"/>
      <c r="C670" s="1"/>
      <c r="D670" s="1"/>
      <c r="E670" s="1"/>
      <c r="F670" s="1" t="str">
        <f ca="1">IFERROR(__xludf.DUMMYFUNCTION("""COMPUTED_VALUE"""),"Fled/Escaped")</f>
        <v>Fled/Escaped</v>
      </c>
      <c r="G670" s="1" t="str">
        <f ca="1">IFERROR(__xludf.DUMMYFUNCTION("""COMPUTED_VALUE"""),"No")</f>
        <v>No</v>
      </c>
      <c r="H670" s="1" t="str">
        <f ca="1">IFERROR(__xludf.DUMMYFUNCTION("""COMPUTED_VALUE"""),"None")</f>
        <v>None</v>
      </c>
    </row>
    <row r="671" spans="1:8" ht="12.5">
      <c r="A671" s="1" t="str">
        <f ca="1">IFERROR(__xludf.DUMMYFUNCTION("""COMPUTED_VALUE"""),"20220524WIRIM")</f>
        <v>20220524WIRIM</v>
      </c>
      <c r="B671" s="1" t="str">
        <f ca="1">IFERROR(__xludf.DUMMYFUNCTION("""COMPUTED_VALUE"""),"Teen")</f>
        <v>Teen</v>
      </c>
      <c r="C671" s="1" t="str">
        <f ca="1">IFERROR(__xludf.DUMMYFUNCTION("""COMPUTED_VALUE"""),"Male")</f>
        <v>Male</v>
      </c>
      <c r="D671" s="1"/>
      <c r="E671" s="1" t="str">
        <f ca="1">IFERROR(__xludf.DUMMYFUNCTION("""COMPUTED_VALUE"""),"Student")</f>
        <v>Student</v>
      </c>
      <c r="F671" s="1" t="str">
        <f ca="1">IFERROR(__xludf.DUMMYFUNCTION("""COMPUTED_VALUE"""),"Fled/Escaped")</f>
        <v>Fled/Escaped</v>
      </c>
      <c r="G671" s="1" t="str">
        <f ca="1">IFERROR(__xludf.DUMMYFUNCTION("""COMPUTED_VALUE"""),"No")</f>
        <v>No</v>
      </c>
      <c r="H671" s="1" t="str">
        <f ca="1">IFERROR(__xludf.DUMMYFUNCTION("""COMPUTED_VALUE"""),"None")</f>
        <v>None</v>
      </c>
    </row>
    <row r="672" spans="1:8" ht="12.5">
      <c r="A672" s="1" t="str">
        <f ca="1">IFERROR(__xludf.DUMMYFUNCTION("""COMPUTED_VALUE"""),"20220524TXROU")</f>
        <v>20220524TXROU</v>
      </c>
      <c r="B672" s="1">
        <f ca="1">IFERROR(__xludf.DUMMYFUNCTION("""COMPUTED_VALUE"""),18)</f>
        <v>18</v>
      </c>
      <c r="C672" s="1" t="str">
        <f ca="1">IFERROR(__xludf.DUMMYFUNCTION("""COMPUTED_VALUE"""),"Male")</f>
        <v>Male</v>
      </c>
      <c r="D672" s="1"/>
      <c r="E672" s="1"/>
      <c r="F672" s="1" t="str">
        <f ca="1">IFERROR(__xludf.DUMMYFUNCTION("""COMPUTED_VALUE"""),"Apprehended/Killed by LE")</f>
        <v>Apprehended/Killed by LE</v>
      </c>
      <c r="G672" s="1" t="str">
        <f ca="1">IFERROR(__xludf.DUMMYFUNCTION("""COMPUTED_VALUE"""),"Yes")</f>
        <v>Yes</v>
      </c>
      <c r="H672" s="1" t="str">
        <f ca="1">IFERROR(__xludf.DUMMYFUNCTION("""COMPUTED_VALUE"""),"Fatal")</f>
        <v>Fatal</v>
      </c>
    </row>
    <row r="673" spans="1:8" ht="12.5">
      <c r="A673" s="1" t="str">
        <f ca="1">IFERROR(__xludf.DUMMYFUNCTION("""COMPUTED_VALUE"""),"20220524DCPOW")</f>
        <v>20220524DCPOW</v>
      </c>
      <c r="B673" s="1"/>
      <c r="C673" s="1"/>
      <c r="D673" s="1"/>
      <c r="E673" s="1"/>
      <c r="F673" s="1" t="str">
        <f ca="1">IFERROR(__xludf.DUMMYFUNCTION("""COMPUTED_VALUE"""),"Fled/Escaped")</f>
        <v>Fled/Escaped</v>
      </c>
      <c r="G673" s="1" t="str">
        <f ca="1">IFERROR(__xludf.DUMMYFUNCTION("""COMPUTED_VALUE"""),"No")</f>
        <v>No</v>
      </c>
      <c r="H673" s="1" t="str">
        <f ca="1">IFERROR(__xludf.DUMMYFUNCTION("""COMPUTED_VALUE"""),"None")</f>
        <v>None</v>
      </c>
    </row>
    <row r="674" spans="1:8" ht="12.5">
      <c r="A674" s="1" t="str">
        <f ca="1">IFERROR(__xludf.DUMMYFUNCTION("""COMPUTED_VALUE"""),"20220523PASIP")</f>
        <v>20220523PASIP</v>
      </c>
      <c r="B674" s="1"/>
      <c r="C674" s="1"/>
      <c r="D674" s="1"/>
      <c r="E674" s="1"/>
      <c r="F674" s="1" t="str">
        <f ca="1">IFERROR(__xludf.DUMMYFUNCTION("""COMPUTED_VALUE"""),"Fled/Escaped")</f>
        <v>Fled/Escaped</v>
      </c>
      <c r="G674" s="1" t="str">
        <f ca="1">IFERROR(__xludf.DUMMYFUNCTION("""COMPUTED_VALUE"""),"No")</f>
        <v>No</v>
      </c>
      <c r="H674" s="1" t="str">
        <f ca="1">IFERROR(__xludf.DUMMYFUNCTION("""COMPUTED_VALUE"""),"None")</f>
        <v>None</v>
      </c>
    </row>
    <row r="675" spans="1:8" ht="12.5">
      <c r="A675" s="1" t="str">
        <f ca="1">IFERROR(__xludf.DUMMYFUNCTION("""COMPUTED_VALUE"""),"20220520VAPOD")</f>
        <v>20220520VAPOD</v>
      </c>
      <c r="B675" s="1" t="str">
        <f ca="1">IFERROR(__xludf.DUMMYFUNCTION("""COMPUTED_VALUE"""),"Teen")</f>
        <v>Teen</v>
      </c>
      <c r="C675" s="1" t="str">
        <f ca="1">IFERROR(__xludf.DUMMYFUNCTION("""COMPUTED_VALUE"""),"Male")</f>
        <v>Male</v>
      </c>
      <c r="D675" s="1"/>
      <c r="E675" s="1" t="str">
        <f ca="1">IFERROR(__xludf.DUMMYFUNCTION("""COMPUTED_VALUE"""),"Student")</f>
        <v>Student</v>
      </c>
      <c r="F675" s="1" t="str">
        <f ca="1">IFERROR(__xludf.DUMMYFUNCTION("""COMPUTED_VALUE"""),"Apprehended/Killed by SRO")</f>
        <v>Apprehended/Killed by SRO</v>
      </c>
      <c r="G675" s="1" t="str">
        <f ca="1">IFERROR(__xludf.DUMMYFUNCTION("""COMPUTED_VALUE"""),"No")</f>
        <v>No</v>
      </c>
      <c r="H675" s="1" t="str">
        <f ca="1">IFERROR(__xludf.DUMMYFUNCTION("""COMPUTED_VALUE"""),"None")</f>
        <v>None</v>
      </c>
    </row>
    <row r="676" spans="1:8" ht="12.5">
      <c r="A676" s="1" t="str">
        <f ca="1">IFERROR(__xludf.DUMMYFUNCTION("""COMPUTED_VALUE"""),"20220520TNEAC")</f>
        <v>20220520TNEAC</v>
      </c>
      <c r="B676" s="1"/>
      <c r="C676" s="1"/>
      <c r="D676" s="1"/>
      <c r="E676" s="1" t="str">
        <f ca="1">IFERROR(__xludf.DUMMYFUNCTION("""COMPUTED_VALUE"""),"No Relation")</f>
        <v>No Relation</v>
      </c>
      <c r="F676" s="1" t="str">
        <f ca="1">IFERROR(__xludf.DUMMYFUNCTION("""COMPUTED_VALUE"""),"Fled/Escaped")</f>
        <v>Fled/Escaped</v>
      </c>
      <c r="G676" s="1" t="str">
        <f ca="1">IFERROR(__xludf.DUMMYFUNCTION("""COMPUTED_VALUE"""),"No")</f>
        <v>No</v>
      </c>
      <c r="H676" s="1" t="str">
        <f ca="1">IFERROR(__xludf.DUMMYFUNCTION("""COMPUTED_VALUE"""),"None")</f>
        <v>None</v>
      </c>
    </row>
    <row r="677" spans="1:8" ht="12.5">
      <c r="A677" s="1" t="str">
        <f ca="1">IFERROR(__xludf.DUMMYFUNCTION("""COMPUTED_VALUE"""),"20220520OHCAC")</f>
        <v>20220520OHCAC</v>
      </c>
      <c r="B677" s="1" t="str">
        <f ca="1">IFERROR(__xludf.DUMMYFUNCTION("""COMPUTED_VALUE"""),"Teen")</f>
        <v>Teen</v>
      </c>
      <c r="C677" s="1" t="str">
        <f ca="1">IFERROR(__xludf.DUMMYFUNCTION("""COMPUTED_VALUE"""),"Male")</f>
        <v>Male</v>
      </c>
      <c r="D677" s="1"/>
      <c r="E677" s="1" t="str">
        <f ca="1">IFERROR(__xludf.DUMMYFUNCTION("""COMPUTED_VALUE"""),"Student")</f>
        <v>Student</v>
      </c>
      <c r="F677" s="1" t="str">
        <f ca="1">IFERROR(__xludf.DUMMYFUNCTION("""COMPUTED_VALUE"""),"Fled/Apprehended")</f>
        <v>Fled/Apprehended</v>
      </c>
      <c r="G677" s="1" t="str">
        <f ca="1">IFERROR(__xludf.DUMMYFUNCTION("""COMPUTED_VALUE"""),"No")</f>
        <v>No</v>
      </c>
      <c r="H677" s="1" t="str">
        <f ca="1">IFERROR(__xludf.DUMMYFUNCTION("""COMPUTED_VALUE"""),"None")</f>
        <v>None</v>
      </c>
    </row>
    <row r="678" spans="1:8" ht="12.5">
      <c r="A678" s="1" t="str">
        <f ca="1">IFERROR(__xludf.DUMMYFUNCTION("""COMPUTED_VALUE"""),"20220520ILSOP")</f>
        <v>20220520ILSOP</v>
      </c>
      <c r="B678" s="1" t="str">
        <f ca="1">IFERROR(__xludf.DUMMYFUNCTION("""COMPUTED_VALUE"""),"Adult")</f>
        <v>Adult</v>
      </c>
      <c r="C678" s="1" t="str">
        <f ca="1">IFERROR(__xludf.DUMMYFUNCTION("""COMPUTED_VALUE"""),"Female")</f>
        <v>Female</v>
      </c>
      <c r="D678" s="1"/>
      <c r="E678" s="1" t="str">
        <f ca="1">IFERROR(__xludf.DUMMYFUNCTION("""COMPUTED_VALUE"""),"No Relation")</f>
        <v>No Relation</v>
      </c>
      <c r="F678" s="1" t="str">
        <f ca="1">IFERROR(__xludf.DUMMYFUNCTION("""COMPUTED_VALUE"""),"Apprehended/Killed by LE")</f>
        <v>Apprehended/Killed by LE</v>
      </c>
      <c r="G678" s="1" t="str">
        <f ca="1">IFERROR(__xludf.DUMMYFUNCTION("""COMPUTED_VALUE"""),"No")</f>
        <v>No</v>
      </c>
      <c r="H678" s="1" t="str">
        <f ca="1">IFERROR(__xludf.DUMMYFUNCTION("""COMPUTED_VALUE"""),"None")</f>
        <v>None</v>
      </c>
    </row>
    <row r="679" spans="1:8" ht="12.5">
      <c r="A679" s="1" t="str">
        <f ca="1">IFERROR(__xludf.DUMMYFUNCTION("""COMPUTED_VALUE"""),"20220520ALMAT")</f>
        <v>20220520ALMAT</v>
      </c>
      <c r="B679" s="1"/>
      <c r="C679" s="1"/>
      <c r="D679" s="1"/>
      <c r="E679" s="1" t="str">
        <f ca="1">IFERROR(__xludf.DUMMYFUNCTION("""COMPUTED_VALUE"""),"No Relation")</f>
        <v>No Relation</v>
      </c>
      <c r="F679" s="1" t="str">
        <f ca="1">IFERROR(__xludf.DUMMYFUNCTION("""COMPUTED_VALUE"""),"Fled/Escaped")</f>
        <v>Fled/Escaped</v>
      </c>
      <c r="G679" s="1" t="str">
        <f ca="1">IFERROR(__xludf.DUMMYFUNCTION("""COMPUTED_VALUE"""),"No")</f>
        <v>No</v>
      </c>
      <c r="H679" s="1" t="str">
        <f ca="1">IFERROR(__xludf.DUMMYFUNCTION("""COMPUTED_VALUE"""),"None")</f>
        <v>None</v>
      </c>
    </row>
    <row r="680" spans="1:8" ht="12.5">
      <c r="A680" s="1" t="str">
        <f ca="1">IFERROR(__xludf.DUMMYFUNCTION("""COMPUTED_VALUE"""),"20220519VAGER")</f>
        <v>20220519VAGER</v>
      </c>
      <c r="B680" s="1"/>
      <c r="C680" s="1"/>
      <c r="D680" s="1"/>
      <c r="E680" s="1"/>
      <c r="F680" s="1" t="str">
        <f ca="1">IFERROR(__xludf.DUMMYFUNCTION("""COMPUTED_VALUE"""),"Fled/Escaped")</f>
        <v>Fled/Escaped</v>
      </c>
      <c r="G680" s="1" t="str">
        <f ca="1">IFERROR(__xludf.DUMMYFUNCTION("""COMPUTED_VALUE"""),"No")</f>
        <v>No</v>
      </c>
      <c r="H680" s="1" t="str">
        <f ca="1">IFERROR(__xludf.DUMMYFUNCTION("""COMPUTED_VALUE"""),"None")</f>
        <v>None</v>
      </c>
    </row>
    <row r="681" spans="1:8" ht="12.5">
      <c r="A681" s="1" t="str">
        <f ca="1">IFERROR(__xludf.DUMMYFUNCTION("""COMPUTED_VALUE"""),"20220519MIEAK")</f>
        <v>20220519MIEAK</v>
      </c>
      <c r="B681" s="1">
        <f ca="1">IFERROR(__xludf.DUMMYFUNCTION("""COMPUTED_VALUE"""),18)</f>
        <v>18</v>
      </c>
      <c r="C681" s="1" t="str">
        <f ca="1">IFERROR(__xludf.DUMMYFUNCTION("""COMPUTED_VALUE"""),"Male")</f>
        <v>Male</v>
      </c>
      <c r="D681" s="1" t="str">
        <f ca="1">IFERROR(__xludf.DUMMYFUNCTION("""COMPUTED_VALUE"""),"Black")</f>
        <v>Black</v>
      </c>
      <c r="E681" s="1" t="str">
        <f ca="1">IFERROR(__xludf.DUMMYFUNCTION("""COMPUTED_VALUE"""),"Nonstudent")</f>
        <v>Nonstudent</v>
      </c>
      <c r="F681" s="1" t="str">
        <f ca="1">IFERROR(__xludf.DUMMYFUNCTION("""COMPUTED_VALUE"""),"Fled/Apprehended")</f>
        <v>Fled/Apprehended</v>
      </c>
      <c r="G681" s="1" t="str">
        <f ca="1">IFERROR(__xludf.DUMMYFUNCTION("""COMPUTED_VALUE"""),"No")</f>
        <v>No</v>
      </c>
      <c r="H681" s="1" t="str">
        <f ca="1">IFERROR(__xludf.DUMMYFUNCTION("""COMPUTED_VALUE"""),"None")</f>
        <v>None</v>
      </c>
    </row>
    <row r="682" spans="1:8" ht="12.5">
      <c r="A682" s="1" t="str">
        <f ca="1">IFERROR(__xludf.DUMMYFUNCTION("""COMPUTED_VALUE"""),"20220519MIEAK")</f>
        <v>20220519MIEAK</v>
      </c>
      <c r="B682" s="1">
        <f ca="1">IFERROR(__xludf.DUMMYFUNCTION("""COMPUTED_VALUE"""),18)</f>
        <v>18</v>
      </c>
      <c r="C682" s="1" t="str">
        <f ca="1">IFERROR(__xludf.DUMMYFUNCTION("""COMPUTED_VALUE"""),"Male")</f>
        <v>Male</v>
      </c>
      <c r="D682" s="1" t="str">
        <f ca="1">IFERROR(__xludf.DUMMYFUNCTION("""COMPUTED_VALUE"""),"Black")</f>
        <v>Black</v>
      </c>
      <c r="E682" s="1" t="str">
        <f ca="1">IFERROR(__xludf.DUMMYFUNCTION("""COMPUTED_VALUE"""),"Nonstudent")</f>
        <v>Nonstudent</v>
      </c>
      <c r="F682" s="1" t="str">
        <f ca="1">IFERROR(__xludf.DUMMYFUNCTION("""COMPUTED_VALUE"""),"Fled/Apprehended")</f>
        <v>Fled/Apprehended</v>
      </c>
      <c r="G682" s="1" t="str">
        <f ca="1">IFERROR(__xludf.DUMMYFUNCTION("""COMPUTED_VALUE"""),"No")</f>
        <v>No</v>
      </c>
      <c r="H682" s="1" t="str">
        <f ca="1">IFERROR(__xludf.DUMMYFUNCTION("""COMPUTED_VALUE"""),"None")</f>
        <v>None</v>
      </c>
    </row>
    <row r="683" spans="1:8" ht="12.5">
      <c r="A683" s="1" t="str">
        <f ca="1">IFERROR(__xludf.DUMMYFUNCTION("""COMPUTED_VALUE"""),"20220519MIEAK")</f>
        <v>20220519MIEAK</v>
      </c>
      <c r="B683" s="1"/>
      <c r="C683" s="1"/>
      <c r="D683" s="1"/>
      <c r="E683" s="1"/>
      <c r="F683" s="1" t="str">
        <f ca="1">IFERROR(__xludf.DUMMYFUNCTION("""COMPUTED_VALUE"""),"Fled/Escaped")</f>
        <v>Fled/Escaped</v>
      </c>
      <c r="G683" s="1" t="str">
        <f ca="1">IFERROR(__xludf.DUMMYFUNCTION("""COMPUTED_VALUE"""),"No")</f>
        <v>No</v>
      </c>
      <c r="H683" s="1" t="str">
        <f ca="1">IFERROR(__xludf.DUMMYFUNCTION("""COMPUTED_VALUE"""),"None")</f>
        <v>None</v>
      </c>
    </row>
    <row r="684" spans="1:8" ht="12.5">
      <c r="A684" s="1" t="str">
        <f ca="1">IFERROR(__xludf.DUMMYFUNCTION("""COMPUTED_VALUE"""),"20220519MIEAK")</f>
        <v>20220519MIEAK</v>
      </c>
      <c r="B684" s="1"/>
      <c r="C684" s="1"/>
      <c r="D684" s="1"/>
      <c r="E684" s="1"/>
      <c r="F684" s="1" t="str">
        <f ca="1">IFERROR(__xludf.DUMMYFUNCTION("""COMPUTED_VALUE"""),"Fled/Escaped")</f>
        <v>Fled/Escaped</v>
      </c>
      <c r="G684" s="1" t="str">
        <f ca="1">IFERROR(__xludf.DUMMYFUNCTION("""COMPUTED_VALUE"""),"No")</f>
        <v>No</v>
      </c>
      <c r="H684" s="1" t="str">
        <f ca="1">IFERROR(__xludf.DUMMYFUNCTION("""COMPUTED_VALUE"""),"None")</f>
        <v>None</v>
      </c>
    </row>
    <row r="685" spans="1:8" ht="12.5">
      <c r="A685" s="1" t="str">
        <f ca="1">IFERROR(__xludf.DUMMYFUNCTION("""COMPUTED_VALUE"""),"20220519MIEAK")</f>
        <v>20220519MIEAK</v>
      </c>
      <c r="B685" s="1"/>
      <c r="C685" s="1"/>
      <c r="D685" s="1"/>
      <c r="E685" s="1"/>
      <c r="F685" s="1" t="str">
        <f ca="1">IFERROR(__xludf.DUMMYFUNCTION("""COMPUTED_VALUE"""),"Fled/Escaped")</f>
        <v>Fled/Escaped</v>
      </c>
      <c r="G685" s="1" t="str">
        <f ca="1">IFERROR(__xludf.DUMMYFUNCTION("""COMPUTED_VALUE"""),"No")</f>
        <v>No</v>
      </c>
      <c r="H685" s="1" t="str">
        <f ca="1">IFERROR(__xludf.DUMMYFUNCTION("""COMPUTED_VALUE"""),"None")</f>
        <v>None</v>
      </c>
    </row>
    <row r="686" spans="1:8" ht="12.5">
      <c r="A686" s="1" t="str">
        <f ca="1">IFERROR(__xludf.DUMMYFUNCTION("""COMPUTED_VALUE"""),"20220518TNRIM")</f>
        <v>20220518TNRIM</v>
      </c>
      <c r="B686" s="1">
        <f ca="1">IFERROR(__xludf.DUMMYFUNCTION("""COMPUTED_VALUE"""),17)</f>
        <v>17</v>
      </c>
      <c r="C686" s="1" t="str">
        <f ca="1">IFERROR(__xludf.DUMMYFUNCTION("""COMPUTED_VALUE"""),"Male")</f>
        <v>Male</v>
      </c>
      <c r="D686" s="1"/>
      <c r="E686" s="1" t="str">
        <f ca="1">IFERROR(__xludf.DUMMYFUNCTION("""COMPUTED_VALUE"""),"Former Student")</f>
        <v>Former Student</v>
      </c>
      <c r="F686" s="1" t="str">
        <f ca="1">IFERROR(__xludf.DUMMYFUNCTION("""COMPUTED_VALUE"""),"Fled/Apprehended")</f>
        <v>Fled/Apprehended</v>
      </c>
      <c r="G686" s="1" t="str">
        <f ca="1">IFERROR(__xludf.DUMMYFUNCTION("""COMPUTED_VALUE"""),"No")</f>
        <v>No</v>
      </c>
      <c r="H686" s="1" t="str">
        <f ca="1">IFERROR(__xludf.DUMMYFUNCTION("""COMPUTED_VALUE"""),"None")</f>
        <v>None</v>
      </c>
    </row>
    <row r="687" spans="1:8" ht="12.5">
      <c r="A687" s="1" t="str">
        <f ca="1">IFERROR(__xludf.DUMMYFUNCTION("""COMPUTED_VALUE"""),"20220518FLPAP")</f>
        <v>20220518FLPAP</v>
      </c>
      <c r="B687" s="1">
        <f ca="1">IFERROR(__xludf.DUMMYFUNCTION("""COMPUTED_VALUE"""),13)</f>
        <v>13</v>
      </c>
      <c r="C687" s="1" t="str">
        <f ca="1">IFERROR(__xludf.DUMMYFUNCTION("""COMPUTED_VALUE"""),"Male")</f>
        <v>Male</v>
      </c>
      <c r="D687" s="1"/>
      <c r="E687" s="1" t="str">
        <f ca="1">IFERROR(__xludf.DUMMYFUNCTION("""COMPUTED_VALUE"""),"Nonstudent Using Athletic Facilities/Attending Game")</f>
        <v>Nonstudent Using Athletic Facilities/Attending Game</v>
      </c>
      <c r="F687" s="1" t="str">
        <f ca="1">IFERROR(__xludf.DUMMYFUNCTION("""COMPUTED_VALUE"""),"Fled/Escaped")</f>
        <v>Fled/Escaped</v>
      </c>
      <c r="G687" s="1" t="str">
        <f ca="1">IFERROR(__xludf.DUMMYFUNCTION("""COMPUTED_VALUE"""),"No")</f>
        <v>No</v>
      </c>
      <c r="H687" s="1" t="str">
        <f ca="1">IFERROR(__xludf.DUMMYFUNCTION("""COMPUTED_VALUE"""),"None")</f>
        <v>None</v>
      </c>
    </row>
    <row r="688" spans="1:8" ht="12.5">
      <c r="A688" s="1" t="str">
        <f ca="1">IFERROR(__xludf.DUMMYFUNCTION("""COMPUTED_VALUE"""),"20220517ILWAC")</f>
        <v>20220517ILWAC</v>
      </c>
      <c r="B688" s="1">
        <f ca="1">IFERROR(__xludf.DUMMYFUNCTION("""COMPUTED_VALUE"""),7)</f>
        <v>7</v>
      </c>
      <c r="C688" s="1"/>
      <c r="D688" s="1"/>
      <c r="E688" s="1" t="str">
        <f ca="1">IFERROR(__xludf.DUMMYFUNCTION("""COMPUTED_VALUE"""),"Student")</f>
        <v>Student</v>
      </c>
      <c r="F688" s="1" t="str">
        <f ca="1">IFERROR(__xludf.DUMMYFUNCTION("""COMPUTED_VALUE"""),"Surrendered")</f>
        <v>Surrendered</v>
      </c>
      <c r="G688" s="1" t="str">
        <f ca="1">IFERROR(__xludf.DUMMYFUNCTION("""COMPUTED_VALUE"""),"No")</f>
        <v>No</v>
      </c>
      <c r="H688" s="1" t="str">
        <f ca="1">IFERROR(__xludf.DUMMYFUNCTION("""COMPUTED_VALUE"""),"None")</f>
        <v>None</v>
      </c>
    </row>
    <row r="689" spans="1:8" ht="12.5">
      <c r="A689" s="1" t="str">
        <f ca="1">IFERROR(__xludf.DUMMYFUNCTION("""COMPUTED_VALUE"""),"20220517CASAS")</f>
        <v>20220517CASAS</v>
      </c>
      <c r="B689" s="1"/>
      <c r="C689" s="1"/>
      <c r="D689" s="1"/>
      <c r="E689" s="1" t="str">
        <f ca="1">IFERROR(__xludf.DUMMYFUNCTION("""COMPUTED_VALUE"""),"No Relation")</f>
        <v>No Relation</v>
      </c>
      <c r="F689" s="1" t="str">
        <f ca="1">IFERROR(__xludf.DUMMYFUNCTION("""COMPUTED_VALUE"""),"Fled/Escaped")</f>
        <v>Fled/Escaped</v>
      </c>
      <c r="G689" s="1" t="str">
        <f ca="1">IFERROR(__xludf.DUMMYFUNCTION("""COMPUTED_VALUE"""),"No")</f>
        <v>No</v>
      </c>
      <c r="H689" s="1" t="str">
        <f ca="1">IFERROR(__xludf.DUMMYFUNCTION("""COMPUTED_VALUE"""),"None")</f>
        <v>None</v>
      </c>
    </row>
    <row r="690" spans="1:8" ht="12.5">
      <c r="A690" s="1" t="str">
        <f ca="1">IFERROR(__xludf.DUMMYFUNCTION("""COMPUTED_VALUE"""),"20220516TXMEM")</f>
        <v>20220516TXMEM</v>
      </c>
      <c r="B690" s="1" t="str">
        <f ca="1">IFERROR(__xludf.DUMMYFUNCTION("""COMPUTED_VALUE"""),"Teen")</f>
        <v>Teen</v>
      </c>
      <c r="C690" s="1"/>
      <c r="D690" s="1"/>
      <c r="E690" s="1" t="str">
        <f ca="1">IFERROR(__xludf.DUMMYFUNCTION("""COMPUTED_VALUE"""),"Student")</f>
        <v>Student</v>
      </c>
      <c r="F690" s="1" t="str">
        <f ca="1">IFERROR(__xludf.DUMMYFUNCTION("""COMPUTED_VALUE"""),"Apprehended/Killed by LE")</f>
        <v>Apprehended/Killed by LE</v>
      </c>
      <c r="G690" s="1" t="str">
        <f ca="1">IFERROR(__xludf.DUMMYFUNCTION("""COMPUTED_VALUE"""),"No")</f>
        <v>No</v>
      </c>
      <c r="H690" s="1" t="str">
        <f ca="1">IFERROR(__xludf.DUMMYFUNCTION("""COMPUTED_VALUE"""),"None")</f>
        <v>None</v>
      </c>
    </row>
    <row r="691" spans="1:8" ht="12.5">
      <c r="A691" s="1" t="str">
        <f ca="1">IFERROR(__xludf.DUMMYFUNCTION("""COMPUTED_VALUE"""),"20220515NHBEB")</f>
        <v>20220515NHBEB</v>
      </c>
      <c r="B691" s="1" t="str">
        <f ca="1">IFERROR(__xludf.DUMMYFUNCTION("""COMPUTED_VALUE"""),"Teen")</f>
        <v>Teen</v>
      </c>
      <c r="C691" s="1" t="str">
        <f ca="1">IFERROR(__xludf.DUMMYFUNCTION("""COMPUTED_VALUE"""),"Male")</f>
        <v>Male</v>
      </c>
      <c r="D691" s="1"/>
      <c r="E691" s="1" t="str">
        <f ca="1">IFERROR(__xludf.DUMMYFUNCTION("""COMPUTED_VALUE"""),"No Relation")</f>
        <v>No Relation</v>
      </c>
      <c r="F691" s="1" t="str">
        <f ca="1">IFERROR(__xludf.DUMMYFUNCTION("""COMPUTED_VALUE"""),"Fled/Escaped")</f>
        <v>Fled/Escaped</v>
      </c>
      <c r="G691" s="1" t="str">
        <f ca="1">IFERROR(__xludf.DUMMYFUNCTION("""COMPUTED_VALUE"""),"No")</f>
        <v>No</v>
      </c>
      <c r="H691" s="1" t="str">
        <f ca="1">IFERROR(__xludf.DUMMYFUNCTION("""COMPUTED_VALUE"""),"None")</f>
        <v>None</v>
      </c>
    </row>
    <row r="692" spans="1:8" ht="12.5">
      <c r="A692" s="1" t="str">
        <f ca="1">IFERROR(__xludf.DUMMYFUNCTION("""COMPUTED_VALUE"""),"20220515NHBEB")</f>
        <v>20220515NHBEB</v>
      </c>
      <c r="B692" s="1" t="str">
        <f ca="1">IFERROR(__xludf.DUMMYFUNCTION("""COMPUTED_VALUE"""),"Teen")</f>
        <v>Teen</v>
      </c>
      <c r="C692" s="1" t="str">
        <f ca="1">IFERROR(__xludf.DUMMYFUNCTION("""COMPUTED_VALUE"""),"Male")</f>
        <v>Male</v>
      </c>
      <c r="D692" s="1"/>
      <c r="E692" s="1" t="str">
        <f ca="1">IFERROR(__xludf.DUMMYFUNCTION("""COMPUTED_VALUE"""),"No Relation")</f>
        <v>No Relation</v>
      </c>
      <c r="F692" s="1" t="str">
        <f ca="1">IFERROR(__xludf.DUMMYFUNCTION("""COMPUTED_VALUE"""),"Fled/Escaped")</f>
        <v>Fled/Escaped</v>
      </c>
      <c r="G692" s="1" t="str">
        <f ca="1">IFERROR(__xludf.DUMMYFUNCTION("""COMPUTED_VALUE"""),"No")</f>
        <v>No</v>
      </c>
      <c r="H692" s="1" t="str">
        <f ca="1">IFERROR(__xludf.DUMMYFUNCTION("""COMPUTED_VALUE"""),"None")</f>
        <v>None</v>
      </c>
    </row>
    <row r="693" spans="1:8" ht="12.5">
      <c r="A693" s="1" t="str">
        <f ca="1">IFERROR(__xludf.DUMMYFUNCTION("""COMPUTED_VALUE"""),"20220515ILMEP")</f>
        <v>20220515ILMEP</v>
      </c>
      <c r="B693" s="1">
        <f ca="1">IFERROR(__xludf.DUMMYFUNCTION("""COMPUTED_VALUE"""),16)</f>
        <v>16</v>
      </c>
      <c r="C693" s="1" t="str">
        <f ca="1">IFERROR(__xludf.DUMMYFUNCTION("""COMPUTED_VALUE"""),"Male")</f>
        <v>Male</v>
      </c>
      <c r="D693" s="1"/>
      <c r="E693" s="1" t="str">
        <f ca="1">IFERROR(__xludf.DUMMYFUNCTION("""COMPUTED_VALUE"""),"No Relation")</f>
        <v>No Relation</v>
      </c>
      <c r="F693" s="1" t="str">
        <f ca="1">IFERROR(__xludf.DUMMYFUNCTION("""COMPUTED_VALUE"""),"Fled/Apprehended")</f>
        <v>Fled/Apprehended</v>
      </c>
      <c r="G693" s="1" t="str">
        <f ca="1">IFERROR(__xludf.DUMMYFUNCTION("""COMPUTED_VALUE"""),"No")</f>
        <v>No</v>
      </c>
      <c r="H693" s="1" t="str">
        <f ca="1">IFERROR(__xludf.DUMMYFUNCTION("""COMPUTED_VALUE"""),"None")</f>
        <v>None</v>
      </c>
    </row>
    <row r="694" spans="1:8" ht="12.5">
      <c r="A694" s="1" t="str">
        <f ca="1">IFERROR(__xludf.DUMMYFUNCTION("""COMPUTED_VALUE"""),"20220513GASOM")</f>
        <v>20220513GASOM</v>
      </c>
      <c r="B694" s="1"/>
      <c r="C694" s="1"/>
      <c r="D694" s="1"/>
      <c r="E694" s="1"/>
      <c r="F694" s="1" t="str">
        <f ca="1">IFERROR(__xludf.DUMMYFUNCTION("""COMPUTED_VALUE"""),"Fled/Escaped")</f>
        <v>Fled/Escaped</v>
      </c>
      <c r="G694" s="1" t="str">
        <f ca="1">IFERROR(__xludf.DUMMYFUNCTION("""COMPUTED_VALUE"""),"No")</f>
        <v>No</v>
      </c>
      <c r="H694" s="1" t="str">
        <f ca="1">IFERROR(__xludf.DUMMYFUNCTION("""COMPUTED_VALUE"""),"None")</f>
        <v>None</v>
      </c>
    </row>
    <row r="695" spans="1:8" ht="12.5">
      <c r="A695" s="1" t="str">
        <f ca="1">IFERROR(__xludf.DUMMYFUNCTION("""COMPUTED_VALUE"""),"20220513FLALW")</f>
        <v>20220513FLALW</v>
      </c>
      <c r="B695" s="1"/>
      <c r="C695" s="1"/>
      <c r="D695" s="1"/>
      <c r="E695" s="1" t="str">
        <f ca="1">IFERROR(__xludf.DUMMYFUNCTION("""COMPUTED_VALUE"""),"Police Officer/SRO")</f>
        <v>Police Officer/SRO</v>
      </c>
      <c r="F695" s="1"/>
      <c r="G695" s="1"/>
      <c r="H695" s="1"/>
    </row>
    <row r="696" spans="1:8" ht="12.5">
      <c r="A696" s="1" t="str">
        <f ca="1">IFERROR(__xludf.DUMMYFUNCTION("""COMPUTED_VALUE"""),"20220512TXHEH")</f>
        <v>20220512TXHEH</v>
      </c>
      <c r="B696" s="1">
        <f ca="1">IFERROR(__xludf.DUMMYFUNCTION("""COMPUTED_VALUE"""),18)</f>
        <v>18</v>
      </c>
      <c r="C696" s="1" t="str">
        <f ca="1">IFERROR(__xludf.DUMMYFUNCTION("""COMPUTED_VALUE"""),"Male")</f>
        <v>Male</v>
      </c>
      <c r="D696" s="1"/>
      <c r="E696" s="1" t="str">
        <f ca="1">IFERROR(__xludf.DUMMYFUNCTION("""COMPUTED_VALUE"""),"Student")</f>
        <v>Student</v>
      </c>
      <c r="F696" s="1" t="str">
        <f ca="1">IFERROR(__xludf.DUMMYFUNCTION("""COMPUTED_VALUE"""),"Fled/Apprehended")</f>
        <v>Fled/Apprehended</v>
      </c>
      <c r="G696" s="1" t="str">
        <f ca="1">IFERROR(__xludf.DUMMYFUNCTION("""COMPUTED_VALUE"""),"No")</f>
        <v>No</v>
      </c>
      <c r="H696" s="1" t="str">
        <f ca="1">IFERROR(__xludf.DUMMYFUNCTION("""COMPUTED_VALUE"""),"None")</f>
        <v>None</v>
      </c>
    </row>
    <row r="697" spans="1:8" ht="12.5">
      <c r="A697" s="1" t="str">
        <f ca="1">IFERROR(__xludf.DUMMYFUNCTION("""COMPUTED_VALUE"""),"20220512ARHOH")</f>
        <v>20220512ARHOH</v>
      </c>
      <c r="B697" s="1">
        <f ca="1">IFERROR(__xludf.DUMMYFUNCTION("""COMPUTED_VALUE"""),25)</f>
        <v>25</v>
      </c>
      <c r="C697" s="1" t="str">
        <f ca="1">IFERROR(__xludf.DUMMYFUNCTION("""COMPUTED_VALUE"""),"Male")</f>
        <v>Male</v>
      </c>
      <c r="D697" s="1"/>
      <c r="E697" s="1"/>
      <c r="F697" s="1" t="str">
        <f ca="1">IFERROR(__xludf.DUMMYFUNCTION("""COMPUTED_VALUE"""),"Fled/Apprehended")</f>
        <v>Fled/Apprehended</v>
      </c>
      <c r="G697" s="1" t="str">
        <f ca="1">IFERROR(__xludf.DUMMYFUNCTION("""COMPUTED_VALUE"""),"No")</f>
        <v>No</v>
      </c>
      <c r="H697" s="1" t="str">
        <f ca="1">IFERROR(__xludf.DUMMYFUNCTION("""COMPUTED_VALUE"""),"Wounded")</f>
        <v>Wounded</v>
      </c>
    </row>
    <row r="698" spans="1:8" ht="12.5">
      <c r="A698" s="1" t="str">
        <f ca="1">IFERROR(__xludf.DUMMYFUNCTION("""COMPUTED_VALUE"""),"20220511FLJAJ")</f>
        <v>20220511FLJAJ</v>
      </c>
      <c r="B698" s="1"/>
      <c r="C698" s="1" t="str">
        <f ca="1">IFERROR(__xludf.DUMMYFUNCTION("""COMPUTED_VALUE"""),"Male")</f>
        <v>Male</v>
      </c>
      <c r="D698" s="1"/>
      <c r="E698" s="1"/>
      <c r="F698" s="1" t="str">
        <f ca="1">IFERROR(__xludf.DUMMYFUNCTION("""COMPUTED_VALUE"""),"Fled/Escaped")</f>
        <v>Fled/Escaped</v>
      </c>
      <c r="G698" s="1" t="str">
        <f ca="1">IFERROR(__xludf.DUMMYFUNCTION("""COMPUTED_VALUE"""),"No")</f>
        <v>No</v>
      </c>
      <c r="H698" s="1" t="str">
        <f ca="1">IFERROR(__xludf.DUMMYFUNCTION("""COMPUTED_VALUE"""),"None")</f>
        <v>None</v>
      </c>
    </row>
    <row r="699" spans="1:8" ht="12.5">
      <c r="A699" s="1" t="str">
        <f ca="1">IFERROR(__xludf.DUMMYFUNCTION("""COMPUTED_VALUE"""),"20220509NYEDS")</f>
        <v>20220509NYEDS</v>
      </c>
      <c r="B699" s="1" t="str">
        <f ca="1">IFERROR(__xludf.DUMMYFUNCTION("""COMPUTED_VALUE"""),"Adult")</f>
        <v>Adult</v>
      </c>
      <c r="C699" s="1" t="str">
        <f ca="1">IFERROR(__xludf.DUMMYFUNCTION("""COMPUTED_VALUE"""),"Male")</f>
        <v>Male</v>
      </c>
      <c r="D699" s="1"/>
      <c r="E699" s="1"/>
      <c r="F699" s="1" t="str">
        <f ca="1">IFERROR(__xludf.DUMMYFUNCTION("""COMPUTED_VALUE"""),"Fled/Escaped")</f>
        <v>Fled/Escaped</v>
      </c>
      <c r="G699" s="1" t="str">
        <f ca="1">IFERROR(__xludf.DUMMYFUNCTION("""COMPUTED_VALUE"""),"No")</f>
        <v>No</v>
      </c>
      <c r="H699" s="1" t="str">
        <f ca="1">IFERROR(__xludf.DUMMYFUNCTION("""COMPUTED_VALUE"""),"None")</f>
        <v>None</v>
      </c>
    </row>
    <row r="700" spans="1:8" ht="12.5">
      <c r="A700" s="1" t="str">
        <f ca="1">IFERROR(__xludf.DUMMYFUNCTION("""COMPUTED_VALUE"""),"20220509GARIS")</f>
        <v>20220509GARIS</v>
      </c>
      <c r="B700" s="1">
        <f ca="1">IFERROR(__xludf.DUMMYFUNCTION("""COMPUTED_VALUE"""),57)</f>
        <v>57</v>
      </c>
      <c r="C700" s="1" t="str">
        <f ca="1">IFERROR(__xludf.DUMMYFUNCTION("""COMPUTED_VALUE"""),"Female")</f>
        <v>Female</v>
      </c>
      <c r="D700" s="1" t="str">
        <f ca="1">IFERROR(__xludf.DUMMYFUNCTION("""COMPUTED_VALUE"""),"Black")</f>
        <v>Black</v>
      </c>
      <c r="E700" s="1" t="str">
        <f ca="1">IFERROR(__xludf.DUMMYFUNCTION("""COMPUTED_VALUE"""),"No Relation")</f>
        <v>No Relation</v>
      </c>
      <c r="F700" s="1" t="str">
        <f ca="1">IFERROR(__xludf.DUMMYFUNCTION("""COMPUTED_VALUE"""),"Fled/Apprehended")</f>
        <v>Fled/Apprehended</v>
      </c>
      <c r="G700" s="1" t="str">
        <f ca="1">IFERROR(__xludf.DUMMYFUNCTION("""COMPUTED_VALUE"""),"No")</f>
        <v>No</v>
      </c>
      <c r="H700" s="1" t="str">
        <f ca="1">IFERROR(__xludf.DUMMYFUNCTION("""COMPUTED_VALUE"""),"None")</f>
        <v>None</v>
      </c>
    </row>
    <row r="701" spans="1:8" ht="12.5">
      <c r="A701" s="1" t="str">
        <f ca="1">IFERROR(__xludf.DUMMYFUNCTION("""COMPUTED_VALUE"""),"20220505OHLOL")</f>
        <v>20220505OHLOL</v>
      </c>
      <c r="B701" s="1">
        <f ca="1">IFERROR(__xludf.DUMMYFUNCTION("""COMPUTED_VALUE"""),13)</f>
        <v>13</v>
      </c>
      <c r="C701" s="1" t="str">
        <f ca="1">IFERROR(__xludf.DUMMYFUNCTION("""COMPUTED_VALUE"""),"Male")</f>
        <v>Male</v>
      </c>
      <c r="D701" s="1"/>
      <c r="E701" s="1" t="str">
        <f ca="1">IFERROR(__xludf.DUMMYFUNCTION("""COMPUTED_VALUE"""),"Student")</f>
        <v>Student</v>
      </c>
      <c r="F701" s="1" t="str">
        <f ca="1">IFERROR(__xludf.DUMMYFUNCTION("""COMPUTED_VALUE"""),"Suicide")</f>
        <v>Suicide</v>
      </c>
      <c r="G701" s="1" t="str">
        <f ca="1">IFERROR(__xludf.DUMMYFUNCTION("""COMPUTED_VALUE"""),"Yes")</f>
        <v>Yes</v>
      </c>
      <c r="H701" s="1" t="str">
        <f ca="1">IFERROR(__xludf.DUMMYFUNCTION("""COMPUTED_VALUE"""),"Suicide")</f>
        <v>Suicide</v>
      </c>
    </row>
    <row r="702" spans="1:8" ht="12.5">
      <c r="A702" s="1" t="str">
        <f ca="1">IFERROR(__xludf.DUMMYFUNCTION("""COMPUTED_VALUE"""),"20220505OHLOL")</f>
        <v>20220505OHLOL</v>
      </c>
      <c r="B702" s="1" t="str">
        <f ca="1">IFERROR(__xludf.DUMMYFUNCTION("""COMPUTED_VALUE"""),"Adult")</f>
        <v>Adult</v>
      </c>
      <c r="C702" s="1" t="str">
        <f ca="1">IFERROR(__xludf.DUMMYFUNCTION("""COMPUTED_VALUE"""),"Female")</f>
        <v>Female</v>
      </c>
      <c r="D702" s="1" t="str">
        <f ca="1">IFERROR(__xludf.DUMMYFUNCTION("""COMPUTED_VALUE"""),"White")</f>
        <v>White</v>
      </c>
      <c r="E702" s="1" t="str">
        <f ca="1">IFERROR(__xludf.DUMMYFUNCTION("""COMPUTED_VALUE"""),"Parent")</f>
        <v>Parent</v>
      </c>
      <c r="F702" s="1" t="str">
        <f ca="1">IFERROR(__xludf.DUMMYFUNCTION("""COMPUTED_VALUE"""),"Apprehended/Killed by LE")</f>
        <v>Apprehended/Killed by LE</v>
      </c>
      <c r="G702" s="1" t="str">
        <f ca="1">IFERROR(__xludf.DUMMYFUNCTION("""COMPUTED_VALUE"""),"No")</f>
        <v>No</v>
      </c>
      <c r="H702" s="1" t="str">
        <f ca="1">IFERROR(__xludf.DUMMYFUNCTION("""COMPUTED_VALUE"""),"None")</f>
        <v>None</v>
      </c>
    </row>
    <row r="703" spans="1:8" ht="12.5">
      <c r="A703" s="1" t="str">
        <f ca="1">IFERROR(__xludf.DUMMYFUNCTION("""COMPUTED_VALUE"""),"20220505ALDOD")</f>
        <v>20220505ALDOD</v>
      </c>
      <c r="B703" s="1">
        <f ca="1">IFERROR(__xludf.DUMMYFUNCTION("""COMPUTED_VALUE"""),20)</f>
        <v>20</v>
      </c>
      <c r="C703" s="1" t="str">
        <f ca="1">IFERROR(__xludf.DUMMYFUNCTION("""COMPUTED_VALUE"""),"Male")</f>
        <v>Male</v>
      </c>
      <c r="D703" s="1"/>
      <c r="E703" s="1" t="str">
        <f ca="1">IFERROR(__xludf.DUMMYFUNCTION("""COMPUTED_VALUE"""),"No Relation")</f>
        <v>No Relation</v>
      </c>
      <c r="F703" s="1" t="str">
        <f ca="1">IFERROR(__xludf.DUMMYFUNCTION("""COMPUTED_VALUE"""),"Apprehended/Killed by LE")</f>
        <v>Apprehended/Killed by LE</v>
      </c>
      <c r="G703" s="1" t="str">
        <f ca="1">IFERROR(__xludf.DUMMYFUNCTION("""COMPUTED_VALUE"""),"No")</f>
        <v>No</v>
      </c>
      <c r="H703" s="1" t="str">
        <f ca="1">IFERROR(__xludf.DUMMYFUNCTION("""COMPUTED_VALUE"""),"None")</f>
        <v>None</v>
      </c>
    </row>
    <row r="704" spans="1:8" ht="12.5">
      <c r="A704" s="1" t="str">
        <f ca="1">IFERROR(__xludf.DUMMYFUNCTION("""COMPUTED_VALUE"""),"20220503CAARS")</f>
        <v>20220503CAARS</v>
      </c>
      <c r="B704" s="1"/>
      <c r="C704" s="1"/>
      <c r="D704" s="1"/>
      <c r="E704" s="1" t="str">
        <f ca="1">IFERROR(__xludf.DUMMYFUNCTION("""COMPUTED_VALUE"""),"No Relation")</f>
        <v>No Relation</v>
      </c>
      <c r="F704" s="1" t="str">
        <f ca="1">IFERROR(__xludf.DUMMYFUNCTION("""COMPUTED_VALUE"""),"Fled/Escaped")</f>
        <v>Fled/Escaped</v>
      </c>
      <c r="G704" s="1" t="str">
        <f ca="1">IFERROR(__xludf.DUMMYFUNCTION("""COMPUTED_VALUE"""),"No")</f>
        <v>No</v>
      </c>
      <c r="H704" s="1" t="str">
        <f ca="1">IFERROR(__xludf.DUMMYFUNCTION("""COMPUTED_VALUE"""),"None")</f>
        <v>None</v>
      </c>
    </row>
    <row r="705" spans="1:8" ht="12.5">
      <c r="A705" s="1" t="str">
        <f ca="1">IFERROR(__xludf.DUMMYFUNCTION("""COMPUTED_VALUE"""),"20220501VALOM")</f>
        <v>20220501VALOM</v>
      </c>
      <c r="B705" s="1" t="str">
        <f ca="1">IFERROR(__xludf.DUMMYFUNCTION("""COMPUTED_VALUE"""),"Adult")</f>
        <v>Adult</v>
      </c>
      <c r="C705" s="1" t="str">
        <f ca="1">IFERROR(__xludf.DUMMYFUNCTION("""COMPUTED_VALUE"""),"Male")</f>
        <v>Male</v>
      </c>
      <c r="D705" s="1" t="str">
        <f ca="1">IFERROR(__xludf.DUMMYFUNCTION("""COMPUTED_VALUE"""),"Black")</f>
        <v>Black</v>
      </c>
      <c r="E705" s="1" t="str">
        <f ca="1">IFERROR(__xludf.DUMMYFUNCTION("""COMPUTED_VALUE"""),"Nonstudent Using Athletic Facilities/Attending Game")</f>
        <v>Nonstudent Using Athletic Facilities/Attending Game</v>
      </c>
      <c r="F705" s="1" t="str">
        <f ca="1">IFERROR(__xludf.DUMMYFUNCTION("""COMPUTED_VALUE"""),"Fled/Escaped")</f>
        <v>Fled/Escaped</v>
      </c>
      <c r="G705" s="1" t="str">
        <f ca="1">IFERROR(__xludf.DUMMYFUNCTION("""COMPUTED_VALUE"""),"No")</f>
        <v>No</v>
      </c>
      <c r="H705" s="1" t="str">
        <f ca="1">IFERROR(__xludf.DUMMYFUNCTION("""COMPUTED_VALUE"""),"None")</f>
        <v>None</v>
      </c>
    </row>
    <row r="706" spans="1:8" ht="12.5">
      <c r="A706" s="1" t="str">
        <f ca="1">IFERROR(__xludf.DUMMYFUNCTION("""COMPUTED_VALUE"""),"20220501OHHAC")</f>
        <v>20220501OHHAC</v>
      </c>
      <c r="B706" s="1"/>
      <c r="C706" s="1"/>
      <c r="D706" s="1"/>
      <c r="E706" s="1"/>
      <c r="F706" s="1" t="str">
        <f ca="1">IFERROR(__xludf.DUMMYFUNCTION("""COMPUTED_VALUE"""),"Fled/Escaped")</f>
        <v>Fled/Escaped</v>
      </c>
      <c r="G706" s="1" t="str">
        <f ca="1">IFERROR(__xludf.DUMMYFUNCTION("""COMPUTED_VALUE"""),"No")</f>
        <v>No</v>
      </c>
      <c r="H706" s="1" t="str">
        <f ca="1">IFERROR(__xludf.DUMMYFUNCTION("""COMPUTED_VALUE"""),"None")</f>
        <v>None</v>
      </c>
    </row>
    <row r="707" spans="1:8" ht="12.5">
      <c r="A707" s="1" t="str">
        <f ca="1">IFERROR(__xludf.DUMMYFUNCTION("""COMPUTED_VALUE"""),"20220430PAMCJ")</f>
        <v>20220430PAMCJ</v>
      </c>
      <c r="B707" s="1" t="str">
        <f ca="1">IFERROR(__xludf.DUMMYFUNCTION("""COMPUTED_VALUE"""),"Adult")</f>
        <v>Adult</v>
      </c>
      <c r="C707" s="1" t="str">
        <f ca="1">IFERROR(__xludf.DUMMYFUNCTION("""COMPUTED_VALUE"""),"Male")</f>
        <v>Male</v>
      </c>
      <c r="D707" s="1"/>
      <c r="E707" s="1" t="str">
        <f ca="1">IFERROR(__xludf.DUMMYFUNCTION("""COMPUTED_VALUE"""),"Nonstudent Using Athletic Facilities/Attending Game")</f>
        <v>Nonstudent Using Athletic Facilities/Attending Game</v>
      </c>
      <c r="F707" s="1" t="str">
        <f ca="1">IFERROR(__xludf.DUMMYFUNCTION("""COMPUTED_VALUE"""),"Fled/Escaped")</f>
        <v>Fled/Escaped</v>
      </c>
      <c r="G707" s="1" t="str">
        <f ca="1">IFERROR(__xludf.DUMMYFUNCTION("""COMPUTED_VALUE"""),"No")</f>
        <v>No</v>
      </c>
      <c r="H707" s="1" t="str">
        <f ca="1">IFERROR(__xludf.DUMMYFUNCTION("""COMPUTED_VALUE"""),"None")</f>
        <v>None</v>
      </c>
    </row>
    <row r="708" spans="1:8" ht="12.5">
      <c r="A708" s="1" t="str">
        <f ca="1">IFERROR(__xludf.DUMMYFUNCTION("""COMPUTED_VALUE"""),"20220427TXMOS")</f>
        <v>20220427TXMOS</v>
      </c>
      <c r="B708" s="1"/>
      <c r="C708" s="1"/>
      <c r="D708" s="1"/>
      <c r="E708" s="1" t="str">
        <f ca="1">IFERROR(__xludf.DUMMYFUNCTION("""COMPUTED_VALUE"""),"Police Officer/SRO")</f>
        <v>Police Officer/SRO</v>
      </c>
      <c r="F708" s="1"/>
      <c r="G708" s="1"/>
      <c r="H708" s="1"/>
    </row>
    <row r="709" spans="1:8" ht="12.5">
      <c r="A709" s="1" t="str">
        <f ca="1">IFERROR(__xludf.DUMMYFUNCTION("""COMPUTED_VALUE"""),"20220427INCOS")</f>
        <v>20220427INCOS</v>
      </c>
      <c r="B709" s="1" t="str">
        <f ca="1">IFERROR(__xludf.DUMMYFUNCTION("""COMPUTED_VALUE"""),"Child")</f>
        <v>Child</v>
      </c>
      <c r="C709" s="1"/>
      <c r="D709" s="1"/>
      <c r="E709" s="1" t="str">
        <f ca="1">IFERROR(__xludf.DUMMYFUNCTION("""COMPUTED_VALUE"""),"Student")</f>
        <v>Student</v>
      </c>
      <c r="F709" s="1" t="str">
        <f ca="1">IFERROR(__xludf.DUMMYFUNCTION("""COMPUTED_VALUE"""),"Fled/Apprehended")</f>
        <v>Fled/Apprehended</v>
      </c>
      <c r="G709" s="1" t="str">
        <f ca="1">IFERROR(__xludf.DUMMYFUNCTION("""COMPUTED_VALUE"""),"No")</f>
        <v>No</v>
      </c>
      <c r="H709" s="1" t="str">
        <f ca="1">IFERROR(__xludf.DUMMYFUNCTION("""COMPUTED_VALUE"""),"None")</f>
        <v>None</v>
      </c>
    </row>
    <row r="710" spans="1:8" ht="12.5">
      <c r="A710" s="1" t="str">
        <f ca="1">IFERROR(__xludf.DUMMYFUNCTION("""COMPUTED_VALUE"""),"20220426MIASI")</f>
        <v>20220426MIASI</v>
      </c>
      <c r="B710" s="1" t="str">
        <f ca="1">IFERROR(__xludf.DUMMYFUNCTION("""COMPUTED_VALUE"""),"Child")</f>
        <v>Child</v>
      </c>
      <c r="C710" s="1"/>
      <c r="D710" s="1"/>
      <c r="E710" s="1" t="str">
        <f ca="1">IFERROR(__xludf.DUMMYFUNCTION("""COMPUTED_VALUE"""),"Student")</f>
        <v>Student</v>
      </c>
      <c r="F710" s="1" t="str">
        <f ca="1">IFERROR(__xludf.DUMMYFUNCTION("""COMPUTED_VALUE"""),"Suicide")</f>
        <v>Suicide</v>
      </c>
      <c r="G710" s="1" t="str">
        <f ca="1">IFERROR(__xludf.DUMMYFUNCTION("""COMPUTED_VALUE"""),"Yes")</f>
        <v>Yes</v>
      </c>
      <c r="H710" s="1" t="str">
        <f ca="1">IFERROR(__xludf.DUMMYFUNCTION("""COMPUTED_VALUE"""),"Suicide")</f>
        <v>Suicide</v>
      </c>
    </row>
    <row r="711" spans="1:8" ht="12.5">
      <c r="A711" s="1" t="str">
        <f ca="1">IFERROR(__xludf.DUMMYFUNCTION("""COMPUTED_VALUE"""),"20220426GASOM")</f>
        <v>20220426GASOM</v>
      </c>
      <c r="B711" s="1"/>
      <c r="C711" s="1"/>
      <c r="D711" s="1"/>
      <c r="E711" s="1"/>
      <c r="F711" s="1" t="str">
        <f ca="1">IFERROR(__xludf.DUMMYFUNCTION("""COMPUTED_VALUE"""),"Fled/Escaped")</f>
        <v>Fled/Escaped</v>
      </c>
      <c r="G711" s="1" t="str">
        <f ca="1">IFERROR(__xludf.DUMMYFUNCTION("""COMPUTED_VALUE"""),"No")</f>
        <v>No</v>
      </c>
      <c r="H711" s="1" t="str">
        <f ca="1">IFERROR(__xludf.DUMMYFUNCTION("""COMPUTED_VALUE"""),"None")</f>
        <v>None</v>
      </c>
    </row>
    <row r="712" spans="1:8" ht="12.5">
      <c r="A712" s="1" t="str">
        <f ca="1">IFERROR(__xludf.DUMMYFUNCTION("""COMPUTED_VALUE"""),"20220426GASOM")</f>
        <v>20220426GASOM</v>
      </c>
      <c r="B712" s="1" t="str">
        <f ca="1">IFERROR(__xludf.DUMMYFUNCTION("""COMPUTED_VALUE"""),"Adult")</f>
        <v>Adult</v>
      </c>
      <c r="C712" s="1" t="str">
        <f ca="1">IFERROR(__xludf.DUMMYFUNCTION("""COMPUTED_VALUE"""),"Female")</f>
        <v>Female</v>
      </c>
      <c r="D712" s="1"/>
      <c r="E712" s="1"/>
      <c r="F712" s="1" t="str">
        <f ca="1">IFERROR(__xludf.DUMMYFUNCTION("""COMPUTED_VALUE"""),"Fled/Escaped")</f>
        <v>Fled/Escaped</v>
      </c>
      <c r="G712" s="1" t="str">
        <f ca="1">IFERROR(__xludf.DUMMYFUNCTION("""COMPUTED_VALUE"""),"No")</f>
        <v>No</v>
      </c>
      <c r="H712" s="1" t="str">
        <f ca="1">IFERROR(__xludf.DUMMYFUNCTION("""COMPUTED_VALUE"""),"None")</f>
        <v>None</v>
      </c>
    </row>
    <row r="713" spans="1:8" ht="12.5">
      <c r="A713" s="1" t="str">
        <f ca="1">IFERROR(__xludf.DUMMYFUNCTION("""COMPUTED_VALUE"""),"20220425WIWIM")</f>
        <v>20220425WIWIM</v>
      </c>
      <c r="B713" s="1"/>
      <c r="C713" s="1"/>
      <c r="D713" s="1"/>
      <c r="E713" s="1"/>
      <c r="F713" s="1" t="str">
        <f ca="1">IFERROR(__xludf.DUMMYFUNCTION("""COMPUTED_VALUE"""),"Fled/Escaped")</f>
        <v>Fled/Escaped</v>
      </c>
      <c r="G713" s="1" t="str">
        <f ca="1">IFERROR(__xludf.DUMMYFUNCTION("""COMPUTED_VALUE"""),"No")</f>
        <v>No</v>
      </c>
      <c r="H713" s="1" t="str">
        <f ca="1">IFERROR(__xludf.DUMMYFUNCTION("""COMPUTED_VALUE"""),"None")</f>
        <v>None</v>
      </c>
    </row>
    <row r="714" spans="1:8" ht="12.5">
      <c r="A714" s="1" t="str">
        <f ca="1">IFERROR(__xludf.DUMMYFUNCTION("""COMPUTED_VALUE"""),"20220425WIWIM")</f>
        <v>20220425WIWIM</v>
      </c>
      <c r="B714" s="1"/>
      <c r="C714" s="1"/>
      <c r="D714" s="1"/>
      <c r="E714" s="1"/>
      <c r="F714" s="1" t="str">
        <f ca="1">IFERROR(__xludf.DUMMYFUNCTION("""COMPUTED_VALUE"""),"Fled/Escaped")</f>
        <v>Fled/Escaped</v>
      </c>
      <c r="G714" s="1" t="str">
        <f ca="1">IFERROR(__xludf.DUMMYFUNCTION("""COMPUTED_VALUE"""),"No")</f>
        <v>No</v>
      </c>
      <c r="H714" s="1" t="str">
        <f ca="1">IFERROR(__xludf.DUMMYFUNCTION("""COMPUTED_VALUE"""),"None")</f>
        <v>None</v>
      </c>
    </row>
    <row r="715" spans="1:8" ht="12.5">
      <c r="A715" s="1" t="str">
        <f ca="1">IFERROR(__xludf.DUMMYFUNCTION("""COMPUTED_VALUE"""),"20220424MOHAF")</f>
        <v>20220424MOHAF</v>
      </c>
      <c r="B715" s="1">
        <f ca="1">IFERROR(__xludf.DUMMYFUNCTION("""COMPUTED_VALUE"""),18)</f>
        <v>18</v>
      </c>
      <c r="C715" s="1" t="str">
        <f ca="1">IFERROR(__xludf.DUMMYFUNCTION("""COMPUTED_VALUE"""),"Male")</f>
        <v>Male</v>
      </c>
      <c r="D715" s="1" t="str">
        <f ca="1">IFERROR(__xludf.DUMMYFUNCTION("""COMPUTED_VALUE"""),"Black")</f>
        <v>Black</v>
      </c>
      <c r="E715" s="1"/>
      <c r="F715" s="1" t="str">
        <f ca="1">IFERROR(__xludf.DUMMYFUNCTION("""COMPUTED_VALUE"""),"Fled/Apprehended")</f>
        <v>Fled/Apprehended</v>
      </c>
      <c r="G715" s="1" t="str">
        <f ca="1">IFERROR(__xludf.DUMMYFUNCTION("""COMPUTED_VALUE"""),"No")</f>
        <v>No</v>
      </c>
      <c r="H715" s="1" t="str">
        <f ca="1">IFERROR(__xludf.DUMMYFUNCTION("""COMPUTED_VALUE"""),"None")</f>
        <v>None</v>
      </c>
    </row>
    <row r="716" spans="1:8" ht="12.5">
      <c r="A716" s="1" t="str">
        <f ca="1">IFERROR(__xludf.DUMMYFUNCTION("""COMPUTED_VALUE"""),"20220424MOHAF")</f>
        <v>20220424MOHAF</v>
      </c>
      <c r="B716" s="1">
        <f ca="1">IFERROR(__xludf.DUMMYFUNCTION("""COMPUTED_VALUE"""),18)</f>
        <v>18</v>
      </c>
      <c r="C716" s="1" t="str">
        <f ca="1">IFERROR(__xludf.DUMMYFUNCTION("""COMPUTED_VALUE"""),"Male")</f>
        <v>Male</v>
      </c>
      <c r="D716" s="1" t="str">
        <f ca="1">IFERROR(__xludf.DUMMYFUNCTION("""COMPUTED_VALUE"""),"Black")</f>
        <v>Black</v>
      </c>
      <c r="E716" s="1"/>
      <c r="F716" s="1" t="str">
        <f ca="1">IFERROR(__xludf.DUMMYFUNCTION("""COMPUTED_VALUE"""),"Fled/Apprehended")</f>
        <v>Fled/Apprehended</v>
      </c>
      <c r="G716" s="1" t="str">
        <f ca="1">IFERROR(__xludf.DUMMYFUNCTION("""COMPUTED_VALUE"""),"No")</f>
        <v>No</v>
      </c>
      <c r="H716" s="1" t="str">
        <f ca="1">IFERROR(__xludf.DUMMYFUNCTION("""COMPUTED_VALUE"""),"None")</f>
        <v>None</v>
      </c>
    </row>
    <row r="717" spans="1:8" ht="12.5">
      <c r="A717" s="1" t="str">
        <f ca="1">IFERROR(__xludf.DUMMYFUNCTION("""COMPUTED_VALUE"""),"20220422ORHOS")</f>
        <v>20220422ORHOS</v>
      </c>
      <c r="B717" s="1" t="str">
        <f ca="1">IFERROR(__xludf.DUMMYFUNCTION("""COMPUTED_VALUE"""),"Teen")</f>
        <v>Teen</v>
      </c>
      <c r="C717" s="1" t="str">
        <f ca="1">IFERROR(__xludf.DUMMYFUNCTION("""COMPUTED_VALUE"""),"Male")</f>
        <v>Male</v>
      </c>
      <c r="D717" s="1"/>
      <c r="E717" s="1"/>
      <c r="F717" s="1" t="str">
        <f ca="1">IFERROR(__xludf.DUMMYFUNCTION("""COMPUTED_VALUE"""),"Fled/Apprehended")</f>
        <v>Fled/Apprehended</v>
      </c>
      <c r="G717" s="1" t="str">
        <f ca="1">IFERROR(__xludf.DUMMYFUNCTION("""COMPUTED_VALUE"""),"No")</f>
        <v>No</v>
      </c>
      <c r="H717" s="1" t="str">
        <f ca="1">IFERROR(__xludf.DUMMYFUNCTION("""COMPUTED_VALUE"""),"None")</f>
        <v>None</v>
      </c>
    </row>
    <row r="718" spans="1:8" ht="12.5">
      <c r="A718" s="1" t="str">
        <f ca="1">IFERROR(__xludf.DUMMYFUNCTION("""COMPUTED_VALUE"""),"20220422DCEDW")</f>
        <v>20220422DCEDW</v>
      </c>
      <c r="B718" s="1">
        <f ca="1">IFERROR(__xludf.DUMMYFUNCTION("""COMPUTED_VALUE"""),23)</f>
        <v>23</v>
      </c>
      <c r="C718" s="1" t="str">
        <f ca="1">IFERROR(__xludf.DUMMYFUNCTION("""COMPUTED_VALUE"""),"Male")</f>
        <v>Male</v>
      </c>
      <c r="D718" s="1"/>
      <c r="E718" s="1" t="str">
        <f ca="1">IFERROR(__xludf.DUMMYFUNCTION("""COMPUTED_VALUE"""),"No Relation")</f>
        <v>No Relation</v>
      </c>
      <c r="F718" s="1" t="str">
        <f ca="1">IFERROR(__xludf.DUMMYFUNCTION("""COMPUTED_VALUE"""),"Suicide")</f>
        <v>Suicide</v>
      </c>
      <c r="G718" s="1" t="str">
        <f ca="1">IFERROR(__xludf.DUMMYFUNCTION("""COMPUTED_VALUE"""),"Yes")</f>
        <v>Yes</v>
      </c>
      <c r="H718" s="1" t="str">
        <f ca="1">IFERROR(__xludf.DUMMYFUNCTION("""COMPUTED_VALUE"""),"Suicide")</f>
        <v>Suicide</v>
      </c>
    </row>
    <row r="719" spans="1:8" ht="12.5">
      <c r="A719" s="1" t="str">
        <f ca="1">IFERROR(__xludf.DUMMYFUNCTION("""COMPUTED_VALUE"""),"20220422CAMOR")</f>
        <v>20220422CAMOR</v>
      </c>
      <c r="B719" s="1"/>
      <c r="C719" s="1"/>
      <c r="D719" s="1"/>
      <c r="E719" s="1"/>
      <c r="F719" s="1" t="str">
        <f ca="1">IFERROR(__xludf.DUMMYFUNCTION("""COMPUTED_VALUE"""),"Fled/Escaped")</f>
        <v>Fled/Escaped</v>
      </c>
      <c r="G719" s="1" t="str">
        <f ca="1">IFERROR(__xludf.DUMMYFUNCTION("""COMPUTED_VALUE"""),"No")</f>
        <v>No</v>
      </c>
      <c r="H719" s="1" t="str">
        <f ca="1">IFERROR(__xludf.DUMMYFUNCTION("""COMPUTED_VALUE"""),"None")</f>
        <v>None</v>
      </c>
    </row>
    <row r="720" spans="1:8" ht="12.5">
      <c r="A720" s="1" t="str">
        <f ca="1">IFERROR(__xludf.DUMMYFUNCTION("""COMPUTED_VALUE"""),"20220421NDMOM")</f>
        <v>20220421NDMOM</v>
      </c>
      <c r="B720" s="1"/>
      <c r="C720" s="1"/>
      <c r="D720" s="1"/>
      <c r="E720" s="1" t="str">
        <f ca="1">IFERROR(__xludf.DUMMYFUNCTION("""COMPUTED_VALUE"""),"Police Officer/SRO")</f>
        <v>Police Officer/SRO</v>
      </c>
      <c r="F720" s="1" t="str">
        <f ca="1">IFERROR(__xludf.DUMMYFUNCTION("""COMPUTED_VALUE"""),"Law Enforcement")</f>
        <v>Law Enforcement</v>
      </c>
      <c r="G720" s="1" t="str">
        <f ca="1">IFERROR(__xludf.DUMMYFUNCTION("""COMPUTED_VALUE"""),"No")</f>
        <v>No</v>
      </c>
      <c r="H720" s="1" t="str">
        <f ca="1">IFERROR(__xludf.DUMMYFUNCTION("""COMPUTED_VALUE"""),"None")</f>
        <v>None</v>
      </c>
    </row>
    <row r="721" spans="1:8" ht="12.5">
      <c r="A721" s="1" t="str">
        <f ca="1">IFERROR(__xludf.DUMMYFUNCTION("""COMPUTED_VALUE"""),"20220416IAMED")</f>
        <v>20220416IAMED</v>
      </c>
      <c r="B721" s="1" t="str">
        <f ca="1">IFERROR(__xludf.DUMMYFUNCTION("""COMPUTED_VALUE"""),"Adult")</f>
        <v>Adult</v>
      </c>
      <c r="C721" s="1"/>
      <c r="D721" s="1"/>
      <c r="E721" s="1"/>
      <c r="F721" s="1" t="str">
        <f ca="1">IFERROR(__xludf.DUMMYFUNCTION("""COMPUTED_VALUE"""),"Fled/Escaped")</f>
        <v>Fled/Escaped</v>
      </c>
      <c r="G721" s="1" t="str">
        <f ca="1">IFERROR(__xludf.DUMMYFUNCTION("""COMPUTED_VALUE"""),"No")</f>
        <v>No</v>
      </c>
      <c r="H721" s="1" t="str">
        <f ca="1">IFERROR(__xludf.DUMMYFUNCTION("""COMPUTED_VALUE"""),"None")</f>
        <v>None</v>
      </c>
    </row>
    <row r="722" spans="1:8" ht="12.5">
      <c r="A722" s="1" t="str">
        <f ca="1">IFERROR(__xludf.DUMMYFUNCTION("""COMPUTED_VALUE"""),"20220415VAGAW")</f>
        <v>20220415VAGAW</v>
      </c>
      <c r="B722" s="1">
        <f ca="1">IFERROR(__xludf.DUMMYFUNCTION("""COMPUTED_VALUE"""),16)</f>
        <v>16</v>
      </c>
      <c r="C722" s="1" t="str">
        <f ca="1">IFERROR(__xludf.DUMMYFUNCTION("""COMPUTED_VALUE"""),"Male")</f>
        <v>Male</v>
      </c>
      <c r="D722" s="1"/>
      <c r="E722" s="1" t="str">
        <f ca="1">IFERROR(__xludf.DUMMYFUNCTION("""COMPUTED_VALUE"""),"Student")</f>
        <v>Student</v>
      </c>
      <c r="F722" s="1" t="str">
        <f ca="1">IFERROR(__xludf.DUMMYFUNCTION("""COMPUTED_VALUE"""),"Fled/Apprehended")</f>
        <v>Fled/Apprehended</v>
      </c>
      <c r="G722" s="1" t="str">
        <f ca="1">IFERROR(__xludf.DUMMYFUNCTION("""COMPUTED_VALUE"""),"No")</f>
        <v>No</v>
      </c>
      <c r="H722" s="1" t="str">
        <f ca="1">IFERROR(__xludf.DUMMYFUNCTION("""COMPUTED_VALUE"""),"None")</f>
        <v>None</v>
      </c>
    </row>
    <row r="723" spans="1:8" ht="12.5">
      <c r="A723" s="1" t="str">
        <f ca="1">IFERROR(__xludf.DUMMYFUNCTION("""COMPUTED_VALUE"""),"20220414MSNEP")</f>
        <v>20220414MSNEP</v>
      </c>
      <c r="B723" s="1" t="str">
        <f ca="1">IFERROR(__xludf.DUMMYFUNCTION("""COMPUTED_VALUE"""),"Teen")</f>
        <v>Teen</v>
      </c>
      <c r="C723" s="1" t="str">
        <f ca="1">IFERROR(__xludf.DUMMYFUNCTION("""COMPUTED_VALUE"""),"Male")</f>
        <v>Male</v>
      </c>
      <c r="D723" s="1"/>
      <c r="E723" s="1" t="str">
        <f ca="1">IFERROR(__xludf.DUMMYFUNCTION("""COMPUTED_VALUE"""),"Rival School Student")</f>
        <v>Rival School Student</v>
      </c>
      <c r="F723" s="1" t="str">
        <f ca="1">IFERROR(__xludf.DUMMYFUNCTION("""COMPUTED_VALUE"""),"Fled/Apprehended")</f>
        <v>Fled/Apprehended</v>
      </c>
      <c r="G723" s="1" t="str">
        <f ca="1">IFERROR(__xludf.DUMMYFUNCTION("""COMPUTED_VALUE"""),"No")</f>
        <v>No</v>
      </c>
      <c r="H723" s="1" t="str">
        <f ca="1">IFERROR(__xludf.DUMMYFUNCTION("""COMPUTED_VALUE"""),"None")</f>
        <v>None</v>
      </c>
    </row>
    <row r="724" spans="1:8" ht="12.5">
      <c r="A724" s="1" t="str">
        <f ca="1">IFERROR(__xludf.DUMMYFUNCTION("""COMPUTED_VALUE"""),"20220414MSNEP")</f>
        <v>20220414MSNEP</v>
      </c>
      <c r="B724" s="1" t="str">
        <f ca="1">IFERROR(__xludf.DUMMYFUNCTION("""COMPUTED_VALUE"""),"Teen")</f>
        <v>Teen</v>
      </c>
      <c r="C724" s="1" t="str">
        <f ca="1">IFERROR(__xludf.DUMMYFUNCTION("""COMPUTED_VALUE"""),"Male")</f>
        <v>Male</v>
      </c>
      <c r="D724" s="1"/>
      <c r="E724" s="1" t="str">
        <f ca="1">IFERROR(__xludf.DUMMYFUNCTION("""COMPUTED_VALUE"""),"Rival School Student")</f>
        <v>Rival School Student</v>
      </c>
      <c r="F724" s="1" t="str">
        <f ca="1">IFERROR(__xludf.DUMMYFUNCTION("""COMPUTED_VALUE"""),"Fled/Apprehended")</f>
        <v>Fled/Apprehended</v>
      </c>
      <c r="G724" s="1" t="str">
        <f ca="1">IFERROR(__xludf.DUMMYFUNCTION("""COMPUTED_VALUE"""),"No")</f>
        <v>No</v>
      </c>
      <c r="H724" s="1" t="str">
        <f ca="1">IFERROR(__xludf.DUMMYFUNCTION("""COMPUTED_VALUE"""),"None")</f>
        <v>None</v>
      </c>
    </row>
    <row r="725" spans="1:8" ht="12.5">
      <c r="A725" s="1" t="str">
        <f ca="1">IFERROR(__xludf.DUMMYFUNCTION("""COMPUTED_VALUE"""),"20220414MSNEP")</f>
        <v>20220414MSNEP</v>
      </c>
      <c r="B725" s="1" t="str">
        <f ca="1">IFERROR(__xludf.DUMMYFUNCTION("""COMPUTED_VALUE"""),"Teen")</f>
        <v>Teen</v>
      </c>
      <c r="C725" s="1" t="str">
        <f ca="1">IFERROR(__xludf.DUMMYFUNCTION("""COMPUTED_VALUE"""),"Male")</f>
        <v>Male</v>
      </c>
      <c r="D725" s="1"/>
      <c r="E725" s="1" t="str">
        <f ca="1">IFERROR(__xludf.DUMMYFUNCTION("""COMPUTED_VALUE"""),"Rival School Student")</f>
        <v>Rival School Student</v>
      </c>
      <c r="F725" s="1" t="str">
        <f ca="1">IFERROR(__xludf.DUMMYFUNCTION("""COMPUTED_VALUE"""),"Fled/Apprehended")</f>
        <v>Fled/Apprehended</v>
      </c>
      <c r="G725" s="1" t="str">
        <f ca="1">IFERROR(__xludf.DUMMYFUNCTION("""COMPUTED_VALUE"""),"No")</f>
        <v>No</v>
      </c>
      <c r="H725" s="1" t="str">
        <f ca="1">IFERROR(__xludf.DUMMYFUNCTION("""COMPUTED_VALUE"""),"None")</f>
        <v>None</v>
      </c>
    </row>
    <row r="726" spans="1:8" ht="12.5">
      <c r="A726" s="1" t="str">
        <f ca="1">IFERROR(__xludf.DUMMYFUNCTION("""COMPUTED_VALUE"""),"20220413MISHS")</f>
        <v>20220413MISHS</v>
      </c>
      <c r="B726" s="1">
        <f ca="1">IFERROR(__xludf.DUMMYFUNCTION("""COMPUTED_VALUE"""),11)</f>
        <v>11</v>
      </c>
      <c r="C726" s="1" t="str">
        <f ca="1">IFERROR(__xludf.DUMMYFUNCTION("""COMPUTED_VALUE"""),"Male")</f>
        <v>Male</v>
      </c>
      <c r="D726" s="1"/>
      <c r="E726" s="1" t="str">
        <f ca="1">IFERROR(__xludf.DUMMYFUNCTION("""COMPUTED_VALUE"""),"Student")</f>
        <v>Student</v>
      </c>
      <c r="F726" s="1" t="str">
        <f ca="1">IFERROR(__xludf.DUMMYFUNCTION("""COMPUTED_VALUE"""),"Apprehended/Killed by SRO")</f>
        <v>Apprehended/Killed by SRO</v>
      </c>
      <c r="G726" s="1" t="str">
        <f ca="1">IFERROR(__xludf.DUMMYFUNCTION("""COMPUTED_VALUE"""),"No")</f>
        <v>No</v>
      </c>
      <c r="H726" s="1" t="str">
        <f ca="1">IFERROR(__xludf.DUMMYFUNCTION("""COMPUTED_VALUE"""),"None")</f>
        <v>None</v>
      </c>
    </row>
    <row r="727" spans="1:8" ht="12.5">
      <c r="A727" s="1" t="str">
        <f ca="1">IFERROR(__xludf.DUMMYFUNCTION("""COMPUTED_VALUE"""),"20220411ARPIP")</f>
        <v>20220411ARPIP</v>
      </c>
      <c r="B727" s="1" t="str">
        <f ca="1">IFERROR(__xludf.DUMMYFUNCTION("""COMPUTED_VALUE"""),"Teen")</f>
        <v>Teen</v>
      </c>
      <c r="C727" s="1" t="str">
        <f ca="1">IFERROR(__xludf.DUMMYFUNCTION("""COMPUTED_VALUE"""),"Male")</f>
        <v>Male</v>
      </c>
      <c r="D727" s="1"/>
      <c r="E727" s="1"/>
      <c r="F727" s="1" t="str">
        <f ca="1">IFERROR(__xludf.DUMMYFUNCTION("""COMPUTED_VALUE"""),"Apprehended/Killed by SRO")</f>
        <v>Apprehended/Killed by SRO</v>
      </c>
      <c r="G727" s="1" t="str">
        <f ca="1">IFERROR(__xludf.DUMMYFUNCTION("""COMPUTED_VALUE"""),"No")</f>
        <v>No</v>
      </c>
      <c r="H727" s="1" t="str">
        <f ca="1">IFERROR(__xludf.DUMMYFUNCTION("""COMPUTED_VALUE"""),"None")</f>
        <v>None</v>
      </c>
    </row>
    <row r="728" spans="1:8" ht="12.5">
      <c r="A728" s="1" t="str">
        <f ca="1">IFERROR(__xludf.DUMMYFUNCTION("""COMPUTED_VALUE"""),"20220410MALYL")</f>
        <v>20220410MALYL</v>
      </c>
      <c r="B728" s="1"/>
      <c r="C728" s="1"/>
      <c r="D728" s="1"/>
      <c r="E728" s="1" t="str">
        <f ca="1">IFERROR(__xludf.DUMMYFUNCTION("""COMPUTED_VALUE"""),"No Relation")</f>
        <v>No Relation</v>
      </c>
      <c r="F728" s="1" t="str">
        <f ca="1">IFERROR(__xludf.DUMMYFUNCTION("""COMPUTED_VALUE"""),"Fled/Escaped")</f>
        <v>Fled/Escaped</v>
      </c>
      <c r="G728" s="1" t="str">
        <f ca="1">IFERROR(__xludf.DUMMYFUNCTION("""COMPUTED_VALUE"""),"No")</f>
        <v>No</v>
      </c>
      <c r="H728" s="1" t="str">
        <f ca="1">IFERROR(__xludf.DUMMYFUNCTION("""COMPUTED_VALUE"""),"None")</f>
        <v>None</v>
      </c>
    </row>
    <row r="729" spans="1:8" ht="12.5">
      <c r="A729" s="1" t="str">
        <f ca="1">IFERROR(__xludf.DUMMYFUNCTION("""COMPUTED_VALUE"""),"20220406WVRIR")</f>
        <v>20220406WVRIR</v>
      </c>
      <c r="B729" s="1">
        <f ca="1">IFERROR(__xludf.DUMMYFUNCTION("""COMPUTED_VALUE"""),15)</f>
        <v>15</v>
      </c>
      <c r="C729" s="1" t="str">
        <f ca="1">IFERROR(__xludf.DUMMYFUNCTION("""COMPUTED_VALUE"""),"Male")</f>
        <v>Male</v>
      </c>
      <c r="D729" s="1"/>
      <c r="E729" s="1" t="str">
        <f ca="1">IFERROR(__xludf.DUMMYFUNCTION("""COMPUTED_VALUE"""),"Student")</f>
        <v>Student</v>
      </c>
      <c r="F729" s="1" t="str">
        <f ca="1">IFERROR(__xludf.DUMMYFUNCTION("""COMPUTED_VALUE"""),"Subdued by Students/Staff/Other")</f>
        <v>Subdued by Students/Staff/Other</v>
      </c>
      <c r="G729" s="1" t="str">
        <f ca="1">IFERROR(__xludf.DUMMYFUNCTION("""COMPUTED_VALUE"""),"No")</f>
        <v>No</v>
      </c>
      <c r="H729" s="1" t="str">
        <f ca="1">IFERROR(__xludf.DUMMYFUNCTION("""COMPUTED_VALUE"""),"None")</f>
        <v>None</v>
      </c>
    </row>
    <row r="730" spans="1:8" ht="12.5">
      <c r="A730" s="1" t="str">
        <f ca="1">IFERROR(__xludf.DUMMYFUNCTION("""COMPUTED_VALUE"""),"20220406WASTM")</f>
        <v>20220406WASTM</v>
      </c>
      <c r="B730" s="1"/>
      <c r="C730" s="1"/>
      <c r="D730" s="1"/>
      <c r="E730" s="1" t="str">
        <f ca="1">IFERROR(__xludf.DUMMYFUNCTION("""COMPUTED_VALUE"""),"No Relation")</f>
        <v>No Relation</v>
      </c>
      <c r="F730" s="1" t="str">
        <f ca="1">IFERROR(__xludf.DUMMYFUNCTION("""COMPUTED_VALUE"""),"Fled/Escaped")</f>
        <v>Fled/Escaped</v>
      </c>
      <c r="G730" s="1" t="str">
        <f ca="1">IFERROR(__xludf.DUMMYFUNCTION("""COMPUTED_VALUE"""),"No")</f>
        <v>No</v>
      </c>
      <c r="H730" s="1" t="str">
        <f ca="1">IFERROR(__xludf.DUMMYFUNCTION("""COMPUTED_VALUE"""),"None")</f>
        <v>None</v>
      </c>
    </row>
    <row r="731" spans="1:8" ht="12.5">
      <c r="A731" s="1" t="str">
        <f ca="1">IFERROR(__xludf.DUMMYFUNCTION("""COMPUTED_VALUE"""),"20220406ORROP")</f>
        <v>20220406ORROP</v>
      </c>
      <c r="B731" s="1"/>
      <c r="C731" s="1"/>
      <c r="D731" s="1"/>
      <c r="E731" s="1"/>
      <c r="F731" s="1" t="str">
        <f ca="1">IFERROR(__xludf.DUMMYFUNCTION("""COMPUTED_VALUE"""),"Fled/Escaped")</f>
        <v>Fled/Escaped</v>
      </c>
      <c r="G731" s="1" t="str">
        <f ca="1">IFERROR(__xludf.DUMMYFUNCTION("""COMPUTED_VALUE"""),"No")</f>
        <v>No</v>
      </c>
      <c r="H731" s="1" t="str">
        <f ca="1">IFERROR(__xludf.DUMMYFUNCTION("""COMPUTED_VALUE"""),"None")</f>
        <v>None</v>
      </c>
    </row>
    <row r="732" spans="1:8" ht="12.5">
      <c r="A732" s="1" t="str">
        <f ca="1">IFERROR(__xludf.DUMMYFUNCTION("""COMPUTED_VALUE"""),"20220405PAERE")</f>
        <v>20220405PAERE</v>
      </c>
      <c r="B732" s="1" t="str">
        <f ca="1">IFERROR(__xludf.DUMMYFUNCTION("""COMPUTED_VALUE"""),"Minor")</f>
        <v>Minor</v>
      </c>
      <c r="C732" s="1" t="str">
        <f ca="1">IFERROR(__xludf.DUMMYFUNCTION("""COMPUTED_VALUE"""),"Male")</f>
        <v>Male</v>
      </c>
      <c r="D732" s="1"/>
      <c r="E732" s="1" t="str">
        <f ca="1">IFERROR(__xludf.DUMMYFUNCTION("""COMPUTED_VALUE"""),"Student")</f>
        <v>Student</v>
      </c>
      <c r="F732" s="1" t="str">
        <f ca="1">IFERROR(__xludf.DUMMYFUNCTION("""COMPUTED_VALUE"""),"Fled/Apprehended")</f>
        <v>Fled/Apprehended</v>
      </c>
      <c r="G732" s="1" t="str">
        <f ca="1">IFERROR(__xludf.DUMMYFUNCTION("""COMPUTED_VALUE"""),"No")</f>
        <v>No</v>
      </c>
      <c r="H732" s="1" t="str">
        <f ca="1">IFERROR(__xludf.DUMMYFUNCTION("""COMPUTED_VALUE"""),"None")</f>
        <v>None</v>
      </c>
    </row>
    <row r="733" spans="1:8" ht="12.5">
      <c r="A733" s="1" t="str">
        <f ca="1">IFERROR(__xludf.DUMMYFUNCTION("""COMPUTED_VALUE"""),"20220403INBLB")</f>
        <v>20220403INBLB</v>
      </c>
      <c r="B733" s="1">
        <f ca="1">IFERROR(__xludf.DUMMYFUNCTION("""COMPUTED_VALUE"""),18)</f>
        <v>18</v>
      </c>
      <c r="C733" s="1" t="str">
        <f ca="1">IFERROR(__xludf.DUMMYFUNCTION("""COMPUTED_VALUE"""),"Male")</f>
        <v>Male</v>
      </c>
      <c r="D733" s="1"/>
      <c r="E733" s="1"/>
      <c r="F733" s="1" t="str">
        <f ca="1">IFERROR(__xludf.DUMMYFUNCTION("""COMPUTED_VALUE"""),"Fled/Apprehended")</f>
        <v>Fled/Apprehended</v>
      </c>
      <c r="G733" s="1" t="str">
        <f ca="1">IFERROR(__xludf.DUMMYFUNCTION("""COMPUTED_VALUE"""),"No")</f>
        <v>No</v>
      </c>
      <c r="H733" s="1" t="str">
        <f ca="1">IFERROR(__xludf.DUMMYFUNCTION("""COMPUTED_VALUE"""),"None")</f>
        <v>None</v>
      </c>
    </row>
    <row r="734" spans="1:8" ht="12.5">
      <c r="A734" s="1" t="str">
        <f ca="1">IFERROR(__xludf.DUMMYFUNCTION("""COMPUTED_VALUE"""),"20220403INBLB")</f>
        <v>20220403INBLB</v>
      </c>
      <c r="B734" s="1">
        <f ca="1">IFERROR(__xludf.DUMMYFUNCTION("""COMPUTED_VALUE"""),15)</f>
        <v>15</v>
      </c>
      <c r="C734" s="1"/>
      <c r="D734" s="1"/>
      <c r="E734" s="1"/>
      <c r="F734" s="1" t="str">
        <f ca="1">IFERROR(__xludf.DUMMYFUNCTION("""COMPUTED_VALUE"""),"Fled/Apprehended")</f>
        <v>Fled/Apprehended</v>
      </c>
      <c r="G734" s="1" t="str">
        <f ca="1">IFERROR(__xludf.DUMMYFUNCTION("""COMPUTED_VALUE"""),"No")</f>
        <v>No</v>
      </c>
      <c r="H734" s="1" t="str">
        <f ca="1">IFERROR(__xludf.DUMMYFUNCTION("""COMPUTED_VALUE"""),"None")</f>
        <v>None</v>
      </c>
    </row>
    <row r="735" spans="1:8" ht="12.5">
      <c r="A735" s="1" t="str">
        <f ca="1">IFERROR(__xludf.DUMMYFUNCTION("""COMPUTED_VALUE"""),"20220331SCTAG")</f>
        <v>20220331SCTAG</v>
      </c>
      <c r="B735" s="1">
        <f ca="1">IFERROR(__xludf.DUMMYFUNCTION("""COMPUTED_VALUE"""),12)</f>
        <v>12</v>
      </c>
      <c r="C735" s="1" t="str">
        <f ca="1">IFERROR(__xludf.DUMMYFUNCTION("""COMPUTED_VALUE"""),"Male")</f>
        <v>Male</v>
      </c>
      <c r="D735" s="1"/>
      <c r="E735" s="1" t="str">
        <f ca="1">IFERROR(__xludf.DUMMYFUNCTION("""COMPUTED_VALUE"""),"Student")</f>
        <v>Student</v>
      </c>
      <c r="F735" s="1" t="str">
        <f ca="1">IFERROR(__xludf.DUMMYFUNCTION("""COMPUTED_VALUE"""),"Fled/Apprehended")</f>
        <v>Fled/Apprehended</v>
      </c>
      <c r="G735" s="1" t="str">
        <f ca="1">IFERROR(__xludf.DUMMYFUNCTION("""COMPUTED_VALUE"""),"No")</f>
        <v>No</v>
      </c>
      <c r="H735" s="1" t="str">
        <f ca="1">IFERROR(__xludf.DUMMYFUNCTION("""COMPUTED_VALUE"""),"None")</f>
        <v>None</v>
      </c>
    </row>
    <row r="736" spans="1:8" ht="12.5">
      <c r="A736" s="1" t="str">
        <f ca="1">IFERROR(__xludf.DUMMYFUNCTION("""COMPUTED_VALUE"""),"20220331PAACP")</f>
        <v>20220331PAACP</v>
      </c>
      <c r="B736" s="1">
        <f ca="1">IFERROR(__xludf.DUMMYFUNCTION("""COMPUTED_VALUE"""),8)</f>
        <v>8</v>
      </c>
      <c r="C736" s="1" t="str">
        <f ca="1">IFERROR(__xludf.DUMMYFUNCTION("""COMPUTED_VALUE"""),"Male")</f>
        <v>Male</v>
      </c>
      <c r="D736" s="1"/>
      <c r="E736" s="1" t="str">
        <f ca="1">IFERROR(__xludf.DUMMYFUNCTION("""COMPUTED_VALUE"""),"Student")</f>
        <v>Student</v>
      </c>
      <c r="F736" s="1" t="str">
        <f ca="1">IFERROR(__xludf.DUMMYFUNCTION("""COMPUTED_VALUE"""),"Subdued by Students/Staff/Other")</f>
        <v>Subdued by Students/Staff/Other</v>
      </c>
      <c r="G736" s="1" t="str">
        <f ca="1">IFERROR(__xludf.DUMMYFUNCTION("""COMPUTED_VALUE"""),"No")</f>
        <v>No</v>
      </c>
      <c r="H736" s="1" t="str">
        <f ca="1">IFERROR(__xludf.DUMMYFUNCTION("""COMPUTED_VALUE"""),"None")</f>
        <v>None</v>
      </c>
    </row>
    <row r="737" spans="1:8" ht="12.5">
      <c r="A737" s="1" t="str">
        <f ca="1">IFERROR(__xludf.DUMMYFUNCTION("""COMPUTED_VALUE"""),"20220330GABOA")</f>
        <v>20220330GABOA</v>
      </c>
      <c r="B737" s="1">
        <f ca="1">IFERROR(__xludf.DUMMYFUNCTION("""COMPUTED_VALUE"""),31)</f>
        <v>31</v>
      </c>
      <c r="C737" s="1" t="str">
        <f ca="1">IFERROR(__xludf.DUMMYFUNCTION("""COMPUTED_VALUE"""),"Female")</f>
        <v>Female</v>
      </c>
      <c r="D737" s="1" t="str">
        <f ca="1">IFERROR(__xludf.DUMMYFUNCTION("""COMPUTED_VALUE"""),"Black")</f>
        <v>Black</v>
      </c>
      <c r="E737" s="1" t="str">
        <f ca="1">IFERROR(__xludf.DUMMYFUNCTION("""COMPUTED_VALUE"""),"Parent")</f>
        <v>Parent</v>
      </c>
      <c r="F737" s="1" t="str">
        <f ca="1">IFERROR(__xludf.DUMMYFUNCTION("""COMPUTED_VALUE"""),"Apprehended/Killed by SRO")</f>
        <v>Apprehended/Killed by SRO</v>
      </c>
      <c r="G737" s="1" t="str">
        <f ca="1">IFERROR(__xludf.DUMMYFUNCTION("""COMPUTED_VALUE"""),"No")</f>
        <v>No</v>
      </c>
      <c r="H737" s="1" t="str">
        <f ca="1">IFERROR(__xludf.DUMMYFUNCTION("""COMPUTED_VALUE"""),"Wounded")</f>
        <v>Wounded</v>
      </c>
    </row>
    <row r="738" spans="1:8" ht="12.5">
      <c r="A738" s="1" t="str">
        <f ca="1">IFERROR(__xludf.DUMMYFUNCTION("""COMPUTED_VALUE"""),"20220330AZKIK")</f>
        <v>20220330AZKIK</v>
      </c>
      <c r="B738" s="1">
        <f ca="1">IFERROR(__xludf.DUMMYFUNCTION("""COMPUTED_VALUE"""),14)</f>
        <v>14</v>
      </c>
      <c r="C738" s="1" t="str">
        <f ca="1">IFERROR(__xludf.DUMMYFUNCTION("""COMPUTED_VALUE"""),"Male")</f>
        <v>Male</v>
      </c>
      <c r="D738" s="1"/>
      <c r="E738" s="1" t="str">
        <f ca="1">IFERROR(__xludf.DUMMYFUNCTION("""COMPUTED_VALUE"""),"Student")</f>
        <v>Student</v>
      </c>
      <c r="F738" s="1" t="str">
        <f ca="1">IFERROR(__xludf.DUMMYFUNCTION("""COMPUTED_VALUE"""),"Fled/Apprehended")</f>
        <v>Fled/Apprehended</v>
      </c>
      <c r="G738" s="1" t="str">
        <f ca="1">IFERROR(__xludf.DUMMYFUNCTION("""COMPUTED_VALUE"""),"No")</f>
        <v>No</v>
      </c>
      <c r="H738" s="1" t="str">
        <f ca="1">IFERROR(__xludf.DUMMYFUNCTION("""COMPUTED_VALUE"""),"None")</f>
        <v>None</v>
      </c>
    </row>
    <row r="739" spans="1:8" ht="12.5">
      <c r="A739" s="1" t="str">
        <f ca="1">IFERROR(__xludf.DUMMYFUNCTION("""COMPUTED_VALUE"""),"20220329VALUR")</f>
        <v>20220329VALUR</v>
      </c>
      <c r="B739" s="1" t="str">
        <f ca="1">IFERROR(__xludf.DUMMYFUNCTION("""COMPUTED_VALUE"""),"Teen")</f>
        <v>Teen</v>
      </c>
      <c r="C739" s="1"/>
      <c r="D739" s="1"/>
      <c r="E739" s="1" t="str">
        <f ca="1">IFERROR(__xludf.DUMMYFUNCTION("""COMPUTED_VALUE"""),"Student")</f>
        <v>Student</v>
      </c>
      <c r="F739" s="1" t="str">
        <f ca="1">IFERROR(__xludf.DUMMYFUNCTION("""COMPUTED_VALUE"""),"Apprehended/Killed by SRO")</f>
        <v>Apprehended/Killed by SRO</v>
      </c>
      <c r="G739" s="1" t="str">
        <f ca="1">IFERROR(__xludf.DUMMYFUNCTION("""COMPUTED_VALUE"""),"No")</f>
        <v>No</v>
      </c>
      <c r="H739" s="1" t="str">
        <f ca="1">IFERROR(__xludf.DUMMYFUNCTION("""COMPUTED_VALUE"""),"None")</f>
        <v>None</v>
      </c>
    </row>
    <row r="740" spans="1:8" ht="12.5">
      <c r="A740" s="1" t="str">
        <f ca="1">IFERROR(__xludf.DUMMYFUNCTION("""COMPUTED_VALUE"""),"20220329NVWEL")</f>
        <v>20220329NVWEL</v>
      </c>
      <c r="B740" s="1" t="str">
        <f ca="1">IFERROR(__xludf.DUMMYFUNCTION("""COMPUTED_VALUE"""),"Adult")</f>
        <v>Adult</v>
      </c>
      <c r="C740" s="1"/>
      <c r="D740" s="1"/>
      <c r="E740" s="1" t="str">
        <f ca="1">IFERROR(__xludf.DUMMYFUNCTION("""COMPUTED_VALUE"""),"Police Officer/SRO")</f>
        <v>Police Officer/SRO</v>
      </c>
      <c r="F740" s="1"/>
      <c r="G740" s="1" t="str">
        <f ca="1">IFERROR(__xludf.DUMMYFUNCTION("""COMPUTED_VALUE"""),"No")</f>
        <v>No</v>
      </c>
      <c r="H740" s="1" t="str">
        <f ca="1">IFERROR(__xludf.DUMMYFUNCTION("""COMPUTED_VALUE"""),"None")</f>
        <v>None</v>
      </c>
    </row>
    <row r="741" spans="1:8" ht="12.5">
      <c r="A741" s="1" t="str">
        <f ca="1">IFERROR(__xludf.DUMMYFUNCTION("""COMPUTED_VALUE"""),"20220328TXNOF")</f>
        <v>20220328TXNOF</v>
      </c>
      <c r="B741" s="1"/>
      <c r="C741" s="1"/>
      <c r="D741" s="1"/>
      <c r="E741" s="1"/>
      <c r="F741" s="1" t="str">
        <f ca="1">IFERROR(__xludf.DUMMYFUNCTION("""COMPUTED_VALUE"""),"Fled/Escaped")</f>
        <v>Fled/Escaped</v>
      </c>
      <c r="G741" s="1" t="str">
        <f ca="1">IFERROR(__xludf.DUMMYFUNCTION("""COMPUTED_VALUE"""),"No")</f>
        <v>No</v>
      </c>
      <c r="H741" s="1" t="str">
        <f ca="1">IFERROR(__xludf.DUMMYFUNCTION("""COMPUTED_VALUE"""),"None")</f>
        <v>None</v>
      </c>
    </row>
    <row r="742" spans="1:8" ht="12.5">
      <c r="A742" s="1" t="str">
        <f ca="1">IFERROR(__xludf.DUMMYFUNCTION("""COMPUTED_VALUE"""),"20220328NCOAC")</f>
        <v>20220328NCOAC</v>
      </c>
      <c r="B742" s="1">
        <f ca="1">IFERROR(__xludf.DUMMYFUNCTION("""COMPUTED_VALUE"""),18)</f>
        <v>18</v>
      </c>
      <c r="C742" s="1" t="str">
        <f ca="1">IFERROR(__xludf.DUMMYFUNCTION("""COMPUTED_VALUE"""),"Male")</f>
        <v>Male</v>
      </c>
      <c r="D742" s="1" t="str">
        <f ca="1">IFERROR(__xludf.DUMMYFUNCTION("""COMPUTED_VALUE"""),"Black")</f>
        <v>Black</v>
      </c>
      <c r="E742" s="1" t="str">
        <f ca="1">IFERROR(__xludf.DUMMYFUNCTION("""COMPUTED_VALUE"""),"No Relation")</f>
        <v>No Relation</v>
      </c>
      <c r="F742" s="1" t="str">
        <f ca="1">IFERROR(__xludf.DUMMYFUNCTION("""COMPUTED_VALUE"""),"Fled/Apprehended")</f>
        <v>Fled/Apprehended</v>
      </c>
      <c r="G742" s="1" t="str">
        <f ca="1">IFERROR(__xludf.DUMMYFUNCTION("""COMPUTED_VALUE"""),"No")</f>
        <v>No</v>
      </c>
      <c r="H742" s="1" t="str">
        <f ca="1">IFERROR(__xludf.DUMMYFUNCTION("""COMPUTED_VALUE"""),"None")</f>
        <v>None</v>
      </c>
    </row>
    <row r="743" spans="1:8" ht="12.5">
      <c r="A743" s="1" t="str">
        <f ca="1">IFERROR(__xludf.DUMMYFUNCTION("""COMPUTED_VALUE"""),"20220325UTHIS")</f>
        <v>20220325UTHIS</v>
      </c>
      <c r="B743" s="1" t="str">
        <f ca="1">IFERROR(__xludf.DUMMYFUNCTION("""COMPUTED_VALUE"""),"Teen")</f>
        <v>Teen</v>
      </c>
      <c r="C743" s="1" t="str">
        <f ca="1">IFERROR(__xludf.DUMMYFUNCTION("""COMPUTED_VALUE"""),"Male")</f>
        <v>Male</v>
      </c>
      <c r="D743" s="1"/>
      <c r="E743" s="1" t="str">
        <f ca="1">IFERROR(__xludf.DUMMYFUNCTION("""COMPUTED_VALUE"""),"Student")</f>
        <v>Student</v>
      </c>
      <c r="F743" s="1" t="str">
        <f ca="1">IFERROR(__xludf.DUMMYFUNCTION("""COMPUTED_VALUE"""),"Fled/Escaped")</f>
        <v>Fled/Escaped</v>
      </c>
      <c r="G743" s="1" t="str">
        <f ca="1">IFERROR(__xludf.DUMMYFUNCTION("""COMPUTED_VALUE"""),"No")</f>
        <v>No</v>
      </c>
      <c r="H743" s="1" t="str">
        <f ca="1">IFERROR(__xludf.DUMMYFUNCTION("""COMPUTED_VALUE"""),"None")</f>
        <v>None</v>
      </c>
    </row>
    <row r="744" spans="1:8" ht="12.5">
      <c r="A744" s="1" t="str">
        <f ca="1">IFERROR(__xludf.DUMMYFUNCTION("""COMPUTED_VALUE"""),"20220325UTHIS")</f>
        <v>20220325UTHIS</v>
      </c>
      <c r="B744" s="1" t="str">
        <f ca="1">IFERROR(__xludf.DUMMYFUNCTION("""COMPUTED_VALUE"""),"Adult")</f>
        <v>Adult</v>
      </c>
      <c r="C744" s="1" t="str">
        <f ca="1">IFERROR(__xludf.DUMMYFUNCTION("""COMPUTED_VALUE"""),"Male")</f>
        <v>Male</v>
      </c>
      <c r="D744" s="1"/>
      <c r="E744" s="1" t="str">
        <f ca="1">IFERROR(__xludf.DUMMYFUNCTION("""COMPUTED_VALUE"""),"No Relation")</f>
        <v>No Relation</v>
      </c>
      <c r="F744" s="1" t="str">
        <f ca="1">IFERROR(__xludf.DUMMYFUNCTION("""COMPUTED_VALUE"""),"Fled/Escaped")</f>
        <v>Fled/Escaped</v>
      </c>
      <c r="G744" s="1" t="str">
        <f ca="1">IFERROR(__xludf.DUMMYFUNCTION("""COMPUTED_VALUE"""),"No")</f>
        <v>No</v>
      </c>
      <c r="H744" s="1" t="str">
        <f ca="1">IFERROR(__xludf.DUMMYFUNCTION("""COMPUTED_VALUE"""),"None")</f>
        <v>None</v>
      </c>
    </row>
    <row r="745" spans="1:8" ht="12.5">
      <c r="A745" s="1" t="str">
        <f ca="1">IFERROR(__xludf.DUMMYFUNCTION("""COMPUTED_VALUE"""),"20220325TXROR")</f>
        <v>20220325TXROR</v>
      </c>
      <c r="B745" s="1" t="str">
        <f ca="1">IFERROR(__xludf.DUMMYFUNCTION("""COMPUTED_VALUE"""),"Teen")</f>
        <v>Teen</v>
      </c>
      <c r="C745" s="1"/>
      <c r="D745" s="1"/>
      <c r="E745" s="1" t="str">
        <f ca="1">IFERROR(__xludf.DUMMYFUNCTION("""COMPUTED_VALUE"""),"Student")</f>
        <v>Student</v>
      </c>
      <c r="F745" s="1" t="str">
        <f ca="1">IFERROR(__xludf.DUMMYFUNCTION("""COMPUTED_VALUE"""),"Apprehended/Killed by LE")</f>
        <v>Apprehended/Killed by LE</v>
      </c>
      <c r="G745" s="1" t="str">
        <f ca="1">IFERROR(__xludf.DUMMYFUNCTION("""COMPUTED_VALUE"""),"No")</f>
        <v>No</v>
      </c>
      <c r="H745" s="1" t="str">
        <f ca="1">IFERROR(__xludf.DUMMYFUNCTION("""COMPUTED_VALUE"""),"None")</f>
        <v>None</v>
      </c>
    </row>
    <row r="746" spans="1:8" ht="12.5">
      <c r="A746" s="1" t="str">
        <f ca="1">IFERROR(__xludf.DUMMYFUNCTION("""COMPUTED_VALUE"""),"20220325TXROR")</f>
        <v>20220325TXROR</v>
      </c>
      <c r="B746" s="1" t="str">
        <f ca="1">IFERROR(__xludf.DUMMYFUNCTION("""COMPUTED_VALUE"""),"Teen")</f>
        <v>Teen</v>
      </c>
      <c r="C746" s="1"/>
      <c r="D746" s="1"/>
      <c r="E746" s="1" t="str">
        <f ca="1">IFERROR(__xludf.DUMMYFUNCTION("""COMPUTED_VALUE"""),"Student")</f>
        <v>Student</v>
      </c>
      <c r="F746" s="1" t="str">
        <f ca="1">IFERROR(__xludf.DUMMYFUNCTION("""COMPUTED_VALUE"""),"Apprehended/Killed by LE")</f>
        <v>Apprehended/Killed by LE</v>
      </c>
      <c r="G746" s="1" t="str">
        <f ca="1">IFERROR(__xludf.DUMMYFUNCTION("""COMPUTED_VALUE"""),"No")</f>
        <v>No</v>
      </c>
      <c r="H746" s="1" t="str">
        <f ca="1">IFERROR(__xludf.DUMMYFUNCTION("""COMPUTED_VALUE"""),"None")</f>
        <v>None</v>
      </c>
    </row>
    <row r="747" spans="1:8" ht="12.5">
      <c r="A747" s="1" t="str">
        <f ca="1">IFERROR(__xludf.DUMMYFUNCTION("""COMPUTED_VALUE"""),"20220325TXROR")</f>
        <v>20220325TXROR</v>
      </c>
      <c r="B747" s="1" t="str">
        <f ca="1">IFERROR(__xludf.DUMMYFUNCTION("""COMPUTED_VALUE"""),"Teen")</f>
        <v>Teen</v>
      </c>
      <c r="C747" s="1"/>
      <c r="D747" s="1"/>
      <c r="E747" s="1" t="str">
        <f ca="1">IFERROR(__xludf.DUMMYFUNCTION("""COMPUTED_VALUE"""),"Student")</f>
        <v>Student</v>
      </c>
      <c r="F747" s="1" t="str">
        <f ca="1">IFERROR(__xludf.DUMMYFUNCTION("""COMPUTED_VALUE"""),"Apprehended/Killed by LE")</f>
        <v>Apprehended/Killed by LE</v>
      </c>
      <c r="G747" s="1" t="str">
        <f ca="1">IFERROR(__xludf.DUMMYFUNCTION("""COMPUTED_VALUE"""),"No")</f>
        <v>No</v>
      </c>
      <c r="H747" s="1" t="str">
        <f ca="1">IFERROR(__xludf.DUMMYFUNCTION("""COMPUTED_VALUE"""),"None")</f>
        <v>None</v>
      </c>
    </row>
    <row r="748" spans="1:8" ht="12.5">
      <c r="A748" s="1" t="str">
        <f ca="1">IFERROR(__xludf.DUMMYFUNCTION("""COMPUTED_VALUE"""),"20220325TXROR")</f>
        <v>20220325TXROR</v>
      </c>
      <c r="B748" s="1" t="str">
        <f ca="1">IFERROR(__xludf.DUMMYFUNCTION("""COMPUTED_VALUE"""),"Teen")</f>
        <v>Teen</v>
      </c>
      <c r="C748" s="1"/>
      <c r="D748" s="1"/>
      <c r="E748" s="1" t="str">
        <f ca="1">IFERROR(__xludf.DUMMYFUNCTION("""COMPUTED_VALUE"""),"Student")</f>
        <v>Student</v>
      </c>
      <c r="F748" s="1" t="str">
        <f ca="1">IFERROR(__xludf.DUMMYFUNCTION("""COMPUTED_VALUE"""),"Apprehended/Killed by LE")</f>
        <v>Apprehended/Killed by LE</v>
      </c>
      <c r="G748" s="1" t="str">
        <f ca="1">IFERROR(__xludf.DUMMYFUNCTION("""COMPUTED_VALUE"""),"No")</f>
        <v>No</v>
      </c>
      <c r="H748" s="1" t="str">
        <f ca="1">IFERROR(__xludf.DUMMYFUNCTION("""COMPUTED_VALUE"""),"None")</f>
        <v>None</v>
      </c>
    </row>
    <row r="749" spans="1:8" ht="12.5">
      <c r="A749" s="1" t="str">
        <f ca="1">IFERROR(__xludf.DUMMYFUNCTION("""COMPUTED_VALUE"""),"20220325TXROR")</f>
        <v>20220325TXROR</v>
      </c>
      <c r="B749" s="1" t="str">
        <f ca="1">IFERROR(__xludf.DUMMYFUNCTION("""COMPUTED_VALUE"""),"Teen")</f>
        <v>Teen</v>
      </c>
      <c r="C749" s="1"/>
      <c r="D749" s="1"/>
      <c r="E749" s="1" t="str">
        <f ca="1">IFERROR(__xludf.DUMMYFUNCTION("""COMPUTED_VALUE"""),"Student")</f>
        <v>Student</v>
      </c>
      <c r="F749" s="1" t="str">
        <f ca="1">IFERROR(__xludf.DUMMYFUNCTION("""COMPUTED_VALUE"""),"Apprehended/Killed by LE")</f>
        <v>Apprehended/Killed by LE</v>
      </c>
      <c r="G749" s="1" t="str">
        <f ca="1">IFERROR(__xludf.DUMMYFUNCTION("""COMPUTED_VALUE"""),"No")</f>
        <v>No</v>
      </c>
      <c r="H749" s="1" t="str">
        <f ca="1">IFERROR(__xludf.DUMMYFUNCTION("""COMPUTED_VALUE"""),"None")</f>
        <v>None</v>
      </c>
    </row>
    <row r="750" spans="1:8" ht="12.5">
      <c r="A750" s="1" t="str">
        <f ca="1">IFERROR(__xludf.DUMMYFUNCTION("""COMPUTED_VALUE"""),"20220325TNBRM")</f>
        <v>20220325TNBRM</v>
      </c>
      <c r="B750" s="1" t="str">
        <f ca="1">IFERROR(__xludf.DUMMYFUNCTION("""COMPUTED_VALUE"""),"Adult")</f>
        <v>Adult</v>
      </c>
      <c r="C750" s="1" t="str">
        <f ca="1">IFERROR(__xludf.DUMMYFUNCTION("""COMPUTED_VALUE"""),"Male")</f>
        <v>Male</v>
      </c>
      <c r="D750" s="1"/>
      <c r="E750" s="1" t="str">
        <f ca="1">IFERROR(__xludf.DUMMYFUNCTION("""COMPUTED_VALUE"""),"No Relation")</f>
        <v>No Relation</v>
      </c>
      <c r="F750" s="1" t="str">
        <f ca="1">IFERROR(__xludf.DUMMYFUNCTION("""COMPUTED_VALUE"""),"Fled/Apprehended")</f>
        <v>Fled/Apprehended</v>
      </c>
      <c r="G750" s="1" t="str">
        <f ca="1">IFERROR(__xludf.DUMMYFUNCTION("""COMPUTED_VALUE"""),"No")</f>
        <v>No</v>
      </c>
      <c r="H750" s="1" t="str">
        <f ca="1">IFERROR(__xludf.DUMMYFUNCTION("""COMPUTED_VALUE"""),"None")</f>
        <v>None</v>
      </c>
    </row>
    <row r="751" spans="1:8" ht="12.5">
      <c r="A751" s="1" t="str">
        <f ca="1">IFERROR(__xludf.DUMMYFUNCTION("""COMPUTED_VALUE"""),"20220324VARIW")</f>
        <v>20220324VARIW</v>
      </c>
      <c r="B751" s="1">
        <f ca="1">IFERROR(__xludf.DUMMYFUNCTION("""COMPUTED_VALUE"""),20)</f>
        <v>20</v>
      </c>
      <c r="C751" s="1" t="str">
        <f ca="1">IFERROR(__xludf.DUMMYFUNCTION("""COMPUTED_VALUE"""),"Male")</f>
        <v>Male</v>
      </c>
      <c r="D751" s="1" t="str">
        <f ca="1">IFERROR(__xludf.DUMMYFUNCTION("""COMPUTED_VALUE"""),"Black")</f>
        <v>Black</v>
      </c>
      <c r="E751" s="1" t="str">
        <f ca="1">IFERROR(__xludf.DUMMYFUNCTION("""COMPUTED_VALUE"""),"No Relation")</f>
        <v>No Relation</v>
      </c>
      <c r="F751" s="1" t="str">
        <f ca="1">IFERROR(__xludf.DUMMYFUNCTION("""COMPUTED_VALUE"""),"Apprehended/Killed by SRO")</f>
        <v>Apprehended/Killed by SRO</v>
      </c>
      <c r="G751" s="1" t="str">
        <f ca="1">IFERROR(__xludf.DUMMYFUNCTION("""COMPUTED_VALUE"""),"No")</f>
        <v>No</v>
      </c>
      <c r="H751" s="1" t="str">
        <f ca="1">IFERROR(__xludf.DUMMYFUNCTION("""COMPUTED_VALUE"""),"None")</f>
        <v>None</v>
      </c>
    </row>
    <row r="752" spans="1:8" ht="12.5">
      <c r="A752" s="1" t="str">
        <f ca="1">IFERROR(__xludf.DUMMYFUNCTION("""COMPUTED_VALUE"""),"20220322VAJAR")</f>
        <v>20220322VAJAR</v>
      </c>
      <c r="B752" s="1" t="str">
        <f ca="1">IFERROR(__xludf.DUMMYFUNCTION("""COMPUTED_VALUE"""),"Adult")</f>
        <v>Adult</v>
      </c>
      <c r="C752" s="1"/>
      <c r="D752" s="1"/>
      <c r="E752" s="1" t="str">
        <f ca="1">IFERROR(__xludf.DUMMYFUNCTION("""COMPUTED_VALUE"""),"No Relation")</f>
        <v>No Relation</v>
      </c>
      <c r="F752" s="1" t="str">
        <f ca="1">IFERROR(__xludf.DUMMYFUNCTION("""COMPUTED_VALUE"""),"Fled/Escaped")</f>
        <v>Fled/Escaped</v>
      </c>
      <c r="G752" s="1" t="str">
        <f ca="1">IFERROR(__xludf.DUMMYFUNCTION("""COMPUTED_VALUE"""),"No")</f>
        <v>No</v>
      </c>
      <c r="H752" s="1" t="str">
        <f ca="1">IFERROR(__xludf.DUMMYFUNCTION("""COMPUTED_VALUE"""),"None")</f>
        <v>None</v>
      </c>
    </row>
    <row r="753" spans="1:8" ht="12.5">
      <c r="A753" s="1" t="str">
        <f ca="1">IFERROR(__xludf.DUMMYFUNCTION("""COMPUTED_VALUE"""),"20220322TXWOD")</f>
        <v>20220322TXWOD</v>
      </c>
      <c r="B753" s="1" t="str">
        <f ca="1">IFERROR(__xludf.DUMMYFUNCTION("""COMPUTED_VALUE"""),"Teen")</f>
        <v>Teen</v>
      </c>
      <c r="C753" s="1"/>
      <c r="D753" s="1"/>
      <c r="E753" s="1" t="str">
        <f ca="1">IFERROR(__xludf.DUMMYFUNCTION("""COMPUTED_VALUE"""),"Student")</f>
        <v>Student</v>
      </c>
      <c r="F753" s="1" t="str">
        <f ca="1">IFERROR(__xludf.DUMMYFUNCTION("""COMPUTED_VALUE"""),"Fled/Escaped")</f>
        <v>Fled/Escaped</v>
      </c>
      <c r="G753" s="1" t="str">
        <f ca="1">IFERROR(__xludf.DUMMYFUNCTION("""COMPUTED_VALUE"""),"No")</f>
        <v>No</v>
      </c>
      <c r="H753" s="1" t="str">
        <f ca="1">IFERROR(__xludf.DUMMYFUNCTION("""COMPUTED_VALUE"""),"None")</f>
        <v>None</v>
      </c>
    </row>
    <row r="754" spans="1:8" ht="12.5">
      <c r="A754" s="1" t="str">
        <f ca="1">IFERROR(__xludf.DUMMYFUNCTION("""COMPUTED_VALUE"""),"20220322FLNEN")</f>
        <v>20220322FLNEN</v>
      </c>
      <c r="B754" s="1">
        <f ca="1">IFERROR(__xludf.DUMMYFUNCTION("""COMPUTED_VALUE"""),17)</f>
        <v>17</v>
      </c>
      <c r="C754" s="1" t="str">
        <f ca="1">IFERROR(__xludf.DUMMYFUNCTION("""COMPUTED_VALUE"""),"Male")</f>
        <v>Male</v>
      </c>
      <c r="D754" s="1" t="str">
        <f ca="1">IFERROR(__xludf.DUMMYFUNCTION("""COMPUTED_VALUE"""),"White")</f>
        <v>White</v>
      </c>
      <c r="E754" s="1" t="str">
        <f ca="1">IFERROR(__xludf.DUMMYFUNCTION("""COMPUTED_VALUE"""),"Student")</f>
        <v>Student</v>
      </c>
      <c r="F754" s="1" t="str">
        <f ca="1">IFERROR(__xludf.DUMMYFUNCTION("""COMPUTED_VALUE"""),"Fled/Apprehended")</f>
        <v>Fled/Apprehended</v>
      </c>
      <c r="G754" s="1" t="str">
        <f ca="1">IFERROR(__xludf.DUMMYFUNCTION("""COMPUTED_VALUE"""),"No")</f>
        <v>No</v>
      </c>
      <c r="H754" s="1" t="str">
        <f ca="1">IFERROR(__xludf.DUMMYFUNCTION("""COMPUTED_VALUE"""),"None")</f>
        <v>None</v>
      </c>
    </row>
    <row r="755" spans="1:8" ht="12.5">
      <c r="A755" s="1" t="str">
        <f ca="1">IFERROR(__xludf.DUMMYFUNCTION("""COMPUTED_VALUE"""),"20220321MSLEP")</f>
        <v>20220321MSLEP</v>
      </c>
      <c r="B755" s="1" t="str">
        <f ca="1">IFERROR(__xludf.DUMMYFUNCTION("""COMPUTED_VALUE"""),"Adult")</f>
        <v>Adult</v>
      </c>
      <c r="C755" s="1" t="str">
        <f ca="1">IFERROR(__xludf.DUMMYFUNCTION("""COMPUTED_VALUE"""),"Male")</f>
        <v>Male</v>
      </c>
      <c r="D755" s="1"/>
      <c r="E755" s="1" t="str">
        <f ca="1">IFERROR(__xludf.DUMMYFUNCTION("""COMPUTED_VALUE"""),"No Relation")</f>
        <v>No Relation</v>
      </c>
      <c r="F755" s="1" t="str">
        <f ca="1">IFERROR(__xludf.DUMMYFUNCTION("""COMPUTED_VALUE"""),"Apprehended/Killed by LE")</f>
        <v>Apprehended/Killed by LE</v>
      </c>
      <c r="G755" s="1" t="str">
        <f ca="1">IFERROR(__xludf.DUMMYFUNCTION("""COMPUTED_VALUE"""),"No")</f>
        <v>No</v>
      </c>
      <c r="H755" s="1" t="str">
        <f ca="1">IFERROR(__xludf.DUMMYFUNCTION("""COMPUTED_VALUE"""),"None")</f>
        <v>None</v>
      </c>
    </row>
    <row r="756" spans="1:8" ht="12.5">
      <c r="A756" s="1" t="str">
        <f ca="1">IFERROR(__xludf.DUMMYFUNCTION("""COMPUTED_VALUE"""),"20220321MIMAK")</f>
        <v>20220321MIMAK</v>
      </c>
      <c r="B756" s="1">
        <f ca="1">IFERROR(__xludf.DUMMYFUNCTION("""COMPUTED_VALUE"""),36)</f>
        <v>36</v>
      </c>
      <c r="C756" s="1" t="str">
        <f ca="1">IFERROR(__xludf.DUMMYFUNCTION("""COMPUTED_VALUE"""),"Female")</f>
        <v>Female</v>
      </c>
      <c r="D756" s="1" t="str">
        <f ca="1">IFERROR(__xludf.DUMMYFUNCTION("""COMPUTED_VALUE"""),"Black")</f>
        <v>Black</v>
      </c>
      <c r="E756" s="1" t="str">
        <f ca="1">IFERROR(__xludf.DUMMYFUNCTION("""COMPUTED_VALUE"""),"Parent")</f>
        <v>Parent</v>
      </c>
      <c r="F756" s="1" t="str">
        <f ca="1">IFERROR(__xludf.DUMMYFUNCTION("""COMPUTED_VALUE"""),"Fled/Apprehended")</f>
        <v>Fled/Apprehended</v>
      </c>
      <c r="G756" s="1" t="str">
        <f ca="1">IFERROR(__xludf.DUMMYFUNCTION("""COMPUTED_VALUE"""),"No")</f>
        <v>No</v>
      </c>
      <c r="H756" s="1" t="str">
        <f ca="1">IFERROR(__xludf.DUMMYFUNCTION("""COMPUTED_VALUE"""),"None")</f>
        <v>None</v>
      </c>
    </row>
    <row r="757" spans="1:8" ht="12.5">
      <c r="A757" s="1" t="str">
        <f ca="1">IFERROR(__xludf.DUMMYFUNCTION("""COMPUTED_VALUE"""),"20220321AZDES")</f>
        <v>20220321AZDES</v>
      </c>
      <c r="B757" s="1">
        <f ca="1">IFERROR(__xludf.DUMMYFUNCTION("""COMPUTED_VALUE"""),31)</f>
        <v>31</v>
      </c>
      <c r="C757" s="1" t="str">
        <f ca="1">IFERROR(__xludf.DUMMYFUNCTION("""COMPUTED_VALUE"""),"Male")</f>
        <v>Male</v>
      </c>
      <c r="D757" s="1"/>
      <c r="E757" s="1" t="str">
        <f ca="1">IFERROR(__xludf.DUMMYFUNCTION("""COMPUTED_VALUE"""),"No Relation")</f>
        <v>No Relation</v>
      </c>
      <c r="F757" s="1" t="str">
        <f ca="1">IFERROR(__xludf.DUMMYFUNCTION("""COMPUTED_VALUE"""),"Apprehended/Killed by LE")</f>
        <v>Apprehended/Killed by LE</v>
      </c>
      <c r="G757" s="1" t="str">
        <f ca="1">IFERROR(__xludf.DUMMYFUNCTION("""COMPUTED_VALUE"""),"No")</f>
        <v>No</v>
      </c>
      <c r="H757" s="1" t="str">
        <f ca="1">IFERROR(__xludf.DUMMYFUNCTION("""COMPUTED_VALUE"""),"None")</f>
        <v>None</v>
      </c>
    </row>
    <row r="758" spans="1:8" ht="12.5">
      <c r="A758" s="1" t="str">
        <f ca="1">IFERROR(__xludf.DUMMYFUNCTION("""COMPUTED_VALUE"""),"20220319ALCEL")</f>
        <v>20220319ALCEL</v>
      </c>
      <c r="B758" s="1" t="str">
        <f ca="1">IFERROR(__xludf.DUMMYFUNCTION("""COMPUTED_VALUE"""),"Adult")</f>
        <v>Adult</v>
      </c>
      <c r="C758" s="1" t="str">
        <f ca="1">IFERROR(__xludf.DUMMYFUNCTION("""COMPUTED_VALUE"""),"Male")</f>
        <v>Male</v>
      </c>
      <c r="D758" s="1" t="str">
        <f ca="1">IFERROR(__xludf.DUMMYFUNCTION("""COMPUTED_VALUE"""),"Black")</f>
        <v>Black</v>
      </c>
      <c r="E758" s="1" t="str">
        <f ca="1">IFERROR(__xludf.DUMMYFUNCTION("""COMPUTED_VALUE"""),"No Relation")</f>
        <v>No Relation</v>
      </c>
      <c r="F758" s="1" t="str">
        <f ca="1">IFERROR(__xludf.DUMMYFUNCTION("""COMPUTED_VALUE"""),"Fled/Apprehended")</f>
        <v>Fled/Apprehended</v>
      </c>
      <c r="G758" s="1" t="str">
        <f ca="1">IFERROR(__xludf.DUMMYFUNCTION("""COMPUTED_VALUE"""),"No")</f>
        <v>No</v>
      </c>
      <c r="H758" s="1" t="str">
        <f ca="1">IFERROR(__xludf.DUMMYFUNCTION("""COMPUTED_VALUE"""),"None")</f>
        <v>None</v>
      </c>
    </row>
    <row r="759" spans="1:8" ht="12.5">
      <c r="A759" s="1" t="str">
        <f ca="1">IFERROR(__xludf.DUMMYFUNCTION("""COMPUTED_VALUE"""),"20220318RICEP")</f>
        <v>20220318RICEP</v>
      </c>
      <c r="B759" s="1">
        <f ca="1">IFERROR(__xludf.DUMMYFUNCTION("""COMPUTED_VALUE"""),17)</f>
        <v>17</v>
      </c>
      <c r="C759" s="1" t="str">
        <f ca="1">IFERROR(__xludf.DUMMYFUNCTION("""COMPUTED_VALUE"""),"Male")</f>
        <v>Male</v>
      </c>
      <c r="D759" s="1"/>
      <c r="E759" s="1" t="str">
        <f ca="1">IFERROR(__xludf.DUMMYFUNCTION("""COMPUTED_VALUE"""),"Student")</f>
        <v>Student</v>
      </c>
      <c r="F759" s="1" t="str">
        <f ca="1">IFERROR(__xludf.DUMMYFUNCTION("""COMPUTED_VALUE"""),"Fled/Apprehended")</f>
        <v>Fled/Apprehended</v>
      </c>
      <c r="G759" s="1" t="str">
        <f ca="1">IFERROR(__xludf.DUMMYFUNCTION("""COMPUTED_VALUE"""),"No")</f>
        <v>No</v>
      </c>
      <c r="H759" s="1" t="str">
        <f ca="1">IFERROR(__xludf.DUMMYFUNCTION("""COMPUTED_VALUE"""),"None")</f>
        <v>None</v>
      </c>
    </row>
    <row r="760" spans="1:8" ht="12.5">
      <c r="A760" s="1" t="str">
        <f ca="1">IFERROR(__xludf.DUMMYFUNCTION("""COMPUTED_VALUE"""),"20220318RICEP")</f>
        <v>20220318RICEP</v>
      </c>
      <c r="B760" s="1">
        <f ca="1">IFERROR(__xludf.DUMMYFUNCTION("""COMPUTED_VALUE"""),18)</f>
        <v>18</v>
      </c>
      <c r="C760" s="1" t="str">
        <f ca="1">IFERROR(__xludf.DUMMYFUNCTION("""COMPUTED_VALUE"""),"Male")</f>
        <v>Male</v>
      </c>
      <c r="D760" s="1"/>
      <c r="E760" s="1" t="str">
        <f ca="1">IFERROR(__xludf.DUMMYFUNCTION("""COMPUTED_VALUE"""),"Student")</f>
        <v>Student</v>
      </c>
      <c r="F760" s="1" t="str">
        <f ca="1">IFERROR(__xludf.DUMMYFUNCTION("""COMPUTED_VALUE"""),"Fled/Apprehended")</f>
        <v>Fled/Apprehended</v>
      </c>
      <c r="G760" s="1" t="str">
        <f ca="1">IFERROR(__xludf.DUMMYFUNCTION("""COMPUTED_VALUE"""),"No")</f>
        <v>No</v>
      </c>
      <c r="H760" s="1" t="str">
        <f ca="1">IFERROR(__xludf.DUMMYFUNCTION("""COMPUTED_VALUE"""),"None")</f>
        <v>None</v>
      </c>
    </row>
    <row r="761" spans="1:8" ht="12.5">
      <c r="A761" s="1" t="str">
        <f ca="1">IFERROR(__xludf.DUMMYFUNCTION("""COMPUTED_VALUE"""),"20220318ILBAB")</f>
        <v>20220318ILBAB</v>
      </c>
      <c r="B761" s="1" t="str">
        <f ca="1">IFERROR(__xludf.DUMMYFUNCTION("""COMPUTED_VALUE"""),"Teen")</f>
        <v>Teen</v>
      </c>
      <c r="C761" s="1" t="str">
        <f ca="1">IFERROR(__xludf.DUMMYFUNCTION("""COMPUTED_VALUE"""),"Male")</f>
        <v>Male</v>
      </c>
      <c r="D761" s="1"/>
      <c r="E761" s="1" t="str">
        <f ca="1">IFERROR(__xludf.DUMMYFUNCTION("""COMPUTED_VALUE"""),"Student")</f>
        <v>Student</v>
      </c>
      <c r="F761" s="1" t="str">
        <f ca="1">IFERROR(__xludf.DUMMYFUNCTION("""COMPUTED_VALUE"""),"Fled/Apprehended")</f>
        <v>Fled/Apprehended</v>
      </c>
      <c r="G761" s="1" t="str">
        <f ca="1">IFERROR(__xludf.DUMMYFUNCTION("""COMPUTED_VALUE"""),"No")</f>
        <v>No</v>
      </c>
      <c r="H761" s="1" t="str">
        <f ca="1">IFERROR(__xludf.DUMMYFUNCTION("""COMPUTED_VALUE"""),"None")</f>
        <v>None</v>
      </c>
    </row>
    <row r="762" spans="1:8" ht="12.5">
      <c r="A762" s="1" t="str">
        <f ca="1">IFERROR(__xludf.DUMMYFUNCTION("""COMPUTED_VALUE"""),"20220317AKREW")</f>
        <v>20220317AKREW</v>
      </c>
      <c r="B762" s="1" t="str">
        <f ca="1">IFERROR(__xludf.DUMMYFUNCTION("""COMPUTED_VALUE"""),"Teen")</f>
        <v>Teen</v>
      </c>
      <c r="C762" s="1" t="str">
        <f ca="1">IFERROR(__xludf.DUMMYFUNCTION("""COMPUTED_VALUE"""),"Male")</f>
        <v>Male</v>
      </c>
      <c r="D762" s="1"/>
      <c r="E762" s="1" t="str">
        <f ca="1">IFERROR(__xludf.DUMMYFUNCTION("""COMPUTED_VALUE"""),"Student")</f>
        <v>Student</v>
      </c>
      <c r="F762" s="1" t="str">
        <f ca="1">IFERROR(__xludf.DUMMYFUNCTION("""COMPUTED_VALUE"""),"Fled/Escaped")</f>
        <v>Fled/Escaped</v>
      </c>
      <c r="G762" s="1" t="str">
        <f ca="1">IFERROR(__xludf.DUMMYFUNCTION("""COMPUTED_VALUE"""),"No")</f>
        <v>No</v>
      </c>
      <c r="H762" s="1" t="str">
        <f ca="1">IFERROR(__xludf.DUMMYFUNCTION("""COMPUTED_VALUE"""),"None")</f>
        <v>None</v>
      </c>
    </row>
    <row r="763" spans="1:8" ht="12.5">
      <c r="A763" s="1" t="str">
        <f ca="1">IFERROR(__xludf.DUMMYFUNCTION("""COMPUTED_VALUE"""),"20220316CALOR")</f>
        <v>20220316CALOR</v>
      </c>
      <c r="B763" s="1">
        <f ca="1">IFERROR(__xludf.DUMMYFUNCTION("""COMPUTED_VALUE"""),12)</f>
        <v>12</v>
      </c>
      <c r="C763" s="1" t="str">
        <f ca="1">IFERROR(__xludf.DUMMYFUNCTION("""COMPUTED_VALUE"""),"Male")</f>
        <v>Male</v>
      </c>
      <c r="D763" s="1"/>
      <c r="E763" s="1" t="str">
        <f ca="1">IFERROR(__xludf.DUMMYFUNCTION("""COMPUTED_VALUE"""),"Student")</f>
        <v>Student</v>
      </c>
      <c r="F763" s="1" t="str">
        <f ca="1">IFERROR(__xludf.DUMMYFUNCTION("""COMPUTED_VALUE"""),"Fled/Apprehended")</f>
        <v>Fled/Apprehended</v>
      </c>
      <c r="G763" s="1" t="str">
        <f ca="1">IFERROR(__xludf.DUMMYFUNCTION("""COMPUTED_VALUE"""),"No")</f>
        <v>No</v>
      </c>
      <c r="H763" s="1" t="str">
        <f ca="1">IFERROR(__xludf.DUMMYFUNCTION("""COMPUTED_VALUE"""),"None")</f>
        <v>None</v>
      </c>
    </row>
    <row r="764" spans="1:8" ht="12.5">
      <c r="A764" s="1" t="str">
        <f ca="1">IFERROR(__xludf.DUMMYFUNCTION("""COMPUTED_VALUE"""),"20220315WAEIY")</f>
        <v>20220315WAEIY</v>
      </c>
      <c r="B764" s="1">
        <f ca="1">IFERROR(__xludf.DUMMYFUNCTION("""COMPUTED_VALUE"""),15)</f>
        <v>15</v>
      </c>
      <c r="C764" s="1" t="str">
        <f ca="1">IFERROR(__xludf.DUMMYFUNCTION("""COMPUTED_VALUE"""),"Male")</f>
        <v>Male</v>
      </c>
      <c r="D764" s="1"/>
      <c r="E764" s="1" t="str">
        <f ca="1">IFERROR(__xludf.DUMMYFUNCTION("""COMPUTED_VALUE"""),"Student")</f>
        <v>Student</v>
      </c>
      <c r="F764" s="1" t="str">
        <f ca="1">IFERROR(__xludf.DUMMYFUNCTION("""COMPUTED_VALUE"""),"Fled/Apprehended")</f>
        <v>Fled/Apprehended</v>
      </c>
      <c r="G764" s="1" t="str">
        <f ca="1">IFERROR(__xludf.DUMMYFUNCTION("""COMPUTED_VALUE"""),"No")</f>
        <v>No</v>
      </c>
      <c r="H764" s="1" t="str">
        <f ca="1">IFERROR(__xludf.DUMMYFUNCTION("""COMPUTED_VALUE"""),"None")</f>
        <v>None</v>
      </c>
    </row>
    <row r="765" spans="1:8" ht="12.5">
      <c r="A765" s="1" t="str">
        <f ca="1">IFERROR(__xludf.DUMMYFUNCTION("""COMPUTED_VALUE"""),"20220315MDPAB")</f>
        <v>20220315MDPAB</v>
      </c>
      <c r="B765" s="1"/>
      <c r="C765" s="1"/>
      <c r="D765" s="1"/>
      <c r="E765" s="1"/>
      <c r="F765" s="1" t="str">
        <f ca="1">IFERROR(__xludf.DUMMYFUNCTION("""COMPUTED_VALUE"""),"Fled/Escaped")</f>
        <v>Fled/Escaped</v>
      </c>
      <c r="G765" s="1" t="str">
        <f ca="1">IFERROR(__xludf.DUMMYFUNCTION("""COMPUTED_VALUE"""),"No")</f>
        <v>No</v>
      </c>
      <c r="H765" s="1" t="str">
        <f ca="1">IFERROR(__xludf.DUMMYFUNCTION("""COMPUTED_VALUE"""),"None")</f>
        <v>None</v>
      </c>
    </row>
    <row r="766" spans="1:8" ht="12.5">
      <c r="A766" s="1" t="str">
        <f ca="1">IFERROR(__xludf.DUMMYFUNCTION("""COMPUTED_VALUE"""),"20220315MATEB")</f>
        <v>20220315MATEB</v>
      </c>
      <c r="B766" s="1">
        <f ca="1">IFERROR(__xludf.DUMMYFUNCTION("""COMPUTED_VALUE"""),16)</f>
        <v>16</v>
      </c>
      <c r="C766" s="1" t="str">
        <f ca="1">IFERROR(__xludf.DUMMYFUNCTION("""COMPUTED_VALUE"""),"Male")</f>
        <v>Male</v>
      </c>
      <c r="D766" s="1"/>
      <c r="E766" s="1"/>
      <c r="F766" s="1" t="str">
        <f ca="1">IFERROR(__xludf.DUMMYFUNCTION("""COMPUTED_VALUE"""),"Fled/Apprehended")</f>
        <v>Fled/Apprehended</v>
      </c>
      <c r="G766" s="1" t="str">
        <f ca="1">IFERROR(__xludf.DUMMYFUNCTION("""COMPUTED_VALUE"""),"No")</f>
        <v>No</v>
      </c>
      <c r="H766" s="1" t="str">
        <f ca="1">IFERROR(__xludf.DUMMYFUNCTION("""COMPUTED_VALUE"""),"None")</f>
        <v>None</v>
      </c>
    </row>
    <row r="767" spans="1:8" ht="12.5">
      <c r="A767" s="1" t="str">
        <f ca="1">IFERROR(__xludf.DUMMYFUNCTION("""COMPUTED_VALUE"""),"20220315MATEB")</f>
        <v>20220315MATEB</v>
      </c>
      <c r="B767" s="1">
        <f ca="1">IFERROR(__xludf.DUMMYFUNCTION("""COMPUTED_VALUE"""),17)</f>
        <v>17</v>
      </c>
      <c r="C767" s="1" t="str">
        <f ca="1">IFERROR(__xludf.DUMMYFUNCTION("""COMPUTED_VALUE"""),"Male")</f>
        <v>Male</v>
      </c>
      <c r="D767" s="1"/>
      <c r="E767" s="1"/>
      <c r="F767" s="1" t="str">
        <f ca="1">IFERROR(__xludf.DUMMYFUNCTION("""COMPUTED_VALUE"""),"Fled/Apprehended")</f>
        <v>Fled/Apprehended</v>
      </c>
      <c r="G767" s="1" t="str">
        <f ca="1">IFERROR(__xludf.DUMMYFUNCTION("""COMPUTED_VALUE"""),"No")</f>
        <v>No</v>
      </c>
      <c r="H767" s="1" t="str">
        <f ca="1">IFERROR(__xludf.DUMMYFUNCTION("""COMPUTED_VALUE"""),"None")</f>
        <v>None</v>
      </c>
    </row>
    <row r="768" spans="1:8" ht="12.5">
      <c r="A768" s="1" t="str">
        <f ca="1">IFERROR(__xludf.DUMMYFUNCTION("""COMPUTED_VALUE"""),"20220315GAFOF")</f>
        <v>20220315GAFOF</v>
      </c>
      <c r="B768" s="1" t="str">
        <f ca="1">IFERROR(__xludf.DUMMYFUNCTION("""COMPUTED_VALUE"""),"Adult")</f>
        <v>Adult</v>
      </c>
      <c r="C768" s="1"/>
      <c r="D768" s="1"/>
      <c r="E768" s="1" t="str">
        <f ca="1">IFERROR(__xludf.DUMMYFUNCTION("""COMPUTED_VALUE"""),"No Relation")</f>
        <v>No Relation</v>
      </c>
      <c r="F768" s="1" t="str">
        <f ca="1">IFERROR(__xludf.DUMMYFUNCTION("""COMPUTED_VALUE"""),"Apprehended/Killed by SRO")</f>
        <v>Apprehended/Killed by SRO</v>
      </c>
      <c r="G768" s="1" t="str">
        <f ca="1">IFERROR(__xludf.DUMMYFUNCTION("""COMPUTED_VALUE"""),"No")</f>
        <v>No</v>
      </c>
      <c r="H768" s="1" t="str">
        <f ca="1">IFERROR(__xludf.DUMMYFUNCTION("""COMPUTED_VALUE"""),"None")</f>
        <v>None</v>
      </c>
    </row>
    <row r="769" spans="1:8" ht="12.5">
      <c r="A769" s="1" t="str">
        <f ca="1">IFERROR(__xludf.DUMMYFUNCTION("""COMPUTED_VALUE"""),"20220314CAKRP")</f>
        <v>20220314CAKRP</v>
      </c>
      <c r="B769" s="1" t="str">
        <f ca="1">IFERROR(__xludf.DUMMYFUNCTION("""COMPUTED_VALUE"""),"Adult")</f>
        <v>Adult</v>
      </c>
      <c r="C769" s="1" t="str">
        <f ca="1">IFERROR(__xludf.DUMMYFUNCTION("""COMPUTED_VALUE"""),"Male")</f>
        <v>Male</v>
      </c>
      <c r="D769" s="1"/>
      <c r="E769" s="1" t="str">
        <f ca="1">IFERROR(__xludf.DUMMYFUNCTION("""COMPUTED_VALUE"""),"Principal/Vice-Principal")</f>
        <v>Principal/Vice-Principal</v>
      </c>
      <c r="F769" s="1" t="str">
        <f ca="1">IFERROR(__xludf.DUMMYFUNCTION("""COMPUTED_VALUE"""),"Suicide")</f>
        <v>Suicide</v>
      </c>
      <c r="G769" s="1" t="str">
        <f ca="1">IFERROR(__xludf.DUMMYFUNCTION("""COMPUTED_VALUE"""),"Yes")</f>
        <v>Yes</v>
      </c>
      <c r="H769" s="1" t="str">
        <f ca="1">IFERROR(__xludf.DUMMYFUNCTION("""COMPUTED_VALUE"""),"Fatal")</f>
        <v>Fatal</v>
      </c>
    </row>
    <row r="770" spans="1:8" ht="12.5">
      <c r="A770" s="1" t="str">
        <f ca="1">IFERROR(__xludf.DUMMYFUNCTION("""COMPUTED_VALUE"""),"20220313PANEP")</f>
        <v>20220313PANEP</v>
      </c>
      <c r="B770" s="1"/>
      <c r="C770" s="1"/>
      <c r="D770" s="1"/>
      <c r="E770" s="1"/>
      <c r="F770" s="1" t="str">
        <f ca="1">IFERROR(__xludf.DUMMYFUNCTION("""COMPUTED_VALUE"""),"Fled/Escaped")</f>
        <v>Fled/Escaped</v>
      </c>
      <c r="G770" s="1" t="str">
        <f ca="1">IFERROR(__xludf.DUMMYFUNCTION("""COMPUTED_VALUE"""),"No")</f>
        <v>No</v>
      </c>
      <c r="H770" s="1" t="str">
        <f ca="1">IFERROR(__xludf.DUMMYFUNCTION("""COMPUTED_VALUE"""),"None")</f>
        <v>None</v>
      </c>
    </row>
    <row r="771" spans="1:8" ht="12.5">
      <c r="A771" s="1" t="str">
        <f ca="1">IFERROR(__xludf.DUMMYFUNCTION("""COMPUTED_VALUE"""),"20220311WIJER")</f>
        <v>20220311WIJER</v>
      </c>
      <c r="B771" s="1" t="str">
        <f ca="1">IFERROR(__xludf.DUMMYFUNCTION("""COMPUTED_VALUE"""),"Child")</f>
        <v>Child</v>
      </c>
      <c r="C771" s="1"/>
      <c r="D771" s="1"/>
      <c r="E771" s="1" t="str">
        <f ca="1">IFERROR(__xludf.DUMMYFUNCTION("""COMPUTED_VALUE"""),"Student")</f>
        <v>Student</v>
      </c>
      <c r="F771" s="1" t="str">
        <f ca="1">IFERROR(__xludf.DUMMYFUNCTION("""COMPUTED_VALUE"""),"Apprehended/Killed by LE")</f>
        <v>Apprehended/Killed by LE</v>
      </c>
      <c r="G771" s="1" t="str">
        <f ca="1">IFERROR(__xludf.DUMMYFUNCTION("""COMPUTED_VALUE"""),"No")</f>
        <v>No</v>
      </c>
      <c r="H771" s="1" t="str">
        <f ca="1">IFERROR(__xludf.DUMMYFUNCTION("""COMPUTED_VALUE"""),"None")</f>
        <v>None</v>
      </c>
    </row>
    <row r="772" spans="1:8" ht="12.5">
      <c r="A772" s="1" t="str">
        <f ca="1">IFERROR(__xludf.DUMMYFUNCTION("""COMPUTED_VALUE"""),"20220311OHMAM")</f>
        <v>20220311OHMAM</v>
      </c>
      <c r="B772" s="1"/>
      <c r="C772" s="1"/>
      <c r="D772" s="1"/>
      <c r="E772" s="1"/>
      <c r="F772" s="1" t="str">
        <f ca="1">IFERROR(__xludf.DUMMYFUNCTION("""COMPUTED_VALUE"""),"Fled/Escaped")</f>
        <v>Fled/Escaped</v>
      </c>
      <c r="G772" s="1" t="str">
        <f ca="1">IFERROR(__xludf.DUMMYFUNCTION("""COMPUTED_VALUE"""),"No")</f>
        <v>No</v>
      </c>
      <c r="H772" s="1" t="str">
        <f ca="1">IFERROR(__xludf.DUMMYFUNCTION("""COMPUTED_VALUE"""),"None")</f>
        <v>None</v>
      </c>
    </row>
    <row r="773" spans="1:8" ht="12.5">
      <c r="A773" s="1" t="str">
        <f ca="1">IFERROR(__xludf.DUMMYFUNCTION("""COMPUTED_VALUE"""),"20220311OHFAP")</f>
        <v>20220311OHFAP</v>
      </c>
      <c r="B773" s="1">
        <f ca="1">IFERROR(__xludf.DUMMYFUNCTION("""COMPUTED_VALUE"""),43)</f>
        <v>43</v>
      </c>
      <c r="C773" s="1" t="str">
        <f ca="1">IFERROR(__xludf.DUMMYFUNCTION("""COMPUTED_VALUE"""),"Male")</f>
        <v>Male</v>
      </c>
      <c r="D773" s="1"/>
      <c r="E773" s="1" t="str">
        <f ca="1">IFERROR(__xludf.DUMMYFUNCTION("""COMPUTED_VALUE"""),"No Relation")</f>
        <v>No Relation</v>
      </c>
      <c r="F773" s="1" t="str">
        <f ca="1">IFERROR(__xludf.DUMMYFUNCTION("""COMPUTED_VALUE"""),"Surrendered")</f>
        <v>Surrendered</v>
      </c>
      <c r="G773" s="1" t="str">
        <f ca="1">IFERROR(__xludf.DUMMYFUNCTION("""COMPUTED_VALUE"""),"No")</f>
        <v>No</v>
      </c>
      <c r="H773" s="1" t="str">
        <f ca="1">IFERROR(__xludf.DUMMYFUNCTION("""COMPUTED_VALUE"""),"None")</f>
        <v>None</v>
      </c>
    </row>
    <row r="774" spans="1:8" ht="12.5">
      <c r="A774" s="1" t="str">
        <f ca="1">IFERROR(__xludf.DUMMYFUNCTION("""COMPUTED_VALUE"""),"20220311CADER")</f>
        <v>20220311CADER</v>
      </c>
      <c r="B774" s="1" t="str">
        <f ca="1">IFERROR(__xludf.DUMMYFUNCTION("""COMPUTED_VALUE"""),"Teen")</f>
        <v>Teen</v>
      </c>
      <c r="C774" s="1" t="str">
        <f ca="1">IFERROR(__xludf.DUMMYFUNCTION("""COMPUTED_VALUE"""),"Male")</f>
        <v>Male</v>
      </c>
      <c r="D774" s="1"/>
      <c r="E774" s="1" t="str">
        <f ca="1">IFERROR(__xludf.DUMMYFUNCTION("""COMPUTED_VALUE"""),"Student")</f>
        <v>Student</v>
      </c>
      <c r="F774" s="1" t="str">
        <f ca="1">IFERROR(__xludf.DUMMYFUNCTION("""COMPUTED_VALUE"""),"Fled/Escaped")</f>
        <v>Fled/Escaped</v>
      </c>
      <c r="G774" s="1" t="str">
        <f ca="1">IFERROR(__xludf.DUMMYFUNCTION("""COMPUTED_VALUE"""),"No")</f>
        <v>No</v>
      </c>
      <c r="H774" s="1" t="str">
        <f ca="1">IFERROR(__xludf.DUMMYFUNCTION("""COMPUTED_VALUE"""),"None")</f>
        <v>None</v>
      </c>
    </row>
    <row r="775" spans="1:8" ht="12.5">
      <c r="A775" s="1" t="str">
        <f ca="1">IFERROR(__xludf.DUMMYFUNCTION("""COMPUTED_VALUE"""),"20220310TNHAM")</f>
        <v>20220310TNHAM</v>
      </c>
      <c r="B775" s="1" t="str">
        <f ca="1">IFERROR(__xludf.DUMMYFUNCTION("""COMPUTED_VALUE"""),"Adult")</f>
        <v>Adult</v>
      </c>
      <c r="C775" s="1" t="str">
        <f ca="1">IFERROR(__xludf.DUMMYFUNCTION("""COMPUTED_VALUE"""),"Female")</f>
        <v>Female</v>
      </c>
      <c r="D775" s="1" t="str">
        <f ca="1">IFERROR(__xludf.DUMMYFUNCTION("""COMPUTED_VALUE"""),"Black")</f>
        <v>Black</v>
      </c>
      <c r="E775" s="1" t="str">
        <f ca="1">IFERROR(__xludf.DUMMYFUNCTION("""COMPUTED_VALUE"""),"Parent")</f>
        <v>Parent</v>
      </c>
      <c r="F775" s="1" t="str">
        <f ca="1">IFERROR(__xludf.DUMMYFUNCTION("""COMPUTED_VALUE"""),"Fled/Apprehended")</f>
        <v>Fled/Apprehended</v>
      </c>
      <c r="G775" s="1" t="str">
        <f ca="1">IFERROR(__xludf.DUMMYFUNCTION("""COMPUTED_VALUE"""),"No")</f>
        <v>No</v>
      </c>
      <c r="H775" s="1" t="str">
        <f ca="1">IFERROR(__xludf.DUMMYFUNCTION("""COMPUTED_VALUE"""),"None")</f>
        <v>None</v>
      </c>
    </row>
    <row r="776" spans="1:8" ht="12.5">
      <c r="A776" s="1" t="str">
        <f ca="1">IFERROR(__xludf.DUMMYFUNCTION("""COMPUTED_VALUE"""),"20220310MDCOL")</f>
        <v>20220310MDCOL</v>
      </c>
      <c r="B776" s="1" t="str">
        <f ca="1">IFERROR(__xludf.DUMMYFUNCTION("""COMPUTED_VALUE"""),"Adult")</f>
        <v>Adult</v>
      </c>
      <c r="C776" s="1" t="str">
        <f ca="1">IFERROR(__xludf.DUMMYFUNCTION("""COMPUTED_VALUE"""),"Male")</f>
        <v>Male</v>
      </c>
      <c r="D776" s="1"/>
      <c r="E776" s="1"/>
      <c r="F776" s="1" t="str">
        <f ca="1">IFERROR(__xludf.DUMMYFUNCTION("""COMPUTED_VALUE"""),"Fled/Escaped")</f>
        <v>Fled/Escaped</v>
      </c>
      <c r="G776" s="1" t="str">
        <f ca="1">IFERROR(__xludf.DUMMYFUNCTION("""COMPUTED_VALUE"""),"No")</f>
        <v>No</v>
      </c>
      <c r="H776" s="1" t="str">
        <f ca="1">IFERROR(__xludf.DUMMYFUNCTION("""COMPUTED_VALUE"""),"None")</f>
        <v>None</v>
      </c>
    </row>
    <row r="777" spans="1:8" ht="12.5">
      <c r="A777" s="1" t="str">
        <f ca="1">IFERROR(__xludf.DUMMYFUNCTION("""COMPUTED_VALUE"""),"20220310COROH")</f>
        <v>20220310COROH</v>
      </c>
      <c r="B777" s="1">
        <f ca="1">IFERROR(__xludf.DUMMYFUNCTION("""COMPUTED_VALUE"""),17)</f>
        <v>17</v>
      </c>
      <c r="C777" s="1" t="str">
        <f ca="1">IFERROR(__xludf.DUMMYFUNCTION("""COMPUTED_VALUE"""),"Male")</f>
        <v>Male</v>
      </c>
      <c r="D777" s="1"/>
      <c r="E777" s="1" t="str">
        <f ca="1">IFERROR(__xludf.DUMMYFUNCTION("""COMPUTED_VALUE"""),"Student")</f>
        <v>Student</v>
      </c>
      <c r="F777" s="1" t="str">
        <f ca="1">IFERROR(__xludf.DUMMYFUNCTION("""COMPUTED_VALUE"""),"Surrendered")</f>
        <v>Surrendered</v>
      </c>
      <c r="G777" s="1" t="str">
        <f ca="1">IFERROR(__xludf.DUMMYFUNCTION("""COMPUTED_VALUE"""),"No")</f>
        <v>No</v>
      </c>
      <c r="H777" s="1" t="str">
        <f ca="1">IFERROR(__xludf.DUMMYFUNCTION("""COMPUTED_VALUE"""),"None")</f>
        <v>None</v>
      </c>
    </row>
    <row r="778" spans="1:8" ht="12.5">
      <c r="A778" s="1" t="str">
        <f ca="1">IFERROR(__xludf.DUMMYFUNCTION("""COMPUTED_VALUE"""),"20220309TXNOH")</f>
        <v>20220309TXNOH</v>
      </c>
      <c r="B778" s="1">
        <f ca="1">IFERROR(__xludf.DUMMYFUNCTION("""COMPUTED_VALUE"""),18)</f>
        <v>18</v>
      </c>
      <c r="C778" s="1" t="str">
        <f ca="1">IFERROR(__xludf.DUMMYFUNCTION("""COMPUTED_VALUE"""),"Male")</f>
        <v>Male</v>
      </c>
      <c r="D778" s="1" t="str">
        <f ca="1">IFERROR(__xludf.DUMMYFUNCTION("""COMPUTED_VALUE"""),"Black")</f>
        <v>Black</v>
      </c>
      <c r="E778" s="1" t="str">
        <f ca="1">IFERROR(__xludf.DUMMYFUNCTION("""COMPUTED_VALUE"""),"Student")</f>
        <v>Student</v>
      </c>
      <c r="F778" s="1" t="str">
        <f ca="1">IFERROR(__xludf.DUMMYFUNCTION("""COMPUTED_VALUE"""),"Surrendered")</f>
        <v>Surrendered</v>
      </c>
      <c r="G778" s="1" t="str">
        <f ca="1">IFERROR(__xludf.DUMMYFUNCTION("""COMPUTED_VALUE"""),"No")</f>
        <v>No</v>
      </c>
      <c r="H778" s="1" t="str">
        <f ca="1">IFERROR(__xludf.DUMMYFUNCTION("""COMPUTED_VALUE"""),"None")</f>
        <v>None</v>
      </c>
    </row>
    <row r="779" spans="1:8" ht="12.5">
      <c r="A779" s="1" t="str">
        <f ca="1">IFERROR(__xludf.DUMMYFUNCTION("""COMPUTED_VALUE"""),"20220309NMESE")</f>
        <v>20220309NMESE</v>
      </c>
      <c r="B779" s="1"/>
      <c r="C779" s="1"/>
      <c r="D779" s="1"/>
      <c r="E779" s="1"/>
      <c r="F779" s="1" t="str">
        <f ca="1">IFERROR(__xludf.DUMMYFUNCTION("""COMPUTED_VALUE"""),"Fled/Escaped")</f>
        <v>Fled/Escaped</v>
      </c>
      <c r="G779" s="1" t="str">
        <f ca="1">IFERROR(__xludf.DUMMYFUNCTION("""COMPUTED_VALUE"""),"No")</f>
        <v>No</v>
      </c>
      <c r="H779" s="1" t="str">
        <f ca="1">IFERROR(__xludf.DUMMYFUNCTION("""COMPUTED_VALUE"""),"None")</f>
        <v>None</v>
      </c>
    </row>
    <row r="780" spans="1:8" ht="12.5">
      <c r="A780" s="1" t="str">
        <f ca="1">IFERROR(__xludf.DUMMYFUNCTION("""COMPUTED_VALUE"""),"20220309FLNOM")</f>
        <v>20220309FLNOM</v>
      </c>
      <c r="B780" s="1">
        <f ca="1">IFERROR(__xludf.DUMMYFUNCTION("""COMPUTED_VALUE"""),18)</f>
        <v>18</v>
      </c>
      <c r="C780" s="1" t="str">
        <f ca="1">IFERROR(__xludf.DUMMYFUNCTION("""COMPUTED_VALUE"""),"Male")</f>
        <v>Male</v>
      </c>
      <c r="D780" s="1" t="str">
        <f ca="1">IFERROR(__xludf.DUMMYFUNCTION("""COMPUTED_VALUE"""),"Black")</f>
        <v>Black</v>
      </c>
      <c r="E780" s="1"/>
      <c r="F780" s="1" t="str">
        <f ca="1">IFERROR(__xludf.DUMMYFUNCTION("""COMPUTED_VALUE"""),"Fled/Apprehended")</f>
        <v>Fled/Apprehended</v>
      </c>
      <c r="G780" s="1" t="str">
        <f ca="1">IFERROR(__xludf.DUMMYFUNCTION("""COMPUTED_VALUE"""),"No")</f>
        <v>No</v>
      </c>
      <c r="H780" s="1" t="str">
        <f ca="1">IFERROR(__xludf.DUMMYFUNCTION("""COMPUTED_VALUE"""),"None")</f>
        <v>None</v>
      </c>
    </row>
    <row r="781" spans="1:8" ht="12.5">
      <c r="A781" s="1" t="str">
        <f ca="1">IFERROR(__xludf.DUMMYFUNCTION("""COMPUTED_VALUE"""),"20220309FLNOM")</f>
        <v>20220309FLNOM</v>
      </c>
      <c r="B781" s="1">
        <f ca="1">IFERROR(__xludf.DUMMYFUNCTION("""COMPUTED_VALUE"""),17)</f>
        <v>17</v>
      </c>
      <c r="C781" s="1" t="str">
        <f ca="1">IFERROR(__xludf.DUMMYFUNCTION("""COMPUTED_VALUE"""),"Male")</f>
        <v>Male</v>
      </c>
      <c r="D781" s="1" t="str">
        <f ca="1">IFERROR(__xludf.DUMMYFUNCTION("""COMPUTED_VALUE"""),"Black")</f>
        <v>Black</v>
      </c>
      <c r="E781" s="1"/>
      <c r="F781" s="1" t="str">
        <f ca="1">IFERROR(__xludf.DUMMYFUNCTION("""COMPUTED_VALUE"""),"Fled/Apprehended")</f>
        <v>Fled/Apprehended</v>
      </c>
      <c r="G781" s="1" t="str">
        <f ca="1">IFERROR(__xludf.DUMMYFUNCTION("""COMPUTED_VALUE"""),"No")</f>
        <v>No</v>
      </c>
      <c r="H781" s="1" t="str">
        <f ca="1">IFERROR(__xludf.DUMMYFUNCTION("""COMPUTED_VALUE"""),"None")</f>
        <v>None</v>
      </c>
    </row>
    <row r="782" spans="1:8" ht="12.5">
      <c r="A782" s="1" t="str">
        <f ca="1">IFERROR(__xludf.DUMMYFUNCTION("""COMPUTED_VALUE"""),"20220307IAEAD")</f>
        <v>20220307IAEAD</v>
      </c>
      <c r="B782" s="1">
        <f ca="1">IFERROR(__xludf.DUMMYFUNCTION("""COMPUTED_VALUE"""),17)</f>
        <v>17</v>
      </c>
      <c r="C782" s="1" t="str">
        <f ca="1">IFERROR(__xludf.DUMMYFUNCTION("""COMPUTED_VALUE"""),"Male")</f>
        <v>Male</v>
      </c>
      <c r="D782" s="1"/>
      <c r="E782" s="1"/>
      <c r="F782" s="1" t="str">
        <f ca="1">IFERROR(__xludf.DUMMYFUNCTION("""COMPUTED_VALUE"""),"Fled/Apprehended")</f>
        <v>Fled/Apprehended</v>
      </c>
      <c r="G782" s="1" t="str">
        <f ca="1">IFERROR(__xludf.DUMMYFUNCTION("""COMPUTED_VALUE"""),"No")</f>
        <v>No</v>
      </c>
      <c r="H782" s="1" t="str">
        <f ca="1">IFERROR(__xludf.DUMMYFUNCTION("""COMPUTED_VALUE"""),"None")</f>
        <v>None</v>
      </c>
    </row>
    <row r="783" spans="1:8" ht="12.5">
      <c r="A783" s="1" t="str">
        <f ca="1">IFERROR(__xludf.DUMMYFUNCTION("""COMPUTED_VALUE"""),"20220307IAEAD")</f>
        <v>20220307IAEAD</v>
      </c>
      <c r="B783" s="1">
        <f ca="1">IFERROR(__xludf.DUMMYFUNCTION("""COMPUTED_VALUE"""),14)</f>
        <v>14</v>
      </c>
      <c r="C783" s="1" t="str">
        <f ca="1">IFERROR(__xludf.DUMMYFUNCTION("""COMPUTED_VALUE"""),"Male")</f>
        <v>Male</v>
      </c>
      <c r="D783" s="1"/>
      <c r="E783" s="1"/>
      <c r="F783" s="1" t="str">
        <f ca="1">IFERROR(__xludf.DUMMYFUNCTION("""COMPUTED_VALUE"""),"Fled/Apprehended")</f>
        <v>Fled/Apprehended</v>
      </c>
      <c r="G783" s="1" t="str">
        <f ca="1">IFERROR(__xludf.DUMMYFUNCTION("""COMPUTED_VALUE"""),"No")</f>
        <v>No</v>
      </c>
      <c r="H783" s="1" t="str">
        <f ca="1">IFERROR(__xludf.DUMMYFUNCTION("""COMPUTED_VALUE"""),"None")</f>
        <v>None</v>
      </c>
    </row>
    <row r="784" spans="1:8" ht="12.5">
      <c r="A784" s="1" t="str">
        <f ca="1">IFERROR(__xludf.DUMMYFUNCTION("""COMPUTED_VALUE"""),"20220307IAEAD")</f>
        <v>20220307IAEAD</v>
      </c>
      <c r="B784" s="1">
        <f ca="1">IFERROR(__xludf.DUMMYFUNCTION("""COMPUTED_VALUE"""),16)</f>
        <v>16</v>
      </c>
      <c r="C784" s="1" t="str">
        <f ca="1">IFERROR(__xludf.DUMMYFUNCTION("""COMPUTED_VALUE"""),"Male")</f>
        <v>Male</v>
      </c>
      <c r="D784" s="1" t="str">
        <f ca="1">IFERROR(__xludf.DUMMYFUNCTION("""COMPUTED_VALUE"""),"Hispanic")</f>
        <v>Hispanic</v>
      </c>
      <c r="E784" s="1"/>
      <c r="F784" s="1" t="str">
        <f ca="1">IFERROR(__xludf.DUMMYFUNCTION("""COMPUTED_VALUE"""),"Fled/Apprehended")</f>
        <v>Fled/Apprehended</v>
      </c>
      <c r="G784" s="1" t="str">
        <f ca="1">IFERROR(__xludf.DUMMYFUNCTION("""COMPUTED_VALUE"""),"No")</f>
        <v>No</v>
      </c>
      <c r="H784" s="1" t="str">
        <f ca="1">IFERROR(__xludf.DUMMYFUNCTION("""COMPUTED_VALUE"""),"None")</f>
        <v>None</v>
      </c>
    </row>
    <row r="785" spans="1:8" ht="12.5">
      <c r="A785" s="1" t="str">
        <f ca="1">IFERROR(__xludf.DUMMYFUNCTION("""COMPUTED_VALUE"""),"20220307IAEAD")</f>
        <v>20220307IAEAD</v>
      </c>
      <c r="B785" s="1">
        <f ca="1">IFERROR(__xludf.DUMMYFUNCTION("""COMPUTED_VALUE"""),17)</f>
        <v>17</v>
      </c>
      <c r="C785" s="1" t="str">
        <f ca="1">IFERROR(__xludf.DUMMYFUNCTION("""COMPUTED_VALUE"""),"Male")</f>
        <v>Male</v>
      </c>
      <c r="D785" s="1" t="str">
        <f ca="1">IFERROR(__xludf.DUMMYFUNCTION("""COMPUTED_VALUE"""),"Hispanic")</f>
        <v>Hispanic</v>
      </c>
      <c r="E785" s="1"/>
      <c r="F785" s="1" t="str">
        <f ca="1">IFERROR(__xludf.DUMMYFUNCTION("""COMPUTED_VALUE"""),"Fled/Apprehended")</f>
        <v>Fled/Apprehended</v>
      </c>
      <c r="G785" s="1" t="str">
        <f ca="1">IFERROR(__xludf.DUMMYFUNCTION("""COMPUTED_VALUE"""),"No")</f>
        <v>No</v>
      </c>
      <c r="H785" s="1" t="str">
        <f ca="1">IFERROR(__xludf.DUMMYFUNCTION("""COMPUTED_VALUE"""),"None")</f>
        <v>None</v>
      </c>
    </row>
    <row r="786" spans="1:8" ht="12.5">
      <c r="A786" s="1" t="str">
        <f ca="1">IFERROR(__xludf.DUMMYFUNCTION("""COMPUTED_VALUE"""),"20220307IAEAD")</f>
        <v>20220307IAEAD</v>
      </c>
      <c r="B786" s="1">
        <f ca="1">IFERROR(__xludf.DUMMYFUNCTION("""COMPUTED_VALUE"""),16)</f>
        <v>16</v>
      </c>
      <c r="C786" s="1" t="str">
        <f ca="1">IFERROR(__xludf.DUMMYFUNCTION("""COMPUTED_VALUE"""),"Male")</f>
        <v>Male</v>
      </c>
      <c r="D786" s="1" t="str">
        <f ca="1">IFERROR(__xludf.DUMMYFUNCTION("""COMPUTED_VALUE"""),"Hispanic")</f>
        <v>Hispanic</v>
      </c>
      <c r="E786" s="1"/>
      <c r="F786" s="1" t="str">
        <f ca="1">IFERROR(__xludf.DUMMYFUNCTION("""COMPUTED_VALUE"""),"Fled/Apprehended")</f>
        <v>Fled/Apprehended</v>
      </c>
      <c r="G786" s="1" t="str">
        <f ca="1">IFERROR(__xludf.DUMMYFUNCTION("""COMPUTED_VALUE"""),"No")</f>
        <v>No</v>
      </c>
      <c r="H786" s="1" t="str">
        <f ca="1">IFERROR(__xludf.DUMMYFUNCTION("""COMPUTED_VALUE"""),"None")</f>
        <v>None</v>
      </c>
    </row>
    <row r="787" spans="1:8" ht="12.5">
      <c r="A787" s="1" t="str">
        <f ca="1">IFERROR(__xludf.DUMMYFUNCTION("""COMPUTED_VALUE"""),"20220307IAEAD")</f>
        <v>20220307IAEAD</v>
      </c>
      <c r="B787" s="1" t="str">
        <f ca="1">IFERROR(__xludf.DUMMYFUNCTION("""COMPUTED_VALUE"""),"Teen")</f>
        <v>Teen</v>
      </c>
      <c r="C787" s="1" t="str">
        <f ca="1">IFERROR(__xludf.DUMMYFUNCTION("""COMPUTED_VALUE"""),"Male")</f>
        <v>Male</v>
      </c>
      <c r="D787" s="1"/>
      <c r="E787" s="1"/>
      <c r="F787" s="1" t="str">
        <f ca="1">IFERROR(__xludf.DUMMYFUNCTION("""COMPUTED_VALUE"""),"Fled/Apprehended")</f>
        <v>Fled/Apprehended</v>
      </c>
      <c r="G787" s="1" t="str">
        <f ca="1">IFERROR(__xludf.DUMMYFUNCTION("""COMPUTED_VALUE"""),"No")</f>
        <v>No</v>
      </c>
      <c r="H787" s="1" t="str">
        <f ca="1">IFERROR(__xludf.DUMMYFUNCTION("""COMPUTED_VALUE"""),"None")</f>
        <v>None</v>
      </c>
    </row>
    <row r="788" spans="1:8" ht="12.5">
      <c r="A788" s="1" t="str">
        <f ca="1">IFERROR(__xludf.DUMMYFUNCTION("""COMPUTED_VALUE"""),"20220304KSOLO")</f>
        <v>20220304KSOLO</v>
      </c>
      <c r="B788" s="1">
        <f ca="1">IFERROR(__xludf.DUMMYFUNCTION("""COMPUTED_VALUE"""),18)</f>
        <v>18</v>
      </c>
      <c r="C788" s="1" t="str">
        <f ca="1">IFERROR(__xludf.DUMMYFUNCTION("""COMPUTED_VALUE"""),"Male")</f>
        <v>Male</v>
      </c>
      <c r="D788" s="1" t="str">
        <f ca="1">IFERROR(__xludf.DUMMYFUNCTION("""COMPUTED_VALUE"""),"Black")</f>
        <v>Black</v>
      </c>
      <c r="E788" s="1" t="str">
        <f ca="1">IFERROR(__xludf.DUMMYFUNCTION("""COMPUTED_VALUE"""),"Student")</f>
        <v>Student</v>
      </c>
      <c r="F788" s="1" t="str">
        <f ca="1">IFERROR(__xludf.DUMMYFUNCTION("""COMPUTED_VALUE"""),"Apprehended/Killed by SRO")</f>
        <v>Apprehended/Killed by SRO</v>
      </c>
      <c r="G788" s="1" t="str">
        <f ca="1">IFERROR(__xludf.DUMMYFUNCTION("""COMPUTED_VALUE"""),"No")</f>
        <v>No</v>
      </c>
      <c r="H788" s="1" t="str">
        <f ca="1">IFERROR(__xludf.DUMMYFUNCTION("""COMPUTED_VALUE"""),"Wounded")</f>
        <v>Wounded</v>
      </c>
    </row>
    <row r="789" spans="1:8" ht="12.5">
      <c r="A789" s="1" t="str">
        <f ca="1">IFERROR(__xludf.DUMMYFUNCTION("""COMPUTED_VALUE"""),"20220303MIJWL")</f>
        <v>20220303MIJWL</v>
      </c>
      <c r="B789" s="1"/>
      <c r="C789" s="1" t="str">
        <f ca="1">IFERROR(__xludf.DUMMYFUNCTION("""COMPUTED_VALUE"""),"Male")</f>
        <v>Male</v>
      </c>
      <c r="D789" s="1"/>
      <c r="E789" s="1"/>
      <c r="F789" s="1" t="str">
        <f ca="1">IFERROR(__xludf.DUMMYFUNCTION("""COMPUTED_VALUE"""),"Fled/Escaped")</f>
        <v>Fled/Escaped</v>
      </c>
      <c r="G789" s="1" t="str">
        <f ca="1">IFERROR(__xludf.DUMMYFUNCTION("""COMPUTED_VALUE"""),"No")</f>
        <v>No</v>
      </c>
      <c r="H789" s="1" t="str">
        <f ca="1">IFERROR(__xludf.DUMMYFUNCTION("""COMPUTED_VALUE"""),"None")</f>
        <v>None</v>
      </c>
    </row>
    <row r="790" spans="1:8" ht="12.5">
      <c r="A790" s="1" t="str">
        <f ca="1">IFERROR(__xludf.DUMMYFUNCTION("""COMPUTED_VALUE"""),"20220228NYBOB")</f>
        <v>20220228NYBOB</v>
      </c>
      <c r="B790" s="1" t="str">
        <f ca="1">IFERROR(__xludf.DUMMYFUNCTION("""COMPUTED_VALUE"""),"Teen")</f>
        <v>Teen</v>
      </c>
      <c r="C790" s="1" t="str">
        <f ca="1">IFERROR(__xludf.DUMMYFUNCTION("""COMPUTED_VALUE"""),"Male")</f>
        <v>Male</v>
      </c>
      <c r="D790" s="1"/>
      <c r="E790" s="1" t="str">
        <f ca="1">IFERROR(__xludf.DUMMYFUNCTION("""COMPUTED_VALUE"""),"Student")</f>
        <v>Student</v>
      </c>
      <c r="F790" s="1" t="str">
        <f ca="1">IFERROR(__xludf.DUMMYFUNCTION("""COMPUTED_VALUE"""),"Fled/Escaped")</f>
        <v>Fled/Escaped</v>
      </c>
      <c r="G790" s="1" t="str">
        <f ca="1">IFERROR(__xludf.DUMMYFUNCTION("""COMPUTED_VALUE"""),"No")</f>
        <v>No</v>
      </c>
      <c r="H790" s="1" t="str">
        <f ca="1">IFERROR(__xludf.DUMMYFUNCTION("""COMPUTED_VALUE"""),"None")</f>
        <v>None</v>
      </c>
    </row>
    <row r="791" spans="1:8" ht="12.5">
      <c r="A791" s="1" t="str">
        <f ca="1">IFERROR(__xludf.DUMMYFUNCTION("""COMPUTED_VALUE"""),"20220227DCDUW")</f>
        <v>20220227DCDUW</v>
      </c>
      <c r="B791" s="1"/>
      <c r="C791" s="1"/>
      <c r="D791" s="1"/>
      <c r="E791" s="1"/>
      <c r="F791" s="1" t="str">
        <f ca="1">IFERROR(__xludf.DUMMYFUNCTION("""COMPUTED_VALUE"""),"Fled/Escaped")</f>
        <v>Fled/Escaped</v>
      </c>
      <c r="G791" s="1" t="str">
        <f ca="1">IFERROR(__xludf.DUMMYFUNCTION("""COMPUTED_VALUE"""),"No")</f>
        <v>No</v>
      </c>
      <c r="H791" s="1" t="str">
        <f ca="1">IFERROR(__xludf.DUMMYFUNCTION("""COMPUTED_VALUE"""),"None")</f>
        <v>None</v>
      </c>
    </row>
    <row r="792" spans="1:8" ht="12.5">
      <c r="A792" s="1" t="str">
        <f ca="1">IFERROR(__xludf.DUMMYFUNCTION("""COMPUTED_VALUE"""),"20220225NMWEA")</f>
        <v>20220225NMWEA</v>
      </c>
      <c r="B792" s="1">
        <f ca="1">IFERROR(__xludf.DUMMYFUNCTION("""COMPUTED_VALUE"""),14)</f>
        <v>14</v>
      </c>
      <c r="C792" s="1" t="str">
        <f ca="1">IFERROR(__xludf.DUMMYFUNCTION("""COMPUTED_VALUE"""),"Male")</f>
        <v>Male</v>
      </c>
      <c r="D792" s="1" t="str">
        <f ca="1">IFERROR(__xludf.DUMMYFUNCTION("""COMPUTED_VALUE"""),"Hispanic")</f>
        <v>Hispanic</v>
      </c>
      <c r="E792" s="1" t="str">
        <f ca="1">IFERROR(__xludf.DUMMYFUNCTION("""COMPUTED_VALUE"""),"Student")</f>
        <v>Student</v>
      </c>
      <c r="F792" s="1" t="str">
        <f ca="1">IFERROR(__xludf.DUMMYFUNCTION("""COMPUTED_VALUE"""),"Fled/Apprehended")</f>
        <v>Fled/Apprehended</v>
      </c>
      <c r="G792" s="1" t="str">
        <f ca="1">IFERROR(__xludf.DUMMYFUNCTION("""COMPUTED_VALUE"""),"No")</f>
        <v>No</v>
      </c>
      <c r="H792" s="1" t="str">
        <f ca="1">IFERROR(__xludf.DUMMYFUNCTION("""COMPUTED_VALUE"""),"None")</f>
        <v>None</v>
      </c>
    </row>
    <row r="793" spans="1:8" ht="12.5">
      <c r="A793" s="1" t="str">
        <f ca="1">IFERROR(__xludf.DUMMYFUNCTION("""COMPUTED_VALUE"""),"20220225ALSOH")</f>
        <v>20220225ALSOH</v>
      </c>
      <c r="B793" s="1">
        <f ca="1">IFERROR(__xludf.DUMMYFUNCTION("""COMPUTED_VALUE"""),10)</f>
        <v>10</v>
      </c>
      <c r="C793" s="1"/>
      <c r="D793" s="1"/>
      <c r="E793" s="1" t="str">
        <f ca="1">IFERROR(__xludf.DUMMYFUNCTION("""COMPUTED_VALUE"""),"Student")</f>
        <v>Student</v>
      </c>
      <c r="F793" s="1" t="str">
        <f ca="1">IFERROR(__xludf.DUMMYFUNCTION("""COMPUTED_VALUE"""),"Surrendered")</f>
        <v>Surrendered</v>
      </c>
      <c r="G793" s="1" t="str">
        <f ca="1">IFERROR(__xludf.DUMMYFUNCTION("""COMPUTED_VALUE"""),"No")</f>
        <v>No</v>
      </c>
      <c r="H793" s="1" t="str">
        <f ca="1">IFERROR(__xludf.DUMMYFUNCTION("""COMPUTED_VALUE"""),"Wounded")</f>
        <v>Wounded</v>
      </c>
    </row>
    <row r="794" spans="1:8" ht="12.5">
      <c r="A794" s="1" t="str">
        <f ca="1">IFERROR(__xludf.DUMMYFUNCTION("""COMPUTED_VALUE"""),"20220223VAWOW")</f>
        <v>20220223VAWOW</v>
      </c>
      <c r="B794" s="1"/>
      <c r="C794" s="1"/>
      <c r="D794" s="1"/>
      <c r="E794" s="1"/>
      <c r="F794" s="1" t="str">
        <f ca="1">IFERROR(__xludf.DUMMYFUNCTION("""COMPUTED_VALUE"""),"Fled/Escaped")</f>
        <v>Fled/Escaped</v>
      </c>
      <c r="G794" s="1" t="str">
        <f ca="1">IFERROR(__xludf.DUMMYFUNCTION("""COMPUTED_VALUE"""),"No")</f>
        <v>No</v>
      </c>
      <c r="H794" s="1" t="str">
        <f ca="1">IFERROR(__xludf.DUMMYFUNCTION("""COMPUTED_VALUE"""),"None")</f>
        <v>None</v>
      </c>
    </row>
    <row r="795" spans="1:8" ht="12.5">
      <c r="A795" s="1" t="str">
        <f ca="1">IFERROR(__xludf.DUMMYFUNCTION("""COMPUTED_VALUE"""),"20220222TXALH")</f>
        <v>20220222TXALH</v>
      </c>
      <c r="B795" s="1" t="str">
        <f ca="1">IFERROR(__xludf.DUMMYFUNCTION("""COMPUTED_VALUE"""),"Adult")</f>
        <v>Adult</v>
      </c>
      <c r="C795" s="1" t="str">
        <f ca="1">IFERROR(__xludf.DUMMYFUNCTION("""COMPUTED_VALUE"""),"Male")</f>
        <v>Male</v>
      </c>
      <c r="D795" s="1"/>
      <c r="E795" s="1" t="str">
        <f ca="1">IFERROR(__xludf.DUMMYFUNCTION("""COMPUTED_VALUE"""),"No Relation")</f>
        <v>No Relation</v>
      </c>
      <c r="F795" s="1" t="str">
        <f ca="1">IFERROR(__xludf.DUMMYFUNCTION("""COMPUTED_VALUE"""),"Fled/Escaped")</f>
        <v>Fled/Escaped</v>
      </c>
      <c r="G795" s="1" t="str">
        <f ca="1">IFERROR(__xludf.DUMMYFUNCTION("""COMPUTED_VALUE"""),"No")</f>
        <v>No</v>
      </c>
      <c r="H795" s="1" t="str">
        <f ca="1">IFERROR(__xludf.DUMMYFUNCTION("""COMPUTED_VALUE"""),"None")</f>
        <v>None</v>
      </c>
    </row>
    <row r="796" spans="1:8" ht="12.5">
      <c r="A796" s="1" t="str">
        <f ca="1">IFERROR(__xludf.DUMMYFUNCTION("""COMPUTED_VALUE"""),"20220222COLIP")</f>
        <v>20220222COLIP</v>
      </c>
      <c r="B796" s="1"/>
      <c r="C796" s="1"/>
      <c r="D796" s="1"/>
      <c r="E796" s="1" t="str">
        <f ca="1">IFERROR(__xludf.DUMMYFUNCTION("""COMPUTED_VALUE"""),"Police Officer/SRO")</f>
        <v>Police Officer/SRO</v>
      </c>
      <c r="F796" s="1" t="str">
        <f ca="1">IFERROR(__xludf.DUMMYFUNCTION("""COMPUTED_VALUE"""),"Law Enforcement")</f>
        <v>Law Enforcement</v>
      </c>
      <c r="G796" s="1"/>
      <c r="H796" s="1"/>
    </row>
    <row r="797" spans="1:8" ht="12.5">
      <c r="A797" s="1" t="str">
        <f ca="1">IFERROR(__xludf.DUMMYFUNCTION("""COMPUTED_VALUE"""),"20220221MDJOH")</f>
        <v>20220221MDJOH</v>
      </c>
      <c r="B797" s="1" t="str">
        <f ca="1">IFERROR(__xludf.DUMMYFUNCTION("""COMPUTED_VALUE"""),"Adult")</f>
        <v>Adult</v>
      </c>
      <c r="C797" s="1" t="str">
        <f ca="1">IFERROR(__xludf.DUMMYFUNCTION("""COMPUTED_VALUE"""),"Male")</f>
        <v>Male</v>
      </c>
      <c r="D797" s="1"/>
      <c r="E797" s="1" t="str">
        <f ca="1">IFERROR(__xludf.DUMMYFUNCTION("""COMPUTED_VALUE"""),"No Relation")</f>
        <v>No Relation</v>
      </c>
      <c r="F797" s="1" t="str">
        <f ca="1">IFERROR(__xludf.DUMMYFUNCTION("""COMPUTED_VALUE"""),"Fled/Escaped")</f>
        <v>Fled/Escaped</v>
      </c>
      <c r="G797" s="1" t="str">
        <f ca="1">IFERROR(__xludf.DUMMYFUNCTION("""COMPUTED_VALUE"""),"No")</f>
        <v>No</v>
      </c>
      <c r="H797" s="1" t="str">
        <f ca="1">IFERROR(__xludf.DUMMYFUNCTION("""COMPUTED_VALUE"""),"None")</f>
        <v>None</v>
      </c>
    </row>
    <row r="798" spans="1:8" ht="12.5">
      <c r="A798" s="1" t="str">
        <f ca="1">IFERROR(__xludf.DUMMYFUNCTION("""COMPUTED_VALUE"""),"20220220OKWIW")</f>
        <v>20220220OKWIW</v>
      </c>
      <c r="B798" s="1" t="str">
        <f ca="1">IFERROR(__xludf.DUMMYFUNCTION("""COMPUTED_VALUE"""),"Adult")</f>
        <v>Adult</v>
      </c>
      <c r="C798" s="1" t="str">
        <f ca="1">IFERROR(__xludf.DUMMYFUNCTION("""COMPUTED_VALUE"""),"Male")</f>
        <v>Male</v>
      </c>
      <c r="D798" s="1"/>
      <c r="E798" s="1"/>
      <c r="F798" s="1" t="str">
        <f ca="1">IFERROR(__xludf.DUMMYFUNCTION("""COMPUTED_VALUE"""),"Fled/Escaped")</f>
        <v>Fled/Escaped</v>
      </c>
      <c r="G798" s="1" t="str">
        <f ca="1">IFERROR(__xludf.DUMMYFUNCTION("""COMPUTED_VALUE"""),"No")</f>
        <v>No</v>
      </c>
      <c r="H798" s="1" t="str">
        <f ca="1">IFERROR(__xludf.DUMMYFUNCTION("""COMPUTED_VALUE"""),"None")</f>
        <v>None</v>
      </c>
    </row>
    <row r="799" spans="1:8" ht="12.5">
      <c r="A799" s="1" t="str">
        <f ca="1">IFERROR(__xludf.DUMMYFUNCTION("""COMPUTED_VALUE"""),"20220220MSMCM")</f>
        <v>20220220MSMCM</v>
      </c>
      <c r="B799" s="1" t="str">
        <f ca="1">IFERROR(__xludf.DUMMYFUNCTION("""COMPUTED_VALUE"""),"Teen")</f>
        <v>Teen</v>
      </c>
      <c r="C799" s="1" t="str">
        <f ca="1">IFERROR(__xludf.DUMMYFUNCTION("""COMPUTED_VALUE"""),"Male")</f>
        <v>Male</v>
      </c>
      <c r="D799" s="1"/>
      <c r="E799" s="1"/>
      <c r="F799" s="1" t="str">
        <f ca="1">IFERROR(__xludf.DUMMYFUNCTION("""COMPUTED_VALUE"""),"Fled/Apprehended")</f>
        <v>Fled/Apprehended</v>
      </c>
      <c r="G799" s="1" t="str">
        <f ca="1">IFERROR(__xludf.DUMMYFUNCTION("""COMPUTED_VALUE"""),"No")</f>
        <v>No</v>
      </c>
      <c r="H799" s="1" t="str">
        <f ca="1">IFERROR(__xludf.DUMMYFUNCTION("""COMPUTED_VALUE"""),"None")</f>
        <v>None</v>
      </c>
    </row>
    <row r="800" spans="1:8" ht="12.5">
      <c r="A800" s="1" t="str">
        <f ca="1">IFERROR(__xludf.DUMMYFUNCTION("""COMPUTED_VALUE"""),"20220219VACAC")</f>
        <v>20220219VACAC</v>
      </c>
      <c r="B800" s="1"/>
      <c r="C800" s="1"/>
      <c r="D800" s="1"/>
      <c r="E800" s="1"/>
      <c r="F800" s="1" t="str">
        <f ca="1">IFERROR(__xludf.DUMMYFUNCTION("""COMPUTED_VALUE"""),"Fled/Escaped")</f>
        <v>Fled/Escaped</v>
      </c>
      <c r="G800" s="1" t="str">
        <f ca="1">IFERROR(__xludf.DUMMYFUNCTION("""COMPUTED_VALUE"""),"No")</f>
        <v>No</v>
      </c>
      <c r="H800" s="1" t="str">
        <f ca="1">IFERROR(__xludf.DUMMYFUNCTION("""COMPUTED_VALUE"""),"None")</f>
        <v>None</v>
      </c>
    </row>
    <row r="801" spans="1:8" ht="12.5">
      <c r="A801" s="1" t="str">
        <f ca="1">IFERROR(__xludf.DUMMYFUNCTION("""COMPUTED_VALUE"""),"20220218MATET")</f>
        <v>20220218MATET</v>
      </c>
      <c r="B801" s="1">
        <f ca="1">IFERROR(__xludf.DUMMYFUNCTION("""COMPUTED_VALUE"""),18)</f>
        <v>18</v>
      </c>
      <c r="C801" s="1" t="str">
        <f ca="1">IFERROR(__xludf.DUMMYFUNCTION("""COMPUTED_VALUE"""),"Male")</f>
        <v>Male</v>
      </c>
      <c r="D801" s="1"/>
      <c r="E801" s="1" t="str">
        <f ca="1">IFERROR(__xludf.DUMMYFUNCTION("""COMPUTED_VALUE"""),"Rival School Student")</f>
        <v>Rival School Student</v>
      </c>
      <c r="F801" s="1" t="str">
        <f ca="1">IFERROR(__xludf.DUMMYFUNCTION("""COMPUTED_VALUE"""),"Fled/Apprehended")</f>
        <v>Fled/Apprehended</v>
      </c>
      <c r="G801" s="1" t="str">
        <f ca="1">IFERROR(__xludf.DUMMYFUNCTION("""COMPUTED_VALUE"""),"No")</f>
        <v>No</v>
      </c>
      <c r="H801" s="1" t="str">
        <f ca="1">IFERROR(__xludf.DUMMYFUNCTION("""COMPUTED_VALUE"""),"None")</f>
        <v>None</v>
      </c>
    </row>
    <row r="802" spans="1:8" ht="12.5">
      <c r="A802" s="1" t="str">
        <f ca="1">IFERROR(__xludf.DUMMYFUNCTION("""COMPUTED_VALUE"""),"20220218MATET")</f>
        <v>20220218MATET</v>
      </c>
      <c r="B802" s="1">
        <f ca="1">IFERROR(__xludf.DUMMYFUNCTION("""COMPUTED_VALUE"""),17)</f>
        <v>17</v>
      </c>
      <c r="C802" s="1" t="str">
        <f ca="1">IFERROR(__xludf.DUMMYFUNCTION("""COMPUTED_VALUE"""),"Male")</f>
        <v>Male</v>
      </c>
      <c r="D802" s="1"/>
      <c r="E802" s="1" t="str">
        <f ca="1">IFERROR(__xludf.DUMMYFUNCTION("""COMPUTED_VALUE"""),"Rival School Student")</f>
        <v>Rival School Student</v>
      </c>
      <c r="F802" s="1" t="str">
        <f ca="1">IFERROR(__xludf.DUMMYFUNCTION("""COMPUTED_VALUE"""),"Fled/Apprehended")</f>
        <v>Fled/Apprehended</v>
      </c>
      <c r="G802" s="1" t="str">
        <f ca="1">IFERROR(__xludf.DUMMYFUNCTION("""COMPUTED_VALUE"""),"No")</f>
        <v>No</v>
      </c>
      <c r="H802" s="1" t="str">
        <f ca="1">IFERROR(__xludf.DUMMYFUNCTION("""COMPUTED_VALUE"""),"None")</f>
        <v>None</v>
      </c>
    </row>
    <row r="803" spans="1:8" ht="12.5">
      <c r="A803" s="1" t="str">
        <f ca="1">IFERROR(__xludf.DUMMYFUNCTION("""COMPUTED_VALUE"""),"20220218MATET")</f>
        <v>20220218MATET</v>
      </c>
      <c r="B803" s="1">
        <f ca="1">IFERROR(__xludf.DUMMYFUNCTION("""COMPUTED_VALUE"""),17)</f>
        <v>17</v>
      </c>
      <c r="C803" s="1" t="str">
        <f ca="1">IFERROR(__xludf.DUMMYFUNCTION("""COMPUTED_VALUE"""),"Male")</f>
        <v>Male</v>
      </c>
      <c r="D803" s="1"/>
      <c r="E803" s="1" t="str">
        <f ca="1">IFERROR(__xludf.DUMMYFUNCTION("""COMPUTED_VALUE"""),"Rival School Student")</f>
        <v>Rival School Student</v>
      </c>
      <c r="F803" s="1" t="str">
        <f ca="1">IFERROR(__xludf.DUMMYFUNCTION("""COMPUTED_VALUE"""),"Fled/Apprehended")</f>
        <v>Fled/Apprehended</v>
      </c>
      <c r="G803" s="1" t="str">
        <f ca="1">IFERROR(__xludf.DUMMYFUNCTION("""COMPUTED_VALUE"""),"No")</f>
        <v>No</v>
      </c>
      <c r="H803" s="1" t="str">
        <f ca="1">IFERROR(__xludf.DUMMYFUNCTION("""COMPUTED_VALUE"""),"None")</f>
        <v>None</v>
      </c>
    </row>
    <row r="804" spans="1:8" ht="12.5">
      <c r="A804" s="1" t="str">
        <f ca="1">IFERROR(__xludf.DUMMYFUNCTION("""COMPUTED_VALUE"""),"20220218MATET")</f>
        <v>20220218MATET</v>
      </c>
      <c r="B804" s="1">
        <f ca="1">IFERROR(__xludf.DUMMYFUNCTION("""COMPUTED_VALUE"""),16)</f>
        <v>16</v>
      </c>
      <c r="C804" s="1" t="str">
        <f ca="1">IFERROR(__xludf.DUMMYFUNCTION("""COMPUTED_VALUE"""),"Male")</f>
        <v>Male</v>
      </c>
      <c r="D804" s="1"/>
      <c r="E804" s="1" t="str">
        <f ca="1">IFERROR(__xludf.DUMMYFUNCTION("""COMPUTED_VALUE"""),"Rival School Student")</f>
        <v>Rival School Student</v>
      </c>
      <c r="F804" s="1" t="str">
        <f ca="1">IFERROR(__xludf.DUMMYFUNCTION("""COMPUTED_VALUE"""),"Fled/Apprehended")</f>
        <v>Fled/Apprehended</v>
      </c>
      <c r="G804" s="1" t="str">
        <f ca="1">IFERROR(__xludf.DUMMYFUNCTION("""COMPUTED_VALUE"""),"No")</f>
        <v>No</v>
      </c>
      <c r="H804" s="1" t="str">
        <f ca="1">IFERROR(__xludf.DUMMYFUNCTION("""COMPUTED_VALUE"""),"None")</f>
        <v>None</v>
      </c>
    </row>
    <row r="805" spans="1:8" ht="12.5">
      <c r="A805" s="1" t="str">
        <f ca="1">IFERROR(__xludf.DUMMYFUNCTION("""COMPUTED_VALUE"""),"20220217WAMCG")</f>
        <v>20220217WAMCG</v>
      </c>
      <c r="B805" s="1" t="str">
        <f ca="1">IFERROR(__xludf.DUMMYFUNCTION("""COMPUTED_VALUE"""),"Adult")</f>
        <v>Adult</v>
      </c>
      <c r="C805" s="1" t="str">
        <f ca="1">IFERROR(__xludf.DUMMYFUNCTION("""COMPUTED_VALUE"""),"Male")</f>
        <v>Male</v>
      </c>
      <c r="D805" s="1"/>
      <c r="E805" s="1" t="str">
        <f ca="1">IFERROR(__xludf.DUMMYFUNCTION("""COMPUTED_VALUE"""),"Gang Member")</f>
        <v>Gang Member</v>
      </c>
      <c r="F805" s="1" t="str">
        <f ca="1">IFERROR(__xludf.DUMMYFUNCTION("""COMPUTED_VALUE"""),"Fled/Escaped")</f>
        <v>Fled/Escaped</v>
      </c>
      <c r="G805" s="1" t="str">
        <f ca="1">IFERROR(__xludf.DUMMYFUNCTION("""COMPUTED_VALUE"""),"No")</f>
        <v>No</v>
      </c>
      <c r="H805" s="1" t="str">
        <f ca="1">IFERROR(__xludf.DUMMYFUNCTION("""COMPUTED_VALUE"""),"None")</f>
        <v>None</v>
      </c>
    </row>
    <row r="806" spans="1:8" ht="12.5">
      <c r="A806" s="1" t="str">
        <f ca="1">IFERROR(__xludf.DUMMYFUNCTION("""COMPUTED_VALUE"""),"20220214FLLAL")</f>
        <v>20220214FLLAL</v>
      </c>
      <c r="B806" s="1">
        <f ca="1">IFERROR(__xludf.DUMMYFUNCTION("""COMPUTED_VALUE"""),39)</f>
        <v>39</v>
      </c>
      <c r="C806" s="1" t="str">
        <f ca="1">IFERROR(__xludf.DUMMYFUNCTION("""COMPUTED_VALUE"""),"Male")</f>
        <v>Male</v>
      </c>
      <c r="D806" s="1" t="str">
        <f ca="1">IFERROR(__xludf.DUMMYFUNCTION("""COMPUTED_VALUE"""),"Black")</f>
        <v>Black</v>
      </c>
      <c r="E806" s="1"/>
      <c r="F806" s="1" t="str">
        <f ca="1">IFERROR(__xludf.DUMMYFUNCTION("""COMPUTED_VALUE"""),"Fled/Apprehended")</f>
        <v>Fled/Apprehended</v>
      </c>
      <c r="G806" s="1" t="str">
        <f ca="1">IFERROR(__xludf.DUMMYFUNCTION("""COMPUTED_VALUE"""),"No")</f>
        <v>No</v>
      </c>
      <c r="H806" s="1" t="str">
        <f ca="1">IFERROR(__xludf.DUMMYFUNCTION("""COMPUTED_VALUE"""),"None")</f>
        <v>None</v>
      </c>
    </row>
    <row r="807" spans="1:8" ht="12.5">
      <c r="A807" s="1" t="str">
        <f ca="1">IFERROR(__xludf.DUMMYFUNCTION("""COMPUTED_VALUE"""),"20220211DCEAW")</f>
        <v>20220211DCEAW</v>
      </c>
      <c r="B807" s="1"/>
      <c r="C807" s="1"/>
      <c r="D807" s="1"/>
      <c r="E807" s="1"/>
      <c r="F807" s="1" t="str">
        <f ca="1">IFERROR(__xludf.DUMMYFUNCTION("""COMPUTED_VALUE"""),"Fled/Escaped")</f>
        <v>Fled/Escaped</v>
      </c>
      <c r="G807" s="1" t="str">
        <f ca="1">IFERROR(__xludf.DUMMYFUNCTION("""COMPUTED_VALUE"""),"No")</f>
        <v>No</v>
      </c>
      <c r="H807" s="1" t="str">
        <f ca="1">IFERROR(__xludf.DUMMYFUNCTION("""COMPUTED_VALUE"""),"None")</f>
        <v>None</v>
      </c>
    </row>
    <row r="808" spans="1:8" ht="12.5">
      <c r="A808" s="1" t="str">
        <f ca="1">IFERROR(__xludf.DUMMYFUNCTION("""COMPUTED_VALUE"""),"20220209NYMCB")</f>
        <v>20220209NYMCB</v>
      </c>
      <c r="B808" s="1">
        <f ca="1">IFERROR(__xludf.DUMMYFUNCTION("""COMPUTED_VALUE"""),17)</f>
        <v>17</v>
      </c>
      <c r="C808" s="1" t="str">
        <f ca="1">IFERROR(__xludf.DUMMYFUNCTION("""COMPUTED_VALUE"""),"Male")</f>
        <v>Male</v>
      </c>
      <c r="D808" s="1"/>
      <c r="E808" s="1" t="str">
        <f ca="1">IFERROR(__xludf.DUMMYFUNCTION("""COMPUTED_VALUE"""),"Student")</f>
        <v>Student</v>
      </c>
      <c r="F808" s="1" t="str">
        <f ca="1">IFERROR(__xludf.DUMMYFUNCTION("""COMPUTED_VALUE"""),"Fled/Apprehended")</f>
        <v>Fled/Apprehended</v>
      </c>
      <c r="G808" s="1" t="str">
        <f ca="1">IFERROR(__xludf.DUMMYFUNCTION("""COMPUTED_VALUE"""),"No")</f>
        <v>No</v>
      </c>
      <c r="H808" s="1" t="str">
        <f ca="1">IFERROR(__xludf.DUMMYFUNCTION("""COMPUTED_VALUE"""),"None")</f>
        <v>None</v>
      </c>
    </row>
    <row r="809" spans="1:8" ht="12.5">
      <c r="A809" s="1" t="str">
        <f ca="1">IFERROR(__xludf.DUMMYFUNCTION("""COMPUTED_VALUE"""),"20220209MNMIM")</f>
        <v>20220209MNMIM</v>
      </c>
      <c r="B809" s="1" t="str">
        <f ca="1">IFERROR(__xludf.DUMMYFUNCTION("""COMPUTED_VALUE"""),"Adult")</f>
        <v>Adult</v>
      </c>
      <c r="C809" s="1" t="str">
        <f ca="1">IFERROR(__xludf.DUMMYFUNCTION("""COMPUTED_VALUE"""),"Male")</f>
        <v>Male</v>
      </c>
      <c r="D809" s="1"/>
      <c r="E809" s="1" t="str">
        <f ca="1">IFERROR(__xludf.DUMMYFUNCTION("""COMPUTED_VALUE"""),"No Relation")</f>
        <v>No Relation</v>
      </c>
      <c r="F809" s="1" t="str">
        <f ca="1">IFERROR(__xludf.DUMMYFUNCTION("""COMPUTED_VALUE"""),"Fled/Escaped")</f>
        <v>Fled/Escaped</v>
      </c>
      <c r="G809" s="1" t="str">
        <f ca="1">IFERROR(__xludf.DUMMYFUNCTION("""COMPUTED_VALUE"""),"No")</f>
        <v>No</v>
      </c>
      <c r="H809" s="1" t="str">
        <f ca="1">IFERROR(__xludf.DUMMYFUNCTION("""COMPUTED_VALUE"""),"None")</f>
        <v>None</v>
      </c>
    </row>
    <row r="810" spans="1:8" ht="12.5">
      <c r="A810" s="1" t="str">
        <f ca="1">IFERROR(__xludf.DUMMYFUNCTION("""COMPUTED_VALUE"""),"20220208NYMOM")</f>
        <v>20220208NYMOM</v>
      </c>
      <c r="B810" s="1"/>
      <c r="C810" s="1"/>
      <c r="D810" s="1"/>
      <c r="E810" s="1"/>
      <c r="F810" s="1" t="str">
        <f ca="1">IFERROR(__xludf.DUMMYFUNCTION("""COMPUTED_VALUE"""),"Fled/Escaped")</f>
        <v>Fled/Escaped</v>
      </c>
      <c r="G810" s="1" t="str">
        <f ca="1">IFERROR(__xludf.DUMMYFUNCTION("""COMPUTED_VALUE"""),"No")</f>
        <v>No</v>
      </c>
      <c r="H810" s="1" t="str">
        <f ca="1">IFERROR(__xludf.DUMMYFUNCTION("""COMPUTED_VALUE"""),"None")</f>
        <v>None</v>
      </c>
    </row>
    <row r="811" spans="1:8" ht="12.5">
      <c r="A811" s="1" t="str">
        <f ca="1">IFERROR(__xludf.DUMMYFUNCTION("""COMPUTED_VALUE"""),"20220208MDCAC")</f>
        <v>20220208MDCAC</v>
      </c>
      <c r="B811" s="1">
        <f ca="1">IFERROR(__xludf.DUMMYFUNCTION("""COMPUTED_VALUE"""),16)</f>
        <v>16</v>
      </c>
      <c r="C811" s="1" t="str">
        <f ca="1">IFERROR(__xludf.DUMMYFUNCTION("""COMPUTED_VALUE"""),"Male")</f>
        <v>Male</v>
      </c>
      <c r="D811" s="1"/>
      <c r="E811" s="1" t="str">
        <f ca="1">IFERROR(__xludf.DUMMYFUNCTION("""COMPUTED_VALUE"""),"Student")</f>
        <v>Student</v>
      </c>
      <c r="F811" s="1" t="str">
        <f ca="1">IFERROR(__xludf.DUMMYFUNCTION("""COMPUTED_VALUE"""),"Fled/Apprehended")</f>
        <v>Fled/Apprehended</v>
      </c>
      <c r="G811" s="1" t="str">
        <f ca="1">IFERROR(__xludf.DUMMYFUNCTION("""COMPUTED_VALUE"""),"No")</f>
        <v>No</v>
      </c>
      <c r="H811" s="1" t="str">
        <f ca="1">IFERROR(__xludf.DUMMYFUNCTION("""COMPUTED_VALUE"""),"None")</f>
        <v>None</v>
      </c>
    </row>
    <row r="812" spans="1:8" ht="12.5">
      <c r="A812" s="1" t="str">
        <f ca="1">IFERROR(__xludf.DUMMYFUNCTION("""COMPUTED_VALUE"""),"20220204GASOD")</f>
        <v>20220204GASOD</v>
      </c>
      <c r="B812" s="1" t="str">
        <f ca="1">IFERROR(__xludf.DUMMYFUNCTION("""COMPUTED_VALUE"""),"Teen")</f>
        <v>Teen</v>
      </c>
      <c r="C812" s="1" t="str">
        <f ca="1">IFERROR(__xludf.DUMMYFUNCTION("""COMPUTED_VALUE"""),"Male")</f>
        <v>Male</v>
      </c>
      <c r="D812" s="1"/>
      <c r="E812" s="1" t="str">
        <f ca="1">IFERROR(__xludf.DUMMYFUNCTION("""COMPUTED_VALUE"""),"Student")</f>
        <v>Student</v>
      </c>
      <c r="F812" s="1"/>
      <c r="G812" s="1" t="str">
        <f ca="1">IFERROR(__xludf.DUMMYFUNCTION("""COMPUTED_VALUE"""),"No")</f>
        <v>No</v>
      </c>
      <c r="H812" s="1" t="str">
        <f ca="1">IFERROR(__xludf.DUMMYFUNCTION("""COMPUTED_VALUE"""),"Wounded")</f>
        <v>Wounded</v>
      </c>
    </row>
    <row r="813" spans="1:8" ht="12.5">
      <c r="A813" s="1" t="str">
        <f ca="1">IFERROR(__xludf.DUMMYFUNCTION("""COMPUTED_VALUE"""),"20220204ALWEB")</f>
        <v>20220204ALWEB</v>
      </c>
      <c r="B813" s="1"/>
      <c r="C813" s="1"/>
      <c r="D813" s="1"/>
      <c r="E813" s="1"/>
      <c r="F813" s="1" t="str">
        <f ca="1">IFERROR(__xludf.DUMMYFUNCTION("""COMPUTED_VALUE"""),"Fled/Escaped")</f>
        <v>Fled/Escaped</v>
      </c>
      <c r="G813" s="1" t="str">
        <f ca="1">IFERROR(__xludf.DUMMYFUNCTION("""COMPUTED_VALUE"""),"No")</f>
        <v>No</v>
      </c>
      <c r="H813" s="1" t="str">
        <f ca="1">IFERROR(__xludf.DUMMYFUNCTION("""COMPUTED_VALUE"""),"None")</f>
        <v>None</v>
      </c>
    </row>
    <row r="814" spans="1:8" ht="12.5">
      <c r="A814" s="1" t="str">
        <f ca="1">IFERROR(__xludf.DUMMYFUNCTION("""COMPUTED_VALUE"""),"20220203NCSPS")</f>
        <v>20220203NCSPS</v>
      </c>
      <c r="B814" s="1"/>
      <c r="C814" s="1"/>
      <c r="D814" s="1"/>
      <c r="E814" s="1"/>
      <c r="F814" s="1" t="str">
        <f ca="1">IFERROR(__xludf.DUMMYFUNCTION("""COMPUTED_VALUE"""),"Fled/Escaped")</f>
        <v>Fled/Escaped</v>
      </c>
      <c r="G814" s="1" t="str">
        <f ca="1">IFERROR(__xludf.DUMMYFUNCTION("""COMPUTED_VALUE"""),"No")</f>
        <v>No</v>
      </c>
      <c r="H814" s="1" t="str">
        <f ca="1">IFERROR(__xludf.DUMMYFUNCTION("""COMPUTED_VALUE"""),"None")</f>
        <v>None</v>
      </c>
    </row>
    <row r="815" spans="1:8" ht="12.5">
      <c r="A815" s="1" t="str">
        <f ca="1">IFERROR(__xludf.DUMMYFUNCTION("""COMPUTED_VALUE"""),"20220202KYLOR")</f>
        <v>20220202KYLOR</v>
      </c>
      <c r="B815" s="1"/>
      <c r="C815" s="1"/>
      <c r="D815" s="1"/>
      <c r="E815" s="1"/>
      <c r="F815" s="1" t="str">
        <f ca="1">IFERROR(__xludf.DUMMYFUNCTION("""COMPUTED_VALUE"""),"Fled/Escaped")</f>
        <v>Fled/Escaped</v>
      </c>
      <c r="G815" s="1" t="str">
        <f ca="1">IFERROR(__xludf.DUMMYFUNCTION("""COMPUTED_VALUE"""),"No")</f>
        <v>No</v>
      </c>
      <c r="H815" s="1" t="str">
        <f ca="1">IFERROR(__xludf.DUMMYFUNCTION("""COMPUTED_VALUE"""),"None")</f>
        <v>None</v>
      </c>
    </row>
    <row r="816" spans="1:8" ht="12.5">
      <c r="A816" s="1" t="str">
        <f ca="1">IFERROR(__xludf.DUMMYFUNCTION("""COMPUTED_VALUE"""),"20220201WIRUM")</f>
        <v>20220201WIRUM</v>
      </c>
      <c r="B816" s="1">
        <f ca="1">IFERROR(__xludf.DUMMYFUNCTION("""COMPUTED_VALUE"""),34)</f>
        <v>34</v>
      </c>
      <c r="C816" s="1" t="str">
        <f ca="1">IFERROR(__xludf.DUMMYFUNCTION("""COMPUTED_VALUE"""),"Male")</f>
        <v>Male</v>
      </c>
      <c r="D816" s="1"/>
      <c r="E816" s="1" t="str">
        <f ca="1">IFERROR(__xludf.DUMMYFUNCTION("""COMPUTED_VALUE"""),"Nonstudent Using Athletic Facilities/Attending Game")</f>
        <v>Nonstudent Using Athletic Facilities/Attending Game</v>
      </c>
      <c r="F816" s="1" t="str">
        <f ca="1">IFERROR(__xludf.DUMMYFUNCTION("""COMPUTED_VALUE"""),"Fled/Escaped")</f>
        <v>Fled/Escaped</v>
      </c>
      <c r="G816" s="1" t="str">
        <f ca="1">IFERROR(__xludf.DUMMYFUNCTION("""COMPUTED_VALUE"""),"No")</f>
        <v>No</v>
      </c>
      <c r="H816" s="1" t="str">
        <f ca="1">IFERROR(__xludf.DUMMYFUNCTION("""COMPUTED_VALUE"""),"None")</f>
        <v>None</v>
      </c>
    </row>
    <row r="817" spans="1:8" ht="12.5">
      <c r="A817" s="1" t="str">
        <f ca="1">IFERROR(__xludf.DUMMYFUNCTION("""COMPUTED_VALUE"""),"20220201MNSOR")</f>
        <v>20220201MNSOR</v>
      </c>
      <c r="B817" s="1">
        <f ca="1">IFERROR(__xludf.DUMMYFUNCTION("""COMPUTED_VALUE"""),18)</f>
        <v>18</v>
      </c>
      <c r="C817" s="1" t="str">
        <f ca="1">IFERROR(__xludf.DUMMYFUNCTION("""COMPUTED_VALUE"""),"Male")</f>
        <v>Male</v>
      </c>
      <c r="D817" s="1" t="str">
        <f ca="1">IFERROR(__xludf.DUMMYFUNCTION("""COMPUTED_VALUE"""),"Hispanic")</f>
        <v>Hispanic</v>
      </c>
      <c r="E817" s="1" t="str">
        <f ca="1">IFERROR(__xludf.DUMMYFUNCTION("""COMPUTED_VALUE"""),"Student")</f>
        <v>Student</v>
      </c>
      <c r="F817" s="1" t="str">
        <f ca="1">IFERROR(__xludf.DUMMYFUNCTION("""COMPUTED_VALUE"""),"Fled/Apprehended")</f>
        <v>Fled/Apprehended</v>
      </c>
      <c r="G817" s="1" t="str">
        <f ca="1">IFERROR(__xludf.DUMMYFUNCTION("""COMPUTED_VALUE"""),"No")</f>
        <v>No</v>
      </c>
      <c r="H817" s="1" t="str">
        <f ca="1">IFERROR(__xludf.DUMMYFUNCTION("""COMPUTED_VALUE"""),"None")</f>
        <v>None</v>
      </c>
    </row>
    <row r="818" spans="1:8" ht="12.5">
      <c r="A818" s="1" t="str">
        <f ca="1">IFERROR(__xludf.DUMMYFUNCTION("""COMPUTED_VALUE"""),"20220201MNSOR")</f>
        <v>20220201MNSOR</v>
      </c>
      <c r="B818" s="1">
        <f ca="1">IFERROR(__xludf.DUMMYFUNCTION("""COMPUTED_VALUE"""),19)</f>
        <v>19</v>
      </c>
      <c r="C818" s="1" t="str">
        <f ca="1">IFERROR(__xludf.DUMMYFUNCTION("""COMPUTED_VALUE"""),"Male")</f>
        <v>Male</v>
      </c>
      <c r="D818" s="1" t="str">
        <f ca="1">IFERROR(__xludf.DUMMYFUNCTION("""COMPUTED_VALUE"""),"Hispanic")</f>
        <v>Hispanic</v>
      </c>
      <c r="E818" s="1" t="str">
        <f ca="1">IFERROR(__xludf.DUMMYFUNCTION("""COMPUTED_VALUE"""),"Student")</f>
        <v>Student</v>
      </c>
      <c r="F818" s="1" t="str">
        <f ca="1">IFERROR(__xludf.DUMMYFUNCTION("""COMPUTED_VALUE"""),"Fled/Apprehended")</f>
        <v>Fled/Apprehended</v>
      </c>
      <c r="G818" s="1" t="str">
        <f ca="1">IFERROR(__xludf.DUMMYFUNCTION("""COMPUTED_VALUE"""),"No")</f>
        <v>No</v>
      </c>
      <c r="H818" s="1" t="str">
        <f ca="1">IFERROR(__xludf.DUMMYFUNCTION("""COMPUTED_VALUE"""),"None")</f>
        <v>None</v>
      </c>
    </row>
    <row r="819" spans="1:8" ht="12.5">
      <c r="A819" s="1" t="str">
        <f ca="1">IFERROR(__xludf.DUMMYFUNCTION("""COMPUTED_VALUE"""),"20220201ILALC")</f>
        <v>20220201ILALC</v>
      </c>
      <c r="B819" s="1" t="str">
        <f ca="1">IFERROR(__xludf.DUMMYFUNCTION("""COMPUTED_VALUE"""),"Adult")</f>
        <v>Adult</v>
      </c>
      <c r="C819" s="1" t="str">
        <f ca="1">IFERROR(__xludf.DUMMYFUNCTION("""COMPUTED_VALUE"""),"Male")</f>
        <v>Male</v>
      </c>
      <c r="D819" s="1"/>
      <c r="E819" s="1" t="str">
        <f ca="1">IFERROR(__xludf.DUMMYFUNCTION("""COMPUTED_VALUE"""),"No Relation")</f>
        <v>No Relation</v>
      </c>
      <c r="F819" s="1" t="str">
        <f ca="1">IFERROR(__xludf.DUMMYFUNCTION("""COMPUTED_VALUE"""),"Fled/Escaped")</f>
        <v>Fled/Escaped</v>
      </c>
      <c r="G819" s="1" t="str">
        <f ca="1">IFERROR(__xludf.DUMMYFUNCTION("""COMPUTED_VALUE"""),"No")</f>
        <v>No</v>
      </c>
      <c r="H819" s="1" t="str">
        <f ca="1">IFERROR(__xludf.DUMMYFUNCTION("""COMPUTED_VALUE"""),"None")</f>
        <v>None</v>
      </c>
    </row>
    <row r="820" spans="1:8" ht="12.5">
      <c r="A820" s="1" t="str">
        <f ca="1">IFERROR(__xludf.DUMMYFUNCTION("""COMPUTED_VALUE"""),"20220129WIBEB")</f>
        <v>20220129WIBEB</v>
      </c>
      <c r="B820" s="1">
        <f ca="1">IFERROR(__xludf.DUMMYFUNCTION("""COMPUTED_VALUE"""),19)</f>
        <v>19</v>
      </c>
      <c r="C820" s="1" t="str">
        <f ca="1">IFERROR(__xludf.DUMMYFUNCTION("""COMPUTED_VALUE"""),"Male")</f>
        <v>Male</v>
      </c>
      <c r="D820" s="1"/>
      <c r="E820" s="1" t="str">
        <f ca="1">IFERROR(__xludf.DUMMYFUNCTION("""COMPUTED_VALUE"""),"Nonstudent Using Athletic Facilities/Attending Game")</f>
        <v>Nonstudent Using Athletic Facilities/Attending Game</v>
      </c>
      <c r="F820" s="1" t="str">
        <f ca="1">IFERROR(__xludf.DUMMYFUNCTION("""COMPUTED_VALUE"""),"Fled/Apprehended")</f>
        <v>Fled/Apprehended</v>
      </c>
      <c r="G820" s="1" t="str">
        <f ca="1">IFERROR(__xludf.DUMMYFUNCTION("""COMPUTED_VALUE"""),"No")</f>
        <v>No</v>
      </c>
      <c r="H820" s="1" t="str">
        <f ca="1">IFERROR(__xludf.DUMMYFUNCTION("""COMPUTED_VALUE"""),"None")</f>
        <v>None</v>
      </c>
    </row>
    <row r="821" spans="1:8" ht="12.5">
      <c r="A821" s="1" t="str">
        <f ca="1">IFERROR(__xludf.DUMMYFUNCTION("""COMPUTED_VALUE"""),"20220128LACAM")</f>
        <v>20220128LACAM</v>
      </c>
      <c r="B821" s="1" t="str">
        <f ca="1">IFERROR(__xludf.DUMMYFUNCTION("""COMPUTED_VALUE"""),"Adult")</f>
        <v>Adult</v>
      </c>
      <c r="C821" s="1" t="str">
        <f ca="1">IFERROR(__xludf.DUMMYFUNCTION("""COMPUTED_VALUE"""),"Male")</f>
        <v>Male</v>
      </c>
      <c r="D821" s="1"/>
      <c r="E821" s="1" t="str">
        <f ca="1">IFERROR(__xludf.DUMMYFUNCTION("""COMPUTED_VALUE"""),"No Relation")</f>
        <v>No Relation</v>
      </c>
      <c r="F821" s="1" t="str">
        <f ca="1">IFERROR(__xludf.DUMMYFUNCTION("""COMPUTED_VALUE"""),"Fled/Escaped")</f>
        <v>Fled/Escaped</v>
      </c>
      <c r="G821" s="1" t="str">
        <f ca="1">IFERROR(__xludf.DUMMYFUNCTION("""COMPUTED_VALUE"""),"No")</f>
        <v>No</v>
      </c>
      <c r="H821" s="1" t="str">
        <f ca="1">IFERROR(__xludf.DUMMYFUNCTION("""COMPUTED_VALUE"""),"None")</f>
        <v>None</v>
      </c>
    </row>
    <row r="822" spans="1:8" ht="12.5">
      <c r="A822" s="1" t="str">
        <f ca="1">IFERROR(__xludf.DUMMYFUNCTION("""COMPUTED_VALUE"""),"20220127TXMOH")</f>
        <v>20220127TXMOH</v>
      </c>
      <c r="B822" s="1" t="str">
        <f ca="1">IFERROR(__xludf.DUMMYFUNCTION("""COMPUTED_VALUE"""),"Adult")</f>
        <v>Adult</v>
      </c>
      <c r="C822" s="1" t="str">
        <f ca="1">IFERROR(__xludf.DUMMYFUNCTION("""COMPUTED_VALUE"""),"Male")</f>
        <v>Male</v>
      </c>
      <c r="D822" s="1"/>
      <c r="E822" s="1" t="str">
        <f ca="1">IFERROR(__xludf.DUMMYFUNCTION("""COMPUTED_VALUE"""),"No Relation")</f>
        <v>No Relation</v>
      </c>
      <c r="F822" s="1" t="str">
        <f ca="1">IFERROR(__xludf.DUMMYFUNCTION("""COMPUTED_VALUE"""),"Fled/Escaped")</f>
        <v>Fled/Escaped</v>
      </c>
      <c r="G822" s="1" t="str">
        <f ca="1">IFERROR(__xludf.DUMMYFUNCTION("""COMPUTED_VALUE"""),"No")</f>
        <v>No</v>
      </c>
      <c r="H822" s="1" t="str">
        <f ca="1">IFERROR(__xludf.DUMMYFUNCTION("""COMPUTED_VALUE"""),"None")</f>
        <v>None</v>
      </c>
    </row>
    <row r="823" spans="1:8" ht="12.5">
      <c r="A823" s="1" t="str">
        <f ca="1">IFERROR(__xludf.DUMMYFUNCTION("""COMPUTED_VALUE"""),"20220126PABAP")</f>
        <v>20220126PABAP</v>
      </c>
      <c r="B823" s="1"/>
      <c r="C823" s="1"/>
      <c r="D823" s="1"/>
      <c r="E823" s="1"/>
      <c r="F823" s="1" t="str">
        <f ca="1">IFERROR(__xludf.DUMMYFUNCTION("""COMPUTED_VALUE"""),"Fled/Escaped")</f>
        <v>Fled/Escaped</v>
      </c>
      <c r="G823" s="1" t="str">
        <f ca="1">IFERROR(__xludf.DUMMYFUNCTION("""COMPUTED_VALUE"""),"No")</f>
        <v>No</v>
      </c>
      <c r="H823" s="1" t="str">
        <f ca="1">IFERROR(__xludf.DUMMYFUNCTION("""COMPUTED_VALUE"""),"None")</f>
        <v>None</v>
      </c>
    </row>
    <row r="824" spans="1:8" ht="12.5">
      <c r="A824" s="1" t="str">
        <f ca="1">IFERROR(__xludf.DUMMYFUNCTION("""COMPUTED_VALUE"""),"20220124NVSUL")</f>
        <v>20220124NVSUL</v>
      </c>
      <c r="B824" s="1"/>
      <c r="C824" s="1"/>
      <c r="D824" s="1"/>
      <c r="E824" s="1"/>
      <c r="F824" s="1" t="str">
        <f ca="1">IFERROR(__xludf.DUMMYFUNCTION("""COMPUTED_VALUE"""),"Fled/Escaped")</f>
        <v>Fled/Escaped</v>
      </c>
      <c r="G824" s="1" t="str">
        <f ca="1">IFERROR(__xludf.DUMMYFUNCTION("""COMPUTED_VALUE"""),"No")</f>
        <v>No</v>
      </c>
      <c r="H824" s="1" t="str">
        <f ca="1">IFERROR(__xludf.DUMMYFUNCTION("""COMPUTED_VALUE"""),"None")</f>
        <v>None</v>
      </c>
    </row>
    <row r="825" spans="1:8" ht="12.5">
      <c r="A825" s="1" t="str">
        <f ca="1">IFERROR(__xludf.DUMMYFUNCTION("""COMPUTED_VALUE"""),"20220124IDDAD")</f>
        <v>20220124IDDAD</v>
      </c>
      <c r="B825" s="1">
        <f ca="1">IFERROR(__xludf.DUMMYFUNCTION("""COMPUTED_VALUE"""),40)</f>
        <v>40</v>
      </c>
      <c r="C825" s="1" t="str">
        <f ca="1">IFERROR(__xludf.DUMMYFUNCTION("""COMPUTED_VALUE"""),"Male")</f>
        <v>Male</v>
      </c>
      <c r="D825" s="1" t="str">
        <f ca="1">IFERROR(__xludf.DUMMYFUNCTION("""COMPUTED_VALUE"""),"White")</f>
        <v>White</v>
      </c>
      <c r="E825" s="1" t="str">
        <f ca="1">IFERROR(__xludf.DUMMYFUNCTION("""COMPUTED_VALUE"""),"No Relation")</f>
        <v>No Relation</v>
      </c>
      <c r="F825" s="1" t="str">
        <f ca="1">IFERROR(__xludf.DUMMYFUNCTION("""COMPUTED_VALUE"""),"Apprehended/Killed by LE")</f>
        <v>Apprehended/Killed by LE</v>
      </c>
      <c r="G825" s="1" t="str">
        <f ca="1">IFERROR(__xludf.DUMMYFUNCTION("""COMPUTED_VALUE"""),"No")</f>
        <v>No</v>
      </c>
      <c r="H825" s="1" t="str">
        <f ca="1">IFERROR(__xludf.DUMMYFUNCTION("""COMPUTED_VALUE"""),"None")</f>
        <v>None</v>
      </c>
    </row>
    <row r="826" spans="1:8" ht="12.5">
      <c r="A826" s="1" t="str">
        <f ca="1">IFERROR(__xludf.DUMMYFUNCTION("""COMPUTED_VALUE"""),"20220121MDMAR")</f>
        <v>20220121MDMAR</v>
      </c>
      <c r="B826" s="1">
        <f ca="1">IFERROR(__xludf.DUMMYFUNCTION("""COMPUTED_VALUE"""),17)</f>
        <v>17</v>
      </c>
      <c r="C826" s="1" t="str">
        <f ca="1">IFERROR(__xludf.DUMMYFUNCTION("""COMPUTED_VALUE"""),"Male")</f>
        <v>Male</v>
      </c>
      <c r="D826" s="1"/>
      <c r="E826" s="1" t="str">
        <f ca="1">IFERROR(__xludf.DUMMYFUNCTION("""COMPUTED_VALUE"""),"Student")</f>
        <v>Student</v>
      </c>
      <c r="F826" s="1" t="str">
        <f ca="1">IFERROR(__xludf.DUMMYFUNCTION("""COMPUTED_VALUE"""),"Fled/Apprehended")</f>
        <v>Fled/Apprehended</v>
      </c>
      <c r="G826" s="1" t="str">
        <f ca="1">IFERROR(__xludf.DUMMYFUNCTION("""COMPUTED_VALUE"""),"No")</f>
        <v>No</v>
      </c>
      <c r="H826" s="1" t="str">
        <f ca="1">IFERROR(__xludf.DUMMYFUNCTION("""COMPUTED_VALUE"""),"None")</f>
        <v>None</v>
      </c>
    </row>
    <row r="827" spans="1:8" ht="12.5">
      <c r="A827" s="1" t="str">
        <f ca="1">IFERROR(__xludf.DUMMYFUNCTION("""COMPUTED_VALUE"""),"20220121GAMCA")</f>
        <v>20220121GAMCA</v>
      </c>
      <c r="B827" s="1">
        <f ca="1">IFERROR(__xludf.DUMMYFUNCTION("""COMPUTED_VALUE"""),19)</f>
        <v>19</v>
      </c>
      <c r="C827" s="1" t="str">
        <f ca="1">IFERROR(__xludf.DUMMYFUNCTION("""COMPUTED_VALUE"""),"Male")</f>
        <v>Male</v>
      </c>
      <c r="D827" s="1" t="str">
        <f ca="1">IFERROR(__xludf.DUMMYFUNCTION("""COMPUTED_VALUE"""),"Black")</f>
        <v>Black</v>
      </c>
      <c r="E827" s="1" t="str">
        <f ca="1">IFERROR(__xludf.DUMMYFUNCTION("""COMPUTED_VALUE"""),"Student")</f>
        <v>Student</v>
      </c>
      <c r="F827" s="1" t="str">
        <f ca="1">IFERROR(__xludf.DUMMYFUNCTION("""COMPUTED_VALUE"""),"Fled/Apprehended")</f>
        <v>Fled/Apprehended</v>
      </c>
      <c r="G827" s="1" t="str">
        <f ca="1">IFERROR(__xludf.DUMMYFUNCTION("""COMPUTED_VALUE"""),"No")</f>
        <v>No</v>
      </c>
      <c r="H827" s="1" t="str">
        <f ca="1">IFERROR(__xludf.DUMMYFUNCTION("""COMPUTED_VALUE"""),"None")</f>
        <v>None</v>
      </c>
    </row>
    <row r="828" spans="1:8" ht="12.5">
      <c r="A828" s="1" t="str">
        <f ca="1">IFERROR(__xludf.DUMMYFUNCTION("""COMPUTED_VALUE"""),"20220119VAMAP")</f>
        <v>20220119VAMAP</v>
      </c>
      <c r="B828" s="1">
        <f ca="1">IFERROR(__xludf.DUMMYFUNCTION("""COMPUTED_VALUE"""),19)</f>
        <v>19</v>
      </c>
      <c r="C828" s="1" t="str">
        <f ca="1">IFERROR(__xludf.DUMMYFUNCTION("""COMPUTED_VALUE"""),"Male")</f>
        <v>Male</v>
      </c>
      <c r="D828" s="1"/>
      <c r="E828" s="1"/>
      <c r="F828" s="1" t="str">
        <f ca="1">IFERROR(__xludf.DUMMYFUNCTION("""COMPUTED_VALUE"""),"Fled/Apprehended")</f>
        <v>Fled/Apprehended</v>
      </c>
      <c r="G828" s="1" t="str">
        <f ca="1">IFERROR(__xludf.DUMMYFUNCTION("""COMPUTED_VALUE"""),"No")</f>
        <v>No</v>
      </c>
      <c r="H828" s="1" t="str">
        <f ca="1">IFERROR(__xludf.DUMMYFUNCTION("""COMPUTED_VALUE"""),"None")</f>
        <v>None</v>
      </c>
    </row>
    <row r="829" spans="1:8" ht="12.5">
      <c r="A829" s="1" t="str">
        <f ca="1">IFERROR(__xludf.DUMMYFUNCTION("""COMPUTED_VALUE"""),"20220119VAMAP")</f>
        <v>20220119VAMAP</v>
      </c>
      <c r="B829" s="1">
        <f ca="1">IFERROR(__xludf.DUMMYFUNCTION("""COMPUTED_VALUE"""),18)</f>
        <v>18</v>
      </c>
      <c r="C829" s="1" t="str">
        <f ca="1">IFERROR(__xludf.DUMMYFUNCTION("""COMPUTED_VALUE"""),"Male")</f>
        <v>Male</v>
      </c>
      <c r="D829" s="1"/>
      <c r="E829" s="1"/>
      <c r="F829" s="1" t="str">
        <f ca="1">IFERROR(__xludf.DUMMYFUNCTION("""COMPUTED_VALUE"""),"Fled/Apprehended")</f>
        <v>Fled/Apprehended</v>
      </c>
      <c r="G829" s="1" t="str">
        <f ca="1">IFERROR(__xludf.DUMMYFUNCTION("""COMPUTED_VALUE"""),"No")</f>
        <v>No</v>
      </c>
      <c r="H829" s="1" t="str">
        <f ca="1">IFERROR(__xludf.DUMMYFUNCTION("""COMPUTED_VALUE"""),"None")</f>
        <v>None</v>
      </c>
    </row>
    <row r="830" spans="1:8" ht="12.5">
      <c r="A830" s="1" t="str">
        <f ca="1">IFERROR(__xludf.DUMMYFUNCTION("""COMPUTED_VALUE"""),"20220119VAMAP")</f>
        <v>20220119VAMAP</v>
      </c>
      <c r="B830" s="1" t="str">
        <f ca="1">IFERROR(__xludf.DUMMYFUNCTION("""COMPUTED_VALUE"""),"Teen")</f>
        <v>Teen</v>
      </c>
      <c r="C830" s="1" t="str">
        <f ca="1">IFERROR(__xludf.DUMMYFUNCTION("""COMPUTED_VALUE"""),"Male")</f>
        <v>Male</v>
      </c>
      <c r="D830" s="1"/>
      <c r="E830" s="1"/>
      <c r="F830" s="1" t="str">
        <f ca="1">IFERROR(__xludf.DUMMYFUNCTION("""COMPUTED_VALUE"""),"Fled/Apprehended")</f>
        <v>Fled/Apprehended</v>
      </c>
      <c r="G830" s="1" t="str">
        <f ca="1">IFERROR(__xludf.DUMMYFUNCTION("""COMPUTED_VALUE"""),"No")</f>
        <v>No</v>
      </c>
      <c r="H830" s="1" t="str">
        <f ca="1">IFERROR(__xludf.DUMMYFUNCTION("""COMPUTED_VALUE"""),"None")</f>
        <v>None</v>
      </c>
    </row>
    <row r="831" spans="1:8" ht="12.5">
      <c r="A831" s="1" t="str">
        <f ca="1">IFERROR(__xludf.DUMMYFUNCTION("""COMPUTED_VALUE"""),"20220119PAPIP")</f>
        <v>20220119PAPIP</v>
      </c>
      <c r="B831" s="1">
        <f ca="1">IFERROR(__xludf.DUMMYFUNCTION("""COMPUTED_VALUE"""),16)</f>
        <v>16</v>
      </c>
      <c r="C831" s="1" t="str">
        <f ca="1">IFERROR(__xludf.DUMMYFUNCTION("""COMPUTED_VALUE"""),"Male")</f>
        <v>Male</v>
      </c>
      <c r="D831" s="1" t="str">
        <f ca="1">IFERROR(__xludf.DUMMYFUNCTION("""COMPUTED_VALUE"""),"Black")</f>
        <v>Black</v>
      </c>
      <c r="E831" s="1" t="str">
        <f ca="1">IFERROR(__xludf.DUMMYFUNCTION("""COMPUTED_VALUE"""),"Nonstudent")</f>
        <v>Nonstudent</v>
      </c>
      <c r="F831" s="1" t="str">
        <f ca="1">IFERROR(__xludf.DUMMYFUNCTION("""COMPUTED_VALUE"""),"Fled/Apprehended")</f>
        <v>Fled/Apprehended</v>
      </c>
      <c r="G831" s="1" t="str">
        <f ca="1">IFERROR(__xludf.DUMMYFUNCTION("""COMPUTED_VALUE"""),"No")</f>
        <v>No</v>
      </c>
      <c r="H831" s="1" t="str">
        <f ca="1">IFERROR(__xludf.DUMMYFUNCTION("""COMPUTED_VALUE"""),"None")</f>
        <v>None</v>
      </c>
    </row>
    <row r="832" spans="1:8" ht="12.5">
      <c r="A832" s="1" t="str">
        <f ca="1">IFERROR(__xludf.DUMMYFUNCTION("""COMPUTED_VALUE"""),"20220119PAPIP")</f>
        <v>20220119PAPIP</v>
      </c>
      <c r="B832" s="1">
        <f ca="1">IFERROR(__xludf.DUMMYFUNCTION("""COMPUTED_VALUE"""),15)</f>
        <v>15</v>
      </c>
      <c r="C832" s="1" t="str">
        <f ca="1">IFERROR(__xludf.DUMMYFUNCTION("""COMPUTED_VALUE"""),"Male")</f>
        <v>Male</v>
      </c>
      <c r="D832" s="1" t="str">
        <f ca="1">IFERROR(__xludf.DUMMYFUNCTION("""COMPUTED_VALUE"""),"Black")</f>
        <v>Black</v>
      </c>
      <c r="E832" s="1" t="str">
        <f ca="1">IFERROR(__xludf.DUMMYFUNCTION("""COMPUTED_VALUE"""),"Nonstudent")</f>
        <v>Nonstudent</v>
      </c>
      <c r="F832" s="1" t="str">
        <f ca="1">IFERROR(__xludf.DUMMYFUNCTION("""COMPUTED_VALUE"""),"Fled/Apprehended")</f>
        <v>Fled/Apprehended</v>
      </c>
      <c r="G832" s="1" t="str">
        <f ca="1">IFERROR(__xludf.DUMMYFUNCTION("""COMPUTED_VALUE"""),"No")</f>
        <v>No</v>
      </c>
      <c r="H832" s="1" t="str">
        <f ca="1">IFERROR(__xludf.DUMMYFUNCTION("""COMPUTED_VALUE"""),"None")</f>
        <v>None</v>
      </c>
    </row>
    <row r="833" spans="1:8" ht="12.5">
      <c r="A833" s="1" t="str">
        <f ca="1">IFERROR(__xludf.DUMMYFUNCTION("""COMPUTED_VALUE"""),"20220119FLSES")</f>
        <v>20220119FLSES</v>
      </c>
      <c r="B833" s="1">
        <f ca="1">IFERROR(__xludf.DUMMYFUNCTION("""COMPUTED_VALUE"""),16)</f>
        <v>16</v>
      </c>
      <c r="C833" s="1" t="str">
        <f ca="1">IFERROR(__xludf.DUMMYFUNCTION("""COMPUTED_VALUE"""),"Male")</f>
        <v>Male</v>
      </c>
      <c r="D833" s="1" t="str">
        <f ca="1">IFERROR(__xludf.DUMMYFUNCTION("""COMPUTED_VALUE"""),"Black")</f>
        <v>Black</v>
      </c>
      <c r="E833" s="1" t="str">
        <f ca="1">IFERROR(__xludf.DUMMYFUNCTION("""COMPUTED_VALUE"""),"Student")</f>
        <v>Student</v>
      </c>
      <c r="F833" s="1" t="str">
        <f ca="1">IFERROR(__xludf.DUMMYFUNCTION("""COMPUTED_VALUE"""),"Fled/Apprehended")</f>
        <v>Fled/Apprehended</v>
      </c>
      <c r="G833" s="1" t="str">
        <f ca="1">IFERROR(__xludf.DUMMYFUNCTION("""COMPUTED_VALUE"""),"No")</f>
        <v>No</v>
      </c>
      <c r="H833" s="1" t="str">
        <f ca="1">IFERROR(__xludf.DUMMYFUNCTION("""COMPUTED_VALUE"""),"None")</f>
        <v>None</v>
      </c>
    </row>
    <row r="834" spans="1:8" ht="12.5">
      <c r="A834" s="1" t="str">
        <f ca="1">IFERROR(__xludf.DUMMYFUNCTION("""COMPUTED_VALUE"""),"20220119DCANW")</f>
        <v>20220119DCANW</v>
      </c>
      <c r="B834" s="1" t="str">
        <f ca="1">IFERROR(__xludf.DUMMYFUNCTION("""COMPUTED_VALUE"""),"Adult")</f>
        <v>Adult</v>
      </c>
      <c r="C834" s="1" t="str">
        <f ca="1">IFERROR(__xludf.DUMMYFUNCTION("""COMPUTED_VALUE"""),"Male")</f>
        <v>Male</v>
      </c>
      <c r="D834" s="1"/>
      <c r="E834" s="1" t="str">
        <f ca="1">IFERROR(__xludf.DUMMYFUNCTION("""COMPUTED_VALUE"""),"No Relation")</f>
        <v>No Relation</v>
      </c>
      <c r="F834" s="1" t="str">
        <f ca="1">IFERROR(__xludf.DUMMYFUNCTION("""COMPUTED_VALUE"""),"Fled/Escaped")</f>
        <v>Fled/Escaped</v>
      </c>
      <c r="G834" s="1" t="str">
        <f ca="1">IFERROR(__xludf.DUMMYFUNCTION("""COMPUTED_VALUE"""),"No")</f>
        <v>No</v>
      </c>
      <c r="H834" s="1" t="str">
        <f ca="1">IFERROR(__xludf.DUMMYFUNCTION("""COMPUTED_VALUE"""),"None")</f>
        <v>None</v>
      </c>
    </row>
    <row r="835" spans="1:8" ht="12.5">
      <c r="A835" s="1" t="str">
        <f ca="1">IFERROR(__xludf.DUMMYFUNCTION("""COMPUTED_VALUE"""),"20220117TXPYH")</f>
        <v>20220117TXPYH</v>
      </c>
      <c r="B835" s="1" t="str">
        <f ca="1">IFERROR(__xludf.DUMMYFUNCTION("""COMPUTED_VALUE"""),"Adult")</f>
        <v>Adult</v>
      </c>
      <c r="C835" s="1" t="str">
        <f ca="1">IFERROR(__xludf.DUMMYFUNCTION("""COMPUTED_VALUE"""),"Male")</f>
        <v>Male</v>
      </c>
      <c r="D835" s="1"/>
      <c r="E835" s="1" t="str">
        <f ca="1">IFERROR(__xludf.DUMMYFUNCTION("""COMPUTED_VALUE"""),"No Relation")</f>
        <v>No Relation</v>
      </c>
      <c r="F835" s="1" t="str">
        <f ca="1">IFERROR(__xludf.DUMMYFUNCTION("""COMPUTED_VALUE"""),"Fled/Escaped")</f>
        <v>Fled/Escaped</v>
      </c>
      <c r="G835" s="1" t="str">
        <f ca="1">IFERROR(__xludf.DUMMYFUNCTION("""COMPUTED_VALUE"""),"No")</f>
        <v>No</v>
      </c>
      <c r="H835" s="1" t="str">
        <f ca="1">IFERROR(__xludf.DUMMYFUNCTION("""COMPUTED_VALUE"""),"None")</f>
        <v>None</v>
      </c>
    </row>
    <row r="836" spans="1:8" ht="12.5">
      <c r="A836" s="1" t="str">
        <f ca="1">IFERROR(__xludf.DUMMYFUNCTION("""COMPUTED_VALUE"""),"20220117TXPYH")</f>
        <v>20220117TXPYH</v>
      </c>
      <c r="B836" s="1" t="str">
        <f ca="1">IFERROR(__xludf.DUMMYFUNCTION("""COMPUTED_VALUE"""),"Adult")</f>
        <v>Adult</v>
      </c>
      <c r="C836" s="1" t="str">
        <f ca="1">IFERROR(__xludf.DUMMYFUNCTION("""COMPUTED_VALUE"""),"Male")</f>
        <v>Male</v>
      </c>
      <c r="D836" s="1"/>
      <c r="E836" s="1" t="str">
        <f ca="1">IFERROR(__xludf.DUMMYFUNCTION("""COMPUTED_VALUE"""),"No Relation")</f>
        <v>No Relation</v>
      </c>
      <c r="F836" s="1" t="str">
        <f ca="1">IFERROR(__xludf.DUMMYFUNCTION("""COMPUTED_VALUE"""),"Fled/Escaped")</f>
        <v>Fled/Escaped</v>
      </c>
      <c r="G836" s="1" t="str">
        <f ca="1">IFERROR(__xludf.DUMMYFUNCTION("""COMPUTED_VALUE"""),"No")</f>
        <v>No</v>
      </c>
      <c r="H836" s="1" t="str">
        <f ca="1">IFERROR(__xludf.DUMMYFUNCTION("""COMPUTED_VALUE"""),"None")</f>
        <v>None</v>
      </c>
    </row>
    <row r="837" spans="1:8" ht="12.5">
      <c r="A837" s="1" t="str">
        <f ca="1">IFERROR(__xludf.DUMMYFUNCTION("""COMPUTED_VALUE"""),"20220117TXPYH")</f>
        <v>20220117TXPYH</v>
      </c>
      <c r="B837" s="1" t="str">
        <f ca="1">IFERROR(__xludf.DUMMYFUNCTION("""COMPUTED_VALUE"""),"Adult")</f>
        <v>Adult</v>
      </c>
      <c r="C837" s="1" t="str">
        <f ca="1">IFERROR(__xludf.DUMMYFUNCTION("""COMPUTED_VALUE"""),"Male")</f>
        <v>Male</v>
      </c>
      <c r="D837" s="1"/>
      <c r="E837" s="1" t="str">
        <f ca="1">IFERROR(__xludf.DUMMYFUNCTION("""COMPUTED_VALUE"""),"No Relation")</f>
        <v>No Relation</v>
      </c>
      <c r="F837" s="1" t="str">
        <f ca="1">IFERROR(__xludf.DUMMYFUNCTION("""COMPUTED_VALUE"""),"Fled/Escaped")</f>
        <v>Fled/Escaped</v>
      </c>
      <c r="G837" s="1" t="str">
        <f ca="1">IFERROR(__xludf.DUMMYFUNCTION("""COMPUTED_VALUE"""),"No")</f>
        <v>No</v>
      </c>
      <c r="H837" s="1" t="str">
        <f ca="1">IFERROR(__xludf.DUMMYFUNCTION("""COMPUTED_VALUE"""),"None")</f>
        <v>None</v>
      </c>
    </row>
    <row r="838" spans="1:8" ht="12.5">
      <c r="A838" s="1" t="str">
        <f ca="1">IFERROR(__xludf.DUMMYFUNCTION("""COMPUTED_VALUE"""),"20220114MDGAG")</f>
        <v>20220114MDGAG</v>
      </c>
      <c r="B838" s="1">
        <f ca="1">IFERROR(__xludf.DUMMYFUNCTION("""COMPUTED_VALUE"""),27)</f>
        <v>27</v>
      </c>
      <c r="C838" s="1" t="str">
        <f ca="1">IFERROR(__xludf.DUMMYFUNCTION("""COMPUTED_VALUE"""),"Male")</f>
        <v>Male</v>
      </c>
      <c r="D838" s="1" t="str">
        <f ca="1">IFERROR(__xludf.DUMMYFUNCTION("""COMPUTED_VALUE"""),"Hispanic")</f>
        <v>Hispanic</v>
      </c>
      <c r="E838" s="1" t="str">
        <f ca="1">IFERROR(__xludf.DUMMYFUNCTION("""COMPUTED_VALUE"""),"No Relation")</f>
        <v>No Relation</v>
      </c>
      <c r="F838" s="1" t="str">
        <f ca="1">IFERROR(__xludf.DUMMYFUNCTION("""COMPUTED_VALUE"""),"Apprehended/Killed by LE")</f>
        <v>Apprehended/Killed by LE</v>
      </c>
      <c r="G838" s="1" t="str">
        <f ca="1">IFERROR(__xludf.DUMMYFUNCTION("""COMPUTED_VALUE"""),"No")</f>
        <v>No</v>
      </c>
      <c r="H838" s="1" t="str">
        <f ca="1">IFERROR(__xludf.DUMMYFUNCTION("""COMPUTED_VALUE"""),"None")</f>
        <v>None</v>
      </c>
    </row>
    <row r="839" spans="1:8" ht="12.5">
      <c r="A839" s="1" t="str">
        <f ca="1">IFERROR(__xludf.DUMMYFUNCTION("""COMPUTED_VALUE"""),"20220111NMVAA")</f>
        <v>20220111NMVAA</v>
      </c>
      <c r="B839" s="1"/>
      <c r="C839" s="1"/>
      <c r="D839" s="1"/>
      <c r="E839" s="1"/>
      <c r="F839" s="1" t="str">
        <f ca="1">IFERROR(__xludf.DUMMYFUNCTION("""COMPUTED_VALUE"""),"Fled/Escaped")</f>
        <v>Fled/Escaped</v>
      </c>
      <c r="G839" s="1" t="str">
        <f ca="1">IFERROR(__xludf.DUMMYFUNCTION("""COMPUTED_VALUE"""),"No")</f>
        <v>No</v>
      </c>
      <c r="H839" s="1" t="str">
        <f ca="1">IFERROR(__xludf.DUMMYFUNCTION("""COMPUTED_VALUE"""),"None")</f>
        <v>None</v>
      </c>
    </row>
    <row r="840" spans="1:8" ht="12.5">
      <c r="A840" s="1" t="str">
        <f ca="1">IFERROR(__xludf.DUMMYFUNCTION("""COMPUTED_VALUE"""),"20220106CAFLS")</f>
        <v>20220106CAFLS</v>
      </c>
      <c r="B840" s="1" t="str">
        <f ca="1">IFERROR(__xludf.DUMMYFUNCTION("""COMPUTED_VALUE"""),"Teen")</f>
        <v>Teen</v>
      </c>
      <c r="C840" s="1" t="str">
        <f ca="1">IFERROR(__xludf.DUMMYFUNCTION("""COMPUTED_VALUE"""),"Male")</f>
        <v>Male</v>
      </c>
      <c r="D840" s="1"/>
      <c r="E840" s="1" t="str">
        <f ca="1">IFERROR(__xludf.DUMMYFUNCTION("""COMPUTED_VALUE"""),"Student")</f>
        <v>Student</v>
      </c>
      <c r="F840" s="1" t="str">
        <f ca="1">IFERROR(__xludf.DUMMYFUNCTION("""COMPUTED_VALUE"""),"Fled/Escaped")</f>
        <v>Fled/Escaped</v>
      </c>
      <c r="G840" s="1" t="str">
        <f ca="1">IFERROR(__xludf.DUMMYFUNCTION("""COMPUTED_VALUE"""),"No")</f>
        <v>No</v>
      </c>
      <c r="H840" s="1" t="str">
        <f ca="1">IFERROR(__xludf.DUMMYFUNCTION("""COMPUTED_VALUE"""),"None")</f>
        <v>None</v>
      </c>
    </row>
    <row r="841" spans="1:8" ht="12.5">
      <c r="A841" s="1" t="str">
        <f ca="1">IFERROR(__xludf.DUMMYFUNCTION("""COMPUTED_VALUE"""),"20220104ILAUR")</f>
        <v>20220104ILAUR</v>
      </c>
      <c r="B841" s="1">
        <f ca="1">IFERROR(__xludf.DUMMYFUNCTION("""COMPUTED_VALUE"""),16)</f>
        <v>16</v>
      </c>
      <c r="C841" s="1" t="str">
        <f ca="1">IFERROR(__xludf.DUMMYFUNCTION("""COMPUTED_VALUE"""),"Male")</f>
        <v>Male</v>
      </c>
      <c r="D841" s="1"/>
      <c r="E841" s="1" t="str">
        <f ca="1">IFERROR(__xludf.DUMMYFUNCTION("""COMPUTED_VALUE"""),"Student")</f>
        <v>Student</v>
      </c>
      <c r="F841" s="1" t="str">
        <f ca="1">IFERROR(__xludf.DUMMYFUNCTION("""COMPUTED_VALUE"""),"Fled/Apprehended")</f>
        <v>Fled/Apprehended</v>
      </c>
      <c r="G841" s="1" t="str">
        <f ca="1">IFERROR(__xludf.DUMMYFUNCTION("""COMPUTED_VALUE"""),"No")</f>
        <v>No</v>
      </c>
      <c r="H841" s="1" t="str">
        <f ca="1">IFERROR(__xludf.DUMMYFUNCTION("""COMPUTED_VALUE"""),"None")</f>
        <v>None</v>
      </c>
    </row>
    <row r="842" spans="1:8" ht="12.5">
      <c r="A842" s="1" t="str">
        <f ca="1">IFERROR(__xludf.DUMMYFUNCTION("""COMPUTED_VALUE"""),"20220104ILAUR")</f>
        <v>20220104ILAUR</v>
      </c>
      <c r="B842" s="1">
        <f ca="1">IFERROR(__xludf.DUMMYFUNCTION("""COMPUTED_VALUE"""),17)</f>
        <v>17</v>
      </c>
      <c r="C842" s="1" t="str">
        <f ca="1">IFERROR(__xludf.DUMMYFUNCTION("""COMPUTED_VALUE"""),"Male")</f>
        <v>Male</v>
      </c>
      <c r="D842" s="1"/>
      <c r="E842" s="1" t="str">
        <f ca="1">IFERROR(__xludf.DUMMYFUNCTION("""COMPUTED_VALUE"""),"Student")</f>
        <v>Student</v>
      </c>
      <c r="F842" s="1" t="str">
        <f ca="1">IFERROR(__xludf.DUMMYFUNCTION("""COMPUTED_VALUE"""),"Fled/Apprehended")</f>
        <v>Fled/Apprehended</v>
      </c>
      <c r="G842" s="1" t="str">
        <f ca="1">IFERROR(__xludf.DUMMYFUNCTION("""COMPUTED_VALUE"""),"No")</f>
        <v>No</v>
      </c>
      <c r="H842" s="1" t="str">
        <f ca="1">IFERROR(__xludf.DUMMYFUNCTION("""COMPUTED_VALUE"""),"None")</f>
        <v>None</v>
      </c>
    </row>
    <row r="843" spans="1:8" ht="12.5">
      <c r="A843" s="1" t="str">
        <f ca="1">IFERROR(__xludf.DUMMYFUNCTION("""COMPUTED_VALUE"""),"20220103WACHP")</f>
        <v>20220103WACHP</v>
      </c>
      <c r="B843" s="1" t="str">
        <f ca="1">IFERROR(__xludf.DUMMYFUNCTION("""COMPUTED_VALUE"""),"Adult")</f>
        <v>Adult</v>
      </c>
      <c r="C843" s="1" t="str">
        <f ca="1">IFERROR(__xludf.DUMMYFUNCTION("""COMPUTED_VALUE"""),"Female")</f>
        <v>Female</v>
      </c>
      <c r="D843" s="1"/>
      <c r="E843" s="1" t="str">
        <f ca="1">IFERROR(__xludf.DUMMYFUNCTION("""COMPUTED_VALUE"""),"No Relation")</f>
        <v>No Relation</v>
      </c>
      <c r="F843" s="1" t="str">
        <f ca="1">IFERROR(__xludf.DUMMYFUNCTION("""COMPUTED_VALUE"""),"Fled/Apprehended")</f>
        <v>Fled/Apprehended</v>
      </c>
      <c r="G843" s="1" t="str">
        <f ca="1">IFERROR(__xludf.DUMMYFUNCTION("""COMPUTED_VALUE"""),"No")</f>
        <v>No</v>
      </c>
      <c r="H843" s="1" t="str">
        <f ca="1">IFERROR(__xludf.DUMMYFUNCTION("""COMPUTED_VALUE"""),"None")</f>
        <v>None</v>
      </c>
    </row>
    <row r="844" spans="1:8" ht="12.5">
      <c r="A844" s="1" t="str">
        <f ca="1">IFERROR(__xludf.DUMMYFUNCTION("""COMPUTED_VALUE"""),"20220103OHCOC")</f>
        <v>20220103OHCOC</v>
      </c>
      <c r="B844" s="1"/>
      <c r="C844" s="1"/>
      <c r="D844" s="1"/>
      <c r="E844" s="1" t="str">
        <f ca="1">IFERROR(__xludf.DUMMYFUNCTION("""COMPUTED_VALUE"""),"No Relation")</f>
        <v>No Relation</v>
      </c>
      <c r="F844" s="1" t="str">
        <f ca="1">IFERROR(__xludf.DUMMYFUNCTION("""COMPUTED_VALUE"""),"Fled/Escaped")</f>
        <v>Fled/Escaped</v>
      </c>
      <c r="G844" s="1" t="str">
        <f ca="1">IFERROR(__xludf.DUMMYFUNCTION("""COMPUTED_VALUE"""),"No")</f>
        <v>No</v>
      </c>
      <c r="H844" s="1" t="str">
        <f ca="1">IFERROR(__xludf.DUMMYFUNCTION("""COMPUTED_VALUE"""),"None")</f>
        <v>None</v>
      </c>
    </row>
    <row r="845" spans="1:8" ht="12.5">
      <c r="A845" s="1" t="str">
        <f ca="1">IFERROR(__xludf.DUMMYFUNCTION("""COMPUTED_VALUE"""),"20211229NCCAS")</f>
        <v>20211229NCCAS</v>
      </c>
      <c r="B845" s="1" t="str">
        <f ca="1">IFERROR(__xludf.DUMMYFUNCTION("""COMPUTED_VALUE"""),"Teen")</f>
        <v>Teen</v>
      </c>
      <c r="C845" s="1" t="str">
        <f ca="1">IFERROR(__xludf.DUMMYFUNCTION("""COMPUTED_VALUE"""),"Male")</f>
        <v>Male</v>
      </c>
      <c r="D845" s="1"/>
      <c r="E845" s="1" t="str">
        <f ca="1">IFERROR(__xludf.DUMMYFUNCTION("""COMPUTED_VALUE"""),"Student")</f>
        <v>Student</v>
      </c>
      <c r="F845" s="1" t="str">
        <f ca="1">IFERROR(__xludf.DUMMYFUNCTION("""COMPUTED_VALUE"""),"Fled/Apprehended")</f>
        <v>Fled/Apprehended</v>
      </c>
      <c r="G845" s="1" t="str">
        <f ca="1">IFERROR(__xludf.DUMMYFUNCTION("""COMPUTED_VALUE"""),"No")</f>
        <v>No</v>
      </c>
      <c r="H845" s="1" t="str">
        <f ca="1">IFERROR(__xludf.DUMMYFUNCTION("""COMPUTED_VALUE"""),"None")</f>
        <v>None</v>
      </c>
    </row>
    <row r="846" spans="1:8" ht="12.5">
      <c r="A846" s="1" t="str">
        <f ca="1">IFERROR(__xludf.DUMMYFUNCTION("""COMPUTED_VALUE"""),"20211229NCCAS")</f>
        <v>20211229NCCAS</v>
      </c>
      <c r="B846" s="1" t="str">
        <f ca="1">IFERROR(__xludf.DUMMYFUNCTION("""COMPUTED_VALUE"""),"Teen")</f>
        <v>Teen</v>
      </c>
      <c r="C846" s="1" t="str">
        <f ca="1">IFERROR(__xludf.DUMMYFUNCTION("""COMPUTED_VALUE"""),"Male")</f>
        <v>Male</v>
      </c>
      <c r="D846" s="1"/>
      <c r="E846" s="1" t="str">
        <f ca="1">IFERROR(__xludf.DUMMYFUNCTION("""COMPUTED_VALUE"""),"Student")</f>
        <v>Student</v>
      </c>
      <c r="F846" s="1" t="str">
        <f ca="1">IFERROR(__xludf.DUMMYFUNCTION("""COMPUTED_VALUE"""),"Fled/Apprehended")</f>
        <v>Fled/Apprehended</v>
      </c>
      <c r="G846" s="1" t="str">
        <f ca="1">IFERROR(__xludf.DUMMYFUNCTION("""COMPUTED_VALUE"""),"No")</f>
        <v>No</v>
      </c>
      <c r="H846" s="1" t="str">
        <f ca="1">IFERROR(__xludf.DUMMYFUNCTION("""COMPUTED_VALUE"""),"None")</f>
        <v>None</v>
      </c>
    </row>
    <row r="847" spans="1:8" ht="12.5">
      <c r="A847" s="1" t="str">
        <f ca="1">IFERROR(__xludf.DUMMYFUNCTION("""COMPUTED_VALUE"""),"20211217TXWOD")</f>
        <v>20211217TXWOD</v>
      </c>
      <c r="B847" s="1" t="str">
        <f ca="1">IFERROR(__xludf.DUMMYFUNCTION("""COMPUTED_VALUE"""),"Teen")</f>
        <v>Teen</v>
      </c>
      <c r="C847" s="1" t="str">
        <f ca="1">IFERROR(__xludf.DUMMYFUNCTION("""COMPUTED_VALUE"""),"Male")</f>
        <v>Male</v>
      </c>
      <c r="D847" s="1" t="str">
        <f ca="1">IFERROR(__xludf.DUMMYFUNCTION("""COMPUTED_VALUE"""),"White")</f>
        <v>White</v>
      </c>
      <c r="E847" s="1" t="str">
        <f ca="1">IFERROR(__xludf.DUMMYFUNCTION("""COMPUTED_VALUE"""),"Student")</f>
        <v>Student</v>
      </c>
      <c r="F847" s="1" t="str">
        <f ca="1">IFERROR(__xludf.DUMMYFUNCTION("""COMPUTED_VALUE"""),"Fled/Apprehended")</f>
        <v>Fled/Apprehended</v>
      </c>
      <c r="G847" s="1" t="str">
        <f ca="1">IFERROR(__xludf.DUMMYFUNCTION("""COMPUTED_VALUE"""),"No")</f>
        <v>No</v>
      </c>
      <c r="H847" s="1" t="str">
        <f ca="1">IFERROR(__xludf.DUMMYFUNCTION("""COMPUTED_VALUE"""),"None")</f>
        <v>None</v>
      </c>
    </row>
    <row r="848" spans="1:8" ht="12.5">
      <c r="A848" s="1" t="str">
        <f ca="1">IFERROR(__xludf.DUMMYFUNCTION("""COMPUTED_VALUE"""),"20211216SCEAC")</f>
        <v>20211216SCEAC</v>
      </c>
      <c r="B848" s="1">
        <f ca="1">IFERROR(__xludf.DUMMYFUNCTION("""COMPUTED_VALUE"""),15)</f>
        <v>15</v>
      </c>
      <c r="C848" s="1" t="str">
        <f ca="1">IFERROR(__xludf.DUMMYFUNCTION("""COMPUTED_VALUE"""),"Male")</f>
        <v>Male</v>
      </c>
      <c r="D848" s="1"/>
      <c r="E848" s="1" t="str">
        <f ca="1">IFERROR(__xludf.DUMMYFUNCTION("""COMPUTED_VALUE"""),"Student")</f>
        <v>Student</v>
      </c>
      <c r="F848" s="1" t="str">
        <f ca="1">IFERROR(__xludf.DUMMYFUNCTION("""COMPUTED_VALUE"""),"Fled/Apprehended")</f>
        <v>Fled/Apprehended</v>
      </c>
      <c r="G848" s="1" t="str">
        <f ca="1">IFERROR(__xludf.DUMMYFUNCTION("""COMPUTED_VALUE"""),"No")</f>
        <v>No</v>
      </c>
      <c r="H848" s="1" t="str">
        <f ca="1">IFERROR(__xludf.DUMMYFUNCTION("""COMPUTED_VALUE"""),"None")</f>
        <v>None</v>
      </c>
    </row>
    <row r="849" spans="1:8" ht="12.5">
      <c r="A849" s="1" t="str">
        <f ca="1">IFERROR(__xludf.DUMMYFUNCTION("""COMPUTED_VALUE"""),"20211216NYPSB")</f>
        <v>20211216NYPSB</v>
      </c>
      <c r="B849" s="1" t="str">
        <f ca="1">IFERROR(__xludf.DUMMYFUNCTION("""COMPUTED_VALUE"""),"Adult")</f>
        <v>Adult</v>
      </c>
      <c r="C849" s="1" t="str">
        <f ca="1">IFERROR(__xludf.DUMMYFUNCTION("""COMPUTED_VALUE"""),"Male")</f>
        <v>Male</v>
      </c>
      <c r="D849" s="1"/>
      <c r="E849" s="1" t="str">
        <f ca="1">IFERROR(__xludf.DUMMYFUNCTION("""COMPUTED_VALUE"""),"No Relation")</f>
        <v>No Relation</v>
      </c>
      <c r="F849" s="1" t="str">
        <f ca="1">IFERROR(__xludf.DUMMYFUNCTION("""COMPUTED_VALUE"""),"Fled/Escaped")</f>
        <v>Fled/Escaped</v>
      </c>
      <c r="G849" s="1" t="str">
        <f ca="1">IFERROR(__xludf.DUMMYFUNCTION("""COMPUTED_VALUE"""),"No")</f>
        <v>No</v>
      </c>
      <c r="H849" s="1" t="str">
        <f ca="1">IFERROR(__xludf.DUMMYFUNCTION("""COMPUTED_VALUE"""),"None")</f>
        <v>None</v>
      </c>
    </row>
    <row r="850" spans="1:8" ht="12.5">
      <c r="A850" s="1" t="str">
        <f ca="1">IFERROR(__xludf.DUMMYFUNCTION("""COMPUTED_VALUE"""),"20211214WISOM")</f>
        <v>20211214WISOM</v>
      </c>
      <c r="B850" s="1">
        <f ca="1">IFERROR(__xludf.DUMMYFUNCTION("""COMPUTED_VALUE"""),18)</f>
        <v>18</v>
      </c>
      <c r="C850" s="1" t="str">
        <f ca="1">IFERROR(__xludf.DUMMYFUNCTION("""COMPUTED_VALUE"""),"Male")</f>
        <v>Male</v>
      </c>
      <c r="D850" s="1" t="str">
        <f ca="1">IFERROR(__xludf.DUMMYFUNCTION("""COMPUTED_VALUE"""),"Black")</f>
        <v>Black</v>
      </c>
      <c r="E850" s="1" t="str">
        <f ca="1">IFERROR(__xludf.DUMMYFUNCTION("""COMPUTED_VALUE"""),"Student")</f>
        <v>Student</v>
      </c>
      <c r="F850" s="1" t="str">
        <f ca="1">IFERROR(__xludf.DUMMYFUNCTION("""COMPUTED_VALUE"""),"Fled/Escaped")</f>
        <v>Fled/Escaped</v>
      </c>
      <c r="G850" s="1" t="str">
        <f ca="1">IFERROR(__xludf.DUMMYFUNCTION("""COMPUTED_VALUE"""),"No")</f>
        <v>No</v>
      </c>
      <c r="H850" s="1" t="str">
        <f ca="1">IFERROR(__xludf.DUMMYFUNCTION("""COMPUTED_VALUE"""),"None")</f>
        <v>None</v>
      </c>
    </row>
    <row r="851" spans="1:8" ht="12.5">
      <c r="A851" s="1" t="str">
        <f ca="1">IFERROR(__xludf.DUMMYFUNCTION("""COMPUTED_VALUE"""),"20211214VAMEN")</f>
        <v>20211214VAMEN</v>
      </c>
      <c r="B851" s="1">
        <f ca="1">IFERROR(__xludf.DUMMYFUNCTION("""COMPUTED_VALUE"""),18)</f>
        <v>18</v>
      </c>
      <c r="C851" s="1" t="str">
        <f ca="1">IFERROR(__xludf.DUMMYFUNCTION("""COMPUTED_VALUE"""),"Male")</f>
        <v>Male</v>
      </c>
      <c r="D851" s="1" t="str">
        <f ca="1">IFERROR(__xludf.DUMMYFUNCTION("""COMPUTED_VALUE"""),"Black")</f>
        <v>Black</v>
      </c>
      <c r="E851" s="1" t="str">
        <f ca="1">IFERROR(__xludf.DUMMYFUNCTION("""COMPUTED_VALUE"""),"Rival School Student")</f>
        <v>Rival School Student</v>
      </c>
      <c r="F851" s="1" t="str">
        <f ca="1">IFERROR(__xludf.DUMMYFUNCTION("""COMPUTED_VALUE"""),"Fled/Apprehended")</f>
        <v>Fled/Apprehended</v>
      </c>
      <c r="G851" s="1" t="str">
        <f ca="1">IFERROR(__xludf.DUMMYFUNCTION("""COMPUTED_VALUE"""),"No")</f>
        <v>No</v>
      </c>
      <c r="H851" s="1" t="str">
        <f ca="1">IFERROR(__xludf.DUMMYFUNCTION("""COMPUTED_VALUE"""),"None")</f>
        <v>None</v>
      </c>
    </row>
    <row r="852" spans="1:8" ht="12.5">
      <c r="A852" s="1" t="str">
        <f ca="1">IFERROR(__xludf.DUMMYFUNCTION("""COMPUTED_VALUE"""),"20211213NCWEC")</f>
        <v>20211213NCWEC</v>
      </c>
      <c r="B852" s="1" t="str">
        <f ca="1">IFERROR(__xludf.DUMMYFUNCTION("""COMPUTED_VALUE"""),"Teen")</f>
        <v>Teen</v>
      </c>
      <c r="C852" s="1" t="str">
        <f ca="1">IFERROR(__xludf.DUMMYFUNCTION("""COMPUTED_VALUE"""),"Male")</f>
        <v>Male</v>
      </c>
      <c r="D852" s="1"/>
      <c r="E852" s="1" t="str">
        <f ca="1">IFERROR(__xludf.DUMMYFUNCTION("""COMPUTED_VALUE"""),"Student")</f>
        <v>Student</v>
      </c>
      <c r="F852" s="1" t="str">
        <f ca="1">IFERROR(__xludf.DUMMYFUNCTION("""COMPUTED_VALUE"""),"Fled/Apprehended")</f>
        <v>Fled/Apprehended</v>
      </c>
      <c r="G852" s="1" t="str">
        <f ca="1">IFERROR(__xludf.DUMMYFUNCTION("""COMPUTED_VALUE"""),"No")</f>
        <v>No</v>
      </c>
      <c r="H852" s="1" t="str">
        <f ca="1">IFERROR(__xludf.DUMMYFUNCTION("""COMPUTED_VALUE"""),"None")</f>
        <v>None</v>
      </c>
    </row>
    <row r="853" spans="1:8" ht="12.5">
      <c r="A853" s="1" t="str">
        <f ca="1">IFERROR(__xludf.DUMMYFUNCTION("""COMPUTED_VALUE"""),"20211213FLEAO")</f>
        <v>20211213FLEAO</v>
      </c>
      <c r="B853" s="1" t="str">
        <f ca="1">IFERROR(__xludf.DUMMYFUNCTION("""COMPUTED_VALUE"""),"Teen")</f>
        <v>Teen</v>
      </c>
      <c r="C853" s="1"/>
      <c r="D853" s="1"/>
      <c r="E853" s="1" t="str">
        <f ca="1">IFERROR(__xludf.DUMMYFUNCTION("""COMPUTED_VALUE"""),"Student")</f>
        <v>Student</v>
      </c>
      <c r="F853" s="1" t="str">
        <f ca="1">IFERROR(__xludf.DUMMYFUNCTION("""COMPUTED_VALUE"""),"Fled/Escaped")</f>
        <v>Fled/Escaped</v>
      </c>
      <c r="G853" s="1" t="str">
        <f ca="1">IFERROR(__xludf.DUMMYFUNCTION("""COMPUTED_VALUE"""),"No")</f>
        <v>No</v>
      </c>
      <c r="H853" s="1" t="str">
        <f ca="1">IFERROR(__xludf.DUMMYFUNCTION("""COMPUTED_VALUE"""),"None")</f>
        <v>None</v>
      </c>
    </row>
    <row r="854" spans="1:8" ht="12.5">
      <c r="A854" s="1" t="str">
        <f ca="1">IFERROR(__xludf.DUMMYFUNCTION("""COMPUTED_VALUE"""),"20211212NYSCR")</f>
        <v>20211212NYSCR</v>
      </c>
      <c r="B854" s="1">
        <f ca="1">IFERROR(__xludf.DUMMYFUNCTION("""COMPUTED_VALUE"""),21)</f>
        <v>21</v>
      </c>
      <c r="C854" s="1" t="str">
        <f ca="1">IFERROR(__xludf.DUMMYFUNCTION("""COMPUTED_VALUE"""),"Male")</f>
        <v>Male</v>
      </c>
      <c r="D854" s="1"/>
      <c r="E854" s="1" t="str">
        <f ca="1">IFERROR(__xludf.DUMMYFUNCTION("""COMPUTED_VALUE"""),"No Relation")</f>
        <v>No Relation</v>
      </c>
      <c r="F854" s="1" t="str">
        <f ca="1">IFERROR(__xludf.DUMMYFUNCTION("""COMPUTED_VALUE"""),"Fled/Escaped")</f>
        <v>Fled/Escaped</v>
      </c>
      <c r="G854" s="1" t="str">
        <f ca="1">IFERROR(__xludf.DUMMYFUNCTION("""COMPUTED_VALUE"""),"No")</f>
        <v>No</v>
      </c>
      <c r="H854" s="1" t="str">
        <f ca="1">IFERROR(__xludf.DUMMYFUNCTION("""COMPUTED_VALUE"""),"None")</f>
        <v>None</v>
      </c>
    </row>
    <row r="855" spans="1:8" ht="12.5">
      <c r="A855" s="1" t="str">
        <f ca="1">IFERROR(__xludf.DUMMYFUNCTION("""COMPUTED_VALUE"""),"20211211GAJOG")</f>
        <v>20211211GAJOG</v>
      </c>
      <c r="B855" s="1">
        <f ca="1">IFERROR(__xludf.DUMMYFUNCTION("""COMPUTED_VALUE"""),17)</f>
        <v>17</v>
      </c>
      <c r="C855" s="1" t="str">
        <f ca="1">IFERROR(__xludf.DUMMYFUNCTION("""COMPUTED_VALUE"""),"Male")</f>
        <v>Male</v>
      </c>
      <c r="D855" s="1"/>
      <c r="E855" s="1" t="str">
        <f ca="1">IFERROR(__xludf.DUMMYFUNCTION("""COMPUTED_VALUE"""),"Student")</f>
        <v>Student</v>
      </c>
      <c r="F855" s="1" t="str">
        <f ca="1">IFERROR(__xludf.DUMMYFUNCTION("""COMPUTED_VALUE"""),"Fled/Apprehended")</f>
        <v>Fled/Apprehended</v>
      </c>
      <c r="G855" s="1" t="str">
        <f ca="1">IFERROR(__xludf.DUMMYFUNCTION("""COMPUTED_VALUE"""),"No")</f>
        <v>No</v>
      </c>
      <c r="H855" s="1" t="str">
        <f ca="1">IFERROR(__xludf.DUMMYFUNCTION("""COMPUTED_VALUE"""),"None")</f>
        <v>None</v>
      </c>
    </row>
    <row r="856" spans="1:8" ht="12.5">
      <c r="A856" s="1" t="str">
        <f ca="1">IFERROR(__xludf.DUMMYFUNCTION("""COMPUTED_VALUE"""),"20211211FLEDL")</f>
        <v>20211211FLEDL</v>
      </c>
      <c r="B856" s="1" t="str">
        <f ca="1">IFERROR(__xludf.DUMMYFUNCTION("""COMPUTED_VALUE"""),"Adult")</f>
        <v>Adult</v>
      </c>
      <c r="C856" s="1" t="str">
        <f ca="1">IFERROR(__xludf.DUMMYFUNCTION("""COMPUTED_VALUE"""),"Male")</f>
        <v>Male</v>
      </c>
      <c r="D856" s="1"/>
      <c r="E856" s="1" t="str">
        <f ca="1">IFERROR(__xludf.DUMMYFUNCTION("""COMPUTED_VALUE"""),"Nonstudent Using Athletic Facilities/Attending Game")</f>
        <v>Nonstudent Using Athletic Facilities/Attending Game</v>
      </c>
      <c r="F856" s="1" t="str">
        <f ca="1">IFERROR(__xludf.DUMMYFUNCTION("""COMPUTED_VALUE"""),"Fled/Escaped")</f>
        <v>Fled/Escaped</v>
      </c>
      <c r="G856" s="1" t="str">
        <f ca="1">IFERROR(__xludf.DUMMYFUNCTION("""COMPUTED_VALUE"""),"No")</f>
        <v>No</v>
      </c>
      <c r="H856" s="1" t="str">
        <f ca="1">IFERROR(__xludf.DUMMYFUNCTION("""COMPUTED_VALUE"""),"None")</f>
        <v>None</v>
      </c>
    </row>
    <row r="857" spans="1:8" ht="12.5">
      <c r="A857" s="1" t="str">
        <f ca="1">IFERROR(__xludf.DUMMYFUNCTION("""COMPUTED_VALUE"""),"20211210OHCAC")</f>
        <v>20211210OHCAC</v>
      </c>
      <c r="B857" s="1" t="str">
        <f ca="1">IFERROR(__xludf.DUMMYFUNCTION("""COMPUTED_VALUE"""),"Adult")</f>
        <v>Adult</v>
      </c>
      <c r="C857" s="1" t="str">
        <f ca="1">IFERROR(__xludf.DUMMYFUNCTION("""COMPUTED_VALUE"""),"Male")</f>
        <v>Male</v>
      </c>
      <c r="D857" s="1"/>
      <c r="E857" s="1" t="str">
        <f ca="1">IFERROR(__xludf.DUMMYFUNCTION("""COMPUTED_VALUE"""),"No Relation")</f>
        <v>No Relation</v>
      </c>
      <c r="F857" s="1" t="str">
        <f ca="1">IFERROR(__xludf.DUMMYFUNCTION("""COMPUTED_VALUE"""),"Apprehended/Killed by LE")</f>
        <v>Apprehended/Killed by LE</v>
      </c>
      <c r="G857" s="1" t="str">
        <f ca="1">IFERROR(__xludf.DUMMYFUNCTION("""COMPUTED_VALUE"""),"No")</f>
        <v>No</v>
      </c>
      <c r="H857" s="1" t="str">
        <f ca="1">IFERROR(__xludf.DUMMYFUNCTION("""COMPUTED_VALUE"""),"None")</f>
        <v>None</v>
      </c>
    </row>
    <row r="858" spans="1:8" ht="12.5">
      <c r="A858" s="1" t="str">
        <f ca="1">IFERROR(__xludf.DUMMYFUNCTION("""COMPUTED_VALUE"""),"20211210NCJEC")</f>
        <v>20211210NCJEC</v>
      </c>
      <c r="B858" s="1"/>
      <c r="C858" s="1"/>
      <c r="D858" s="1"/>
      <c r="E858" s="1" t="str">
        <f ca="1">IFERROR(__xludf.DUMMYFUNCTION("""COMPUTED_VALUE"""),"No Relation")</f>
        <v>No Relation</v>
      </c>
      <c r="F858" s="1" t="str">
        <f ca="1">IFERROR(__xludf.DUMMYFUNCTION("""COMPUTED_VALUE"""),"Fled/Apprehended")</f>
        <v>Fled/Apprehended</v>
      </c>
      <c r="G858" s="1" t="str">
        <f ca="1">IFERROR(__xludf.DUMMYFUNCTION("""COMPUTED_VALUE"""),"No")</f>
        <v>No</v>
      </c>
      <c r="H858" s="1" t="str">
        <f ca="1">IFERROR(__xludf.DUMMYFUNCTION("""COMPUTED_VALUE"""),"None")</f>
        <v>None</v>
      </c>
    </row>
    <row r="859" spans="1:8" ht="12.5">
      <c r="A859" s="1" t="str">
        <f ca="1">IFERROR(__xludf.DUMMYFUNCTION("""COMPUTED_VALUE"""),"20211210NCJEC")</f>
        <v>20211210NCJEC</v>
      </c>
      <c r="B859" s="1"/>
      <c r="C859" s="1"/>
      <c r="D859" s="1"/>
      <c r="E859" s="1" t="str">
        <f ca="1">IFERROR(__xludf.DUMMYFUNCTION("""COMPUTED_VALUE"""),"No Relation")</f>
        <v>No Relation</v>
      </c>
      <c r="F859" s="1" t="str">
        <f ca="1">IFERROR(__xludf.DUMMYFUNCTION("""COMPUTED_VALUE"""),"Fled/Escaped")</f>
        <v>Fled/Escaped</v>
      </c>
      <c r="G859" s="1" t="str">
        <f ca="1">IFERROR(__xludf.DUMMYFUNCTION("""COMPUTED_VALUE"""),"No")</f>
        <v>No</v>
      </c>
      <c r="H859" s="1" t="str">
        <f ca="1">IFERROR(__xludf.DUMMYFUNCTION("""COMPUTED_VALUE"""),"None")</f>
        <v>None</v>
      </c>
    </row>
    <row r="860" spans="1:8" ht="12.5">
      <c r="A860" s="1" t="str">
        <f ca="1">IFERROR(__xludf.DUMMYFUNCTION("""COMPUTED_VALUE"""),"20211209NYGRN")</f>
        <v>20211209NYGRN</v>
      </c>
      <c r="B860" s="1" t="str">
        <f ca="1">IFERROR(__xludf.DUMMYFUNCTION("""COMPUTED_VALUE"""),"Adult")</f>
        <v>Adult</v>
      </c>
      <c r="C860" s="1" t="str">
        <f ca="1">IFERROR(__xludf.DUMMYFUNCTION("""COMPUTED_VALUE"""),"Male")</f>
        <v>Male</v>
      </c>
      <c r="D860" s="1"/>
      <c r="E860" s="1" t="str">
        <f ca="1">IFERROR(__xludf.DUMMYFUNCTION("""COMPUTED_VALUE"""),"No Relation")</f>
        <v>No Relation</v>
      </c>
      <c r="F860" s="1" t="str">
        <f ca="1">IFERROR(__xludf.DUMMYFUNCTION("""COMPUTED_VALUE"""),"Fled/Escaped")</f>
        <v>Fled/Escaped</v>
      </c>
      <c r="G860" s="1" t="str">
        <f ca="1">IFERROR(__xludf.DUMMYFUNCTION("""COMPUTED_VALUE"""),"No")</f>
        <v>No</v>
      </c>
      <c r="H860" s="1" t="str">
        <f ca="1">IFERROR(__xludf.DUMMYFUNCTION("""COMPUTED_VALUE"""),"None")</f>
        <v>None</v>
      </c>
    </row>
    <row r="861" spans="1:8" ht="12.5">
      <c r="A861" s="1" t="str">
        <f ca="1">IFERROR(__xludf.DUMMYFUNCTION("""COMPUTED_VALUE"""),"20211208MOEWK")</f>
        <v>20211208MOEWK</v>
      </c>
      <c r="B861" s="1"/>
      <c r="C861" s="1" t="str">
        <f ca="1">IFERROR(__xludf.DUMMYFUNCTION("""COMPUTED_VALUE"""),"Male")</f>
        <v>Male</v>
      </c>
      <c r="D861" s="1"/>
      <c r="E861" s="1"/>
      <c r="F861" s="1" t="str">
        <f ca="1">IFERROR(__xludf.DUMMYFUNCTION("""COMPUTED_VALUE"""),"Fled/Escaped")</f>
        <v>Fled/Escaped</v>
      </c>
      <c r="G861" s="1" t="str">
        <f ca="1">IFERROR(__xludf.DUMMYFUNCTION("""COMPUTED_VALUE"""),"No")</f>
        <v>No</v>
      </c>
      <c r="H861" s="1" t="str">
        <f ca="1">IFERROR(__xludf.DUMMYFUNCTION("""COMPUTED_VALUE"""),"None")</f>
        <v>None</v>
      </c>
    </row>
    <row r="862" spans="1:8" ht="12.5">
      <c r="A862" s="1" t="str">
        <f ca="1">IFERROR(__xludf.DUMMYFUNCTION("""COMPUTED_VALUE"""),"20211208KYSTL")</f>
        <v>20211208KYSTL</v>
      </c>
      <c r="B862" s="1"/>
      <c r="C862" s="1"/>
      <c r="D862" s="1"/>
      <c r="E862" s="1" t="str">
        <f ca="1">IFERROR(__xludf.DUMMYFUNCTION("""COMPUTED_VALUE"""),"No Relation")</f>
        <v>No Relation</v>
      </c>
      <c r="F862" s="1" t="str">
        <f ca="1">IFERROR(__xludf.DUMMYFUNCTION("""COMPUTED_VALUE"""),"Fled/Escaped")</f>
        <v>Fled/Escaped</v>
      </c>
      <c r="G862" s="1" t="str">
        <f ca="1">IFERROR(__xludf.DUMMYFUNCTION("""COMPUTED_VALUE"""),"No")</f>
        <v>No</v>
      </c>
      <c r="H862" s="1" t="str">
        <f ca="1">IFERROR(__xludf.DUMMYFUNCTION("""COMPUTED_VALUE"""),"None")</f>
        <v>None</v>
      </c>
    </row>
    <row r="863" spans="1:8" ht="12.5">
      <c r="A863" s="1" t="str">
        <f ca="1">IFERROR(__xludf.DUMMYFUNCTION("""COMPUTED_VALUE"""),"20211207ILHAC")</f>
        <v>20211207ILHAC</v>
      </c>
      <c r="B863" s="1">
        <f ca="1">IFERROR(__xludf.DUMMYFUNCTION("""COMPUTED_VALUE"""),23)</f>
        <v>23</v>
      </c>
      <c r="C863" s="1" t="str">
        <f ca="1">IFERROR(__xludf.DUMMYFUNCTION("""COMPUTED_VALUE"""),"Male")</f>
        <v>Male</v>
      </c>
      <c r="D863" s="1" t="str">
        <f ca="1">IFERROR(__xludf.DUMMYFUNCTION("""COMPUTED_VALUE"""),"Black")</f>
        <v>Black</v>
      </c>
      <c r="E863" s="1" t="str">
        <f ca="1">IFERROR(__xludf.DUMMYFUNCTION("""COMPUTED_VALUE"""),"No Relation")</f>
        <v>No Relation</v>
      </c>
      <c r="F863" s="1" t="str">
        <f ca="1">IFERROR(__xludf.DUMMYFUNCTION("""COMPUTED_VALUE"""),"Fled/Apprehended")</f>
        <v>Fled/Apprehended</v>
      </c>
      <c r="G863" s="1" t="str">
        <f ca="1">IFERROR(__xludf.DUMMYFUNCTION("""COMPUTED_VALUE"""),"No")</f>
        <v>No</v>
      </c>
      <c r="H863" s="1" t="str">
        <f ca="1">IFERROR(__xludf.DUMMYFUNCTION("""COMPUTED_VALUE"""),"None")</f>
        <v>None</v>
      </c>
    </row>
    <row r="864" spans="1:8" ht="12.5">
      <c r="A864" s="1" t="str">
        <f ca="1">IFERROR(__xludf.DUMMYFUNCTION("""COMPUTED_VALUE"""),"20211206NYSUS")</f>
        <v>20211206NYSUS</v>
      </c>
      <c r="B864" s="1">
        <f ca="1">IFERROR(__xludf.DUMMYFUNCTION("""COMPUTED_VALUE"""),16)</f>
        <v>16</v>
      </c>
      <c r="C864" s="1" t="str">
        <f ca="1">IFERROR(__xludf.DUMMYFUNCTION("""COMPUTED_VALUE"""),"Male")</f>
        <v>Male</v>
      </c>
      <c r="D864" s="1"/>
      <c r="E864" s="1" t="str">
        <f ca="1">IFERROR(__xludf.DUMMYFUNCTION("""COMPUTED_VALUE"""),"Student")</f>
        <v>Student</v>
      </c>
      <c r="F864" s="1" t="str">
        <f ca="1">IFERROR(__xludf.DUMMYFUNCTION("""COMPUTED_VALUE"""),"Fled/Apprehended")</f>
        <v>Fled/Apprehended</v>
      </c>
      <c r="G864" s="1" t="str">
        <f ca="1">IFERROR(__xludf.DUMMYFUNCTION("""COMPUTED_VALUE"""),"No")</f>
        <v>No</v>
      </c>
      <c r="H864" s="1" t="str">
        <f ca="1">IFERROR(__xludf.DUMMYFUNCTION("""COMPUTED_VALUE"""),"None")</f>
        <v>None</v>
      </c>
    </row>
    <row r="865" spans="1:8" ht="12.5">
      <c r="A865" s="1" t="str">
        <f ca="1">IFERROR(__xludf.DUMMYFUNCTION("""COMPUTED_VALUE"""),"20211206CAWIW")</f>
        <v>20211206CAWIW</v>
      </c>
      <c r="B865" s="1" t="str">
        <f ca="1">IFERROR(__xludf.DUMMYFUNCTION("""COMPUTED_VALUE"""),"Adult")</f>
        <v>Adult</v>
      </c>
      <c r="C865" s="1" t="str">
        <f ca="1">IFERROR(__xludf.DUMMYFUNCTION("""COMPUTED_VALUE"""),"Male")</f>
        <v>Male</v>
      </c>
      <c r="D865" s="1"/>
      <c r="E865" s="1" t="str">
        <f ca="1">IFERROR(__xludf.DUMMYFUNCTION("""COMPUTED_VALUE"""),"No Relation")</f>
        <v>No Relation</v>
      </c>
      <c r="F865" s="1" t="str">
        <f ca="1">IFERROR(__xludf.DUMMYFUNCTION("""COMPUTED_VALUE"""),"Fled/Escaped")</f>
        <v>Fled/Escaped</v>
      </c>
      <c r="G865" s="1" t="str">
        <f ca="1">IFERROR(__xludf.DUMMYFUNCTION("""COMPUTED_VALUE"""),"No")</f>
        <v>No</v>
      </c>
      <c r="H865" s="1" t="str">
        <f ca="1">IFERROR(__xludf.DUMMYFUNCTION("""COMPUTED_VALUE"""),"None")</f>
        <v>None</v>
      </c>
    </row>
    <row r="866" spans="1:8" ht="12.5">
      <c r="A866" s="1" t="str">
        <f ca="1">IFERROR(__xludf.DUMMYFUNCTION("""COMPUTED_VALUE"""),"20211206CAWIW")</f>
        <v>20211206CAWIW</v>
      </c>
      <c r="B866" s="1" t="str">
        <f ca="1">IFERROR(__xludf.DUMMYFUNCTION("""COMPUTED_VALUE"""),"Adult")</f>
        <v>Adult</v>
      </c>
      <c r="C866" s="1" t="str">
        <f ca="1">IFERROR(__xludf.DUMMYFUNCTION("""COMPUTED_VALUE"""),"Male")</f>
        <v>Male</v>
      </c>
      <c r="D866" s="1"/>
      <c r="E866" s="1" t="str">
        <f ca="1">IFERROR(__xludf.DUMMYFUNCTION("""COMPUTED_VALUE"""),"No Relation")</f>
        <v>No Relation</v>
      </c>
      <c r="F866" s="1" t="str">
        <f ca="1">IFERROR(__xludf.DUMMYFUNCTION("""COMPUTED_VALUE"""),"Fled/Escaped")</f>
        <v>Fled/Escaped</v>
      </c>
      <c r="G866" s="1" t="str">
        <f ca="1">IFERROR(__xludf.DUMMYFUNCTION("""COMPUTED_VALUE"""),"No")</f>
        <v>No</v>
      </c>
      <c r="H866" s="1" t="str">
        <f ca="1">IFERROR(__xludf.DUMMYFUNCTION("""COMPUTED_VALUE"""),"None")</f>
        <v>None</v>
      </c>
    </row>
    <row r="867" spans="1:8" ht="12.5">
      <c r="A867" s="1" t="str">
        <f ca="1">IFERROR(__xludf.DUMMYFUNCTION("""COMPUTED_VALUE"""),"20211203ARBLB")</f>
        <v>20211203ARBLB</v>
      </c>
      <c r="B867" s="1">
        <f ca="1">IFERROR(__xludf.DUMMYFUNCTION("""COMPUTED_VALUE"""),19)</f>
        <v>19</v>
      </c>
      <c r="C867" s="1" t="str">
        <f ca="1">IFERROR(__xludf.DUMMYFUNCTION("""COMPUTED_VALUE"""),"Male")</f>
        <v>Male</v>
      </c>
      <c r="D867" s="1"/>
      <c r="E867" s="1" t="str">
        <f ca="1">IFERROR(__xludf.DUMMYFUNCTION("""COMPUTED_VALUE"""),"No Relation")</f>
        <v>No Relation</v>
      </c>
      <c r="F867" s="1" t="str">
        <f ca="1">IFERROR(__xludf.DUMMYFUNCTION("""COMPUTED_VALUE"""),"Fled/Apprehended")</f>
        <v>Fled/Apprehended</v>
      </c>
      <c r="G867" s="1" t="str">
        <f ca="1">IFERROR(__xludf.DUMMYFUNCTION("""COMPUTED_VALUE"""),"No")</f>
        <v>No</v>
      </c>
      <c r="H867" s="1" t="str">
        <f ca="1">IFERROR(__xludf.DUMMYFUNCTION("""COMPUTED_VALUE"""),"None")</f>
        <v>None</v>
      </c>
    </row>
    <row r="868" spans="1:8" ht="12.5">
      <c r="A868" s="1" t="str">
        <f ca="1">IFERROR(__xludf.DUMMYFUNCTION("""COMPUTED_VALUE"""),"20211202WAGAS")</f>
        <v>20211202WAGAS</v>
      </c>
      <c r="B868" s="1" t="str">
        <f ca="1">IFERROR(__xludf.DUMMYFUNCTION("""COMPUTED_VALUE"""),"Teen")</f>
        <v>Teen</v>
      </c>
      <c r="C868" s="1" t="str">
        <f ca="1">IFERROR(__xludf.DUMMYFUNCTION("""COMPUTED_VALUE"""),"Male")</f>
        <v>Male</v>
      </c>
      <c r="D868" s="1"/>
      <c r="E868" s="1"/>
      <c r="F868" s="1" t="str">
        <f ca="1">IFERROR(__xludf.DUMMYFUNCTION("""COMPUTED_VALUE"""),"Fled/Escaped")</f>
        <v>Fled/Escaped</v>
      </c>
      <c r="G868" s="1" t="str">
        <f ca="1">IFERROR(__xludf.DUMMYFUNCTION("""COMPUTED_VALUE"""),"No")</f>
        <v>No</v>
      </c>
      <c r="H868" s="1" t="str">
        <f ca="1">IFERROR(__xludf.DUMMYFUNCTION("""COMPUTED_VALUE"""),"None")</f>
        <v>None</v>
      </c>
    </row>
    <row r="869" spans="1:8" ht="12.5">
      <c r="A869" s="1" t="str">
        <f ca="1">IFERROR(__xludf.DUMMYFUNCTION("""COMPUTED_VALUE"""),"20211201TXSAP")</f>
        <v>20211201TXSAP</v>
      </c>
      <c r="B869" s="1">
        <f ca="1">IFERROR(__xludf.DUMMYFUNCTION("""COMPUTED_VALUE"""),21)</f>
        <v>21</v>
      </c>
      <c r="C869" s="1" t="str">
        <f ca="1">IFERROR(__xludf.DUMMYFUNCTION("""COMPUTED_VALUE"""),"Male")</f>
        <v>Male</v>
      </c>
      <c r="D869" s="1"/>
      <c r="E869" s="1" t="str">
        <f ca="1">IFERROR(__xludf.DUMMYFUNCTION("""COMPUTED_VALUE"""),"No Relation")</f>
        <v>No Relation</v>
      </c>
      <c r="F869" s="1" t="str">
        <f ca="1">IFERROR(__xludf.DUMMYFUNCTION("""COMPUTED_VALUE"""),"Apprehended/Killed by SRO")</f>
        <v>Apprehended/Killed by SRO</v>
      </c>
      <c r="G869" s="1" t="str">
        <f ca="1">IFERROR(__xludf.DUMMYFUNCTION("""COMPUTED_VALUE"""),"No")</f>
        <v>No</v>
      </c>
      <c r="H869" s="1" t="str">
        <f ca="1">IFERROR(__xludf.DUMMYFUNCTION("""COMPUTED_VALUE"""),"None")</f>
        <v>None</v>
      </c>
    </row>
    <row r="870" spans="1:8" ht="12.5">
      <c r="A870" s="1" t="str">
        <f ca="1">IFERROR(__xludf.DUMMYFUNCTION("""COMPUTED_VALUE"""),"20211130TNHUH")</f>
        <v>20211130TNHUH</v>
      </c>
      <c r="B870" s="1">
        <f ca="1">IFERROR(__xludf.DUMMYFUNCTION("""COMPUTED_VALUE"""),21)</f>
        <v>21</v>
      </c>
      <c r="C870" s="1" t="str">
        <f ca="1">IFERROR(__xludf.DUMMYFUNCTION("""COMPUTED_VALUE"""),"Male")</f>
        <v>Male</v>
      </c>
      <c r="D870" s="1" t="str">
        <f ca="1">IFERROR(__xludf.DUMMYFUNCTION("""COMPUTED_VALUE"""),"Black")</f>
        <v>Black</v>
      </c>
      <c r="E870" s="1" t="str">
        <f ca="1">IFERROR(__xludf.DUMMYFUNCTION("""COMPUTED_VALUE"""),"Nonstudent Using Athletic Facilities/Attending Game")</f>
        <v>Nonstudent Using Athletic Facilities/Attending Game</v>
      </c>
      <c r="F870" s="1" t="str">
        <f ca="1">IFERROR(__xludf.DUMMYFUNCTION("""COMPUTED_VALUE"""),"Fled/Apprehended")</f>
        <v>Fled/Apprehended</v>
      </c>
      <c r="G870" s="1" t="str">
        <f ca="1">IFERROR(__xludf.DUMMYFUNCTION("""COMPUTED_VALUE"""),"No")</f>
        <v>No</v>
      </c>
      <c r="H870" s="1" t="str">
        <f ca="1">IFERROR(__xludf.DUMMYFUNCTION("""COMPUTED_VALUE"""),"None")</f>
        <v>None</v>
      </c>
    </row>
    <row r="871" spans="1:8" ht="12.5">
      <c r="A871" s="1" t="str">
        <f ca="1">IFERROR(__xludf.DUMMYFUNCTION("""COMPUTED_VALUE"""),"20211130OHWHW")</f>
        <v>20211130OHWHW</v>
      </c>
      <c r="B871" s="1">
        <f ca="1">IFERROR(__xludf.DUMMYFUNCTION("""COMPUTED_VALUE"""),18)</f>
        <v>18</v>
      </c>
      <c r="C871" s="1" t="str">
        <f ca="1">IFERROR(__xludf.DUMMYFUNCTION("""COMPUTED_VALUE"""),"Male")</f>
        <v>Male</v>
      </c>
      <c r="D871" s="1"/>
      <c r="E871" s="1"/>
      <c r="F871" s="1" t="str">
        <f ca="1">IFERROR(__xludf.DUMMYFUNCTION("""COMPUTED_VALUE"""),"Surrendered")</f>
        <v>Surrendered</v>
      </c>
      <c r="G871" s="1" t="str">
        <f ca="1">IFERROR(__xludf.DUMMYFUNCTION("""COMPUTED_VALUE"""),"No")</f>
        <v>No</v>
      </c>
      <c r="H871" s="1" t="str">
        <f ca="1">IFERROR(__xludf.DUMMYFUNCTION("""COMPUTED_VALUE"""),"Wounded")</f>
        <v>Wounded</v>
      </c>
    </row>
    <row r="872" spans="1:8" ht="12.5">
      <c r="A872" s="1" t="str">
        <f ca="1">IFERROR(__xludf.DUMMYFUNCTION("""COMPUTED_VALUE"""),"20211130MIOXO")</f>
        <v>20211130MIOXO</v>
      </c>
      <c r="B872" s="1">
        <f ca="1">IFERROR(__xludf.DUMMYFUNCTION("""COMPUTED_VALUE"""),15)</f>
        <v>15</v>
      </c>
      <c r="C872" s="1" t="str">
        <f ca="1">IFERROR(__xludf.DUMMYFUNCTION("""COMPUTED_VALUE"""),"Male")</f>
        <v>Male</v>
      </c>
      <c r="D872" s="1"/>
      <c r="E872" s="1" t="str">
        <f ca="1">IFERROR(__xludf.DUMMYFUNCTION("""COMPUTED_VALUE"""),"Student")</f>
        <v>Student</v>
      </c>
      <c r="F872" s="1" t="str">
        <f ca="1">IFERROR(__xludf.DUMMYFUNCTION("""COMPUTED_VALUE"""),"Surrendered")</f>
        <v>Surrendered</v>
      </c>
      <c r="G872" s="1" t="str">
        <f ca="1">IFERROR(__xludf.DUMMYFUNCTION("""COMPUTED_VALUE"""),"No")</f>
        <v>No</v>
      </c>
      <c r="H872" s="1" t="str">
        <f ca="1">IFERROR(__xludf.DUMMYFUNCTION("""COMPUTED_VALUE"""),"None")</f>
        <v>None</v>
      </c>
    </row>
    <row r="873" spans="1:8" ht="12.5">
      <c r="A873" s="1" t="str">
        <f ca="1">IFERROR(__xludf.DUMMYFUNCTION("""COMPUTED_VALUE"""),"20211130CALOL")</f>
        <v>20211130CALOL</v>
      </c>
      <c r="B873" s="1"/>
      <c r="C873" s="1"/>
      <c r="D873" s="1"/>
      <c r="E873" s="1" t="str">
        <f ca="1">IFERROR(__xludf.DUMMYFUNCTION("""COMPUTED_VALUE"""),"No Relation")</f>
        <v>No Relation</v>
      </c>
      <c r="F873" s="1" t="str">
        <f ca="1">IFERROR(__xludf.DUMMYFUNCTION("""COMPUTED_VALUE"""),"Fled/Escaped")</f>
        <v>Fled/Escaped</v>
      </c>
      <c r="G873" s="1" t="str">
        <f ca="1">IFERROR(__xludf.DUMMYFUNCTION("""COMPUTED_VALUE"""),"No")</f>
        <v>No</v>
      </c>
      <c r="H873" s="1" t="str">
        <f ca="1">IFERROR(__xludf.DUMMYFUNCTION("""COMPUTED_VALUE"""),"None")</f>
        <v>None</v>
      </c>
    </row>
    <row r="874" spans="1:8" ht="12.5">
      <c r="A874" s="1" t="str">
        <f ca="1">IFERROR(__xludf.DUMMYFUNCTION("""COMPUTED_VALUE"""),"20211129ILWER")</f>
        <v>20211129ILWER</v>
      </c>
      <c r="B874" s="1" t="str">
        <f ca="1">IFERROR(__xludf.DUMMYFUNCTION("""COMPUTED_VALUE"""),"Teen")</f>
        <v>Teen</v>
      </c>
      <c r="C874" s="1" t="str">
        <f ca="1">IFERROR(__xludf.DUMMYFUNCTION("""COMPUTED_VALUE"""),"Male")</f>
        <v>Male</v>
      </c>
      <c r="D874" s="1"/>
      <c r="E874" s="1" t="str">
        <f ca="1">IFERROR(__xludf.DUMMYFUNCTION("""COMPUTED_VALUE"""),"Student")</f>
        <v>Student</v>
      </c>
      <c r="F874" s="1" t="str">
        <f ca="1">IFERROR(__xludf.DUMMYFUNCTION("""COMPUTED_VALUE"""),"Fled/Escaped")</f>
        <v>Fled/Escaped</v>
      </c>
      <c r="G874" s="1" t="str">
        <f ca="1">IFERROR(__xludf.DUMMYFUNCTION("""COMPUTED_VALUE"""),"No")</f>
        <v>No</v>
      </c>
      <c r="H874" s="1" t="str">
        <f ca="1">IFERROR(__xludf.DUMMYFUNCTION("""COMPUTED_VALUE"""),"None")</f>
        <v>None</v>
      </c>
    </row>
    <row r="875" spans="1:8" ht="12.5">
      <c r="A875" s="1" t="str">
        <f ca="1">IFERROR(__xludf.DUMMYFUNCTION("""COMPUTED_VALUE"""),"20211129AZCHP")</f>
        <v>20211129AZCHP</v>
      </c>
      <c r="B875" s="1" t="str">
        <f ca="1">IFERROR(__xludf.DUMMYFUNCTION("""COMPUTED_VALUE"""),"Teen")</f>
        <v>Teen</v>
      </c>
      <c r="C875" s="1" t="str">
        <f ca="1">IFERROR(__xludf.DUMMYFUNCTION("""COMPUTED_VALUE"""),"Male")</f>
        <v>Male</v>
      </c>
      <c r="D875" s="1"/>
      <c r="E875" s="1" t="str">
        <f ca="1">IFERROR(__xludf.DUMMYFUNCTION("""COMPUTED_VALUE"""),"Student")</f>
        <v>Student</v>
      </c>
      <c r="F875" s="1" t="str">
        <f ca="1">IFERROR(__xludf.DUMMYFUNCTION("""COMPUTED_VALUE"""),"Fled/Escaped")</f>
        <v>Fled/Escaped</v>
      </c>
      <c r="G875" s="1" t="str">
        <f ca="1">IFERROR(__xludf.DUMMYFUNCTION("""COMPUTED_VALUE"""),"No")</f>
        <v>No</v>
      </c>
      <c r="H875" s="1" t="str">
        <f ca="1">IFERROR(__xludf.DUMMYFUNCTION("""COMPUTED_VALUE"""),"None")</f>
        <v>None</v>
      </c>
    </row>
    <row r="876" spans="1:8" ht="12.5">
      <c r="A876" s="1" t="str">
        <f ca="1">IFERROR(__xludf.DUMMYFUNCTION("""COMPUTED_VALUE"""),"20211126CAWES")</f>
        <v>20211126CAWES</v>
      </c>
      <c r="B876" s="1" t="str">
        <f ca="1">IFERROR(__xludf.DUMMYFUNCTION("""COMPUTED_VALUE"""),"Adult")</f>
        <v>Adult</v>
      </c>
      <c r="C876" s="1" t="str">
        <f ca="1">IFERROR(__xludf.DUMMYFUNCTION("""COMPUTED_VALUE"""),"Male")</f>
        <v>Male</v>
      </c>
      <c r="D876" s="1"/>
      <c r="E876" s="1" t="str">
        <f ca="1">IFERROR(__xludf.DUMMYFUNCTION("""COMPUTED_VALUE"""),"Nonstudent Using Athletic Facilities/Attending Game")</f>
        <v>Nonstudent Using Athletic Facilities/Attending Game</v>
      </c>
      <c r="F876" s="1" t="str">
        <f ca="1">IFERROR(__xludf.DUMMYFUNCTION("""COMPUTED_VALUE"""),"Fled/Escaped")</f>
        <v>Fled/Escaped</v>
      </c>
      <c r="G876" s="1" t="str">
        <f ca="1">IFERROR(__xludf.DUMMYFUNCTION("""COMPUTED_VALUE"""),"No")</f>
        <v>No</v>
      </c>
      <c r="H876" s="1" t="str">
        <f ca="1">IFERROR(__xludf.DUMMYFUNCTION("""COMPUTED_VALUE"""),"None")</f>
        <v>None</v>
      </c>
    </row>
    <row r="877" spans="1:8" ht="12.5">
      <c r="A877" s="1" t="str">
        <f ca="1">IFERROR(__xludf.DUMMYFUNCTION("""COMPUTED_VALUE"""),"20211125SCCEP")</f>
        <v>20211125SCCEP</v>
      </c>
      <c r="B877" s="1"/>
      <c r="C877" s="1"/>
      <c r="D877" s="1"/>
      <c r="E877" s="1"/>
      <c r="F877" s="1" t="str">
        <f ca="1">IFERROR(__xludf.DUMMYFUNCTION("""COMPUTED_VALUE"""),"Fled/Escaped")</f>
        <v>Fled/Escaped</v>
      </c>
      <c r="G877" s="1" t="str">
        <f ca="1">IFERROR(__xludf.DUMMYFUNCTION("""COMPUTED_VALUE"""),"No")</f>
        <v>No</v>
      </c>
      <c r="H877" s="1" t="str">
        <f ca="1">IFERROR(__xludf.DUMMYFUNCTION("""COMPUTED_VALUE"""),"None")</f>
        <v>None</v>
      </c>
    </row>
    <row r="878" spans="1:8" ht="12.5">
      <c r="A878" s="1" t="str">
        <f ca="1">IFERROR(__xludf.DUMMYFUNCTION("""COMPUTED_VALUE"""),"20211124ILTHH")</f>
        <v>20211124ILTHH</v>
      </c>
      <c r="B878" s="1"/>
      <c r="C878" s="1"/>
      <c r="D878" s="1"/>
      <c r="E878" s="1"/>
      <c r="F878" s="1" t="str">
        <f ca="1">IFERROR(__xludf.DUMMYFUNCTION("""COMPUTED_VALUE"""),"Fled/Escaped")</f>
        <v>Fled/Escaped</v>
      </c>
      <c r="G878" s="1" t="str">
        <f ca="1">IFERROR(__xludf.DUMMYFUNCTION("""COMPUTED_VALUE"""),"No")</f>
        <v>No</v>
      </c>
      <c r="H878" s="1" t="str">
        <f ca="1">IFERROR(__xludf.DUMMYFUNCTION("""COMPUTED_VALUE"""),"None")</f>
        <v>None</v>
      </c>
    </row>
    <row r="879" spans="1:8" ht="12.5">
      <c r="A879" s="1" t="str">
        <f ca="1">IFERROR(__xludf.DUMMYFUNCTION("""COMPUTED_VALUE"""),"20211123OHCLC")</f>
        <v>20211123OHCLC</v>
      </c>
      <c r="B879" s="1" t="str">
        <f ca="1">IFERROR(__xludf.DUMMYFUNCTION("""COMPUTED_VALUE"""),"Adult")</f>
        <v>Adult</v>
      </c>
      <c r="C879" s="1" t="str">
        <f ca="1">IFERROR(__xludf.DUMMYFUNCTION("""COMPUTED_VALUE"""),"Male")</f>
        <v>Male</v>
      </c>
      <c r="D879" s="1"/>
      <c r="E879" s="1" t="str">
        <f ca="1">IFERROR(__xludf.DUMMYFUNCTION("""COMPUTED_VALUE"""),"No Relation")</f>
        <v>No Relation</v>
      </c>
      <c r="F879" s="1" t="str">
        <f ca="1">IFERROR(__xludf.DUMMYFUNCTION("""COMPUTED_VALUE"""),"Fled/Escaped")</f>
        <v>Fled/Escaped</v>
      </c>
      <c r="G879" s="1" t="str">
        <f ca="1">IFERROR(__xludf.DUMMYFUNCTION("""COMPUTED_VALUE"""),"No")</f>
        <v>No</v>
      </c>
      <c r="H879" s="1" t="str">
        <f ca="1">IFERROR(__xludf.DUMMYFUNCTION("""COMPUTED_VALUE"""),"None")</f>
        <v>None</v>
      </c>
    </row>
    <row r="880" spans="1:8" ht="12.5">
      <c r="A880" s="1" t="str">
        <f ca="1">IFERROR(__xludf.DUMMYFUNCTION("""COMPUTED_VALUE"""),"20211119MDGIB")</f>
        <v>20211119MDGIB</v>
      </c>
      <c r="B880" s="1"/>
      <c r="C880" s="1"/>
      <c r="D880" s="1"/>
      <c r="E880" s="1" t="str">
        <f ca="1">IFERROR(__xludf.DUMMYFUNCTION("""COMPUTED_VALUE"""),"No Relation")</f>
        <v>No Relation</v>
      </c>
      <c r="F880" s="1" t="str">
        <f ca="1">IFERROR(__xludf.DUMMYFUNCTION("""COMPUTED_VALUE"""),"Fled/Escaped")</f>
        <v>Fled/Escaped</v>
      </c>
      <c r="G880" s="1" t="str">
        <f ca="1">IFERROR(__xludf.DUMMYFUNCTION("""COMPUTED_VALUE"""),"No")</f>
        <v>No</v>
      </c>
      <c r="H880" s="1" t="str">
        <f ca="1">IFERROR(__xludf.DUMMYFUNCTION("""COMPUTED_VALUE"""),"None")</f>
        <v>None</v>
      </c>
    </row>
    <row r="881" spans="1:8" ht="12.5">
      <c r="A881" s="1" t="str">
        <f ca="1">IFERROR(__xludf.DUMMYFUNCTION("""COMPUTED_VALUE"""),"20211119COHIA")</f>
        <v>20211119COHIA</v>
      </c>
      <c r="B881" s="1">
        <f ca="1">IFERROR(__xludf.DUMMYFUNCTION("""COMPUTED_VALUE"""),16)</f>
        <v>16</v>
      </c>
      <c r="C881" s="1" t="str">
        <f ca="1">IFERROR(__xludf.DUMMYFUNCTION("""COMPUTED_VALUE"""),"Male")</f>
        <v>Male</v>
      </c>
      <c r="D881" s="1"/>
      <c r="E881" s="1" t="str">
        <f ca="1">IFERROR(__xludf.DUMMYFUNCTION("""COMPUTED_VALUE"""),"Student")</f>
        <v>Student</v>
      </c>
      <c r="F881" s="1" t="str">
        <f ca="1">IFERROR(__xludf.DUMMYFUNCTION("""COMPUTED_VALUE"""),"Fled/Apprehended")</f>
        <v>Fled/Apprehended</v>
      </c>
      <c r="G881" s="1" t="str">
        <f ca="1">IFERROR(__xludf.DUMMYFUNCTION("""COMPUTED_VALUE"""),"No")</f>
        <v>No</v>
      </c>
      <c r="H881" s="1" t="str">
        <f ca="1">IFERROR(__xludf.DUMMYFUNCTION("""COMPUTED_VALUE"""),"None")</f>
        <v>None</v>
      </c>
    </row>
    <row r="882" spans="1:8" ht="12.5">
      <c r="A882" s="1" t="str">
        <f ca="1">IFERROR(__xludf.DUMMYFUNCTION("""COMPUTED_VALUE"""),"20211119COHIA")</f>
        <v>20211119COHIA</v>
      </c>
      <c r="B882" s="1">
        <f ca="1">IFERROR(__xludf.DUMMYFUNCTION("""COMPUTED_VALUE"""),16)</f>
        <v>16</v>
      </c>
      <c r="C882" s="1" t="str">
        <f ca="1">IFERROR(__xludf.DUMMYFUNCTION("""COMPUTED_VALUE"""),"Male")</f>
        <v>Male</v>
      </c>
      <c r="D882" s="1"/>
      <c r="E882" s="1" t="str">
        <f ca="1">IFERROR(__xludf.DUMMYFUNCTION("""COMPUTED_VALUE"""),"Student")</f>
        <v>Student</v>
      </c>
      <c r="F882" s="1" t="str">
        <f ca="1">IFERROR(__xludf.DUMMYFUNCTION("""COMPUTED_VALUE"""),"Fled/Apprehended")</f>
        <v>Fled/Apprehended</v>
      </c>
      <c r="G882" s="1" t="str">
        <f ca="1">IFERROR(__xludf.DUMMYFUNCTION("""COMPUTED_VALUE"""),"No")</f>
        <v>No</v>
      </c>
      <c r="H882" s="1" t="str">
        <f ca="1">IFERROR(__xludf.DUMMYFUNCTION("""COMPUTED_VALUE"""),"None")</f>
        <v>None</v>
      </c>
    </row>
    <row r="883" spans="1:8" ht="12.5">
      <c r="A883" s="1" t="str">
        <f ca="1">IFERROR(__xludf.DUMMYFUNCTION("""COMPUTED_VALUE"""),"20211119COHIA")</f>
        <v>20211119COHIA</v>
      </c>
      <c r="B883" s="1">
        <f ca="1">IFERROR(__xludf.DUMMYFUNCTION("""COMPUTED_VALUE"""),16)</f>
        <v>16</v>
      </c>
      <c r="C883" s="1" t="str">
        <f ca="1">IFERROR(__xludf.DUMMYFUNCTION("""COMPUTED_VALUE"""),"Male")</f>
        <v>Male</v>
      </c>
      <c r="D883" s="1"/>
      <c r="E883" s="1" t="str">
        <f ca="1">IFERROR(__xludf.DUMMYFUNCTION("""COMPUTED_VALUE"""),"Student")</f>
        <v>Student</v>
      </c>
      <c r="F883" s="1" t="str">
        <f ca="1">IFERROR(__xludf.DUMMYFUNCTION("""COMPUTED_VALUE"""),"Fled/Apprehended")</f>
        <v>Fled/Apprehended</v>
      </c>
      <c r="G883" s="1" t="str">
        <f ca="1">IFERROR(__xludf.DUMMYFUNCTION("""COMPUTED_VALUE"""),"No")</f>
        <v>No</v>
      </c>
      <c r="H883" s="1" t="str">
        <f ca="1">IFERROR(__xludf.DUMMYFUNCTION("""COMPUTED_VALUE"""),"None")</f>
        <v>None</v>
      </c>
    </row>
    <row r="884" spans="1:8" ht="12.5">
      <c r="A884" s="1" t="str">
        <f ca="1">IFERROR(__xludf.DUMMYFUNCTION("""COMPUTED_VALUE"""),"20211119COHIA")</f>
        <v>20211119COHIA</v>
      </c>
      <c r="B884" s="1">
        <f ca="1">IFERROR(__xludf.DUMMYFUNCTION("""COMPUTED_VALUE"""),17)</f>
        <v>17</v>
      </c>
      <c r="C884" s="1" t="str">
        <f ca="1">IFERROR(__xludf.DUMMYFUNCTION("""COMPUTED_VALUE"""),"Male")</f>
        <v>Male</v>
      </c>
      <c r="D884" s="1"/>
      <c r="E884" s="1" t="str">
        <f ca="1">IFERROR(__xludf.DUMMYFUNCTION("""COMPUTED_VALUE"""),"Student")</f>
        <v>Student</v>
      </c>
      <c r="F884" s="1" t="str">
        <f ca="1">IFERROR(__xludf.DUMMYFUNCTION("""COMPUTED_VALUE"""),"Fled/Apprehended")</f>
        <v>Fled/Apprehended</v>
      </c>
      <c r="G884" s="1" t="str">
        <f ca="1">IFERROR(__xludf.DUMMYFUNCTION("""COMPUTED_VALUE"""),"No")</f>
        <v>No</v>
      </c>
      <c r="H884" s="1" t="str">
        <f ca="1">IFERROR(__xludf.DUMMYFUNCTION("""COMPUTED_VALUE"""),"None")</f>
        <v>None</v>
      </c>
    </row>
    <row r="885" spans="1:8" ht="12.5">
      <c r="A885" s="1" t="str">
        <f ca="1">IFERROR(__xludf.DUMMYFUNCTION("""COMPUTED_VALUE"""),"20211116NYPSB")</f>
        <v>20211116NYPSB</v>
      </c>
      <c r="B885" s="1">
        <f ca="1">IFERROR(__xludf.DUMMYFUNCTION("""COMPUTED_VALUE"""),45)</f>
        <v>45</v>
      </c>
      <c r="C885" s="1" t="str">
        <f ca="1">IFERROR(__xludf.DUMMYFUNCTION("""COMPUTED_VALUE"""),"Male")</f>
        <v>Male</v>
      </c>
      <c r="D885" s="1"/>
      <c r="E885" s="1" t="str">
        <f ca="1">IFERROR(__xludf.DUMMYFUNCTION("""COMPUTED_VALUE"""),"No Relation")</f>
        <v>No Relation</v>
      </c>
      <c r="F885" s="1" t="str">
        <f ca="1">IFERROR(__xludf.DUMMYFUNCTION("""COMPUTED_VALUE"""),"Apprehended/Killed by SRO")</f>
        <v>Apprehended/Killed by SRO</v>
      </c>
      <c r="G885" s="1" t="str">
        <f ca="1">IFERROR(__xludf.DUMMYFUNCTION("""COMPUTED_VALUE"""),"No")</f>
        <v>No</v>
      </c>
      <c r="H885" s="1" t="str">
        <f ca="1">IFERROR(__xludf.DUMMYFUNCTION("""COMPUTED_VALUE"""),"None")</f>
        <v>None</v>
      </c>
    </row>
    <row r="886" spans="1:8" ht="12.5">
      <c r="A886" s="1" t="str">
        <f ca="1">IFERROR(__xludf.DUMMYFUNCTION("""COMPUTED_VALUE"""),"20211116FLJAJ")</f>
        <v>20211116FLJAJ</v>
      </c>
      <c r="B886" s="1" t="str">
        <f ca="1">IFERROR(__xludf.DUMMYFUNCTION("""COMPUTED_VALUE"""),"Adult")</f>
        <v>Adult</v>
      </c>
      <c r="C886" s="1"/>
      <c r="D886" s="1"/>
      <c r="E886" s="1" t="str">
        <f ca="1">IFERROR(__xludf.DUMMYFUNCTION("""COMPUTED_VALUE"""),"No Relation")</f>
        <v>No Relation</v>
      </c>
      <c r="F886" s="1" t="str">
        <f ca="1">IFERROR(__xludf.DUMMYFUNCTION("""COMPUTED_VALUE"""),"Fled/Escaped")</f>
        <v>Fled/Escaped</v>
      </c>
      <c r="G886" s="1" t="str">
        <f ca="1">IFERROR(__xludf.DUMMYFUNCTION("""COMPUTED_VALUE"""),"No")</f>
        <v>No</v>
      </c>
      <c r="H886" s="1" t="str">
        <f ca="1">IFERROR(__xludf.DUMMYFUNCTION("""COMPUTED_VALUE"""),"None")</f>
        <v>None</v>
      </c>
    </row>
    <row r="887" spans="1:8" ht="12.5">
      <c r="A887" s="1" t="str">
        <f ca="1">IFERROR(__xludf.DUMMYFUNCTION("""COMPUTED_VALUE"""),"20211115NYPOP")</f>
        <v>20211115NYPOP</v>
      </c>
      <c r="B887" s="1">
        <f ca="1">IFERROR(__xludf.DUMMYFUNCTION("""COMPUTED_VALUE"""),13)</f>
        <v>13</v>
      </c>
      <c r="C887" s="1" t="str">
        <f ca="1">IFERROR(__xludf.DUMMYFUNCTION("""COMPUTED_VALUE"""),"Male")</f>
        <v>Male</v>
      </c>
      <c r="D887" s="1"/>
      <c r="E887" s="1" t="str">
        <f ca="1">IFERROR(__xludf.DUMMYFUNCTION("""COMPUTED_VALUE"""),"Student")</f>
        <v>Student</v>
      </c>
      <c r="F887" s="1" t="str">
        <f ca="1">IFERROR(__xludf.DUMMYFUNCTION("""COMPUTED_VALUE"""),"Fled/Apprehended")</f>
        <v>Fled/Apprehended</v>
      </c>
      <c r="G887" s="1" t="str">
        <f ca="1">IFERROR(__xludf.DUMMYFUNCTION("""COMPUTED_VALUE"""),"No")</f>
        <v>No</v>
      </c>
      <c r="H887" s="1" t="str">
        <f ca="1">IFERROR(__xludf.DUMMYFUNCTION("""COMPUTED_VALUE"""),"None")</f>
        <v>None</v>
      </c>
    </row>
    <row r="888" spans="1:8" ht="12.5">
      <c r="A888" s="1" t="str">
        <f ca="1">IFERROR(__xludf.DUMMYFUNCTION("""COMPUTED_VALUE"""),"20211110NYITI")</f>
        <v>20211110NYITI</v>
      </c>
      <c r="B888" s="1"/>
      <c r="C888" s="1"/>
      <c r="D888" s="1"/>
      <c r="E888" s="1" t="str">
        <f ca="1">IFERROR(__xludf.DUMMYFUNCTION("""COMPUTED_VALUE"""),"No Relation")</f>
        <v>No Relation</v>
      </c>
      <c r="F888" s="1" t="str">
        <f ca="1">IFERROR(__xludf.DUMMYFUNCTION("""COMPUTED_VALUE"""),"Fled/Escaped")</f>
        <v>Fled/Escaped</v>
      </c>
      <c r="G888" s="1" t="str">
        <f ca="1">IFERROR(__xludf.DUMMYFUNCTION("""COMPUTED_VALUE"""),"No")</f>
        <v>No</v>
      </c>
      <c r="H888" s="1" t="str">
        <f ca="1">IFERROR(__xludf.DUMMYFUNCTION("""COMPUTED_VALUE"""),"None")</f>
        <v>None</v>
      </c>
    </row>
    <row r="889" spans="1:8" ht="12.5">
      <c r="A889" s="1" t="str">
        <f ca="1">IFERROR(__xludf.DUMMYFUNCTION("""COMPUTED_VALUE"""),"20211110NCMOM")</f>
        <v>20211110NCMOM</v>
      </c>
      <c r="B889" s="1" t="str">
        <f ca="1">IFERROR(__xludf.DUMMYFUNCTION("""COMPUTED_VALUE"""),"Teen")</f>
        <v>Teen</v>
      </c>
      <c r="C889" s="1"/>
      <c r="D889" s="1"/>
      <c r="E889" s="1" t="str">
        <f ca="1">IFERROR(__xludf.DUMMYFUNCTION("""COMPUTED_VALUE"""),"Student")</f>
        <v>Student</v>
      </c>
      <c r="F889" s="1" t="str">
        <f ca="1">IFERROR(__xludf.DUMMYFUNCTION("""COMPUTED_VALUE"""),"Suicide")</f>
        <v>Suicide</v>
      </c>
      <c r="G889" s="1" t="str">
        <f ca="1">IFERROR(__xludf.DUMMYFUNCTION("""COMPUTED_VALUE"""),"Yes")</f>
        <v>Yes</v>
      </c>
      <c r="H889" s="1" t="str">
        <f ca="1">IFERROR(__xludf.DUMMYFUNCTION("""COMPUTED_VALUE"""),"Suicide")</f>
        <v>Suicide</v>
      </c>
    </row>
    <row r="890" spans="1:8" ht="12.5">
      <c r="A890" s="1" t="str">
        <f ca="1">IFERROR(__xludf.DUMMYFUNCTION("""COMPUTED_VALUE"""),"20211109NMMEL")</f>
        <v>20211109NMMEL</v>
      </c>
      <c r="B890" s="1" t="str">
        <f ca="1">IFERROR(__xludf.DUMMYFUNCTION("""COMPUTED_VALUE"""),"Adult")</f>
        <v>Adult</v>
      </c>
      <c r="C890" s="1" t="str">
        <f ca="1">IFERROR(__xludf.DUMMYFUNCTION("""COMPUTED_VALUE"""),"Male")</f>
        <v>Male</v>
      </c>
      <c r="D890" s="1"/>
      <c r="E890" s="1" t="str">
        <f ca="1">IFERROR(__xludf.DUMMYFUNCTION("""COMPUTED_VALUE"""),"No Relation")</f>
        <v>No Relation</v>
      </c>
      <c r="F890" s="1" t="str">
        <f ca="1">IFERROR(__xludf.DUMMYFUNCTION("""COMPUTED_VALUE"""),"Suicide")</f>
        <v>Suicide</v>
      </c>
      <c r="G890" s="1" t="str">
        <f ca="1">IFERROR(__xludf.DUMMYFUNCTION("""COMPUTED_VALUE"""),"Yes")</f>
        <v>Yes</v>
      </c>
      <c r="H890" s="1" t="str">
        <f ca="1">IFERROR(__xludf.DUMMYFUNCTION("""COMPUTED_VALUE"""),"Suicide")</f>
        <v>Suicide</v>
      </c>
    </row>
    <row r="891" spans="1:8" ht="12.5">
      <c r="A891" s="1" t="str">
        <f ca="1">IFERROR(__xludf.DUMMYFUNCTION("""COMPUTED_VALUE"""),"20211108NYTHB")</f>
        <v>20211108NYTHB</v>
      </c>
      <c r="B891" s="1" t="str">
        <f ca="1">IFERROR(__xludf.DUMMYFUNCTION("""COMPUTED_VALUE"""),"Teen")</f>
        <v>Teen</v>
      </c>
      <c r="C891" s="1" t="str">
        <f ca="1">IFERROR(__xludf.DUMMYFUNCTION("""COMPUTED_VALUE"""),"Male")</f>
        <v>Male</v>
      </c>
      <c r="D891" s="1"/>
      <c r="E891" s="1" t="str">
        <f ca="1">IFERROR(__xludf.DUMMYFUNCTION("""COMPUTED_VALUE"""),"Student")</f>
        <v>Student</v>
      </c>
      <c r="F891" s="1" t="str">
        <f ca="1">IFERROR(__xludf.DUMMYFUNCTION("""COMPUTED_VALUE"""),"Fled/Escaped")</f>
        <v>Fled/Escaped</v>
      </c>
      <c r="G891" s="1" t="str">
        <f ca="1">IFERROR(__xludf.DUMMYFUNCTION("""COMPUTED_VALUE"""),"No")</f>
        <v>No</v>
      </c>
      <c r="H891" s="1" t="str">
        <f ca="1">IFERROR(__xludf.DUMMYFUNCTION("""COMPUTED_VALUE"""),"None")</f>
        <v>None</v>
      </c>
    </row>
    <row r="892" spans="1:8" ht="12.5">
      <c r="A892" s="1" t="str">
        <f ca="1">IFERROR(__xludf.DUMMYFUNCTION("""COMPUTED_VALUE"""),"20211106FLOVO")</f>
        <v>20211106FLOVO</v>
      </c>
      <c r="B892" s="1" t="str">
        <f ca="1">IFERROR(__xludf.DUMMYFUNCTION("""COMPUTED_VALUE"""),"Teen")</f>
        <v>Teen</v>
      </c>
      <c r="C892" s="1" t="str">
        <f ca="1">IFERROR(__xludf.DUMMYFUNCTION("""COMPUTED_VALUE"""),"Male")</f>
        <v>Male</v>
      </c>
      <c r="D892" s="1"/>
      <c r="E892" s="1" t="str">
        <f ca="1">IFERROR(__xludf.DUMMYFUNCTION("""COMPUTED_VALUE"""),"Student")</f>
        <v>Student</v>
      </c>
      <c r="F892" s="1" t="str">
        <f ca="1">IFERROR(__xludf.DUMMYFUNCTION("""COMPUTED_VALUE"""),"Fled/Apprehended")</f>
        <v>Fled/Apprehended</v>
      </c>
      <c r="G892" s="1" t="str">
        <f ca="1">IFERROR(__xludf.DUMMYFUNCTION("""COMPUTED_VALUE"""),"No")</f>
        <v>No</v>
      </c>
      <c r="H892" s="1" t="str">
        <f ca="1">IFERROR(__xludf.DUMMYFUNCTION("""COMPUTED_VALUE"""),"None")</f>
        <v>None</v>
      </c>
    </row>
    <row r="893" spans="1:8" ht="12.5">
      <c r="A893" s="1" t="str">
        <f ca="1">IFERROR(__xludf.DUMMYFUNCTION("""COMPUTED_VALUE"""),"20211102NMHIH")</f>
        <v>20211102NMHIH</v>
      </c>
      <c r="B893" s="1">
        <f ca="1">IFERROR(__xludf.DUMMYFUNCTION("""COMPUTED_VALUE"""),12)</f>
        <v>12</v>
      </c>
      <c r="C893" s="1" t="str">
        <f ca="1">IFERROR(__xludf.DUMMYFUNCTION("""COMPUTED_VALUE"""),"Male")</f>
        <v>Male</v>
      </c>
      <c r="D893" s="1" t="str">
        <f ca="1">IFERROR(__xludf.DUMMYFUNCTION("""COMPUTED_VALUE"""),"Hispanic")</f>
        <v>Hispanic</v>
      </c>
      <c r="E893" s="1" t="str">
        <f ca="1">IFERROR(__xludf.DUMMYFUNCTION("""COMPUTED_VALUE"""),"Student")</f>
        <v>Student</v>
      </c>
      <c r="F893" s="1" t="str">
        <f ca="1">IFERROR(__xludf.DUMMYFUNCTION("""COMPUTED_VALUE"""),"Fled/Apprehended")</f>
        <v>Fled/Apprehended</v>
      </c>
      <c r="G893" s="1" t="str">
        <f ca="1">IFERROR(__xludf.DUMMYFUNCTION("""COMPUTED_VALUE"""),"No")</f>
        <v>No</v>
      </c>
      <c r="H893" s="1" t="str">
        <f ca="1">IFERROR(__xludf.DUMMYFUNCTION("""COMPUTED_VALUE"""),"None")</f>
        <v>None</v>
      </c>
    </row>
    <row r="894" spans="1:8" ht="12.5">
      <c r="A894" s="1" t="str">
        <f ca="1">IFERROR(__xludf.DUMMYFUNCTION("""COMPUTED_VALUE"""),"20211102NMHIH")</f>
        <v>20211102NMHIH</v>
      </c>
      <c r="B894" s="1">
        <f ca="1">IFERROR(__xludf.DUMMYFUNCTION("""COMPUTED_VALUE"""),12)</f>
        <v>12</v>
      </c>
      <c r="C894" s="1" t="str">
        <f ca="1">IFERROR(__xludf.DUMMYFUNCTION("""COMPUTED_VALUE"""),"Male")</f>
        <v>Male</v>
      </c>
      <c r="D894" s="1"/>
      <c r="E894" s="1" t="str">
        <f ca="1">IFERROR(__xludf.DUMMYFUNCTION("""COMPUTED_VALUE"""),"Student")</f>
        <v>Student</v>
      </c>
      <c r="F894" s="1" t="str">
        <f ca="1">IFERROR(__xludf.DUMMYFUNCTION("""COMPUTED_VALUE"""),"Fled/Apprehended")</f>
        <v>Fled/Apprehended</v>
      </c>
      <c r="G894" s="1" t="str">
        <f ca="1">IFERROR(__xludf.DUMMYFUNCTION("""COMPUTED_VALUE"""),"No")</f>
        <v>No</v>
      </c>
      <c r="H894" s="1" t="str">
        <f ca="1">IFERROR(__xludf.DUMMYFUNCTION("""COMPUTED_VALUE"""),"None")</f>
        <v>None</v>
      </c>
    </row>
    <row r="895" spans="1:8" ht="12.5">
      <c r="A895" s="1" t="str">
        <f ca="1">IFERROR(__xludf.DUMMYFUNCTION("""COMPUTED_VALUE"""),"20211030PASTM")</f>
        <v>20211030PASTM</v>
      </c>
      <c r="B895" s="1" t="str">
        <f ca="1">IFERROR(__xludf.DUMMYFUNCTION("""COMPUTED_VALUE"""),"Adult")</f>
        <v>Adult</v>
      </c>
      <c r="C895" s="1" t="str">
        <f ca="1">IFERROR(__xludf.DUMMYFUNCTION("""COMPUTED_VALUE"""),"Male")</f>
        <v>Male</v>
      </c>
      <c r="D895" s="1"/>
      <c r="E895" s="1" t="str">
        <f ca="1">IFERROR(__xludf.DUMMYFUNCTION("""COMPUTED_VALUE"""),"Nonstudent Using Athletic Facilities/Attending Game")</f>
        <v>Nonstudent Using Athletic Facilities/Attending Game</v>
      </c>
      <c r="F895" s="1" t="str">
        <f ca="1">IFERROR(__xludf.DUMMYFUNCTION("""COMPUTED_VALUE"""),"Fled/Escaped")</f>
        <v>Fled/Escaped</v>
      </c>
      <c r="G895" s="1" t="str">
        <f ca="1">IFERROR(__xludf.DUMMYFUNCTION("""COMPUTED_VALUE"""),"No")</f>
        <v>No</v>
      </c>
      <c r="H895" s="1" t="str">
        <f ca="1">IFERROR(__xludf.DUMMYFUNCTION("""COMPUTED_VALUE"""),"None")</f>
        <v>None</v>
      </c>
    </row>
    <row r="896" spans="1:8" ht="12.5">
      <c r="A896" s="1" t="str">
        <f ca="1">IFERROR(__xludf.DUMMYFUNCTION("""COMPUTED_VALUE"""),"20211027SCCAS")</f>
        <v>20211027SCCAS</v>
      </c>
      <c r="B896" s="1">
        <f ca="1">IFERROR(__xludf.DUMMYFUNCTION("""COMPUTED_VALUE"""),17)</f>
        <v>17</v>
      </c>
      <c r="C896" s="1" t="str">
        <f ca="1">IFERROR(__xludf.DUMMYFUNCTION("""COMPUTED_VALUE"""),"Male")</f>
        <v>Male</v>
      </c>
      <c r="D896" s="1"/>
      <c r="E896" s="1" t="str">
        <f ca="1">IFERROR(__xludf.DUMMYFUNCTION("""COMPUTED_VALUE"""),"Student")</f>
        <v>Student</v>
      </c>
      <c r="F896" s="1" t="str">
        <f ca="1">IFERROR(__xludf.DUMMYFUNCTION("""COMPUTED_VALUE"""),"Fled/Apprehended")</f>
        <v>Fled/Apprehended</v>
      </c>
      <c r="G896" s="1" t="str">
        <f ca="1">IFERROR(__xludf.DUMMYFUNCTION("""COMPUTED_VALUE"""),"No")</f>
        <v>No</v>
      </c>
      <c r="H896" s="1" t="str">
        <f ca="1">IFERROR(__xludf.DUMMYFUNCTION("""COMPUTED_VALUE"""),"None")</f>
        <v>None</v>
      </c>
    </row>
    <row r="897" spans="1:8" ht="12.5">
      <c r="A897" s="1" t="str">
        <f ca="1">IFERROR(__xludf.DUMMYFUNCTION("""COMPUTED_VALUE"""),"20211026MSCAN")</f>
        <v>20211026MSCAN</v>
      </c>
      <c r="B897" s="1"/>
      <c r="C897" s="1"/>
      <c r="D897" s="1"/>
      <c r="E897" s="1"/>
      <c r="F897" s="1" t="str">
        <f ca="1">IFERROR(__xludf.DUMMYFUNCTION("""COMPUTED_VALUE"""),"Fled/Escaped")</f>
        <v>Fled/Escaped</v>
      </c>
      <c r="G897" s="1" t="str">
        <f ca="1">IFERROR(__xludf.DUMMYFUNCTION("""COMPUTED_VALUE"""),"No")</f>
        <v>No</v>
      </c>
      <c r="H897" s="1" t="str">
        <f ca="1">IFERROR(__xludf.DUMMYFUNCTION("""COMPUTED_VALUE"""),"None")</f>
        <v>None</v>
      </c>
    </row>
    <row r="898" spans="1:8" ht="12.5">
      <c r="A898" s="1" t="str">
        <f ca="1">IFERROR(__xludf.DUMMYFUNCTION("""COMPUTED_VALUE"""),"20211026ILWIC")</f>
        <v>20211026ILWIC</v>
      </c>
      <c r="B898" s="1" t="str">
        <f ca="1">IFERROR(__xludf.DUMMYFUNCTION("""COMPUTED_VALUE"""),"Adult")</f>
        <v>Adult</v>
      </c>
      <c r="C898" s="1" t="str">
        <f ca="1">IFERROR(__xludf.DUMMYFUNCTION("""COMPUTED_VALUE"""),"Male")</f>
        <v>Male</v>
      </c>
      <c r="D898" s="1"/>
      <c r="E898" s="1" t="str">
        <f ca="1">IFERROR(__xludf.DUMMYFUNCTION("""COMPUTED_VALUE"""),"No Relation")</f>
        <v>No Relation</v>
      </c>
      <c r="F898" s="1" t="str">
        <f ca="1">IFERROR(__xludf.DUMMYFUNCTION("""COMPUTED_VALUE"""),"Fled/Escaped")</f>
        <v>Fled/Escaped</v>
      </c>
      <c r="G898" s="1" t="str">
        <f ca="1">IFERROR(__xludf.DUMMYFUNCTION("""COMPUTED_VALUE"""),"No")</f>
        <v>No</v>
      </c>
      <c r="H898" s="1" t="str">
        <f ca="1">IFERROR(__xludf.DUMMYFUNCTION("""COMPUTED_VALUE"""),"None")</f>
        <v>None</v>
      </c>
    </row>
    <row r="899" spans="1:8" ht="12.5">
      <c r="A899" s="1" t="str">
        <f ca="1">IFERROR(__xludf.DUMMYFUNCTION("""COMPUTED_VALUE"""),"20211022PAPHP")</f>
        <v>20211022PAPHP</v>
      </c>
      <c r="B899" s="1">
        <f ca="1">IFERROR(__xludf.DUMMYFUNCTION("""COMPUTED_VALUE"""),18)</f>
        <v>18</v>
      </c>
      <c r="C899" s="1" t="str">
        <f ca="1">IFERROR(__xludf.DUMMYFUNCTION("""COMPUTED_VALUE"""),"Male")</f>
        <v>Male</v>
      </c>
      <c r="D899" s="1"/>
      <c r="E899" s="1" t="str">
        <f ca="1">IFERROR(__xludf.DUMMYFUNCTION("""COMPUTED_VALUE"""),"Student")</f>
        <v>Student</v>
      </c>
      <c r="F899" s="1" t="str">
        <f ca="1">IFERROR(__xludf.DUMMYFUNCTION("""COMPUTED_VALUE"""),"Apprehended/Killed by LE")</f>
        <v>Apprehended/Killed by LE</v>
      </c>
      <c r="G899" s="1" t="str">
        <f ca="1">IFERROR(__xludf.DUMMYFUNCTION("""COMPUTED_VALUE"""),"No")</f>
        <v>No</v>
      </c>
      <c r="H899" s="1" t="str">
        <f ca="1">IFERROR(__xludf.DUMMYFUNCTION("""COMPUTED_VALUE"""),"Wounded")</f>
        <v>Wounded</v>
      </c>
    </row>
    <row r="900" spans="1:8" ht="12.5">
      <c r="A900" s="1" t="str">
        <f ca="1">IFERROR(__xludf.DUMMYFUNCTION("""COMPUTED_VALUE"""),"20211021NYPSB")</f>
        <v>20211021NYPSB</v>
      </c>
      <c r="B900" s="1" t="str">
        <f ca="1">IFERROR(__xludf.DUMMYFUNCTION("""COMPUTED_VALUE"""),"Adult")</f>
        <v>Adult</v>
      </c>
      <c r="C900" s="1" t="str">
        <f ca="1">IFERROR(__xludf.DUMMYFUNCTION("""COMPUTED_VALUE"""),"Male")</f>
        <v>Male</v>
      </c>
      <c r="D900" s="1"/>
      <c r="E900" s="1" t="str">
        <f ca="1">IFERROR(__xludf.DUMMYFUNCTION("""COMPUTED_VALUE"""),"No Relation")</f>
        <v>No Relation</v>
      </c>
      <c r="F900" s="1" t="str">
        <f ca="1">IFERROR(__xludf.DUMMYFUNCTION("""COMPUTED_VALUE"""),"Fled/Apprehended")</f>
        <v>Fled/Apprehended</v>
      </c>
      <c r="G900" s="1" t="str">
        <f ca="1">IFERROR(__xludf.DUMMYFUNCTION("""COMPUTED_VALUE"""),"No")</f>
        <v>No</v>
      </c>
      <c r="H900" s="1" t="str">
        <f ca="1">IFERROR(__xludf.DUMMYFUNCTION("""COMPUTED_VALUE"""),"None")</f>
        <v>None</v>
      </c>
    </row>
    <row r="901" spans="1:8" ht="12.5">
      <c r="A901" s="1" t="str">
        <f ca="1">IFERROR(__xludf.DUMMYFUNCTION("""COMPUTED_VALUE"""),"20211021GABES")</f>
        <v>20211021GABES</v>
      </c>
      <c r="B901" s="1">
        <f ca="1">IFERROR(__xludf.DUMMYFUNCTION("""COMPUTED_VALUE"""),33)</f>
        <v>33</v>
      </c>
      <c r="C901" s="1" t="str">
        <f ca="1">IFERROR(__xludf.DUMMYFUNCTION("""COMPUTED_VALUE"""),"Male")</f>
        <v>Male</v>
      </c>
      <c r="D901" s="1" t="str">
        <f ca="1">IFERROR(__xludf.DUMMYFUNCTION("""COMPUTED_VALUE"""),"White")</f>
        <v>White</v>
      </c>
      <c r="E901" s="1" t="str">
        <f ca="1">IFERROR(__xludf.DUMMYFUNCTION("""COMPUTED_VALUE"""),"No Relation")</f>
        <v>No Relation</v>
      </c>
      <c r="F901" s="1" t="str">
        <f ca="1">IFERROR(__xludf.DUMMYFUNCTION("""COMPUTED_VALUE"""),"Apprehended/Killed by LE")</f>
        <v>Apprehended/Killed by LE</v>
      </c>
      <c r="G901" s="1" t="str">
        <f ca="1">IFERROR(__xludf.DUMMYFUNCTION("""COMPUTED_VALUE"""),"No")</f>
        <v>No</v>
      </c>
      <c r="H901" s="1" t="str">
        <f ca="1">IFERROR(__xludf.DUMMYFUNCTION("""COMPUTED_VALUE"""),"None")</f>
        <v>None</v>
      </c>
    </row>
    <row r="902" spans="1:8" ht="12.5">
      <c r="A902" s="1" t="str">
        <f ca="1">IFERROR(__xludf.DUMMYFUNCTION("""COMPUTED_VALUE"""),"20211018PALIP")</f>
        <v>20211018PALIP</v>
      </c>
      <c r="B902" s="1">
        <f ca="1">IFERROR(__xludf.DUMMYFUNCTION("""COMPUTED_VALUE"""),21)</f>
        <v>21</v>
      </c>
      <c r="C902" s="1" t="str">
        <f ca="1">IFERROR(__xludf.DUMMYFUNCTION("""COMPUTED_VALUE"""),"Male")</f>
        <v>Male</v>
      </c>
      <c r="D902" s="1"/>
      <c r="E902" s="1" t="str">
        <f ca="1">IFERROR(__xludf.DUMMYFUNCTION("""COMPUTED_VALUE"""),"Relative")</f>
        <v>Relative</v>
      </c>
      <c r="F902" s="1" t="str">
        <f ca="1">IFERROR(__xludf.DUMMYFUNCTION("""COMPUTED_VALUE"""),"Apprehended/Killed by LE")</f>
        <v>Apprehended/Killed by LE</v>
      </c>
      <c r="G902" s="1" t="str">
        <f ca="1">IFERROR(__xludf.DUMMYFUNCTION("""COMPUTED_VALUE"""),"No")</f>
        <v>No</v>
      </c>
      <c r="H902" s="1" t="str">
        <f ca="1">IFERROR(__xludf.DUMMYFUNCTION("""COMPUTED_VALUE"""),"None")</f>
        <v>None</v>
      </c>
    </row>
    <row r="903" spans="1:8" ht="12.5">
      <c r="A903" s="1" t="str">
        <f ca="1">IFERROR(__xludf.DUMMYFUNCTION("""COMPUTED_VALUE"""),"20211017ARROR")</f>
        <v>20211017ARROR</v>
      </c>
      <c r="B903" s="1">
        <f ca="1">IFERROR(__xludf.DUMMYFUNCTION("""COMPUTED_VALUE"""),28)</f>
        <v>28</v>
      </c>
      <c r="C903" s="1" t="str">
        <f ca="1">IFERROR(__xludf.DUMMYFUNCTION("""COMPUTED_VALUE"""),"Male")</f>
        <v>Male</v>
      </c>
      <c r="D903" s="1"/>
      <c r="E903" s="1" t="str">
        <f ca="1">IFERROR(__xludf.DUMMYFUNCTION("""COMPUTED_VALUE"""),"No Relation")</f>
        <v>No Relation</v>
      </c>
      <c r="F903" s="1" t="str">
        <f ca="1">IFERROR(__xludf.DUMMYFUNCTION("""COMPUTED_VALUE"""),"Fled/Apprehended")</f>
        <v>Fled/Apprehended</v>
      </c>
      <c r="G903" s="1" t="str">
        <f ca="1">IFERROR(__xludf.DUMMYFUNCTION("""COMPUTED_VALUE"""),"No")</f>
        <v>No</v>
      </c>
      <c r="H903" s="1" t="str">
        <f ca="1">IFERROR(__xludf.DUMMYFUNCTION("""COMPUTED_VALUE"""),"None")</f>
        <v>None</v>
      </c>
    </row>
    <row r="904" spans="1:8" ht="12.5">
      <c r="A904" s="1" t="str">
        <f ca="1">IFERROR(__xludf.DUMMYFUNCTION("""COMPUTED_VALUE"""),"20211015CAKEF")</f>
        <v>20211015CAKEF</v>
      </c>
      <c r="B904" s="1">
        <f ca="1">IFERROR(__xludf.DUMMYFUNCTION("""COMPUTED_VALUE"""),33)</f>
        <v>33</v>
      </c>
      <c r="C904" s="1" t="str">
        <f ca="1">IFERROR(__xludf.DUMMYFUNCTION("""COMPUTED_VALUE"""),"Male")</f>
        <v>Male</v>
      </c>
      <c r="D904" s="1" t="str">
        <f ca="1">IFERROR(__xludf.DUMMYFUNCTION("""COMPUTED_VALUE"""),"Black")</f>
        <v>Black</v>
      </c>
      <c r="E904" s="1" t="str">
        <f ca="1">IFERROR(__xludf.DUMMYFUNCTION("""COMPUTED_VALUE"""),"No Relation")</f>
        <v>No Relation</v>
      </c>
      <c r="F904" s="1" t="str">
        <f ca="1">IFERROR(__xludf.DUMMYFUNCTION("""COMPUTED_VALUE"""),"Surrendered")</f>
        <v>Surrendered</v>
      </c>
      <c r="G904" s="1" t="str">
        <f ca="1">IFERROR(__xludf.DUMMYFUNCTION("""COMPUTED_VALUE"""),"No")</f>
        <v>No</v>
      </c>
      <c r="H904" s="1" t="str">
        <f ca="1">IFERROR(__xludf.DUMMYFUNCTION("""COMPUTED_VALUE"""),"None")</f>
        <v>None</v>
      </c>
    </row>
    <row r="905" spans="1:8" ht="12.5">
      <c r="A905" s="1" t="str">
        <f ca="1">IFERROR(__xludf.DUMMYFUNCTION("""COMPUTED_VALUE"""),"20211015ALWIM")</f>
        <v>20211015ALWIM</v>
      </c>
      <c r="B905" s="1">
        <f ca="1">IFERROR(__xludf.DUMMYFUNCTION("""COMPUTED_VALUE"""),19)</f>
        <v>19</v>
      </c>
      <c r="C905" s="1" t="str">
        <f ca="1">IFERROR(__xludf.DUMMYFUNCTION("""COMPUTED_VALUE"""),"Male")</f>
        <v>Male</v>
      </c>
      <c r="D905" s="1" t="str">
        <f ca="1">IFERROR(__xludf.DUMMYFUNCTION("""COMPUTED_VALUE"""),"Black")</f>
        <v>Black</v>
      </c>
      <c r="E905" s="1" t="str">
        <f ca="1">IFERROR(__xludf.DUMMYFUNCTION("""COMPUTED_VALUE"""),"Nonstudent Using Athletic Facilities/Attending Game")</f>
        <v>Nonstudent Using Athletic Facilities/Attending Game</v>
      </c>
      <c r="F905" s="1" t="str">
        <f ca="1">IFERROR(__xludf.DUMMYFUNCTION("""COMPUTED_VALUE"""),"Fled/Escaped")</f>
        <v>Fled/Escaped</v>
      </c>
      <c r="G905" s="1" t="str">
        <f ca="1">IFERROR(__xludf.DUMMYFUNCTION("""COMPUTED_VALUE"""),"No")</f>
        <v>No</v>
      </c>
      <c r="H905" s="1" t="str">
        <f ca="1">IFERROR(__xludf.DUMMYFUNCTION("""COMPUTED_VALUE"""),"None")</f>
        <v>None</v>
      </c>
    </row>
    <row r="906" spans="1:8" ht="12.5">
      <c r="A906" s="1" t="str">
        <f ca="1">IFERROR(__xludf.DUMMYFUNCTION("""COMPUTED_VALUE"""),"20211014MEREP")</f>
        <v>20211014MEREP</v>
      </c>
      <c r="B906" s="1"/>
      <c r="C906" s="1"/>
      <c r="D906" s="1"/>
      <c r="E906" s="1" t="str">
        <f ca="1">IFERROR(__xludf.DUMMYFUNCTION("""COMPUTED_VALUE"""),"No Relation")</f>
        <v>No Relation</v>
      </c>
      <c r="F906" s="1" t="str">
        <f ca="1">IFERROR(__xludf.DUMMYFUNCTION("""COMPUTED_VALUE"""),"Fled/Escaped")</f>
        <v>Fled/Escaped</v>
      </c>
      <c r="G906" s="1" t="str">
        <f ca="1">IFERROR(__xludf.DUMMYFUNCTION("""COMPUTED_VALUE"""),"No")</f>
        <v>No</v>
      </c>
      <c r="H906" s="1" t="str">
        <f ca="1">IFERROR(__xludf.DUMMYFUNCTION("""COMPUTED_VALUE"""),"None")</f>
        <v>None</v>
      </c>
    </row>
    <row r="907" spans="1:8" ht="12.5">
      <c r="A907" s="1" t="str">
        <f ca="1">IFERROR(__xludf.DUMMYFUNCTION("""COMPUTED_VALUE"""),"20211013PACHD")</f>
        <v>20211013PACHD</v>
      </c>
      <c r="B907" s="1">
        <f ca="1">IFERROR(__xludf.DUMMYFUNCTION("""COMPUTED_VALUE"""),10)</f>
        <v>10</v>
      </c>
      <c r="C907" s="1" t="str">
        <f ca="1">IFERROR(__xludf.DUMMYFUNCTION("""COMPUTED_VALUE"""),"Male")</f>
        <v>Male</v>
      </c>
      <c r="D907" s="1"/>
      <c r="E907" s="1" t="str">
        <f ca="1">IFERROR(__xludf.DUMMYFUNCTION("""COMPUTED_VALUE"""),"Student")</f>
        <v>Student</v>
      </c>
      <c r="F907" s="1" t="str">
        <f ca="1">IFERROR(__xludf.DUMMYFUNCTION("""COMPUTED_VALUE"""),"Subdued by Students/Staff/Other")</f>
        <v>Subdued by Students/Staff/Other</v>
      </c>
      <c r="G907" s="1" t="str">
        <f ca="1">IFERROR(__xludf.DUMMYFUNCTION("""COMPUTED_VALUE"""),"No")</f>
        <v>No</v>
      </c>
      <c r="H907" s="1" t="str">
        <f ca="1">IFERROR(__xludf.DUMMYFUNCTION("""COMPUTED_VALUE"""),"None")</f>
        <v>None</v>
      </c>
    </row>
    <row r="908" spans="1:8" ht="12.5">
      <c r="A908" s="1" t="str">
        <f ca="1">IFERROR(__xludf.DUMMYFUNCTION("""COMPUTED_VALUE"""),"20211013PACHD")</f>
        <v>20211013PACHD</v>
      </c>
      <c r="B908" s="1">
        <f ca="1">IFERROR(__xludf.DUMMYFUNCTION("""COMPUTED_VALUE"""),10)</f>
        <v>10</v>
      </c>
      <c r="C908" s="1" t="str">
        <f ca="1">IFERROR(__xludf.DUMMYFUNCTION("""COMPUTED_VALUE"""),"Male")</f>
        <v>Male</v>
      </c>
      <c r="D908" s="1"/>
      <c r="E908" s="1" t="str">
        <f ca="1">IFERROR(__xludf.DUMMYFUNCTION("""COMPUTED_VALUE"""),"Student")</f>
        <v>Student</v>
      </c>
      <c r="F908" s="1" t="str">
        <f ca="1">IFERROR(__xludf.DUMMYFUNCTION("""COMPUTED_VALUE"""),"Subdued by Students/Staff/Other")</f>
        <v>Subdued by Students/Staff/Other</v>
      </c>
      <c r="G908" s="1" t="str">
        <f ca="1">IFERROR(__xludf.DUMMYFUNCTION("""COMPUTED_VALUE"""),"No")</f>
        <v>No</v>
      </c>
      <c r="H908" s="1" t="str">
        <f ca="1">IFERROR(__xludf.DUMMYFUNCTION("""COMPUTED_VALUE"""),"None")</f>
        <v>None</v>
      </c>
    </row>
    <row r="909" spans="1:8" ht="12.5">
      <c r="A909" s="1" t="str">
        <f ca="1">IFERROR(__xludf.DUMMYFUNCTION("""COMPUTED_VALUE"""),"20211013ILMCC")</f>
        <v>20211013ILMCC</v>
      </c>
      <c r="B909" s="1"/>
      <c r="C909" s="1"/>
      <c r="D909" s="1"/>
      <c r="E909" s="1" t="str">
        <f ca="1">IFERROR(__xludf.DUMMYFUNCTION("""COMPUTED_VALUE"""),"No Relation")</f>
        <v>No Relation</v>
      </c>
      <c r="F909" s="1" t="str">
        <f ca="1">IFERROR(__xludf.DUMMYFUNCTION("""COMPUTED_VALUE"""),"Fled/Escaped")</f>
        <v>Fled/Escaped</v>
      </c>
      <c r="G909" s="1" t="str">
        <f ca="1">IFERROR(__xludf.DUMMYFUNCTION("""COMPUTED_VALUE"""),"No")</f>
        <v>No</v>
      </c>
      <c r="H909" s="1" t="str">
        <f ca="1">IFERROR(__xludf.DUMMYFUNCTION("""COMPUTED_VALUE"""),"None")</f>
        <v>None</v>
      </c>
    </row>
    <row r="910" spans="1:8" ht="12.5">
      <c r="A910" s="1" t="str">
        <f ca="1">IFERROR(__xludf.DUMMYFUNCTION("""COMPUTED_VALUE"""),"20211012OKUNT")</f>
        <v>20211012OKUNT</v>
      </c>
      <c r="B910" s="1" t="str">
        <f ca="1">IFERROR(__xludf.DUMMYFUNCTION("""COMPUTED_VALUE"""),"Teen")</f>
        <v>Teen</v>
      </c>
      <c r="C910" s="1" t="str">
        <f ca="1">IFERROR(__xludf.DUMMYFUNCTION("""COMPUTED_VALUE"""),"Male")</f>
        <v>Male</v>
      </c>
      <c r="D910" s="1"/>
      <c r="E910" s="1" t="str">
        <f ca="1">IFERROR(__xludf.DUMMYFUNCTION("""COMPUTED_VALUE"""),"Student")</f>
        <v>Student</v>
      </c>
      <c r="F910" s="1" t="str">
        <f ca="1">IFERROR(__xludf.DUMMYFUNCTION("""COMPUTED_VALUE"""),"Fled/Apprehended")</f>
        <v>Fled/Apprehended</v>
      </c>
      <c r="G910" s="1" t="str">
        <f ca="1">IFERROR(__xludf.DUMMYFUNCTION("""COMPUTED_VALUE"""),"No")</f>
        <v>No</v>
      </c>
      <c r="H910" s="1" t="str">
        <f ca="1">IFERROR(__xludf.DUMMYFUNCTION("""COMPUTED_VALUE"""),"None")</f>
        <v>None</v>
      </c>
    </row>
    <row r="911" spans="1:8" ht="12.5">
      <c r="A911" s="1" t="str">
        <f ca="1">IFERROR(__xludf.DUMMYFUNCTION("""COMPUTED_VALUE"""),"20211012MIELK")</f>
        <v>20211012MIELK</v>
      </c>
      <c r="B911" s="1"/>
      <c r="C911" s="1" t="str">
        <f ca="1">IFERROR(__xludf.DUMMYFUNCTION("""COMPUTED_VALUE"""),"Male")</f>
        <v>Male</v>
      </c>
      <c r="D911" s="1"/>
      <c r="E911" s="1" t="str">
        <f ca="1">IFERROR(__xludf.DUMMYFUNCTION("""COMPUTED_VALUE"""),"No Relation")</f>
        <v>No Relation</v>
      </c>
      <c r="F911" s="1" t="str">
        <f ca="1">IFERROR(__xludf.DUMMYFUNCTION("""COMPUTED_VALUE"""),"Fled/Escaped")</f>
        <v>Fled/Escaped</v>
      </c>
      <c r="G911" s="1" t="str">
        <f ca="1">IFERROR(__xludf.DUMMYFUNCTION("""COMPUTED_VALUE"""),"No")</f>
        <v>No</v>
      </c>
      <c r="H911" s="1" t="str">
        <f ca="1">IFERROR(__xludf.DUMMYFUNCTION("""COMPUTED_VALUE"""),"None")</f>
        <v>None</v>
      </c>
    </row>
    <row r="912" spans="1:8" ht="12.5">
      <c r="A912" s="1" t="str">
        <f ca="1">IFERROR(__xludf.DUMMYFUNCTION("""COMPUTED_VALUE"""),"20211012ILWEC")</f>
        <v>20211012ILWEC</v>
      </c>
      <c r="B912" s="1"/>
      <c r="C912" s="1"/>
      <c r="D912" s="1"/>
      <c r="E912" s="1"/>
      <c r="F912" s="1" t="str">
        <f ca="1">IFERROR(__xludf.DUMMYFUNCTION("""COMPUTED_VALUE"""),"Fled/Escaped")</f>
        <v>Fled/Escaped</v>
      </c>
      <c r="G912" s="1" t="str">
        <f ca="1">IFERROR(__xludf.DUMMYFUNCTION("""COMPUTED_VALUE"""),"No")</f>
        <v>No</v>
      </c>
      <c r="H912" s="1" t="str">
        <f ca="1">IFERROR(__xludf.DUMMYFUNCTION("""COMPUTED_VALUE"""),"None")</f>
        <v>None</v>
      </c>
    </row>
    <row r="913" spans="1:8" ht="12.5">
      <c r="A913" s="1" t="str">
        <f ca="1">IFERROR(__xludf.DUMMYFUNCTION("""COMPUTED_VALUE"""),"20211012ARLIL")</f>
        <v>20211012ARLIL</v>
      </c>
      <c r="B913" s="1"/>
      <c r="C913" s="1"/>
      <c r="D913" s="1"/>
      <c r="E913" s="1" t="str">
        <f ca="1">IFERROR(__xludf.DUMMYFUNCTION("""COMPUTED_VALUE"""),"No Relation")</f>
        <v>No Relation</v>
      </c>
      <c r="F913" s="1" t="str">
        <f ca="1">IFERROR(__xludf.DUMMYFUNCTION("""COMPUTED_VALUE"""),"Fled/Escaped")</f>
        <v>Fled/Escaped</v>
      </c>
      <c r="G913" s="1" t="str">
        <f ca="1">IFERROR(__xludf.DUMMYFUNCTION("""COMPUTED_VALUE"""),"No")</f>
        <v>No</v>
      </c>
      <c r="H913" s="1" t="str">
        <f ca="1">IFERROR(__xludf.DUMMYFUNCTION("""COMPUTED_VALUE"""),"None")</f>
        <v>None</v>
      </c>
    </row>
    <row r="914" spans="1:8" ht="12.5">
      <c r="A914" s="1" t="str">
        <f ca="1">IFERROR(__xludf.DUMMYFUNCTION("""COMPUTED_VALUE"""),"20211011ORROP")</f>
        <v>20211011ORROP</v>
      </c>
      <c r="B914" s="1"/>
      <c r="C914" s="1"/>
      <c r="D914" s="1"/>
      <c r="E914" s="1"/>
      <c r="F914" s="1" t="str">
        <f ca="1">IFERROR(__xludf.DUMMYFUNCTION("""COMPUTED_VALUE"""),"Fled/Escaped")</f>
        <v>Fled/Escaped</v>
      </c>
      <c r="G914" s="1" t="str">
        <f ca="1">IFERROR(__xludf.DUMMYFUNCTION("""COMPUTED_VALUE"""),"No")</f>
        <v>No</v>
      </c>
      <c r="H914" s="1" t="str">
        <f ca="1">IFERROR(__xludf.DUMMYFUNCTION("""COMPUTED_VALUE"""),"None")</f>
        <v>None</v>
      </c>
    </row>
    <row r="915" spans="1:8" ht="12.5">
      <c r="A915" s="1" t="str">
        <f ca="1">IFERROR(__xludf.DUMMYFUNCTION("""COMPUTED_VALUE"""),"20211008OKCOC")</f>
        <v>20211008OKCOC</v>
      </c>
      <c r="B915" s="1" t="str">
        <f ca="1">IFERROR(__xludf.DUMMYFUNCTION("""COMPUTED_VALUE"""),"Teen")</f>
        <v>Teen</v>
      </c>
      <c r="C915" s="1"/>
      <c r="D915" s="1"/>
      <c r="E915" s="1" t="str">
        <f ca="1">IFERROR(__xludf.DUMMYFUNCTION("""COMPUTED_VALUE"""),"Student")</f>
        <v>Student</v>
      </c>
      <c r="F915" s="1" t="str">
        <f ca="1">IFERROR(__xludf.DUMMYFUNCTION("""COMPUTED_VALUE"""),"Apprehended/Killed by LE")</f>
        <v>Apprehended/Killed by LE</v>
      </c>
      <c r="G915" s="1" t="str">
        <f ca="1">IFERROR(__xludf.DUMMYFUNCTION("""COMPUTED_VALUE"""),"No")</f>
        <v>No</v>
      </c>
      <c r="H915" s="1" t="str">
        <f ca="1">IFERROR(__xludf.DUMMYFUNCTION("""COMPUTED_VALUE"""),"None")</f>
        <v>None</v>
      </c>
    </row>
    <row r="916" spans="1:8" ht="12.5">
      <c r="A916" s="1" t="str">
        <f ca="1">IFERROR(__xludf.DUMMYFUNCTION("""COMPUTED_VALUE"""),"20211007TXEAW")</f>
        <v>20211007TXEAW</v>
      </c>
      <c r="B916" s="1"/>
      <c r="C916" s="1"/>
      <c r="D916" s="1"/>
      <c r="E916" s="1" t="str">
        <f ca="1">IFERROR(__xludf.DUMMYFUNCTION("""COMPUTED_VALUE"""),"No Relation")</f>
        <v>No Relation</v>
      </c>
      <c r="F916" s="1" t="str">
        <f ca="1">IFERROR(__xludf.DUMMYFUNCTION("""COMPUTED_VALUE"""),"Fled/Escaped")</f>
        <v>Fled/Escaped</v>
      </c>
      <c r="G916" s="1" t="str">
        <f ca="1">IFERROR(__xludf.DUMMYFUNCTION("""COMPUTED_VALUE"""),"No")</f>
        <v>No</v>
      </c>
      <c r="H916" s="1" t="str">
        <f ca="1">IFERROR(__xludf.DUMMYFUNCTION("""COMPUTED_VALUE"""),"None")</f>
        <v>None</v>
      </c>
    </row>
    <row r="917" spans="1:8" ht="12.5">
      <c r="A917" s="1" t="str">
        <f ca="1">IFERROR(__xludf.DUMMYFUNCTION("""COMPUTED_VALUE"""),"20211007PAANP")</f>
        <v>20211007PAANP</v>
      </c>
      <c r="B917" s="1"/>
      <c r="C917" s="1"/>
      <c r="D917" s="1"/>
      <c r="E917" s="1"/>
      <c r="F917" s="1" t="str">
        <f ca="1">IFERROR(__xludf.DUMMYFUNCTION("""COMPUTED_VALUE"""),"Fled/Escaped")</f>
        <v>Fled/Escaped</v>
      </c>
      <c r="G917" s="1" t="str">
        <f ca="1">IFERROR(__xludf.DUMMYFUNCTION("""COMPUTED_VALUE"""),"No")</f>
        <v>No</v>
      </c>
      <c r="H917" s="1" t="str">
        <f ca="1">IFERROR(__xludf.DUMMYFUNCTION("""COMPUTED_VALUE"""),"None")</f>
        <v>None</v>
      </c>
    </row>
    <row r="918" spans="1:8" ht="12.5">
      <c r="A918" s="1" t="str">
        <f ca="1">IFERROR(__xludf.DUMMYFUNCTION("""COMPUTED_VALUE"""),"20211007NCEAD")</f>
        <v>20211007NCEAD</v>
      </c>
      <c r="B918" s="1">
        <f ca="1">IFERROR(__xludf.DUMMYFUNCTION("""COMPUTED_VALUE"""),39)</f>
        <v>39</v>
      </c>
      <c r="C918" s="1" t="str">
        <f ca="1">IFERROR(__xludf.DUMMYFUNCTION("""COMPUTED_VALUE"""),"Male")</f>
        <v>Male</v>
      </c>
      <c r="D918" s="1"/>
      <c r="E918" s="1" t="str">
        <f ca="1">IFERROR(__xludf.DUMMYFUNCTION("""COMPUTED_VALUE"""),"No Relation")</f>
        <v>No Relation</v>
      </c>
      <c r="F918" s="1" t="str">
        <f ca="1">IFERROR(__xludf.DUMMYFUNCTION("""COMPUTED_VALUE"""),"Suicide")</f>
        <v>Suicide</v>
      </c>
      <c r="G918" s="1" t="str">
        <f ca="1">IFERROR(__xludf.DUMMYFUNCTION("""COMPUTED_VALUE"""),"Yes")</f>
        <v>Yes</v>
      </c>
      <c r="H918" s="1" t="str">
        <f ca="1">IFERROR(__xludf.DUMMYFUNCTION("""COMPUTED_VALUE"""),"Suicide")</f>
        <v>Suicide</v>
      </c>
    </row>
    <row r="919" spans="1:8" ht="12.5">
      <c r="A919" s="1" t="str">
        <f ca="1">IFERROR(__xludf.DUMMYFUNCTION("""COMPUTED_VALUE"""),"20211007DCWAW")</f>
        <v>20211007DCWAW</v>
      </c>
      <c r="B919" s="1">
        <f ca="1">IFERROR(__xludf.DUMMYFUNCTION("""COMPUTED_VALUE"""),18)</f>
        <v>18</v>
      </c>
      <c r="C919" s="1" t="str">
        <f ca="1">IFERROR(__xludf.DUMMYFUNCTION("""COMPUTED_VALUE"""),"Male")</f>
        <v>Male</v>
      </c>
      <c r="D919" s="1" t="str">
        <f ca="1">IFERROR(__xludf.DUMMYFUNCTION("""COMPUTED_VALUE"""),"Black")</f>
        <v>Black</v>
      </c>
      <c r="E919" s="1" t="str">
        <f ca="1">IFERROR(__xludf.DUMMYFUNCTION("""COMPUTED_VALUE"""),"Nonstudent Using Athletic Facilities/Attending Game")</f>
        <v>Nonstudent Using Athletic Facilities/Attending Game</v>
      </c>
      <c r="F919" s="1" t="str">
        <f ca="1">IFERROR(__xludf.DUMMYFUNCTION("""COMPUTED_VALUE"""),"Fled/Apprehended")</f>
        <v>Fled/Apprehended</v>
      </c>
      <c r="G919" s="1" t="str">
        <f ca="1">IFERROR(__xludf.DUMMYFUNCTION("""COMPUTED_VALUE"""),"No")</f>
        <v>No</v>
      </c>
      <c r="H919" s="1" t="str">
        <f ca="1">IFERROR(__xludf.DUMMYFUNCTION("""COMPUTED_VALUE"""),"None")</f>
        <v>None</v>
      </c>
    </row>
    <row r="920" spans="1:8" ht="12.5">
      <c r="A920" s="1" t="str">
        <f ca="1">IFERROR(__xludf.DUMMYFUNCTION("""COMPUTED_VALUE"""),"20211006TXTIA")</f>
        <v>20211006TXTIA</v>
      </c>
      <c r="B920" s="1">
        <f ca="1">IFERROR(__xludf.DUMMYFUNCTION("""COMPUTED_VALUE"""),18)</f>
        <v>18</v>
      </c>
      <c r="C920" s="1" t="str">
        <f ca="1">IFERROR(__xludf.DUMMYFUNCTION("""COMPUTED_VALUE"""),"Male")</f>
        <v>Male</v>
      </c>
      <c r="D920" s="1" t="str">
        <f ca="1">IFERROR(__xludf.DUMMYFUNCTION("""COMPUTED_VALUE"""),"Black")</f>
        <v>Black</v>
      </c>
      <c r="E920" s="1" t="str">
        <f ca="1">IFERROR(__xludf.DUMMYFUNCTION("""COMPUTED_VALUE"""),"Student")</f>
        <v>Student</v>
      </c>
      <c r="F920" s="1" t="str">
        <f ca="1">IFERROR(__xludf.DUMMYFUNCTION("""COMPUTED_VALUE"""),"Fled/Apprehended")</f>
        <v>Fled/Apprehended</v>
      </c>
      <c r="G920" s="1" t="str">
        <f ca="1">IFERROR(__xludf.DUMMYFUNCTION("""COMPUTED_VALUE"""),"No")</f>
        <v>No</v>
      </c>
      <c r="H920" s="1" t="str">
        <f ca="1">IFERROR(__xludf.DUMMYFUNCTION("""COMPUTED_VALUE"""),"None")</f>
        <v>None</v>
      </c>
    </row>
    <row r="921" spans="1:8" ht="12.5">
      <c r="A921" s="1" t="str">
        <f ca="1">IFERROR(__xludf.DUMMYFUNCTION("""COMPUTED_VALUE"""),"20211005NDHEH")</f>
        <v>20211005NDHEH</v>
      </c>
      <c r="B921" s="1" t="str">
        <f ca="1">IFERROR(__xludf.DUMMYFUNCTION("""COMPUTED_VALUE"""),"Teen")</f>
        <v>Teen</v>
      </c>
      <c r="C921" s="1"/>
      <c r="D921" s="1"/>
      <c r="E921" s="1" t="str">
        <f ca="1">IFERROR(__xludf.DUMMYFUNCTION("""COMPUTED_VALUE"""),"Student")</f>
        <v>Student</v>
      </c>
      <c r="F921" s="1" t="str">
        <f ca="1">IFERROR(__xludf.DUMMYFUNCTION("""COMPUTED_VALUE"""),"Suicide")</f>
        <v>Suicide</v>
      </c>
      <c r="G921" s="1"/>
      <c r="H921" s="1" t="str">
        <f ca="1">IFERROR(__xludf.DUMMYFUNCTION("""COMPUTED_VALUE"""),"Suicide")</f>
        <v>Suicide</v>
      </c>
    </row>
    <row r="922" spans="1:8" ht="12.5">
      <c r="A922" s="1" t="str">
        <f ca="1">IFERROR(__xludf.DUMMYFUNCTION("""COMPUTED_VALUE"""),"20211005NCGAC")</f>
        <v>20211005NCGAC</v>
      </c>
      <c r="B922" s="1" t="str">
        <f ca="1">IFERROR(__xludf.DUMMYFUNCTION("""COMPUTED_VALUE"""),"Teen")</f>
        <v>Teen</v>
      </c>
      <c r="C922" s="1" t="str">
        <f ca="1">IFERROR(__xludf.DUMMYFUNCTION("""COMPUTED_VALUE"""),"Male")</f>
        <v>Male</v>
      </c>
      <c r="D922" s="1"/>
      <c r="E922" s="1" t="str">
        <f ca="1">IFERROR(__xludf.DUMMYFUNCTION("""COMPUTED_VALUE"""),"Student")</f>
        <v>Student</v>
      </c>
      <c r="F922" s="1" t="str">
        <f ca="1">IFERROR(__xludf.DUMMYFUNCTION("""COMPUTED_VALUE"""),"Apprehended/Killed by LE")</f>
        <v>Apprehended/Killed by LE</v>
      </c>
      <c r="G922" s="1" t="str">
        <f ca="1">IFERROR(__xludf.DUMMYFUNCTION("""COMPUTED_VALUE"""),"No")</f>
        <v>No</v>
      </c>
      <c r="H922" s="1" t="str">
        <f ca="1">IFERROR(__xludf.DUMMYFUNCTION("""COMPUTED_VALUE"""),"None")</f>
        <v>None</v>
      </c>
    </row>
    <row r="923" spans="1:8" ht="12.5">
      <c r="A923" s="1" t="str">
        <f ca="1">IFERROR(__xludf.DUMMYFUNCTION("""COMPUTED_VALUE"""),"20211004PASCP")</f>
        <v>20211004PASCP</v>
      </c>
      <c r="B923" s="1" t="str">
        <f ca="1">IFERROR(__xludf.DUMMYFUNCTION("""COMPUTED_VALUE"""),"Adult")</f>
        <v>Adult</v>
      </c>
      <c r="C923" s="1" t="str">
        <f ca="1">IFERROR(__xludf.DUMMYFUNCTION("""COMPUTED_VALUE"""),"Male")</f>
        <v>Male</v>
      </c>
      <c r="D923" s="1"/>
      <c r="E923" s="1" t="str">
        <f ca="1">IFERROR(__xludf.DUMMYFUNCTION("""COMPUTED_VALUE"""),"No Relation")</f>
        <v>No Relation</v>
      </c>
      <c r="F923" s="1" t="str">
        <f ca="1">IFERROR(__xludf.DUMMYFUNCTION("""COMPUTED_VALUE"""),"Apprehended/Killed by LE")</f>
        <v>Apprehended/Killed by LE</v>
      </c>
      <c r="G923" s="1" t="str">
        <f ca="1">IFERROR(__xludf.DUMMYFUNCTION("""COMPUTED_VALUE"""),"No")</f>
        <v>No</v>
      </c>
      <c r="H923" s="1" t="str">
        <f ca="1">IFERROR(__xludf.DUMMYFUNCTION("""COMPUTED_VALUE"""),"Wounded")</f>
        <v>Wounded</v>
      </c>
    </row>
    <row r="924" spans="1:8" ht="12.5">
      <c r="A924" s="1" t="str">
        <f ca="1">IFERROR(__xludf.DUMMYFUNCTION("""COMPUTED_VALUE"""),"20211004OHWOT")</f>
        <v>20211004OHWOT</v>
      </c>
      <c r="B924" s="1"/>
      <c r="C924" s="1" t="str">
        <f ca="1">IFERROR(__xludf.DUMMYFUNCTION("""COMPUTED_VALUE"""),"Male")</f>
        <v>Male</v>
      </c>
      <c r="D924" s="1"/>
      <c r="E924" s="1"/>
      <c r="F924" s="1" t="str">
        <f ca="1">IFERROR(__xludf.DUMMYFUNCTION("""COMPUTED_VALUE"""),"Fled/Escaped")</f>
        <v>Fled/Escaped</v>
      </c>
      <c r="G924" s="1" t="str">
        <f ca="1">IFERROR(__xludf.DUMMYFUNCTION("""COMPUTED_VALUE"""),"No")</f>
        <v>No</v>
      </c>
      <c r="H924" s="1" t="str">
        <f ca="1">IFERROR(__xludf.DUMMYFUNCTION("""COMPUTED_VALUE"""),"None")</f>
        <v>None</v>
      </c>
    </row>
    <row r="925" spans="1:8" ht="12.5">
      <c r="A925" s="1" t="str">
        <f ca="1">IFERROR(__xludf.DUMMYFUNCTION("""COMPUTED_VALUE"""),"20211004ILLAC")</f>
        <v>20211004ILLAC</v>
      </c>
      <c r="B925" s="1"/>
      <c r="C925" s="1"/>
      <c r="D925" s="1"/>
      <c r="E925" s="1"/>
      <c r="F925" s="1" t="str">
        <f ca="1">IFERROR(__xludf.DUMMYFUNCTION("""COMPUTED_VALUE"""),"Fled/Escaped")</f>
        <v>Fled/Escaped</v>
      </c>
      <c r="G925" s="1" t="str">
        <f ca="1">IFERROR(__xludf.DUMMYFUNCTION("""COMPUTED_VALUE"""),"No")</f>
        <v>No</v>
      </c>
      <c r="H925" s="1" t="str">
        <f ca="1">IFERROR(__xludf.DUMMYFUNCTION("""COMPUTED_VALUE"""),"None")</f>
        <v>None</v>
      </c>
    </row>
    <row r="926" spans="1:8" ht="12.5">
      <c r="A926" s="1" t="str">
        <f ca="1">IFERROR(__xludf.DUMMYFUNCTION("""COMPUTED_VALUE"""),"20211001TXYEH")</f>
        <v>20211001TXYEH</v>
      </c>
      <c r="B926" s="1">
        <f ca="1">IFERROR(__xludf.DUMMYFUNCTION("""COMPUTED_VALUE"""),25)</f>
        <v>25</v>
      </c>
      <c r="C926" s="1" t="str">
        <f ca="1">IFERROR(__xludf.DUMMYFUNCTION("""COMPUTED_VALUE"""),"Male")</f>
        <v>Male</v>
      </c>
      <c r="D926" s="1" t="str">
        <f ca="1">IFERROR(__xludf.DUMMYFUNCTION("""COMPUTED_VALUE"""),"Black")</f>
        <v>Black</v>
      </c>
      <c r="E926" s="1" t="str">
        <f ca="1">IFERROR(__xludf.DUMMYFUNCTION("""COMPUTED_VALUE"""),"Former Student")</f>
        <v>Former Student</v>
      </c>
      <c r="F926" s="1" t="str">
        <f ca="1">IFERROR(__xludf.DUMMYFUNCTION("""COMPUTED_VALUE"""),"Surrendered")</f>
        <v>Surrendered</v>
      </c>
      <c r="G926" s="1" t="str">
        <f ca="1">IFERROR(__xludf.DUMMYFUNCTION("""COMPUTED_VALUE"""),"No")</f>
        <v>No</v>
      </c>
      <c r="H926" s="1" t="str">
        <f ca="1">IFERROR(__xludf.DUMMYFUNCTION("""COMPUTED_VALUE"""),"None")</f>
        <v>None</v>
      </c>
    </row>
    <row r="927" spans="1:8" ht="12.5">
      <c r="A927" s="1" t="str">
        <f ca="1">IFERROR(__xludf.DUMMYFUNCTION("""COMPUTED_VALUE"""),"20211001NCSEF")</f>
        <v>20211001NCSEF</v>
      </c>
      <c r="B927" s="1"/>
      <c r="C927" s="1"/>
      <c r="D927" s="1"/>
      <c r="E927" s="1"/>
      <c r="F927" s="1" t="str">
        <f ca="1">IFERROR(__xludf.DUMMYFUNCTION("""COMPUTED_VALUE"""),"Fled/Escaped")</f>
        <v>Fled/Escaped</v>
      </c>
      <c r="G927" s="1" t="str">
        <f ca="1">IFERROR(__xludf.DUMMYFUNCTION("""COMPUTED_VALUE"""),"No")</f>
        <v>No</v>
      </c>
      <c r="H927" s="1" t="str">
        <f ca="1">IFERROR(__xludf.DUMMYFUNCTION("""COMPUTED_VALUE"""),"None")</f>
        <v>None</v>
      </c>
    </row>
    <row r="928" spans="1:8" ht="12.5">
      <c r="A928" s="1" t="str">
        <f ca="1">IFERROR(__xludf.DUMMYFUNCTION("""COMPUTED_VALUE"""),"20211001NCNOD")</f>
        <v>20211001NCNOD</v>
      </c>
      <c r="B928" s="1"/>
      <c r="C928" s="1"/>
      <c r="D928" s="1"/>
      <c r="E928" s="1"/>
      <c r="F928" s="1" t="str">
        <f ca="1">IFERROR(__xludf.DUMMYFUNCTION("""COMPUTED_VALUE"""),"Fled/Escaped")</f>
        <v>Fled/Escaped</v>
      </c>
      <c r="G928" s="1" t="str">
        <f ca="1">IFERROR(__xludf.DUMMYFUNCTION("""COMPUTED_VALUE"""),"No")</f>
        <v>No</v>
      </c>
      <c r="H928" s="1" t="str">
        <f ca="1">IFERROR(__xludf.DUMMYFUNCTION("""COMPUTED_VALUE"""),"None")</f>
        <v>None</v>
      </c>
    </row>
    <row r="929" spans="1:8" ht="12.5">
      <c r="A929" s="1" t="str">
        <f ca="1">IFERROR(__xludf.DUMMYFUNCTION("""COMPUTED_VALUE"""),"20211001INBEI")</f>
        <v>20211001INBEI</v>
      </c>
      <c r="B929" s="1">
        <f ca="1">IFERROR(__xludf.DUMMYFUNCTION("""COMPUTED_VALUE"""),16)</f>
        <v>16</v>
      </c>
      <c r="C929" s="1" t="str">
        <f ca="1">IFERROR(__xludf.DUMMYFUNCTION("""COMPUTED_VALUE"""),"Male")</f>
        <v>Male</v>
      </c>
      <c r="D929" s="1" t="str">
        <f ca="1">IFERROR(__xludf.DUMMYFUNCTION("""COMPUTED_VALUE"""),"Black")</f>
        <v>Black</v>
      </c>
      <c r="E929" s="1" t="str">
        <f ca="1">IFERROR(__xludf.DUMMYFUNCTION("""COMPUTED_VALUE"""),"Nonstudent Using Athletic Facilities/Attending Game")</f>
        <v>Nonstudent Using Athletic Facilities/Attending Game</v>
      </c>
      <c r="F929" s="1" t="str">
        <f ca="1">IFERROR(__xludf.DUMMYFUNCTION("""COMPUTED_VALUE"""),"Fled/Apprehended")</f>
        <v>Fled/Apprehended</v>
      </c>
      <c r="G929" s="1" t="str">
        <f ca="1">IFERROR(__xludf.DUMMYFUNCTION("""COMPUTED_VALUE"""),"No")</f>
        <v>No</v>
      </c>
      <c r="H929" s="1" t="str">
        <f ca="1">IFERROR(__xludf.DUMMYFUNCTION("""COMPUTED_VALUE"""),"None")</f>
        <v>None</v>
      </c>
    </row>
    <row r="930" spans="1:8" ht="12.5">
      <c r="A930" s="1" t="str">
        <f ca="1">IFERROR(__xludf.DUMMYFUNCTION("""COMPUTED_VALUE"""),"20211001INBEI")</f>
        <v>20211001INBEI</v>
      </c>
      <c r="B930" s="1">
        <f ca="1">IFERROR(__xludf.DUMMYFUNCTION("""COMPUTED_VALUE"""),14)</f>
        <v>14</v>
      </c>
      <c r="C930" s="1" t="str">
        <f ca="1">IFERROR(__xludf.DUMMYFUNCTION("""COMPUTED_VALUE"""),"Male")</f>
        <v>Male</v>
      </c>
      <c r="D930" s="1"/>
      <c r="E930" s="1" t="str">
        <f ca="1">IFERROR(__xludf.DUMMYFUNCTION("""COMPUTED_VALUE"""),"Nonstudent Using Athletic Facilities/Attending Game")</f>
        <v>Nonstudent Using Athletic Facilities/Attending Game</v>
      </c>
      <c r="F930" s="1" t="str">
        <f ca="1">IFERROR(__xludf.DUMMYFUNCTION("""COMPUTED_VALUE"""),"Apprehended/Killed by LE")</f>
        <v>Apprehended/Killed by LE</v>
      </c>
      <c r="G930" s="1" t="str">
        <f ca="1">IFERROR(__xludf.DUMMYFUNCTION("""COMPUTED_VALUE"""),"No")</f>
        <v>No</v>
      </c>
      <c r="H930" s="1" t="str">
        <f ca="1">IFERROR(__xludf.DUMMYFUNCTION("""COMPUTED_VALUE"""),"None")</f>
        <v>None</v>
      </c>
    </row>
    <row r="931" spans="1:8" ht="12.5">
      <c r="A931" s="1" t="str">
        <f ca="1">IFERROR(__xludf.DUMMYFUNCTION("""COMPUTED_VALUE"""),"20210930TNCUM")</f>
        <v>20210930TNCUM</v>
      </c>
      <c r="B931" s="1">
        <f ca="1">IFERROR(__xludf.DUMMYFUNCTION("""COMPUTED_VALUE"""),13)</f>
        <v>13</v>
      </c>
      <c r="C931" s="1" t="str">
        <f ca="1">IFERROR(__xludf.DUMMYFUNCTION("""COMPUTED_VALUE"""),"Male")</f>
        <v>Male</v>
      </c>
      <c r="D931" s="1"/>
      <c r="E931" s="1" t="str">
        <f ca="1">IFERROR(__xludf.DUMMYFUNCTION("""COMPUTED_VALUE"""),"Student")</f>
        <v>Student</v>
      </c>
      <c r="F931" s="1" t="str">
        <f ca="1">IFERROR(__xludf.DUMMYFUNCTION("""COMPUTED_VALUE"""),"Fled/Apprehended")</f>
        <v>Fled/Apprehended</v>
      </c>
      <c r="G931" s="1" t="str">
        <f ca="1">IFERROR(__xludf.DUMMYFUNCTION("""COMPUTED_VALUE"""),"No")</f>
        <v>No</v>
      </c>
      <c r="H931" s="1" t="str">
        <f ca="1">IFERROR(__xludf.DUMMYFUNCTION("""COMPUTED_VALUE"""),"None")</f>
        <v>None</v>
      </c>
    </row>
    <row r="932" spans="1:8" ht="12.5">
      <c r="A932" s="1" t="str">
        <f ca="1">IFERROR(__xludf.DUMMYFUNCTION("""COMPUTED_VALUE"""),"20210930MSNEN")</f>
        <v>20210930MSNEN</v>
      </c>
      <c r="B932" s="1">
        <f ca="1">IFERROR(__xludf.DUMMYFUNCTION("""COMPUTED_VALUE"""),6)</f>
        <v>6</v>
      </c>
      <c r="C932" s="1" t="str">
        <f ca="1">IFERROR(__xludf.DUMMYFUNCTION("""COMPUTED_VALUE"""),"Male")</f>
        <v>Male</v>
      </c>
      <c r="D932" s="1"/>
      <c r="E932" s="1" t="str">
        <f ca="1">IFERROR(__xludf.DUMMYFUNCTION("""COMPUTED_VALUE"""),"Student")</f>
        <v>Student</v>
      </c>
      <c r="F932" s="1" t="str">
        <f ca="1">IFERROR(__xludf.DUMMYFUNCTION("""COMPUTED_VALUE"""),"Apprehended/Killed by LE")</f>
        <v>Apprehended/Killed by LE</v>
      </c>
      <c r="G932" s="1" t="str">
        <f ca="1">IFERROR(__xludf.DUMMYFUNCTION("""COMPUTED_VALUE"""),"No")</f>
        <v>No</v>
      </c>
      <c r="H932" s="1" t="str">
        <f ca="1">IFERROR(__xludf.DUMMYFUNCTION("""COMPUTED_VALUE"""),"None")</f>
        <v>None</v>
      </c>
    </row>
    <row r="933" spans="1:8" ht="12.5">
      <c r="A933" s="1" t="str">
        <f ca="1">IFERROR(__xludf.DUMMYFUNCTION("""COMPUTED_VALUE"""),"20210929OHSHS")</f>
        <v>20210929OHSHS</v>
      </c>
      <c r="B933" s="1" t="str">
        <f ca="1">IFERROR(__xludf.DUMMYFUNCTION("""COMPUTED_VALUE"""),"Adult")</f>
        <v>Adult</v>
      </c>
      <c r="C933" s="1" t="str">
        <f ca="1">IFERROR(__xludf.DUMMYFUNCTION("""COMPUTED_VALUE"""),"Female")</f>
        <v>Female</v>
      </c>
      <c r="D933" s="1"/>
      <c r="E933" s="1" t="str">
        <f ca="1">IFERROR(__xludf.DUMMYFUNCTION("""COMPUTED_VALUE"""),"Parent")</f>
        <v>Parent</v>
      </c>
      <c r="F933" s="1" t="str">
        <f ca="1">IFERROR(__xludf.DUMMYFUNCTION("""COMPUTED_VALUE"""),"Fled/Apprehended")</f>
        <v>Fled/Apprehended</v>
      </c>
      <c r="G933" s="1" t="str">
        <f ca="1">IFERROR(__xludf.DUMMYFUNCTION("""COMPUTED_VALUE"""),"No")</f>
        <v>No</v>
      </c>
      <c r="H933" s="1" t="str">
        <f ca="1">IFERROR(__xludf.DUMMYFUNCTION("""COMPUTED_VALUE"""),"None")</f>
        <v>None</v>
      </c>
    </row>
    <row r="934" spans="1:8" ht="12.5">
      <c r="A934" s="1" t="str">
        <f ca="1">IFERROR(__xludf.DUMMYFUNCTION("""COMPUTED_VALUE"""),"20210928MESOS")</f>
        <v>20210928MESOS</v>
      </c>
      <c r="B934" s="1"/>
      <c r="C934" s="1"/>
      <c r="D934" s="1"/>
      <c r="E934" s="1"/>
      <c r="F934" s="1" t="str">
        <f ca="1">IFERROR(__xludf.DUMMYFUNCTION("""COMPUTED_VALUE"""),"Fled/Escaped")</f>
        <v>Fled/Escaped</v>
      </c>
      <c r="G934" s="1" t="str">
        <f ca="1">IFERROR(__xludf.DUMMYFUNCTION("""COMPUTED_VALUE"""),"No")</f>
        <v>No</v>
      </c>
      <c r="H934" s="1" t="str">
        <f ca="1">IFERROR(__xludf.DUMMYFUNCTION("""COMPUTED_VALUE"""),"None")</f>
        <v>None</v>
      </c>
    </row>
    <row r="935" spans="1:8" ht="12.5">
      <c r="A935" s="1" t="str">
        <f ca="1">IFERROR(__xludf.DUMMYFUNCTION("""COMPUTED_VALUE"""),"20210927ILCAC")</f>
        <v>20210927ILCAC</v>
      </c>
      <c r="B935" s="1" t="str">
        <f ca="1">IFERROR(__xludf.DUMMYFUNCTION("""COMPUTED_VALUE"""),"Child")</f>
        <v>Child</v>
      </c>
      <c r="C935" s="1"/>
      <c r="D935" s="1"/>
      <c r="E935" s="1" t="str">
        <f ca="1">IFERROR(__xludf.DUMMYFUNCTION("""COMPUTED_VALUE"""),"Student")</f>
        <v>Student</v>
      </c>
      <c r="F935" s="1" t="str">
        <f ca="1">IFERROR(__xludf.DUMMYFUNCTION("""COMPUTED_VALUE"""),"Apprehended/Killed by LE")</f>
        <v>Apprehended/Killed by LE</v>
      </c>
      <c r="G935" s="1" t="str">
        <f ca="1">IFERROR(__xludf.DUMMYFUNCTION("""COMPUTED_VALUE"""),"No")</f>
        <v>No</v>
      </c>
      <c r="H935" s="1" t="str">
        <f ca="1">IFERROR(__xludf.DUMMYFUNCTION("""COMPUTED_VALUE"""),"None")</f>
        <v>None</v>
      </c>
    </row>
    <row r="936" spans="1:8" ht="12.5">
      <c r="A936" s="1" t="str">
        <f ca="1">IFERROR(__xludf.DUMMYFUNCTION("""COMPUTED_VALUE"""),"20210924VAESE")</f>
        <v>20210924VAESE</v>
      </c>
      <c r="B936" s="1"/>
      <c r="C936" s="1"/>
      <c r="D936" s="1"/>
      <c r="E936" s="1"/>
      <c r="F936" s="1" t="str">
        <f ca="1">IFERROR(__xludf.DUMMYFUNCTION("""COMPUTED_VALUE"""),"Fled/Escaped")</f>
        <v>Fled/Escaped</v>
      </c>
      <c r="G936" s="1" t="str">
        <f ca="1">IFERROR(__xludf.DUMMYFUNCTION("""COMPUTED_VALUE"""),"No")</f>
        <v>No</v>
      </c>
      <c r="H936" s="1" t="str">
        <f ca="1">IFERROR(__xludf.DUMMYFUNCTION("""COMPUTED_VALUE"""),"None")</f>
        <v>None</v>
      </c>
    </row>
    <row r="937" spans="1:8" ht="12.5">
      <c r="A937" s="1" t="str">
        <f ca="1">IFERROR(__xludf.DUMMYFUNCTION("""COMPUTED_VALUE"""),"20210924TNSTS")</f>
        <v>20210924TNSTS</v>
      </c>
      <c r="B937" s="1">
        <f ca="1">IFERROR(__xludf.DUMMYFUNCTION("""COMPUTED_VALUE"""),18)</f>
        <v>18</v>
      </c>
      <c r="C937" s="1" t="str">
        <f ca="1">IFERROR(__xludf.DUMMYFUNCTION("""COMPUTED_VALUE"""),"Male")</f>
        <v>Male</v>
      </c>
      <c r="D937" s="1" t="str">
        <f ca="1">IFERROR(__xludf.DUMMYFUNCTION("""COMPUTED_VALUE"""),"Black")</f>
        <v>Black</v>
      </c>
      <c r="E937" s="1" t="str">
        <f ca="1">IFERROR(__xludf.DUMMYFUNCTION("""COMPUTED_VALUE"""),"Student")</f>
        <v>Student</v>
      </c>
      <c r="F937" s="1" t="str">
        <f ca="1">IFERROR(__xludf.DUMMYFUNCTION("""COMPUTED_VALUE"""),"Fled/Apprehended")</f>
        <v>Fled/Apprehended</v>
      </c>
      <c r="G937" s="1" t="str">
        <f ca="1">IFERROR(__xludf.DUMMYFUNCTION("""COMPUTED_VALUE"""),"No")</f>
        <v>No</v>
      </c>
      <c r="H937" s="1" t="str">
        <f ca="1">IFERROR(__xludf.DUMMYFUNCTION("""COMPUTED_VALUE"""),"None")</f>
        <v>None</v>
      </c>
    </row>
    <row r="938" spans="1:8" ht="12.5">
      <c r="A938" s="1" t="str">
        <f ca="1">IFERROR(__xludf.DUMMYFUNCTION("""COMPUTED_VALUE"""),"20210924TNSTS")</f>
        <v>20210924TNSTS</v>
      </c>
      <c r="B938" s="1">
        <f ca="1">IFERROR(__xludf.DUMMYFUNCTION("""COMPUTED_VALUE"""),17)</f>
        <v>17</v>
      </c>
      <c r="C938" s="1" t="str">
        <f ca="1">IFERROR(__xludf.DUMMYFUNCTION("""COMPUTED_VALUE"""),"Male")</f>
        <v>Male</v>
      </c>
      <c r="D938" s="1" t="str">
        <f ca="1">IFERROR(__xludf.DUMMYFUNCTION("""COMPUTED_VALUE"""),"Black")</f>
        <v>Black</v>
      </c>
      <c r="E938" s="1" t="str">
        <f ca="1">IFERROR(__xludf.DUMMYFUNCTION("""COMPUTED_VALUE"""),"Student")</f>
        <v>Student</v>
      </c>
      <c r="F938" s="1" t="str">
        <f ca="1">IFERROR(__xludf.DUMMYFUNCTION("""COMPUTED_VALUE"""),"Fled/Apprehended")</f>
        <v>Fled/Apprehended</v>
      </c>
      <c r="G938" s="1" t="str">
        <f ca="1">IFERROR(__xludf.DUMMYFUNCTION("""COMPUTED_VALUE"""),"No")</f>
        <v>No</v>
      </c>
      <c r="H938" s="1" t="str">
        <f ca="1">IFERROR(__xludf.DUMMYFUNCTION("""COMPUTED_VALUE"""),"None")</f>
        <v>None</v>
      </c>
    </row>
    <row r="939" spans="1:8" ht="12.5">
      <c r="A939" s="1" t="str">
        <f ca="1">IFERROR(__xludf.DUMMYFUNCTION("""COMPUTED_VALUE"""),"20210924MDWIB")</f>
        <v>20210924MDWIB</v>
      </c>
      <c r="B939" s="1"/>
      <c r="C939" s="1"/>
      <c r="D939" s="1"/>
      <c r="E939" s="1" t="str">
        <f ca="1">IFERROR(__xludf.DUMMYFUNCTION("""COMPUTED_VALUE"""),"No Relation")</f>
        <v>No Relation</v>
      </c>
      <c r="F939" s="1" t="str">
        <f ca="1">IFERROR(__xludf.DUMMYFUNCTION("""COMPUTED_VALUE"""),"Fled/Escaped")</f>
        <v>Fled/Escaped</v>
      </c>
      <c r="G939" s="1" t="str">
        <f ca="1">IFERROR(__xludf.DUMMYFUNCTION("""COMPUTED_VALUE"""),"No")</f>
        <v>No</v>
      </c>
      <c r="H939" s="1" t="str">
        <f ca="1">IFERROR(__xludf.DUMMYFUNCTION("""COMPUTED_VALUE"""),"None")</f>
        <v>None</v>
      </c>
    </row>
    <row r="940" spans="1:8" ht="12.5">
      <c r="A940" s="1" t="str">
        <f ca="1">IFERROR(__xludf.DUMMYFUNCTION("""COMPUTED_VALUE"""),"20210924ALFAF")</f>
        <v>20210924ALFAF</v>
      </c>
      <c r="B940" s="1"/>
      <c r="C940" s="1"/>
      <c r="D940" s="1"/>
      <c r="E940" s="1"/>
      <c r="F940" s="1" t="str">
        <f ca="1">IFERROR(__xludf.DUMMYFUNCTION("""COMPUTED_VALUE"""),"Fled/Escaped")</f>
        <v>Fled/Escaped</v>
      </c>
      <c r="G940" s="1" t="str">
        <f ca="1">IFERROR(__xludf.DUMMYFUNCTION("""COMPUTED_VALUE"""),"No")</f>
        <v>No</v>
      </c>
      <c r="H940" s="1" t="str">
        <f ca="1">IFERROR(__xludf.DUMMYFUNCTION("""COMPUTED_VALUE"""),"None")</f>
        <v>None</v>
      </c>
    </row>
    <row r="941" spans="1:8" ht="12.5">
      <c r="A941" s="1" t="str">
        <f ca="1">IFERROR(__xludf.DUMMYFUNCTION("""COMPUTED_VALUE"""),"20210923IDRIR")</f>
        <v>20210923IDRIR</v>
      </c>
      <c r="B941" s="1">
        <f ca="1">IFERROR(__xludf.DUMMYFUNCTION("""COMPUTED_VALUE"""),13)</f>
        <v>13</v>
      </c>
      <c r="C941" s="1" t="str">
        <f ca="1">IFERROR(__xludf.DUMMYFUNCTION("""COMPUTED_VALUE"""),"Female")</f>
        <v>Female</v>
      </c>
      <c r="D941" s="1"/>
      <c r="E941" s="1" t="str">
        <f ca="1">IFERROR(__xludf.DUMMYFUNCTION("""COMPUTED_VALUE"""),"Student")</f>
        <v>Student</v>
      </c>
      <c r="F941" s="1" t="str">
        <f ca="1">IFERROR(__xludf.DUMMYFUNCTION("""COMPUTED_VALUE"""),"Apprehended/Killed by SRO")</f>
        <v>Apprehended/Killed by SRO</v>
      </c>
      <c r="G941" s="1" t="str">
        <f ca="1">IFERROR(__xludf.DUMMYFUNCTION("""COMPUTED_VALUE"""),"No")</f>
        <v>No</v>
      </c>
      <c r="H941" s="1" t="str">
        <f ca="1">IFERROR(__xludf.DUMMYFUNCTION("""COMPUTED_VALUE"""),"None")</f>
        <v>None</v>
      </c>
    </row>
    <row r="942" spans="1:8" ht="12.5">
      <c r="A942" s="1" t="str">
        <f ca="1">IFERROR(__xludf.DUMMYFUNCTION("""COMPUTED_VALUE"""),"20210922NYSOB")</f>
        <v>20210922NYSOB</v>
      </c>
      <c r="B942" s="1"/>
      <c r="C942" s="1"/>
      <c r="D942" s="1"/>
      <c r="E942" s="1"/>
      <c r="F942" s="1" t="str">
        <f ca="1">IFERROR(__xludf.DUMMYFUNCTION("""COMPUTED_VALUE"""),"Fled/Escaped")</f>
        <v>Fled/Escaped</v>
      </c>
      <c r="G942" s="1" t="str">
        <f ca="1">IFERROR(__xludf.DUMMYFUNCTION("""COMPUTED_VALUE"""),"No")</f>
        <v>No</v>
      </c>
      <c r="H942" s="1" t="str">
        <f ca="1">IFERROR(__xludf.DUMMYFUNCTION("""COMPUTED_VALUE"""),"None")</f>
        <v>None</v>
      </c>
    </row>
    <row r="943" spans="1:8" ht="12.5">
      <c r="A943" s="1" t="str">
        <f ca="1">IFERROR(__xludf.DUMMYFUNCTION("""COMPUTED_VALUE"""),"20210922CTLIN")</f>
        <v>20210922CTLIN</v>
      </c>
      <c r="B943" s="1"/>
      <c r="C943" s="1"/>
      <c r="D943" s="1"/>
      <c r="E943" s="1" t="str">
        <f ca="1">IFERROR(__xludf.DUMMYFUNCTION("""COMPUTED_VALUE"""),"No Relation")</f>
        <v>No Relation</v>
      </c>
      <c r="F943" s="1" t="str">
        <f ca="1">IFERROR(__xludf.DUMMYFUNCTION("""COMPUTED_VALUE"""),"Fled/Escaped")</f>
        <v>Fled/Escaped</v>
      </c>
      <c r="G943" s="1" t="str">
        <f ca="1">IFERROR(__xludf.DUMMYFUNCTION("""COMPUTED_VALUE"""),"No")</f>
        <v>No</v>
      </c>
      <c r="H943" s="1" t="str">
        <f ca="1">IFERROR(__xludf.DUMMYFUNCTION("""COMPUTED_VALUE"""),"None")</f>
        <v>None</v>
      </c>
    </row>
    <row r="944" spans="1:8" ht="12.5">
      <c r="A944" s="1" t="str">
        <f ca="1">IFERROR(__xludf.DUMMYFUNCTION("""COMPUTED_VALUE"""),"20210921PAVAP")</f>
        <v>20210921PAVAP</v>
      </c>
      <c r="B944" s="1"/>
      <c r="C944" s="1"/>
      <c r="D944" s="1"/>
      <c r="E944" s="1"/>
      <c r="F944" s="1" t="str">
        <f ca="1">IFERROR(__xludf.DUMMYFUNCTION("""COMPUTED_VALUE"""),"Fled/Escaped")</f>
        <v>Fled/Escaped</v>
      </c>
      <c r="G944" s="1" t="str">
        <f ca="1">IFERROR(__xludf.DUMMYFUNCTION("""COMPUTED_VALUE"""),"No")</f>
        <v>No</v>
      </c>
      <c r="H944" s="1" t="str">
        <f ca="1">IFERROR(__xludf.DUMMYFUNCTION("""COMPUTED_VALUE"""),"None")</f>
        <v>None</v>
      </c>
    </row>
    <row r="945" spans="1:8" ht="12.5">
      <c r="A945" s="1" t="str">
        <f ca="1">IFERROR(__xludf.DUMMYFUNCTION("""COMPUTED_VALUE"""),"20210921OHMIM")</f>
        <v>20210921OHMIM</v>
      </c>
      <c r="B945" s="1"/>
      <c r="C945" s="1"/>
      <c r="D945" s="1"/>
      <c r="E945" s="1"/>
      <c r="F945" s="1" t="str">
        <f ca="1">IFERROR(__xludf.DUMMYFUNCTION("""COMPUTED_VALUE"""),"Fled/Escaped")</f>
        <v>Fled/Escaped</v>
      </c>
      <c r="G945" s="1" t="str">
        <f ca="1">IFERROR(__xludf.DUMMYFUNCTION("""COMPUTED_VALUE"""),"No")</f>
        <v>No</v>
      </c>
      <c r="H945" s="1" t="str">
        <f ca="1">IFERROR(__xludf.DUMMYFUNCTION("""COMPUTED_VALUE"""),"None")</f>
        <v>None</v>
      </c>
    </row>
    <row r="946" spans="1:8" ht="12.5">
      <c r="A946" s="1" t="str">
        <f ca="1">IFERROR(__xludf.DUMMYFUNCTION("""COMPUTED_VALUE"""),"20210921KSEAW")</f>
        <v>20210921KSEAW</v>
      </c>
      <c r="B946" s="1">
        <f ca="1">IFERROR(__xludf.DUMMYFUNCTION("""COMPUTED_VALUE"""),17)</f>
        <v>17</v>
      </c>
      <c r="C946" s="1" t="str">
        <f ca="1">IFERROR(__xludf.DUMMYFUNCTION("""COMPUTED_VALUE"""),"Male")</f>
        <v>Male</v>
      </c>
      <c r="D946" s="1"/>
      <c r="E946" s="1" t="str">
        <f ca="1">IFERROR(__xludf.DUMMYFUNCTION("""COMPUTED_VALUE"""),"Student")</f>
        <v>Student</v>
      </c>
      <c r="F946" s="1" t="str">
        <f ca="1">IFERROR(__xludf.DUMMYFUNCTION("""COMPUTED_VALUE"""),"Fled/Apprehended")</f>
        <v>Fled/Apprehended</v>
      </c>
      <c r="G946" s="1" t="str">
        <f ca="1">IFERROR(__xludf.DUMMYFUNCTION("""COMPUTED_VALUE"""),"No")</f>
        <v>No</v>
      </c>
      <c r="H946" s="1" t="str">
        <f ca="1">IFERROR(__xludf.DUMMYFUNCTION("""COMPUTED_VALUE"""),"None")</f>
        <v>None</v>
      </c>
    </row>
    <row r="947" spans="1:8" ht="12.5">
      <c r="A947" s="1" t="str">
        <f ca="1">IFERROR(__xludf.DUMMYFUNCTION("""COMPUTED_VALUE"""),"20210921GAFRA")</f>
        <v>20210921GAFRA</v>
      </c>
      <c r="B947" s="1" t="str">
        <f ca="1">IFERROR(__xludf.DUMMYFUNCTION("""COMPUTED_VALUE"""),"Adult")</f>
        <v>Adult</v>
      </c>
      <c r="C947" s="1"/>
      <c r="D947" s="1"/>
      <c r="E947" s="1" t="str">
        <f ca="1">IFERROR(__xludf.DUMMYFUNCTION("""COMPUTED_VALUE"""),"Parent")</f>
        <v>Parent</v>
      </c>
      <c r="F947" s="1" t="str">
        <f ca="1">IFERROR(__xludf.DUMMYFUNCTION("""COMPUTED_VALUE"""),"Fled/Escaped")</f>
        <v>Fled/Escaped</v>
      </c>
      <c r="G947" s="1" t="str">
        <f ca="1">IFERROR(__xludf.DUMMYFUNCTION("""COMPUTED_VALUE"""),"No")</f>
        <v>No</v>
      </c>
      <c r="H947" s="1" t="str">
        <f ca="1">IFERROR(__xludf.DUMMYFUNCTION("""COMPUTED_VALUE"""),"None")</f>
        <v>None</v>
      </c>
    </row>
    <row r="948" spans="1:8" ht="12.5">
      <c r="A948" s="1" t="str">
        <f ca="1">IFERROR(__xludf.DUMMYFUNCTION("""COMPUTED_VALUE"""),"20210921FLLAL")</f>
        <v>20210921FLLAL</v>
      </c>
      <c r="B948" s="1" t="str">
        <f ca="1">IFERROR(__xludf.DUMMYFUNCTION("""COMPUTED_VALUE"""),"Minor")</f>
        <v>Minor</v>
      </c>
      <c r="C948" s="1"/>
      <c r="D948" s="1"/>
      <c r="E948" s="1"/>
      <c r="F948" s="1" t="str">
        <f ca="1">IFERROR(__xludf.DUMMYFUNCTION("""COMPUTED_VALUE"""),"Fled/Apprehended")</f>
        <v>Fled/Apprehended</v>
      </c>
      <c r="G948" s="1" t="str">
        <f ca="1">IFERROR(__xludf.DUMMYFUNCTION("""COMPUTED_VALUE"""),"No")</f>
        <v>No</v>
      </c>
      <c r="H948" s="1" t="str">
        <f ca="1">IFERROR(__xludf.DUMMYFUNCTION("""COMPUTED_VALUE"""),"None")</f>
        <v>None</v>
      </c>
    </row>
    <row r="949" spans="1:8" ht="12.5">
      <c r="A949" s="1" t="str">
        <f ca="1">IFERROR(__xludf.DUMMYFUNCTION("""COMPUTED_VALUE"""),"20210920VAHEN")</f>
        <v>20210920VAHEN</v>
      </c>
      <c r="B949" s="1">
        <f ca="1">IFERROR(__xludf.DUMMYFUNCTION("""COMPUTED_VALUE"""),15)</f>
        <v>15</v>
      </c>
      <c r="C949" s="1" t="str">
        <f ca="1">IFERROR(__xludf.DUMMYFUNCTION("""COMPUTED_VALUE"""),"Male")</f>
        <v>Male</v>
      </c>
      <c r="D949" s="1"/>
      <c r="E949" s="1" t="str">
        <f ca="1">IFERROR(__xludf.DUMMYFUNCTION("""COMPUTED_VALUE"""),"Student")</f>
        <v>Student</v>
      </c>
      <c r="F949" s="1" t="str">
        <f ca="1">IFERROR(__xludf.DUMMYFUNCTION("""COMPUTED_VALUE"""),"Fled/Apprehended")</f>
        <v>Fled/Apprehended</v>
      </c>
      <c r="G949" s="1" t="str">
        <f ca="1">IFERROR(__xludf.DUMMYFUNCTION("""COMPUTED_VALUE"""),"No")</f>
        <v>No</v>
      </c>
      <c r="H949" s="1" t="str">
        <f ca="1">IFERROR(__xludf.DUMMYFUNCTION("""COMPUTED_VALUE"""),"None")</f>
        <v>None</v>
      </c>
    </row>
    <row r="950" spans="1:8" ht="12.5">
      <c r="A950" s="1" t="str">
        <f ca="1">IFERROR(__xludf.DUMMYFUNCTION("""COMPUTED_VALUE"""),"20210920OHEAC")</f>
        <v>20210920OHEAC</v>
      </c>
      <c r="B950" s="1"/>
      <c r="C950" s="1" t="str">
        <f ca="1">IFERROR(__xludf.DUMMYFUNCTION("""COMPUTED_VALUE"""),"Male")</f>
        <v>Male</v>
      </c>
      <c r="D950" s="1"/>
      <c r="E950" s="1" t="str">
        <f ca="1">IFERROR(__xludf.DUMMYFUNCTION("""COMPUTED_VALUE"""),"No Relation")</f>
        <v>No Relation</v>
      </c>
      <c r="F950" s="1" t="str">
        <f ca="1">IFERROR(__xludf.DUMMYFUNCTION("""COMPUTED_VALUE"""),"Fled/Escaped")</f>
        <v>Fled/Escaped</v>
      </c>
      <c r="G950" s="1" t="str">
        <f ca="1">IFERROR(__xludf.DUMMYFUNCTION("""COMPUTED_VALUE"""),"No")</f>
        <v>No</v>
      </c>
      <c r="H950" s="1" t="str">
        <f ca="1">IFERROR(__xludf.DUMMYFUNCTION("""COMPUTED_VALUE"""),"None")</f>
        <v>None</v>
      </c>
    </row>
    <row r="951" spans="1:8" ht="12.5">
      <c r="A951" s="1" t="str">
        <f ca="1">IFERROR(__xludf.DUMMYFUNCTION("""COMPUTED_VALUE"""),"20210920OHEAC")</f>
        <v>20210920OHEAC</v>
      </c>
      <c r="B951" s="1"/>
      <c r="C951" s="1" t="str">
        <f ca="1">IFERROR(__xludf.DUMMYFUNCTION("""COMPUTED_VALUE"""),"Male")</f>
        <v>Male</v>
      </c>
      <c r="D951" s="1"/>
      <c r="E951" s="1" t="str">
        <f ca="1">IFERROR(__xludf.DUMMYFUNCTION("""COMPUTED_VALUE"""),"No Relation")</f>
        <v>No Relation</v>
      </c>
      <c r="F951" s="1" t="str">
        <f ca="1">IFERROR(__xludf.DUMMYFUNCTION("""COMPUTED_VALUE"""),"Fled/Escaped")</f>
        <v>Fled/Escaped</v>
      </c>
      <c r="G951" s="1" t="str">
        <f ca="1">IFERROR(__xludf.DUMMYFUNCTION("""COMPUTED_VALUE"""),"No")</f>
        <v>No</v>
      </c>
      <c r="H951" s="1" t="str">
        <f ca="1">IFERROR(__xludf.DUMMYFUNCTION("""COMPUTED_VALUE"""),"None")</f>
        <v>None</v>
      </c>
    </row>
    <row r="952" spans="1:8" ht="12.5">
      <c r="A952" s="1" t="str">
        <f ca="1">IFERROR(__xludf.DUMMYFUNCTION("""COMPUTED_VALUE"""),"20210918COWIC")</f>
        <v>20210918COWIC</v>
      </c>
      <c r="B952" s="1"/>
      <c r="C952" s="1"/>
      <c r="D952" s="1"/>
      <c r="E952" s="1"/>
      <c r="F952" s="1" t="str">
        <f ca="1">IFERROR(__xludf.DUMMYFUNCTION("""COMPUTED_VALUE"""),"Fled/Escaped")</f>
        <v>Fled/Escaped</v>
      </c>
      <c r="G952" s="1" t="str">
        <f ca="1">IFERROR(__xludf.DUMMYFUNCTION("""COMPUTED_VALUE"""),"No")</f>
        <v>No</v>
      </c>
      <c r="H952" s="1" t="str">
        <f ca="1">IFERROR(__xludf.DUMMYFUNCTION("""COMPUTED_VALUE"""),"None")</f>
        <v>None</v>
      </c>
    </row>
    <row r="953" spans="1:8" ht="12.5">
      <c r="A953" s="1" t="str">
        <f ca="1">IFERROR(__xludf.DUMMYFUNCTION("""COMPUTED_VALUE"""),"20210917VAHEH")</f>
        <v>20210917VAHEH</v>
      </c>
      <c r="B953" s="1"/>
      <c r="C953" s="1"/>
      <c r="D953" s="1"/>
      <c r="E953" s="1"/>
      <c r="F953" s="1" t="str">
        <f ca="1">IFERROR(__xludf.DUMMYFUNCTION("""COMPUTED_VALUE"""),"Fled/Escaped")</f>
        <v>Fled/Escaped</v>
      </c>
      <c r="G953" s="1" t="str">
        <f ca="1">IFERROR(__xludf.DUMMYFUNCTION("""COMPUTED_VALUE"""),"No")</f>
        <v>No</v>
      </c>
      <c r="H953" s="1" t="str">
        <f ca="1">IFERROR(__xludf.DUMMYFUNCTION("""COMPUTED_VALUE"""),"None")</f>
        <v>None</v>
      </c>
    </row>
    <row r="954" spans="1:8" ht="12.5">
      <c r="A954" s="1" t="str">
        <f ca="1">IFERROR(__xludf.DUMMYFUNCTION("""COMPUTED_VALUE"""),"20210917TNAUK")</f>
        <v>20210917TNAUK</v>
      </c>
      <c r="B954" s="1"/>
      <c r="C954" s="1"/>
      <c r="D954" s="1"/>
      <c r="E954" s="1"/>
      <c r="F954" s="1" t="str">
        <f ca="1">IFERROR(__xludf.DUMMYFUNCTION("""COMPUTED_VALUE"""),"Fled/Escaped")</f>
        <v>Fled/Escaped</v>
      </c>
      <c r="G954" s="1" t="str">
        <f ca="1">IFERROR(__xludf.DUMMYFUNCTION("""COMPUTED_VALUE"""),"No")</f>
        <v>No</v>
      </c>
      <c r="H954" s="1" t="str">
        <f ca="1">IFERROR(__xludf.DUMMYFUNCTION("""COMPUTED_VALUE"""),"None")</f>
        <v>None</v>
      </c>
    </row>
    <row r="955" spans="1:8" ht="12.5">
      <c r="A955" s="1" t="str">
        <f ca="1">IFERROR(__xludf.DUMMYFUNCTION("""COMPUTED_VALUE"""),"20210917PAWEP")</f>
        <v>20210917PAWEP</v>
      </c>
      <c r="B955" s="1" t="str">
        <f ca="1">IFERROR(__xludf.DUMMYFUNCTION("""COMPUTED_VALUE"""),"Teen")</f>
        <v>Teen</v>
      </c>
      <c r="C955" s="1"/>
      <c r="D955" s="1"/>
      <c r="E955" s="1"/>
      <c r="F955" s="1" t="str">
        <f ca="1">IFERROR(__xludf.DUMMYFUNCTION("""COMPUTED_VALUE"""),"Fled/Escaped")</f>
        <v>Fled/Escaped</v>
      </c>
      <c r="G955" s="1" t="str">
        <f ca="1">IFERROR(__xludf.DUMMYFUNCTION("""COMPUTED_VALUE"""),"No")</f>
        <v>No</v>
      </c>
      <c r="H955" s="1" t="str">
        <f ca="1">IFERROR(__xludf.DUMMYFUNCTION("""COMPUTED_VALUE"""),"None")</f>
        <v>None</v>
      </c>
    </row>
    <row r="956" spans="1:8" ht="12.5">
      <c r="A956" s="1" t="str">
        <f ca="1">IFERROR(__xludf.DUMMYFUNCTION("""COMPUTED_VALUE"""),"20210917NCPAW")</f>
        <v>20210917NCPAW</v>
      </c>
      <c r="B956" s="1" t="str">
        <f ca="1">IFERROR(__xludf.DUMMYFUNCTION("""COMPUTED_VALUE"""),"Teen")</f>
        <v>Teen</v>
      </c>
      <c r="C956" s="1" t="str">
        <f ca="1">IFERROR(__xludf.DUMMYFUNCTION("""COMPUTED_VALUE"""),"Male")</f>
        <v>Male</v>
      </c>
      <c r="D956" s="1"/>
      <c r="E956" s="1"/>
      <c r="F956" s="1" t="str">
        <f ca="1">IFERROR(__xludf.DUMMYFUNCTION("""COMPUTED_VALUE"""),"Fled/Escaped")</f>
        <v>Fled/Escaped</v>
      </c>
      <c r="G956" s="1" t="str">
        <f ca="1">IFERROR(__xludf.DUMMYFUNCTION("""COMPUTED_VALUE"""),"No")</f>
        <v>No</v>
      </c>
      <c r="H956" s="1" t="str">
        <f ca="1">IFERROR(__xludf.DUMMYFUNCTION("""COMPUTED_VALUE"""),"None")</f>
        <v>None</v>
      </c>
    </row>
    <row r="957" spans="1:8" ht="12.5">
      <c r="A957" s="1" t="str">
        <f ca="1">IFERROR(__xludf.DUMMYFUNCTION("""COMPUTED_VALUE"""),"20210917GASWS")</f>
        <v>20210917GASWS</v>
      </c>
      <c r="B957" s="1"/>
      <c r="C957" s="1"/>
      <c r="D957" s="1"/>
      <c r="E957" s="1"/>
      <c r="F957" s="1" t="str">
        <f ca="1">IFERROR(__xludf.DUMMYFUNCTION("""COMPUTED_VALUE"""),"Fled/Escaped")</f>
        <v>Fled/Escaped</v>
      </c>
      <c r="G957" s="1" t="str">
        <f ca="1">IFERROR(__xludf.DUMMYFUNCTION("""COMPUTED_VALUE"""),"No")</f>
        <v>No</v>
      </c>
      <c r="H957" s="1" t="str">
        <f ca="1">IFERROR(__xludf.DUMMYFUNCTION("""COMPUTED_VALUE"""),"None")</f>
        <v>None</v>
      </c>
    </row>
    <row r="958" spans="1:8" ht="12.5">
      <c r="A958" s="1" t="str">
        <f ca="1">IFERROR(__xludf.DUMMYFUNCTION("""COMPUTED_VALUE"""),"20210916WIORM")</f>
        <v>20210916WIORM</v>
      </c>
      <c r="B958" s="1" t="str">
        <f ca="1">IFERROR(__xludf.DUMMYFUNCTION("""COMPUTED_VALUE"""),"Adult")</f>
        <v>Adult</v>
      </c>
      <c r="C958" s="1" t="str">
        <f ca="1">IFERROR(__xludf.DUMMYFUNCTION("""COMPUTED_VALUE"""),"Male")</f>
        <v>Male</v>
      </c>
      <c r="D958" s="1"/>
      <c r="E958" s="1" t="str">
        <f ca="1">IFERROR(__xludf.DUMMYFUNCTION("""COMPUTED_VALUE"""),"No Relation")</f>
        <v>No Relation</v>
      </c>
      <c r="F958" s="1" t="str">
        <f ca="1">IFERROR(__xludf.DUMMYFUNCTION("""COMPUTED_VALUE"""),"Fled/Escaped")</f>
        <v>Fled/Escaped</v>
      </c>
      <c r="G958" s="1" t="str">
        <f ca="1">IFERROR(__xludf.DUMMYFUNCTION("""COMPUTED_VALUE"""),"No")</f>
        <v>No</v>
      </c>
      <c r="H958" s="1" t="str">
        <f ca="1">IFERROR(__xludf.DUMMYFUNCTION("""COMPUTED_VALUE"""),"None")</f>
        <v>None</v>
      </c>
    </row>
    <row r="959" spans="1:8" ht="12.5">
      <c r="A959" s="1" t="str">
        <f ca="1">IFERROR(__xludf.DUMMYFUNCTION("""COMPUTED_VALUE"""),"20210916UTPRP")</f>
        <v>20210916UTPRP</v>
      </c>
      <c r="B959" s="1" t="str">
        <f ca="1">IFERROR(__xludf.DUMMYFUNCTION("""COMPUTED_VALUE"""),"Teen")</f>
        <v>Teen</v>
      </c>
      <c r="C959" s="1" t="str">
        <f ca="1">IFERROR(__xludf.DUMMYFUNCTION("""COMPUTED_VALUE"""),"Male")</f>
        <v>Male</v>
      </c>
      <c r="D959" s="1"/>
      <c r="E959" s="1" t="str">
        <f ca="1">IFERROR(__xludf.DUMMYFUNCTION("""COMPUTED_VALUE"""),"Student")</f>
        <v>Student</v>
      </c>
      <c r="F959" s="1" t="str">
        <f ca="1">IFERROR(__xludf.DUMMYFUNCTION("""COMPUTED_VALUE"""),"Apprehended/Killed by LE")</f>
        <v>Apprehended/Killed by LE</v>
      </c>
      <c r="G959" s="1" t="str">
        <f ca="1">IFERROR(__xludf.DUMMYFUNCTION("""COMPUTED_VALUE"""),"No")</f>
        <v>No</v>
      </c>
      <c r="H959" s="1" t="str">
        <f ca="1">IFERROR(__xludf.DUMMYFUNCTION("""COMPUTED_VALUE"""),"None")</f>
        <v>None</v>
      </c>
    </row>
    <row r="960" spans="1:8" ht="12.5">
      <c r="A960" s="1" t="str">
        <f ca="1">IFERROR(__xludf.DUMMYFUNCTION("""COMPUTED_VALUE"""),"20210916OHBEC")</f>
        <v>20210916OHBEC</v>
      </c>
      <c r="B960" s="1"/>
      <c r="C960" s="1"/>
      <c r="D960" s="1"/>
      <c r="E960" s="1"/>
      <c r="F960" s="1" t="str">
        <f ca="1">IFERROR(__xludf.DUMMYFUNCTION("""COMPUTED_VALUE"""),"Fled/Escaped")</f>
        <v>Fled/Escaped</v>
      </c>
      <c r="G960" s="1" t="str">
        <f ca="1">IFERROR(__xludf.DUMMYFUNCTION("""COMPUTED_VALUE"""),"No")</f>
        <v>No</v>
      </c>
      <c r="H960" s="1" t="str">
        <f ca="1">IFERROR(__xludf.DUMMYFUNCTION("""COMPUTED_VALUE"""),"None")</f>
        <v>None</v>
      </c>
    </row>
    <row r="961" spans="1:8" ht="12.5">
      <c r="A961" s="1" t="str">
        <f ca="1">IFERROR(__xludf.DUMMYFUNCTION("""COMPUTED_VALUE"""),"20210915VASPS")</f>
        <v>20210915VASPS</v>
      </c>
      <c r="B961" s="1" t="str">
        <f ca="1">IFERROR(__xludf.DUMMYFUNCTION("""COMPUTED_VALUE"""),"Child")</f>
        <v>Child</v>
      </c>
      <c r="C961" s="1"/>
      <c r="D961" s="1"/>
      <c r="E961" s="1" t="str">
        <f ca="1">IFERROR(__xludf.DUMMYFUNCTION("""COMPUTED_VALUE"""),"Student")</f>
        <v>Student</v>
      </c>
      <c r="F961" s="1" t="str">
        <f ca="1">IFERROR(__xludf.DUMMYFUNCTION("""COMPUTED_VALUE"""),"Apprehended/Killed by LE")</f>
        <v>Apprehended/Killed by LE</v>
      </c>
      <c r="G961" s="1" t="str">
        <f ca="1">IFERROR(__xludf.DUMMYFUNCTION("""COMPUTED_VALUE"""),"No")</f>
        <v>No</v>
      </c>
      <c r="H961" s="1" t="str">
        <f ca="1">IFERROR(__xludf.DUMMYFUNCTION("""COMPUTED_VALUE"""),"None")</f>
        <v>None</v>
      </c>
    </row>
    <row r="962" spans="1:8" ht="12.5">
      <c r="A962" s="1" t="str">
        <f ca="1">IFERROR(__xludf.DUMMYFUNCTION("""COMPUTED_VALUE"""),"20210915KYMAL")</f>
        <v>20210915KYMAL</v>
      </c>
      <c r="B962" s="1" t="str">
        <f ca="1">IFERROR(__xludf.DUMMYFUNCTION("""COMPUTED_VALUE"""),"Adult")</f>
        <v>Adult</v>
      </c>
      <c r="C962" s="1"/>
      <c r="D962" s="1"/>
      <c r="E962" s="1" t="str">
        <f ca="1">IFERROR(__xludf.DUMMYFUNCTION("""COMPUTED_VALUE"""),"No Relation")</f>
        <v>No Relation</v>
      </c>
      <c r="F962" s="1" t="str">
        <f ca="1">IFERROR(__xludf.DUMMYFUNCTION("""COMPUTED_VALUE"""),"Fled/Escaped")</f>
        <v>Fled/Escaped</v>
      </c>
      <c r="G962" s="1" t="str">
        <f ca="1">IFERROR(__xludf.DUMMYFUNCTION("""COMPUTED_VALUE"""),"No")</f>
        <v>No</v>
      </c>
      <c r="H962" s="1" t="str">
        <f ca="1">IFERROR(__xludf.DUMMYFUNCTION("""COMPUTED_VALUE"""),"None")</f>
        <v>None</v>
      </c>
    </row>
    <row r="963" spans="1:8" ht="12.5">
      <c r="A963" s="1" t="str">
        <f ca="1">IFERROR(__xludf.DUMMYFUNCTION("""COMPUTED_VALUE"""),"20210915ILCEC")</f>
        <v>20210915ILCEC</v>
      </c>
      <c r="B963" s="1">
        <f ca="1">IFERROR(__xludf.DUMMYFUNCTION("""COMPUTED_VALUE"""),15)</f>
        <v>15</v>
      </c>
      <c r="C963" s="1" t="str">
        <f ca="1">IFERROR(__xludf.DUMMYFUNCTION("""COMPUTED_VALUE"""),"Male")</f>
        <v>Male</v>
      </c>
      <c r="D963" s="1" t="str">
        <f ca="1">IFERROR(__xludf.DUMMYFUNCTION("""COMPUTED_VALUE"""),"Black")</f>
        <v>Black</v>
      </c>
      <c r="E963" s="1" t="str">
        <f ca="1">IFERROR(__xludf.DUMMYFUNCTION("""COMPUTED_VALUE"""),"Student")</f>
        <v>Student</v>
      </c>
      <c r="F963" s="1" t="str">
        <f ca="1">IFERROR(__xludf.DUMMYFUNCTION("""COMPUTED_VALUE"""),"Fled/Apprehended")</f>
        <v>Fled/Apprehended</v>
      </c>
      <c r="G963" s="1" t="str">
        <f ca="1">IFERROR(__xludf.DUMMYFUNCTION("""COMPUTED_VALUE"""),"No")</f>
        <v>No</v>
      </c>
      <c r="H963" s="1" t="str">
        <f ca="1">IFERROR(__xludf.DUMMYFUNCTION("""COMPUTED_VALUE"""),"None")</f>
        <v>None</v>
      </c>
    </row>
    <row r="964" spans="1:8" ht="12.5">
      <c r="A964" s="1" t="str">
        <f ca="1">IFERROR(__xludf.DUMMYFUNCTION("""COMPUTED_VALUE"""),"20210915ILCEC")</f>
        <v>20210915ILCEC</v>
      </c>
      <c r="B964" s="1">
        <f ca="1">IFERROR(__xludf.DUMMYFUNCTION("""COMPUTED_VALUE"""),17)</f>
        <v>17</v>
      </c>
      <c r="C964" s="1" t="str">
        <f ca="1">IFERROR(__xludf.DUMMYFUNCTION("""COMPUTED_VALUE"""),"Male")</f>
        <v>Male</v>
      </c>
      <c r="D964" s="1"/>
      <c r="E964" s="1" t="str">
        <f ca="1">IFERROR(__xludf.DUMMYFUNCTION("""COMPUTED_VALUE"""),"Student")</f>
        <v>Student</v>
      </c>
      <c r="F964" s="1" t="str">
        <f ca="1">IFERROR(__xludf.DUMMYFUNCTION("""COMPUTED_VALUE"""),"Fled/Apprehended")</f>
        <v>Fled/Apprehended</v>
      </c>
      <c r="G964" s="1" t="str">
        <f ca="1">IFERROR(__xludf.DUMMYFUNCTION("""COMPUTED_VALUE"""),"No")</f>
        <v>No</v>
      </c>
      <c r="H964" s="1" t="str">
        <f ca="1">IFERROR(__xludf.DUMMYFUNCTION("""COMPUTED_VALUE"""),"None")</f>
        <v>None</v>
      </c>
    </row>
    <row r="965" spans="1:8" ht="12.5">
      <c r="A965" s="1" t="str">
        <f ca="1">IFERROR(__xludf.DUMMYFUNCTION("""COMPUTED_VALUE"""),"20210914TNLAL")</f>
        <v>20210914TNLAL</v>
      </c>
      <c r="B965" s="1">
        <f ca="1">IFERROR(__xludf.DUMMYFUNCTION("""COMPUTED_VALUE"""),15)</f>
        <v>15</v>
      </c>
      <c r="C965" s="1" t="str">
        <f ca="1">IFERROR(__xludf.DUMMYFUNCTION("""COMPUTED_VALUE"""),"Male")</f>
        <v>Male</v>
      </c>
      <c r="D965" s="1"/>
      <c r="E965" s="1" t="str">
        <f ca="1">IFERROR(__xludf.DUMMYFUNCTION("""COMPUTED_VALUE"""),"Student")</f>
        <v>Student</v>
      </c>
      <c r="F965" s="1" t="str">
        <f ca="1">IFERROR(__xludf.DUMMYFUNCTION("""COMPUTED_VALUE"""),"Fled/Apprehended")</f>
        <v>Fled/Apprehended</v>
      </c>
      <c r="G965" s="1" t="str">
        <f ca="1">IFERROR(__xludf.DUMMYFUNCTION("""COMPUTED_VALUE"""),"No")</f>
        <v>No</v>
      </c>
      <c r="H965" s="1" t="str">
        <f ca="1">IFERROR(__xludf.DUMMYFUNCTION("""COMPUTED_VALUE"""),"None")</f>
        <v>None</v>
      </c>
    </row>
    <row r="966" spans="1:8" ht="12.5">
      <c r="A966" s="1" t="str">
        <f ca="1">IFERROR(__xludf.DUMMYFUNCTION("""COMPUTED_VALUE"""),"20210914MOMCH")</f>
        <v>20210914MOMCH</v>
      </c>
      <c r="B966" s="1" t="str">
        <f ca="1">IFERROR(__xludf.DUMMYFUNCTION("""COMPUTED_VALUE"""),"Adult")</f>
        <v>Adult</v>
      </c>
      <c r="C966" s="1" t="str">
        <f ca="1">IFERROR(__xludf.DUMMYFUNCTION("""COMPUTED_VALUE"""),"Female")</f>
        <v>Female</v>
      </c>
      <c r="D966" s="1"/>
      <c r="E966" s="1" t="str">
        <f ca="1">IFERROR(__xludf.DUMMYFUNCTION("""COMPUTED_VALUE"""),"Parent")</f>
        <v>Parent</v>
      </c>
      <c r="F966" s="1" t="str">
        <f ca="1">IFERROR(__xludf.DUMMYFUNCTION("""COMPUTED_VALUE"""),"Fled/Escaped")</f>
        <v>Fled/Escaped</v>
      </c>
      <c r="G966" s="1" t="str">
        <f ca="1">IFERROR(__xludf.DUMMYFUNCTION("""COMPUTED_VALUE"""),"No")</f>
        <v>No</v>
      </c>
      <c r="H966" s="1" t="str">
        <f ca="1">IFERROR(__xludf.DUMMYFUNCTION("""COMPUTED_VALUE"""),"None")</f>
        <v>None</v>
      </c>
    </row>
    <row r="967" spans="1:8" ht="12.5">
      <c r="A967" s="1" t="str">
        <f ca="1">IFERROR(__xludf.DUMMYFUNCTION("""COMPUTED_VALUE"""),"20210914MOMCH")</f>
        <v>20210914MOMCH</v>
      </c>
      <c r="B967" s="1" t="str">
        <f ca="1">IFERROR(__xludf.DUMMYFUNCTION("""COMPUTED_VALUE"""),"Adult")</f>
        <v>Adult</v>
      </c>
      <c r="C967" s="1" t="str">
        <f ca="1">IFERROR(__xludf.DUMMYFUNCTION("""COMPUTED_VALUE"""),"Female")</f>
        <v>Female</v>
      </c>
      <c r="D967" s="1"/>
      <c r="E967" s="1" t="str">
        <f ca="1">IFERROR(__xludf.DUMMYFUNCTION("""COMPUTED_VALUE"""),"Parent")</f>
        <v>Parent</v>
      </c>
      <c r="F967" s="1" t="str">
        <f ca="1">IFERROR(__xludf.DUMMYFUNCTION("""COMPUTED_VALUE"""),"Fled/Escaped")</f>
        <v>Fled/Escaped</v>
      </c>
      <c r="G967" s="1" t="str">
        <f ca="1">IFERROR(__xludf.DUMMYFUNCTION("""COMPUTED_VALUE"""),"No")</f>
        <v>No</v>
      </c>
      <c r="H967" s="1" t="str">
        <f ca="1">IFERROR(__xludf.DUMMYFUNCTION("""COMPUTED_VALUE"""),"None")</f>
        <v>None</v>
      </c>
    </row>
    <row r="968" spans="1:8" ht="12.5">
      <c r="A968" s="1" t="str">
        <f ca="1">IFERROR(__xludf.DUMMYFUNCTION("""COMPUTED_VALUE"""),"20210913SCEDC")</f>
        <v>20210913SCEDC</v>
      </c>
      <c r="B968" s="1">
        <f ca="1">IFERROR(__xludf.DUMMYFUNCTION("""COMPUTED_VALUE"""),54)</f>
        <v>54</v>
      </c>
      <c r="C968" s="1" t="str">
        <f ca="1">IFERROR(__xludf.DUMMYFUNCTION("""COMPUTED_VALUE"""),"Female")</f>
        <v>Female</v>
      </c>
      <c r="D968" s="1" t="str">
        <f ca="1">IFERROR(__xludf.DUMMYFUNCTION("""COMPUTED_VALUE"""),"Black")</f>
        <v>Black</v>
      </c>
      <c r="E968" s="1" t="str">
        <f ca="1">IFERROR(__xludf.DUMMYFUNCTION("""COMPUTED_VALUE"""),"Relative")</f>
        <v>Relative</v>
      </c>
      <c r="F968" s="1" t="str">
        <f ca="1">IFERROR(__xludf.DUMMYFUNCTION("""COMPUTED_VALUE"""),"Fled/Apprehended")</f>
        <v>Fled/Apprehended</v>
      </c>
      <c r="G968" s="1" t="str">
        <f ca="1">IFERROR(__xludf.DUMMYFUNCTION("""COMPUTED_VALUE"""),"No")</f>
        <v>No</v>
      </c>
      <c r="H968" s="1" t="str">
        <f ca="1">IFERROR(__xludf.DUMMYFUNCTION("""COMPUTED_VALUE"""),"None")</f>
        <v>None</v>
      </c>
    </row>
    <row r="969" spans="1:8" ht="12.5">
      <c r="A969" s="1" t="str">
        <f ca="1">IFERROR(__xludf.DUMMYFUNCTION("""COMPUTED_VALUE"""),"20210910CONOA")</f>
        <v>20210910CONOA</v>
      </c>
      <c r="B969" s="1"/>
      <c r="C969" s="1" t="str">
        <f ca="1">IFERROR(__xludf.DUMMYFUNCTION("""COMPUTED_VALUE"""),"Male")</f>
        <v>Male</v>
      </c>
      <c r="D969" s="1"/>
      <c r="E969" s="1" t="str">
        <f ca="1">IFERROR(__xludf.DUMMYFUNCTION("""COMPUTED_VALUE"""),"Nonstudent Using Athletic Facilities/Attending Game")</f>
        <v>Nonstudent Using Athletic Facilities/Attending Game</v>
      </c>
      <c r="F969" s="1" t="str">
        <f ca="1">IFERROR(__xludf.DUMMYFUNCTION("""COMPUTED_VALUE"""),"Fled/Escaped")</f>
        <v>Fled/Escaped</v>
      </c>
      <c r="G969" s="1" t="str">
        <f ca="1">IFERROR(__xludf.DUMMYFUNCTION("""COMPUTED_VALUE"""),"No")</f>
        <v>No</v>
      </c>
      <c r="H969" s="1" t="str">
        <f ca="1">IFERROR(__xludf.DUMMYFUNCTION("""COMPUTED_VALUE"""),"None")</f>
        <v>None</v>
      </c>
    </row>
    <row r="970" spans="1:8" ht="12.5">
      <c r="A970" s="1" t="str">
        <f ca="1">IFERROR(__xludf.DUMMYFUNCTION("""COMPUTED_VALUE"""),"20210910CASTP")</f>
        <v>20210910CASTP</v>
      </c>
      <c r="B970" s="1">
        <f ca="1">IFERROR(__xludf.DUMMYFUNCTION("""COMPUTED_VALUE"""),62)</f>
        <v>62</v>
      </c>
      <c r="C970" s="1" t="str">
        <f ca="1">IFERROR(__xludf.DUMMYFUNCTION("""COMPUTED_VALUE"""),"Male")</f>
        <v>Male</v>
      </c>
      <c r="D970" s="1" t="str">
        <f ca="1">IFERROR(__xludf.DUMMYFUNCTION("""COMPUTED_VALUE"""),"White")</f>
        <v>White</v>
      </c>
      <c r="E970" s="1" t="str">
        <f ca="1">IFERROR(__xludf.DUMMYFUNCTION("""COMPUTED_VALUE"""),"No Relation")</f>
        <v>No Relation</v>
      </c>
      <c r="F970" s="1" t="str">
        <f ca="1">IFERROR(__xludf.DUMMYFUNCTION("""COMPUTED_VALUE"""),"Apprehended/Killed by LE")</f>
        <v>Apprehended/Killed by LE</v>
      </c>
      <c r="G970" s="1" t="str">
        <f ca="1">IFERROR(__xludf.DUMMYFUNCTION("""COMPUTED_VALUE"""),"No")</f>
        <v>No</v>
      </c>
      <c r="H970" s="1" t="str">
        <f ca="1">IFERROR(__xludf.DUMMYFUNCTION("""COMPUTED_VALUE"""),"None")</f>
        <v>None</v>
      </c>
    </row>
    <row r="971" spans="1:8" ht="12.5">
      <c r="A971" s="1" t="str">
        <f ca="1">IFERROR(__xludf.DUMMYFUNCTION("""COMPUTED_VALUE"""),"20210909NCSHE")</f>
        <v>20210909NCSHE</v>
      </c>
      <c r="B971" s="1"/>
      <c r="C971" s="1"/>
      <c r="D971" s="1"/>
      <c r="E971" s="1"/>
      <c r="F971" s="1" t="str">
        <f ca="1">IFERROR(__xludf.DUMMYFUNCTION("""COMPUTED_VALUE"""),"Fled/Escaped")</f>
        <v>Fled/Escaped</v>
      </c>
      <c r="G971" s="1" t="str">
        <f ca="1">IFERROR(__xludf.DUMMYFUNCTION("""COMPUTED_VALUE"""),"No")</f>
        <v>No</v>
      </c>
      <c r="H971" s="1" t="str">
        <f ca="1">IFERROR(__xludf.DUMMYFUNCTION("""COMPUTED_VALUE"""),"None")</f>
        <v>None</v>
      </c>
    </row>
    <row r="972" spans="1:8" ht="12.5">
      <c r="A972" s="1" t="str">
        <f ca="1">IFERROR(__xludf.DUMMYFUNCTION("""COMPUTED_VALUE"""),"20210909MITRF")</f>
        <v>20210909MITRF</v>
      </c>
      <c r="B972" s="1" t="str">
        <f ca="1">IFERROR(__xludf.DUMMYFUNCTION("""COMPUTED_VALUE"""),"Teen")</f>
        <v>Teen</v>
      </c>
      <c r="C972" s="1" t="str">
        <f ca="1">IFERROR(__xludf.DUMMYFUNCTION("""COMPUTED_VALUE"""),"Male")</f>
        <v>Male</v>
      </c>
      <c r="D972" s="1"/>
      <c r="E972" s="1" t="str">
        <f ca="1">IFERROR(__xludf.DUMMYFUNCTION("""COMPUTED_VALUE"""),"Student")</f>
        <v>Student</v>
      </c>
      <c r="F972" s="1" t="str">
        <f ca="1">IFERROR(__xludf.DUMMYFUNCTION("""COMPUTED_VALUE"""),"Apprehended/Killed by LE")</f>
        <v>Apprehended/Killed by LE</v>
      </c>
      <c r="G972" s="1" t="str">
        <f ca="1">IFERROR(__xludf.DUMMYFUNCTION("""COMPUTED_VALUE"""),"No")</f>
        <v>No</v>
      </c>
      <c r="H972" s="1" t="str">
        <f ca="1">IFERROR(__xludf.DUMMYFUNCTION("""COMPUTED_VALUE"""),"None")</f>
        <v>None</v>
      </c>
    </row>
    <row r="973" spans="1:8" ht="12.5">
      <c r="A973" s="1" t="str">
        <f ca="1">IFERROR(__xludf.DUMMYFUNCTION("""COMPUTED_VALUE"""),"20210909ILCHC")</f>
        <v>20210909ILCHC</v>
      </c>
      <c r="B973" s="1" t="str">
        <f ca="1">IFERROR(__xludf.DUMMYFUNCTION("""COMPUTED_VALUE"""),"Adult")</f>
        <v>Adult</v>
      </c>
      <c r="C973" s="1"/>
      <c r="D973" s="1"/>
      <c r="E973" s="1" t="str">
        <f ca="1">IFERROR(__xludf.DUMMYFUNCTION("""COMPUTED_VALUE"""),"No Relation")</f>
        <v>No Relation</v>
      </c>
      <c r="F973" s="1" t="str">
        <f ca="1">IFERROR(__xludf.DUMMYFUNCTION("""COMPUTED_VALUE"""),"Fled/Escaped")</f>
        <v>Fled/Escaped</v>
      </c>
      <c r="G973" s="1" t="str">
        <f ca="1">IFERROR(__xludf.DUMMYFUNCTION("""COMPUTED_VALUE"""),"No")</f>
        <v>No</v>
      </c>
      <c r="H973" s="1" t="str">
        <f ca="1">IFERROR(__xludf.DUMMYFUNCTION("""COMPUTED_VALUE"""),"None")</f>
        <v>None</v>
      </c>
    </row>
    <row r="974" spans="1:8" ht="12.5">
      <c r="A974" s="1" t="str">
        <f ca="1">IFERROR(__xludf.DUMMYFUNCTION("""COMPUTED_VALUE"""),"20210908MNPRB")</f>
        <v>20210908MNPRB</v>
      </c>
      <c r="B974" s="1"/>
      <c r="C974" s="1"/>
      <c r="D974" s="1"/>
      <c r="E974" s="1" t="str">
        <f ca="1">IFERROR(__xludf.DUMMYFUNCTION("""COMPUTED_VALUE"""),"No Relation")</f>
        <v>No Relation</v>
      </c>
      <c r="F974" s="1" t="str">
        <f ca="1">IFERROR(__xludf.DUMMYFUNCTION("""COMPUTED_VALUE"""),"Fled/Escaped")</f>
        <v>Fled/Escaped</v>
      </c>
      <c r="G974" s="1" t="str">
        <f ca="1">IFERROR(__xludf.DUMMYFUNCTION("""COMPUTED_VALUE"""),"No")</f>
        <v>No</v>
      </c>
      <c r="H974" s="1" t="str">
        <f ca="1">IFERROR(__xludf.DUMMYFUNCTION("""COMPUTED_VALUE"""),"None")</f>
        <v>None</v>
      </c>
    </row>
    <row r="975" spans="1:8" ht="12.5">
      <c r="A975" s="1" t="str">
        <f ca="1">IFERROR(__xludf.DUMMYFUNCTION("""COMPUTED_VALUE"""),"20210908MNPRB")</f>
        <v>20210908MNPRB</v>
      </c>
      <c r="B975" s="1"/>
      <c r="C975" s="1"/>
      <c r="D975" s="1"/>
      <c r="E975" s="1" t="str">
        <f ca="1">IFERROR(__xludf.DUMMYFUNCTION("""COMPUTED_VALUE"""),"No Relation")</f>
        <v>No Relation</v>
      </c>
      <c r="F975" s="1" t="str">
        <f ca="1">IFERROR(__xludf.DUMMYFUNCTION("""COMPUTED_VALUE"""),"Fled/Escaped")</f>
        <v>Fled/Escaped</v>
      </c>
      <c r="G975" s="1" t="str">
        <f ca="1">IFERROR(__xludf.DUMMYFUNCTION("""COMPUTED_VALUE"""),"No")</f>
        <v>No</v>
      </c>
      <c r="H975" s="1" t="str">
        <f ca="1">IFERROR(__xludf.DUMMYFUNCTION("""COMPUTED_VALUE"""),"None")</f>
        <v>None</v>
      </c>
    </row>
    <row r="976" spans="1:8" ht="12.5">
      <c r="A976" s="1" t="str">
        <f ca="1">IFERROR(__xludf.DUMMYFUNCTION("""COMPUTED_VALUE"""),"20210908MNPRB")</f>
        <v>20210908MNPRB</v>
      </c>
      <c r="B976" s="1"/>
      <c r="C976" s="1"/>
      <c r="D976" s="1"/>
      <c r="E976" s="1" t="str">
        <f ca="1">IFERROR(__xludf.DUMMYFUNCTION("""COMPUTED_VALUE"""),"No Relation")</f>
        <v>No Relation</v>
      </c>
      <c r="F976" s="1" t="str">
        <f ca="1">IFERROR(__xludf.DUMMYFUNCTION("""COMPUTED_VALUE"""),"Fled/Escaped")</f>
        <v>Fled/Escaped</v>
      </c>
      <c r="G976" s="1" t="str">
        <f ca="1">IFERROR(__xludf.DUMMYFUNCTION("""COMPUTED_VALUE"""),"No")</f>
        <v>No</v>
      </c>
      <c r="H976" s="1" t="str">
        <f ca="1">IFERROR(__xludf.DUMMYFUNCTION("""COMPUTED_VALUE"""),"None")</f>
        <v>None</v>
      </c>
    </row>
    <row r="977" spans="1:8" ht="12.5">
      <c r="A977" s="1" t="str">
        <f ca="1">IFERROR(__xludf.DUMMYFUNCTION("""COMPUTED_VALUE"""),"20210908ILCEC")</f>
        <v>20210908ILCEC</v>
      </c>
      <c r="B977" s="1">
        <f ca="1">IFERROR(__xludf.DUMMYFUNCTION("""COMPUTED_VALUE"""),18)</f>
        <v>18</v>
      </c>
      <c r="C977" s="1" t="str">
        <f ca="1">IFERROR(__xludf.DUMMYFUNCTION("""COMPUTED_VALUE"""),"Male")</f>
        <v>Male</v>
      </c>
      <c r="D977" s="1"/>
      <c r="E977" s="1" t="str">
        <f ca="1">IFERROR(__xludf.DUMMYFUNCTION("""COMPUTED_VALUE"""),"Student")</f>
        <v>Student</v>
      </c>
      <c r="F977" s="1" t="str">
        <f ca="1">IFERROR(__xludf.DUMMYFUNCTION("""COMPUTED_VALUE"""),"Fled/Escaped")</f>
        <v>Fled/Escaped</v>
      </c>
      <c r="G977" s="1" t="str">
        <f ca="1">IFERROR(__xludf.DUMMYFUNCTION("""COMPUTED_VALUE"""),"No")</f>
        <v>No</v>
      </c>
      <c r="H977" s="1" t="str">
        <f ca="1">IFERROR(__xludf.DUMMYFUNCTION("""COMPUTED_VALUE"""),"None")</f>
        <v>None</v>
      </c>
    </row>
    <row r="978" spans="1:8" ht="12.5">
      <c r="A978" s="1" t="str">
        <f ca="1">IFERROR(__xludf.DUMMYFUNCTION("""COMPUTED_VALUE"""),"20210907TNLAL")</f>
        <v>20210907TNLAL</v>
      </c>
      <c r="B978" s="1">
        <f ca="1">IFERROR(__xludf.DUMMYFUNCTION("""COMPUTED_VALUE"""),15)</f>
        <v>15</v>
      </c>
      <c r="C978" s="1" t="str">
        <f ca="1">IFERROR(__xludf.DUMMYFUNCTION("""COMPUTED_VALUE"""),"Male")</f>
        <v>Male</v>
      </c>
      <c r="D978" s="1"/>
      <c r="E978" s="1" t="str">
        <f ca="1">IFERROR(__xludf.DUMMYFUNCTION("""COMPUTED_VALUE"""),"Student")</f>
        <v>Student</v>
      </c>
      <c r="F978" s="1" t="str">
        <f ca="1">IFERROR(__xludf.DUMMYFUNCTION("""COMPUTED_VALUE"""),"Fled/Apprehended")</f>
        <v>Fled/Apprehended</v>
      </c>
      <c r="G978" s="1" t="str">
        <f ca="1">IFERROR(__xludf.DUMMYFUNCTION("""COMPUTED_VALUE"""),"No")</f>
        <v>No</v>
      </c>
      <c r="H978" s="1" t="str">
        <f ca="1">IFERROR(__xludf.DUMMYFUNCTION("""COMPUTED_VALUE"""),"None")</f>
        <v>None</v>
      </c>
    </row>
    <row r="979" spans="1:8" ht="12.5">
      <c r="A979" s="1" t="str">
        <f ca="1">IFERROR(__xludf.DUMMYFUNCTION("""COMPUTED_VALUE"""),"20210907PAHAH")</f>
        <v>20210907PAHAH</v>
      </c>
      <c r="B979" s="1" t="str">
        <f ca="1">IFERROR(__xludf.DUMMYFUNCTION("""COMPUTED_VALUE"""),"Teen")</f>
        <v>Teen</v>
      </c>
      <c r="C979" s="1" t="str">
        <f ca="1">IFERROR(__xludf.DUMMYFUNCTION("""COMPUTED_VALUE"""),"Male")</f>
        <v>Male</v>
      </c>
      <c r="D979" s="1"/>
      <c r="E979" s="1" t="str">
        <f ca="1">IFERROR(__xludf.DUMMYFUNCTION("""COMPUTED_VALUE"""),"Student")</f>
        <v>Student</v>
      </c>
      <c r="F979" s="1" t="str">
        <f ca="1">IFERROR(__xludf.DUMMYFUNCTION("""COMPUTED_VALUE"""),"Fled/Escaped")</f>
        <v>Fled/Escaped</v>
      </c>
      <c r="G979" s="1" t="str">
        <f ca="1">IFERROR(__xludf.DUMMYFUNCTION("""COMPUTED_VALUE"""),"No")</f>
        <v>No</v>
      </c>
      <c r="H979" s="1" t="str">
        <f ca="1">IFERROR(__xludf.DUMMYFUNCTION("""COMPUTED_VALUE"""),"None")</f>
        <v>None</v>
      </c>
    </row>
    <row r="980" spans="1:8" ht="12.5">
      <c r="A980" s="1" t="str">
        <f ca="1">IFERROR(__xludf.DUMMYFUNCTION("""COMPUTED_VALUE"""),"20210907MAOMG")</f>
        <v>20210907MAOMG</v>
      </c>
      <c r="B980" s="1">
        <f ca="1">IFERROR(__xludf.DUMMYFUNCTION("""COMPUTED_VALUE"""),18)</f>
        <v>18</v>
      </c>
      <c r="C980" s="1" t="str">
        <f ca="1">IFERROR(__xludf.DUMMYFUNCTION("""COMPUTED_VALUE"""),"Male")</f>
        <v>Male</v>
      </c>
      <c r="D980" s="1"/>
      <c r="E980" s="1" t="str">
        <f ca="1">IFERROR(__xludf.DUMMYFUNCTION("""COMPUTED_VALUE"""),"No Relation")</f>
        <v>No Relation</v>
      </c>
      <c r="F980" s="1" t="str">
        <f ca="1">IFERROR(__xludf.DUMMYFUNCTION("""COMPUTED_VALUE"""),"Fled/Apprehended")</f>
        <v>Fled/Apprehended</v>
      </c>
      <c r="G980" s="1" t="str">
        <f ca="1">IFERROR(__xludf.DUMMYFUNCTION("""COMPUTED_VALUE"""),"No")</f>
        <v>No</v>
      </c>
      <c r="H980" s="1" t="str">
        <f ca="1">IFERROR(__xludf.DUMMYFUNCTION("""COMPUTED_VALUE"""),"None")</f>
        <v>None</v>
      </c>
    </row>
    <row r="981" spans="1:8" ht="12.5">
      <c r="A981" s="1" t="str">
        <f ca="1">IFERROR(__xludf.DUMMYFUNCTION("""COMPUTED_VALUE"""),"20210907MAOMG")</f>
        <v>20210907MAOMG</v>
      </c>
      <c r="B981" s="1">
        <f ca="1">IFERROR(__xludf.DUMMYFUNCTION("""COMPUTED_VALUE"""),18)</f>
        <v>18</v>
      </c>
      <c r="C981" s="1" t="str">
        <f ca="1">IFERROR(__xludf.DUMMYFUNCTION("""COMPUTED_VALUE"""),"Male")</f>
        <v>Male</v>
      </c>
      <c r="D981" s="1"/>
      <c r="E981" s="1" t="str">
        <f ca="1">IFERROR(__xludf.DUMMYFUNCTION("""COMPUTED_VALUE"""),"No Relation")</f>
        <v>No Relation</v>
      </c>
      <c r="F981" s="1" t="str">
        <f ca="1">IFERROR(__xludf.DUMMYFUNCTION("""COMPUTED_VALUE"""),"Fled/Apprehended")</f>
        <v>Fled/Apprehended</v>
      </c>
      <c r="G981" s="1" t="str">
        <f ca="1">IFERROR(__xludf.DUMMYFUNCTION("""COMPUTED_VALUE"""),"No")</f>
        <v>No</v>
      </c>
      <c r="H981" s="1" t="str">
        <f ca="1">IFERROR(__xludf.DUMMYFUNCTION("""COMPUTED_VALUE"""),"None")</f>
        <v>None</v>
      </c>
    </row>
    <row r="982" spans="1:8" ht="12.5">
      <c r="A982" s="1" t="str">
        <f ca="1">IFERROR(__xludf.DUMMYFUNCTION("""COMPUTED_VALUE"""),"20210903NVDEL")</f>
        <v>20210903NVDEL</v>
      </c>
      <c r="B982" s="1" t="str">
        <f ca="1">IFERROR(__xludf.DUMMYFUNCTION("""COMPUTED_VALUE"""),"Adult")</f>
        <v>Adult</v>
      </c>
      <c r="C982" s="1"/>
      <c r="D982" s="1"/>
      <c r="E982" s="1" t="str">
        <f ca="1">IFERROR(__xludf.DUMMYFUNCTION("""COMPUTED_VALUE"""),"Nonstudent Using Athletic Facilities/Attending Game")</f>
        <v>Nonstudent Using Athletic Facilities/Attending Game</v>
      </c>
      <c r="F982" s="1" t="str">
        <f ca="1">IFERROR(__xludf.DUMMYFUNCTION("""COMPUTED_VALUE"""),"Fled/Escaped")</f>
        <v>Fled/Escaped</v>
      </c>
      <c r="G982" s="1" t="str">
        <f ca="1">IFERROR(__xludf.DUMMYFUNCTION("""COMPUTED_VALUE"""),"No")</f>
        <v>No</v>
      </c>
      <c r="H982" s="1" t="str">
        <f ca="1">IFERROR(__xludf.DUMMYFUNCTION("""COMPUTED_VALUE"""),"None")</f>
        <v>None</v>
      </c>
    </row>
    <row r="983" spans="1:8" ht="12.5">
      <c r="A983" s="1" t="str">
        <f ca="1">IFERROR(__xludf.DUMMYFUNCTION("""COMPUTED_VALUE"""),"20210903NCJUC")</f>
        <v>20210903NCJUC</v>
      </c>
      <c r="B983" s="1"/>
      <c r="C983" s="1"/>
      <c r="D983" s="1"/>
      <c r="E983" s="1" t="str">
        <f ca="1">IFERROR(__xludf.DUMMYFUNCTION("""COMPUTED_VALUE"""),"Nonstudent Using Athletic Facilities/Attending Game")</f>
        <v>Nonstudent Using Athletic Facilities/Attending Game</v>
      </c>
      <c r="F983" s="1" t="str">
        <f ca="1">IFERROR(__xludf.DUMMYFUNCTION("""COMPUTED_VALUE"""),"Fled/Escaped")</f>
        <v>Fled/Escaped</v>
      </c>
      <c r="G983" s="1" t="str">
        <f ca="1">IFERROR(__xludf.DUMMYFUNCTION("""COMPUTED_VALUE"""),"No")</f>
        <v>No</v>
      </c>
      <c r="H983" s="1" t="str">
        <f ca="1">IFERROR(__xludf.DUMMYFUNCTION("""COMPUTED_VALUE"""),"None")</f>
        <v>None</v>
      </c>
    </row>
    <row r="984" spans="1:8" ht="12.5">
      <c r="A984" s="1" t="str">
        <f ca="1">IFERROR(__xludf.DUMMYFUNCTION("""COMPUTED_VALUE"""),"20210903CAMTH")</f>
        <v>20210903CAMTH</v>
      </c>
      <c r="B984" s="1">
        <f ca="1">IFERROR(__xludf.DUMMYFUNCTION("""COMPUTED_VALUE"""),16)</f>
        <v>16</v>
      </c>
      <c r="C984" s="1" t="str">
        <f ca="1">IFERROR(__xludf.DUMMYFUNCTION("""COMPUTED_VALUE"""),"Male")</f>
        <v>Male</v>
      </c>
      <c r="D984" s="1"/>
      <c r="E984" s="1" t="str">
        <f ca="1">IFERROR(__xludf.DUMMYFUNCTION("""COMPUTED_VALUE"""),"Student")</f>
        <v>Student</v>
      </c>
      <c r="F984" s="1" t="str">
        <f ca="1">IFERROR(__xludf.DUMMYFUNCTION("""COMPUTED_VALUE"""),"Apprehended/Killed by LE")</f>
        <v>Apprehended/Killed by LE</v>
      </c>
      <c r="G984" s="1" t="str">
        <f ca="1">IFERROR(__xludf.DUMMYFUNCTION("""COMPUTED_VALUE"""),"No")</f>
        <v>No</v>
      </c>
      <c r="H984" s="1" t="str">
        <f ca="1">IFERROR(__xludf.DUMMYFUNCTION("""COMPUTED_VALUE"""),"None")</f>
        <v>None</v>
      </c>
    </row>
    <row r="985" spans="1:8" ht="12.5">
      <c r="A985" s="1" t="str">
        <f ca="1">IFERROR(__xludf.DUMMYFUNCTION("""COMPUTED_VALUE"""),"20210903CAMTH")</f>
        <v>20210903CAMTH</v>
      </c>
      <c r="B985" s="1" t="str">
        <f ca="1">IFERROR(__xludf.DUMMYFUNCTION("""COMPUTED_VALUE"""),"Teen")</f>
        <v>Teen</v>
      </c>
      <c r="C985" s="1" t="str">
        <f ca="1">IFERROR(__xludf.DUMMYFUNCTION("""COMPUTED_VALUE"""),"Male")</f>
        <v>Male</v>
      </c>
      <c r="D985" s="1"/>
      <c r="E985" s="1" t="str">
        <f ca="1">IFERROR(__xludf.DUMMYFUNCTION("""COMPUTED_VALUE"""),"Student")</f>
        <v>Student</v>
      </c>
      <c r="F985" s="1" t="str">
        <f ca="1">IFERROR(__xludf.DUMMYFUNCTION("""COMPUTED_VALUE"""),"Fled/Apprehended")</f>
        <v>Fled/Apprehended</v>
      </c>
      <c r="G985" s="1" t="str">
        <f ca="1">IFERROR(__xludf.DUMMYFUNCTION("""COMPUTED_VALUE"""),"No")</f>
        <v>No</v>
      </c>
      <c r="H985" s="1" t="str">
        <f ca="1">IFERROR(__xludf.DUMMYFUNCTION("""COMPUTED_VALUE"""),"None")</f>
        <v>None</v>
      </c>
    </row>
    <row r="986" spans="1:8" ht="12.5">
      <c r="A986" s="1" t="str">
        <f ca="1">IFERROR(__xludf.DUMMYFUNCTION("""COMPUTED_VALUE"""),"20210903CABUB")</f>
        <v>20210903CABUB</v>
      </c>
      <c r="B986" s="1" t="str">
        <f ca="1">IFERROR(__xludf.DUMMYFUNCTION("""COMPUTED_VALUE"""),"Adult")</f>
        <v>Adult</v>
      </c>
      <c r="C986" s="1" t="str">
        <f ca="1">IFERROR(__xludf.DUMMYFUNCTION("""COMPUTED_VALUE"""),"Male")</f>
        <v>Male</v>
      </c>
      <c r="D986" s="1"/>
      <c r="E986" s="1" t="str">
        <f ca="1">IFERROR(__xludf.DUMMYFUNCTION("""COMPUTED_VALUE"""),"Intimate Relationship")</f>
        <v>Intimate Relationship</v>
      </c>
      <c r="F986" s="1" t="str">
        <f ca="1">IFERROR(__xludf.DUMMYFUNCTION("""COMPUTED_VALUE"""),"Apprehended/Killed by LE")</f>
        <v>Apprehended/Killed by LE</v>
      </c>
      <c r="G986" s="1" t="str">
        <f ca="1">IFERROR(__xludf.DUMMYFUNCTION("""COMPUTED_VALUE"""),"Yes")</f>
        <v>Yes</v>
      </c>
      <c r="H986" s="1" t="str">
        <f ca="1">IFERROR(__xludf.DUMMYFUNCTION("""COMPUTED_VALUE"""),"Fatal")</f>
        <v>Fatal</v>
      </c>
    </row>
    <row r="987" spans="1:8" ht="12.5">
      <c r="A987" s="1" t="str">
        <f ca="1">IFERROR(__xludf.DUMMYFUNCTION("""COMPUTED_VALUE"""),"20210902NMALA")</f>
        <v>20210902NMALA</v>
      </c>
      <c r="B987" s="1">
        <f ca="1">IFERROR(__xludf.DUMMYFUNCTION("""COMPUTED_VALUE"""),16)</f>
        <v>16</v>
      </c>
      <c r="C987" s="1" t="str">
        <f ca="1">IFERROR(__xludf.DUMMYFUNCTION("""COMPUTED_VALUE"""),"Male")</f>
        <v>Male</v>
      </c>
      <c r="D987" s="1"/>
      <c r="E987" s="1" t="str">
        <f ca="1">IFERROR(__xludf.DUMMYFUNCTION("""COMPUTED_VALUE"""),"Student")</f>
        <v>Student</v>
      </c>
      <c r="F987" s="1" t="str">
        <f ca="1">IFERROR(__xludf.DUMMYFUNCTION("""COMPUTED_VALUE"""),"Fled/Apprehended")</f>
        <v>Fled/Apprehended</v>
      </c>
      <c r="G987" s="1" t="str">
        <f ca="1">IFERROR(__xludf.DUMMYFUNCTION("""COMPUTED_VALUE"""),"No")</f>
        <v>No</v>
      </c>
      <c r="H987" s="1" t="str">
        <f ca="1">IFERROR(__xludf.DUMMYFUNCTION("""COMPUTED_VALUE"""),"Wounded")</f>
        <v>Wounded</v>
      </c>
    </row>
    <row r="988" spans="1:8" ht="12.5">
      <c r="A988" s="1" t="str">
        <f ca="1">IFERROR(__xludf.DUMMYFUNCTION("""COMPUTED_VALUE"""),"20210902NMALA")</f>
        <v>20210902NMALA</v>
      </c>
      <c r="B988" s="1" t="str">
        <f ca="1">IFERROR(__xludf.DUMMYFUNCTION("""COMPUTED_VALUE"""),"Teen")</f>
        <v>Teen</v>
      </c>
      <c r="C988" s="1"/>
      <c r="D988" s="1"/>
      <c r="E988" s="1" t="str">
        <f ca="1">IFERROR(__xludf.DUMMYFUNCTION("""COMPUTED_VALUE"""),"Other Student")</f>
        <v>Other Student</v>
      </c>
      <c r="F988" s="1" t="str">
        <f ca="1">IFERROR(__xludf.DUMMYFUNCTION("""COMPUTED_VALUE"""),"Fled/Escaped")</f>
        <v>Fled/Escaped</v>
      </c>
      <c r="G988" s="1" t="str">
        <f ca="1">IFERROR(__xludf.DUMMYFUNCTION("""COMPUTED_VALUE"""),"No")</f>
        <v>No</v>
      </c>
      <c r="H988" s="1" t="str">
        <f ca="1">IFERROR(__xludf.DUMMYFUNCTION("""COMPUTED_VALUE"""),"None")</f>
        <v>None</v>
      </c>
    </row>
    <row r="989" spans="1:8" ht="12.5">
      <c r="A989" s="1" t="str">
        <f ca="1">IFERROR(__xludf.DUMMYFUNCTION("""COMPUTED_VALUE"""),"20210902INWEG")</f>
        <v>20210902INWEG</v>
      </c>
      <c r="B989" s="1" t="str">
        <f ca="1">IFERROR(__xludf.DUMMYFUNCTION("""COMPUTED_VALUE"""),"Teen")</f>
        <v>Teen</v>
      </c>
      <c r="C989" s="1" t="str">
        <f ca="1">IFERROR(__xludf.DUMMYFUNCTION("""COMPUTED_VALUE"""),"Male")</f>
        <v>Male</v>
      </c>
      <c r="D989" s="1"/>
      <c r="E989" s="1"/>
      <c r="F989" s="1" t="str">
        <f ca="1">IFERROR(__xludf.DUMMYFUNCTION("""COMPUTED_VALUE"""),"Fled/Escaped")</f>
        <v>Fled/Escaped</v>
      </c>
      <c r="G989" s="1" t="str">
        <f ca="1">IFERROR(__xludf.DUMMYFUNCTION("""COMPUTED_VALUE"""),"No")</f>
        <v>No</v>
      </c>
      <c r="H989" s="1" t="str">
        <f ca="1">IFERROR(__xludf.DUMMYFUNCTION("""COMPUTED_VALUE"""),"None")</f>
        <v>None</v>
      </c>
    </row>
    <row r="990" spans="1:8" ht="12.5">
      <c r="A990" s="1" t="str">
        <f ca="1">IFERROR(__xludf.DUMMYFUNCTION("""COMPUTED_VALUE"""),"20210902GAWOS")</f>
        <v>20210902GAWOS</v>
      </c>
      <c r="B990" s="1">
        <f ca="1">IFERROR(__xludf.DUMMYFUNCTION("""COMPUTED_VALUE"""),24)</f>
        <v>24</v>
      </c>
      <c r="C990" s="1" t="str">
        <f ca="1">IFERROR(__xludf.DUMMYFUNCTION("""COMPUTED_VALUE"""),"Male")</f>
        <v>Male</v>
      </c>
      <c r="D990" s="1"/>
      <c r="E990" s="1" t="str">
        <f ca="1">IFERROR(__xludf.DUMMYFUNCTION("""COMPUTED_VALUE"""),"No Relation")</f>
        <v>No Relation</v>
      </c>
      <c r="F990" s="1" t="str">
        <f ca="1">IFERROR(__xludf.DUMMYFUNCTION("""COMPUTED_VALUE"""),"Apprehended/Killed by LE")</f>
        <v>Apprehended/Killed by LE</v>
      </c>
      <c r="G990" s="1" t="str">
        <f ca="1">IFERROR(__xludf.DUMMYFUNCTION("""COMPUTED_VALUE"""),"No")</f>
        <v>No</v>
      </c>
      <c r="H990" s="1" t="str">
        <f ca="1">IFERROR(__xludf.DUMMYFUNCTION("""COMPUTED_VALUE"""),"None")</f>
        <v>None</v>
      </c>
    </row>
    <row r="991" spans="1:8" ht="12.5">
      <c r="A991" s="1" t="str">
        <f ca="1">IFERROR(__xludf.DUMMYFUNCTION("""COMPUTED_VALUE"""),"20210902CASAL")</f>
        <v>20210902CASAL</v>
      </c>
      <c r="B991" s="1">
        <f ca="1">IFERROR(__xludf.DUMMYFUNCTION("""COMPUTED_VALUE"""),17)</f>
        <v>17</v>
      </c>
      <c r="C991" s="1" t="str">
        <f ca="1">IFERROR(__xludf.DUMMYFUNCTION("""COMPUTED_VALUE"""),"Male")</f>
        <v>Male</v>
      </c>
      <c r="D991" s="1"/>
      <c r="E991" s="1" t="str">
        <f ca="1">IFERROR(__xludf.DUMMYFUNCTION("""COMPUTED_VALUE"""),"Student")</f>
        <v>Student</v>
      </c>
      <c r="F991" s="1" t="str">
        <f ca="1">IFERROR(__xludf.DUMMYFUNCTION("""COMPUTED_VALUE"""),"Fled/Apprehended")</f>
        <v>Fled/Apprehended</v>
      </c>
      <c r="G991" s="1" t="str">
        <f ca="1">IFERROR(__xludf.DUMMYFUNCTION("""COMPUTED_VALUE"""),"No")</f>
        <v>No</v>
      </c>
      <c r="H991" s="1" t="str">
        <f ca="1">IFERROR(__xludf.DUMMYFUNCTION("""COMPUTED_VALUE"""),"None")</f>
        <v>None</v>
      </c>
    </row>
    <row r="992" spans="1:8" ht="12.5">
      <c r="A992" s="1" t="str">
        <f ca="1">IFERROR(__xludf.DUMMYFUNCTION("""COMPUTED_VALUE"""),"20210902CASAL")</f>
        <v>20210902CASAL</v>
      </c>
      <c r="B992" s="1">
        <f ca="1">IFERROR(__xludf.DUMMYFUNCTION("""COMPUTED_VALUE"""),17)</f>
        <v>17</v>
      </c>
      <c r="C992" s="1" t="str">
        <f ca="1">IFERROR(__xludf.DUMMYFUNCTION("""COMPUTED_VALUE"""),"Male")</f>
        <v>Male</v>
      </c>
      <c r="D992" s="1"/>
      <c r="E992" s="1" t="str">
        <f ca="1">IFERROR(__xludf.DUMMYFUNCTION("""COMPUTED_VALUE"""),"Student")</f>
        <v>Student</v>
      </c>
      <c r="F992" s="1" t="str">
        <f ca="1">IFERROR(__xludf.DUMMYFUNCTION("""COMPUTED_VALUE"""),"Fled/Apprehended")</f>
        <v>Fled/Apprehended</v>
      </c>
      <c r="G992" s="1" t="str">
        <f ca="1">IFERROR(__xludf.DUMMYFUNCTION("""COMPUTED_VALUE"""),"No")</f>
        <v>No</v>
      </c>
      <c r="H992" s="1" t="str">
        <f ca="1">IFERROR(__xludf.DUMMYFUNCTION("""COMPUTED_VALUE"""),"None")</f>
        <v>None</v>
      </c>
    </row>
    <row r="993" spans="1:8" ht="12.5">
      <c r="A993" s="1" t="str">
        <f ca="1">IFERROR(__xludf.DUMMYFUNCTION("""COMPUTED_VALUE"""),"20210902ARLIL")</f>
        <v>20210902ARLIL</v>
      </c>
      <c r="B993" s="1">
        <f ca="1">IFERROR(__xludf.DUMMYFUNCTION("""COMPUTED_VALUE"""),36)</f>
        <v>36</v>
      </c>
      <c r="C993" s="1" t="str">
        <f ca="1">IFERROR(__xludf.DUMMYFUNCTION("""COMPUTED_VALUE"""),"Female")</f>
        <v>Female</v>
      </c>
      <c r="D993" s="1" t="str">
        <f ca="1">IFERROR(__xludf.DUMMYFUNCTION("""COMPUTED_VALUE"""),"Black")</f>
        <v>Black</v>
      </c>
      <c r="E993" s="1" t="str">
        <f ca="1">IFERROR(__xludf.DUMMYFUNCTION("""COMPUTED_VALUE"""),"Parent")</f>
        <v>Parent</v>
      </c>
      <c r="F993" s="1" t="str">
        <f ca="1">IFERROR(__xludf.DUMMYFUNCTION("""COMPUTED_VALUE"""),"Apprehended/Killed by SRO")</f>
        <v>Apprehended/Killed by SRO</v>
      </c>
      <c r="G993" s="1" t="str">
        <f ca="1">IFERROR(__xludf.DUMMYFUNCTION("""COMPUTED_VALUE"""),"No")</f>
        <v>No</v>
      </c>
      <c r="H993" s="1" t="str">
        <f ca="1">IFERROR(__xludf.DUMMYFUNCTION("""COMPUTED_VALUE"""),"None")</f>
        <v>None</v>
      </c>
    </row>
    <row r="994" spans="1:8" ht="12.5">
      <c r="A994" s="1" t="str">
        <f ca="1">IFERROR(__xludf.DUMMYFUNCTION("""COMPUTED_VALUE"""),"20210901NCMTW")</f>
        <v>20210901NCMTW</v>
      </c>
      <c r="B994" s="1">
        <f ca="1">IFERROR(__xludf.DUMMYFUNCTION("""COMPUTED_VALUE"""),15)</f>
        <v>15</v>
      </c>
      <c r="C994" s="1" t="str">
        <f ca="1">IFERROR(__xludf.DUMMYFUNCTION("""COMPUTED_VALUE"""),"Male")</f>
        <v>Male</v>
      </c>
      <c r="D994" s="1" t="str">
        <f ca="1">IFERROR(__xludf.DUMMYFUNCTION("""COMPUTED_VALUE"""),"Black")</f>
        <v>Black</v>
      </c>
      <c r="E994" s="1" t="str">
        <f ca="1">IFERROR(__xludf.DUMMYFUNCTION("""COMPUTED_VALUE"""),"Student")</f>
        <v>Student</v>
      </c>
      <c r="F994" s="1" t="str">
        <f ca="1">IFERROR(__xludf.DUMMYFUNCTION("""COMPUTED_VALUE"""),"Fled/Apprehended")</f>
        <v>Fled/Apprehended</v>
      </c>
      <c r="G994" s="1" t="str">
        <f ca="1">IFERROR(__xludf.DUMMYFUNCTION("""COMPUTED_VALUE"""),"No")</f>
        <v>No</v>
      </c>
      <c r="H994" s="1" t="str">
        <f ca="1">IFERROR(__xludf.DUMMYFUNCTION("""COMPUTED_VALUE"""),"None")</f>
        <v>None</v>
      </c>
    </row>
    <row r="995" spans="1:8" ht="12.5">
      <c r="A995" s="1" t="str">
        <f ca="1">IFERROR(__xludf.DUMMYFUNCTION("""COMPUTED_VALUE"""),"20210901ILFRC")</f>
        <v>20210901ILFRC</v>
      </c>
      <c r="B995" s="1"/>
      <c r="C995" s="1"/>
      <c r="D995" s="1"/>
      <c r="E995" s="1" t="str">
        <f ca="1">IFERROR(__xludf.DUMMYFUNCTION("""COMPUTED_VALUE"""),"No Relation")</f>
        <v>No Relation</v>
      </c>
      <c r="F995" s="1" t="str">
        <f ca="1">IFERROR(__xludf.DUMMYFUNCTION("""COMPUTED_VALUE"""),"Fled/Escaped")</f>
        <v>Fled/Escaped</v>
      </c>
      <c r="G995" s="1" t="str">
        <f ca="1">IFERROR(__xludf.DUMMYFUNCTION("""COMPUTED_VALUE"""),"No")</f>
        <v>No</v>
      </c>
      <c r="H995" s="1" t="str">
        <f ca="1">IFERROR(__xludf.DUMMYFUNCTION("""COMPUTED_VALUE"""),"None")</f>
        <v>None</v>
      </c>
    </row>
    <row r="996" spans="1:8" ht="12.5">
      <c r="A996" s="1" t="str">
        <f ca="1">IFERROR(__xludf.DUMMYFUNCTION("""COMPUTED_VALUE"""),"20210830NJWEN")</f>
        <v>20210830NJWEN</v>
      </c>
      <c r="B996" s="1"/>
      <c r="C996" s="1"/>
      <c r="D996" s="1"/>
      <c r="E996" s="1"/>
      <c r="F996" s="1" t="str">
        <f ca="1">IFERROR(__xludf.DUMMYFUNCTION("""COMPUTED_VALUE"""),"Fled/Escaped")</f>
        <v>Fled/Escaped</v>
      </c>
      <c r="G996" s="1" t="str">
        <f ca="1">IFERROR(__xludf.DUMMYFUNCTION("""COMPUTED_VALUE"""),"No")</f>
        <v>No</v>
      </c>
      <c r="H996" s="1" t="str">
        <f ca="1">IFERROR(__xludf.DUMMYFUNCTION("""COMPUTED_VALUE"""),"None")</f>
        <v>None</v>
      </c>
    </row>
    <row r="997" spans="1:8" ht="12.5">
      <c r="A997" s="1" t="str">
        <f ca="1">IFERROR(__xludf.DUMMYFUNCTION("""COMPUTED_VALUE"""),"20210830NCNEW")</f>
        <v>20210830NCNEW</v>
      </c>
      <c r="B997" s="1">
        <f ca="1">IFERROR(__xludf.DUMMYFUNCTION("""COMPUTED_VALUE"""),15)</f>
        <v>15</v>
      </c>
      <c r="C997" s="1" t="str">
        <f ca="1">IFERROR(__xludf.DUMMYFUNCTION("""COMPUTED_VALUE"""),"Male")</f>
        <v>Male</v>
      </c>
      <c r="D997" s="1" t="str">
        <f ca="1">IFERROR(__xludf.DUMMYFUNCTION("""COMPUTED_VALUE"""),"Black")</f>
        <v>Black</v>
      </c>
      <c r="E997" s="1" t="str">
        <f ca="1">IFERROR(__xludf.DUMMYFUNCTION("""COMPUTED_VALUE"""),"Student")</f>
        <v>Student</v>
      </c>
      <c r="F997" s="1" t="str">
        <f ca="1">IFERROR(__xludf.DUMMYFUNCTION("""COMPUTED_VALUE"""),"Fled/Apprehended")</f>
        <v>Fled/Apprehended</v>
      </c>
      <c r="G997" s="1" t="str">
        <f ca="1">IFERROR(__xludf.DUMMYFUNCTION("""COMPUTED_VALUE"""),"No")</f>
        <v>No</v>
      </c>
      <c r="H997" s="1" t="str">
        <f ca="1">IFERROR(__xludf.DUMMYFUNCTION("""COMPUTED_VALUE"""),"None")</f>
        <v>None</v>
      </c>
    </row>
    <row r="998" spans="1:8" ht="12.5">
      <c r="A998" s="1" t="str">
        <f ca="1">IFERROR(__xludf.DUMMYFUNCTION("""COMPUTED_VALUE"""),"20210830MDNEO")</f>
        <v>20210830MDNEO</v>
      </c>
      <c r="B998" s="1">
        <f ca="1">IFERROR(__xludf.DUMMYFUNCTION("""COMPUTED_VALUE"""),34)</f>
        <v>34</v>
      </c>
      <c r="C998" s="1" t="str">
        <f ca="1">IFERROR(__xludf.DUMMYFUNCTION("""COMPUTED_VALUE"""),"Male")</f>
        <v>Male</v>
      </c>
      <c r="D998" s="1"/>
      <c r="E998" s="1" t="str">
        <f ca="1">IFERROR(__xludf.DUMMYFUNCTION("""COMPUTED_VALUE"""),"No Relation")</f>
        <v>No Relation</v>
      </c>
      <c r="F998" s="1" t="str">
        <f ca="1">IFERROR(__xludf.DUMMYFUNCTION("""COMPUTED_VALUE"""),"Fled/Apprehended")</f>
        <v>Fled/Apprehended</v>
      </c>
      <c r="G998" s="1" t="str">
        <f ca="1">IFERROR(__xludf.DUMMYFUNCTION("""COMPUTED_VALUE"""),"No")</f>
        <v>No</v>
      </c>
      <c r="H998" s="1" t="str">
        <f ca="1">IFERROR(__xludf.DUMMYFUNCTION("""COMPUTED_VALUE"""),"None")</f>
        <v>None</v>
      </c>
    </row>
    <row r="999" spans="1:8" ht="12.5">
      <c r="A999" s="1" t="str">
        <f ca="1">IFERROR(__xludf.DUMMYFUNCTION("""COMPUTED_VALUE"""),"20210830FLOKW")</f>
        <v>20210830FLOKW</v>
      </c>
      <c r="B999" s="1" t="str">
        <f ca="1">IFERROR(__xludf.DUMMYFUNCTION("""COMPUTED_VALUE"""),"Teen")</f>
        <v>Teen</v>
      </c>
      <c r="C999" s="1" t="str">
        <f ca="1">IFERROR(__xludf.DUMMYFUNCTION("""COMPUTED_VALUE"""),"Male")</f>
        <v>Male</v>
      </c>
      <c r="D999" s="1"/>
      <c r="E999" s="1" t="str">
        <f ca="1">IFERROR(__xludf.DUMMYFUNCTION("""COMPUTED_VALUE"""),"Student")</f>
        <v>Student</v>
      </c>
      <c r="F999" s="1" t="str">
        <f ca="1">IFERROR(__xludf.DUMMYFUNCTION("""COMPUTED_VALUE"""),"Fled/Apprehended")</f>
        <v>Fled/Apprehended</v>
      </c>
      <c r="G999" s="1" t="str">
        <f ca="1">IFERROR(__xludf.DUMMYFUNCTION("""COMPUTED_VALUE"""),"No")</f>
        <v>No</v>
      </c>
      <c r="H999" s="1" t="str">
        <f ca="1">IFERROR(__xludf.DUMMYFUNCTION("""COMPUTED_VALUE"""),"None")</f>
        <v>None</v>
      </c>
    </row>
    <row r="1000" spans="1:8" ht="12.5">
      <c r="A1000" s="1" t="str">
        <f ca="1">IFERROR(__xludf.DUMMYFUNCTION("""COMPUTED_VALUE"""),"20210828CASAS")</f>
        <v>20210828CASAS</v>
      </c>
      <c r="B1000" s="1"/>
      <c r="C1000" s="1"/>
      <c r="D1000" s="1"/>
      <c r="E1000" s="1"/>
      <c r="F1000" s="1" t="str">
        <f ca="1">IFERROR(__xludf.DUMMYFUNCTION("""COMPUTED_VALUE"""),"Fled/Escaped")</f>
        <v>Fled/Escaped</v>
      </c>
      <c r="G1000" s="1" t="str">
        <f ca="1">IFERROR(__xludf.DUMMYFUNCTION("""COMPUTED_VALUE"""),"No")</f>
        <v>No</v>
      </c>
      <c r="H1000" s="1" t="str">
        <f ca="1">IFERROR(__xludf.DUMMYFUNCTION("""COMPUTED_VALUE"""),"None")</f>
        <v>None</v>
      </c>
    </row>
    <row r="1001" spans="1:8" ht="12.5">
      <c r="A1001" s="1" t="str">
        <f ca="1">IFERROR(__xludf.DUMMYFUNCTION("""COMPUTED_VALUE"""),"20210827VTEDB")</f>
        <v>20210827VTEDB</v>
      </c>
      <c r="B1001" s="1"/>
      <c r="C1001" s="1"/>
      <c r="D1001" s="1"/>
      <c r="E1001" s="1"/>
      <c r="F1001" s="1" t="str">
        <f ca="1">IFERROR(__xludf.DUMMYFUNCTION("""COMPUTED_VALUE"""),"Fled/Escaped")</f>
        <v>Fled/Escaped</v>
      </c>
      <c r="G1001" s="1" t="str">
        <f ca="1">IFERROR(__xludf.DUMMYFUNCTION("""COMPUTED_VALUE"""),"No")</f>
        <v>No</v>
      </c>
      <c r="H1001" s="1" t="str">
        <f ca="1">IFERROR(__xludf.DUMMYFUNCTION("""COMPUTED_VALUE"""),"None")</f>
        <v>None</v>
      </c>
    </row>
    <row r="1002" spans="1:8" ht="12.5">
      <c r="A1002" s="1" t="str">
        <f ca="1">IFERROR(__xludf.DUMMYFUNCTION("""COMPUTED_VALUE"""),"20210827VAFRW")</f>
        <v>20210827VAFRW</v>
      </c>
      <c r="B1002" s="1">
        <f ca="1">IFERROR(__xludf.DUMMYFUNCTION("""COMPUTED_VALUE"""),17)</f>
        <v>17</v>
      </c>
      <c r="C1002" s="1" t="str">
        <f ca="1">IFERROR(__xludf.DUMMYFUNCTION("""COMPUTED_VALUE"""),"Male")</f>
        <v>Male</v>
      </c>
      <c r="D1002" s="1"/>
      <c r="E1002" s="1" t="str">
        <f ca="1">IFERROR(__xludf.DUMMYFUNCTION("""COMPUTED_VALUE"""),"Student")</f>
        <v>Student</v>
      </c>
      <c r="F1002" s="1" t="str">
        <f ca="1">IFERROR(__xludf.DUMMYFUNCTION("""COMPUTED_VALUE"""),"Fled/Apprehended")</f>
        <v>Fled/Apprehended</v>
      </c>
      <c r="G1002" s="1" t="str">
        <f ca="1">IFERROR(__xludf.DUMMYFUNCTION("""COMPUTED_VALUE"""),"No")</f>
        <v>No</v>
      </c>
      <c r="H1002" s="1" t="str">
        <f ca="1">IFERROR(__xludf.DUMMYFUNCTION("""COMPUTED_VALUE"""),"None")</f>
        <v>None</v>
      </c>
    </row>
    <row r="1003" spans="1:8" ht="12.5">
      <c r="A1003" s="1" t="str">
        <f ca="1">IFERROR(__xludf.DUMMYFUNCTION("""COMPUTED_VALUE"""),"20210827PAACS")</f>
        <v>20210827PAACS</v>
      </c>
      <c r="B1003" s="1"/>
      <c r="C1003" s="1"/>
      <c r="D1003" s="1"/>
      <c r="E1003" s="1" t="str">
        <f ca="1">IFERROR(__xludf.DUMMYFUNCTION("""COMPUTED_VALUE"""),"Police Officer/SRO")</f>
        <v>Police Officer/SRO</v>
      </c>
      <c r="F1003" s="1" t="str">
        <f ca="1">IFERROR(__xludf.DUMMYFUNCTION("""COMPUTED_VALUE"""),"Law Enforcement")</f>
        <v>Law Enforcement</v>
      </c>
      <c r="G1003" s="1"/>
      <c r="H1003" s="1"/>
    </row>
    <row r="1004" spans="1:8" ht="12.5">
      <c r="A1004" s="1" t="str">
        <f ca="1">IFERROR(__xludf.DUMMYFUNCTION("""COMPUTED_VALUE"""),"20210827PAACS")</f>
        <v>20210827PAACS</v>
      </c>
      <c r="B1004" s="1"/>
      <c r="C1004" s="1"/>
      <c r="D1004" s="1"/>
      <c r="E1004" s="1" t="str">
        <f ca="1">IFERROR(__xludf.DUMMYFUNCTION("""COMPUTED_VALUE"""),"Police Officer/SRO")</f>
        <v>Police Officer/SRO</v>
      </c>
      <c r="F1004" s="1" t="str">
        <f ca="1">IFERROR(__xludf.DUMMYFUNCTION("""COMPUTED_VALUE"""),"Law Enforcement")</f>
        <v>Law Enforcement</v>
      </c>
      <c r="G1004" s="1"/>
      <c r="H1004" s="1"/>
    </row>
    <row r="1005" spans="1:8" ht="12.5">
      <c r="A1005" s="1" t="str">
        <f ca="1">IFERROR(__xludf.DUMMYFUNCTION("""COMPUTED_VALUE"""),"20210827PAACS")</f>
        <v>20210827PAACS</v>
      </c>
      <c r="B1005" s="1"/>
      <c r="C1005" s="1"/>
      <c r="D1005" s="1"/>
      <c r="E1005" s="1" t="str">
        <f ca="1">IFERROR(__xludf.DUMMYFUNCTION("""COMPUTED_VALUE"""),"Police Officer/SRO")</f>
        <v>Police Officer/SRO</v>
      </c>
      <c r="F1005" s="1" t="str">
        <f ca="1">IFERROR(__xludf.DUMMYFUNCTION("""COMPUTED_VALUE"""),"Law Enforcement")</f>
        <v>Law Enforcement</v>
      </c>
      <c r="G1005" s="1"/>
      <c r="H1005" s="1"/>
    </row>
    <row r="1006" spans="1:8" ht="12.5">
      <c r="A1006" s="1" t="str">
        <f ca="1">IFERROR(__xludf.DUMMYFUNCTION("""COMPUTED_VALUE"""),"20210827PAACS")</f>
        <v>20210827PAACS</v>
      </c>
      <c r="B1006" s="1">
        <f ca="1">IFERROR(__xludf.DUMMYFUNCTION("""COMPUTED_VALUE"""),16)</f>
        <v>16</v>
      </c>
      <c r="C1006" s="1" t="str">
        <f ca="1">IFERROR(__xludf.DUMMYFUNCTION("""COMPUTED_VALUE"""),"Male")</f>
        <v>Male</v>
      </c>
      <c r="D1006" s="1"/>
      <c r="E1006" s="1" t="str">
        <f ca="1">IFERROR(__xludf.DUMMYFUNCTION("""COMPUTED_VALUE"""),"Student")</f>
        <v>Student</v>
      </c>
      <c r="F1006" s="1" t="str">
        <f ca="1">IFERROR(__xludf.DUMMYFUNCTION("""COMPUTED_VALUE"""),"Fled/Apprehended")</f>
        <v>Fled/Apprehended</v>
      </c>
      <c r="G1006" s="1" t="str">
        <f ca="1">IFERROR(__xludf.DUMMYFUNCTION("""COMPUTED_VALUE"""),"No")</f>
        <v>No</v>
      </c>
      <c r="H1006" s="1" t="str">
        <f ca="1">IFERROR(__xludf.DUMMYFUNCTION("""COMPUTED_VALUE"""),"None")</f>
        <v>None</v>
      </c>
    </row>
    <row r="1007" spans="1:8" ht="12.5">
      <c r="A1007" s="1" t="str">
        <f ca="1">IFERROR(__xludf.DUMMYFUNCTION("""COMPUTED_VALUE"""),"20210827PAACS")</f>
        <v>20210827PAACS</v>
      </c>
      <c r="B1007" s="1">
        <f ca="1">IFERROR(__xludf.DUMMYFUNCTION("""COMPUTED_VALUE"""),18)</f>
        <v>18</v>
      </c>
      <c r="C1007" s="1" t="str">
        <f ca="1">IFERROR(__xludf.DUMMYFUNCTION("""COMPUTED_VALUE"""),"Male")</f>
        <v>Male</v>
      </c>
      <c r="D1007" s="1"/>
      <c r="E1007" s="1"/>
      <c r="F1007" s="1" t="str">
        <f ca="1">IFERROR(__xludf.DUMMYFUNCTION("""COMPUTED_VALUE"""),"Fled/Escaped")</f>
        <v>Fled/Escaped</v>
      </c>
      <c r="G1007" s="1" t="str">
        <f ca="1">IFERROR(__xludf.DUMMYFUNCTION("""COMPUTED_VALUE"""),"No")</f>
        <v>No</v>
      </c>
      <c r="H1007" s="1" t="str">
        <f ca="1">IFERROR(__xludf.DUMMYFUNCTION("""COMPUTED_VALUE"""),"None")</f>
        <v>None</v>
      </c>
    </row>
    <row r="1008" spans="1:8" ht="12.5">
      <c r="A1008" s="1" t="str">
        <f ca="1">IFERROR(__xludf.DUMMYFUNCTION("""COMPUTED_VALUE"""),"20210827KYAPO")</f>
        <v>20210827KYAPO</v>
      </c>
      <c r="B1008" s="1" t="str">
        <f ca="1">IFERROR(__xludf.DUMMYFUNCTION("""COMPUTED_VALUE"""),"Adult")</f>
        <v>Adult</v>
      </c>
      <c r="C1008" s="1" t="str">
        <f ca="1">IFERROR(__xludf.DUMMYFUNCTION("""COMPUTED_VALUE"""),"Male")</f>
        <v>Male</v>
      </c>
      <c r="D1008" s="1"/>
      <c r="E1008" s="1" t="str">
        <f ca="1">IFERROR(__xludf.DUMMYFUNCTION("""COMPUTED_VALUE"""),"Nonstudent Using Athletic Facilities/Attending Game")</f>
        <v>Nonstudent Using Athletic Facilities/Attending Game</v>
      </c>
      <c r="F1008" s="1" t="str">
        <f ca="1">IFERROR(__xludf.DUMMYFUNCTION("""COMPUTED_VALUE"""),"Apprehended/Killed by LE")</f>
        <v>Apprehended/Killed by LE</v>
      </c>
      <c r="G1008" s="1" t="str">
        <f ca="1">IFERROR(__xludf.DUMMYFUNCTION("""COMPUTED_VALUE"""),"No")</f>
        <v>No</v>
      </c>
      <c r="H1008" s="1" t="str">
        <f ca="1">IFERROR(__xludf.DUMMYFUNCTION("""COMPUTED_VALUE"""),"None")</f>
        <v>None</v>
      </c>
    </row>
    <row r="1009" spans="1:8" ht="12.5">
      <c r="A1009" s="1" t="str">
        <f ca="1">IFERROR(__xludf.DUMMYFUNCTION("""COMPUTED_VALUE"""),"20210827INHAH")</f>
        <v>20210827INHAH</v>
      </c>
      <c r="B1009" s="1">
        <f ca="1">IFERROR(__xludf.DUMMYFUNCTION("""COMPUTED_VALUE"""),17)</f>
        <v>17</v>
      </c>
      <c r="C1009" s="1" t="str">
        <f ca="1">IFERROR(__xludf.DUMMYFUNCTION("""COMPUTED_VALUE"""),"Male")</f>
        <v>Male</v>
      </c>
      <c r="D1009" s="1" t="str">
        <f ca="1">IFERROR(__xludf.DUMMYFUNCTION("""COMPUTED_VALUE"""),"Black")</f>
        <v>Black</v>
      </c>
      <c r="E1009" s="1" t="str">
        <f ca="1">IFERROR(__xludf.DUMMYFUNCTION("""COMPUTED_VALUE"""),"Former Student")</f>
        <v>Former Student</v>
      </c>
      <c r="F1009" s="1" t="str">
        <f ca="1">IFERROR(__xludf.DUMMYFUNCTION("""COMPUTED_VALUE"""),"Fled/Apprehended")</f>
        <v>Fled/Apprehended</v>
      </c>
      <c r="G1009" s="1" t="str">
        <f ca="1">IFERROR(__xludf.DUMMYFUNCTION("""COMPUTED_VALUE"""),"No")</f>
        <v>No</v>
      </c>
      <c r="H1009" s="1" t="str">
        <f ca="1">IFERROR(__xludf.DUMMYFUNCTION("""COMPUTED_VALUE"""),"None")</f>
        <v>None</v>
      </c>
    </row>
    <row r="1010" spans="1:8" ht="12.5">
      <c r="A1010" s="1" t="str">
        <f ca="1">IFERROR(__xludf.DUMMYFUNCTION("""COMPUTED_VALUE"""),"20210826WAAKS")</f>
        <v>20210826WAAKS</v>
      </c>
      <c r="B1010" s="1">
        <f ca="1">IFERROR(__xludf.DUMMYFUNCTION("""COMPUTED_VALUE"""),14)</f>
        <v>14</v>
      </c>
      <c r="C1010" s="1" t="str">
        <f ca="1">IFERROR(__xludf.DUMMYFUNCTION("""COMPUTED_VALUE"""),"Male")</f>
        <v>Male</v>
      </c>
      <c r="D1010" s="1"/>
      <c r="E1010" s="1" t="str">
        <f ca="1">IFERROR(__xludf.DUMMYFUNCTION("""COMPUTED_VALUE"""),"Former Student")</f>
        <v>Former Student</v>
      </c>
      <c r="F1010" s="1" t="str">
        <f ca="1">IFERROR(__xludf.DUMMYFUNCTION("""COMPUTED_VALUE"""),"Fled/Apprehended")</f>
        <v>Fled/Apprehended</v>
      </c>
      <c r="G1010" s="1" t="str">
        <f ca="1">IFERROR(__xludf.DUMMYFUNCTION("""COMPUTED_VALUE"""),"No")</f>
        <v>No</v>
      </c>
      <c r="H1010" s="1" t="str">
        <f ca="1">IFERROR(__xludf.DUMMYFUNCTION("""COMPUTED_VALUE"""),"None")</f>
        <v>None</v>
      </c>
    </row>
    <row r="1011" spans="1:8" ht="12.5">
      <c r="A1011" s="1" t="str">
        <f ca="1">IFERROR(__xludf.DUMMYFUNCTION("""COMPUTED_VALUE"""),"20210826WAAKS")</f>
        <v>20210826WAAKS</v>
      </c>
      <c r="B1011" s="1">
        <f ca="1">IFERROR(__xludf.DUMMYFUNCTION("""COMPUTED_VALUE"""),17)</f>
        <v>17</v>
      </c>
      <c r="C1011" s="1" t="str">
        <f ca="1">IFERROR(__xludf.DUMMYFUNCTION("""COMPUTED_VALUE"""),"Male")</f>
        <v>Male</v>
      </c>
      <c r="D1011" s="1"/>
      <c r="E1011" s="1" t="str">
        <f ca="1">IFERROR(__xludf.DUMMYFUNCTION("""COMPUTED_VALUE"""),"Former Student")</f>
        <v>Former Student</v>
      </c>
      <c r="F1011" s="1" t="str">
        <f ca="1">IFERROR(__xludf.DUMMYFUNCTION("""COMPUTED_VALUE"""),"Apprehended/Killed by LE")</f>
        <v>Apprehended/Killed by LE</v>
      </c>
      <c r="G1011" s="1" t="str">
        <f ca="1">IFERROR(__xludf.DUMMYFUNCTION("""COMPUTED_VALUE"""),"No")</f>
        <v>No</v>
      </c>
      <c r="H1011" s="1" t="str">
        <f ca="1">IFERROR(__xludf.DUMMYFUNCTION("""COMPUTED_VALUE"""),"Wounded")</f>
        <v>Wounded</v>
      </c>
    </row>
    <row r="1012" spans="1:8" ht="12.5">
      <c r="A1012" s="1" t="str">
        <f ca="1">IFERROR(__xludf.DUMMYFUNCTION("""COMPUTED_VALUE"""),"20210826OHNOT")</f>
        <v>20210826OHNOT</v>
      </c>
      <c r="B1012" s="1" t="str">
        <f ca="1">IFERROR(__xludf.DUMMYFUNCTION("""COMPUTED_VALUE"""),"Adult")</f>
        <v>Adult</v>
      </c>
      <c r="C1012" s="1" t="str">
        <f ca="1">IFERROR(__xludf.DUMMYFUNCTION("""COMPUTED_VALUE"""),"Male")</f>
        <v>Male</v>
      </c>
      <c r="D1012" s="1"/>
      <c r="E1012" s="1" t="str">
        <f ca="1">IFERROR(__xludf.DUMMYFUNCTION("""COMPUTED_VALUE"""),"Nonstudent Using Athletic Facilities/Attending Game")</f>
        <v>Nonstudent Using Athletic Facilities/Attending Game</v>
      </c>
      <c r="F1012" s="1" t="str">
        <f ca="1">IFERROR(__xludf.DUMMYFUNCTION("""COMPUTED_VALUE"""),"Fled/Escaped")</f>
        <v>Fled/Escaped</v>
      </c>
      <c r="G1012" s="1" t="str">
        <f ca="1">IFERROR(__xludf.DUMMYFUNCTION("""COMPUTED_VALUE"""),"No")</f>
        <v>No</v>
      </c>
      <c r="H1012" s="1" t="str">
        <f ca="1">IFERROR(__xludf.DUMMYFUNCTION("""COMPUTED_VALUE"""),"None")</f>
        <v>None</v>
      </c>
    </row>
    <row r="1013" spans="1:8" ht="12.5">
      <c r="A1013" s="1" t="str">
        <f ca="1">IFERROR(__xludf.DUMMYFUNCTION("""COMPUTED_VALUE"""),"20210826NYHAH")</f>
        <v>20210826NYHAH</v>
      </c>
      <c r="B1013" s="1">
        <f ca="1">IFERROR(__xludf.DUMMYFUNCTION("""COMPUTED_VALUE"""),27)</f>
        <v>27</v>
      </c>
      <c r="C1013" s="1" t="str">
        <f ca="1">IFERROR(__xludf.DUMMYFUNCTION("""COMPUTED_VALUE"""),"Male")</f>
        <v>Male</v>
      </c>
      <c r="D1013" s="1"/>
      <c r="E1013" s="1"/>
      <c r="F1013" s="1" t="str">
        <f ca="1">IFERROR(__xludf.DUMMYFUNCTION("""COMPUTED_VALUE"""),"Fled/Apprehended")</f>
        <v>Fled/Apprehended</v>
      </c>
      <c r="G1013" s="1" t="str">
        <f ca="1">IFERROR(__xludf.DUMMYFUNCTION("""COMPUTED_VALUE"""),"No")</f>
        <v>No</v>
      </c>
      <c r="H1013" s="1" t="str">
        <f ca="1">IFERROR(__xludf.DUMMYFUNCTION("""COMPUTED_VALUE"""),"None")</f>
        <v>None</v>
      </c>
    </row>
    <row r="1014" spans="1:8" ht="12.5">
      <c r="A1014" s="1" t="str">
        <f ca="1">IFERROR(__xludf.DUMMYFUNCTION("""COMPUTED_VALUE"""),"20210822ILWER")</f>
        <v>20210822ILWER</v>
      </c>
      <c r="B1014" s="1">
        <f ca="1">IFERROR(__xludf.DUMMYFUNCTION("""COMPUTED_VALUE"""),17)</f>
        <v>17</v>
      </c>
      <c r="C1014" s="1" t="str">
        <f ca="1">IFERROR(__xludf.DUMMYFUNCTION("""COMPUTED_VALUE"""),"Male")</f>
        <v>Male</v>
      </c>
      <c r="D1014" s="1"/>
      <c r="E1014" s="1" t="str">
        <f ca="1">IFERROR(__xludf.DUMMYFUNCTION("""COMPUTED_VALUE"""),"No Relation")</f>
        <v>No Relation</v>
      </c>
      <c r="F1014" s="1" t="str">
        <f ca="1">IFERROR(__xludf.DUMMYFUNCTION("""COMPUTED_VALUE"""),"Fled/Apprehended")</f>
        <v>Fled/Apprehended</v>
      </c>
      <c r="G1014" s="1" t="str">
        <f ca="1">IFERROR(__xludf.DUMMYFUNCTION("""COMPUTED_VALUE"""),"No")</f>
        <v>No</v>
      </c>
      <c r="H1014" s="1" t="str">
        <f ca="1">IFERROR(__xludf.DUMMYFUNCTION("""COMPUTED_VALUE"""),"None")</f>
        <v>None</v>
      </c>
    </row>
    <row r="1015" spans="1:8" ht="12.5">
      <c r="A1015" s="1" t="str">
        <f ca="1">IFERROR(__xludf.DUMMYFUNCTION("""COMPUTED_VALUE"""),"20210820NEMIO")</f>
        <v>20210820NEMIO</v>
      </c>
      <c r="B1015" s="1" t="str">
        <f ca="1">IFERROR(__xludf.DUMMYFUNCTION("""COMPUTED_VALUE"""),"Adult")</f>
        <v>Adult</v>
      </c>
      <c r="C1015" s="1"/>
      <c r="D1015" s="1"/>
      <c r="E1015" s="1" t="str">
        <f ca="1">IFERROR(__xludf.DUMMYFUNCTION("""COMPUTED_VALUE"""),"No Relation")</f>
        <v>No Relation</v>
      </c>
      <c r="F1015" s="1" t="str">
        <f ca="1">IFERROR(__xludf.DUMMYFUNCTION("""COMPUTED_VALUE"""),"Fled/Escaped")</f>
        <v>Fled/Escaped</v>
      </c>
      <c r="G1015" s="1" t="str">
        <f ca="1">IFERROR(__xludf.DUMMYFUNCTION("""COMPUTED_VALUE"""),"No")</f>
        <v>No</v>
      </c>
      <c r="H1015" s="1" t="str">
        <f ca="1">IFERROR(__xludf.DUMMYFUNCTION("""COMPUTED_VALUE"""),"None")</f>
        <v>None</v>
      </c>
    </row>
    <row r="1016" spans="1:8" ht="12.5">
      <c r="A1016" s="1" t="str">
        <f ca="1">IFERROR(__xludf.DUMMYFUNCTION("""COMPUTED_VALUE"""),"20210820CACEF")</f>
        <v>20210820CACEF</v>
      </c>
      <c r="B1016" s="1">
        <f ca="1">IFERROR(__xludf.DUMMYFUNCTION("""COMPUTED_VALUE"""),19)</f>
        <v>19</v>
      </c>
      <c r="C1016" s="1" t="str">
        <f ca="1">IFERROR(__xludf.DUMMYFUNCTION("""COMPUTED_VALUE"""),"Male")</f>
        <v>Male</v>
      </c>
      <c r="D1016" s="1"/>
      <c r="E1016" s="1" t="str">
        <f ca="1">IFERROR(__xludf.DUMMYFUNCTION("""COMPUTED_VALUE"""),"Nonstudent Using Athletic Facilities/Attending Game")</f>
        <v>Nonstudent Using Athletic Facilities/Attending Game</v>
      </c>
      <c r="F1016" s="1" t="str">
        <f ca="1">IFERROR(__xludf.DUMMYFUNCTION("""COMPUTED_VALUE"""),"Apprehended/Killed by LE")</f>
        <v>Apprehended/Killed by LE</v>
      </c>
      <c r="G1016" s="1" t="str">
        <f ca="1">IFERROR(__xludf.DUMMYFUNCTION("""COMPUTED_VALUE"""),"No")</f>
        <v>No</v>
      </c>
      <c r="H1016" s="1" t="str">
        <f ca="1">IFERROR(__xludf.DUMMYFUNCTION("""COMPUTED_VALUE"""),"None")</f>
        <v>None</v>
      </c>
    </row>
    <row r="1017" spans="1:8" ht="12.5">
      <c r="A1017" s="1" t="str">
        <f ca="1">IFERROR(__xludf.DUMMYFUNCTION("""COMPUTED_VALUE"""),"20210818SCORO")</f>
        <v>20210818SCORO</v>
      </c>
      <c r="B1017" s="1">
        <f ca="1">IFERROR(__xludf.DUMMYFUNCTION("""COMPUTED_VALUE"""),14)</f>
        <v>14</v>
      </c>
      <c r="C1017" s="1" t="str">
        <f ca="1">IFERROR(__xludf.DUMMYFUNCTION("""COMPUTED_VALUE"""),"Male")</f>
        <v>Male</v>
      </c>
      <c r="D1017" s="1"/>
      <c r="E1017" s="1" t="str">
        <f ca="1">IFERROR(__xludf.DUMMYFUNCTION("""COMPUTED_VALUE"""),"Student")</f>
        <v>Student</v>
      </c>
      <c r="F1017" s="1" t="str">
        <f ca="1">IFERROR(__xludf.DUMMYFUNCTION("""COMPUTED_VALUE"""),"Fled/Apprehended")</f>
        <v>Fled/Apprehended</v>
      </c>
      <c r="G1017" s="1" t="str">
        <f ca="1">IFERROR(__xludf.DUMMYFUNCTION("""COMPUTED_VALUE"""),"No")</f>
        <v>No</v>
      </c>
      <c r="H1017" s="1" t="str">
        <f ca="1">IFERROR(__xludf.DUMMYFUNCTION("""COMPUTED_VALUE"""),"None")</f>
        <v>None</v>
      </c>
    </row>
    <row r="1018" spans="1:8" ht="12.5">
      <c r="A1018" s="1" t="str">
        <f ca="1">IFERROR(__xludf.DUMMYFUNCTION("""COMPUTED_VALUE"""),"20210817COYED")</f>
        <v>20210817COYED</v>
      </c>
      <c r="B1018" s="1">
        <f ca="1">IFERROR(__xludf.DUMMYFUNCTION("""COMPUTED_VALUE"""),18)</f>
        <v>18</v>
      </c>
      <c r="C1018" s="1" t="str">
        <f ca="1">IFERROR(__xludf.DUMMYFUNCTION("""COMPUTED_VALUE"""),"Male")</f>
        <v>Male</v>
      </c>
      <c r="D1018" s="1"/>
      <c r="E1018" s="1" t="str">
        <f ca="1">IFERROR(__xludf.DUMMYFUNCTION("""COMPUTED_VALUE"""),"No Relation")</f>
        <v>No Relation</v>
      </c>
      <c r="F1018" s="1" t="str">
        <f ca="1">IFERROR(__xludf.DUMMYFUNCTION("""COMPUTED_VALUE"""),"Fled/Apprehended")</f>
        <v>Fled/Apprehended</v>
      </c>
      <c r="G1018" s="1" t="str">
        <f ca="1">IFERROR(__xludf.DUMMYFUNCTION("""COMPUTED_VALUE"""),"No")</f>
        <v>No</v>
      </c>
      <c r="H1018" s="1" t="str">
        <f ca="1">IFERROR(__xludf.DUMMYFUNCTION("""COMPUTED_VALUE"""),"None")</f>
        <v>None</v>
      </c>
    </row>
    <row r="1019" spans="1:8" ht="12.5">
      <c r="A1019" s="1" t="str">
        <f ca="1">IFERROR(__xludf.DUMMYFUNCTION("""COMPUTED_VALUE"""),"20210815VAROD")</f>
        <v>20210815VAROD</v>
      </c>
      <c r="B1019" s="1"/>
      <c r="C1019" s="1"/>
      <c r="D1019" s="1"/>
      <c r="E1019" s="1" t="str">
        <f ca="1">IFERROR(__xludf.DUMMYFUNCTION("""COMPUTED_VALUE"""),"No Relation")</f>
        <v>No Relation</v>
      </c>
      <c r="F1019" s="1" t="str">
        <f ca="1">IFERROR(__xludf.DUMMYFUNCTION("""COMPUTED_VALUE"""),"Fled/Escaped")</f>
        <v>Fled/Escaped</v>
      </c>
      <c r="G1019" s="1" t="str">
        <f ca="1">IFERROR(__xludf.DUMMYFUNCTION("""COMPUTED_VALUE"""),"No")</f>
        <v>No</v>
      </c>
      <c r="H1019" s="1" t="str">
        <f ca="1">IFERROR(__xludf.DUMMYFUNCTION("""COMPUTED_VALUE"""),"None")</f>
        <v>None</v>
      </c>
    </row>
    <row r="1020" spans="1:8" ht="12.5">
      <c r="A1020" s="1" t="str">
        <f ca="1">IFERROR(__xludf.DUMMYFUNCTION("""COMPUTED_VALUE"""),"20210814SCDAH")</f>
        <v>20210814SCDAH</v>
      </c>
      <c r="B1020" s="1"/>
      <c r="C1020" s="1"/>
      <c r="D1020" s="1"/>
      <c r="E1020" s="1"/>
      <c r="F1020" s="1" t="str">
        <f ca="1">IFERROR(__xludf.DUMMYFUNCTION("""COMPUTED_VALUE"""),"Fled/Escaped")</f>
        <v>Fled/Escaped</v>
      </c>
      <c r="G1020" s="1" t="str">
        <f ca="1">IFERROR(__xludf.DUMMYFUNCTION("""COMPUTED_VALUE"""),"No")</f>
        <v>No</v>
      </c>
      <c r="H1020" s="1" t="str">
        <f ca="1">IFERROR(__xludf.DUMMYFUNCTION("""COMPUTED_VALUE"""),"None")</f>
        <v>None</v>
      </c>
    </row>
    <row r="1021" spans="1:8" ht="12.5">
      <c r="A1021" s="1" t="str">
        <f ca="1">IFERROR(__xludf.DUMMYFUNCTION("""COMPUTED_VALUE"""),"20210814ILMAC")</f>
        <v>20210814ILMAC</v>
      </c>
      <c r="B1021" s="1"/>
      <c r="C1021" s="1"/>
      <c r="D1021" s="1"/>
      <c r="E1021" s="1" t="str">
        <f ca="1">IFERROR(__xludf.DUMMYFUNCTION("""COMPUTED_VALUE"""),"No Relation")</f>
        <v>No Relation</v>
      </c>
      <c r="F1021" s="1" t="str">
        <f ca="1">IFERROR(__xludf.DUMMYFUNCTION("""COMPUTED_VALUE"""),"Fled/Escaped")</f>
        <v>Fled/Escaped</v>
      </c>
      <c r="G1021" s="1" t="str">
        <f ca="1">IFERROR(__xludf.DUMMYFUNCTION("""COMPUTED_VALUE"""),"No")</f>
        <v>No</v>
      </c>
      <c r="H1021" s="1" t="str">
        <f ca="1">IFERROR(__xludf.DUMMYFUNCTION("""COMPUTED_VALUE"""),"None")</f>
        <v>None</v>
      </c>
    </row>
    <row r="1022" spans="1:8" ht="12.5">
      <c r="A1022" s="1" t="str">
        <f ca="1">IFERROR(__xludf.DUMMYFUNCTION("""COMPUTED_VALUE"""),"20210813NMWAA")</f>
        <v>20210813NMWAA</v>
      </c>
      <c r="B1022" s="1">
        <f ca="1">IFERROR(__xludf.DUMMYFUNCTION("""COMPUTED_VALUE"""),13)</f>
        <v>13</v>
      </c>
      <c r="C1022" s="1" t="str">
        <f ca="1">IFERROR(__xludf.DUMMYFUNCTION("""COMPUTED_VALUE"""),"Male")</f>
        <v>Male</v>
      </c>
      <c r="D1022" s="1" t="str">
        <f ca="1">IFERROR(__xludf.DUMMYFUNCTION("""COMPUTED_VALUE"""),"Hispanic")</f>
        <v>Hispanic</v>
      </c>
      <c r="E1022" s="1" t="str">
        <f ca="1">IFERROR(__xludf.DUMMYFUNCTION("""COMPUTED_VALUE"""),"Student")</f>
        <v>Student</v>
      </c>
      <c r="F1022" s="1" t="str">
        <f ca="1">IFERROR(__xludf.DUMMYFUNCTION("""COMPUTED_VALUE"""),"Apprehended/Killed by SRO")</f>
        <v>Apprehended/Killed by SRO</v>
      </c>
      <c r="G1022" s="1" t="str">
        <f ca="1">IFERROR(__xludf.DUMMYFUNCTION("""COMPUTED_VALUE"""),"No")</f>
        <v>No</v>
      </c>
      <c r="H1022" s="1" t="str">
        <f ca="1">IFERROR(__xludf.DUMMYFUNCTION("""COMPUTED_VALUE"""),"None")</f>
        <v>None</v>
      </c>
    </row>
    <row r="1023" spans="1:8" ht="12.5">
      <c r="A1023" s="1" t="str">
        <f ca="1">IFERROR(__xludf.DUMMYFUNCTION("""COMPUTED_VALUE"""),"20210813GACAS")</f>
        <v>20210813GACAS</v>
      </c>
      <c r="B1023" s="1"/>
      <c r="C1023" s="1"/>
      <c r="D1023" s="1"/>
      <c r="E1023" s="1"/>
      <c r="F1023" s="1" t="str">
        <f ca="1">IFERROR(__xludf.DUMMYFUNCTION("""COMPUTED_VALUE"""),"Fled/Escaped")</f>
        <v>Fled/Escaped</v>
      </c>
      <c r="G1023" s="1" t="str">
        <f ca="1">IFERROR(__xludf.DUMMYFUNCTION("""COMPUTED_VALUE"""),"No")</f>
        <v>No</v>
      </c>
      <c r="H1023" s="1" t="str">
        <f ca="1">IFERROR(__xludf.DUMMYFUNCTION("""COMPUTED_VALUE"""),"None")</f>
        <v>None</v>
      </c>
    </row>
    <row r="1024" spans="1:8" ht="12.5">
      <c r="A1024" s="1" t="str">
        <f ca="1">IFERROR(__xludf.DUMMYFUNCTION("""COMPUTED_VALUE"""),"20210812GALIL")</f>
        <v>20210812GALIL</v>
      </c>
      <c r="B1024" s="1"/>
      <c r="C1024" s="1"/>
      <c r="D1024" s="1"/>
      <c r="E1024" s="1" t="str">
        <f ca="1">IFERROR(__xludf.DUMMYFUNCTION("""COMPUTED_VALUE"""),"Police Officer/SRO")</f>
        <v>Police Officer/SRO</v>
      </c>
      <c r="F1024" s="1"/>
      <c r="G1024" s="1"/>
      <c r="H1024" s="1"/>
    </row>
    <row r="1025" spans="1:8" ht="12.5">
      <c r="A1025" s="1" t="str">
        <f ca="1">IFERROR(__xludf.DUMMYFUNCTION("""COMPUTED_VALUE"""),"20210812CANOS")</f>
        <v>20210812CANOS</v>
      </c>
      <c r="B1025" s="1" t="str">
        <f ca="1">IFERROR(__xludf.DUMMYFUNCTION("""COMPUTED_VALUE"""),"Teen")</f>
        <v>Teen</v>
      </c>
      <c r="C1025" s="1"/>
      <c r="D1025" s="1"/>
      <c r="E1025" s="1" t="str">
        <f ca="1">IFERROR(__xludf.DUMMYFUNCTION("""COMPUTED_VALUE"""),"Student")</f>
        <v>Student</v>
      </c>
      <c r="F1025" s="1" t="str">
        <f ca="1">IFERROR(__xludf.DUMMYFUNCTION("""COMPUTED_VALUE"""),"Apprehended/Killed by LE")</f>
        <v>Apprehended/Killed by LE</v>
      </c>
      <c r="G1025" s="1" t="str">
        <f ca="1">IFERROR(__xludf.DUMMYFUNCTION("""COMPUTED_VALUE"""),"No")</f>
        <v>No</v>
      </c>
      <c r="H1025" s="1" t="str">
        <f ca="1">IFERROR(__xludf.DUMMYFUNCTION("""COMPUTED_VALUE"""),"None")</f>
        <v>None</v>
      </c>
    </row>
    <row r="1026" spans="1:8" ht="12.5">
      <c r="A1026" s="1" t="str">
        <f ca="1">IFERROR(__xludf.DUMMYFUNCTION("""COMPUTED_VALUE"""),"20210811COMAC")</f>
        <v>20210811COMAC</v>
      </c>
      <c r="B1026" s="1"/>
      <c r="C1026" s="1"/>
      <c r="D1026" s="1"/>
      <c r="E1026" s="1" t="str">
        <f ca="1">IFERROR(__xludf.DUMMYFUNCTION("""COMPUTED_VALUE"""),"No Relation")</f>
        <v>No Relation</v>
      </c>
      <c r="F1026" s="1" t="str">
        <f ca="1">IFERROR(__xludf.DUMMYFUNCTION("""COMPUTED_VALUE"""),"Fled/Escaped")</f>
        <v>Fled/Escaped</v>
      </c>
      <c r="G1026" s="1" t="str">
        <f ca="1">IFERROR(__xludf.DUMMYFUNCTION("""COMPUTED_VALUE"""),"No")</f>
        <v>No</v>
      </c>
      <c r="H1026" s="1" t="str">
        <f ca="1">IFERROR(__xludf.DUMMYFUNCTION("""COMPUTED_VALUE"""),"None")</f>
        <v>None</v>
      </c>
    </row>
    <row r="1027" spans="1:8" ht="12.5">
      <c r="A1027" s="1" t="str">
        <f ca="1">IFERROR(__xludf.DUMMYFUNCTION("""COMPUTED_VALUE"""),"20210811CAOAO")</f>
        <v>20210811CAOAO</v>
      </c>
      <c r="B1027" s="1"/>
      <c r="C1027" s="1"/>
      <c r="D1027" s="1"/>
      <c r="E1027" s="1"/>
      <c r="F1027" s="1" t="str">
        <f ca="1">IFERROR(__xludf.DUMMYFUNCTION("""COMPUTED_VALUE"""),"Fled/Escaped")</f>
        <v>Fled/Escaped</v>
      </c>
      <c r="G1027" s="1" t="str">
        <f ca="1">IFERROR(__xludf.DUMMYFUNCTION("""COMPUTED_VALUE"""),"No")</f>
        <v>No</v>
      </c>
      <c r="H1027" s="1" t="str">
        <f ca="1">IFERROR(__xludf.DUMMYFUNCTION("""COMPUTED_VALUE"""),"None")</f>
        <v>None</v>
      </c>
    </row>
    <row r="1028" spans="1:8" ht="12.5">
      <c r="A1028" s="1" t="str">
        <f ca="1">IFERROR(__xludf.DUMMYFUNCTION("""COMPUTED_VALUE"""),"20210810OHEAC")</f>
        <v>20210810OHEAC</v>
      </c>
      <c r="B1028" s="1">
        <f ca="1">IFERROR(__xludf.DUMMYFUNCTION("""COMPUTED_VALUE"""),12)</f>
        <v>12</v>
      </c>
      <c r="C1028" s="1" t="str">
        <f ca="1">IFERROR(__xludf.DUMMYFUNCTION("""COMPUTED_VALUE"""),"Male")</f>
        <v>Male</v>
      </c>
      <c r="D1028" s="1"/>
      <c r="E1028" s="1" t="str">
        <f ca="1">IFERROR(__xludf.DUMMYFUNCTION("""COMPUTED_VALUE"""),"Former Student")</f>
        <v>Former Student</v>
      </c>
      <c r="F1028" s="1" t="str">
        <f ca="1">IFERROR(__xludf.DUMMYFUNCTION("""COMPUTED_VALUE"""),"Surrendered")</f>
        <v>Surrendered</v>
      </c>
      <c r="G1028" s="1" t="str">
        <f ca="1">IFERROR(__xludf.DUMMYFUNCTION("""COMPUTED_VALUE"""),"No")</f>
        <v>No</v>
      </c>
      <c r="H1028" s="1" t="str">
        <f ca="1">IFERROR(__xludf.DUMMYFUNCTION("""COMPUTED_VALUE"""),"None")</f>
        <v>None</v>
      </c>
    </row>
    <row r="1029" spans="1:8" ht="12.5">
      <c r="A1029" s="1" t="str">
        <f ca="1">IFERROR(__xludf.DUMMYFUNCTION("""COMPUTED_VALUE"""),"20210807ORGIP")</f>
        <v>20210807ORGIP</v>
      </c>
      <c r="B1029" s="1"/>
      <c r="C1029" s="1"/>
      <c r="D1029" s="1"/>
      <c r="E1029" s="1"/>
      <c r="F1029" s="1" t="str">
        <f ca="1">IFERROR(__xludf.DUMMYFUNCTION("""COMPUTED_VALUE"""),"Fled/Escaped")</f>
        <v>Fled/Escaped</v>
      </c>
      <c r="G1029" s="1" t="str">
        <f ca="1">IFERROR(__xludf.DUMMYFUNCTION("""COMPUTED_VALUE"""),"No")</f>
        <v>No</v>
      </c>
      <c r="H1029" s="1" t="str">
        <f ca="1">IFERROR(__xludf.DUMMYFUNCTION("""COMPUTED_VALUE"""),"None")</f>
        <v>None</v>
      </c>
    </row>
    <row r="1030" spans="1:8" ht="12.5">
      <c r="A1030" s="1" t="str">
        <f ca="1">IFERROR(__xludf.DUMMYFUNCTION("""COMPUTED_VALUE"""),"20210806LASTH")</f>
        <v>20210806LASTH</v>
      </c>
      <c r="B1030" s="1">
        <f ca="1">IFERROR(__xludf.DUMMYFUNCTION("""COMPUTED_VALUE"""),17)</f>
        <v>17</v>
      </c>
      <c r="C1030" s="1" t="str">
        <f ca="1">IFERROR(__xludf.DUMMYFUNCTION("""COMPUTED_VALUE"""),"Male")</f>
        <v>Male</v>
      </c>
      <c r="D1030" s="1" t="str">
        <f ca="1">IFERROR(__xludf.DUMMYFUNCTION("""COMPUTED_VALUE"""),"Black")</f>
        <v>Black</v>
      </c>
      <c r="E1030" s="1" t="str">
        <f ca="1">IFERROR(__xludf.DUMMYFUNCTION("""COMPUTED_VALUE"""),"No Relation")</f>
        <v>No Relation</v>
      </c>
      <c r="F1030" s="1" t="str">
        <f ca="1">IFERROR(__xludf.DUMMYFUNCTION("""COMPUTED_VALUE"""),"Fled/Apprehended")</f>
        <v>Fled/Apprehended</v>
      </c>
      <c r="G1030" s="1" t="str">
        <f ca="1">IFERROR(__xludf.DUMMYFUNCTION("""COMPUTED_VALUE"""),"No")</f>
        <v>No</v>
      </c>
      <c r="H1030" s="1" t="str">
        <f ca="1">IFERROR(__xludf.DUMMYFUNCTION("""COMPUTED_VALUE"""),"None")</f>
        <v>None</v>
      </c>
    </row>
    <row r="1031" spans="1:8" ht="12.5">
      <c r="A1031" s="1" t="str">
        <f ca="1">IFERROR(__xludf.DUMMYFUNCTION("""COMPUTED_VALUE"""),"20210805GACHD")</f>
        <v>20210805GACHD</v>
      </c>
      <c r="B1031" s="1">
        <f ca="1">IFERROR(__xludf.DUMMYFUNCTION("""COMPUTED_VALUE"""),23)</f>
        <v>23</v>
      </c>
      <c r="C1031" s="1" t="str">
        <f ca="1">IFERROR(__xludf.DUMMYFUNCTION("""COMPUTED_VALUE"""),"Male")</f>
        <v>Male</v>
      </c>
      <c r="D1031" s="1" t="str">
        <f ca="1">IFERROR(__xludf.DUMMYFUNCTION("""COMPUTED_VALUE"""),"Black")</f>
        <v>Black</v>
      </c>
      <c r="E1031" s="1" t="str">
        <f ca="1">IFERROR(__xludf.DUMMYFUNCTION("""COMPUTED_VALUE"""),"Teacher")</f>
        <v>Teacher</v>
      </c>
      <c r="F1031" s="1" t="str">
        <f ca="1">IFERROR(__xludf.DUMMYFUNCTION("""COMPUTED_VALUE"""),"Fled/Apprehended")</f>
        <v>Fled/Apprehended</v>
      </c>
      <c r="G1031" s="1" t="str">
        <f ca="1">IFERROR(__xludf.DUMMYFUNCTION("""COMPUTED_VALUE"""),"No")</f>
        <v>No</v>
      </c>
      <c r="H1031" s="1" t="str">
        <f ca="1">IFERROR(__xludf.DUMMYFUNCTION("""COMPUTED_VALUE"""),"None")</f>
        <v>None</v>
      </c>
    </row>
    <row r="1032" spans="1:8" ht="12.5">
      <c r="A1032" s="1" t="str">
        <f ca="1">IFERROR(__xludf.DUMMYFUNCTION("""COMPUTED_VALUE"""),"20210804ALBUM")</f>
        <v>20210804ALBUM</v>
      </c>
      <c r="B1032" s="1"/>
      <c r="C1032" s="1"/>
      <c r="D1032" s="1"/>
      <c r="E1032" s="1"/>
      <c r="F1032" s="1" t="str">
        <f ca="1">IFERROR(__xludf.DUMMYFUNCTION("""COMPUTED_VALUE"""),"Fled/Escaped")</f>
        <v>Fled/Escaped</v>
      </c>
      <c r="G1032" s="1" t="str">
        <f ca="1">IFERROR(__xludf.DUMMYFUNCTION("""COMPUTED_VALUE"""),"No")</f>
        <v>No</v>
      </c>
      <c r="H1032" s="1" t="str">
        <f ca="1">IFERROR(__xludf.DUMMYFUNCTION("""COMPUTED_VALUE"""),"None")</f>
        <v>None</v>
      </c>
    </row>
    <row r="1033" spans="1:8" ht="12.5">
      <c r="A1033" s="1" t="str">
        <f ca="1">IFERROR(__xludf.DUMMYFUNCTION("""COMPUTED_VALUE"""),"20210727WATYS")</f>
        <v>20210727WATYS</v>
      </c>
      <c r="B1033" s="1" t="str">
        <f ca="1">IFERROR(__xludf.DUMMYFUNCTION("""COMPUTED_VALUE"""),"Adult")</f>
        <v>Adult</v>
      </c>
      <c r="C1033" s="1" t="str">
        <f ca="1">IFERROR(__xludf.DUMMYFUNCTION("""COMPUTED_VALUE"""),"Male")</f>
        <v>Male</v>
      </c>
      <c r="D1033" s="1"/>
      <c r="E1033" s="1" t="str">
        <f ca="1">IFERROR(__xludf.DUMMYFUNCTION("""COMPUTED_VALUE"""),"Nonstudent Using Athletic Facilities/Attending Game")</f>
        <v>Nonstudent Using Athletic Facilities/Attending Game</v>
      </c>
      <c r="F1033" s="1" t="str">
        <f ca="1">IFERROR(__xludf.DUMMYFUNCTION("""COMPUTED_VALUE"""),"Fled/Escaped")</f>
        <v>Fled/Escaped</v>
      </c>
      <c r="G1033" s="1" t="str">
        <f ca="1">IFERROR(__xludf.DUMMYFUNCTION("""COMPUTED_VALUE"""),"No")</f>
        <v>No</v>
      </c>
      <c r="H1033" s="1" t="str">
        <f ca="1">IFERROR(__xludf.DUMMYFUNCTION("""COMPUTED_VALUE"""),"None")</f>
        <v>None</v>
      </c>
    </row>
    <row r="1034" spans="1:8" ht="12.5">
      <c r="A1034" s="1" t="str">
        <f ca="1">IFERROR(__xludf.DUMMYFUNCTION("""COMPUTED_VALUE"""),"20210721ILTHC")</f>
        <v>20210721ILTHC</v>
      </c>
      <c r="B1034" s="1"/>
      <c r="C1034" s="1"/>
      <c r="D1034" s="1"/>
      <c r="E1034" s="1" t="str">
        <f ca="1">IFERROR(__xludf.DUMMYFUNCTION("""COMPUTED_VALUE"""),"No Relation")</f>
        <v>No Relation</v>
      </c>
      <c r="F1034" s="1" t="str">
        <f ca="1">IFERROR(__xludf.DUMMYFUNCTION("""COMPUTED_VALUE"""),"Fled/Escaped")</f>
        <v>Fled/Escaped</v>
      </c>
      <c r="G1034" s="1" t="str">
        <f ca="1">IFERROR(__xludf.DUMMYFUNCTION("""COMPUTED_VALUE"""),"No")</f>
        <v>No</v>
      </c>
      <c r="H1034" s="1" t="str">
        <f ca="1">IFERROR(__xludf.DUMMYFUNCTION("""COMPUTED_VALUE"""),"None")</f>
        <v>None</v>
      </c>
    </row>
    <row r="1035" spans="1:8" ht="12.5">
      <c r="A1035" s="1" t="str">
        <f ca="1">IFERROR(__xludf.DUMMYFUNCTION("""COMPUTED_VALUE"""),"20210719TXCAC")</f>
        <v>20210719TXCAC</v>
      </c>
      <c r="B1035" s="1" t="str">
        <f ca="1">IFERROR(__xludf.DUMMYFUNCTION("""COMPUTED_VALUE"""),"Teen")</f>
        <v>Teen</v>
      </c>
      <c r="C1035" s="1"/>
      <c r="D1035" s="1"/>
      <c r="E1035" s="1" t="str">
        <f ca="1">IFERROR(__xludf.DUMMYFUNCTION("""COMPUTED_VALUE"""),"Student")</f>
        <v>Student</v>
      </c>
      <c r="F1035" s="1" t="str">
        <f ca="1">IFERROR(__xludf.DUMMYFUNCTION("""COMPUTED_VALUE"""),"Fled/Apprehended")</f>
        <v>Fled/Apprehended</v>
      </c>
      <c r="G1035" s="1" t="str">
        <f ca="1">IFERROR(__xludf.DUMMYFUNCTION("""COMPUTED_VALUE"""),"No")</f>
        <v>No</v>
      </c>
      <c r="H1035" s="1" t="str">
        <f ca="1">IFERROR(__xludf.DUMMYFUNCTION("""COMPUTED_VALUE"""),"None")</f>
        <v>None</v>
      </c>
    </row>
    <row r="1036" spans="1:8" ht="12.5">
      <c r="A1036" s="1" t="str">
        <f ca="1">IFERROR(__xludf.DUMMYFUNCTION("""COMPUTED_VALUE"""),"20210718ARFOL")</f>
        <v>20210718ARFOL</v>
      </c>
      <c r="B1036" s="1" t="str">
        <f ca="1">IFERROR(__xludf.DUMMYFUNCTION("""COMPUTED_VALUE"""),"Adult")</f>
        <v>Adult</v>
      </c>
      <c r="C1036" s="1"/>
      <c r="D1036" s="1"/>
      <c r="E1036" s="1" t="str">
        <f ca="1">IFERROR(__xludf.DUMMYFUNCTION("""COMPUTED_VALUE"""),"Nonstudent Using Athletic Facilities/Attending Game")</f>
        <v>Nonstudent Using Athletic Facilities/Attending Game</v>
      </c>
      <c r="F1036" s="1" t="str">
        <f ca="1">IFERROR(__xludf.DUMMYFUNCTION("""COMPUTED_VALUE"""),"Fled/Escaped")</f>
        <v>Fled/Escaped</v>
      </c>
      <c r="G1036" s="1" t="str">
        <f ca="1">IFERROR(__xludf.DUMMYFUNCTION("""COMPUTED_VALUE"""),"No")</f>
        <v>No</v>
      </c>
      <c r="H1036" s="1" t="str">
        <f ca="1">IFERROR(__xludf.DUMMYFUNCTION("""COMPUTED_VALUE"""),"None")</f>
        <v>None</v>
      </c>
    </row>
    <row r="1037" spans="1:8" ht="12.5">
      <c r="A1037" s="1" t="str">
        <f ca="1">IFERROR(__xludf.DUMMYFUNCTION("""COMPUTED_VALUE"""),"20210709KSCAW")</f>
        <v>20210709KSCAW</v>
      </c>
      <c r="B1037" s="1" t="str">
        <f ca="1">IFERROR(__xludf.DUMMYFUNCTION("""COMPUTED_VALUE"""),"Adult")</f>
        <v>Adult</v>
      </c>
      <c r="C1037" s="1" t="str">
        <f ca="1">IFERROR(__xludf.DUMMYFUNCTION("""COMPUTED_VALUE"""),"Male")</f>
        <v>Male</v>
      </c>
      <c r="D1037" s="1"/>
      <c r="E1037" s="1" t="str">
        <f ca="1">IFERROR(__xludf.DUMMYFUNCTION("""COMPUTED_VALUE"""),"No Relation")</f>
        <v>No Relation</v>
      </c>
      <c r="F1037" s="1" t="str">
        <f ca="1">IFERROR(__xludf.DUMMYFUNCTION("""COMPUTED_VALUE"""),"Suicide")</f>
        <v>Suicide</v>
      </c>
      <c r="G1037" s="1" t="str">
        <f ca="1">IFERROR(__xludf.DUMMYFUNCTION("""COMPUTED_VALUE"""),"Yes")</f>
        <v>Yes</v>
      </c>
      <c r="H1037" s="1" t="str">
        <f ca="1">IFERROR(__xludf.DUMMYFUNCTION("""COMPUTED_VALUE"""),"Suicide")</f>
        <v>Suicide</v>
      </c>
    </row>
    <row r="1038" spans="1:8" ht="12.5">
      <c r="A1038" s="1" t="str">
        <f ca="1">IFERROR(__xludf.DUMMYFUNCTION("""COMPUTED_VALUE"""),"20210708ILBEC")</f>
        <v>20210708ILBEC</v>
      </c>
      <c r="B1038" s="1" t="str">
        <f ca="1">IFERROR(__xludf.DUMMYFUNCTION("""COMPUTED_VALUE"""),"Adult")</f>
        <v>Adult</v>
      </c>
      <c r="C1038" s="1"/>
      <c r="D1038" s="1"/>
      <c r="E1038" s="1" t="str">
        <f ca="1">IFERROR(__xludf.DUMMYFUNCTION("""COMPUTED_VALUE"""),"No Relation")</f>
        <v>No Relation</v>
      </c>
      <c r="F1038" s="1" t="str">
        <f ca="1">IFERROR(__xludf.DUMMYFUNCTION("""COMPUTED_VALUE"""),"Fled/Escaped")</f>
        <v>Fled/Escaped</v>
      </c>
      <c r="G1038" s="1" t="str">
        <f ca="1">IFERROR(__xludf.DUMMYFUNCTION("""COMPUTED_VALUE"""),"No")</f>
        <v>No</v>
      </c>
      <c r="H1038" s="1" t="str">
        <f ca="1">IFERROR(__xludf.DUMMYFUNCTION("""COMPUTED_VALUE"""),"None")</f>
        <v>None</v>
      </c>
    </row>
    <row r="1039" spans="1:8" ht="12.5">
      <c r="A1039" s="1" t="str">
        <f ca="1">IFERROR(__xludf.DUMMYFUNCTION("""COMPUTED_VALUE"""),"20210704NYDRR")</f>
        <v>20210704NYDRR</v>
      </c>
      <c r="B1039" s="1"/>
      <c r="C1039" s="1"/>
      <c r="D1039" s="1"/>
      <c r="E1039" s="1"/>
      <c r="F1039" s="1" t="str">
        <f ca="1">IFERROR(__xludf.DUMMYFUNCTION("""COMPUTED_VALUE"""),"Fled/Escaped")</f>
        <v>Fled/Escaped</v>
      </c>
      <c r="G1039" s="1" t="str">
        <f ca="1">IFERROR(__xludf.DUMMYFUNCTION("""COMPUTED_VALUE"""),"No")</f>
        <v>No</v>
      </c>
      <c r="H1039" s="1" t="str">
        <f ca="1">IFERROR(__xludf.DUMMYFUNCTION("""COMPUTED_VALUE"""),"None")</f>
        <v>None</v>
      </c>
    </row>
    <row r="1040" spans="1:8" ht="12.5">
      <c r="A1040" s="1" t="str">
        <f ca="1">IFERROR(__xludf.DUMMYFUNCTION("""COMPUTED_VALUE"""),"20210628CASLF")</f>
        <v>20210628CASLF</v>
      </c>
      <c r="B1040" s="1" t="str">
        <f ca="1">IFERROR(__xludf.DUMMYFUNCTION("""COMPUTED_VALUE"""),"Adult")</f>
        <v>Adult</v>
      </c>
      <c r="C1040" s="1"/>
      <c r="D1040" s="1"/>
      <c r="E1040" s="1" t="str">
        <f ca="1">IFERROR(__xludf.DUMMYFUNCTION("""COMPUTED_VALUE"""),"No Relation")</f>
        <v>No Relation</v>
      </c>
      <c r="F1040" s="1" t="str">
        <f ca="1">IFERROR(__xludf.DUMMYFUNCTION("""COMPUTED_VALUE"""),"Fled/Escaped")</f>
        <v>Fled/Escaped</v>
      </c>
      <c r="G1040" s="1" t="str">
        <f ca="1">IFERROR(__xludf.DUMMYFUNCTION("""COMPUTED_VALUE"""),"No")</f>
        <v>No</v>
      </c>
      <c r="H1040" s="1" t="str">
        <f ca="1">IFERROR(__xludf.DUMMYFUNCTION("""COMPUTED_VALUE"""),"None")</f>
        <v>None</v>
      </c>
    </row>
    <row r="1041" spans="1:8" ht="12.5">
      <c r="A1041" s="1" t="str">
        <f ca="1">IFERROR(__xludf.DUMMYFUNCTION("""COMPUTED_VALUE"""),"20210624ILABR")</f>
        <v>20210624ILABR</v>
      </c>
      <c r="B1041" s="1" t="str">
        <f ca="1">IFERROR(__xludf.DUMMYFUNCTION("""COMPUTED_VALUE"""),"Adult")</f>
        <v>Adult</v>
      </c>
      <c r="C1041" s="1"/>
      <c r="D1041" s="1"/>
      <c r="E1041" s="1"/>
      <c r="F1041" s="1" t="str">
        <f ca="1">IFERROR(__xludf.DUMMYFUNCTION("""COMPUTED_VALUE"""),"Fled/Escaped")</f>
        <v>Fled/Escaped</v>
      </c>
      <c r="G1041" s="1" t="str">
        <f ca="1">IFERROR(__xludf.DUMMYFUNCTION("""COMPUTED_VALUE"""),"No")</f>
        <v>No</v>
      </c>
      <c r="H1041" s="1" t="str">
        <f ca="1">IFERROR(__xludf.DUMMYFUNCTION("""COMPUTED_VALUE"""),"None")</f>
        <v>None</v>
      </c>
    </row>
    <row r="1042" spans="1:8" ht="12.5">
      <c r="A1042" s="1" t="str">
        <f ca="1">IFERROR(__xludf.DUMMYFUNCTION("""COMPUTED_VALUE"""),"20210620CAGRM")</f>
        <v>20210620CAGRM</v>
      </c>
      <c r="B1042" s="1" t="str">
        <f ca="1">IFERROR(__xludf.DUMMYFUNCTION("""COMPUTED_VALUE"""),"Adult")</f>
        <v>Adult</v>
      </c>
      <c r="C1042" s="1"/>
      <c r="D1042" s="1"/>
      <c r="E1042" s="1" t="str">
        <f ca="1">IFERROR(__xludf.DUMMYFUNCTION("""COMPUTED_VALUE"""),"Security Guard")</f>
        <v>Security Guard</v>
      </c>
      <c r="F1042" s="1" t="str">
        <f ca="1">IFERROR(__xludf.DUMMYFUNCTION("""COMPUTED_VALUE"""),"Law Enforcement")</f>
        <v>Law Enforcement</v>
      </c>
      <c r="G1042" s="1" t="str">
        <f ca="1">IFERROR(__xludf.DUMMYFUNCTION("""COMPUTED_VALUE"""),"No")</f>
        <v>No</v>
      </c>
      <c r="H1042" s="1" t="str">
        <f ca="1">IFERROR(__xludf.DUMMYFUNCTION("""COMPUTED_VALUE"""),"None")</f>
        <v>None</v>
      </c>
    </row>
    <row r="1043" spans="1:8" ht="12.5">
      <c r="A1043" s="1" t="str">
        <f ca="1">IFERROR(__xludf.DUMMYFUNCTION("""COMPUTED_VALUE"""),"20210614TXEAF")</f>
        <v>20210614TXEAF</v>
      </c>
      <c r="B1043" s="1"/>
      <c r="C1043" s="1" t="str">
        <f ca="1">IFERROR(__xludf.DUMMYFUNCTION("""COMPUTED_VALUE"""),"Male")</f>
        <v>Male</v>
      </c>
      <c r="D1043" s="1"/>
      <c r="E1043" s="1"/>
      <c r="F1043" s="1" t="str">
        <f ca="1">IFERROR(__xludf.DUMMYFUNCTION("""COMPUTED_VALUE"""),"Fled/Escaped")</f>
        <v>Fled/Escaped</v>
      </c>
      <c r="G1043" s="1" t="str">
        <f ca="1">IFERROR(__xludf.DUMMYFUNCTION("""COMPUTED_VALUE"""),"No")</f>
        <v>No</v>
      </c>
      <c r="H1043" s="1" t="str">
        <f ca="1">IFERROR(__xludf.DUMMYFUNCTION("""COMPUTED_VALUE"""),"None")</f>
        <v>None</v>
      </c>
    </row>
    <row r="1044" spans="1:8" ht="12.5">
      <c r="A1044" s="1" t="str">
        <f ca="1">IFERROR(__xludf.DUMMYFUNCTION("""COMPUTED_VALUE"""),"20210614NCROR")</f>
        <v>20210614NCROR</v>
      </c>
      <c r="B1044" s="1"/>
      <c r="C1044" s="1"/>
      <c r="D1044" s="1"/>
      <c r="E1044" s="1"/>
      <c r="F1044" s="1" t="str">
        <f ca="1">IFERROR(__xludf.DUMMYFUNCTION("""COMPUTED_VALUE"""),"Fled/Escaped")</f>
        <v>Fled/Escaped</v>
      </c>
      <c r="G1044" s="1" t="str">
        <f ca="1">IFERROR(__xludf.DUMMYFUNCTION("""COMPUTED_VALUE"""),"No")</f>
        <v>No</v>
      </c>
      <c r="H1044" s="1" t="str">
        <f ca="1">IFERROR(__xludf.DUMMYFUNCTION("""COMPUTED_VALUE"""),"None")</f>
        <v>None</v>
      </c>
    </row>
    <row r="1045" spans="1:8" ht="12.5">
      <c r="A1045" s="1" t="str">
        <f ca="1">IFERROR(__xludf.DUMMYFUNCTION("""COMPUTED_VALUE"""),"20210614NCROR")</f>
        <v>20210614NCROR</v>
      </c>
      <c r="B1045" s="1"/>
      <c r="C1045" s="1"/>
      <c r="D1045" s="1"/>
      <c r="E1045" s="1"/>
      <c r="F1045" s="1" t="str">
        <f ca="1">IFERROR(__xludf.DUMMYFUNCTION("""COMPUTED_VALUE"""),"Fled/Escaped")</f>
        <v>Fled/Escaped</v>
      </c>
      <c r="G1045" s="1" t="str">
        <f ca="1">IFERROR(__xludf.DUMMYFUNCTION("""COMPUTED_VALUE"""),"No")</f>
        <v>No</v>
      </c>
      <c r="H1045" s="1" t="str">
        <f ca="1">IFERROR(__xludf.DUMMYFUNCTION("""COMPUTED_VALUE"""),"None")</f>
        <v>None</v>
      </c>
    </row>
    <row r="1046" spans="1:8" ht="12.5">
      <c r="A1046" s="1" t="str">
        <f ca="1">IFERROR(__xludf.DUMMYFUNCTION("""COMPUTED_VALUE"""),"20210614NCROR")</f>
        <v>20210614NCROR</v>
      </c>
      <c r="B1046" s="1"/>
      <c r="C1046" s="1"/>
      <c r="D1046" s="1"/>
      <c r="E1046" s="1"/>
      <c r="F1046" s="1" t="str">
        <f ca="1">IFERROR(__xludf.DUMMYFUNCTION("""COMPUTED_VALUE"""),"Fled/Escaped")</f>
        <v>Fled/Escaped</v>
      </c>
      <c r="G1046" s="1" t="str">
        <f ca="1">IFERROR(__xludf.DUMMYFUNCTION("""COMPUTED_VALUE"""),"No")</f>
        <v>No</v>
      </c>
      <c r="H1046" s="1" t="str">
        <f ca="1">IFERROR(__xludf.DUMMYFUNCTION("""COMPUTED_VALUE"""),"None")</f>
        <v>None</v>
      </c>
    </row>
    <row r="1047" spans="1:8" ht="12.5">
      <c r="A1047" s="1" t="str">
        <f ca="1">IFERROR(__xludf.DUMMYFUNCTION("""COMPUTED_VALUE"""),"20210614NCRJW")</f>
        <v>20210614NCRJW</v>
      </c>
      <c r="B1047" s="1">
        <f ca="1">IFERROR(__xludf.DUMMYFUNCTION("""COMPUTED_VALUE"""),26)</f>
        <v>26</v>
      </c>
      <c r="C1047" s="1" t="str">
        <f ca="1">IFERROR(__xludf.DUMMYFUNCTION("""COMPUTED_VALUE"""),"Male")</f>
        <v>Male</v>
      </c>
      <c r="D1047" s="1" t="str">
        <f ca="1">IFERROR(__xludf.DUMMYFUNCTION("""COMPUTED_VALUE"""),"White")</f>
        <v>White</v>
      </c>
      <c r="E1047" s="1" t="str">
        <f ca="1">IFERROR(__xludf.DUMMYFUNCTION("""COMPUTED_VALUE"""),"No Relation")</f>
        <v>No Relation</v>
      </c>
      <c r="F1047" s="1" t="str">
        <f ca="1">IFERROR(__xludf.DUMMYFUNCTION("""COMPUTED_VALUE"""),"Apprehended/Killed by LE")</f>
        <v>Apprehended/Killed by LE</v>
      </c>
      <c r="G1047" s="1" t="str">
        <f ca="1">IFERROR(__xludf.DUMMYFUNCTION("""COMPUTED_VALUE"""),"Yes")</f>
        <v>Yes</v>
      </c>
      <c r="H1047" s="1" t="str">
        <f ca="1">IFERROR(__xludf.DUMMYFUNCTION("""COMPUTED_VALUE"""),"Fatal")</f>
        <v>Fatal</v>
      </c>
    </row>
    <row r="1048" spans="1:8" ht="12.5">
      <c r="A1048" s="1" t="str">
        <f ca="1">IFERROR(__xludf.DUMMYFUNCTION("""COMPUTED_VALUE"""),"20210613PAWIP")</f>
        <v>20210613PAWIP</v>
      </c>
      <c r="B1048" s="1"/>
      <c r="C1048" s="1" t="str">
        <f ca="1">IFERROR(__xludf.DUMMYFUNCTION("""COMPUTED_VALUE"""),"Male")</f>
        <v>Male</v>
      </c>
      <c r="D1048" s="1"/>
      <c r="E1048" s="1" t="str">
        <f ca="1">IFERROR(__xludf.DUMMYFUNCTION("""COMPUTED_VALUE"""),"Nonstudent Using Athletic Facilities/Attending Game")</f>
        <v>Nonstudent Using Athletic Facilities/Attending Game</v>
      </c>
      <c r="F1048" s="1" t="str">
        <f ca="1">IFERROR(__xludf.DUMMYFUNCTION("""COMPUTED_VALUE"""),"Fled/Escaped")</f>
        <v>Fled/Escaped</v>
      </c>
      <c r="G1048" s="1" t="str">
        <f ca="1">IFERROR(__xludf.DUMMYFUNCTION("""COMPUTED_VALUE"""),"No")</f>
        <v>No</v>
      </c>
      <c r="H1048" s="1" t="str">
        <f ca="1">IFERROR(__xludf.DUMMYFUNCTION("""COMPUTED_VALUE"""),"None")</f>
        <v>None</v>
      </c>
    </row>
    <row r="1049" spans="1:8" ht="12.5">
      <c r="A1049" s="1" t="str">
        <f ca="1">IFERROR(__xludf.DUMMYFUNCTION("""COMPUTED_VALUE"""),"20210613PAPAC")</f>
        <v>20210613PAPAC</v>
      </c>
      <c r="B1049" s="1">
        <f ca="1">IFERROR(__xludf.DUMMYFUNCTION("""COMPUTED_VALUE"""),78)</f>
        <v>78</v>
      </c>
      <c r="C1049" s="1" t="str">
        <f ca="1">IFERROR(__xludf.DUMMYFUNCTION("""COMPUTED_VALUE"""),"Male")</f>
        <v>Male</v>
      </c>
      <c r="D1049" s="1"/>
      <c r="E1049" s="1" t="str">
        <f ca="1">IFERROR(__xludf.DUMMYFUNCTION("""COMPUTED_VALUE"""),"No Relation")</f>
        <v>No Relation</v>
      </c>
      <c r="F1049" s="1" t="str">
        <f ca="1">IFERROR(__xludf.DUMMYFUNCTION("""COMPUTED_VALUE"""),"Suicide")</f>
        <v>Suicide</v>
      </c>
      <c r="G1049" s="1" t="str">
        <f ca="1">IFERROR(__xludf.DUMMYFUNCTION("""COMPUTED_VALUE"""),"No")</f>
        <v>No</v>
      </c>
      <c r="H1049" s="1" t="str">
        <f ca="1">IFERROR(__xludf.DUMMYFUNCTION("""COMPUTED_VALUE"""),"Suicide")</f>
        <v>Suicide</v>
      </c>
    </row>
    <row r="1050" spans="1:8" ht="12.5">
      <c r="A1050" s="1" t="str">
        <f ca="1">IFERROR(__xludf.DUMMYFUNCTION("""COMPUTED_VALUE"""),"20210612MOMCF")</f>
        <v>20210612MOMCF</v>
      </c>
      <c r="B1050" s="1">
        <f ca="1">IFERROR(__xludf.DUMMYFUNCTION("""COMPUTED_VALUE"""),18)</f>
        <v>18</v>
      </c>
      <c r="C1050" s="1" t="str">
        <f ca="1">IFERROR(__xludf.DUMMYFUNCTION("""COMPUTED_VALUE"""),"Male")</f>
        <v>Male</v>
      </c>
      <c r="D1050" s="1" t="str">
        <f ca="1">IFERROR(__xludf.DUMMYFUNCTION("""COMPUTED_VALUE"""),"Black")</f>
        <v>Black</v>
      </c>
      <c r="E1050" s="1" t="str">
        <f ca="1">IFERROR(__xludf.DUMMYFUNCTION("""COMPUTED_VALUE"""),"Student")</f>
        <v>Student</v>
      </c>
      <c r="F1050" s="1" t="str">
        <f ca="1">IFERROR(__xludf.DUMMYFUNCTION("""COMPUTED_VALUE"""),"Fled/Apprehended")</f>
        <v>Fled/Apprehended</v>
      </c>
      <c r="G1050" s="1" t="str">
        <f ca="1">IFERROR(__xludf.DUMMYFUNCTION("""COMPUTED_VALUE"""),"No")</f>
        <v>No</v>
      </c>
      <c r="H1050" s="1" t="str">
        <f ca="1">IFERROR(__xludf.DUMMYFUNCTION("""COMPUTED_VALUE"""),"None")</f>
        <v>None</v>
      </c>
    </row>
    <row r="1051" spans="1:8" ht="12.5">
      <c r="A1051" s="1" t="str">
        <f ca="1">IFERROR(__xludf.DUMMYFUNCTION("""COMPUTED_VALUE"""),"20210610CTHOW")</f>
        <v>20210610CTHOW</v>
      </c>
      <c r="B1051" s="1">
        <f ca="1">IFERROR(__xludf.DUMMYFUNCTION("""COMPUTED_VALUE"""),41)</f>
        <v>41</v>
      </c>
      <c r="C1051" s="1" t="str">
        <f ca="1">IFERROR(__xludf.DUMMYFUNCTION("""COMPUTED_VALUE"""),"Male")</f>
        <v>Male</v>
      </c>
      <c r="D1051" s="1" t="str">
        <f ca="1">IFERROR(__xludf.DUMMYFUNCTION("""COMPUTED_VALUE"""),"Hispanic")</f>
        <v>Hispanic</v>
      </c>
      <c r="E1051" s="1" t="str">
        <f ca="1">IFERROR(__xludf.DUMMYFUNCTION("""COMPUTED_VALUE"""),"No Relation")</f>
        <v>No Relation</v>
      </c>
      <c r="F1051" s="1" t="str">
        <f ca="1">IFERROR(__xludf.DUMMYFUNCTION("""COMPUTED_VALUE"""),"Apprehended/Killed by LE")</f>
        <v>Apprehended/Killed by LE</v>
      </c>
      <c r="G1051" s="1" t="str">
        <f ca="1">IFERROR(__xludf.DUMMYFUNCTION("""COMPUTED_VALUE"""),"No")</f>
        <v>No</v>
      </c>
      <c r="H1051" s="1" t="str">
        <f ca="1">IFERROR(__xludf.DUMMYFUNCTION("""COMPUTED_VALUE"""),"None")</f>
        <v>None</v>
      </c>
    </row>
    <row r="1052" spans="1:8" ht="12.5">
      <c r="A1052" s="1" t="str">
        <f ca="1">IFERROR(__xludf.DUMMYFUNCTION("""COMPUTED_VALUE"""),"20210610CTHOW")</f>
        <v>20210610CTHOW</v>
      </c>
      <c r="B1052" s="1">
        <f ca="1">IFERROR(__xludf.DUMMYFUNCTION("""COMPUTED_VALUE"""),45)</f>
        <v>45</v>
      </c>
      <c r="C1052" s="1" t="str">
        <f ca="1">IFERROR(__xludf.DUMMYFUNCTION("""COMPUTED_VALUE"""),"Male")</f>
        <v>Male</v>
      </c>
      <c r="D1052" s="1" t="str">
        <f ca="1">IFERROR(__xludf.DUMMYFUNCTION("""COMPUTED_VALUE"""),"White")</f>
        <v>White</v>
      </c>
      <c r="E1052" s="1" t="str">
        <f ca="1">IFERROR(__xludf.DUMMYFUNCTION("""COMPUTED_VALUE"""),"No Relation")</f>
        <v>No Relation</v>
      </c>
      <c r="F1052" s="1" t="str">
        <f ca="1">IFERROR(__xludf.DUMMYFUNCTION("""COMPUTED_VALUE"""),"Apprehended/Killed by LE")</f>
        <v>Apprehended/Killed by LE</v>
      </c>
      <c r="G1052" s="1" t="str">
        <f ca="1">IFERROR(__xludf.DUMMYFUNCTION("""COMPUTED_VALUE"""),"No")</f>
        <v>No</v>
      </c>
      <c r="H1052" s="1" t="str">
        <f ca="1">IFERROR(__xludf.DUMMYFUNCTION("""COMPUTED_VALUE"""),"None")</f>
        <v>None</v>
      </c>
    </row>
    <row r="1053" spans="1:8" ht="12.5">
      <c r="A1053" s="1" t="str">
        <f ca="1">IFERROR(__xludf.DUMMYFUNCTION("""COMPUTED_VALUE"""),"20210609VAWIR")</f>
        <v>20210609VAWIR</v>
      </c>
      <c r="B1053" s="1" t="str">
        <f ca="1">IFERROR(__xludf.DUMMYFUNCTION("""COMPUTED_VALUE"""),"Teen")</f>
        <v>Teen</v>
      </c>
      <c r="C1053" s="1" t="str">
        <f ca="1">IFERROR(__xludf.DUMMYFUNCTION("""COMPUTED_VALUE"""),"Male")</f>
        <v>Male</v>
      </c>
      <c r="D1053" s="1"/>
      <c r="E1053" s="1" t="str">
        <f ca="1">IFERROR(__xludf.DUMMYFUNCTION("""COMPUTED_VALUE"""),"Student")</f>
        <v>Student</v>
      </c>
      <c r="F1053" s="1" t="str">
        <f ca="1">IFERROR(__xludf.DUMMYFUNCTION("""COMPUTED_VALUE"""),"Fled/Apprehended")</f>
        <v>Fled/Apprehended</v>
      </c>
      <c r="G1053" s="1" t="str">
        <f ca="1">IFERROR(__xludf.DUMMYFUNCTION("""COMPUTED_VALUE"""),"No")</f>
        <v>No</v>
      </c>
      <c r="H1053" s="1" t="str">
        <f ca="1">IFERROR(__xludf.DUMMYFUNCTION("""COMPUTED_VALUE"""),"None")</f>
        <v>None</v>
      </c>
    </row>
    <row r="1054" spans="1:8" ht="12.5">
      <c r="A1054" s="1" t="str">
        <f ca="1">IFERROR(__xludf.DUMMYFUNCTION("""COMPUTED_VALUE"""),"20210609TXNOH")</f>
        <v>20210609TXNOH</v>
      </c>
      <c r="B1054" s="1">
        <f ca="1">IFERROR(__xludf.DUMMYFUNCTION("""COMPUTED_VALUE"""),18)</f>
        <v>18</v>
      </c>
      <c r="C1054" s="1" t="str">
        <f ca="1">IFERROR(__xludf.DUMMYFUNCTION("""COMPUTED_VALUE"""),"Male")</f>
        <v>Male</v>
      </c>
      <c r="D1054" s="1"/>
      <c r="E1054" s="1" t="str">
        <f ca="1">IFERROR(__xludf.DUMMYFUNCTION("""COMPUTED_VALUE"""),"Student")</f>
        <v>Student</v>
      </c>
      <c r="F1054" s="1" t="str">
        <f ca="1">IFERROR(__xludf.DUMMYFUNCTION("""COMPUTED_VALUE"""),"Fled/Apprehended")</f>
        <v>Fled/Apprehended</v>
      </c>
      <c r="G1054" s="1" t="str">
        <f ca="1">IFERROR(__xludf.DUMMYFUNCTION("""COMPUTED_VALUE"""),"No")</f>
        <v>No</v>
      </c>
      <c r="H1054" s="1" t="str">
        <f ca="1">IFERROR(__xludf.DUMMYFUNCTION("""COMPUTED_VALUE"""),"None")</f>
        <v>None</v>
      </c>
    </row>
    <row r="1055" spans="1:8" ht="12.5">
      <c r="A1055" s="1" t="str">
        <f ca="1">IFERROR(__xludf.DUMMYFUNCTION("""COMPUTED_VALUE"""),"20210608PAMUS")</f>
        <v>20210608PAMUS</v>
      </c>
      <c r="B1055" s="1">
        <f ca="1">IFERROR(__xludf.DUMMYFUNCTION("""COMPUTED_VALUE"""),17)</f>
        <v>17</v>
      </c>
      <c r="C1055" s="1" t="str">
        <f ca="1">IFERROR(__xludf.DUMMYFUNCTION("""COMPUTED_VALUE"""),"Male")</f>
        <v>Male</v>
      </c>
      <c r="D1055" s="1"/>
      <c r="E1055" s="1" t="str">
        <f ca="1">IFERROR(__xludf.DUMMYFUNCTION("""COMPUTED_VALUE"""),"No Relation")</f>
        <v>No Relation</v>
      </c>
      <c r="F1055" s="1" t="str">
        <f ca="1">IFERROR(__xludf.DUMMYFUNCTION("""COMPUTED_VALUE"""),"Fled/Apprehended")</f>
        <v>Fled/Apprehended</v>
      </c>
      <c r="G1055" s="1" t="str">
        <f ca="1">IFERROR(__xludf.DUMMYFUNCTION("""COMPUTED_VALUE"""),"No")</f>
        <v>No</v>
      </c>
      <c r="H1055" s="1" t="str">
        <f ca="1">IFERROR(__xludf.DUMMYFUNCTION("""COMPUTED_VALUE"""),"None")</f>
        <v>None</v>
      </c>
    </row>
    <row r="1056" spans="1:8" ht="12.5">
      <c r="A1056" s="1" t="str">
        <f ca="1">IFERROR(__xludf.DUMMYFUNCTION("""COMPUTED_VALUE"""),"20210608KSHAK")</f>
        <v>20210608KSHAK</v>
      </c>
      <c r="B1056" s="1">
        <f ca="1">IFERROR(__xludf.DUMMYFUNCTION("""COMPUTED_VALUE"""),16)</f>
        <v>16</v>
      </c>
      <c r="C1056" s="1" t="str">
        <f ca="1">IFERROR(__xludf.DUMMYFUNCTION("""COMPUTED_VALUE"""),"Male")</f>
        <v>Male</v>
      </c>
      <c r="D1056" s="1"/>
      <c r="E1056" s="1" t="str">
        <f ca="1">IFERROR(__xludf.DUMMYFUNCTION("""COMPUTED_VALUE"""),"No Relation")</f>
        <v>No Relation</v>
      </c>
      <c r="F1056" s="1" t="str">
        <f ca="1">IFERROR(__xludf.DUMMYFUNCTION("""COMPUTED_VALUE"""),"Fled/Apprehended")</f>
        <v>Fled/Apprehended</v>
      </c>
      <c r="G1056" s="1" t="str">
        <f ca="1">IFERROR(__xludf.DUMMYFUNCTION("""COMPUTED_VALUE"""),"No")</f>
        <v>No</v>
      </c>
      <c r="H1056" s="1" t="str">
        <f ca="1">IFERROR(__xludf.DUMMYFUNCTION("""COMPUTED_VALUE"""),"None")</f>
        <v>None</v>
      </c>
    </row>
    <row r="1057" spans="1:8" ht="12.5">
      <c r="A1057" s="1" t="str">
        <f ca="1">IFERROR(__xludf.DUMMYFUNCTION("""COMPUTED_VALUE"""),"20210608KSHAK")</f>
        <v>20210608KSHAK</v>
      </c>
      <c r="B1057" s="1">
        <f ca="1">IFERROR(__xludf.DUMMYFUNCTION("""COMPUTED_VALUE"""),17)</f>
        <v>17</v>
      </c>
      <c r="C1057" s="1" t="str">
        <f ca="1">IFERROR(__xludf.DUMMYFUNCTION("""COMPUTED_VALUE"""),"Male")</f>
        <v>Male</v>
      </c>
      <c r="D1057" s="1"/>
      <c r="E1057" s="1"/>
      <c r="F1057" s="1" t="str">
        <f ca="1">IFERROR(__xludf.DUMMYFUNCTION("""COMPUTED_VALUE"""),"Fled/Apprehended")</f>
        <v>Fled/Apprehended</v>
      </c>
      <c r="G1057" s="1" t="str">
        <f ca="1">IFERROR(__xludf.DUMMYFUNCTION("""COMPUTED_VALUE"""),"No")</f>
        <v>No</v>
      </c>
      <c r="H1057" s="1" t="str">
        <f ca="1">IFERROR(__xludf.DUMMYFUNCTION("""COMPUTED_VALUE"""),"None")</f>
        <v>None</v>
      </c>
    </row>
    <row r="1058" spans="1:8" ht="12.5">
      <c r="A1058" s="1" t="str">
        <f ca="1">IFERROR(__xludf.DUMMYFUNCTION("""COMPUTED_VALUE"""),"20210607TXEAF")</f>
        <v>20210607TXEAF</v>
      </c>
      <c r="B1058" s="1"/>
      <c r="C1058" s="1"/>
      <c r="D1058" s="1"/>
      <c r="E1058" s="1"/>
      <c r="F1058" s="1" t="str">
        <f ca="1">IFERROR(__xludf.DUMMYFUNCTION("""COMPUTED_VALUE"""),"Fled/Escaped")</f>
        <v>Fled/Escaped</v>
      </c>
      <c r="G1058" s="1" t="str">
        <f ca="1">IFERROR(__xludf.DUMMYFUNCTION("""COMPUTED_VALUE"""),"No")</f>
        <v>No</v>
      </c>
      <c r="H1058" s="1" t="str">
        <f ca="1">IFERROR(__xludf.DUMMYFUNCTION("""COMPUTED_VALUE"""),"None")</f>
        <v>None</v>
      </c>
    </row>
    <row r="1059" spans="1:8" ht="12.5">
      <c r="A1059" s="1" t="str">
        <f ca="1">IFERROR(__xludf.DUMMYFUNCTION("""COMPUTED_VALUE"""),"20210606VADRA")</f>
        <v>20210606VADRA</v>
      </c>
      <c r="B1059" s="1"/>
      <c r="C1059" s="1"/>
      <c r="D1059" s="1"/>
      <c r="E1059" s="1" t="str">
        <f ca="1">IFERROR(__xludf.DUMMYFUNCTION("""COMPUTED_VALUE"""),"No Relation")</f>
        <v>No Relation</v>
      </c>
      <c r="F1059" s="1" t="str">
        <f ca="1">IFERROR(__xludf.DUMMYFUNCTION("""COMPUTED_VALUE"""),"Fled/Escaped")</f>
        <v>Fled/Escaped</v>
      </c>
      <c r="G1059" s="1" t="str">
        <f ca="1">IFERROR(__xludf.DUMMYFUNCTION("""COMPUTED_VALUE"""),"No")</f>
        <v>No</v>
      </c>
      <c r="H1059" s="1" t="str">
        <f ca="1">IFERROR(__xludf.DUMMYFUNCTION("""COMPUTED_VALUE"""),"None")</f>
        <v>None</v>
      </c>
    </row>
    <row r="1060" spans="1:8" ht="12.5">
      <c r="A1060" s="1" t="str">
        <f ca="1">IFERROR(__xludf.DUMMYFUNCTION("""COMPUTED_VALUE"""),"20210606VADRA")</f>
        <v>20210606VADRA</v>
      </c>
      <c r="B1060" s="1"/>
      <c r="C1060" s="1"/>
      <c r="D1060" s="1"/>
      <c r="E1060" s="1" t="str">
        <f ca="1">IFERROR(__xludf.DUMMYFUNCTION("""COMPUTED_VALUE"""),"No Relation")</f>
        <v>No Relation</v>
      </c>
      <c r="F1060" s="1" t="str">
        <f ca="1">IFERROR(__xludf.DUMMYFUNCTION("""COMPUTED_VALUE"""),"Fled/Escaped")</f>
        <v>Fled/Escaped</v>
      </c>
      <c r="G1060" s="1" t="str">
        <f ca="1">IFERROR(__xludf.DUMMYFUNCTION("""COMPUTED_VALUE"""),"No")</f>
        <v>No</v>
      </c>
      <c r="H1060" s="1" t="str">
        <f ca="1">IFERROR(__xludf.DUMMYFUNCTION("""COMPUTED_VALUE"""),"None")</f>
        <v>None</v>
      </c>
    </row>
    <row r="1061" spans="1:8" ht="12.5">
      <c r="A1061" s="1" t="str">
        <f ca="1">IFERROR(__xludf.DUMMYFUNCTION("""COMPUTED_VALUE"""),"20210601ILLIC")</f>
        <v>20210601ILLIC</v>
      </c>
      <c r="B1061" s="1">
        <f ca="1">IFERROR(__xludf.DUMMYFUNCTION("""COMPUTED_VALUE"""),17)</f>
        <v>17</v>
      </c>
      <c r="C1061" s="1" t="str">
        <f ca="1">IFERROR(__xludf.DUMMYFUNCTION("""COMPUTED_VALUE"""),"Male")</f>
        <v>Male</v>
      </c>
      <c r="D1061" s="1"/>
      <c r="E1061" s="1"/>
      <c r="F1061" s="1" t="str">
        <f ca="1">IFERROR(__xludf.DUMMYFUNCTION("""COMPUTED_VALUE"""),"Fled/Escaped")</f>
        <v>Fled/Escaped</v>
      </c>
      <c r="G1061" s="1" t="str">
        <f ca="1">IFERROR(__xludf.DUMMYFUNCTION("""COMPUTED_VALUE"""),"No")</f>
        <v>No</v>
      </c>
      <c r="H1061" s="1" t="str">
        <f ca="1">IFERROR(__xludf.DUMMYFUNCTION("""COMPUTED_VALUE"""),"None")</f>
        <v>None</v>
      </c>
    </row>
    <row r="1062" spans="1:8" ht="12.5">
      <c r="A1062" s="1" t="str">
        <f ca="1">IFERROR(__xludf.DUMMYFUNCTION("""COMPUTED_VALUE"""),"20210525NJPAP")</f>
        <v>20210525NJPAP</v>
      </c>
      <c r="B1062" s="1">
        <f ca="1">IFERROR(__xludf.DUMMYFUNCTION("""COMPUTED_VALUE"""),15)</f>
        <v>15</v>
      </c>
      <c r="C1062" s="1" t="str">
        <f ca="1">IFERROR(__xludf.DUMMYFUNCTION("""COMPUTED_VALUE"""),"Male")</f>
        <v>Male</v>
      </c>
      <c r="D1062" s="1"/>
      <c r="E1062" s="1" t="str">
        <f ca="1">IFERROR(__xludf.DUMMYFUNCTION("""COMPUTED_VALUE"""),"No Relation")</f>
        <v>No Relation</v>
      </c>
      <c r="F1062" s="1" t="str">
        <f ca="1">IFERROR(__xludf.DUMMYFUNCTION("""COMPUTED_VALUE"""),"Apprehended/Killed by LE")</f>
        <v>Apprehended/Killed by LE</v>
      </c>
      <c r="G1062" s="1" t="str">
        <f ca="1">IFERROR(__xludf.DUMMYFUNCTION("""COMPUTED_VALUE"""),"No")</f>
        <v>No</v>
      </c>
      <c r="H1062" s="1" t="str">
        <f ca="1">IFERROR(__xludf.DUMMYFUNCTION("""COMPUTED_VALUE"""),"None")</f>
        <v>None</v>
      </c>
    </row>
    <row r="1063" spans="1:8" ht="12.5">
      <c r="A1063" s="1" t="str">
        <f ca="1">IFERROR(__xludf.DUMMYFUNCTION("""COMPUTED_VALUE"""),"20210517TXBRE")</f>
        <v>20210517TXBRE</v>
      </c>
      <c r="B1063" s="1">
        <f ca="1">IFERROR(__xludf.DUMMYFUNCTION("""COMPUTED_VALUE"""),13)</f>
        <v>13</v>
      </c>
      <c r="C1063" s="1" t="str">
        <f ca="1">IFERROR(__xludf.DUMMYFUNCTION("""COMPUTED_VALUE"""),"Male")</f>
        <v>Male</v>
      </c>
      <c r="D1063" s="1"/>
      <c r="E1063" s="1" t="str">
        <f ca="1">IFERROR(__xludf.DUMMYFUNCTION("""COMPUTED_VALUE"""),"Student")</f>
        <v>Student</v>
      </c>
      <c r="F1063" s="1" t="str">
        <f ca="1">IFERROR(__xludf.DUMMYFUNCTION("""COMPUTED_VALUE"""),"Fled/Escaped")</f>
        <v>Fled/Escaped</v>
      </c>
      <c r="G1063" s="1" t="str">
        <f ca="1">IFERROR(__xludf.DUMMYFUNCTION("""COMPUTED_VALUE"""),"No")</f>
        <v>No</v>
      </c>
      <c r="H1063" s="1" t="str">
        <f ca="1">IFERROR(__xludf.DUMMYFUNCTION("""COMPUTED_VALUE"""),"None")</f>
        <v>None</v>
      </c>
    </row>
    <row r="1064" spans="1:8" ht="12.5">
      <c r="A1064" s="1" t="str">
        <f ca="1">IFERROR(__xludf.DUMMYFUNCTION("""COMPUTED_VALUE"""),"20210517TNAUM")</f>
        <v>20210517TNAUM</v>
      </c>
      <c r="B1064" s="1">
        <f ca="1">IFERROR(__xludf.DUMMYFUNCTION("""COMPUTED_VALUE"""),51)</f>
        <v>51</v>
      </c>
      <c r="C1064" s="1" t="str">
        <f ca="1">IFERROR(__xludf.DUMMYFUNCTION("""COMPUTED_VALUE"""),"Male")</f>
        <v>Male</v>
      </c>
      <c r="D1064" s="1" t="str">
        <f ca="1">IFERROR(__xludf.DUMMYFUNCTION("""COMPUTED_VALUE"""),"White")</f>
        <v>White</v>
      </c>
      <c r="E1064" s="1" t="str">
        <f ca="1">IFERROR(__xludf.DUMMYFUNCTION("""COMPUTED_VALUE"""),"No Relation")</f>
        <v>No Relation</v>
      </c>
      <c r="F1064" s="1" t="str">
        <f ca="1">IFERROR(__xludf.DUMMYFUNCTION("""COMPUTED_VALUE"""),"Apprehended/Killed by LE")</f>
        <v>Apprehended/Killed by LE</v>
      </c>
      <c r="G1064" s="1" t="str">
        <f ca="1">IFERROR(__xludf.DUMMYFUNCTION("""COMPUTED_VALUE"""),"No")</f>
        <v>No</v>
      </c>
      <c r="H1064" s="1" t="str">
        <f ca="1">IFERROR(__xludf.DUMMYFUNCTION("""COMPUTED_VALUE"""),"None")</f>
        <v>None</v>
      </c>
    </row>
    <row r="1065" spans="1:8" ht="12.5">
      <c r="A1065" s="1" t="str">
        <f ca="1">IFERROR(__xludf.DUMMYFUNCTION("""COMPUTED_VALUE"""),"20210517MDLOC")</f>
        <v>20210517MDLOC</v>
      </c>
      <c r="B1065" s="1">
        <f ca="1">IFERROR(__xludf.DUMMYFUNCTION("""COMPUTED_VALUE"""),18)</f>
        <v>18</v>
      </c>
      <c r="C1065" s="1" t="str">
        <f ca="1">IFERROR(__xludf.DUMMYFUNCTION("""COMPUTED_VALUE"""),"Male")</f>
        <v>Male</v>
      </c>
      <c r="D1065" s="1"/>
      <c r="E1065" s="1" t="str">
        <f ca="1">IFERROR(__xludf.DUMMYFUNCTION("""COMPUTED_VALUE"""),"Relative")</f>
        <v>Relative</v>
      </c>
      <c r="F1065" s="1" t="str">
        <f ca="1">IFERROR(__xludf.DUMMYFUNCTION("""COMPUTED_VALUE"""),"Apprehended/Killed by LE")</f>
        <v>Apprehended/Killed by LE</v>
      </c>
      <c r="G1065" s="1" t="str">
        <f ca="1">IFERROR(__xludf.DUMMYFUNCTION("""COMPUTED_VALUE"""),"No")</f>
        <v>No</v>
      </c>
      <c r="H1065" s="1" t="str">
        <f ca="1">IFERROR(__xludf.DUMMYFUNCTION("""COMPUTED_VALUE"""),"None")</f>
        <v>None</v>
      </c>
    </row>
    <row r="1066" spans="1:8" ht="12.5">
      <c r="A1066" s="1" t="str">
        <f ca="1">IFERROR(__xludf.DUMMYFUNCTION("""COMPUTED_VALUE"""),"20210517MDLOC")</f>
        <v>20210517MDLOC</v>
      </c>
      <c r="B1066" s="1">
        <f ca="1">IFERROR(__xludf.DUMMYFUNCTION("""COMPUTED_VALUE"""),20)</f>
        <v>20</v>
      </c>
      <c r="C1066" s="1" t="str">
        <f ca="1">IFERROR(__xludf.DUMMYFUNCTION("""COMPUTED_VALUE"""),"Female")</f>
        <v>Female</v>
      </c>
      <c r="D1066" s="1" t="str">
        <f ca="1">IFERROR(__xludf.DUMMYFUNCTION("""COMPUTED_VALUE"""),"Hispanic")</f>
        <v>Hispanic</v>
      </c>
      <c r="E1066" s="1" t="str">
        <f ca="1">IFERROR(__xludf.DUMMYFUNCTION("""COMPUTED_VALUE"""),"Relative")</f>
        <v>Relative</v>
      </c>
      <c r="F1066" s="1" t="str">
        <f ca="1">IFERROR(__xludf.DUMMYFUNCTION("""COMPUTED_VALUE"""),"Apprehended/Killed by LE")</f>
        <v>Apprehended/Killed by LE</v>
      </c>
      <c r="G1066" s="1" t="str">
        <f ca="1">IFERROR(__xludf.DUMMYFUNCTION("""COMPUTED_VALUE"""),"No")</f>
        <v>No</v>
      </c>
      <c r="H1066" s="1" t="str">
        <f ca="1">IFERROR(__xludf.DUMMYFUNCTION("""COMPUTED_VALUE"""),"None")</f>
        <v>None</v>
      </c>
    </row>
    <row r="1067" spans="1:8" ht="12.5">
      <c r="A1067" s="1" t="str">
        <f ca="1">IFERROR(__xludf.DUMMYFUNCTION("""COMPUTED_VALUE"""),"20210514CASAS")</f>
        <v>20210514CASAS</v>
      </c>
      <c r="B1067" s="1">
        <f ca="1">IFERROR(__xludf.DUMMYFUNCTION("""COMPUTED_VALUE"""),16)</f>
        <v>16</v>
      </c>
      <c r="C1067" s="1" t="str">
        <f ca="1">IFERROR(__xludf.DUMMYFUNCTION("""COMPUTED_VALUE"""),"Male")</f>
        <v>Male</v>
      </c>
      <c r="D1067" s="1"/>
      <c r="E1067" s="1" t="str">
        <f ca="1">IFERROR(__xludf.DUMMYFUNCTION("""COMPUTED_VALUE"""),"No Relation")</f>
        <v>No Relation</v>
      </c>
      <c r="F1067" s="1" t="str">
        <f ca="1">IFERROR(__xludf.DUMMYFUNCTION("""COMPUTED_VALUE"""),"Fled/Escaped")</f>
        <v>Fled/Escaped</v>
      </c>
      <c r="G1067" s="1" t="str">
        <f ca="1">IFERROR(__xludf.DUMMYFUNCTION("""COMPUTED_VALUE"""),"No")</f>
        <v>No</v>
      </c>
      <c r="H1067" s="1" t="str">
        <f ca="1">IFERROR(__xludf.DUMMYFUNCTION("""COMPUTED_VALUE"""),"None")</f>
        <v>None</v>
      </c>
    </row>
    <row r="1068" spans="1:8" ht="12.5">
      <c r="A1068" s="1" t="str">
        <f ca="1">IFERROR(__xludf.DUMMYFUNCTION("""COMPUTED_VALUE"""),"20210514CASAS")</f>
        <v>20210514CASAS</v>
      </c>
      <c r="B1068" s="1">
        <f ca="1">IFERROR(__xludf.DUMMYFUNCTION("""COMPUTED_VALUE"""),16)</f>
        <v>16</v>
      </c>
      <c r="C1068" s="1" t="str">
        <f ca="1">IFERROR(__xludf.DUMMYFUNCTION("""COMPUTED_VALUE"""),"Male")</f>
        <v>Male</v>
      </c>
      <c r="D1068" s="1"/>
      <c r="E1068" s="1" t="str">
        <f ca="1">IFERROR(__xludf.DUMMYFUNCTION("""COMPUTED_VALUE"""),"No Relation")</f>
        <v>No Relation</v>
      </c>
      <c r="F1068" s="1" t="str">
        <f ca="1">IFERROR(__xludf.DUMMYFUNCTION("""COMPUTED_VALUE"""),"Fled/Escaped")</f>
        <v>Fled/Escaped</v>
      </c>
      <c r="G1068" s="1" t="str">
        <f ca="1">IFERROR(__xludf.DUMMYFUNCTION("""COMPUTED_VALUE"""),"No")</f>
        <v>No</v>
      </c>
      <c r="H1068" s="1" t="str">
        <f ca="1">IFERROR(__xludf.DUMMYFUNCTION("""COMPUTED_VALUE"""),"None")</f>
        <v>None</v>
      </c>
    </row>
    <row r="1069" spans="1:8" ht="12.5">
      <c r="A1069" s="1" t="str">
        <f ca="1">IFERROR(__xludf.DUMMYFUNCTION("""COMPUTED_VALUE"""),"20210511NYPSB")</f>
        <v>20210511NYPSB</v>
      </c>
      <c r="B1069" s="1" t="str">
        <f ca="1">IFERROR(__xludf.DUMMYFUNCTION("""COMPUTED_VALUE"""),"Teen")</f>
        <v>Teen</v>
      </c>
      <c r="C1069" s="1" t="str">
        <f ca="1">IFERROR(__xludf.DUMMYFUNCTION("""COMPUTED_VALUE"""),"Male")</f>
        <v>Male</v>
      </c>
      <c r="D1069" s="1" t="str">
        <f ca="1">IFERROR(__xludf.DUMMYFUNCTION("""COMPUTED_VALUE"""),"Black")</f>
        <v>Black</v>
      </c>
      <c r="E1069" s="1" t="str">
        <f ca="1">IFERROR(__xludf.DUMMYFUNCTION("""COMPUTED_VALUE"""),"Student")</f>
        <v>Student</v>
      </c>
      <c r="F1069" s="1" t="str">
        <f ca="1">IFERROR(__xludf.DUMMYFUNCTION("""COMPUTED_VALUE"""),"Fled/Escaped")</f>
        <v>Fled/Escaped</v>
      </c>
      <c r="G1069" s="1" t="str">
        <f ca="1">IFERROR(__xludf.DUMMYFUNCTION("""COMPUTED_VALUE"""),"No")</f>
        <v>No</v>
      </c>
      <c r="H1069" s="1" t="str">
        <f ca="1">IFERROR(__xludf.DUMMYFUNCTION("""COMPUTED_VALUE"""),"None")</f>
        <v>None</v>
      </c>
    </row>
    <row r="1070" spans="1:8" ht="12.5">
      <c r="A1070" s="1" t="str">
        <f ca="1">IFERROR(__xludf.DUMMYFUNCTION("""COMPUTED_VALUE"""),"20210511CAVEL")</f>
        <v>20210511CAVEL</v>
      </c>
      <c r="B1070" s="1"/>
      <c r="C1070" s="1"/>
      <c r="D1070" s="1"/>
      <c r="E1070" s="1" t="str">
        <f ca="1">IFERROR(__xludf.DUMMYFUNCTION("""COMPUTED_VALUE"""),"No Relation")</f>
        <v>No Relation</v>
      </c>
      <c r="F1070" s="1" t="str">
        <f ca="1">IFERROR(__xludf.DUMMYFUNCTION("""COMPUTED_VALUE"""),"Fled/Escaped")</f>
        <v>Fled/Escaped</v>
      </c>
      <c r="G1070" s="1" t="str">
        <f ca="1">IFERROR(__xludf.DUMMYFUNCTION("""COMPUTED_VALUE"""),"No")</f>
        <v>No</v>
      </c>
      <c r="H1070" s="1" t="str">
        <f ca="1">IFERROR(__xludf.DUMMYFUNCTION("""COMPUTED_VALUE"""),"None")</f>
        <v>None</v>
      </c>
    </row>
    <row r="1071" spans="1:8" ht="12.5">
      <c r="A1071" s="1" t="str">
        <f ca="1">IFERROR(__xludf.DUMMYFUNCTION("""COMPUTED_VALUE"""),"20210506SCFOC")</f>
        <v>20210506SCFOC</v>
      </c>
      <c r="B1071" s="1">
        <f ca="1">IFERROR(__xludf.DUMMYFUNCTION("""COMPUTED_VALUE"""),23)</f>
        <v>23</v>
      </c>
      <c r="C1071" s="1" t="str">
        <f ca="1">IFERROR(__xludf.DUMMYFUNCTION("""COMPUTED_VALUE"""),"Male")</f>
        <v>Male</v>
      </c>
      <c r="D1071" s="1"/>
      <c r="E1071" s="1" t="str">
        <f ca="1">IFERROR(__xludf.DUMMYFUNCTION("""COMPUTED_VALUE"""),"No Relation")</f>
        <v>No Relation</v>
      </c>
      <c r="F1071" s="1" t="str">
        <f ca="1">IFERROR(__xludf.DUMMYFUNCTION("""COMPUTED_VALUE"""),"Apprehended/Killed by LE")</f>
        <v>Apprehended/Killed by LE</v>
      </c>
      <c r="G1071" s="1" t="str">
        <f ca="1">IFERROR(__xludf.DUMMYFUNCTION("""COMPUTED_VALUE"""),"No")</f>
        <v>No</v>
      </c>
      <c r="H1071" s="1" t="str">
        <f ca="1">IFERROR(__xludf.DUMMYFUNCTION("""COMPUTED_VALUE"""),"None")</f>
        <v>None</v>
      </c>
    </row>
    <row r="1072" spans="1:8" ht="12.5">
      <c r="A1072" s="1" t="str">
        <f ca="1">IFERROR(__xludf.DUMMYFUNCTION("""COMPUTED_VALUE"""),"20210506IDRIR")</f>
        <v>20210506IDRIR</v>
      </c>
      <c r="B1072" s="1">
        <f ca="1">IFERROR(__xludf.DUMMYFUNCTION("""COMPUTED_VALUE"""),13)</f>
        <v>13</v>
      </c>
      <c r="C1072" s="1" t="str">
        <f ca="1">IFERROR(__xludf.DUMMYFUNCTION("""COMPUTED_VALUE"""),"Female")</f>
        <v>Female</v>
      </c>
      <c r="D1072" s="1"/>
      <c r="E1072" s="1" t="str">
        <f ca="1">IFERROR(__xludf.DUMMYFUNCTION("""COMPUTED_VALUE"""),"Student")</f>
        <v>Student</v>
      </c>
      <c r="F1072" s="1" t="str">
        <f ca="1">IFERROR(__xludf.DUMMYFUNCTION("""COMPUTED_VALUE"""),"Subdued by Students/Staff/Other")</f>
        <v>Subdued by Students/Staff/Other</v>
      </c>
      <c r="G1072" s="1" t="str">
        <f ca="1">IFERROR(__xludf.DUMMYFUNCTION("""COMPUTED_VALUE"""),"No")</f>
        <v>No</v>
      </c>
      <c r="H1072" s="1" t="str">
        <f ca="1">IFERROR(__xludf.DUMMYFUNCTION("""COMPUTED_VALUE"""),"None")</f>
        <v>None</v>
      </c>
    </row>
    <row r="1073" spans="1:8" ht="12.5">
      <c r="A1073" s="1" t="str">
        <f ca="1">IFERROR(__xludf.DUMMYFUNCTION("""COMPUTED_VALUE"""),"20210505SCWAW")</f>
        <v>20210505SCWAW</v>
      </c>
      <c r="B1073" s="1" t="str">
        <f ca="1">IFERROR(__xludf.DUMMYFUNCTION("""COMPUTED_VALUE"""),"Teen")</f>
        <v>Teen</v>
      </c>
      <c r="C1073" s="1" t="str">
        <f ca="1">IFERROR(__xludf.DUMMYFUNCTION("""COMPUTED_VALUE"""),"Male")</f>
        <v>Male</v>
      </c>
      <c r="D1073" s="1"/>
      <c r="E1073" s="1" t="str">
        <f ca="1">IFERROR(__xludf.DUMMYFUNCTION("""COMPUTED_VALUE"""),"Student")</f>
        <v>Student</v>
      </c>
      <c r="F1073" s="1" t="str">
        <f ca="1">IFERROR(__xludf.DUMMYFUNCTION("""COMPUTED_VALUE"""),"Suicide")</f>
        <v>Suicide</v>
      </c>
      <c r="G1073" s="1" t="str">
        <f ca="1">IFERROR(__xludf.DUMMYFUNCTION("""COMPUTED_VALUE"""),"Yes")</f>
        <v>Yes</v>
      </c>
      <c r="H1073" s="1" t="str">
        <f ca="1">IFERROR(__xludf.DUMMYFUNCTION("""COMPUTED_VALUE"""),"Suicide")</f>
        <v>Suicide</v>
      </c>
    </row>
    <row r="1074" spans="1:8" ht="12.5">
      <c r="A1074" s="1" t="str">
        <f ca="1">IFERROR(__xludf.DUMMYFUNCTION("""COMPUTED_VALUE"""),"20210505MICRC")</f>
        <v>20210505MICRC</v>
      </c>
      <c r="B1074" s="1" t="str">
        <f ca="1">IFERROR(__xludf.DUMMYFUNCTION("""COMPUTED_VALUE"""),"Adult")</f>
        <v>Adult</v>
      </c>
      <c r="C1074" s="1" t="str">
        <f ca="1">IFERROR(__xludf.DUMMYFUNCTION("""COMPUTED_VALUE"""),"Male")</f>
        <v>Male</v>
      </c>
      <c r="D1074" s="1"/>
      <c r="E1074" s="1" t="str">
        <f ca="1">IFERROR(__xludf.DUMMYFUNCTION("""COMPUTED_VALUE"""),"No Relation")</f>
        <v>No Relation</v>
      </c>
      <c r="F1074" s="1" t="str">
        <f ca="1">IFERROR(__xludf.DUMMYFUNCTION("""COMPUTED_VALUE"""),"Apprehended/Killed by LE")</f>
        <v>Apprehended/Killed by LE</v>
      </c>
      <c r="G1074" s="1" t="str">
        <f ca="1">IFERROR(__xludf.DUMMYFUNCTION("""COMPUTED_VALUE"""),"No")</f>
        <v>No</v>
      </c>
      <c r="H1074" s="1" t="str">
        <f ca="1">IFERROR(__xludf.DUMMYFUNCTION("""COMPUTED_VALUE"""),"Wounded")</f>
        <v>Wounded</v>
      </c>
    </row>
    <row r="1075" spans="1:8" ht="12.5">
      <c r="A1075" s="1" t="str">
        <f ca="1">IFERROR(__xludf.DUMMYFUNCTION("""COMPUTED_VALUE"""),"20210502ILCHC")</f>
        <v>20210502ILCHC</v>
      </c>
      <c r="B1075" s="1" t="str">
        <f ca="1">IFERROR(__xludf.DUMMYFUNCTION("""COMPUTED_VALUE"""),"Adult")</f>
        <v>Adult</v>
      </c>
      <c r="C1075" s="1"/>
      <c r="D1075" s="1"/>
      <c r="E1075" s="1" t="str">
        <f ca="1">IFERROR(__xludf.DUMMYFUNCTION("""COMPUTED_VALUE"""),"No Relation")</f>
        <v>No Relation</v>
      </c>
      <c r="F1075" s="1" t="str">
        <f ca="1">IFERROR(__xludf.DUMMYFUNCTION("""COMPUTED_VALUE"""),"Fled/Escaped")</f>
        <v>Fled/Escaped</v>
      </c>
      <c r="G1075" s="1" t="str">
        <f ca="1">IFERROR(__xludf.DUMMYFUNCTION("""COMPUTED_VALUE"""),"No")</f>
        <v>No</v>
      </c>
      <c r="H1075" s="1" t="str">
        <f ca="1">IFERROR(__xludf.DUMMYFUNCTION("""COMPUTED_VALUE"""),"None")</f>
        <v>None</v>
      </c>
    </row>
    <row r="1076" spans="1:8" ht="12.5">
      <c r="A1076" s="1" t="str">
        <f ca="1">IFERROR(__xludf.DUMMYFUNCTION("""COMPUTED_VALUE"""),"20210502ILCHC")</f>
        <v>20210502ILCHC</v>
      </c>
      <c r="B1076" s="1" t="str">
        <f ca="1">IFERROR(__xludf.DUMMYFUNCTION("""COMPUTED_VALUE"""),"Adult")</f>
        <v>Adult</v>
      </c>
      <c r="C1076" s="1"/>
      <c r="D1076" s="1"/>
      <c r="E1076" s="1" t="str">
        <f ca="1">IFERROR(__xludf.DUMMYFUNCTION("""COMPUTED_VALUE"""),"No Relation")</f>
        <v>No Relation</v>
      </c>
      <c r="F1076" s="1" t="str">
        <f ca="1">IFERROR(__xludf.DUMMYFUNCTION("""COMPUTED_VALUE"""),"Fled/Escaped")</f>
        <v>Fled/Escaped</v>
      </c>
      <c r="G1076" s="1" t="str">
        <f ca="1">IFERROR(__xludf.DUMMYFUNCTION("""COMPUTED_VALUE"""),"No")</f>
        <v>No</v>
      </c>
      <c r="H1076" s="1" t="str">
        <f ca="1">IFERROR(__xludf.DUMMYFUNCTION("""COMPUTED_VALUE"""),"None")</f>
        <v>None</v>
      </c>
    </row>
    <row r="1077" spans="1:8" ht="12.5">
      <c r="A1077" s="1" t="str">
        <f ca="1">IFERROR(__xludf.DUMMYFUNCTION("""COMPUTED_VALUE"""),"20210501MNBES")</f>
        <v>20210501MNBES</v>
      </c>
      <c r="B1077" s="1" t="str">
        <f ca="1">IFERROR(__xludf.DUMMYFUNCTION("""COMPUTED_VALUE"""),"Adult")</f>
        <v>Adult</v>
      </c>
      <c r="C1077" s="1" t="str">
        <f ca="1">IFERROR(__xludf.DUMMYFUNCTION("""COMPUTED_VALUE"""),"Male")</f>
        <v>Male</v>
      </c>
      <c r="D1077" s="1"/>
      <c r="E1077" s="1" t="str">
        <f ca="1">IFERROR(__xludf.DUMMYFUNCTION("""COMPUTED_VALUE"""),"No Relation")</f>
        <v>No Relation</v>
      </c>
      <c r="F1077" s="1" t="str">
        <f ca="1">IFERROR(__xludf.DUMMYFUNCTION("""COMPUTED_VALUE"""),"Fled/Escaped")</f>
        <v>Fled/Escaped</v>
      </c>
      <c r="G1077" s="1" t="str">
        <f ca="1">IFERROR(__xludf.DUMMYFUNCTION("""COMPUTED_VALUE"""),"No")</f>
        <v>No</v>
      </c>
      <c r="H1077" s="1" t="str">
        <f ca="1">IFERROR(__xludf.DUMMYFUNCTION("""COMPUTED_VALUE"""),"None")</f>
        <v>None</v>
      </c>
    </row>
    <row r="1078" spans="1:8" ht="12.5">
      <c r="A1078" s="1" t="str">
        <f ca="1">IFERROR(__xludf.DUMMYFUNCTION("""COMPUTED_VALUE"""),"20210501MNBES")</f>
        <v>20210501MNBES</v>
      </c>
      <c r="B1078" s="1" t="str">
        <f ca="1">IFERROR(__xludf.DUMMYFUNCTION("""COMPUTED_VALUE"""),"Adult")</f>
        <v>Adult</v>
      </c>
      <c r="C1078" s="1" t="str">
        <f ca="1">IFERROR(__xludf.DUMMYFUNCTION("""COMPUTED_VALUE"""),"Male")</f>
        <v>Male</v>
      </c>
      <c r="D1078" s="1"/>
      <c r="E1078" s="1" t="str">
        <f ca="1">IFERROR(__xludf.DUMMYFUNCTION("""COMPUTED_VALUE"""),"No Relation")</f>
        <v>No Relation</v>
      </c>
      <c r="F1078" s="1" t="str">
        <f ca="1">IFERROR(__xludf.DUMMYFUNCTION("""COMPUTED_VALUE"""),"Fled/Escaped")</f>
        <v>Fled/Escaped</v>
      </c>
      <c r="G1078" s="1" t="str">
        <f ca="1">IFERROR(__xludf.DUMMYFUNCTION("""COMPUTED_VALUE"""),"No")</f>
        <v>No</v>
      </c>
      <c r="H1078" s="1" t="str">
        <f ca="1">IFERROR(__xludf.DUMMYFUNCTION("""COMPUTED_VALUE"""),"None")</f>
        <v>None</v>
      </c>
    </row>
    <row r="1079" spans="1:8" ht="12.5">
      <c r="A1079" s="1" t="str">
        <f ca="1">IFERROR(__xludf.DUMMYFUNCTION("""COMPUTED_VALUE"""),"20210501MNBES")</f>
        <v>20210501MNBES</v>
      </c>
      <c r="B1079" s="1" t="str">
        <f ca="1">IFERROR(__xludf.DUMMYFUNCTION("""COMPUTED_VALUE"""),"Adult")</f>
        <v>Adult</v>
      </c>
      <c r="C1079" s="1" t="str">
        <f ca="1">IFERROR(__xludf.DUMMYFUNCTION("""COMPUTED_VALUE"""),"Male")</f>
        <v>Male</v>
      </c>
      <c r="D1079" s="1"/>
      <c r="E1079" s="1" t="str">
        <f ca="1">IFERROR(__xludf.DUMMYFUNCTION("""COMPUTED_VALUE"""),"No Relation")</f>
        <v>No Relation</v>
      </c>
      <c r="F1079" s="1" t="str">
        <f ca="1">IFERROR(__xludf.DUMMYFUNCTION("""COMPUTED_VALUE"""),"Fled/Escaped")</f>
        <v>Fled/Escaped</v>
      </c>
      <c r="G1079" s="1" t="str">
        <f ca="1">IFERROR(__xludf.DUMMYFUNCTION("""COMPUTED_VALUE"""),"No")</f>
        <v>No</v>
      </c>
      <c r="H1079" s="1" t="str">
        <f ca="1">IFERROR(__xludf.DUMMYFUNCTION("""COMPUTED_VALUE"""),"None")</f>
        <v>None</v>
      </c>
    </row>
    <row r="1080" spans="1:8" ht="12.5">
      <c r="A1080" s="1" t="str">
        <f ca="1">IFERROR(__xludf.DUMMYFUNCTION("""COMPUTED_VALUE"""),"20210430INMAI")</f>
        <v>20210430INMAI</v>
      </c>
      <c r="B1080" s="1" t="str">
        <f ca="1">IFERROR(__xludf.DUMMYFUNCTION("""COMPUTED_VALUE"""),"Adult")</f>
        <v>Adult</v>
      </c>
      <c r="C1080" s="1" t="str">
        <f ca="1">IFERROR(__xludf.DUMMYFUNCTION("""COMPUTED_VALUE"""),"Male")</f>
        <v>Male</v>
      </c>
      <c r="D1080" s="1"/>
      <c r="E1080" s="1" t="str">
        <f ca="1">IFERROR(__xludf.DUMMYFUNCTION("""COMPUTED_VALUE"""),"Parent")</f>
        <v>Parent</v>
      </c>
      <c r="F1080" s="1" t="str">
        <f ca="1">IFERROR(__xludf.DUMMYFUNCTION("""COMPUTED_VALUE"""),"Fled/Escaped")</f>
        <v>Fled/Escaped</v>
      </c>
      <c r="G1080" s="1" t="str">
        <f ca="1">IFERROR(__xludf.DUMMYFUNCTION("""COMPUTED_VALUE"""),"No")</f>
        <v>No</v>
      </c>
      <c r="H1080" s="1" t="str">
        <f ca="1">IFERROR(__xludf.DUMMYFUNCTION("""COMPUTED_VALUE"""),"None")</f>
        <v>None</v>
      </c>
    </row>
    <row r="1081" spans="1:8" ht="12.5">
      <c r="A1081" s="1" t="str">
        <f ca="1">IFERROR(__xludf.DUMMYFUNCTION("""COMPUTED_VALUE"""),"20210429NYURB")</f>
        <v>20210429NYURB</v>
      </c>
      <c r="B1081" s="1">
        <f ca="1">IFERROR(__xludf.DUMMYFUNCTION("""COMPUTED_VALUE"""),15)</f>
        <v>15</v>
      </c>
      <c r="C1081" s="1" t="str">
        <f ca="1">IFERROR(__xludf.DUMMYFUNCTION("""COMPUTED_VALUE"""),"Male")</f>
        <v>Male</v>
      </c>
      <c r="D1081" s="1"/>
      <c r="E1081" s="1" t="str">
        <f ca="1">IFERROR(__xludf.DUMMYFUNCTION("""COMPUTED_VALUE"""),"Nonstudent")</f>
        <v>Nonstudent</v>
      </c>
      <c r="F1081" s="1" t="str">
        <f ca="1">IFERROR(__xludf.DUMMYFUNCTION("""COMPUTED_VALUE"""),"Fled/Apprehended")</f>
        <v>Fled/Apprehended</v>
      </c>
      <c r="G1081" s="1" t="str">
        <f ca="1">IFERROR(__xludf.DUMMYFUNCTION("""COMPUTED_VALUE"""),"No")</f>
        <v>No</v>
      </c>
      <c r="H1081" s="1" t="str">
        <f ca="1">IFERROR(__xludf.DUMMYFUNCTION("""COMPUTED_VALUE"""),"None")</f>
        <v>None</v>
      </c>
    </row>
    <row r="1082" spans="1:8" ht="12.5">
      <c r="A1082" s="1" t="str">
        <f ca="1">IFERROR(__xludf.DUMMYFUNCTION("""COMPUTED_VALUE"""),"20210429NYURB")</f>
        <v>20210429NYURB</v>
      </c>
      <c r="B1082" s="1">
        <f ca="1">IFERROR(__xludf.DUMMYFUNCTION("""COMPUTED_VALUE"""),16)</f>
        <v>16</v>
      </c>
      <c r="C1082" s="1" t="str">
        <f ca="1">IFERROR(__xludf.DUMMYFUNCTION("""COMPUTED_VALUE"""),"Male")</f>
        <v>Male</v>
      </c>
      <c r="D1082" s="1"/>
      <c r="E1082" s="1" t="str">
        <f ca="1">IFERROR(__xludf.DUMMYFUNCTION("""COMPUTED_VALUE"""),"Nonstudent")</f>
        <v>Nonstudent</v>
      </c>
      <c r="F1082" s="1" t="str">
        <f ca="1">IFERROR(__xludf.DUMMYFUNCTION("""COMPUTED_VALUE"""),"Fled/Escaped")</f>
        <v>Fled/Escaped</v>
      </c>
      <c r="G1082" s="1" t="str">
        <f ca="1">IFERROR(__xludf.DUMMYFUNCTION("""COMPUTED_VALUE"""),"No")</f>
        <v>No</v>
      </c>
      <c r="H1082" s="1" t="str">
        <f ca="1">IFERROR(__xludf.DUMMYFUNCTION("""COMPUTED_VALUE"""),"None")</f>
        <v>None</v>
      </c>
    </row>
    <row r="1083" spans="1:8" ht="12.5">
      <c r="A1083" s="1" t="str">
        <f ca="1">IFERROR(__xludf.DUMMYFUNCTION("""COMPUTED_VALUE"""),"20210429CAVIV")</f>
        <v>20210429CAVIV</v>
      </c>
      <c r="B1083" s="1">
        <f ca="1">IFERROR(__xludf.DUMMYFUNCTION("""COMPUTED_VALUE"""),17)</f>
        <v>17</v>
      </c>
      <c r="C1083" s="1" t="str">
        <f ca="1">IFERROR(__xludf.DUMMYFUNCTION("""COMPUTED_VALUE"""),"Male")</f>
        <v>Male</v>
      </c>
      <c r="D1083" s="1"/>
      <c r="E1083" s="1" t="str">
        <f ca="1">IFERROR(__xludf.DUMMYFUNCTION("""COMPUTED_VALUE"""),"Nonstudent")</f>
        <v>Nonstudent</v>
      </c>
      <c r="F1083" s="1" t="str">
        <f ca="1">IFERROR(__xludf.DUMMYFUNCTION("""COMPUTED_VALUE"""),"Fled/Apprehended")</f>
        <v>Fled/Apprehended</v>
      </c>
      <c r="G1083" s="1" t="str">
        <f ca="1">IFERROR(__xludf.DUMMYFUNCTION("""COMPUTED_VALUE"""),"No")</f>
        <v>No</v>
      </c>
      <c r="H1083" s="1" t="str">
        <f ca="1">IFERROR(__xludf.DUMMYFUNCTION("""COMPUTED_VALUE"""),"None")</f>
        <v>None</v>
      </c>
    </row>
    <row r="1084" spans="1:8" ht="12.5">
      <c r="A1084" s="1" t="str">
        <f ca="1">IFERROR(__xludf.DUMMYFUNCTION("""COMPUTED_VALUE"""),"20210427TNLAM")</f>
        <v>20210427TNLAM</v>
      </c>
      <c r="B1084" s="1" t="str">
        <f ca="1">IFERROR(__xludf.DUMMYFUNCTION("""COMPUTED_VALUE"""),"Adult")</f>
        <v>Adult</v>
      </c>
      <c r="C1084" s="1" t="str">
        <f ca="1">IFERROR(__xludf.DUMMYFUNCTION("""COMPUTED_VALUE"""),"Female")</f>
        <v>Female</v>
      </c>
      <c r="D1084" s="1" t="str">
        <f ca="1">IFERROR(__xludf.DUMMYFUNCTION("""COMPUTED_VALUE"""),"Black")</f>
        <v>Black</v>
      </c>
      <c r="E1084" s="1" t="str">
        <f ca="1">IFERROR(__xludf.DUMMYFUNCTION("""COMPUTED_VALUE"""),"Parent")</f>
        <v>Parent</v>
      </c>
      <c r="F1084" s="1" t="str">
        <f ca="1">IFERROR(__xludf.DUMMYFUNCTION("""COMPUTED_VALUE"""),"Fled/Apprehended")</f>
        <v>Fled/Apprehended</v>
      </c>
      <c r="G1084" s="1" t="str">
        <f ca="1">IFERROR(__xludf.DUMMYFUNCTION("""COMPUTED_VALUE"""),"No")</f>
        <v>No</v>
      </c>
      <c r="H1084" s="1" t="str">
        <f ca="1">IFERROR(__xludf.DUMMYFUNCTION("""COMPUTED_VALUE"""),"None")</f>
        <v>None</v>
      </c>
    </row>
    <row r="1085" spans="1:8" ht="12.5">
      <c r="A1085" s="1" t="str">
        <f ca="1">IFERROR(__xludf.DUMMYFUNCTION("""COMPUTED_VALUE"""),"20210427DESMS")</f>
        <v>20210427DESMS</v>
      </c>
      <c r="B1085" s="1">
        <f ca="1">IFERROR(__xludf.DUMMYFUNCTION("""COMPUTED_VALUE"""),47)</f>
        <v>47</v>
      </c>
      <c r="C1085" s="1" t="str">
        <f ca="1">IFERROR(__xludf.DUMMYFUNCTION("""COMPUTED_VALUE"""),"Male")</f>
        <v>Male</v>
      </c>
      <c r="D1085" s="1"/>
      <c r="E1085" s="1" t="str">
        <f ca="1">IFERROR(__xludf.DUMMYFUNCTION("""COMPUTED_VALUE"""),"Parent")</f>
        <v>Parent</v>
      </c>
      <c r="F1085" s="1" t="str">
        <f ca="1">IFERROR(__xludf.DUMMYFUNCTION("""COMPUTED_VALUE"""),"Fled/Apprehended")</f>
        <v>Fled/Apprehended</v>
      </c>
      <c r="G1085" s="1" t="str">
        <f ca="1">IFERROR(__xludf.DUMMYFUNCTION("""COMPUTED_VALUE"""),"Yes")</f>
        <v>Yes</v>
      </c>
      <c r="H1085" s="1" t="str">
        <f ca="1">IFERROR(__xludf.DUMMYFUNCTION("""COMPUTED_VALUE"""),"Suicide")</f>
        <v>Suicide</v>
      </c>
    </row>
    <row r="1086" spans="1:8" ht="12.5">
      <c r="A1086" s="1" t="str">
        <f ca="1">IFERROR(__xludf.DUMMYFUNCTION("""COMPUTED_VALUE"""),"20210426MNPLP")</f>
        <v>20210426MNPLP</v>
      </c>
      <c r="B1086" s="1">
        <f ca="1">IFERROR(__xludf.DUMMYFUNCTION("""COMPUTED_VALUE"""),12)</f>
        <v>12</v>
      </c>
      <c r="C1086" s="1" t="str">
        <f ca="1">IFERROR(__xludf.DUMMYFUNCTION("""COMPUTED_VALUE"""),"Male")</f>
        <v>Male</v>
      </c>
      <c r="D1086" s="1"/>
      <c r="E1086" s="1" t="str">
        <f ca="1">IFERROR(__xludf.DUMMYFUNCTION("""COMPUTED_VALUE"""),"Student")</f>
        <v>Student</v>
      </c>
      <c r="F1086" s="1" t="str">
        <f ca="1">IFERROR(__xludf.DUMMYFUNCTION("""COMPUTED_VALUE"""),"Surrendered")</f>
        <v>Surrendered</v>
      </c>
      <c r="G1086" s="1" t="str">
        <f ca="1">IFERROR(__xludf.DUMMYFUNCTION("""COMPUTED_VALUE"""),"No")</f>
        <v>No</v>
      </c>
      <c r="H1086" s="1" t="str">
        <f ca="1">IFERROR(__xludf.DUMMYFUNCTION("""COMPUTED_VALUE"""),"None")</f>
        <v>None</v>
      </c>
    </row>
    <row r="1087" spans="1:8" ht="12.5">
      <c r="A1087" s="1" t="str">
        <f ca="1">IFERROR(__xludf.DUMMYFUNCTION("""COMPUTED_VALUE"""),"20210420TXHAH")</f>
        <v>20210420TXHAH</v>
      </c>
      <c r="B1087" s="1" t="str">
        <f ca="1">IFERROR(__xludf.DUMMYFUNCTION("""COMPUTED_VALUE"""),"Adult")</f>
        <v>Adult</v>
      </c>
      <c r="C1087" s="1" t="str">
        <f ca="1">IFERROR(__xludf.DUMMYFUNCTION("""COMPUTED_VALUE"""),"Male")</f>
        <v>Male</v>
      </c>
      <c r="D1087" s="1" t="str">
        <f ca="1">IFERROR(__xludf.DUMMYFUNCTION("""COMPUTED_VALUE"""),"Black")</f>
        <v>Black</v>
      </c>
      <c r="E1087" s="1" t="str">
        <f ca="1">IFERROR(__xludf.DUMMYFUNCTION("""COMPUTED_VALUE"""),"No Relation")</f>
        <v>No Relation</v>
      </c>
      <c r="F1087" s="1" t="str">
        <f ca="1">IFERROR(__xludf.DUMMYFUNCTION("""COMPUTED_VALUE"""),"Fled/Apprehended")</f>
        <v>Fled/Apprehended</v>
      </c>
      <c r="G1087" s="1" t="str">
        <f ca="1">IFERROR(__xludf.DUMMYFUNCTION("""COMPUTED_VALUE"""),"No")</f>
        <v>No</v>
      </c>
      <c r="H1087" s="1" t="str">
        <f ca="1">IFERROR(__xludf.DUMMYFUNCTION("""COMPUTED_VALUE"""),"None")</f>
        <v>None</v>
      </c>
    </row>
    <row r="1088" spans="1:8" ht="12.5">
      <c r="A1088" s="1" t="str">
        <f ca="1">IFERROR(__xludf.DUMMYFUNCTION("""COMPUTED_VALUE"""),"20210420TXHAH")</f>
        <v>20210420TXHAH</v>
      </c>
      <c r="B1088" s="1" t="str">
        <f ca="1">IFERROR(__xludf.DUMMYFUNCTION("""COMPUTED_VALUE"""),"Adult")</f>
        <v>Adult</v>
      </c>
      <c r="C1088" s="1" t="str">
        <f ca="1">IFERROR(__xludf.DUMMYFUNCTION("""COMPUTED_VALUE"""),"Male")</f>
        <v>Male</v>
      </c>
      <c r="D1088" s="1" t="str">
        <f ca="1">IFERROR(__xludf.DUMMYFUNCTION("""COMPUTED_VALUE"""),"Black")</f>
        <v>Black</v>
      </c>
      <c r="E1088" s="1" t="str">
        <f ca="1">IFERROR(__xludf.DUMMYFUNCTION("""COMPUTED_VALUE"""),"No Relation")</f>
        <v>No Relation</v>
      </c>
      <c r="F1088" s="1" t="str">
        <f ca="1">IFERROR(__xludf.DUMMYFUNCTION("""COMPUTED_VALUE"""),"Fled/Apprehended")</f>
        <v>Fled/Apprehended</v>
      </c>
      <c r="G1088" s="1" t="str">
        <f ca="1">IFERROR(__xludf.DUMMYFUNCTION("""COMPUTED_VALUE"""),"No")</f>
        <v>No</v>
      </c>
      <c r="H1088" s="1" t="str">
        <f ca="1">IFERROR(__xludf.DUMMYFUNCTION("""COMPUTED_VALUE"""),"None")</f>
        <v>None</v>
      </c>
    </row>
    <row r="1089" spans="1:8" ht="12.5">
      <c r="A1089" s="1" t="str">
        <f ca="1">IFERROR(__xludf.DUMMYFUNCTION("""COMPUTED_VALUE"""),"20210418OHWED")</f>
        <v>20210418OHWED</v>
      </c>
      <c r="B1089" s="1"/>
      <c r="C1089" s="1"/>
      <c r="D1089" s="1"/>
      <c r="E1089" s="1" t="str">
        <f ca="1">IFERROR(__xludf.DUMMYFUNCTION("""COMPUTED_VALUE"""),"No Relation")</f>
        <v>No Relation</v>
      </c>
      <c r="F1089" s="1" t="str">
        <f ca="1">IFERROR(__xludf.DUMMYFUNCTION("""COMPUTED_VALUE"""),"Fled/Escaped")</f>
        <v>Fled/Escaped</v>
      </c>
      <c r="G1089" s="1" t="str">
        <f ca="1">IFERROR(__xludf.DUMMYFUNCTION("""COMPUTED_VALUE"""),"No")</f>
        <v>No</v>
      </c>
      <c r="H1089" s="1" t="str">
        <f ca="1">IFERROR(__xludf.DUMMYFUNCTION("""COMPUTED_VALUE"""),"None")</f>
        <v>None</v>
      </c>
    </row>
    <row r="1090" spans="1:8" ht="12.5">
      <c r="A1090" s="1" t="str">
        <f ca="1">IFERROR(__xludf.DUMMYFUNCTION("""COMPUTED_VALUE"""),"20210413TNMAC")</f>
        <v>20210413TNMAC</v>
      </c>
      <c r="B1090" s="1">
        <f ca="1">IFERROR(__xludf.DUMMYFUNCTION("""COMPUTED_VALUE"""),32)</f>
        <v>32</v>
      </c>
      <c r="C1090" s="1" t="str">
        <f ca="1">IFERROR(__xludf.DUMMYFUNCTION("""COMPUTED_VALUE"""),"Female")</f>
        <v>Female</v>
      </c>
      <c r="D1090" s="1" t="str">
        <f ca="1">IFERROR(__xludf.DUMMYFUNCTION("""COMPUTED_VALUE"""),"White")</f>
        <v>White</v>
      </c>
      <c r="E1090" s="1" t="str">
        <f ca="1">IFERROR(__xludf.DUMMYFUNCTION("""COMPUTED_VALUE"""),"Parent")</f>
        <v>Parent</v>
      </c>
      <c r="F1090" s="1" t="str">
        <f ca="1">IFERROR(__xludf.DUMMYFUNCTION("""COMPUTED_VALUE"""),"Fled/Apprehended")</f>
        <v>Fled/Apprehended</v>
      </c>
      <c r="G1090" s="1" t="str">
        <f ca="1">IFERROR(__xludf.DUMMYFUNCTION("""COMPUTED_VALUE"""),"No")</f>
        <v>No</v>
      </c>
      <c r="H1090" s="1" t="str">
        <f ca="1">IFERROR(__xludf.DUMMYFUNCTION("""COMPUTED_VALUE"""),"None")</f>
        <v>None</v>
      </c>
    </row>
    <row r="1091" spans="1:8" ht="12.5">
      <c r="A1091" s="1" t="str">
        <f ca="1">IFERROR(__xludf.DUMMYFUNCTION("""COMPUTED_VALUE"""),"20210412TNAUK")</f>
        <v>20210412TNAUK</v>
      </c>
      <c r="B1091" s="1">
        <f ca="1">IFERROR(__xludf.DUMMYFUNCTION("""COMPUTED_VALUE"""),17)</f>
        <v>17</v>
      </c>
      <c r="C1091" s="1" t="str">
        <f ca="1">IFERROR(__xludf.DUMMYFUNCTION("""COMPUTED_VALUE"""),"Male")</f>
        <v>Male</v>
      </c>
      <c r="D1091" s="1" t="str">
        <f ca="1">IFERROR(__xludf.DUMMYFUNCTION("""COMPUTED_VALUE"""),"Black")</f>
        <v>Black</v>
      </c>
      <c r="E1091" s="1" t="str">
        <f ca="1">IFERROR(__xludf.DUMMYFUNCTION("""COMPUTED_VALUE"""),"Student")</f>
        <v>Student</v>
      </c>
      <c r="F1091" s="1" t="str">
        <f ca="1">IFERROR(__xludf.DUMMYFUNCTION("""COMPUTED_VALUE"""),"Apprehended/Killed by LE")</f>
        <v>Apprehended/Killed by LE</v>
      </c>
      <c r="G1091" s="1" t="str">
        <f ca="1">IFERROR(__xludf.DUMMYFUNCTION("""COMPUTED_VALUE"""),"Yes")</f>
        <v>Yes</v>
      </c>
      <c r="H1091" s="1" t="str">
        <f ca="1">IFERROR(__xludf.DUMMYFUNCTION("""COMPUTED_VALUE"""),"Fatal")</f>
        <v>Fatal</v>
      </c>
    </row>
    <row r="1092" spans="1:8" ht="12.5">
      <c r="A1092" s="1" t="str">
        <f ca="1">IFERROR(__xludf.DUMMYFUNCTION("""COMPUTED_VALUE"""),"20210412CASAS")</f>
        <v>20210412CASAS</v>
      </c>
      <c r="B1092" s="1">
        <f ca="1">IFERROR(__xludf.DUMMYFUNCTION("""COMPUTED_VALUE"""),36)</f>
        <v>36</v>
      </c>
      <c r="C1092" s="1" t="str">
        <f ca="1">IFERROR(__xludf.DUMMYFUNCTION("""COMPUTED_VALUE"""),"Male")</f>
        <v>Male</v>
      </c>
      <c r="D1092" s="1" t="str">
        <f ca="1">IFERROR(__xludf.DUMMYFUNCTION("""COMPUTED_VALUE"""),"Hispanic")</f>
        <v>Hispanic</v>
      </c>
      <c r="E1092" s="1" t="str">
        <f ca="1">IFERROR(__xludf.DUMMYFUNCTION("""COMPUTED_VALUE"""),"No Relation")</f>
        <v>No Relation</v>
      </c>
      <c r="F1092" s="1" t="str">
        <f ca="1">IFERROR(__xludf.DUMMYFUNCTION("""COMPUTED_VALUE"""),"Apprehended/Killed by LE")</f>
        <v>Apprehended/Killed by LE</v>
      </c>
      <c r="G1092" s="1" t="str">
        <f ca="1">IFERROR(__xludf.DUMMYFUNCTION("""COMPUTED_VALUE"""),"Yes")</f>
        <v>Yes</v>
      </c>
      <c r="H1092" s="1" t="str">
        <f ca="1">IFERROR(__xludf.DUMMYFUNCTION("""COMPUTED_VALUE"""),"None")</f>
        <v>None</v>
      </c>
    </row>
    <row r="1093" spans="1:8" ht="12.5">
      <c r="A1093" s="1" t="str">
        <f ca="1">IFERROR(__xludf.DUMMYFUNCTION("""COMPUTED_VALUE"""),"20210411INBIH")</f>
        <v>20210411INBIH</v>
      </c>
      <c r="B1093" s="1">
        <f ca="1">IFERROR(__xludf.DUMMYFUNCTION("""COMPUTED_VALUE"""),38)</f>
        <v>38</v>
      </c>
      <c r="C1093" s="1" t="str">
        <f ca="1">IFERROR(__xludf.DUMMYFUNCTION("""COMPUTED_VALUE"""),"Male")</f>
        <v>Male</v>
      </c>
      <c r="D1093" s="1" t="str">
        <f ca="1">IFERROR(__xludf.DUMMYFUNCTION("""COMPUTED_VALUE"""),"Black")</f>
        <v>Black</v>
      </c>
      <c r="E1093" s="1" t="str">
        <f ca="1">IFERROR(__xludf.DUMMYFUNCTION("""COMPUTED_VALUE"""),"No Relation")</f>
        <v>No Relation</v>
      </c>
      <c r="F1093" s="1" t="str">
        <f ca="1">IFERROR(__xludf.DUMMYFUNCTION("""COMPUTED_VALUE"""),"Fled/Apprehended")</f>
        <v>Fled/Apprehended</v>
      </c>
      <c r="G1093" s="1" t="str">
        <f ca="1">IFERROR(__xludf.DUMMYFUNCTION("""COMPUTED_VALUE"""),"No")</f>
        <v>No</v>
      </c>
      <c r="H1093" s="1" t="str">
        <f ca="1">IFERROR(__xludf.DUMMYFUNCTION("""COMPUTED_VALUE"""),"None")</f>
        <v>None</v>
      </c>
    </row>
    <row r="1094" spans="1:8" ht="12.5">
      <c r="A1094" s="1" t="str">
        <f ca="1">IFERROR(__xludf.DUMMYFUNCTION("""COMPUTED_VALUE"""),"20210407ILPEP")</f>
        <v>20210407ILPEP</v>
      </c>
      <c r="B1094" s="1">
        <f ca="1">IFERROR(__xludf.DUMMYFUNCTION("""COMPUTED_VALUE"""),14)</f>
        <v>14</v>
      </c>
      <c r="C1094" s="1" t="str">
        <f ca="1">IFERROR(__xludf.DUMMYFUNCTION("""COMPUTED_VALUE"""),"Male")</f>
        <v>Male</v>
      </c>
      <c r="D1094" s="1"/>
      <c r="E1094" s="1" t="str">
        <f ca="1">IFERROR(__xludf.DUMMYFUNCTION("""COMPUTED_VALUE"""),"Student")</f>
        <v>Student</v>
      </c>
      <c r="F1094" s="1" t="str">
        <f ca="1">IFERROR(__xludf.DUMMYFUNCTION("""COMPUTED_VALUE"""),"Subdued by Students/Staff/Other")</f>
        <v>Subdued by Students/Staff/Other</v>
      </c>
      <c r="G1094" s="1" t="str">
        <f ca="1">IFERROR(__xludf.DUMMYFUNCTION("""COMPUTED_VALUE"""),"No")</f>
        <v>No</v>
      </c>
      <c r="H1094" s="1" t="str">
        <f ca="1">IFERROR(__xludf.DUMMYFUNCTION("""COMPUTED_VALUE"""),"None")</f>
        <v>None</v>
      </c>
    </row>
    <row r="1095" spans="1:8" ht="12.5">
      <c r="A1095" s="1" t="str">
        <f ca="1">IFERROR(__xludf.DUMMYFUNCTION("""COMPUTED_VALUE"""),"20210406ILBAC")</f>
        <v>20210406ILBAC</v>
      </c>
      <c r="B1095" s="1">
        <f ca="1">IFERROR(__xludf.DUMMYFUNCTION("""COMPUTED_VALUE"""),19)</f>
        <v>19</v>
      </c>
      <c r="C1095" s="1" t="str">
        <f ca="1">IFERROR(__xludf.DUMMYFUNCTION("""COMPUTED_VALUE"""),"Male")</f>
        <v>Male</v>
      </c>
      <c r="D1095" s="1"/>
      <c r="E1095" s="1" t="str">
        <f ca="1">IFERROR(__xludf.DUMMYFUNCTION("""COMPUTED_VALUE"""),"No Relation")</f>
        <v>No Relation</v>
      </c>
      <c r="F1095" s="1" t="str">
        <f ca="1">IFERROR(__xludf.DUMMYFUNCTION("""COMPUTED_VALUE"""),"Fled/Apprehended")</f>
        <v>Fled/Apprehended</v>
      </c>
      <c r="G1095" s="1" t="str">
        <f ca="1">IFERROR(__xludf.DUMMYFUNCTION("""COMPUTED_VALUE"""),"No")</f>
        <v>No</v>
      </c>
      <c r="H1095" s="1" t="str">
        <f ca="1">IFERROR(__xludf.DUMMYFUNCTION("""COMPUTED_VALUE"""),"None")</f>
        <v>None</v>
      </c>
    </row>
    <row r="1096" spans="1:8" ht="12.5">
      <c r="A1096" s="1" t="str">
        <f ca="1">IFERROR(__xludf.DUMMYFUNCTION("""COMPUTED_VALUE"""),"20210401OKCLC")</f>
        <v>20210401OKCLC</v>
      </c>
      <c r="B1096" s="1"/>
      <c r="C1096" s="1"/>
      <c r="D1096" s="1"/>
      <c r="E1096" s="1"/>
      <c r="F1096" s="1" t="str">
        <f ca="1">IFERROR(__xludf.DUMMYFUNCTION("""COMPUTED_VALUE"""),"Fled/Escaped")</f>
        <v>Fled/Escaped</v>
      </c>
      <c r="G1096" s="1" t="str">
        <f ca="1">IFERROR(__xludf.DUMMYFUNCTION("""COMPUTED_VALUE"""),"No")</f>
        <v>No</v>
      </c>
      <c r="H1096" s="1" t="str">
        <f ca="1">IFERROR(__xludf.DUMMYFUNCTION("""COMPUTED_VALUE"""),"None")</f>
        <v>None</v>
      </c>
    </row>
    <row r="1097" spans="1:8" ht="12.5">
      <c r="A1097" s="1" t="str">
        <f ca="1">IFERROR(__xludf.DUMMYFUNCTION("""COMPUTED_VALUE"""),"20210401ALSES")</f>
        <v>20210401ALSES</v>
      </c>
      <c r="B1097" s="1">
        <f ca="1">IFERROR(__xludf.DUMMYFUNCTION("""COMPUTED_VALUE"""),15)</f>
        <v>15</v>
      </c>
      <c r="C1097" s="1" t="str">
        <f ca="1">IFERROR(__xludf.DUMMYFUNCTION("""COMPUTED_VALUE"""),"Male")</f>
        <v>Male</v>
      </c>
      <c r="D1097" s="1"/>
      <c r="E1097" s="1" t="str">
        <f ca="1">IFERROR(__xludf.DUMMYFUNCTION("""COMPUTED_VALUE"""),"Student")</f>
        <v>Student</v>
      </c>
      <c r="F1097" s="1" t="str">
        <f ca="1">IFERROR(__xludf.DUMMYFUNCTION("""COMPUTED_VALUE"""),"Fled/Apprehended")</f>
        <v>Fled/Apprehended</v>
      </c>
      <c r="G1097" s="1" t="str">
        <f ca="1">IFERROR(__xludf.DUMMYFUNCTION("""COMPUTED_VALUE"""),"No")</f>
        <v>No</v>
      </c>
      <c r="H1097" s="1" t="str">
        <f ca="1">IFERROR(__xludf.DUMMYFUNCTION("""COMPUTED_VALUE"""),"None")</f>
        <v>None</v>
      </c>
    </row>
    <row r="1098" spans="1:8" ht="12.5">
      <c r="A1098" s="1" t="str">
        <f ca="1">IFERROR(__xludf.DUMMYFUNCTION("""COMPUTED_VALUE"""),"20210327MAPEC")</f>
        <v>20210327MAPEC</v>
      </c>
      <c r="B1098" s="1"/>
      <c r="C1098" s="1"/>
      <c r="D1098" s="1"/>
      <c r="E1098" s="1" t="str">
        <f ca="1">IFERROR(__xludf.DUMMYFUNCTION("""COMPUTED_VALUE"""),"Nonstudent Using Athletic Facilities/Attending Game")</f>
        <v>Nonstudent Using Athletic Facilities/Attending Game</v>
      </c>
      <c r="F1098" s="1" t="str">
        <f ca="1">IFERROR(__xludf.DUMMYFUNCTION("""COMPUTED_VALUE"""),"Fled/Escaped")</f>
        <v>Fled/Escaped</v>
      </c>
      <c r="G1098" s="1" t="str">
        <f ca="1">IFERROR(__xludf.DUMMYFUNCTION("""COMPUTED_VALUE"""),"No")</f>
        <v>No</v>
      </c>
      <c r="H1098" s="1" t="str">
        <f ca="1">IFERROR(__xludf.DUMMYFUNCTION("""COMPUTED_VALUE"""),"None")</f>
        <v>None</v>
      </c>
    </row>
    <row r="1099" spans="1:8" ht="12.5">
      <c r="A1099" s="1" t="str">
        <f ca="1">IFERROR(__xludf.DUMMYFUNCTION("""COMPUTED_VALUE"""),"20210326MOCAS")</f>
        <v>20210326MOCAS</v>
      </c>
      <c r="B1099" s="1">
        <f ca="1">IFERROR(__xludf.DUMMYFUNCTION("""COMPUTED_VALUE"""),33)</f>
        <v>33</v>
      </c>
      <c r="C1099" s="1" t="str">
        <f ca="1">IFERROR(__xludf.DUMMYFUNCTION("""COMPUTED_VALUE"""),"Male")</f>
        <v>Male</v>
      </c>
      <c r="D1099" s="1"/>
      <c r="E1099" s="1" t="str">
        <f ca="1">IFERROR(__xludf.DUMMYFUNCTION("""COMPUTED_VALUE"""),"No Relation")</f>
        <v>No Relation</v>
      </c>
      <c r="F1099" s="1" t="str">
        <f ca="1">IFERROR(__xludf.DUMMYFUNCTION("""COMPUTED_VALUE"""),"Apprehended/Killed by LE")</f>
        <v>Apprehended/Killed by LE</v>
      </c>
      <c r="G1099" s="1" t="str">
        <f ca="1">IFERROR(__xludf.DUMMYFUNCTION("""COMPUTED_VALUE"""),"Yes")</f>
        <v>Yes</v>
      </c>
      <c r="H1099" s="1" t="str">
        <f ca="1">IFERROR(__xludf.DUMMYFUNCTION("""COMPUTED_VALUE"""),"Fatal")</f>
        <v>Fatal</v>
      </c>
    </row>
    <row r="1100" spans="1:8" ht="12.5">
      <c r="A1100" s="1" t="str">
        <f ca="1">IFERROR(__xludf.DUMMYFUNCTION("""COMPUTED_VALUE"""),"20210324ORFOS")</f>
        <v>20210324ORFOS</v>
      </c>
      <c r="B1100" s="1" t="str">
        <f ca="1">IFERROR(__xludf.DUMMYFUNCTION("""COMPUTED_VALUE"""),"Teen")</f>
        <v>Teen</v>
      </c>
      <c r="C1100" s="1" t="str">
        <f ca="1">IFERROR(__xludf.DUMMYFUNCTION("""COMPUTED_VALUE"""),"Male")</f>
        <v>Male</v>
      </c>
      <c r="D1100" s="1"/>
      <c r="E1100" s="1" t="str">
        <f ca="1">IFERROR(__xludf.DUMMYFUNCTION("""COMPUTED_VALUE"""),"No Relation")</f>
        <v>No Relation</v>
      </c>
      <c r="F1100" s="1" t="str">
        <f ca="1">IFERROR(__xludf.DUMMYFUNCTION("""COMPUTED_VALUE"""),"Fled/Apprehended")</f>
        <v>Fled/Apprehended</v>
      </c>
      <c r="G1100" s="1" t="str">
        <f ca="1">IFERROR(__xludf.DUMMYFUNCTION("""COMPUTED_VALUE"""),"No")</f>
        <v>No</v>
      </c>
      <c r="H1100" s="1" t="str">
        <f ca="1">IFERROR(__xludf.DUMMYFUNCTION("""COMPUTED_VALUE"""),"None")</f>
        <v>None</v>
      </c>
    </row>
    <row r="1101" spans="1:8" ht="12.5">
      <c r="A1101" s="1" t="str">
        <f ca="1">IFERROR(__xludf.DUMMYFUNCTION("""COMPUTED_VALUE"""),"20210319WVSPM")</f>
        <v>20210319WVSPM</v>
      </c>
      <c r="B1101" s="1" t="str">
        <f ca="1">IFERROR(__xludf.DUMMYFUNCTION("""COMPUTED_VALUE"""),"Teen")</f>
        <v>Teen</v>
      </c>
      <c r="C1101" s="1" t="str">
        <f ca="1">IFERROR(__xludf.DUMMYFUNCTION("""COMPUTED_VALUE"""),"Male")</f>
        <v>Male</v>
      </c>
      <c r="D1101" s="1"/>
      <c r="E1101" s="1"/>
      <c r="F1101" s="1" t="str">
        <f ca="1">IFERROR(__xludf.DUMMYFUNCTION("""COMPUTED_VALUE"""),"Fled/Apprehended")</f>
        <v>Fled/Apprehended</v>
      </c>
      <c r="G1101" s="1" t="str">
        <f ca="1">IFERROR(__xludf.DUMMYFUNCTION("""COMPUTED_VALUE"""),"No")</f>
        <v>No</v>
      </c>
      <c r="H1101" s="1" t="str">
        <f ca="1">IFERROR(__xludf.DUMMYFUNCTION("""COMPUTED_VALUE"""),"None")</f>
        <v>None</v>
      </c>
    </row>
    <row r="1102" spans="1:8" ht="12.5">
      <c r="A1102" s="1" t="str">
        <f ca="1">IFERROR(__xludf.DUMMYFUNCTION("""COMPUTED_VALUE"""),"20210319WVSPM")</f>
        <v>20210319WVSPM</v>
      </c>
      <c r="B1102" s="1" t="str">
        <f ca="1">IFERROR(__xludf.DUMMYFUNCTION("""COMPUTED_VALUE"""),"Teen")</f>
        <v>Teen</v>
      </c>
      <c r="C1102" s="1" t="str">
        <f ca="1">IFERROR(__xludf.DUMMYFUNCTION("""COMPUTED_VALUE"""),"Male")</f>
        <v>Male</v>
      </c>
      <c r="D1102" s="1"/>
      <c r="E1102" s="1"/>
      <c r="F1102" s="1" t="str">
        <f ca="1">IFERROR(__xludf.DUMMYFUNCTION("""COMPUTED_VALUE"""),"Fled/Apprehended")</f>
        <v>Fled/Apprehended</v>
      </c>
      <c r="G1102" s="1" t="str">
        <f ca="1">IFERROR(__xludf.DUMMYFUNCTION("""COMPUTED_VALUE"""),"No")</f>
        <v>No</v>
      </c>
      <c r="H1102" s="1" t="str">
        <f ca="1">IFERROR(__xludf.DUMMYFUNCTION("""COMPUTED_VALUE"""),"None")</f>
        <v>None</v>
      </c>
    </row>
    <row r="1103" spans="1:8" ht="12.5">
      <c r="A1103" s="1" t="str">
        <f ca="1">IFERROR(__xludf.DUMMYFUNCTION("""COMPUTED_VALUE"""),"20210318KYGRL")</f>
        <v>20210318KYGRL</v>
      </c>
      <c r="B1103" s="1">
        <f ca="1">IFERROR(__xludf.DUMMYFUNCTION("""COMPUTED_VALUE"""),36)</f>
        <v>36</v>
      </c>
      <c r="C1103" s="1" t="str">
        <f ca="1">IFERROR(__xludf.DUMMYFUNCTION("""COMPUTED_VALUE"""),"Male")</f>
        <v>Male</v>
      </c>
      <c r="D1103" s="1" t="str">
        <f ca="1">IFERROR(__xludf.DUMMYFUNCTION("""COMPUTED_VALUE"""),"White")</f>
        <v>White</v>
      </c>
      <c r="E1103" s="1" t="str">
        <f ca="1">IFERROR(__xludf.DUMMYFUNCTION("""COMPUTED_VALUE"""),"Parent")</f>
        <v>Parent</v>
      </c>
      <c r="F1103" s="1" t="str">
        <f ca="1">IFERROR(__xludf.DUMMYFUNCTION("""COMPUTED_VALUE"""),"Apprehended/Killed by LE")</f>
        <v>Apprehended/Killed by LE</v>
      </c>
      <c r="G1103" s="1" t="str">
        <f ca="1">IFERROR(__xludf.DUMMYFUNCTION("""COMPUTED_VALUE"""),"No")</f>
        <v>No</v>
      </c>
      <c r="H1103" s="1" t="str">
        <f ca="1">IFERROR(__xludf.DUMMYFUNCTION("""COMPUTED_VALUE"""),"None")</f>
        <v>None</v>
      </c>
    </row>
    <row r="1104" spans="1:8" ht="12.5">
      <c r="A1104" s="1" t="str">
        <f ca="1">IFERROR(__xludf.DUMMYFUNCTION("""COMPUTED_VALUE"""),"20210315INMEM")</f>
        <v>20210315INMEM</v>
      </c>
      <c r="B1104" s="1">
        <f ca="1">IFERROR(__xludf.DUMMYFUNCTION("""COMPUTED_VALUE"""),18)</f>
        <v>18</v>
      </c>
      <c r="C1104" s="1" t="str">
        <f ca="1">IFERROR(__xludf.DUMMYFUNCTION("""COMPUTED_VALUE"""),"Male")</f>
        <v>Male</v>
      </c>
      <c r="D1104" s="1"/>
      <c r="E1104" s="1" t="str">
        <f ca="1">IFERROR(__xludf.DUMMYFUNCTION("""COMPUTED_VALUE"""),"No Relation")</f>
        <v>No Relation</v>
      </c>
      <c r="F1104" s="1" t="str">
        <f ca="1">IFERROR(__xludf.DUMMYFUNCTION("""COMPUTED_VALUE"""),"Fled/Apprehended")</f>
        <v>Fled/Apprehended</v>
      </c>
      <c r="G1104" s="1" t="str">
        <f ca="1">IFERROR(__xludf.DUMMYFUNCTION("""COMPUTED_VALUE"""),"No")</f>
        <v>No</v>
      </c>
      <c r="H1104" s="1" t="str">
        <f ca="1">IFERROR(__xludf.DUMMYFUNCTION("""COMPUTED_VALUE"""),"None")</f>
        <v>None</v>
      </c>
    </row>
    <row r="1105" spans="1:8" ht="12.5">
      <c r="A1105" s="1" t="str">
        <f ca="1">IFERROR(__xludf.DUMMYFUNCTION("""COMPUTED_VALUE"""),"20210315INMEM")</f>
        <v>20210315INMEM</v>
      </c>
      <c r="B1105" s="1">
        <f ca="1">IFERROR(__xludf.DUMMYFUNCTION("""COMPUTED_VALUE"""),20)</f>
        <v>20</v>
      </c>
      <c r="C1105" s="1" t="str">
        <f ca="1">IFERROR(__xludf.DUMMYFUNCTION("""COMPUTED_VALUE"""),"Male")</f>
        <v>Male</v>
      </c>
      <c r="D1105" s="1" t="str">
        <f ca="1">IFERROR(__xludf.DUMMYFUNCTION("""COMPUTED_VALUE"""),"Black")</f>
        <v>Black</v>
      </c>
      <c r="E1105" s="1" t="str">
        <f ca="1">IFERROR(__xludf.DUMMYFUNCTION("""COMPUTED_VALUE"""),"No Relation")</f>
        <v>No Relation</v>
      </c>
      <c r="F1105" s="1" t="str">
        <f ca="1">IFERROR(__xludf.DUMMYFUNCTION("""COMPUTED_VALUE"""),"Fled/Apprehended")</f>
        <v>Fled/Apprehended</v>
      </c>
      <c r="G1105" s="1" t="str">
        <f ca="1">IFERROR(__xludf.DUMMYFUNCTION("""COMPUTED_VALUE"""),"No")</f>
        <v>No</v>
      </c>
      <c r="H1105" s="1" t="str">
        <f ca="1">IFERROR(__xludf.DUMMYFUNCTION("""COMPUTED_VALUE"""),"None")</f>
        <v>None</v>
      </c>
    </row>
    <row r="1106" spans="1:8" ht="12.5">
      <c r="A1106" s="1" t="str">
        <f ca="1">IFERROR(__xludf.DUMMYFUNCTION("""COMPUTED_VALUE"""),"20210313TXLEA")</f>
        <v>20210313TXLEA</v>
      </c>
      <c r="B1106" s="1">
        <f ca="1">IFERROR(__xludf.DUMMYFUNCTION("""COMPUTED_VALUE"""),66)</f>
        <v>66</v>
      </c>
      <c r="C1106" s="1" t="str">
        <f ca="1">IFERROR(__xludf.DUMMYFUNCTION("""COMPUTED_VALUE"""),"Male")</f>
        <v>Male</v>
      </c>
      <c r="D1106" s="1" t="str">
        <f ca="1">IFERROR(__xludf.DUMMYFUNCTION("""COMPUTED_VALUE"""),"Black")</f>
        <v>Black</v>
      </c>
      <c r="E1106" s="1" t="str">
        <f ca="1">IFERROR(__xludf.DUMMYFUNCTION("""COMPUTED_VALUE"""),"Nonstudent Using Athletic Facilities/Attending Game")</f>
        <v>Nonstudent Using Athletic Facilities/Attending Game</v>
      </c>
      <c r="F1106" s="1" t="str">
        <f ca="1">IFERROR(__xludf.DUMMYFUNCTION("""COMPUTED_VALUE"""),"Fled/Apprehended")</f>
        <v>Fled/Apprehended</v>
      </c>
      <c r="G1106" s="1" t="str">
        <f ca="1">IFERROR(__xludf.DUMMYFUNCTION("""COMPUTED_VALUE"""),"No")</f>
        <v>No</v>
      </c>
      <c r="H1106" s="1" t="str">
        <f ca="1">IFERROR(__xludf.DUMMYFUNCTION("""COMPUTED_VALUE"""),"None")</f>
        <v>None</v>
      </c>
    </row>
    <row r="1107" spans="1:8" ht="12.5">
      <c r="A1107" s="1" t="str">
        <f ca="1">IFERROR(__xludf.DUMMYFUNCTION("""COMPUTED_VALUE"""),"20210311OHCIC")</f>
        <v>20210311OHCIC</v>
      </c>
      <c r="B1107" s="1" t="str">
        <f ca="1">IFERROR(__xludf.DUMMYFUNCTION("""COMPUTED_VALUE"""),"Adult")</f>
        <v>Adult</v>
      </c>
      <c r="C1107" s="1"/>
      <c r="D1107" s="1"/>
      <c r="E1107" s="1" t="str">
        <f ca="1">IFERROR(__xludf.DUMMYFUNCTION("""COMPUTED_VALUE"""),"No Relation")</f>
        <v>No Relation</v>
      </c>
      <c r="F1107" s="1" t="str">
        <f ca="1">IFERROR(__xludf.DUMMYFUNCTION("""COMPUTED_VALUE"""),"Fled/Escaped")</f>
        <v>Fled/Escaped</v>
      </c>
      <c r="G1107" s="1" t="str">
        <f ca="1">IFERROR(__xludf.DUMMYFUNCTION("""COMPUTED_VALUE"""),"No")</f>
        <v>No</v>
      </c>
      <c r="H1107" s="1" t="str">
        <f ca="1">IFERROR(__xludf.DUMMYFUNCTION("""COMPUTED_VALUE"""),"None")</f>
        <v>None</v>
      </c>
    </row>
    <row r="1108" spans="1:8" ht="12.5">
      <c r="A1108" s="1" t="str">
        <f ca="1">IFERROR(__xludf.DUMMYFUNCTION("""COMPUTED_VALUE"""),"20210309TNSAK")</f>
        <v>20210309TNSAK</v>
      </c>
      <c r="B1108" s="1"/>
      <c r="C1108" s="1"/>
      <c r="D1108" s="1"/>
      <c r="E1108" s="1" t="str">
        <f ca="1">IFERROR(__xludf.DUMMYFUNCTION("""COMPUTED_VALUE"""),"No Relation")</f>
        <v>No Relation</v>
      </c>
      <c r="F1108" s="1" t="str">
        <f ca="1">IFERROR(__xludf.DUMMYFUNCTION("""COMPUTED_VALUE"""),"Fled/Escaped")</f>
        <v>Fled/Escaped</v>
      </c>
      <c r="G1108" s="1" t="str">
        <f ca="1">IFERROR(__xludf.DUMMYFUNCTION("""COMPUTED_VALUE"""),"No")</f>
        <v>No</v>
      </c>
      <c r="H1108" s="1" t="str">
        <f ca="1">IFERROR(__xludf.DUMMYFUNCTION("""COMPUTED_VALUE"""),"None")</f>
        <v>None</v>
      </c>
    </row>
    <row r="1109" spans="1:8" ht="12.5">
      <c r="A1109" s="1" t="str">
        <f ca="1">IFERROR(__xludf.DUMMYFUNCTION("""COMPUTED_VALUE"""),"20210308SCEDC")</f>
        <v>20210308SCEDC</v>
      </c>
      <c r="B1109" s="1">
        <f ca="1">IFERROR(__xludf.DUMMYFUNCTION("""COMPUTED_VALUE"""),54)</f>
        <v>54</v>
      </c>
      <c r="C1109" s="1" t="str">
        <f ca="1">IFERROR(__xludf.DUMMYFUNCTION("""COMPUTED_VALUE"""),"Female")</f>
        <v>Female</v>
      </c>
      <c r="D1109" s="1" t="str">
        <f ca="1">IFERROR(__xludf.DUMMYFUNCTION("""COMPUTED_VALUE"""),"Black")</f>
        <v>Black</v>
      </c>
      <c r="E1109" s="1" t="str">
        <f ca="1">IFERROR(__xludf.DUMMYFUNCTION("""COMPUTED_VALUE"""),"Relative")</f>
        <v>Relative</v>
      </c>
      <c r="F1109" s="1" t="str">
        <f ca="1">IFERROR(__xludf.DUMMYFUNCTION("""COMPUTED_VALUE"""),"Fled/Apprehended")</f>
        <v>Fled/Apprehended</v>
      </c>
      <c r="G1109" s="1" t="str">
        <f ca="1">IFERROR(__xludf.DUMMYFUNCTION("""COMPUTED_VALUE"""),"No")</f>
        <v>No</v>
      </c>
      <c r="H1109" s="1" t="str">
        <f ca="1">IFERROR(__xludf.DUMMYFUNCTION("""COMPUTED_VALUE"""),"None")</f>
        <v>None</v>
      </c>
    </row>
    <row r="1110" spans="1:8" ht="12.5">
      <c r="A1110" s="1" t="str">
        <f ca="1">IFERROR(__xludf.DUMMYFUNCTION("""COMPUTED_VALUE"""),"20210301ARWAP")</f>
        <v>20210301ARWAP</v>
      </c>
      <c r="B1110" s="1">
        <f ca="1">IFERROR(__xludf.DUMMYFUNCTION("""COMPUTED_VALUE"""),15)</f>
        <v>15</v>
      </c>
      <c r="C1110" s="1" t="str">
        <f ca="1">IFERROR(__xludf.DUMMYFUNCTION("""COMPUTED_VALUE"""),"Male")</f>
        <v>Male</v>
      </c>
      <c r="D1110" s="1"/>
      <c r="E1110" s="1" t="str">
        <f ca="1">IFERROR(__xludf.DUMMYFUNCTION("""COMPUTED_VALUE"""),"Student")</f>
        <v>Student</v>
      </c>
      <c r="F1110" s="1" t="str">
        <f ca="1">IFERROR(__xludf.DUMMYFUNCTION("""COMPUTED_VALUE"""),"Fled/Apprehended")</f>
        <v>Fled/Apprehended</v>
      </c>
      <c r="G1110" s="1" t="str">
        <f ca="1">IFERROR(__xludf.DUMMYFUNCTION("""COMPUTED_VALUE"""),"No")</f>
        <v>No</v>
      </c>
      <c r="H1110" s="1" t="str">
        <f ca="1">IFERROR(__xludf.DUMMYFUNCTION("""COMPUTED_VALUE"""),"None")</f>
        <v>None</v>
      </c>
    </row>
    <row r="1111" spans="1:8" ht="12.5">
      <c r="A1111" s="1" t="str">
        <f ca="1">IFERROR(__xludf.DUMMYFUNCTION("""COMPUTED_VALUE"""),"20210226LAGEN")</f>
        <v>20210226LAGEN</v>
      </c>
      <c r="B1111" s="1">
        <f ca="1">IFERROR(__xludf.DUMMYFUNCTION("""COMPUTED_VALUE"""),35)</f>
        <v>35</v>
      </c>
      <c r="C1111" s="1" t="str">
        <f ca="1">IFERROR(__xludf.DUMMYFUNCTION("""COMPUTED_VALUE"""),"Male")</f>
        <v>Male</v>
      </c>
      <c r="D1111" s="1" t="str">
        <f ca="1">IFERROR(__xludf.DUMMYFUNCTION("""COMPUTED_VALUE"""),"Black")</f>
        <v>Black</v>
      </c>
      <c r="E1111" s="1" t="str">
        <f ca="1">IFERROR(__xludf.DUMMYFUNCTION("""COMPUTED_VALUE"""),"Nonstudent Using Athletic Facilities/Attending Game")</f>
        <v>Nonstudent Using Athletic Facilities/Attending Game</v>
      </c>
      <c r="F1111" s="1" t="str">
        <f ca="1">IFERROR(__xludf.DUMMYFUNCTION("""COMPUTED_VALUE"""),"Surrendered")</f>
        <v>Surrendered</v>
      </c>
      <c r="G1111" s="1" t="str">
        <f ca="1">IFERROR(__xludf.DUMMYFUNCTION("""COMPUTED_VALUE"""),"No")</f>
        <v>No</v>
      </c>
      <c r="H1111" s="1" t="str">
        <f ca="1">IFERROR(__xludf.DUMMYFUNCTION("""COMPUTED_VALUE"""),"None")</f>
        <v>None</v>
      </c>
    </row>
    <row r="1112" spans="1:8" ht="12.5">
      <c r="A1112" s="1" t="str">
        <f ca="1">IFERROR(__xludf.DUMMYFUNCTION("""COMPUTED_VALUE"""),"20210224WAGAY")</f>
        <v>20210224WAGAY</v>
      </c>
      <c r="B1112" s="1" t="str">
        <f ca="1">IFERROR(__xludf.DUMMYFUNCTION("""COMPUTED_VALUE"""),"Teen")</f>
        <v>Teen</v>
      </c>
      <c r="C1112" s="1" t="str">
        <f ca="1">IFERROR(__xludf.DUMMYFUNCTION("""COMPUTED_VALUE"""),"Male")</f>
        <v>Male</v>
      </c>
      <c r="D1112" s="1"/>
      <c r="E1112" s="1" t="str">
        <f ca="1">IFERROR(__xludf.DUMMYFUNCTION("""COMPUTED_VALUE"""),"No Relation")</f>
        <v>No Relation</v>
      </c>
      <c r="F1112" s="1" t="str">
        <f ca="1">IFERROR(__xludf.DUMMYFUNCTION("""COMPUTED_VALUE"""),"Fled/Apprehended")</f>
        <v>Fled/Apprehended</v>
      </c>
      <c r="G1112" s="1" t="str">
        <f ca="1">IFERROR(__xludf.DUMMYFUNCTION("""COMPUTED_VALUE"""),"No")</f>
        <v>No</v>
      </c>
      <c r="H1112" s="1" t="str">
        <f ca="1">IFERROR(__xludf.DUMMYFUNCTION("""COMPUTED_VALUE"""),"None")</f>
        <v>None</v>
      </c>
    </row>
    <row r="1113" spans="1:8" ht="12.5">
      <c r="A1113" s="1" t="str">
        <f ca="1">IFERROR(__xludf.DUMMYFUNCTION("""COMPUTED_VALUE"""),"20210222CAHOV")</f>
        <v>20210222CAHOV</v>
      </c>
      <c r="B1113" s="1"/>
      <c r="C1113" s="1"/>
      <c r="D1113" s="1"/>
      <c r="E1113" s="1" t="str">
        <f ca="1">IFERROR(__xludf.DUMMYFUNCTION("""COMPUTED_VALUE"""),"No Relation")</f>
        <v>No Relation</v>
      </c>
      <c r="F1113" s="1" t="str">
        <f ca="1">IFERROR(__xludf.DUMMYFUNCTION("""COMPUTED_VALUE"""),"Fled/Escaped")</f>
        <v>Fled/Escaped</v>
      </c>
      <c r="G1113" s="1" t="str">
        <f ca="1">IFERROR(__xludf.DUMMYFUNCTION("""COMPUTED_VALUE"""),"No")</f>
        <v>No</v>
      </c>
      <c r="H1113" s="1" t="str">
        <f ca="1">IFERROR(__xludf.DUMMYFUNCTION("""COMPUTED_VALUE"""),"None")</f>
        <v>None</v>
      </c>
    </row>
    <row r="1114" spans="1:8" ht="12.5">
      <c r="A1114" s="1" t="str">
        <f ca="1">IFERROR(__xludf.DUMMYFUNCTION("""COMPUTED_VALUE"""),"20210219ILLIR")</f>
        <v>20210219ILLIR</v>
      </c>
      <c r="B1114" s="1"/>
      <c r="C1114" s="1"/>
      <c r="D1114" s="1"/>
      <c r="E1114" s="1" t="str">
        <f ca="1">IFERROR(__xludf.DUMMYFUNCTION("""COMPUTED_VALUE"""),"No Relation")</f>
        <v>No Relation</v>
      </c>
      <c r="F1114" s="1" t="str">
        <f ca="1">IFERROR(__xludf.DUMMYFUNCTION("""COMPUTED_VALUE"""),"Fled/Escaped")</f>
        <v>Fled/Escaped</v>
      </c>
      <c r="G1114" s="1" t="str">
        <f ca="1">IFERROR(__xludf.DUMMYFUNCTION("""COMPUTED_VALUE"""),"No")</f>
        <v>No</v>
      </c>
      <c r="H1114" s="1" t="str">
        <f ca="1">IFERROR(__xludf.DUMMYFUNCTION("""COMPUTED_VALUE"""),"None")</f>
        <v>None</v>
      </c>
    </row>
    <row r="1115" spans="1:8" ht="12.5">
      <c r="A1115" s="1" t="str">
        <f ca="1">IFERROR(__xludf.DUMMYFUNCTION("""COMPUTED_VALUE"""),"20210217TNKNK")</f>
        <v>20210217TNKNK</v>
      </c>
      <c r="B1115" s="1">
        <f ca="1">IFERROR(__xludf.DUMMYFUNCTION("""COMPUTED_VALUE"""),30)</f>
        <v>30</v>
      </c>
      <c r="C1115" s="1" t="str">
        <f ca="1">IFERROR(__xludf.DUMMYFUNCTION("""COMPUTED_VALUE"""),"Male")</f>
        <v>Male</v>
      </c>
      <c r="D1115" s="1" t="str">
        <f ca="1">IFERROR(__xludf.DUMMYFUNCTION("""COMPUTED_VALUE"""),"Black")</f>
        <v>Black</v>
      </c>
      <c r="E1115" s="1" t="str">
        <f ca="1">IFERROR(__xludf.DUMMYFUNCTION("""COMPUTED_VALUE"""),"No Relation")</f>
        <v>No Relation</v>
      </c>
      <c r="F1115" s="1" t="str">
        <f ca="1">IFERROR(__xludf.DUMMYFUNCTION("""COMPUTED_VALUE"""),"Fled/Apprehended")</f>
        <v>Fled/Apprehended</v>
      </c>
      <c r="G1115" s="1" t="str">
        <f ca="1">IFERROR(__xludf.DUMMYFUNCTION("""COMPUTED_VALUE"""),"No")</f>
        <v>No</v>
      </c>
      <c r="H1115" s="1" t="str">
        <f ca="1">IFERROR(__xludf.DUMMYFUNCTION("""COMPUTED_VALUE"""),"None")</f>
        <v>None</v>
      </c>
    </row>
    <row r="1116" spans="1:8" ht="12.5">
      <c r="A1116" s="1" t="str">
        <f ca="1">IFERROR(__xludf.DUMMYFUNCTION("""COMPUTED_VALUE"""),"20210216NCTHS")</f>
        <v>20210216NCTHS</v>
      </c>
      <c r="B1116" s="1" t="str">
        <f ca="1">IFERROR(__xludf.DUMMYFUNCTION("""COMPUTED_VALUE"""),"Child")</f>
        <v>Child</v>
      </c>
      <c r="C1116" s="1" t="str">
        <f ca="1">IFERROR(__xludf.DUMMYFUNCTION("""COMPUTED_VALUE"""),"Male")</f>
        <v>Male</v>
      </c>
      <c r="D1116" s="1"/>
      <c r="E1116" s="1" t="str">
        <f ca="1">IFERROR(__xludf.DUMMYFUNCTION("""COMPUTED_VALUE"""),"Student")</f>
        <v>Student</v>
      </c>
      <c r="F1116" s="1" t="str">
        <f ca="1">IFERROR(__xludf.DUMMYFUNCTION("""COMPUTED_VALUE"""),"Apprehended/Killed by SRO")</f>
        <v>Apprehended/Killed by SRO</v>
      </c>
      <c r="G1116" s="1" t="str">
        <f ca="1">IFERROR(__xludf.DUMMYFUNCTION("""COMPUTED_VALUE"""),"No")</f>
        <v>No</v>
      </c>
      <c r="H1116" s="1" t="str">
        <f ca="1">IFERROR(__xludf.DUMMYFUNCTION("""COMPUTED_VALUE"""),"None")</f>
        <v>None</v>
      </c>
    </row>
    <row r="1117" spans="1:8" ht="12.5">
      <c r="A1117" s="1" t="str">
        <f ca="1">IFERROR(__xludf.DUMMYFUNCTION("""COMPUTED_VALUE"""),"20210216NCTHS")</f>
        <v>20210216NCTHS</v>
      </c>
      <c r="B1117" s="1" t="str">
        <f ca="1">IFERROR(__xludf.DUMMYFUNCTION("""COMPUTED_VALUE"""),"Child")</f>
        <v>Child</v>
      </c>
      <c r="C1117" s="1" t="str">
        <f ca="1">IFERROR(__xludf.DUMMYFUNCTION("""COMPUTED_VALUE"""),"Male")</f>
        <v>Male</v>
      </c>
      <c r="D1117" s="1"/>
      <c r="E1117" s="1" t="str">
        <f ca="1">IFERROR(__xludf.DUMMYFUNCTION("""COMPUTED_VALUE"""),"Student")</f>
        <v>Student</v>
      </c>
      <c r="F1117" s="1" t="str">
        <f ca="1">IFERROR(__xludf.DUMMYFUNCTION("""COMPUTED_VALUE"""),"Apprehended/Killed by SRO")</f>
        <v>Apprehended/Killed by SRO</v>
      </c>
      <c r="G1117" s="1" t="str">
        <f ca="1">IFERROR(__xludf.DUMMYFUNCTION("""COMPUTED_VALUE"""),"No")</f>
        <v>No</v>
      </c>
      <c r="H1117" s="1" t="str">
        <f ca="1">IFERROR(__xludf.DUMMYFUNCTION("""COMPUTED_VALUE"""),"None")</f>
        <v>None</v>
      </c>
    </row>
    <row r="1118" spans="1:8" ht="12.5">
      <c r="A1118" s="1" t="str">
        <f ca="1">IFERROR(__xludf.DUMMYFUNCTION("""COMPUTED_VALUE"""),"20210214MNROM")</f>
        <v>20210214MNROM</v>
      </c>
      <c r="B1118" s="1"/>
      <c r="C1118" s="1"/>
      <c r="D1118" s="1"/>
      <c r="E1118" s="1" t="str">
        <f ca="1">IFERROR(__xludf.DUMMYFUNCTION("""COMPUTED_VALUE"""),"No Relation")</f>
        <v>No Relation</v>
      </c>
      <c r="F1118" s="1" t="str">
        <f ca="1">IFERROR(__xludf.DUMMYFUNCTION("""COMPUTED_VALUE"""),"Fled/Escaped")</f>
        <v>Fled/Escaped</v>
      </c>
      <c r="G1118" s="1" t="str">
        <f ca="1">IFERROR(__xludf.DUMMYFUNCTION("""COMPUTED_VALUE"""),"No")</f>
        <v>No</v>
      </c>
      <c r="H1118" s="1" t="str">
        <f ca="1">IFERROR(__xludf.DUMMYFUNCTION("""COMPUTED_VALUE"""),"None")</f>
        <v>None</v>
      </c>
    </row>
    <row r="1119" spans="1:8" ht="12.5">
      <c r="A1119" s="1" t="str">
        <f ca="1">IFERROR(__xludf.DUMMYFUNCTION("""COMPUTED_VALUE"""),"20210210TXFOF")</f>
        <v>20210210TXFOF</v>
      </c>
      <c r="B1119" s="1">
        <f ca="1">IFERROR(__xludf.DUMMYFUNCTION("""COMPUTED_VALUE"""),17)</f>
        <v>17</v>
      </c>
      <c r="C1119" s="1" t="str">
        <f ca="1">IFERROR(__xludf.DUMMYFUNCTION("""COMPUTED_VALUE"""),"Male")</f>
        <v>Male</v>
      </c>
      <c r="D1119" s="1"/>
      <c r="E1119" s="1" t="str">
        <f ca="1">IFERROR(__xludf.DUMMYFUNCTION("""COMPUTED_VALUE"""),"No Relation")</f>
        <v>No Relation</v>
      </c>
      <c r="F1119" s="1" t="str">
        <f ca="1">IFERROR(__xludf.DUMMYFUNCTION("""COMPUTED_VALUE"""),"Fled/Apprehended")</f>
        <v>Fled/Apprehended</v>
      </c>
      <c r="G1119" s="1" t="str">
        <f ca="1">IFERROR(__xludf.DUMMYFUNCTION("""COMPUTED_VALUE"""),"No")</f>
        <v>No</v>
      </c>
      <c r="H1119" s="1" t="str">
        <f ca="1">IFERROR(__xludf.DUMMYFUNCTION("""COMPUTED_VALUE"""),"None")</f>
        <v>None</v>
      </c>
    </row>
    <row r="1120" spans="1:8" ht="12.5">
      <c r="A1120" s="1" t="str">
        <f ca="1">IFERROR(__xludf.DUMMYFUNCTION("""COMPUTED_VALUE"""),"20210210TXFOF")</f>
        <v>20210210TXFOF</v>
      </c>
      <c r="B1120" s="1">
        <f ca="1">IFERROR(__xludf.DUMMYFUNCTION("""COMPUTED_VALUE"""),18)</f>
        <v>18</v>
      </c>
      <c r="C1120" s="1" t="str">
        <f ca="1">IFERROR(__xludf.DUMMYFUNCTION("""COMPUTED_VALUE"""),"Male")</f>
        <v>Male</v>
      </c>
      <c r="D1120" s="1" t="str">
        <f ca="1">IFERROR(__xludf.DUMMYFUNCTION("""COMPUTED_VALUE"""),"Hispanic")</f>
        <v>Hispanic</v>
      </c>
      <c r="E1120" s="1" t="str">
        <f ca="1">IFERROR(__xludf.DUMMYFUNCTION("""COMPUTED_VALUE"""),"No Relation")</f>
        <v>No Relation</v>
      </c>
      <c r="F1120" s="1" t="str">
        <f ca="1">IFERROR(__xludf.DUMMYFUNCTION("""COMPUTED_VALUE"""),"Fled/Apprehended")</f>
        <v>Fled/Apprehended</v>
      </c>
      <c r="G1120" s="1" t="str">
        <f ca="1">IFERROR(__xludf.DUMMYFUNCTION("""COMPUTED_VALUE"""),"No")</f>
        <v>No</v>
      </c>
      <c r="H1120" s="1" t="str">
        <f ca="1">IFERROR(__xludf.DUMMYFUNCTION("""COMPUTED_VALUE"""),"None")</f>
        <v>None</v>
      </c>
    </row>
    <row r="1121" spans="1:8" ht="12.5">
      <c r="A1121" s="1" t="str">
        <f ca="1">IFERROR(__xludf.DUMMYFUNCTION("""COMPUTED_VALUE"""),"20210210NJSCP")</f>
        <v>20210210NJSCP</v>
      </c>
      <c r="B1121" s="1"/>
      <c r="C1121" s="1"/>
      <c r="D1121" s="1"/>
      <c r="E1121" s="1" t="str">
        <f ca="1">IFERROR(__xludf.DUMMYFUNCTION("""COMPUTED_VALUE"""),"No Relation")</f>
        <v>No Relation</v>
      </c>
      <c r="F1121" s="1" t="str">
        <f ca="1">IFERROR(__xludf.DUMMYFUNCTION("""COMPUTED_VALUE"""),"Fled/Escaped")</f>
        <v>Fled/Escaped</v>
      </c>
      <c r="G1121" s="1" t="str">
        <f ca="1">IFERROR(__xludf.DUMMYFUNCTION("""COMPUTED_VALUE"""),"No")</f>
        <v>No</v>
      </c>
      <c r="H1121" s="1" t="str">
        <f ca="1">IFERROR(__xludf.DUMMYFUNCTION("""COMPUTED_VALUE"""),"None")</f>
        <v>None</v>
      </c>
    </row>
    <row r="1122" spans="1:8" ht="12.5">
      <c r="A1122" s="1" t="str">
        <f ca="1">IFERROR(__xludf.DUMMYFUNCTION("""COMPUTED_VALUE"""),"20210210LASTS")</f>
        <v>20210210LASTS</v>
      </c>
      <c r="B1122" s="1" t="str">
        <f ca="1">IFERROR(__xludf.DUMMYFUNCTION("""COMPUTED_VALUE"""),"Adult")</f>
        <v>Adult</v>
      </c>
      <c r="C1122" s="1" t="str">
        <f ca="1">IFERROR(__xludf.DUMMYFUNCTION("""COMPUTED_VALUE"""),"Male")</f>
        <v>Male</v>
      </c>
      <c r="D1122" s="1" t="str">
        <f ca="1">IFERROR(__xludf.DUMMYFUNCTION("""COMPUTED_VALUE"""),"Black")</f>
        <v>Black</v>
      </c>
      <c r="E1122" s="1" t="str">
        <f ca="1">IFERROR(__xludf.DUMMYFUNCTION("""COMPUTED_VALUE"""),"No Relation")</f>
        <v>No Relation</v>
      </c>
      <c r="F1122" s="1" t="str">
        <f ca="1">IFERROR(__xludf.DUMMYFUNCTION("""COMPUTED_VALUE"""),"Fled/Escaped")</f>
        <v>Fled/Escaped</v>
      </c>
      <c r="G1122" s="1" t="str">
        <f ca="1">IFERROR(__xludf.DUMMYFUNCTION("""COMPUTED_VALUE"""),"No")</f>
        <v>No</v>
      </c>
      <c r="H1122" s="1" t="str">
        <f ca="1">IFERROR(__xludf.DUMMYFUNCTION("""COMPUTED_VALUE"""),"None")</f>
        <v>None</v>
      </c>
    </row>
    <row r="1123" spans="1:8" ht="12.5">
      <c r="A1123" s="1" t="str">
        <f ca="1">IFERROR(__xludf.DUMMYFUNCTION("""COMPUTED_VALUE"""),"20210208MISCG")</f>
        <v>20210208MISCG</v>
      </c>
      <c r="B1123" s="1"/>
      <c r="C1123" s="1" t="str">
        <f ca="1">IFERROR(__xludf.DUMMYFUNCTION("""COMPUTED_VALUE"""),"Male")</f>
        <v>Male</v>
      </c>
      <c r="D1123" s="1"/>
      <c r="E1123" s="1" t="str">
        <f ca="1">IFERROR(__xludf.DUMMYFUNCTION("""COMPUTED_VALUE"""),"No Relation")</f>
        <v>No Relation</v>
      </c>
      <c r="F1123" s="1" t="str">
        <f ca="1">IFERROR(__xludf.DUMMYFUNCTION("""COMPUTED_VALUE"""),"Fled/Escaped")</f>
        <v>Fled/Escaped</v>
      </c>
      <c r="G1123" s="1" t="str">
        <f ca="1">IFERROR(__xludf.DUMMYFUNCTION("""COMPUTED_VALUE"""),"No")</f>
        <v>No</v>
      </c>
      <c r="H1123" s="1" t="str">
        <f ca="1">IFERROR(__xludf.DUMMYFUNCTION("""COMPUTED_VALUE"""),"None")</f>
        <v>None</v>
      </c>
    </row>
    <row r="1124" spans="1:8" ht="12.5">
      <c r="A1124" s="1" t="str">
        <f ca="1">IFERROR(__xludf.DUMMYFUNCTION("""COMPUTED_VALUE"""),"20210205MDBEM")</f>
        <v>20210205MDBEM</v>
      </c>
      <c r="B1124" s="1"/>
      <c r="C1124" s="1"/>
      <c r="D1124" s="1"/>
      <c r="E1124" s="1" t="str">
        <f ca="1">IFERROR(__xludf.DUMMYFUNCTION("""COMPUTED_VALUE"""),"No Relation")</f>
        <v>No Relation</v>
      </c>
      <c r="F1124" s="1" t="str">
        <f ca="1">IFERROR(__xludf.DUMMYFUNCTION("""COMPUTED_VALUE"""),"Fled/Escaped")</f>
        <v>Fled/Escaped</v>
      </c>
      <c r="G1124" s="1" t="str">
        <f ca="1">IFERROR(__xludf.DUMMYFUNCTION("""COMPUTED_VALUE"""),"No")</f>
        <v>No</v>
      </c>
      <c r="H1124" s="1" t="str">
        <f ca="1">IFERROR(__xludf.DUMMYFUNCTION("""COMPUTED_VALUE"""),"None")</f>
        <v>None</v>
      </c>
    </row>
    <row r="1125" spans="1:8" ht="12.5">
      <c r="A1125" s="1" t="str">
        <f ca="1">IFERROR(__xludf.DUMMYFUNCTION("""COMPUTED_VALUE"""),"20210201MIMUD")</f>
        <v>20210201MIMUD</v>
      </c>
      <c r="B1125" s="1" t="str">
        <f ca="1">IFERROR(__xludf.DUMMYFUNCTION("""COMPUTED_VALUE"""),"Teen")</f>
        <v>Teen</v>
      </c>
      <c r="C1125" s="1" t="str">
        <f ca="1">IFERROR(__xludf.DUMMYFUNCTION("""COMPUTED_VALUE"""),"Male")</f>
        <v>Male</v>
      </c>
      <c r="D1125" s="1" t="str">
        <f ca="1">IFERROR(__xludf.DUMMYFUNCTION("""COMPUTED_VALUE"""),"Black")</f>
        <v>Black</v>
      </c>
      <c r="E1125" s="1" t="str">
        <f ca="1">IFERROR(__xludf.DUMMYFUNCTION("""COMPUTED_VALUE"""),"Nonstudent Using Athletic Facilities/Attending Game")</f>
        <v>Nonstudent Using Athletic Facilities/Attending Game</v>
      </c>
      <c r="F1125" s="1" t="str">
        <f ca="1">IFERROR(__xludf.DUMMYFUNCTION("""COMPUTED_VALUE"""),"Fled/Escaped")</f>
        <v>Fled/Escaped</v>
      </c>
      <c r="G1125" s="1" t="str">
        <f ca="1">IFERROR(__xludf.DUMMYFUNCTION("""COMPUTED_VALUE"""),"No")</f>
        <v>No</v>
      </c>
      <c r="H1125" s="1" t="str">
        <f ca="1">IFERROR(__xludf.DUMMYFUNCTION("""COMPUTED_VALUE"""),"None")</f>
        <v>None</v>
      </c>
    </row>
    <row r="1126" spans="1:8" ht="12.5">
      <c r="A1126" s="1" t="str">
        <f ca="1">IFERROR(__xludf.DUMMYFUNCTION("""COMPUTED_VALUE"""),"20210127MSHAH")</f>
        <v>20210127MSHAH</v>
      </c>
      <c r="B1126" s="1">
        <f ca="1">IFERROR(__xludf.DUMMYFUNCTION("""COMPUTED_VALUE"""),14)</f>
        <v>14</v>
      </c>
      <c r="C1126" s="1" t="str">
        <f ca="1">IFERROR(__xludf.DUMMYFUNCTION("""COMPUTED_VALUE"""),"Male")</f>
        <v>Male</v>
      </c>
      <c r="D1126" s="1" t="str">
        <f ca="1">IFERROR(__xludf.DUMMYFUNCTION("""COMPUTED_VALUE"""),"Black")</f>
        <v>Black</v>
      </c>
      <c r="E1126" s="1"/>
      <c r="F1126" s="1" t="str">
        <f ca="1">IFERROR(__xludf.DUMMYFUNCTION("""COMPUTED_VALUE"""),"Apprehended/Killed by LE")</f>
        <v>Apprehended/Killed by LE</v>
      </c>
      <c r="G1126" s="1" t="str">
        <f ca="1">IFERROR(__xludf.DUMMYFUNCTION("""COMPUTED_VALUE"""),"No")</f>
        <v>No</v>
      </c>
      <c r="H1126" s="1" t="str">
        <f ca="1">IFERROR(__xludf.DUMMYFUNCTION("""COMPUTED_VALUE"""),"Wounded")</f>
        <v>Wounded</v>
      </c>
    </row>
    <row r="1127" spans="1:8" ht="12.5">
      <c r="A1127" s="1" t="str">
        <f ca="1">IFERROR(__xludf.DUMMYFUNCTION("""COMPUTED_VALUE"""),"20210127FLHOH")</f>
        <v>20210127FLHOH</v>
      </c>
      <c r="B1127" s="1" t="str">
        <f ca="1">IFERROR(__xludf.DUMMYFUNCTION("""COMPUTED_VALUE"""),"Teen")</f>
        <v>Teen</v>
      </c>
      <c r="C1127" s="1"/>
      <c r="D1127" s="1"/>
      <c r="E1127" s="1" t="str">
        <f ca="1">IFERROR(__xludf.DUMMYFUNCTION("""COMPUTED_VALUE"""),"Student")</f>
        <v>Student</v>
      </c>
      <c r="F1127" s="1" t="str">
        <f ca="1">IFERROR(__xludf.DUMMYFUNCTION("""COMPUTED_VALUE"""),"Apprehended/Killed by Other")</f>
        <v>Apprehended/Killed by Other</v>
      </c>
      <c r="G1127" s="1" t="str">
        <f ca="1">IFERROR(__xludf.DUMMYFUNCTION("""COMPUTED_VALUE"""),"No")</f>
        <v>No</v>
      </c>
      <c r="H1127" s="1" t="str">
        <f ca="1">IFERROR(__xludf.DUMMYFUNCTION("""COMPUTED_VALUE"""),"None")</f>
        <v>None</v>
      </c>
    </row>
    <row r="1128" spans="1:8" ht="12.5">
      <c r="A1128" s="1" t="str">
        <f ca="1">IFERROR(__xludf.DUMMYFUNCTION("""COMPUTED_VALUE"""),"20210127FLHOH")</f>
        <v>20210127FLHOH</v>
      </c>
      <c r="B1128" s="1" t="str">
        <f ca="1">IFERROR(__xludf.DUMMYFUNCTION("""COMPUTED_VALUE"""),"Teen")</f>
        <v>Teen</v>
      </c>
      <c r="C1128" s="1"/>
      <c r="D1128" s="1"/>
      <c r="E1128" s="1" t="str">
        <f ca="1">IFERROR(__xludf.DUMMYFUNCTION("""COMPUTED_VALUE"""),"Student")</f>
        <v>Student</v>
      </c>
      <c r="F1128" s="1" t="str">
        <f ca="1">IFERROR(__xludf.DUMMYFUNCTION("""COMPUTED_VALUE"""),"Apprehended/Killed by Other")</f>
        <v>Apprehended/Killed by Other</v>
      </c>
      <c r="G1128" s="1" t="str">
        <f ca="1">IFERROR(__xludf.DUMMYFUNCTION("""COMPUTED_VALUE"""),"No")</f>
        <v>No</v>
      </c>
      <c r="H1128" s="1" t="str">
        <f ca="1">IFERROR(__xludf.DUMMYFUNCTION("""COMPUTED_VALUE"""),"None")</f>
        <v>None</v>
      </c>
    </row>
    <row r="1129" spans="1:8" ht="12.5">
      <c r="A1129" s="1" t="str">
        <f ca="1">IFERROR(__xludf.DUMMYFUNCTION("""COMPUTED_VALUE"""),"20210121OKLOG")</f>
        <v>20210121OKLOG</v>
      </c>
      <c r="B1129" s="1" t="str">
        <f ca="1">IFERROR(__xludf.DUMMYFUNCTION("""COMPUTED_VALUE"""),"Adult")</f>
        <v>Adult</v>
      </c>
      <c r="C1129" s="1" t="str">
        <f ca="1">IFERROR(__xludf.DUMMYFUNCTION("""COMPUTED_VALUE"""),"Male")</f>
        <v>Male</v>
      </c>
      <c r="D1129" s="1"/>
      <c r="E1129" s="1" t="str">
        <f ca="1">IFERROR(__xludf.DUMMYFUNCTION("""COMPUTED_VALUE"""),"Parent")</f>
        <v>Parent</v>
      </c>
      <c r="F1129" s="1" t="str">
        <f ca="1">IFERROR(__xludf.DUMMYFUNCTION("""COMPUTED_VALUE"""),"Fled/Apprehended")</f>
        <v>Fled/Apprehended</v>
      </c>
      <c r="G1129" s="1" t="str">
        <f ca="1">IFERROR(__xludf.DUMMYFUNCTION("""COMPUTED_VALUE"""),"No")</f>
        <v>No</v>
      </c>
      <c r="H1129" s="1" t="str">
        <f ca="1">IFERROR(__xludf.DUMMYFUNCTION("""COMPUTED_VALUE"""),"Wounded")</f>
        <v>Wounded</v>
      </c>
    </row>
    <row r="1130" spans="1:8" ht="12.5">
      <c r="A1130" s="1" t="str">
        <f ca="1">IFERROR(__xludf.DUMMYFUNCTION("""COMPUTED_VALUE"""),"20210121OHEAC")</f>
        <v>20210121OHEAC</v>
      </c>
      <c r="B1130" s="1" t="str">
        <f ca="1">IFERROR(__xludf.DUMMYFUNCTION("""COMPUTED_VALUE"""),"Adult")</f>
        <v>Adult</v>
      </c>
      <c r="C1130" s="1" t="str">
        <f ca="1">IFERROR(__xludf.DUMMYFUNCTION("""COMPUTED_VALUE"""),"Male")</f>
        <v>Male</v>
      </c>
      <c r="D1130" s="1"/>
      <c r="E1130" s="1" t="str">
        <f ca="1">IFERROR(__xludf.DUMMYFUNCTION("""COMPUTED_VALUE"""),"No Relation")</f>
        <v>No Relation</v>
      </c>
      <c r="F1130" s="1" t="str">
        <f ca="1">IFERROR(__xludf.DUMMYFUNCTION("""COMPUTED_VALUE"""),"Fled/Escaped")</f>
        <v>Fled/Escaped</v>
      </c>
      <c r="G1130" s="1" t="str">
        <f ca="1">IFERROR(__xludf.DUMMYFUNCTION("""COMPUTED_VALUE"""),"No")</f>
        <v>No</v>
      </c>
      <c r="H1130" s="1" t="str">
        <f ca="1">IFERROR(__xludf.DUMMYFUNCTION("""COMPUTED_VALUE"""),"None")</f>
        <v>None</v>
      </c>
    </row>
    <row r="1131" spans="1:8" ht="12.5">
      <c r="A1131" s="1" t="str">
        <f ca="1">IFERROR(__xludf.DUMMYFUNCTION("""COMPUTED_VALUE"""),"20210114MDHIW")</f>
        <v>20210114MDHIW</v>
      </c>
      <c r="B1131" s="1"/>
      <c r="C1131" s="1"/>
      <c r="D1131" s="1"/>
      <c r="E1131" s="1" t="str">
        <f ca="1">IFERROR(__xludf.DUMMYFUNCTION("""COMPUTED_VALUE"""),"No Relation")</f>
        <v>No Relation</v>
      </c>
      <c r="F1131" s="1" t="str">
        <f ca="1">IFERROR(__xludf.DUMMYFUNCTION("""COMPUTED_VALUE"""),"Fled/Escaped")</f>
        <v>Fled/Escaped</v>
      </c>
      <c r="G1131" s="1" t="str">
        <f ca="1">IFERROR(__xludf.DUMMYFUNCTION("""COMPUTED_VALUE"""),"No")</f>
        <v>No</v>
      </c>
      <c r="H1131" s="1" t="str">
        <f ca="1">IFERROR(__xludf.DUMMYFUNCTION("""COMPUTED_VALUE"""),"None")</f>
        <v>None</v>
      </c>
    </row>
    <row r="1132" spans="1:8" ht="12.5">
      <c r="A1132" s="1" t="str">
        <f ca="1">IFERROR(__xludf.DUMMYFUNCTION("""COMPUTED_VALUE"""),"20210110ILSOS")</f>
        <v>20210110ILSOS</v>
      </c>
      <c r="B1132" s="1"/>
      <c r="C1132" s="1"/>
      <c r="D1132" s="1"/>
      <c r="E1132" s="1"/>
      <c r="F1132" s="1" t="str">
        <f ca="1">IFERROR(__xludf.DUMMYFUNCTION("""COMPUTED_VALUE"""),"Fled/Escaped")</f>
        <v>Fled/Escaped</v>
      </c>
      <c r="G1132" s="1" t="str">
        <f ca="1">IFERROR(__xludf.DUMMYFUNCTION("""COMPUTED_VALUE"""),"No")</f>
        <v>No</v>
      </c>
      <c r="H1132" s="1" t="str">
        <f ca="1">IFERROR(__xludf.DUMMYFUNCTION("""COMPUTED_VALUE"""),"None")</f>
        <v>None</v>
      </c>
    </row>
    <row r="1133" spans="1:8" ht="12.5">
      <c r="A1133" s="1" t="str">
        <f ca="1">IFERROR(__xludf.DUMMYFUNCTION("""COMPUTED_VALUE"""),"20210104NYPEJ")</f>
        <v>20210104NYPEJ</v>
      </c>
      <c r="B1133" s="1" t="str">
        <f ca="1">IFERROR(__xludf.DUMMYFUNCTION("""COMPUTED_VALUE"""),"Adult")</f>
        <v>Adult</v>
      </c>
      <c r="C1133" s="1" t="str">
        <f ca="1">IFERROR(__xludf.DUMMYFUNCTION("""COMPUTED_VALUE"""),"Male")</f>
        <v>Male</v>
      </c>
      <c r="D1133" s="1"/>
      <c r="E1133" s="1" t="str">
        <f ca="1">IFERROR(__xludf.DUMMYFUNCTION("""COMPUTED_VALUE"""),"No Relation")</f>
        <v>No Relation</v>
      </c>
      <c r="F1133" s="1" t="str">
        <f ca="1">IFERROR(__xludf.DUMMYFUNCTION("""COMPUTED_VALUE"""),"Fled/Apprehended")</f>
        <v>Fled/Apprehended</v>
      </c>
      <c r="G1133" s="1" t="str">
        <f ca="1">IFERROR(__xludf.DUMMYFUNCTION("""COMPUTED_VALUE"""),"No")</f>
        <v>No</v>
      </c>
      <c r="H1133" s="1" t="str">
        <f ca="1">IFERROR(__xludf.DUMMYFUNCTION("""COMPUTED_VALUE"""),"None")</f>
        <v>None</v>
      </c>
    </row>
    <row r="1134" spans="1:8" ht="12.5">
      <c r="A1134" s="1" t="str">
        <f ca="1">IFERROR(__xludf.DUMMYFUNCTION("""COMPUTED_VALUE"""),"20201229WAROS")</f>
        <v>20201229WAROS</v>
      </c>
      <c r="B1134" s="1"/>
      <c r="C1134" s="1"/>
      <c r="D1134" s="1"/>
      <c r="E1134" s="1"/>
      <c r="F1134" s="1" t="str">
        <f ca="1">IFERROR(__xludf.DUMMYFUNCTION("""COMPUTED_VALUE"""),"Fled/Escaped")</f>
        <v>Fled/Escaped</v>
      </c>
      <c r="G1134" s="1" t="str">
        <f ca="1">IFERROR(__xludf.DUMMYFUNCTION("""COMPUTED_VALUE"""),"No")</f>
        <v>No</v>
      </c>
      <c r="H1134" s="1" t="str">
        <f ca="1">IFERROR(__xludf.DUMMYFUNCTION("""COMPUTED_VALUE"""),"None")</f>
        <v>None</v>
      </c>
    </row>
    <row r="1135" spans="1:8" ht="12.5">
      <c r="A1135" s="1" t="str">
        <f ca="1">IFERROR(__xludf.DUMMYFUNCTION("""COMPUTED_VALUE"""),"20201225FLYOP")</f>
        <v>20201225FLYOP</v>
      </c>
      <c r="B1135" s="1"/>
      <c r="C1135" s="1"/>
      <c r="D1135" s="1"/>
      <c r="E1135" s="1"/>
      <c r="F1135" s="1" t="str">
        <f ca="1">IFERROR(__xludf.DUMMYFUNCTION("""COMPUTED_VALUE"""),"Fled/Escaped")</f>
        <v>Fled/Escaped</v>
      </c>
      <c r="G1135" s="1" t="str">
        <f ca="1">IFERROR(__xludf.DUMMYFUNCTION("""COMPUTED_VALUE"""),"No")</f>
        <v>No</v>
      </c>
      <c r="H1135" s="1" t="str">
        <f ca="1">IFERROR(__xludf.DUMMYFUNCTION("""COMPUTED_VALUE"""),"None")</f>
        <v>None</v>
      </c>
    </row>
    <row r="1136" spans="1:8" ht="12.5">
      <c r="A1136" s="1" t="str">
        <f ca="1">IFERROR(__xludf.DUMMYFUNCTION("""COMPUTED_VALUE"""),"20201216ILDUC")</f>
        <v>20201216ILDUC</v>
      </c>
      <c r="B1136" s="1"/>
      <c r="C1136" s="1"/>
      <c r="D1136" s="1"/>
      <c r="E1136" s="1" t="str">
        <f ca="1">IFERROR(__xludf.DUMMYFUNCTION("""COMPUTED_VALUE"""),"No Relation")</f>
        <v>No Relation</v>
      </c>
      <c r="F1136" s="1" t="str">
        <f ca="1">IFERROR(__xludf.DUMMYFUNCTION("""COMPUTED_VALUE"""),"Fled/Escaped")</f>
        <v>Fled/Escaped</v>
      </c>
      <c r="G1136" s="1" t="str">
        <f ca="1">IFERROR(__xludf.DUMMYFUNCTION("""COMPUTED_VALUE"""),"No")</f>
        <v>No</v>
      </c>
      <c r="H1136" s="1" t="str">
        <f ca="1">IFERROR(__xludf.DUMMYFUNCTION("""COMPUTED_VALUE"""),"None")</f>
        <v>None</v>
      </c>
    </row>
    <row r="1137" spans="1:8" ht="12.5">
      <c r="A1137" s="1" t="str">
        <f ca="1">IFERROR(__xludf.DUMMYFUNCTION("""COMPUTED_VALUE"""),"20201211VATAY")</f>
        <v>20201211VATAY</v>
      </c>
      <c r="B1137" s="1"/>
      <c r="C1137" s="1"/>
      <c r="D1137" s="1"/>
      <c r="E1137" s="1" t="str">
        <f ca="1">IFERROR(__xludf.DUMMYFUNCTION("""COMPUTED_VALUE"""),"Nonstudent Using Athletic Facilities/Attending Game")</f>
        <v>Nonstudent Using Athletic Facilities/Attending Game</v>
      </c>
      <c r="F1137" s="1" t="str">
        <f ca="1">IFERROR(__xludf.DUMMYFUNCTION("""COMPUTED_VALUE"""),"Fled/Escaped")</f>
        <v>Fled/Escaped</v>
      </c>
      <c r="G1137" s="1" t="str">
        <f ca="1">IFERROR(__xludf.DUMMYFUNCTION("""COMPUTED_VALUE"""),"No")</f>
        <v>No</v>
      </c>
      <c r="H1137" s="1" t="str">
        <f ca="1">IFERROR(__xludf.DUMMYFUNCTION("""COMPUTED_VALUE"""),"None")</f>
        <v>None</v>
      </c>
    </row>
    <row r="1138" spans="1:8" ht="12.5">
      <c r="A1138" s="1" t="str">
        <f ca="1">IFERROR(__xludf.DUMMYFUNCTION("""COMPUTED_VALUE"""),"20201207ILEAC")</f>
        <v>20201207ILEAC</v>
      </c>
      <c r="B1138" s="1"/>
      <c r="C1138" s="1"/>
      <c r="D1138" s="1"/>
      <c r="E1138" s="1" t="str">
        <f ca="1">IFERROR(__xludf.DUMMYFUNCTION("""COMPUTED_VALUE"""),"No Relation")</f>
        <v>No Relation</v>
      </c>
      <c r="F1138" s="1" t="str">
        <f ca="1">IFERROR(__xludf.DUMMYFUNCTION("""COMPUTED_VALUE"""),"Fled/Escaped")</f>
        <v>Fled/Escaped</v>
      </c>
      <c r="G1138" s="1" t="str">
        <f ca="1">IFERROR(__xludf.DUMMYFUNCTION("""COMPUTED_VALUE"""),"No")</f>
        <v>No</v>
      </c>
      <c r="H1138" s="1" t="str">
        <f ca="1">IFERROR(__xludf.DUMMYFUNCTION("""COMPUTED_VALUE"""),"None")</f>
        <v>None</v>
      </c>
    </row>
    <row r="1139" spans="1:8" ht="12.5">
      <c r="A1139" s="1" t="str">
        <f ca="1">IFERROR(__xludf.DUMMYFUNCTION("""COMPUTED_VALUE"""),"20201125KSABG")</f>
        <v>20201125KSABG</v>
      </c>
      <c r="B1139" s="1">
        <f ca="1">IFERROR(__xludf.DUMMYFUNCTION("""COMPUTED_VALUE"""),31)</f>
        <v>31</v>
      </c>
      <c r="C1139" s="1" t="str">
        <f ca="1">IFERROR(__xludf.DUMMYFUNCTION("""COMPUTED_VALUE"""),"Male")</f>
        <v>Male</v>
      </c>
      <c r="D1139" s="1"/>
      <c r="E1139" s="1" t="str">
        <f ca="1">IFERROR(__xludf.DUMMYFUNCTION("""COMPUTED_VALUE"""),"No Relation")</f>
        <v>No Relation</v>
      </c>
      <c r="F1139" s="1" t="str">
        <f ca="1">IFERROR(__xludf.DUMMYFUNCTION("""COMPUTED_VALUE"""),"Fled/Apprehended")</f>
        <v>Fled/Apprehended</v>
      </c>
      <c r="G1139" s="1" t="str">
        <f ca="1">IFERROR(__xludf.DUMMYFUNCTION("""COMPUTED_VALUE"""),"No")</f>
        <v>No</v>
      </c>
      <c r="H1139" s="1" t="str">
        <f ca="1">IFERROR(__xludf.DUMMYFUNCTION("""COMPUTED_VALUE"""),"None")</f>
        <v>None</v>
      </c>
    </row>
    <row r="1140" spans="1:8" ht="12.5">
      <c r="A1140" s="1" t="str">
        <f ca="1">IFERROR(__xludf.DUMMYFUNCTION("""COMPUTED_VALUE"""),"20201124NCHEH")</f>
        <v>20201124NCHEH</v>
      </c>
      <c r="B1140" s="1">
        <f ca="1">IFERROR(__xludf.DUMMYFUNCTION("""COMPUTED_VALUE"""),13)</f>
        <v>13</v>
      </c>
      <c r="C1140" s="1" t="str">
        <f ca="1">IFERROR(__xludf.DUMMYFUNCTION("""COMPUTED_VALUE"""),"Male")</f>
        <v>Male</v>
      </c>
      <c r="D1140" s="1"/>
      <c r="E1140" s="1" t="str">
        <f ca="1">IFERROR(__xludf.DUMMYFUNCTION("""COMPUTED_VALUE"""),"Student")</f>
        <v>Student</v>
      </c>
      <c r="F1140" s="1" t="str">
        <f ca="1">IFERROR(__xludf.DUMMYFUNCTION("""COMPUTED_VALUE"""),"Surrendered")</f>
        <v>Surrendered</v>
      </c>
      <c r="G1140" s="1" t="str">
        <f ca="1">IFERROR(__xludf.DUMMYFUNCTION("""COMPUTED_VALUE"""),"No")</f>
        <v>No</v>
      </c>
      <c r="H1140" s="1" t="str">
        <f ca="1">IFERROR(__xludf.DUMMYFUNCTION("""COMPUTED_VALUE"""),"None")</f>
        <v>None</v>
      </c>
    </row>
    <row r="1141" spans="1:8" ht="12.5">
      <c r="A1141" s="1" t="str">
        <f ca="1">IFERROR(__xludf.DUMMYFUNCTION("""COMPUTED_VALUE"""),"20201117TXWEW")</f>
        <v>20201117TXWEW</v>
      </c>
      <c r="B1141" s="1" t="str">
        <f ca="1">IFERROR(__xludf.DUMMYFUNCTION("""COMPUTED_VALUE"""),"Teen")</f>
        <v>Teen</v>
      </c>
      <c r="C1141" s="1" t="str">
        <f ca="1">IFERROR(__xludf.DUMMYFUNCTION("""COMPUTED_VALUE"""),"Male")</f>
        <v>Male</v>
      </c>
      <c r="D1141" s="1"/>
      <c r="E1141" s="1" t="str">
        <f ca="1">IFERROR(__xludf.DUMMYFUNCTION("""COMPUTED_VALUE"""),"Nonstudent")</f>
        <v>Nonstudent</v>
      </c>
      <c r="F1141" s="1" t="str">
        <f ca="1">IFERROR(__xludf.DUMMYFUNCTION("""COMPUTED_VALUE"""),"Attempted Suicide")</f>
        <v>Attempted Suicide</v>
      </c>
      <c r="G1141" s="1" t="str">
        <f ca="1">IFERROR(__xludf.DUMMYFUNCTION("""COMPUTED_VALUE"""),"No")</f>
        <v>No</v>
      </c>
      <c r="H1141" s="1" t="str">
        <f ca="1">IFERROR(__xludf.DUMMYFUNCTION("""COMPUTED_VALUE"""),"Wounded")</f>
        <v>Wounded</v>
      </c>
    </row>
    <row r="1142" spans="1:8" ht="12.5">
      <c r="A1142" s="1" t="str">
        <f ca="1">IFERROR(__xludf.DUMMYFUNCTION("""COMPUTED_VALUE"""),"20201117MTGRG")</f>
        <v>20201117MTGRG</v>
      </c>
      <c r="B1142" s="1">
        <f ca="1">IFERROR(__xludf.DUMMYFUNCTION("""COMPUTED_VALUE"""),19)</f>
        <v>19</v>
      </c>
      <c r="C1142" s="1" t="str">
        <f ca="1">IFERROR(__xludf.DUMMYFUNCTION("""COMPUTED_VALUE"""),"Male")</f>
        <v>Male</v>
      </c>
      <c r="D1142" s="1" t="str">
        <f ca="1">IFERROR(__xludf.DUMMYFUNCTION("""COMPUTED_VALUE"""),"White")</f>
        <v>White</v>
      </c>
      <c r="E1142" s="1" t="str">
        <f ca="1">IFERROR(__xludf.DUMMYFUNCTION("""COMPUTED_VALUE"""),"No Relation")</f>
        <v>No Relation</v>
      </c>
      <c r="F1142" s="1" t="str">
        <f ca="1">IFERROR(__xludf.DUMMYFUNCTION("""COMPUTED_VALUE"""),"Apprehended/Killed by LE")</f>
        <v>Apprehended/Killed by LE</v>
      </c>
      <c r="G1142" s="1" t="str">
        <f ca="1">IFERROR(__xludf.DUMMYFUNCTION("""COMPUTED_VALUE"""),"No")</f>
        <v>No</v>
      </c>
      <c r="H1142" s="1" t="str">
        <f ca="1">IFERROR(__xludf.DUMMYFUNCTION("""COMPUTED_VALUE"""),"None")</f>
        <v>None</v>
      </c>
    </row>
    <row r="1143" spans="1:8" ht="12.5">
      <c r="A1143" s="1" t="str">
        <f ca="1">IFERROR(__xludf.DUMMYFUNCTION("""COMPUTED_VALUE"""),"20201116TNWIM")</f>
        <v>20201116TNWIM</v>
      </c>
      <c r="B1143" s="1">
        <f ca="1">IFERROR(__xludf.DUMMYFUNCTION("""COMPUTED_VALUE"""),25)</f>
        <v>25</v>
      </c>
      <c r="C1143" s="1" t="str">
        <f ca="1">IFERROR(__xludf.DUMMYFUNCTION("""COMPUTED_VALUE"""),"Male")</f>
        <v>Male</v>
      </c>
      <c r="D1143" s="1" t="str">
        <f ca="1">IFERROR(__xludf.DUMMYFUNCTION("""COMPUTED_VALUE"""),"Black")</f>
        <v>Black</v>
      </c>
      <c r="E1143" s="1" t="str">
        <f ca="1">IFERROR(__xludf.DUMMYFUNCTION("""COMPUTED_VALUE"""),"No Relation")</f>
        <v>No Relation</v>
      </c>
      <c r="F1143" s="1" t="str">
        <f ca="1">IFERROR(__xludf.DUMMYFUNCTION("""COMPUTED_VALUE"""),"Fled/Apprehended")</f>
        <v>Fled/Apprehended</v>
      </c>
      <c r="G1143" s="1" t="str">
        <f ca="1">IFERROR(__xludf.DUMMYFUNCTION("""COMPUTED_VALUE"""),"No")</f>
        <v>No</v>
      </c>
      <c r="H1143" s="1" t="str">
        <f ca="1">IFERROR(__xludf.DUMMYFUNCTION("""COMPUTED_VALUE"""),"None")</f>
        <v>None</v>
      </c>
    </row>
    <row r="1144" spans="1:8" ht="12.5">
      <c r="A1144" s="1" t="str">
        <f ca="1">IFERROR(__xludf.DUMMYFUNCTION("""COMPUTED_VALUE"""),"20201113NCLIL")</f>
        <v>20201113NCLIL</v>
      </c>
      <c r="B1144" s="1"/>
      <c r="C1144" s="1"/>
      <c r="D1144" s="1"/>
      <c r="E1144" s="1" t="str">
        <f ca="1">IFERROR(__xludf.DUMMYFUNCTION("""COMPUTED_VALUE"""),"No Relation")</f>
        <v>No Relation</v>
      </c>
      <c r="F1144" s="1" t="str">
        <f ca="1">IFERROR(__xludf.DUMMYFUNCTION("""COMPUTED_VALUE"""),"Fled/Escaped")</f>
        <v>Fled/Escaped</v>
      </c>
      <c r="G1144" s="1" t="str">
        <f ca="1">IFERROR(__xludf.DUMMYFUNCTION("""COMPUTED_VALUE"""),"No")</f>
        <v>No</v>
      </c>
      <c r="H1144" s="1" t="str">
        <f ca="1">IFERROR(__xludf.DUMMYFUNCTION("""COMPUTED_VALUE"""),"None")</f>
        <v>None</v>
      </c>
    </row>
    <row r="1145" spans="1:8" ht="12.5">
      <c r="A1145" s="1" t="str">
        <f ca="1">IFERROR(__xludf.DUMMYFUNCTION("""COMPUTED_VALUE"""),"20201112PANAH")</f>
        <v>20201112PANAH</v>
      </c>
      <c r="B1145" s="1">
        <f ca="1">IFERROR(__xludf.DUMMYFUNCTION("""COMPUTED_VALUE"""),18)</f>
        <v>18</v>
      </c>
      <c r="C1145" s="1" t="str">
        <f ca="1">IFERROR(__xludf.DUMMYFUNCTION("""COMPUTED_VALUE"""),"Male")</f>
        <v>Male</v>
      </c>
      <c r="D1145" s="1"/>
      <c r="E1145" s="1" t="str">
        <f ca="1">IFERROR(__xludf.DUMMYFUNCTION("""COMPUTED_VALUE"""),"No Relation")</f>
        <v>No Relation</v>
      </c>
      <c r="F1145" s="1" t="str">
        <f ca="1">IFERROR(__xludf.DUMMYFUNCTION("""COMPUTED_VALUE"""),"Fled/Escaped")</f>
        <v>Fled/Escaped</v>
      </c>
      <c r="G1145" s="1" t="str">
        <f ca="1">IFERROR(__xludf.DUMMYFUNCTION("""COMPUTED_VALUE"""),"No")</f>
        <v>No</v>
      </c>
      <c r="H1145" s="1" t="str">
        <f ca="1">IFERROR(__xludf.DUMMYFUNCTION("""COMPUTED_VALUE"""),"None")</f>
        <v>None</v>
      </c>
    </row>
    <row r="1146" spans="1:8" ht="12.5">
      <c r="A1146" s="1" t="str">
        <f ca="1">IFERROR(__xludf.DUMMYFUNCTION("""COMPUTED_VALUE"""),"20201112CACEU")</f>
        <v>20201112CACEU</v>
      </c>
      <c r="B1146" s="1" t="str">
        <f ca="1">IFERROR(__xludf.DUMMYFUNCTION("""COMPUTED_VALUE"""),"Adult")</f>
        <v>Adult</v>
      </c>
      <c r="C1146" s="1"/>
      <c r="D1146" s="1"/>
      <c r="E1146" s="1" t="str">
        <f ca="1">IFERROR(__xludf.DUMMYFUNCTION("""COMPUTED_VALUE"""),"No Relation")</f>
        <v>No Relation</v>
      </c>
      <c r="F1146" s="1" t="str">
        <f ca="1">IFERROR(__xludf.DUMMYFUNCTION("""COMPUTED_VALUE"""),"Fled/Escaped")</f>
        <v>Fled/Escaped</v>
      </c>
      <c r="G1146" s="1" t="str">
        <f ca="1">IFERROR(__xludf.DUMMYFUNCTION("""COMPUTED_VALUE"""),"No")</f>
        <v>No</v>
      </c>
      <c r="H1146" s="1" t="str">
        <f ca="1">IFERROR(__xludf.DUMMYFUNCTION("""COMPUTED_VALUE"""),"None")</f>
        <v>None</v>
      </c>
    </row>
    <row r="1147" spans="1:8" ht="12.5">
      <c r="A1147" s="1" t="str">
        <f ca="1">IFERROR(__xludf.DUMMYFUNCTION("""COMPUTED_VALUE"""),"20201109TXCOH")</f>
        <v>20201109TXCOH</v>
      </c>
      <c r="B1147" s="1"/>
      <c r="C1147" s="1"/>
      <c r="D1147" s="1"/>
      <c r="E1147" s="1" t="str">
        <f ca="1">IFERROR(__xludf.DUMMYFUNCTION("""COMPUTED_VALUE"""),"No Relation")</f>
        <v>No Relation</v>
      </c>
      <c r="F1147" s="1" t="str">
        <f ca="1">IFERROR(__xludf.DUMMYFUNCTION("""COMPUTED_VALUE"""),"Fled/Escaped")</f>
        <v>Fled/Escaped</v>
      </c>
      <c r="G1147" s="1" t="str">
        <f ca="1">IFERROR(__xludf.DUMMYFUNCTION("""COMPUTED_VALUE"""),"No")</f>
        <v>No</v>
      </c>
      <c r="H1147" s="1" t="str">
        <f ca="1">IFERROR(__xludf.DUMMYFUNCTION("""COMPUTED_VALUE"""),"None")</f>
        <v>None</v>
      </c>
    </row>
    <row r="1148" spans="1:8" ht="12.5">
      <c r="A1148" s="1" t="str">
        <f ca="1">IFERROR(__xludf.DUMMYFUNCTION("""COMPUTED_VALUE"""),"20201109CABAL")</f>
        <v>20201109CABAL</v>
      </c>
      <c r="B1148" s="1" t="str">
        <f ca="1">IFERROR(__xludf.DUMMYFUNCTION("""COMPUTED_VALUE"""),"Adult")</f>
        <v>Adult</v>
      </c>
      <c r="C1148" s="1" t="str">
        <f ca="1">IFERROR(__xludf.DUMMYFUNCTION("""COMPUTED_VALUE"""),"Male")</f>
        <v>Male</v>
      </c>
      <c r="D1148" s="1"/>
      <c r="E1148" s="1" t="str">
        <f ca="1">IFERROR(__xludf.DUMMYFUNCTION("""COMPUTED_VALUE"""),"No Relation")</f>
        <v>No Relation</v>
      </c>
      <c r="F1148" s="1" t="str">
        <f ca="1">IFERROR(__xludf.DUMMYFUNCTION("""COMPUTED_VALUE"""),"Suicide")</f>
        <v>Suicide</v>
      </c>
      <c r="G1148" s="1" t="str">
        <f ca="1">IFERROR(__xludf.DUMMYFUNCTION("""COMPUTED_VALUE"""),"Yes")</f>
        <v>Yes</v>
      </c>
      <c r="H1148" s="1" t="str">
        <f ca="1">IFERROR(__xludf.DUMMYFUNCTION("""COMPUTED_VALUE"""),"Fatal")</f>
        <v>Fatal</v>
      </c>
    </row>
    <row r="1149" spans="1:8" ht="12.5">
      <c r="A1149" s="1" t="str">
        <f ca="1">IFERROR(__xludf.DUMMYFUNCTION("""COMPUTED_VALUE"""),"20201108INTET")</f>
        <v>20201108INTET</v>
      </c>
      <c r="B1149" s="1">
        <f ca="1">IFERROR(__xludf.DUMMYFUNCTION("""COMPUTED_VALUE"""),23)</f>
        <v>23</v>
      </c>
      <c r="C1149" s="1" t="str">
        <f ca="1">IFERROR(__xludf.DUMMYFUNCTION("""COMPUTED_VALUE"""),"Male")</f>
        <v>Male</v>
      </c>
      <c r="D1149" s="1" t="str">
        <f ca="1">IFERROR(__xludf.DUMMYFUNCTION("""COMPUTED_VALUE"""),"Black")</f>
        <v>Black</v>
      </c>
      <c r="E1149" s="1" t="str">
        <f ca="1">IFERROR(__xludf.DUMMYFUNCTION("""COMPUTED_VALUE"""),"No Relation")</f>
        <v>No Relation</v>
      </c>
      <c r="F1149" s="1" t="str">
        <f ca="1">IFERROR(__xludf.DUMMYFUNCTION("""COMPUTED_VALUE"""),"Fled/Apprehended")</f>
        <v>Fled/Apprehended</v>
      </c>
      <c r="G1149" s="1" t="str">
        <f ca="1">IFERROR(__xludf.DUMMYFUNCTION("""COMPUTED_VALUE"""),"No")</f>
        <v>No</v>
      </c>
      <c r="H1149" s="1" t="str">
        <f ca="1">IFERROR(__xludf.DUMMYFUNCTION("""COMPUTED_VALUE"""),"None")</f>
        <v>None</v>
      </c>
    </row>
    <row r="1150" spans="1:8" ht="12.5">
      <c r="A1150" s="1" t="str">
        <f ca="1">IFERROR(__xludf.DUMMYFUNCTION("""COMPUTED_VALUE"""),"20201106AZKHT")</f>
        <v>20201106AZKHT</v>
      </c>
      <c r="B1150" s="1">
        <f ca="1">IFERROR(__xludf.DUMMYFUNCTION("""COMPUTED_VALUE"""),74)</f>
        <v>74</v>
      </c>
      <c r="C1150" s="1" t="str">
        <f ca="1">IFERROR(__xludf.DUMMYFUNCTION("""COMPUTED_VALUE"""),"Male")</f>
        <v>Male</v>
      </c>
      <c r="D1150" s="1" t="str">
        <f ca="1">IFERROR(__xludf.DUMMYFUNCTION("""COMPUTED_VALUE"""),"White")</f>
        <v>White</v>
      </c>
      <c r="E1150" s="1" t="str">
        <f ca="1">IFERROR(__xludf.DUMMYFUNCTION("""COMPUTED_VALUE"""),"No Relation")</f>
        <v>No Relation</v>
      </c>
      <c r="F1150" s="1" t="str">
        <f ca="1">IFERROR(__xludf.DUMMYFUNCTION("""COMPUTED_VALUE"""),"Apprehended/Killed by LE")</f>
        <v>Apprehended/Killed by LE</v>
      </c>
      <c r="G1150" s="1" t="str">
        <f ca="1">IFERROR(__xludf.DUMMYFUNCTION("""COMPUTED_VALUE"""),"No")</f>
        <v>No</v>
      </c>
      <c r="H1150" s="1" t="str">
        <f ca="1">IFERROR(__xludf.DUMMYFUNCTION("""COMPUTED_VALUE"""),"None")</f>
        <v>None</v>
      </c>
    </row>
    <row r="1151" spans="1:8" ht="12.5">
      <c r="A1151" s="1" t="str">
        <f ca="1">IFERROR(__xludf.DUMMYFUNCTION("""COMPUTED_VALUE"""),"20201102COERE")</f>
        <v>20201102COERE</v>
      </c>
      <c r="B1151" s="1"/>
      <c r="C1151" s="1"/>
      <c r="D1151" s="1"/>
      <c r="E1151" s="1"/>
      <c r="F1151" s="1" t="str">
        <f ca="1">IFERROR(__xludf.DUMMYFUNCTION("""COMPUTED_VALUE"""),"Fled/Escaped")</f>
        <v>Fled/Escaped</v>
      </c>
      <c r="G1151" s="1" t="str">
        <f ca="1">IFERROR(__xludf.DUMMYFUNCTION("""COMPUTED_VALUE"""),"No")</f>
        <v>No</v>
      </c>
      <c r="H1151" s="1" t="str">
        <f ca="1">IFERROR(__xludf.DUMMYFUNCTION("""COMPUTED_VALUE"""),"None")</f>
        <v>None</v>
      </c>
    </row>
    <row r="1152" spans="1:8" ht="12.5">
      <c r="A1152" s="1" t="str">
        <f ca="1">IFERROR(__xludf.DUMMYFUNCTION("""COMPUTED_VALUE"""),"20201029FLLAM")</f>
        <v>20201029FLLAM</v>
      </c>
      <c r="B1152" s="1"/>
      <c r="C1152" s="1"/>
      <c r="D1152" s="1"/>
      <c r="E1152" s="1" t="str">
        <f ca="1">IFERROR(__xludf.DUMMYFUNCTION("""COMPUTED_VALUE"""),"No Relation")</f>
        <v>No Relation</v>
      </c>
      <c r="F1152" s="1" t="str">
        <f ca="1">IFERROR(__xludf.DUMMYFUNCTION("""COMPUTED_VALUE"""),"Fled/Escaped")</f>
        <v>Fled/Escaped</v>
      </c>
      <c r="G1152" s="1" t="str">
        <f ca="1">IFERROR(__xludf.DUMMYFUNCTION("""COMPUTED_VALUE"""),"No")</f>
        <v>No</v>
      </c>
      <c r="H1152" s="1" t="str">
        <f ca="1">IFERROR(__xludf.DUMMYFUNCTION("""COMPUTED_VALUE"""),"None")</f>
        <v>None</v>
      </c>
    </row>
    <row r="1153" spans="1:8" ht="12.5">
      <c r="A1153" s="1" t="str">
        <f ca="1">IFERROR(__xludf.DUMMYFUNCTION("""COMPUTED_VALUE"""),"20201028NYROR")</f>
        <v>20201028NYROR</v>
      </c>
      <c r="B1153" s="1"/>
      <c r="C1153" s="1"/>
      <c r="D1153" s="1"/>
      <c r="E1153" s="1" t="str">
        <f ca="1">IFERROR(__xludf.DUMMYFUNCTION("""COMPUTED_VALUE"""),"No Relation")</f>
        <v>No Relation</v>
      </c>
      <c r="F1153" s="1" t="str">
        <f ca="1">IFERROR(__xludf.DUMMYFUNCTION("""COMPUTED_VALUE"""),"Fled/Escaped")</f>
        <v>Fled/Escaped</v>
      </c>
      <c r="G1153" s="1" t="str">
        <f ca="1">IFERROR(__xludf.DUMMYFUNCTION("""COMPUTED_VALUE"""),"No")</f>
        <v>No</v>
      </c>
      <c r="H1153" s="1" t="str">
        <f ca="1">IFERROR(__xludf.DUMMYFUNCTION("""COMPUTED_VALUE"""),"None")</f>
        <v>None</v>
      </c>
    </row>
    <row r="1154" spans="1:8" ht="12.5">
      <c r="A1154" s="1" t="str">
        <f ca="1">IFERROR(__xludf.DUMMYFUNCTION("""COMPUTED_VALUE"""),"20201026GARIR")</f>
        <v>20201026GARIR</v>
      </c>
      <c r="B1154" s="1" t="str">
        <f ca="1">IFERROR(__xludf.DUMMYFUNCTION("""COMPUTED_VALUE"""),"Adult")</f>
        <v>Adult</v>
      </c>
      <c r="C1154" s="1" t="str">
        <f ca="1">IFERROR(__xludf.DUMMYFUNCTION("""COMPUTED_VALUE"""),"Male")</f>
        <v>Male</v>
      </c>
      <c r="D1154" s="1" t="str">
        <f ca="1">IFERROR(__xludf.DUMMYFUNCTION("""COMPUTED_VALUE"""),"Black")</f>
        <v>Black</v>
      </c>
      <c r="E1154" s="1" t="str">
        <f ca="1">IFERROR(__xludf.DUMMYFUNCTION("""COMPUTED_VALUE"""),"No Relation")</f>
        <v>No Relation</v>
      </c>
      <c r="F1154" s="1" t="str">
        <f ca="1">IFERROR(__xludf.DUMMYFUNCTION("""COMPUTED_VALUE"""),"Fled/Escaped")</f>
        <v>Fled/Escaped</v>
      </c>
      <c r="G1154" s="1" t="str">
        <f ca="1">IFERROR(__xludf.DUMMYFUNCTION("""COMPUTED_VALUE"""),"No")</f>
        <v>No</v>
      </c>
      <c r="H1154" s="1" t="str">
        <f ca="1">IFERROR(__xludf.DUMMYFUNCTION("""COMPUTED_VALUE"""),"None")</f>
        <v>None</v>
      </c>
    </row>
    <row r="1155" spans="1:8" ht="12.5">
      <c r="A1155" s="1" t="str">
        <f ca="1">IFERROR(__xludf.DUMMYFUNCTION("""COMPUTED_VALUE"""),"20201024CTSTS")</f>
        <v>20201024CTSTS</v>
      </c>
      <c r="B1155" s="1"/>
      <c r="C1155" s="1"/>
      <c r="D1155" s="1"/>
      <c r="E1155" s="1"/>
      <c r="F1155" s="1" t="str">
        <f ca="1">IFERROR(__xludf.DUMMYFUNCTION("""COMPUTED_VALUE"""),"Fled/Escaped")</f>
        <v>Fled/Escaped</v>
      </c>
      <c r="G1155" s="1" t="str">
        <f ca="1">IFERROR(__xludf.DUMMYFUNCTION("""COMPUTED_VALUE"""),"No")</f>
        <v>No</v>
      </c>
      <c r="H1155" s="1" t="str">
        <f ca="1">IFERROR(__xludf.DUMMYFUNCTION("""COMPUTED_VALUE"""),"None")</f>
        <v>None</v>
      </c>
    </row>
    <row r="1156" spans="1:8" ht="12.5">
      <c r="A1156" s="1" t="str">
        <f ca="1">IFERROR(__xludf.DUMMYFUNCTION("""COMPUTED_VALUE"""),"20201020ARJAP")</f>
        <v>20201020ARJAP</v>
      </c>
      <c r="B1156" s="1">
        <f ca="1">IFERROR(__xludf.DUMMYFUNCTION("""COMPUTED_VALUE"""),17)</f>
        <v>17</v>
      </c>
      <c r="C1156" s="1" t="str">
        <f ca="1">IFERROR(__xludf.DUMMYFUNCTION("""COMPUTED_VALUE"""),"Male")</f>
        <v>Male</v>
      </c>
      <c r="D1156" s="1"/>
      <c r="E1156" s="1"/>
      <c r="F1156" s="1" t="str">
        <f ca="1">IFERROR(__xludf.DUMMYFUNCTION("""COMPUTED_VALUE"""),"Fled/Apprehended")</f>
        <v>Fled/Apprehended</v>
      </c>
      <c r="G1156" s="1" t="str">
        <f ca="1">IFERROR(__xludf.DUMMYFUNCTION("""COMPUTED_VALUE"""),"No")</f>
        <v>No</v>
      </c>
      <c r="H1156" s="1" t="str">
        <f ca="1">IFERROR(__xludf.DUMMYFUNCTION("""COMPUTED_VALUE"""),"None")</f>
        <v>None</v>
      </c>
    </row>
    <row r="1157" spans="1:8" ht="12.5">
      <c r="A1157" s="1" t="str">
        <f ca="1">IFERROR(__xludf.DUMMYFUNCTION("""COMPUTED_VALUE"""),"20201018KYSEL")</f>
        <v>20201018KYSEL</v>
      </c>
      <c r="B1157" s="1"/>
      <c r="C1157" s="1"/>
      <c r="D1157" s="1"/>
      <c r="E1157" s="1"/>
      <c r="F1157" s="1" t="str">
        <f ca="1">IFERROR(__xludf.DUMMYFUNCTION("""COMPUTED_VALUE"""),"Fled/Escaped")</f>
        <v>Fled/Escaped</v>
      </c>
      <c r="G1157" s="1" t="str">
        <f ca="1">IFERROR(__xludf.DUMMYFUNCTION("""COMPUTED_VALUE"""),"No")</f>
        <v>No</v>
      </c>
      <c r="H1157" s="1" t="str">
        <f ca="1">IFERROR(__xludf.DUMMYFUNCTION("""COMPUTED_VALUE"""),"None")</f>
        <v>None</v>
      </c>
    </row>
    <row r="1158" spans="1:8" ht="12.5">
      <c r="A1158" s="1" t="str">
        <f ca="1">IFERROR(__xludf.DUMMYFUNCTION("""COMPUTED_VALUE"""),"20201014WAWAS")</f>
        <v>20201014WAWAS</v>
      </c>
      <c r="B1158" s="1">
        <f ca="1">IFERROR(__xludf.DUMMYFUNCTION("""COMPUTED_VALUE"""),23)</f>
        <v>23</v>
      </c>
      <c r="C1158" s="1" t="str">
        <f ca="1">IFERROR(__xludf.DUMMYFUNCTION("""COMPUTED_VALUE"""),"Male")</f>
        <v>Male</v>
      </c>
      <c r="D1158" s="1" t="str">
        <f ca="1">IFERROR(__xludf.DUMMYFUNCTION("""COMPUTED_VALUE"""),"Hispanic")</f>
        <v>Hispanic</v>
      </c>
      <c r="E1158" s="1" t="str">
        <f ca="1">IFERROR(__xludf.DUMMYFUNCTION("""COMPUTED_VALUE"""),"No Relation")</f>
        <v>No Relation</v>
      </c>
      <c r="F1158" s="1" t="str">
        <f ca="1">IFERROR(__xludf.DUMMYFUNCTION("""COMPUTED_VALUE"""),"Fled/Apprehended")</f>
        <v>Fled/Apprehended</v>
      </c>
      <c r="G1158" s="1" t="str">
        <f ca="1">IFERROR(__xludf.DUMMYFUNCTION("""COMPUTED_VALUE"""),"No")</f>
        <v>No</v>
      </c>
      <c r="H1158" s="1" t="str">
        <f ca="1">IFERROR(__xludf.DUMMYFUNCTION("""COMPUTED_VALUE"""),"None")</f>
        <v>None</v>
      </c>
    </row>
    <row r="1159" spans="1:8" ht="12.5">
      <c r="A1159" s="1" t="str">
        <f ca="1">IFERROR(__xludf.DUMMYFUNCTION("""COMPUTED_VALUE"""),"20201014WAWAS")</f>
        <v>20201014WAWAS</v>
      </c>
      <c r="B1159" s="1">
        <f ca="1">IFERROR(__xludf.DUMMYFUNCTION("""COMPUTED_VALUE"""),26)</f>
        <v>26</v>
      </c>
      <c r="C1159" s="1" t="str">
        <f ca="1">IFERROR(__xludf.DUMMYFUNCTION("""COMPUTED_VALUE"""),"Male")</f>
        <v>Male</v>
      </c>
      <c r="D1159" s="1" t="str">
        <f ca="1">IFERROR(__xludf.DUMMYFUNCTION("""COMPUTED_VALUE"""),"Hispanic")</f>
        <v>Hispanic</v>
      </c>
      <c r="E1159" s="1" t="str">
        <f ca="1">IFERROR(__xludf.DUMMYFUNCTION("""COMPUTED_VALUE"""),"No Relation")</f>
        <v>No Relation</v>
      </c>
      <c r="F1159" s="1" t="str">
        <f ca="1">IFERROR(__xludf.DUMMYFUNCTION("""COMPUTED_VALUE"""),"Fled/Apprehended")</f>
        <v>Fled/Apprehended</v>
      </c>
      <c r="G1159" s="1" t="str">
        <f ca="1">IFERROR(__xludf.DUMMYFUNCTION("""COMPUTED_VALUE"""),"No")</f>
        <v>No</v>
      </c>
      <c r="H1159" s="1" t="str">
        <f ca="1">IFERROR(__xludf.DUMMYFUNCTION("""COMPUTED_VALUE"""),"None")</f>
        <v>None</v>
      </c>
    </row>
    <row r="1160" spans="1:8" ht="12.5">
      <c r="A1160" s="1" t="str">
        <f ca="1">IFERROR(__xludf.DUMMYFUNCTION("""COMPUTED_VALUE"""),"20201014PABRB")</f>
        <v>20201014PABRB</v>
      </c>
      <c r="B1160" s="1">
        <f ca="1">IFERROR(__xludf.DUMMYFUNCTION("""COMPUTED_VALUE"""),11)</f>
        <v>11</v>
      </c>
      <c r="C1160" s="1" t="str">
        <f ca="1">IFERROR(__xludf.DUMMYFUNCTION("""COMPUTED_VALUE"""),"Male")</f>
        <v>Male</v>
      </c>
      <c r="D1160" s="1"/>
      <c r="E1160" s="1" t="str">
        <f ca="1">IFERROR(__xludf.DUMMYFUNCTION("""COMPUTED_VALUE"""),"Student")</f>
        <v>Student</v>
      </c>
      <c r="F1160" s="1" t="str">
        <f ca="1">IFERROR(__xludf.DUMMYFUNCTION("""COMPUTED_VALUE"""),"Apprehended/Killed by LE")</f>
        <v>Apprehended/Killed by LE</v>
      </c>
      <c r="G1160" s="1" t="str">
        <f ca="1">IFERROR(__xludf.DUMMYFUNCTION("""COMPUTED_VALUE"""),"No")</f>
        <v>No</v>
      </c>
      <c r="H1160" s="1" t="str">
        <f ca="1">IFERROR(__xludf.DUMMYFUNCTION("""COMPUTED_VALUE"""),"None")</f>
        <v>None</v>
      </c>
    </row>
    <row r="1161" spans="1:8" ht="12.5">
      <c r="A1161" s="1" t="str">
        <f ca="1">IFERROR(__xludf.DUMMYFUNCTION("""COMPUTED_VALUE"""),"20201013RIRHP")</f>
        <v>20201013RIRHP</v>
      </c>
      <c r="B1161" s="1"/>
      <c r="C1161" s="1"/>
      <c r="D1161" s="1"/>
      <c r="E1161" s="1" t="str">
        <f ca="1">IFERROR(__xludf.DUMMYFUNCTION("""COMPUTED_VALUE"""),"No Relation")</f>
        <v>No Relation</v>
      </c>
      <c r="F1161" s="1" t="str">
        <f ca="1">IFERROR(__xludf.DUMMYFUNCTION("""COMPUTED_VALUE"""),"Fled/Escaped")</f>
        <v>Fled/Escaped</v>
      </c>
      <c r="G1161" s="1" t="str">
        <f ca="1">IFERROR(__xludf.DUMMYFUNCTION("""COMPUTED_VALUE"""),"No")</f>
        <v>No</v>
      </c>
      <c r="H1161" s="1" t="str">
        <f ca="1">IFERROR(__xludf.DUMMYFUNCTION("""COMPUTED_VALUE"""),"None")</f>
        <v>None</v>
      </c>
    </row>
    <row r="1162" spans="1:8" ht="12.5">
      <c r="A1162" s="1" t="str">
        <f ca="1">IFERROR(__xludf.DUMMYFUNCTION("""COMPUTED_VALUE"""),"20201012TXNOD")</f>
        <v>20201012TXNOD</v>
      </c>
      <c r="B1162" s="1" t="str">
        <f ca="1">IFERROR(__xludf.DUMMYFUNCTION("""COMPUTED_VALUE"""),"Adult")</f>
        <v>Adult</v>
      </c>
      <c r="C1162" s="1" t="str">
        <f ca="1">IFERROR(__xludf.DUMMYFUNCTION("""COMPUTED_VALUE"""),"Male")</f>
        <v>Male</v>
      </c>
      <c r="D1162" s="1"/>
      <c r="E1162" s="1" t="str">
        <f ca="1">IFERROR(__xludf.DUMMYFUNCTION("""COMPUTED_VALUE"""),"No Relation")</f>
        <v>No Relation</v>
      </c>
      <c r="F1162" s="1" t="str">
        <f ca="1">IFERROR(__xludf.DUMMYFUNCTION("""COMPUTED_VALUE"""),"Apprehended/Killed by SRO")</f>
        <v>Apprehended/Killed by SRO</v>
      </c>
      <c r="G1162" s="1" t="str">
        <f ca="1">IFERROR(__xludf.DUMMYFUNCTION("""COMPUTED_VALUE"""),"No")</f>
        <v>No</v>
      </c>
      <c r="H1162" s="1" t="str">
        <f ca="1">IFERROR(__xludf.DUMMYFUNCTION("""COMPUTED_VALUE"""),"None")</f>
        <v>None</v>
      </c>
    </row>
    <row r="1163" spans="1:8" ht="12.5">
      <c r="A1163" s="1" t="str">
        <f ca="1">IFERROR(__xludf.DUMMYFUNCTION("""COMPUTED_VALUE"""),"20201012MNSHS")</f>
        <v>20201012MNSHS</v>
      </c>
      <c r="B1163" s="1"/>
      <c r="C1163" s="1"/>
      <c r="D1163" s="1"/>
      <c r="E1163" s="1" t="str">
        <f ca="1">IFERROR(__xludf.DUMMYFUNCTION("""COMPUTED_VALUE"""),"No Relation")</f>
        <v>No Relation</v>
      </c>
      <c r="F1163" s="1" t="str">
        <f ca="1">IFERROR(__xludf.DUMMYFUNCTION("""COMPUTED_VALUE"""),"Fled/Escaped")</f>
        <v>Fled/Escaped</v>
      </c>
      <c r="G1163" s="1" t="str">
        <f ca="1">IFERROR(__xludf.DUMMYFUNCTION("""COMPUTED_VALUE"""),"No")</f>
        <v>No</v>
      </c>
      <c r="H1163" s="1" t="str">
        <f ca="1">IFERROR(__xludf.DUMMYFUNCTION("""COMPUTED_VALUE"""),"None")</f>
        <v>None</v>
      </c>
    </row>
    <row r="1164" spans="1:8" ht="12.5">
      <c r="A1164" s="1" t="str">
        <f ca="1">IFERROR(__xludf.DUMMYFUNCTION("""COMPUTED_VALUE"""),"20201009FLJEJ")</f>
        <v>20201009FLJEJ</v>
      </c>
      <c r="B1164" s="1">
        <f ca="1">IFERROR(__xludf.DUMMYFUNCTION("""COMPUTED_VALUE"""),18)</f>
        <v>18</v>
      </c>
      <c r="C1164" s="1" t="str">
        <f ca="1">IFERROR(__xludf.DUMMYFUNCTION("""COMPUTED_VALUE"""),"Male")</f>
        <v>Male</v>
      </c>
      <c r="D1164" s="1"/>
      <c r="E1164" s="1" t="str">
        <f ca="1">IFERROR(__xludf.DUMMYFUNCTION("""COMPUTED_VALUE"""),"Student")</f>
        <v>Student</v>
      </c>
      <c r="F1164" s="1" t="str">
        <f ca="1">IFERROR(__xludf.DUMMYFUNCTION("""COMPUTED_VALUE"""),"Apprehended/Killed by SRO")</f>
        <v>Apprehended/Killed by SRO</v>
      </c>
      <c r="G1164" s="1" t="str">
        <f ca="1">IFERROR(__xludf.DUMMYFUNCTION("""COMPUTED_VALUE"""),"No")</f>
        <v>No</v>
      </c>
      <c r="H1164" s="1" t="str">
        <f ca="1">IFERROR(__xludf.DUMMYFUNCTION("""COMPUTED_VALUE"""),"None")</f>
        <v>None</v>
      </c>
    </row>
    <row r="1165" spans="1:8" ht="12.5">
      <c r="A1165" s="1" t="str">
        <f ca="1">IFERROR(__xludf.DUMMYFUNCTION("""COMPUTED_VALUE"""),"20201005OKSOM")</f>
        <v>20201005OKSOM</v>
      </c>
      <c r="B1165" s="1" t="str">
        <f ca="1">IFERROR(__xludf.DUMMYFUNCTION("""COMPUTED_VALUE"""),"Teen")</f>
        <v>Teen</v>
      </c>
      <c r="C1165" s="1"/>
      <c r="D1165" s="1"/>
      <c r="E1165" s="1" t="str">
        <f ca="1">IFERROR(__xludf.DUMMYFUNCTION("""COMPUTED_VALUE"""),"Student")</f>
        <v>Student</v>
      </c>
      <c r="F1165" s="1" t="str">
        <f ca="1">IFERROR(__xludf.DUMMYFUNCTION("""COMPUTED_VALUE"""),"Apprehended/Killed by LE")</f>
        <v>Apprehended/Killed by LE</v>
      </c>
      <c r="G1165" s="1" t="str">
        <f ca="1">IFERROR(__xludf.DUMMYFUNCTION("""COMPUTED_VALUE"""),"No")</f>
        <v>No</v>
      </c>
      <c r="H1165" s="1" t="str">
        <f ca="1">IFERROR(__xludf.DUMMYFUNCTION("""COMPUTED_VALUE"""),"None")</f>
        <v>None</v>
      </c>
    </row>
    <row r="1166" spans="1:8" ht="12.5">
      <c r="A1166" s="1" t="str">
        <f ca="1">IFERROR(__xludf.DUMMYFUNCTION("""COMPUTED_VALUE"""),"20201005ARKIH")</f>
        <v>20201005ARKIH</v>
      </c>
      <c r="B1166" s="1" t="str">
        <f ca="1">IFERROR(__xludf.DUMMYFUNCTION("""COMPUTED_VALUE"""),"Adult")</f>
        <v>Adult</v>
      </c>
      <c r="C1166" s="1" t="str">
        <f ca="1">IFERROR(__xludf.DUMMYFUNCTION("""COMPUTED_VALUE"""),"Male")</f>
        <v>Male</v>
      </c>
      <c r="D1166" s="1"/>
      <c r="E1166" s="1"/>
      <c r="F1166" s="1" t="str">
        <f ca="1">IFERROR(__xludf.DUMMYFUNCTION("""COMPUTED_VALUE"""),"Fled/Apprehended")</f>
        <v>Fled/Apprehended</v>
      </c>
      <c r="G1166" s="1" t="str">
        <f ca="1">IFERROR(__xludf.DUMMYFUNCTION("""COMPUTED_VALUE"""),"No")</f>
        <v>No</v>
      </c>
      <c r="H1166" s="1" t="str">
        <f ca="1">IFERROR(__xludf.DUMMYFUNCTION("""COMPUTED_VALUE"""),"None")</f>
        <v>None</v>
      </c>
    </row>
    <row r="1167" spans="1:8" ht="12.5">
      <c r="A1167" s="1" t="str">
        <f ca="1">IFERROR(__xludf.DUMMYFUNCTION("""COMPUTED_VALUE"""),"20201005ARKIH")</f>
        <v>20201005ARKIH</v>
      </c>
      <c r="B1167" s="1"/>
      <c r="C1167" s="1"/>
      <c r="D1167" s="1"/>
      <c r="E1167" s="1"/>
      <c r="F1167" s="1" t="str">
        <f ca="1">IFERROR(__xludf.DUMMYFUNCTION("""COMPUTED_VALUE"""),"Fled/Escaped")</f>
        <v>Fled/Escaped</v>
      </c>
      <c r="G1167" s="1" t="str">
        <f ca="1">IFERROR(__xludf.DUMMYFUNCTION("""COMPUTED_VALUE"""),"No")</f>
        <v>No</v>
      </c>
      <c r="H1167" s="1" t="str">
        <f ca="1">IFERROR(__xludf.DUMMYFUNCTION("""COMPUTED_VALUE"""),"None")</f>
        <v>None</v>
      </c>
    </row>
    <row r="1168" spans="1:8" ht="12.5">
      <c r="A1168" s="1" t="str">
        <f ca="1">IFERROR(__xludf.DUMMYFUNCTION("""COMPUTED_VALUE"""),"20201002PAMAE")</f>
        <v>20201002PAMAE</v>
      </c>
      <c r="B1168" s="1"/>
      <c r="C1168" s="1"/>
      <c r="D1168" s="1"/>
      <c r="E1168" s="1"/>
      <c r="F1168" s="1" t="str">
        <f ca="1">IFERROR(__xludf.DUMMYFUNCTION("""COMPUTED_VALUE"""),"Fled/Escaped")</f>
        <v>Fled/Escaped</v>
      </c>
      <c r="G1168" s="1" t="str">
        <f ca="1">IFERROR(__xludf.DUMMYFUNCTION("""COMPUTED_VALUE"""),"No")</f>
        <v>No</v>
      </c>
      <c r="H1168" s="1" t="str">
        <f ca="1">IFERROR(__xludf.DUMMYFUNCTION("""COMPUTED_VALUE"""),"None")</f>
        <v>None</v>
      </c>
    </row>
    <row r="1169" spans="1:8" ht="12.5">
      <c r="A1169" s="1" t="str">
        <f ca="1">IFERROR(__xludf.DUMMYFUNCTION("""COMPUTED_VALUE"""),"20200930CADYL")</f>
        <v>20200930CADYL</v>
      </c>
      <c r="B1169" s="1"/>
      <c r="C1169" s="1"/>
      <c r="D1169" s="1"/>
      <c r="E1169" s="1" t="str">
        <f ca="1">IFERROR(__xludf.DUMMYFUNCTION("""COMPUTED_VALUE"""),"No Relation")</f>
        <v>No Relation</v>
      </c>
      <c r="F1169" s="1" t="str">
        <f ca="1">IFERROR(__xludf.DUMMYFUNCTION("""COMPUTED_VALUE"""),"Fled/Escaped")</f>
        <v>Fled/Escaped</v>
      </c>
      <c r="G1169" s="1" t="str">
        <f ca="1">IFERROR(__xludf.DUMMYFUNCTION("""COMPUTED_VALUE"""),"No")</f>
        <v>No</v>
      </c>
      <c r="H1169" s="1" t="str">
        <f ca="1">IFERROR(__xludf.DUMMYFUNCTION("""COMPUTED_VALUE"""),"None")</f>
        <v>None</v>
      </c>
    </row>
    <row r="1170" spans="1:8" ht="12.5">
      <c r="A1170" s="1" t="str">
        <f ca="1">IFERROR(__xludf.DUMMYFUNCTION("""COMPUTED_VALUE"""),"20200928CTEAN")</f>
        <v>20200928CTEAN</v>
      </c>
      <c r="B1170" s="1" t="str">
        <f ca="1">IFERROR(__xludf.DUMMYFUNCTION("""COMPUTED_VALUE"""),"Adult")</f>
        <v>Adult</v>
      </c>
      <c r="C1170" s="1"/>
      <c r="D1170" s="1"/>
      <c r="E1170" s="1" t="str">
        <f ca="1">IFERROR(__xludf.DUMMYFUNCTION("""COMPUTED_VALUE"""),"No Relation")</f>
        <v>No Relation</v>
      </c>
      <c r="F1170" s="1" t="str">
        <f ca="1">IFERROR(__xludf.DUMMYFUNCTION("""COMPUTED_VALUE"""),"Fled/Escaped")</f>
        <v>Fled/Escaped</v>
      </c>
      <c r="G1170" s="1" t="str">
        <f ca="1">IFERROR(__xludf.DUMMYFUNCTION("""COMPUTED_VALUE"""),"No")</f>
        <v>No</v>
      </c>
      <c r="H1170" s="1" t="str">
        <f ca="1">IFERROR(__xludf.DUMMYFUNCTION("""COMPUTED_VALUE"""),"None")</f>
        <v>None</v>
      </c>
    </row>
    <row r="1171" spans="1:8" ht="12.5">
      <c r="A1171" s="1" t="str">
        <f ca="1">IFERROR(__xludf.DUMMYFUNCTION("""COMPUTED_VALUE"""),"20200925NJHAH")</f>
        <v>20200925NJHAH</v>
      </c>
      <c r="B1171" s="1"/>
      <c r="C1171" s="1"/>
      <c r="D1171" s="1"/>
      <c r="E1171" s="1" t="str">
        <f ca="1">IFERROR(__xludf.DUMMYFUNCTION("""COMPUTED_VALUE"""),"No Relation")</f>
        <v>No Relation</v>
      </c>
      <c r="F1171" s="1" t="str">
        <f ca="1">IFERROR(__xludf.DUMMYFUNCTION("""COMPUTED_VALUE"""),"Fled/Escaped")</f>
        <v>Fled/Escaped</v>
      </c>
      <c r="G1171" s="1" t="str">
        <f ca="1">IFERROR(__xludf.DUMMYFUNCTION("""COMPUTED_VALUE"""),"No")</f>
        <v>No</v>
      </c>
      <c r="H1171" s="1" t="str">
        <f ca="1">IFERROR(__xludf.DUMMYFUNCTION("""COMPUTED_VALUE"""),"None")</f>
        <v>None</v>
      </c>
    </row>
    <row r="1172" spans="1:8" ht="12.5">
      <c r="A1172" s="1" t="str">
        <f ca="1">IFERROR(__xludf.DUMMYFUNCTION("""COMPUTED_VALUE"""),"20200925ILROR")</f>
        <v>20200925ILROR</v>
      </c>
      <c r="B1172" s="1">
        <f ca="1">IFERROR(__xludf.DUMMYFUNCTION("""COMPUTED_VALUE"""),30)</f>
        <v>30</v>
      </c>
      <c r="C1172" s="1" t="str">
        <f ca="1">IFERROR(__xludf.DUMMYFUNCTION("""COMPUTED_VALUE"""),"Male")</f>
        <v>Male</v>
      </c>
      <c r="D1172" s="1"/>
      <c r="E1172" s="1" t="str">
        <f ca="1">IFERROR(__xludf.DUMMYFUNCTION("""COMPUTED_VALUE"""),"No Relation")</f>
        <v>No Relation</v>
      </c>
      <c r="F1172" s="1" t="str">
        <f ca="1">IFERROR(__xludf.DUMMYFUNCTION("""COMPUTED_VALUE"""),"Fled/Apprehended")</f>
        <v>Fled/Apprehended</v>
      </c>
      <c r="G1172" s="1" t="str">
        <f ca="1">IFERROR(__xludf.DUMMYFUNCTION("""COMPUTED_VALUE"""),"No")</f>
        <v>No</v>
      </c>
      <c r="H1172" s="1" t="str">
        <f ca="1">IFERROR(__xludf.DUMMYFUNCTION("""COMPUTED_VALUE"""),"None")</f>
        <v>None</v>
      </c>
    </row>
    <row r="1173" spans="1:8" ht="12.5">
      <c r="A1173" s="1" t="str">
        <f ca="1">IFERROR(__xludf.DUMMYFUNCTION("""COMPUTED_VALUE"""),"20200924ILMCS")</f>
        <v>20200924ILMCS</v>
      </c>
      <c r="B1173" s="1"/>
      <c r="C1173" s="1" t="str">
        <f ca="1">IFERROR(__xludf.DUMMYFUNCTION("""COMPUTED_VALUE"""),"Male")</f>
        <v>Male</v>
      </c>
      <c r="D1173" s="1"/>
      <c r="E1173" s="1" t="str">
        <f ca="1">IFERROR(__xludf.DUMMYFUNCTION("""COMPUTED_VALUE"""),"No Relation")</f>
        <v>No Relation</v>
      </c>
      <c r="F1173" s="1" t="str">
        <f ca="1">IFERROR(__xludf.DUMMYFUNCTION("""COMPUTED_VALUE"""),"Apprehended/Killed by LE")</f>
        <v>Apprehended/Killed by LE</v>
      </c>
      <c r="G1173" s="1" t="str">
        <f ca="1">IFERROR(__xludf.DUMMYFUNCTION("""COMPUTED_VALUE"""),"No")</f>
        <v>No</v>
      </c>
      <c r="H1173" s="1" t="str">
        <f ca="1">IFERROR(__xludf.DUMMYFUNCTION("""COMPUTED_VALUE"""),"None")</f>
        <v>None</v>
      </c>
    </row>
    <row r="1174" spans="1:8" ht="12.5">
      <c r="A1174" s="1" t="str">
        <f ca="1">IFERROR(__xludf.DUMMYFUNCTION("""COMPUTED_VALUE"""),"20200924CAWAC")</f>
        <v>20200924CAWAC</v>
      </c>
      <c r="B1174" s="1">
        <f ca="1">IFERROR(__xludf.DUMMYFUNCTION("""COMPUTED_VALUE"""),25)</f>
        <v>25</v>
      </c>
      <c r="C1174" s="1" t="str">
        <f ca="1">IFERROR(__xludf.DUMMYFUNCTION("""COMPUTED_VALUE"""),"Male")</f>
        <v>Male</v>
      </c>
      <c r="D1174" s="1" t="str">
        <f ca="1">IFERROR(__xludf.DUMMYFUNCTION("""COMPUTED_VALUE"""),"Hispanic")</f>
        <v>Hispanic</v>
      </c>
      <c r="E1174" s="1" t="str">
        <f ca="1">IFERROR(__xludf.DUMMYFUNCTION("""COMPUTED_VALUE"""),"No Relation")</f>
        <v>No Relation</v>
      </c>
      <c r="F1174" s="1" t="str">
        <f ca="1">IFERROR(__xludf.DUMMYFUNCTION("""COMPUTED_VALUE"""),"Apprehended/Killed by LE")</f>
        <v>Apprehended/Killed by LE</v>
      </c>
      <c r="G1174" s="1" t="str">
        <f ca="1">IFERROR(__xludf.DUMMYFUNCTION("""COMPUTED_VALUE"""),"No")</f>
        <v>No</v>
      </c>
      <c r="H1174" s="1" t="str">
        <f ca="1">IFERROR(__xludf.DUMMYFUNCTION("""COMPUTED_VALUE"""),"None")</f>
        <v>None</v>
      </c>
    </row>
    <row r="1175" spans="1:8" ht="12.5">
      <c r="A1175" s="1" t="str">
        <f ca="1">IFERROR(__xludf.DUMMYFUNCTION("""COMPUTED_VALUE"""),"20200924CAWAC")</f>
        <v>20200924CAWAC</v>
      </c>
      <c r="B1175" s="1">
        <f ca="1">IFERROR(__xludf.DUMMYFUNCTION("""COMPUTED_VALUE"""),27)</f>
        <v>27</v>
      </c>
      <c r="C1175" s="1" t="str">
        <f ca="1">IFERROR(__xludf.DUMMYFUNCTION("""COMPUTED_VALUE"""),"Male")</f>
        <v>Male</v>
      </c>
      <c r="D1175" s="1" t="str">
        <f ca="1">IFERROR(__xludf.DUMMYFUNCTION("""COMPUTED_VALUE"""),"Hispanic")</f>
        <v>Hispanic</v>
      </c>
      <c r="E1175" s="1" t="str">
        <f ca="1">IFERROR(__xludf.DUMMYFUNCTION("""COMPUTED_VALUE"""),"No Relation")</f>
        <v>No Relation</v>
      </c>
      <c r="F1175" s="1" t="str">
        <f ca="1">IFERROR(__xludf.DUMMYFUNCTION("""COMPUTED_VALUE"""),"Apprehended/Killed by LE")</f>
        <v>Apprehended/Killed by LE</v>
      </c>
      <c r="G1175" s="1" t="str">
        <f ca="1">IFERROR(__xludf.DUMMYFUNCTION("""COMPUTED_VALUE"""),"No")</f>
        <v>No</v>
      </c>
      <c r="H1175" s="1" t="str">
        <f ca="1">IFERROR(__xludf.DUMMYFUNCTION("""COMPUTED_VALUE"""),"None")</f>
        <v>None</v>
      </c>
    </row>
    <row r="1176" spans="1:8" ht="12.5">
      <c r="A1176" s="1" t="str">
        <f ca="1">IFERROR(__xludf.DUMMYFUNCTION("""COMPUTED_VALUE"""),"20200924CAWAC")</f>
        <v>20200924CAWAC</v>
      </c>
      <c r="B1176" s="1">
        <f ca="1">IFERROR(__xludf.DUMMYFUNCTION("""COMPUTED_VALUE"""),29)</f>
        <v>29</v>
      </c>
      <c r="C1176" s="1" t="str">
        <f ca="1">IFERROR(__xludf.DUMMYFUNCTION("""COMPUTED_VALUE"""),"Male")</f>
        <v>Male</v>
      </c>
      <c r="D1176" s="1" t="str">
        <f ca="1">IFERROR(__xludf.DUMMYFUNCTION("""COMPUTED_VALUE"""),"Hispanic")</f>
        <v>Hispanic</v>
      </c>
      <c r="E1176" s="1" t="str">
        <f ca="1">IFERROR(__xludf.DUMMYFUNCTION("""COMPUTED_VALUE"""),"No Relation")</f>
        <v>No Relation</v>
      </c>
      <c r="F1176" s="1" t="str">
        <f ca="1">IFERROR(__xludf.DUMMYFUNCTION("""COMPUTED_VALUE"""),"Apprehended/Killed by LE")</f>
        <v>Apprehended/Killed by LE</v>
      </c>
      <c r="G1176" s="1" t="str">
        <f ca="1">IFERROR(__xludf.DUMMYFUNCTION("""COMPUTED_VALUE"""),"No")</f>
        <v>No</v>
      </c>
      <c r="H1176" s="1" t="str">
        <f ca="1">IFERROR(__xludf.DUMMYFUNCTION("""COMPUTED_VALUE"""),"None")</f>
        <v>None</v>
      </c>
    </row>
    <row r="1177" spans="1:8" ht="12.5">
      <c r="A1177" s="1" t="str">
        <f ca="1">IFERROR(__xludf.DUMMYFUNCTION("""COMPUTED_VALUE"""),"20200923PAWIW")</f>
        <v>20200923PAWIW</v>
      </c>
      <c r="B1177" s="1">
        <f ca="1">IFERROR(__xludf.DUMMYFUNCTION("""COMPUTED_VALUE"""),22)</f>
        <v>22</v>
      </c>
      <c r="C1177" s="1" t="str">
        <f ca="1">IFERROR(__xludf.DUMMYFUNCTION("""COMPUTED_VALUE"""),"Male")</f>
        <v>Male</v>
      </c>
      <c r="D1177" s="1" t="str">
        <f ca="1">IFERROR(__xludf.DUMMYFUNCTION("""COMPUTED_VALUE"""),"Black")</f>
        <v>Black</v>
      </c>
      <c r="E1177" s="1" t="str">
        <f ca="1">IFERROR(__xludf.DUMMYFUNCTION("""COMPUTED_VALUE"""),"No Relation")</f>
        <v>No Relation</v>
      </c>
      <c r="F1177" s="1" t="str">
        <f ca="1">IFERROR(__xludf.DUMMYFUNCTION("""COMPUTED_VALUE"""),"Fled/Apprehended")</f>
        <v>Fled/Apprehended</v>
      </c>
      <c r="G1177" s="1" t="str">
        <f ca="1">IFERROR(__xludf.DUMMYFUNCTION("""COMPUTED_VALUE"""),"No")</f>
        <v>No</v>
      </c>
      <c r="H1177" s="1" t="str">
        <f ca="1">IFERROR(__xludf.DUMMYFUNCTION("""COMPUTED_VALUE"""),"None")</f>
        <v>None</v>
      </c>
    </row>
    <row r="1178" spans="1:8" ht="12.5">
      <c r="A1178" s="1" t="str">
        <f ca="1">IFERROR(__xludf.DUMMYFUNCTION("""COMPUTED_VALUE"""),"20200923FLHIJ")</f>
        <v>20200923FLHIJ</v>
      </c>
      <c r="B1178" s="1">
        <f ca="1">IFERROR(__xludf.DUMMYFUNCTION("""COMPUTED_VALUE"""),18)</f>
        <v>18</v>
      </c>
      <c r="C1178" s="1" t="str">
        <f ca="1">IFERROR(__xludf.DUMMYFUNCTION("""COMPUTED_VALUE"""),"Male")</f>
        <v>Male</v>
      </c>
      <c r="D1178" s="1" t="str">
        <f ca="1">IFERROR(__xludf.DUMMYFUNCTION("""COMPUTED_VALUE"""),"Black")</f>
        <v>Black</v>
      </c>
      <c r="E1178" s="1" t="str">
        <f ca="1">IFERROR(__xludf.DUMMYFUNCTION("""COMPUTED_VALUE"""),"No Relation")</f>
        <v>No Relation</v>
      </c>
      <c r="F1178" s="1" t="str">
        <f ca="1">IFERROR(__xludf.DUMMYFUNCTION("""COMPUTED_VALUE"""),"Fled/Apprehended")</f>
        <v>Fled/Apprehended</v>
      </c>
      <c r="G1178" s="1" t="str">
        <f ca="1">IFERROR(__xludf.DUMMYFUNCTION("""COMPUTED_VALUE"""),"No")</f>
        <v>No</v>
      </c>
      <c r="H1178" s="1" t="str">
        <f ca="1">IFERROR(__xludf.DUMMYFUNCTION("""COMPUTED_VALUE"""),"None")</f>
        <v>None</v>
      </c>
    </row>
    <row r="1179" spans="1:8" ht="12.5">
      <c r="A1179" s="1" t="str">
        <f ca="1">IFERROR(__xludf.DUMMYFUNCTION("""COMPUTED_VALUE"""),"20200921CAPLP")</f>
        <v>20200921CAPLP</v>
      </c>
      <c r="B1179" s="1">
        <f ca="1">IFERROR(__xludf.DUMMYFUNCTION("""COMPUTED_VALUE"""),46)</f>
        <v>46</v>
      </c>
      <c r="C1179" s="1" t="str">
        <f ca="1">IFERROR(__xludf.DUMMYFUNCTION("""COMPUTED_VALUE"""),"Male")</f>
        <v>Male</v>
      </c>
      <c r="D1179" s="1"/>
      <c r="E1179" s="1" t="str">
        <f ca="1">IFERROR(__xludf.DUMMYFUNCTION("""COMPUTED_VALUE"""),"No Relation")</f>
        <v>No Relation</v>
      </c>
      <c r="F1179" s="1" t="str">
        <f ca="1">IFERROR(__xludf.DUMMYFUNCTION("""COMPUTED_VALUE"""),"Attempted Suicide")</f>
        <v>Attempted Suicide</v>
      </c>
      <c r="G1179" s="1" t="str">
        <f ca="1">IFERROR(__xludf.DUMMYFUNCTION("""COMPUTED_VALUE"""),"No")</f>
        <v>No</v>
      </c>
      <c r="H1179" s="1" t="str">
        <f ca="1">IFERROR(__xludf.DUMMYFUNCTION("""COMPUTED_VALUE"""),"Wounded")</f>
        <v>Wounded</v>
      </c>
    </row>
    <row r="1180" spans="1:8" ht="12.5">
      <c r="A1180" s="1" t="str">
        <f ca="1">IFERROR(__xludf.DUMMYFUNCTION("""COMPUTED_VALUE"""),"20200920UTLIS")</f>
        <v>20200920UTLIS</v>
      </c>
      <c r="B1180" s="1"/>
      <c r="C1180" s="1"/>
      <c r="D1180" s="1"/>
      <c r="E1180" s="1" t="str">
        <f ca="1">IFERROR(__xludf.DUMMYFUNCTION("""COMPUTED_VALUE"""),"No Relation")</f>
        <v>No Relation</v>
      </c>
      <c r="F1180" s="1" t="str">
        <f ca="1">IFERROR(__xludf.DUMMYFUNCTION("""COMPUTED_VALUE"""),"Fled/Escaped")</f>
        <v>Fled/Escaped</v>
      </c>
      <c r="G1180" s="1" t="str">
        <f ca="1">IFERROR(__xludf.DUMMYFUNCTION("""COMPUTED_VALUE"""),"No")</f>
        <v>No</v>
      </c>
      <c r="H1180" s="1" t="str">
        <f ca="1">IFERROR(__xludf.DUMMYFUNCTION("""COMPUTED_VALUE"""),"None")</f>
        <v>None</v>
      </c>
    </row>
    <row r="1181" spans="1:8" ht="12.5">
      <c r="A1181" s="1" t="str">
        <f ca="1">IFERROR(__xludf.DUMMYFUNCTION("""COMPUTED_VALUE"""),"20200919CAKRS")</f>
        <v>20200919CAKRS</v>
      </c>
      <c r="B1181" s="1"/>
      <c r="C1181" s="1"/>
      <c r="D1181" s="1"/>
      <c r="E1181" s="1"/>
      <c r="F1181" s="1" t="str">
        <f ca="1">IFERROR(__xludf.DUMMYFUNCTION("""COMPUTED_VALUE"""),"Fled/Escaped")</f>
        <v>Fled/Escaped</v>
      </c>
      <c r="G1181" s="1" t="str">
        <f ca="1">IFERROR(__xludf.DUMMYFUNCTION("""COMPUTED_VALUE"""),"No")</f>
        <v>No</v>
      </c>
      <c r="H1181" s="1" t="str">
        <f ca="1">IFERROR(__xludf.DUMMYFUNCTION("""COMPUTED_VALUE"""),"None")</f>
        <v>None</v>
      </c>
    </row>
    <row r="1182" spans="1:8" ht="12.5">
      <c r="A1182" s="1" t="str">
        <f ca="1">IFERROR(__xludf.DUMMYFUNCTION("""COMPUTED_VALUE"""),"20200918KYWIL")</f>
        <v>20200918KYWIL</v>
      </c>
      <c r="B1182" s="1"/>
      <c r="C1182" s="1"/>
      <c r="D1182" s="1"/>
      <c r="E1182" s="1" t="str">
        <f ca="1">IFERROR(__xludf.DUMMYFUNCTION("""COMPUTED_VALUE"""),"Nonstudent Using Athletic Facilities/Attending Game")</f>
        <v>Nonstudent Using Athletic Facilities/Attending Game</v>
      </c>
      <c r="F1182" s="1" t="str">
        <f ca="1">IFERROR(__xludf.DUMMYFUNCTION("""COMPUTED_VALUE"""),"Fled/Escaped")</f>
        <v>Fled/Escaped</v>
      </c>
      <c r="G1182" s="1" t="str">
        <f ca="1">IFERROR(__xludf.DUMMYFUNCTION("""COMPUTED_VALUE"""),"No")</f>
        <v>No</v>
      </c>
      <c r="H1182" s="1" t="str">
        <f ca="1">IFERROR(__xludf.DUMMYFUNCTION("""COMPUTED_VALUE"""),"None")</f>
        <v>None</v>
      </c>
    </row>
    <row r="1183" spans="1:8" ht="12.5">
      <c r="A1183" s="1" t="str">
        <f ca="1">IFERROR(__xludf.DUMMYFUNCTION("""COMPUTED_VALUE"""),"20200917ORDRP")</f>
        <v>20200917ORDRP</v>
      </c>
      <c r="B1183" s="1"/>
      <c r="C1183" s="1"/>
      <c r="D1183" s="1"/>
      <c r="E1183" s="1" t="str">
        <f ca="1">IFERROR(__xludf.DUMMYFUNCTION("""COMPUTED_VALUE"""),"No Relation")</f>
        <v>No Relation</v>
      </c>
      <c r="F1183" s="1" t="str">
        <f ca="1">IFERROR(__xludf.DUMMYFUNCTION("""COMPUTED_VALUE"""),"Fled/Escaped")</f>
        <v>Fled/Escaped</v>
      </c>
      <c r="G1183" s="1" t="str">
        <f ca="1">IFERROR(__xludf.DUMMYFUNCTION("""COMPUTED_VALUE"""),"No")</f>
        <v>No</v>
      </c>
      <c r="H1183" s="1" t="str">
        <f ca="1">IFERROR(__xludf.DUMMYFUNCTION("""COMPUTED_VALUE"""),"None")</f>
        <v>None</v>
      </c>
    </row>
    <row r="1184" spans="1:8" ht="12.5">
      <c r="A1184" s="1" t="str">
        <f ca="1">IFERROR(__xludf.DUMMYFUNCTION("""COMPUTED_VALUE"""),"20200917OHELA")</f>
        <v>20200917OHELA</v>
      </c>
      <c r="B1184" s="1" t="str">
        <f ca="1">IFERROR(__xludf.DUMMYFUNCTION("""COMPUTED_VALUE"""),"Teen")</f>
        <v>Teen</v>
      </c>
      <c r="C1184" s="1" t="str">
        <f ca="1">IFERROR(__xludf.DUMMYFUNCTION("""COMPUTED_VALUE"""),"Male")</f>
        <v>Male</v>
      </c>
      <c r="D1184" s="1"/>
      <c r="E1184" s="1"/>
      <c r="F1184" s="1" t="str">
        <f ca="1">IFERROR(__xludf.DUMMYFUNCTION("""COMPUTED_VALUE"""),"Fled/Escaped")</f>
        <v>Fled/Escaped</v>
      </c>
      <c r="G1184" s="1" t="str">
        <f ca="1">IFERROR(__xludf.DUMMYFUNCTION("""COMPUTED_VALUE"""),"No")</f>
        <v>No</v>
      </c>
      <c r="H1184" s="1" t="str">
        <f ca="1">IFERROR(__xludf.DUMMYFUNCTION("""COMPUTED_VALUE"""),"None")</f>
        <v>None</v>
      </c>
    </row>
    <row r="1185" spans="1:8" ht="12.5">
      <c r="A1185" s="1" t="str">
        <f ca="1">IFERROR(__xludf.DUMMYFUNCTION("""COMPUTED_VALUE"""),"20200916WAARG")</f>
        <v>20200916WAARG</v>
      </c>
      <c r="B1185" s="1" t="str">
        <f ca="1">IFERROR(__xludf.DUMMYFUNCTION("""COMPUTED_VALUE"""),"Adult")</f>
        <v>Adult</v>
      </c>
      <c r="C1185" s="1" t="str">
        <f ca="1">IFERROR(__xludf.DUMMYFUNCTION("""COMPUTED_VALUE"""),"Male")</f>
        <v>Male</v>
      </c>
      <c r="D1185" s="1"/>
      <c r="E1185" s="1" t="str">
        <f ca="1">IFERROR(__xludf.DUMMYFUNCTION("""COMPUTED_VALUE"""),"No Relation")</f>
        <v>No Relation</v>
      </c>
      <c r="F1185" s="1" t="str">
        <f ca="1">IFERROR(__xludf.DUMMYFUNCTION("""COMPUTED_VALUE"""),"Surrendered")</f>
        <v>Surrendered</v>
      </c>
      <c r="G1185" s="1" t="str">
        <f ca="1">IFERROR(__xludf.DUMMYFUNCTION("""COMPUTED_VALUE"""),"No")</f>
        <v>No</v>
      </c>
      <c r="H1185" s="1" t="str">
        <f ca="1">IFERROR(__xludf.DUMMYFUNCTION("""COMPUTED_VALUE"""),"None")</f>
        <v>None</v>
      </c>
    </row>
    <row r="1186" spans="1:8" ht="12.5">
      <c r="A1186" s="1" t="str">
        <f ca="1">IFERROR(__xludf.DUMMYFUNCTION("""COMPUTED_VALUE"""),"20200916CASOS")</f>
        <v>20200916CASOS</v>
      </c>
      <c r="B1186" s="1">
        <f ca="1">IFERROR(__xludf.DUMMYFUNCTION("""COMPUTED_VALUE"""),20)</f>
        <v>20</v>
      </c>
      <c r="C1186" s="1" t="str">
        <f ca="1">IFERROR(__xludf.DUMMYFUNCTION("""COMPUTED_VALUE"""),"Male")</f>
        <v>Male</v>
      </c>
      <c r="D1186" s="1" t="str">
        <f ca="1">IFERROR(__xludf.DUMMYFUNCTION("""COMPUTED_VALUE"""),"Hispanic")</f>
        <v>Hispanic</v>
      </c>
      <c r="E1186" s="1" t="str">
        <f ca="1">IFERROR(__xludf.DUMMYFUNCTION("""COMPUTED_VALUE"""),"No Relation")</f>
        <v>No Relation</v>
      </c>
      <c r="F1186" s="1" t="str">
        <f ca="1">IFERROR(__xludf.DUMMYFUNCTION("""COMPUTED_VALUE"""),"Fled/Apprehended")</f>
        <v>Fled/Apprehended</v>
      </c>
      <c r="G1186" s="1" t="str">
        <f ca="1">IFERROR(__xludf.DUMMYFUNCTION("""COMPUTED_VALUE"""),"No")</f>
        <v>No</v>
      </c>
      <c r="H1186" s="1" t="str">
        <f ca="1">IFERROR(__xludf.DUMMYFUNCTION("""COMPUTED_VALUE"""),"None")</f>
        <v>None</v>
      </c>
    </row>
    <row r="1187" spans="1:8" ht="12.5">
      <c r="A1187" s="1" t="str">
        <f ca="1">IFERROR(__xludf.DUMMYFUNCTION("""COMPUTED_VALUE"""),"20200915UTVIB")</f>
        <v>20200915UTVIB</v>
      </c>
      <c r="B1187" s="1">
        <f ca="1">IFERROR(__xludf.DUMMYFUNCTION("""COMPUTED_VALUE"""),27)</f>
        <v>27</v>
      </c>
      <c r="C1187" s="1" t="str">
        <f ca="1">IFERROR(__xludf.DUMMYFUNCTION("""COMPUTED_VALUE"""),"Male")</f>
        <v>Male</v>
      </c>
      <c r="D1187" s="1"/>
      <c r="E1187" s="1" t="str">
        <f ca="1">IFERROR(__xludf.DUMMYFUNCTION("""COMPUTED_VALUE"""),"No Relation")</f>
        <v>No Relation</v>
      </c>
      <c r="F1187" s="1" t="str">
        <f ca="1">IFERROR(__xludf.DUMMYFUNCTION("""COMPUTED_VALUE"""),"Apprehended/Killed by LE")</f>
        <v>Apprehended/Killed by LE</v>
      </c>
      <c r="G1187" s="1" t="str">
        <f ca="1">IFERROR(__xludf.DUMMYFUNCTION("""COMPUTED_VALUE"""),"Yes")</f>
        <v>Yes</v>
      </c>
      <c r="H1187" s="1" t="str">
        <f ca="1">IFERROR(__xludf.DUMMYFUNCTION("""COMPUTED_VALUE"""),"Fatal")</f>
        <v>Fatal</v>
      </c>
    </row>
    <row r="1188" spans="1:8" ht="12.5">
      <c r="A1188" s="1" t="str">
        <f ca="1">IFERROR(__xludf.DUMMYFUNCTION("""COMPUTED_VALUE"""),"20200915SCYOR")</f>
        <v>20200915SCYOR</v>
      </c>
      <c r="B1188" s="1"/>
      <c r="C1188" s="1"/>
      <c r="D1188" s="1"/>
      <c r="E1188" s="1"/>
      <c r="F1188" s="1" t="str">
        <f ca="1">IFERROR(__xludf.DUMMYFUNCTION("""COMPUTED_VALUE"""),"Fled/Escaped")</f>
        <v>Fled/Escaped</v>
      </c>
      <c r="G1188" s="1" t="str">
        <f ca="1">IFERROR(__xludf.DUMMYFUNCTION("""COMPUTED_VALUE"""),"No")</f>
        <v>No</v>
      </c>
      <c r="H1188" s="1" t="str">
        <f ca="1">IFERROR(__xludf.DUMMYFUNCTION("""COMPUTED_VALUE"""),"None")</f>
        <v>None</v>
      </c>
    </row>
    <row r="1189" spans="1:8" ht="12.5">
      <c r="A1189" s="1" t="str">
        <f ca="1">IFERROR(__xludf.DUMMYFUNCTION("""COMPUTED_VALUE"""),"20200910OHSAC")</f>
        <v>20200910OHSAC</v>
      </c>
      <c r="B1189" s="1" t="str">
        <f ca="1">IFERROR(__xludf.DUMMYFUNCTION("""COMPUTED_VALUE"""),"Adult")</f>
        <v>Adult</v>
      </c>
      <c r="C1189" s="1"/>
      <c r="D1189" s="1"/>
      <c r="E1189" s="1" t="str">
        <f ca="1">IFERROR(__xludf.DUMMYFUNCTION("""COMPUTED_VALUE"""),"No Relation")</f>
        <v>No Relation</v>
      </c>
      <c r="F1189" s="1" t="str">
        <f ca="1">IFERROR(__xludf.DUMMYFUNCTION("""COMPUTED_VALUE"""),"Fled/Escaped")</f>
        <v>Fled/Escaped</v>
      </c>
      <c r="G1189" s="1" t="str">
        <f ca="1">IFERROR(__xludf.DUMMYFUNCTION("""COMPUTED_VALUE"""),"No")</f>
        <v>No</v>
      </c>
      <c r="H1189" s="1" t="str">
        <f ca="1">IFERROR(__xludf.DUMMYFUNCTION("""COMPUTED_VALUE"""),"None")</f>
        <v>None</v>
      </c>
    </row>
    <row r="1190" spans="1:8" ht="12.5">
      <c r="A1190" s="1" t="str">
        <f ca="1">IFERROR(__xludf.DUMMYFUNCTION("""COMPUTED_VALUE"""),"20200910ILPEP")</f>
        <v>20200910ILPEP</v>
      </c>
      <c r="B1190" s="1" t="str">
        <f ca="1">IFERROR(__xludf.DUMMYFUNCTION("""COMPUTED_VALUE"""),"Adult")</f>
        <v>Adult</v>
      </c>
      <c r="C1190" s="1" t="str">
        <f ca="1">IFERROR(__xludf.DUMMYFUNCTION("""COMPUTED_VALUE"""),"Male")</f>
        <v>Male</v>
      </c>
      <c r="D1190" s="1"/>
      <c r="E1190" s="1" t="str">
        <f ca="1">IFERROR(__xludf.DUMMYFUNCTION("""COMPUTED_VALUE"""),"No Relation")</f>
        <v>No Relation</v>
      </c>
      <c r="F1190" s="1" t="str">
        <f ca="1">IFERROR(__xludf.DUMMYFUNCTION("""COMPUTED_VALUE"""),"Fled/Escaped")</f>
        <v>Fled/Escaped</v>
      </c>
      <c r="G1190" s="1" t="str">
        <f ca="1">IFERROR(__xludf.DUMMYFUNCTION("""COMPUTED_VALUE"""),"No")</f>
        <v>No</v>
      </c>
      <c r="H1190" s="1" t="str">
        <f ca="1">IFERROR(__xludf.DUMMYFUNCTION("""COMPUTED_VALUE"""),"None")</f>
        <v>None</v>
      </c>
    </row>
    <row r="1191" spans="1:8" ht="12.5">
      <c r="A1191" s="1" t="str">
        <f ca="1">IFERROR(__xludf.DUMMYFUNCTION("""COMPUTED_VALUE"""),"20200909TXSOH")</f>
        <v>20200909TXSOH</v>
      </c>
      <c r="B1191" s="1" t="str">
        <f ca="1">IFERROR(__xludf.DUMMYFUNCTION("""COMPUTED_VALUE"""),"Adult")</f>
        <v>Adult</v>
      </c>
      <c r="C1191" s="1" t="str">
        <f ca="1">IFERROR(__xludf.DUMMYFUNCTION("""COMPUTED_VALUE"""),"Male")</f>
        <v>Male</v>
      </c>
      <c r="D1191" s="1"/>
      <c r="E1191" s="1" t="str">
        <f ca="1">IFERROR(__xludf.DUMMYFUNCTION("""COMPUTED_VALUE"""),"No Relation")</f>
        <v>No Relation</v>
      </c>
      <c r="F1191" s="1" t="str">
        <f ca="1">IFERROR(__xludf.DUMMYFUNCTION("""COMPUTED_VALUE"""),"Fled/Escaped")</f>
        <v>Fled/Escaped</v>
      </c>
      <c r="G1191" s="1" t="str">
        <f ca="1">IFERROR(__xludf.DUMMYFUNCTION("""COMPUTED_VALUE"""),"No")</f>
        <v>No</v>
      </c>
      <c r="H1191" s="1" t="str">
        <f ca="1">IFERROR(__xludf.DUMMYFUNCTION("""COMPUTED_VALUE"""),"None")</f>
        <v>None</v>
      </c>
    </row>
    <row r="1192" spans="1:8" ht="12.5">
      <c r="A1192" s="1" t="str">
        <f ca="1">IFERROR(__xludf.DUMMYFUNCTION("""COMPUTED_VALUE"""),"20200909PAWEW")</f>
        <v>20200909PAWEW</v>
      </c>
      <c r="B1192" s="1" t="str">
        <f ca="1">IFERROR(__xludf.DUMMYFUNCTION("""COMPUTED_VALUE"""),"Adult")</f>
        <v>Adult</v>
      </c>
      <c r="C1192" s="1" t="str">
        <f ca="1">IFERROR(__xludf.DUMMYFUNCTION("""COMPUTED_VALUE"""),"Male")</f>
        <v>Male</v>
      </c>
      <c r="D1192" s="1" t="str">
        <f ca="1">IFERROR(__xludf.DUMMYFUNCTION("""COMPUTED_VALUE"""),"White")</f>
        <v>White</v>
      </c>
      <c r="E1192" s="1" t="str">
        <f ca="1">IFERROR(__xludf.DUMMYFUNCTION("""COMPUTED_VALUE"""),"No Relation")</f>
        <v>No Relation</v>
      </c>
      <c r="F1192" s="1" t="str">
        <f ca="1">IFERROR(__xludf.DUMMYFUNCTION("""COMPUTED_VALUE"""),"Fled/Escaped")</f>
        <v>Fled/Escaped</v>
      </c>
      <c r="G1192" s="1" t="str">
        <f ca="1">IFERROR(__xludf.DUMMYFUNCTION("""COMPUTED_VALUE"""),"No")</f>
        <v>No</v>
      </c>
      <c r="H1192" s="1" t="str">
        <f ca="1">IFERROR(__xludf.DUMMYFUNCTION("""COMPUTED_VALUE"""),"None")</f>
        <v>None</v>
      </c>
    </row>
    <row r="1193" spans="1:8" ht="12.5">
      <c r="A1193" s="1" t="str">
        <f ca="1">IFERROR(__xludf.DUMMYFUNCTION("""COMPUTED_VALUE"""),"20200904FLLOJ")</f>
        <v>20200904FLLOJ</v>
      </c>
      <c r="B1193" s="1" t="str">
        <f ca="1">IFERROR(__xludf.DUMMYFUNCTION("""COMPUTED_VALUE"""),"Adult")</f>
        <v>Adult</v>
      </c>
      <c r="C1193" s="1"/>
      <c r="D1193" s="1"/>
      <c r="E1193" s="1" t="str">
        <f ca="1">IFERROR(__xludf.DUMMYFUNCTION("""COMPUTED_VALUE"""),"No Relation")</f>
        <v>No Relation</v>
      </c>
      <c r="F1193" s="1" t="str">
        <f ca="1">IFERROR(__xludf.DUMMYFUNCTION("""COMPUTED_VALUE"""),"Fled/Escaped")</f>
        <v>Fled/Escaped</v>
      </c>
      <c r="G1193" s="1" t="str">
        <f ca="1">IFERROR(__xludf.DUMMYFUNCTION("""COMPUTED_VALUE"""),"No")</f>
        <v>No</v>
      </c>
      <c r="H1193" s="1" t="str">
        <f ca="1">IFERROR(__xludf.DUMMYFUNCTION("""COMPUTED_VALUE"""),"None")</f>
        <v>None</v>
      </c>
    </row>
    <row r="1194" spans="1:8" ht="12.5">
      <c r="A1194" s="1" t="str">
        <f ca="1">IFERROR(__xludf.DUMMYFUNCTION("""COMPUTED_VALUE"""),"20200903GADOA")</f>
        <v>20200903GADOA</v>
      </c>
      <c r="B1194" s="1" t="str">
        <f ca="1">IFERROR(__xludf.DUMMYFUNCTION("""COMPUTED_VALUE"""),"Adult")</f>
        <v>Adult</v>
      </c>
      <c r="C1194" s="1"/>
      <c r="D1194" s="1"/>
      <c r="E1194" s="1" t="str">
        <f ca="1">IFERROR(__xludf.DUMMYFUNCTION("""COMPUTED_VALUE"""),"No Relation")</f>
        <v>No Relation</v>
      </c>
      <c r="F1194" s="1" t="str">
        <f ca="1">IFERROR(__xludf.DUMMYFUNCTION("""COMPUTED_VALUE"""),"Fled/Escaped")</f>
        <v>Fled/Escaped</v>
      </c>
      <c r="G1194" s="1" t="str">
        <f ca="1">IFERROR(__xludf.DUMMYFUNCTION("""COMPUTED_VALUE"""),"No")</f>
        <v>No</v>
      </c>
      <c r="H1194" s="1" t="str">
        <f ca="1">IFERROR(__xludf.DUMMYFUNCTION("""COMPUTED_VALUE"""),"None")</f>
        <v>None</v>
      </c>
    </row>
    <row r="1195" spans="1:8" ht="12.5">
      <c r="A1195" s="1" t="str">
        <f ca="1">IFERROR(__xludf.DUMMYFUNCTION("""COMPUTED_VALUE"""),"20200830TXLOD")</f>
        <v>20200830TXLOD</v>
      </c>
      <c r="B1195" s="1">
        <f ca="1">IFERROR(__xludf.DUMMYFUNCTION("""COMPUTED_VALUE"""),17)</f>
        <v>17</v>
      </c>
      <c r="C1195" s="1" t="str">
        <f ca="1">IFERROR(__xludf.DUMMYFUNCTION("""COMPUTED_VALUE"""),"Male")</f>
        <v>Male</v>
      </c>
      <c r="D1195" s="1" t="str">
        <f ca="1">IFERROR(__xludf.DUMMYFUNCTION("""COMPUTED_VALUE"""),"Hispanic")</f>
        <v>Hispanic</v>
      </c>
      <c r="E1195" s="1" t="str">
        <f ca="1">IFERROR(__xludf.DUMMYFUNCTION("""COMPUTED_VALUE"""),"No Relation")</f>
        <v>No Relation</v>
      </c>
      <c r="F1195" s="1" t="str">
        <f ca="1">IFERROR(__xludf.DUMMYFUNCTION("""COMPUTED_VALUE"""),"Fled/Apprehended")</f>
        <v>Fled/Apprehended</v>
      </c>
      <c r="G1195" s="1" t="str">
        <f ca="1">IFERROR(__xludf.DUMMYFUNCTION("""COMPUTED_VALUE"""),"No")</f>
        <v>No</v>
      </c>
      <c r="H1195" s="1" t="str">
        <f ca="1">IFERROR(__xludf.DUMMYFUNCTION("""COMPUTED_VALUE"""),"None")</f>
        <v>None</v>
      </c>
    </row>
    <row r="1196" spans="1:8" ht="12.5">
      <c r="A1196" s="1" t="str">
        <f ca="1">IFERROR(__xludf.DUMMYFUNCTION("""COMPUTED_VALUE"""),"20200825MOWEC")</f>
        <v>20200825MOWEC</v>
      </c>
      <c r="B1196" s="1" t="str">
        <f ca="1">IFERROR(__xludf.DUMMYFUNCTION("""COMPUTED_VALUE"""),"Adult")</f>
        <v>Adult</v>
      </c>
      <c r="C1196" s="1"/>
      <c r="D1196" s="1"/>
      <c r="E1196" s="1" t="str">
        <f ca="1">IFERROR(__xludf.DUMMYFUNCTION("""COMPUTED_VALUE"""),"No Relation")</f>
        <v>No Relation</v>
      </c>
      <c r="F1196" s="1" t="str">
        <f ca="1">IFERROR(__xludf.DUMMYFUNCTION("""COMPUTED_VALUE"""),"Fled/Escaped")</f>
        <v>Fled/Escaped</v>
      </c>
      <c r="G1196" s="1" t="str">
        <f ca="1">IFERROR(__xludf.DUMMYFUNCTION("""COMPUTED_VALUE"""),"No")</f>
        <v>No</v>
      </c>
      <c r="H1196" s="1" t="str">
        <f ca="1">IFERROR(__xludf.DUMMYFUNCTION("""COMPUTED_VALUE"""),"None")</f>
        <v>None</v>
      </c>
    </row>
    <row r="1197" spans="1:8" ht="12.5">
      <c r="A1197" s="1" t="str">
        <f ca="1">IFERROR(__xludf.DUMMYFUNCTION("""COMPUTED_VALUE"""),"20200817MIABG")</f>
        <v>20200817MIABG</v>
      </c>
      <c r="B1197" s="1" t="str">
        <f ca="1">IFERROR(__xludf.DUMMYFUNCTION("""COMPUTED_VALUE"""),"Adult")</f>
        <v>Adult</v>
      </c>
      <c r="C1197" s="1" t="str">
        <f ca="1">IFERROR(__xludf.DUMMYFUNCTION("""COMPUTED_VALUE"""),"Male")</f>
        <v>Male</v>
      </c>
      <c r="D1197" s="1"/>
      <c r="E1197" s="1" t="str">
        <f ca="1">IFERROR(__xludf.DUMMYFUNCTION("""COMPUTED_VALUE"""),"No Relation")</f>
        <v>No Relation</v>
      </c>
      <c r="F1197" s="1" t="str">
        <f ca="1">IFERROR(__xludf.DUMMYFUNCTION("""COMPUTED_VALUE"""),"Fled/Escaped")</f>
        <v>Fled/Escaped</v>
      </c>
      <c r="G1197" s="1" t="str">
        <f ca="1">IFERROR(__xludf.DUMMYFUNCTION("""COMPUTED_VALUE"""),"No")</f>
        <v>No</v>
      </c>
      <c r="H1197" s="1" t="str">
        <f ca="1">IFERROR(__xludf.DUMMYFUNCTION("""COMPUTED_VALUE"""),"None")</f>
        <v>None</v>
      </c>
    </row>
    <row r="1198" spans="1:8" ht="12.5">
      <c r="A1198" s="1" t="str">
        <f ca="1">IFERROR(__xludf.DUMMYFUNCTION("""COMPUTED_VALUE"""),"20200804PAKEP")</f>
        <v>20200804PAKEP</v>
      </c>
      <c r="B1198" s="1">
        <f ca="1">IFERROR(__xludf.DUMMYFUNCTION("""COMPUTED_VALUE"""),29)</f>
        <v>29</v>
      </c>
      <c r="C1198" s="1" t="str">
        <f ca="1">IFERROR(__xludf.DUMMYFUNCTION("""COMPUTED_VALUE"""),"Male")</f>
        <v>Male</v>
      </c>
      <c r="D1198" s="1"/>
      <c r="E1198" s="1" t="str">
        <f ca="1">IFERROR(__xludf.DUMMYFUNCTION("""COMPUTED_VALUE"""),"No Relation")</f>
        <v>No Relation</v>
      </c>
      <c r="F1198" s="1" t="str">
        <f ca="1">IFERROR(__xludf.DUMMYFUNCTION("""COMPUTED_VALUE"""),"Fled/Apprehended")</f>
        <v>Fled/Apprehended</v>
      </c>
      <c r="G1198" s="1" t="str">
        <f ca="1">IFERROR(__xludf.DUMMYFUNCTION("""COMPUTED_VALUE"""),"No")</f>
        <v>No</v>
      </c>
      <c r="H1198" s="1" t="str">
        <f ca="1">IFERROR(__xludf.DUMMYFUNCTION("""COMPUTED_VALUE"""),"None")</f>
        <v>None</v>
      </c>
    </row>
    <row r="1199" spans="1:8" ht="12.5">
      <c r="A1199" s="1" t="str">
        <f ca="1">IFERROR(__xludf.DUMMYFUNCTION("""COMPUTED_VALUE"""),"20200729ILCOC")</f>
        <v>20200729ILCOC</v>
      </c>
      <c r="B1199" s="1">
        <f ca="1">IFERROR(__xludf.DUMMYFUNCTION("""COMPUTED_VALUE"""),17)</f>
        <v>17</v>
      </c>
      <c r="C1199" s="1" t="str">
        <f ca="1">IFERROR(__xludf.DUMMYFUNCTION("""COMPUTED_VALUE"""),"Male")</f>
        <v>Male</v>
      </c>
      <c r="D1199" s="1"/>
      <c r="E1199" s="1"/>
      <c r="F1199" s="1" t="str">
        <f ca="1">IFERROR(__xludf.DUMMYFUNCTION("""COMPUTED_VALUE"""),"Apprehended/Killed by LE")</f>
        <v>Apprehended/Killed by LE</v>
      </c>
      <c r="G1199" s="1" t="str">
        <f ca="1">IFERROR(__xludf.DUMMYFUNCTION("""COMPUTED_VALUE"""),"No")</f>
        <v>No</v>
      </c>
      <c r="H1199" s="1" t="str">
        <f ca="1">IFERROR(__xludf.DUMMYFUNCTION("""COMPUTED_VALUE"""),"Wounded")</f>
        <v>Wounded</v>
      </c>
    </row>
    <row r="1200" spans="1:8" ht="12.5">
      <c r="A1200" s="1" t="str">
        <f ca="1">IFERROR(__xludf.DUMMYFUNCTION("""COMPUTED_VALUE"""),"20200727AZCAO")</f>
        <v>20200727AZCAO</v>
      </c>
      <c r="B1200" s="1">
        <f ca="1">IFERROR(__xludf.DUMMYFUNCTION("""COMPUTED_VALUE"""),40)</f>
        <v>40</v>
      </c>
      <c r="C1200" s="1" t="str">
        <f ca="1">IFERROR(__xludf.DUMMYFUNCTION("""COMPUTED_VALUE"""),"Male")</f>
        <v>Male</v>
      </c>
      <c r="D1200" s="1"/>
      <c r="E1200" s="1" t="str">
        <f ca="1">IFERROR(__xludf.DUMMYFUNCTION("""COMPUTED_VALUE"""),"Other Staff")</f>
        <v>Other Staff</v>
      </c>
      <c r="F1200" s="1" t="str">
        <f ca="1">IFERROR(__xludf.DUMMYFUNCTION("""COMPUTED_VALUE"""),"Apprehended/Killed by Other")</f>
        <v>Apprehended/Killed by Other</v>
      </c>
      <c r="G1200" s="1" t="str">
        <f ca="1">IFERROR(__xludf.DUMMYFUNCTION("""COMPUTED_VALUE"""),"Yes")</f>
        <v>Yes</v>
      </c>
      <c r="H1200" s="1" t="str">
        <f ca="1">IFERROR(__xludf.DUMMYFUNCTION("""COMPUTED_VALUE"""),"Fatal")</f>
        <v>Fatal</v>
      </c>
    </row>
    <row r="1201" spans="1:8" ht="12.5">
      <c r="A1201" s="1" t="str">
        <f ca="1">IFERROR(__xludf.DUMMYFUNCTION("""COMPUTED_VALUE"""),"20200721SCBRO")</f>
        <v>20200721SCBRO</v>
      </c>
      <c r="B1201" s="1">
        <f ca="1">IFERROR(__xludf.DUMMYFUNCTION("""COMPUTED_VALUE"""),21)</f>
        <v>21</v>
      </c>
      <c r="C1201" s="1" t="str">
        <f ca="1">IFERROR(__xludf.DUMMYFUNCTION("""COMPUTED_VALUE"""),"Male")</f>
        <v>Male</v>
      </c>
      <c r="D1201" s="1" t="str">
        <f ca="1">IFERROR(__xludf.DUMMYFUNCTION("""COMPUTED_VALUE"""),"Black")</f>
        <v>Black</v>
      </c>
      <c r="E1201" s="1" t="str">
        <f ca="1">IFERROR(__xludf.DUMMYFUNCTION("""COMPUTED_VALUE"""),"Nonstudent Using Athletic Facilities/Attending Game")</f>
        <v>Nonstudent Using Athletic Facilities/Attending Game</v>
      </c>
      <c r="F1201" s="1" t="str">
        <f ca="1">IFERROR(__xludf.DUMMYFUNCTION("""COMPUTED_VALUE"""),"Fled/Apprehended")</f>
        <v>Fled/Apprehended</v>
      </c>
      <c r="G1201" s="1" t="str">
        <f ca="1">IFERROR(__xludf.DUMMYFUNCTION("""COMPUTED_VALUE"""),"No")</f>
        <v>No</v>
      </c>
      <c r="H1201" s="1" t="str">
        <f ca="1">IFERROR(__xludf.DUMMYFUNCTION("""COMPUTED_VALUE"""),"None")</f>
        <v>None</v>
      </c>
    </row>
    <row r="1202" spans="1:8" ht="12.5">
      <c r="A1202" s="1" t="str">
        <f ca="1">IFERROR(__xludf.DUMMYFUNCTION("""COMPUTED_VALUE"""),"20200714MIWID")</f>
        <v>20200714MIWID</v>
      </c>
      <c r="B1202" s="1" t="str">
        <f ca="1">IFERROR(__xludf.DUMMYFUNCTION("""COMPUTED_VALUE"""),"Adult")</f>
        <v>Adult</v>
      </c>
      <c r="C1202" s="1" t="str">
        <f ca="1">IFERROR(__xludf.DUMMYFUNCTION("""COMPUTED_VALUE"""),"Male")</f>
        <v>Male</v>
      </c>
      <c r="D1202" s="1"/>
      <c r="E1202" s="1" t="str">
        <f ca="1">IFERROR(__xludf.DUMMYFUNCTION("""COMPUTED_VALUE"""),"No Relation")</f>
        <v>No Relation</v>
      </c>
      <c r="F1202" s="1" t="str">
        <f ca="1">IFERROR(__xludf.DUMMYFUNCTION("""COMPUTED_VALUE"""),"Fled/Escaped")</f>
        <v>Fled/Escaped</v>
      </c>
      <c r="G1202" s="1" t="str">
        <f ca="1">IFERROR(__xludf.DUMMYFUNCTION("""COMPUTED_VALUE"""),"No")</f>
        <v>No</v>
      </c>
      <c r="H1202" s="1" t="str">
        <f ca="1">IFERROR(__xludf.DUMMYFUNCTION("""COMPUTED_VALUE"""),"None")</f>
        <v>None</v>
      </c>
    </row>
    <row r="1203" spans="1:8" ht="12.5">
      <c r="A1203" s="1" t="str">
        <f ca="1">IFERROR(__xludf.DUMMYFUNCTION("""COMPUTED_VALUE"""),"20200704INLAM")</f>
        <v>20200704INLAM</v>
      </c>
      <c r="B1203" s="1">
        <f ca="1">IFERROR(__xludf.DUMMYFUNCTION("""COMPUTED_VALUE"""),22)</f>
        <v>22</v>
      </c>
      <c r="C1203" s="1" t="str">
        <f ca="1">IFERROR(__xludf.DUMMYFUNCTION("""COMPUTED_VALUE"""),"Male")</f>
        <v>Male</v>
      </c>
      <c r="D1203" s="1" t="str">
        <f ca="1">IFERROR(__xludf.DUMMYFUNCTION("""COMPUTED_VALUE"""),"White")</f>
        <v>White</v>
      </c>
      <c r="E1203" s="1" t="str">
        <f ca="1">IFERROR(__xludf.DUMMYFUNCTION("""COMPUTED_VALUE"""),"No Relation")</f>
        <v>No Relation</v>
      </c>
      <c r="F1203" s="1" t="str">
        <f ca="1">IFERROR(__xludf.DUMMYFUNCTION("""COMPUTED_VALUE"""),"Fled/Apprehended")</f>
        <v>Fled/Apprehended</v>
      </c>
      <c r="G1203" s="1" t="str">
        <f ca="1">IFERROR(__xludf.DUMMYFUNCTION("""COMPUTED_VALUE"""),"No")</f>
        <v>No</v>
      </c>
      <c r="H1203" s="1" t="str">
        <f ca="1">IFERROR(__xludf.DUMMYFUNCTION("""COMPUTED_VALUE"""),"None")</f>
        <v>None</v>
      </c>
    </row>
    <row r="1204" spans="1:8" ht="12.5">
      <c r="A1204" s="1" t="str">
        <f ca="1">IFERROR(__xludf.DUMMYFUNCTION("""COMPUTED_VALUE"""),"20200701ILFRP")</f>
        <v>20200701ILFRP</v>
      </c>
      <c r="B1204" s="1">
        <f ca="1">IFERROR(__xludf.DUMMYFUNCTION("""COMPUTED_VALUE"""),25)</f>
        <v>25</v>
      </c>
      <c r="C1204" s="1" t="str">
        <f ca="1">IFERROR(__xludf.DUMMYFUNCTION("""COMPUTED_VALUE"""),"Male")</f>
        <v>Male</v>
      </c>
      <c r="D1204" s="1" t="str">
        <f ca="1">IFERROR(__xludf.DUMMYFUNCTION("""COMPUTED_VALUE"""),"White")</f>
        <v>White</v>
      </c>
      <c r="E1204" s="1" t="str">
        <f ca="1">IFERROR(__xludf.DUMMYFUNCTION("""COMPUTED_VALUE"""),"No Relation")</f>
        <v>No Relation</v>
      </c>
      <c r="F1204" s="1" t="str">
        <f ca="1">IFERROR(__xludf.DUMMYFUNCTION("""COMPUTED_VALUE"""),"Fled/Apprehended")</f>
        <v>Fled/Apprehended</v>
      </c>
      <c r="G1204" s="1" t="str">
        <f ca="1">IFERROR(__xludf.DUMMYFUNCTION("""COMPUTED_VALUE"""),"No")</f>
        <v>No</v>
      </c>
      <c r="H1204" s="1" t="str">
        <f ca="1">IFERROR(__xludf.DUMMYFUNCTION("""COMPUTED_VALUE"""),"None")</f>
        <v>None</v>
      </c>
    </row>
    <row r="1205" spans="1:8" ht="12.5">
      <c r="A1205" s="1" t="str">
        <f ca="1">IFERROR(__xludf.DUMMYFUNCTION("""COMPUTED_VALUE"""),"20200630OHLAW")</f>
        <v>20200630OHLAW</v>
      </c>
      <c r="B1205" s="1">
        <f ca="1">IFERROR(__xludf.DUMMYFUNCTION("""COMPUTED_VALUE"""),19)</f>
        <v>19</v>
      </c>
      <c r="C1205" s="1" t="str">
        <f ca="1">IFERROR(__xludf.DUMMYFUNCTION("""COMPUTED_VALUE"""),"Male")</f>
        <v>Male</v>
      </c>
      <c r="D1205" s="1" t="str">
        <f ca="1">IFERROR(__xludf.DUMMYFUNCTION("""COMPUTED_VALUE"""),"White")</f>
        <v>White</v>
      </c>
      <c r="E1205" s="1" t="str">
        <f ca="1">IFERROR(__xludf.DUMMYFUNCTION("""COMPUTED_VALUE"""),"No Relation")</f>
        <v>No Relation</v>
      </c>
      <c r="F1205" s="1" t="str">
        <f ca="1">IFERROR(__xludf.DUMMYFUNCTION("""COMPUTED_VALUE"""),"Fled/Apprehended")</f>
        <v>Fled/Apprehended</v>
      </c>
      <c r="G1205" s="1" t="str">
        <f ca="1">IFERROR(__xludf.DUMMYFUNCTION("""COMPUTED_VALUE"""),"No")</f>
        <v>No</v>
      </c>
      <c r="H1205" s="1" t="str">
        <f ca="1">IFERROR(__xludf.DUMMYFUNCTION("""COMPUTED_VALUE"""),"None")</f>
        <v>None</v>
      </c>
    </row>
    <row r="1206" spans="1:8" ht="12.5">
      <c r="A1206" s="1" t="str">
        <f ca="1">IFERROR(__xludf.DUMMYFUNCTION("""COMPUTED_VALUE"""),"20200627VAHAS")</f>
        <v>20200627VAHAS</v>
      </c>
      <c r="B1206" s="1">
        <f ca="1">IFERROR(__xludf.DUMMYFUNCTION("""COMPUTED_VALUE"""),17)</f>
        <v>17</v>
      </c>
      <c r="C1206" s="1" t="str">
        <f ca="1">IFERROR(__xludf.DUMMYFUNCTION("""COMPUTED_VALUE"""),"Male")</f>
        <v>Male</v>
      </c>
      <c r="D1206" s="1"/>
      <c r="E1206" s="1" t="str">
        <f ca="1">IFERROR(__xludf.DUMMYFUNCTION("""COMPUTED_VALUE"""),"Unknown")</f>
        <v>Unknown</v>
      </c>
      <c r="F1206" s="1" t="str">
        <f ca="1">IFERROR(__xludf.DUMMYFUNCTION("""COMPUTED_VALUE"""),"Fled/Apprehended")</f>
        <v>Fled/Apprehended</v>
      </c>
      <c r="G1206" s="1" t="str">
        <f ca="1">IFERROR(__xludf.DUMMYFUNCTION("""COMPUTED_VALUE"""),"No")</f>
        <v>No</v>
      </c>
      <c r="H1206" s="1" t="str">
        <f ca="1">IFERROR(__xludf.DUMMYFUNCTION("""COMPUTED_VALUE"""),"None")</f>
        <v>None</v>
      </c>
    </row>
    <row r="1207" spans="1:8" ht="12.5">
      <c r="A1207" s="1" t="str">
        <f ca="1">IFERROR(__xludf.DUMMYFUNCTION("""COMPUTED_VALUE"""),"20200621INCOC")</f>
        <v>20200621INCOC</v>
      </c>
      <c r="B1207" s="1">
        <f ca="1">IFERROR(__xludf.DUMMYFUNCTION("""COMPUTED_VALUE"""),14)</f>
        <v>14</v>
      </c>
      <c r="C1207" s="1" t="str">
        <f ca="1">IFERROR(__xludf.DUMMYFUNCTION("""COMPUTED_VALUE"""),"Male")</f>
        <v>Male</v>
      </c>
      <c r="D1207" s="1"/>
      <c r="E1207" s="1" t="str">
        <f ca="1">IFERROR(__xludf.DUMMYFUNCTION("""COMPUTED_VALUE"""),"Unknown")</f>
        <v>Unknown</v>
      </c>
      <c r="F1207" s="1" t="str">
        <f ca="1">IFERROR(__xludf.DUMMYFUNCTION("""COMPUTED_VALUE"""),"Fled/Apprehended")</f>
        <v>Fled/Apprehended</v>
      </c>
      <c r="G1207" s="1" t="str">
        <f ca="1">IFERROR(__xludf.DUMMYFUNCTION("""COMPUTED_VALUE"""),"No")</f>
        <v>No</v>
      </c>
      <c r="H1207" s="1" t="str">
        <f ca="1">IFERROR(__xludf.DUMMYFUNCTION("""COMPUTED_VALUE"""),"None")</f>
        <v>None</v>
      </c>
    </row>
    <row r="1208" spans="1:8" ht="12.5">
      <c r="A1208" s="1" t="str">
        <f ca="1">IFERROR(__xludf.DUMMYFUNCTION("""COMPUTED_VALUE"""),"20200621INCOC")</f>
        <v>20200621INCOC</v>
      </c>
      <c r="B1208" s="1">
        <f ca="1">IFERROR(__xludf.DUMMYFUNCTION("""COMPUTED_VALUE"""),16)</f>
        <v>16</v>
      </c>
      <c r="C1208" s="1" t="str">
        <f ca="1">IFERROR(__xludf.DUMMYFUNCTION("""COMPUTED_VALUE"""),"Male")</f>
        <v>Male</v>
      </c>
      <c r="D1208" s="1"/>
      <c r="E1208" s="1" t="str">
        <f ca="1">IFERROR(__xludf.DUMMYFUNCTION("""COMPUTED_VALUE"""),"Unknown")</f>
        <v>Unknown</v>
      </c>
      <c r="F1208" s="1" t="str">
        <f ca="1">IFERROR(__xludf.DUMMYFUNCTION("""COMPUTED_VALUE"""),"Fled/Apprehended")</f>
        <v>Fled/Apprehended</v>
      </c>
      <c r="G1208" s="1" t="str">
        <f ca="1">IFERROR(__xludf.DUMMYFUNCTION("""COMPUTED_VALUE"""),"No")</f>
        <v>No</v>
      </c>
      <c r="H1208" s="1" t="str">
        <f ca="1">IFERROR(__xludf.DUMMYFUNCTION("""COMPUTED_VALUE"""),"None")</f>
        <v>None</v>
      </c>
    </row>
    <row r="1209" spans="1:8" ht="12.5">
      <c r="A1209" s="1" t="str">
        <f ca="1">IFERROR(__xludf.DUMMYFUNCTION("""COMPUTED_VALUE"""),"20200621INCOC")</f>
        <v>20200621INCOC</v>
      </c>
      <c r="B1209" s="1">
        <f ca="1">IFERROR(__xludf.DUMMYFUNCTION("""COMPUTED_VALUE"""),16)</f>
        <v>16</v>
      </c>
      <c r="C1209" s="1" t="str">
        <f ca="1">IFERROR(__xludf.DUMMYFUNCTION("""COMPUTED_VALUE"""),"Male")</f>
        <v>Male</v>
      </c>
      <c r="D1209" s="1"/>
      <c r="E1209" s="1" t="str">
        <f ca="1">IFERROR(__xludf.DUMMYFUNCTION("""COMPUTED_VALUE"""),"Unknown")</f>
        <v>Unknown</v>
      </c>
      <c r="F1209" s="1" t="str">
        <f ca="1">IFERROR(__xludf.DUMMYFUNCTION("""COMPUTED_VALUE"""),"Fled/Apprehended")</f>
        <v>Fled/Apprehended</v>
      </c>
      <c r="G1209" s="1" t="str">
        <f ca="1">IFERROR(__xludf.DUMMYFUNCTION("""COMPUTED_VALUE"""),"No")</f>
        <v>No</v>
      </c>
      <c r="H1209" s="1" t="str">
        <f ca="1">IFERROR(__xludf.DUMMYFUNCTION("""COMPUTED_VALUE"""),"None")</f>
        <v>None</v>
      </c>
    </row>
    <row r="1210" spans="1:8" ht="12.5">
      <c r="A1210" s="1" t="str">
        <f ca="1">IFERROR(__xludf.DUMMYFUNCTION("""COMPUTED_VALUE"""),"20200618INJOI")</f>
        <v>20200618INJOI</v>
      </c>
      <c r="B1210" s="1"/>
      <c r="C1210" s="1"/>
      <c r="D1210" s="1"/>
      <c r="E1210" s="1" t="str">
        <f ca="1">IFERROR(__xludf.DUMMYFUNCTION("""COMPUTED_VALUE"""),"No Relation")</f>
        <v>No Relation</v>
      </c>
      <c r="F1210" s="1" t="str">
        <f ca="1">IFERROR(__xludf.DUMMYFUNCTION("""COMPUTED_VALUE"""),"Fled/Escaped")</f>
        <v>Fled/Escaped</v>
      </c>
      <c r="G1210" s="1"/>
      <c r="H1210" s="1"/>
    </row>
    <row r="1211" spans="1:8" ht="12.5">
      <c r="A1211" s="1" t="str">
        <f ca="1">IFERROR(__xludf.DUMMYFUNCTION("""COMPUTED_VALUE"""),"20200616FLTOM")</f>
        <v>20200616FLTOM</v>
      </c>
      <c r="B1211" s="1"/>
      <c r="C1211" s="1" t="str">
        <f ca="1">IFERROR(__xludf.DUMMYFUNCTION("""COMPUTED_VALUE"""),"Male")</f>
        <v>Male</v>
      </c>
      <c r="D1211" s="1"/>
      <c r="E1211" s="1" t="str">
        <f ca="1">IFERROR(__xludf.DUMMYFUNCTION("""COMPUTED_VALUE"""),"No Relation")</f>
        <v>No Relation</v>
      </c>
      <c r="F1211" s="1" t="str">
        <f ca="1">IFERROR(__xludf.DUMMYFUNCTION("""COMPUTED_VALUE"""),"Fled/Escaped")</f>
        <v>Fled/Escaped</v>
      </c>
      <c r="G1211" s="1" t="str">
        <f ca="1">IFERROR(__xludf.DUMMYFUNCTION("""COMPUTED_VALUE"""),"No")</f>
        <v>No</v>
      </c>
      <c r="H1211" s="1" t="str">
        <f ca="1">IFERROR(__xludf.DUMMYFUNCTION("""COMPUTED_VALUE"""),"None")</f>
        <v>None</v>
      </c>
    </row>
    <row r="1212" spans="1:8" ht="12.5">
      <c r="A1212" s="1" t="str">
        <f ca="1">IFERROR(__xludf.DUMMYFUNCTION("""COMPUTED_VALUE"""),"20200603IAGAD")</f>
        <v>20200603IAGAD</v>
      </c>
      <c r="B1212" s="1" t="str">
        <f ca="1">IFERROR(__xludf.DUMMYFUNCTION("""COMPUTED_VALUE"""),"Adult")</f>
        <v>Adult</v>
      </c>
      <c r="C1212" s="1" t="str">
        <f ca="1">IFERROR(__xludf.DUMMYFUNCTION("""COMPUTED_VALUE"""),"Male")</f>
        <v>Male</v>
      </c>
      <c r="D1212" s="1"/>
      <c r="E1212" s="1" t="str">
        <f ca="1">IFERROR(__xludf.DUMMYFUNCTION("""COMPUTED_VALUE"""),"No Relation")</f>
        <v>No Relation</v>
      </c>
      <c r="F1212" s="1" t="str">
        <f ca="1">IFERROR(__xludf.DUMMYFUNCTION("""COMPUTED_VALUE"""),"Fled/Escaped")</f>
        <v>Fled/Escaped</v>
      </c>
      <c r="G1212" s="1" t="str">
        <f ca="1">IFERROR(__xludf.DUMMYFUNCTION("""COMPUTED_VALUE"""),"No")</f>
        <v>No</v>
      </c>
      <c r="H1212" s="1" t="str">
        <f ca="1">IFERROR(__xludf.DUMMYFUNCTION("""COMPUTED_VALUE"""),"None")</f>
        <v>None</v>
      </c>
    </row>
    <row r="1213" spans="1:8" ht="12.5">
      <c r="A1213" s="1" t="str">
        <f ca="1">IFERROR(__xludf.DUMMYFUNCTION("""COMPUTED_VALUE"""),"20200527OHLUC")</f>
        <v>20200527OHLUC</v>
      </c>
      <c r="B1213" s="1">
        <f ca="1">IFERROR(__xludf.DUMMYFUNCTION("""COMPUTED_VALUE"""),21)</f>
        <v>21</v>
      </c>
      <c r="C1213" s="1" t="str">
        <f ca="1">IFERROR(__xludf.DUMMYFUNCTION("""COMPUTED_VALUE"""),"Male")</f>
        <v>Male</v>
      </c>
      <c r="D1213" s="1"/>
      <c r="E1213" s="1" t="str">
        <f ca="1">IFERROR(__xludf.DUMMYFUNCTION("""COMPUTED_VALUE"""),"No Relation")</f>
        <v>No Relation</v>
      </c>
      <c r="F1213" s="1" t="str">
        <f ca="1">IFERROR(__xludf.DUMMYFUNCTION("""COMPUTED_VALUE"""),"Apprehended/Killed by Other")</f>
        <v>Apprehended/Killed by Other</v>
      </c>
      <c r="G1213" s="1" t="str">
        <f ca="1">IFERROR(__xludf.DUMMYFUNCTION("""COMPUTED_VALUE"""),"Yes")</f>
        <v>Yes</v>
      </c>
      <c r="H1213" s="1" t="str">
        <f ca="1">IFERROR(__xludf.DUMMYFUNCTION("""COMPUTED_VALUE"""),"Fatal")</f>
        <v>Fatal</v>
      </c>
    </row>
    <row r="1214" spans="1:8" ht="12.5">
      <c r="A1214" s="1" t="str">
        <f ca="1">IFERROR(__xludf.DUMMYFUNCTION("""COMPUTED_VALUE"""),"20200527OHLUC")</f>
        <v>20200527OHLUC</v>
      </c>
      <c r="B1214" s="1" t="str">
        <f ca="1">IFERROR(__xludf.DUMMYFUNCTION("""COMPUTED_VALUE"""),"Adult")</f>
        <v>Adult</v>
      </c>
      <c r="C1214" s="1" t="str">
        <f ca="1">IFERROR(__xludf.DUMMYFUNCTION("""COMPUTED_VALUE"""),"Male")</f>
        <v>Male</v>
      </c>
      <c r="D1214" s="1"/>
      <c r="E1214" s="1" t="str">
        <f ca="1">IFERROR(__xludf.DUMMYFUNCTION("""COMPUTED_VALUE"""),"No Relation")</f>
        <v>No Relation</v>
      </c>
      <c r="F1214" s="1" t="str">
        <f ca="1">IFERROR(__xludf.DUMMYFUNCTION("""COMPUTED_VALUE"""),"Surrendered")</f>
        <v>Surrendered</v>
      </c>
      <c r="G1214" s="1" t="str">
        <f ca="1">IFERROR(__xludf.DUMMYFUNCTION("""COMPUTED_VALUE"""),"No")</f>
        <v>No</v>
      </c>
      <c r="H1214" s="1" t="str">
        <f ca="1">IFERROR(__xludf.DUMMYFUNCTION("""COMPUTED_VALUE"""),"Wounded")</f>
        <v>Wounded</v>
      </c>
    </row>
    <row r="1215" spans="1:8" ht="12.5">
      <c r="A1215" s="1" t="str">
        <f ca="1">IFERROR(__xludf.DUMMYFUNCTION("""COMPUTED_VALUE"""),"20200525ALORM")</f>
        <v>20200525ALORM</v>
      </c>
      <c r="B1215" s="1"/>
      <c r="C1215" s="1" t="str">
        <f ca="1">IFERROR(__xludf.DUMMYFUNCTION("""COMPUTED_VALUE"""),"Male")</f>
        <v>Male</v>
      </c>
      <c r="D1215" s="1"/>
      <c r="E1215" s="1" t="str">
        <f ca="1">IFERROR(__xludf.DUMMYFUNCTION("""COMPUTED_VALUE"""),"No Relation")</f>
        <v>No Relation</v>
      </c>
      <c r="F1215" s="1" t="str">
        <f ca="1">IFERROR(__xludf.DUMMYFUNCTION("""COMPUTED_VALUE"""),"Fled/Escaped")</f>
        <v>Fled/Escaped</v>
      </c>
      <c r="G1215" s="1" t="str">
        <f ca="1">IFERROR(__xludf.DUMMYFUNCTION("""COMPUTED_VALUE"""),"No")</f>
        <v>No</v>
      </c>
      <c r="H1215" s="1" t="str">
        <f ca="1">IFERROR(__xludf.DUMMYFUNCTION("""COMPUTED_VALUE"""),"None")</f>
        <v>None</v>
      </c>
    </row>
    <row r="1216" spans="1:8" ht="12.5">
      <c r="A1216" s="1" t="str">
        <f ca="1">IFERROR(__xludf.DUMMYFUNCTION("""COMPUTED_VALUE"""),"20200522OHMIC")</f>
        <v>20200522OHMIC</v>
      </c>
      <c r="B1216" s="1"/>
      <c r="C1216" s="1"/>
      <c r="D1216" s="1"/>
      <c r="E1216" s="1" t="str">
        <f ca="1">IFERROR(__xludf.DUMMYFUNCTION("""COMPUTED_VALUE"""),"Unknown")</f>
        <v>Unknown</v>
      </c>
      <c r="F1216" s="1" t="str">
        <f ca="1">IFERROR(__xludf.DUMMYFUNCTION("""COMPUTED_VALUE"""),"Fled/Escaped")</f>
        <v>Fled/Escaped</v>
      </c>
      <c r="G1216" s="1" t="str">
        <f ca="1">IFERROR(__xludf.DUMMYFUNCTION("""COMPUTED_VALUE"""),"No")</f>
        <v>No</v>
      </c>
      <c r="H1216" s="1" t="str">
        <f ca="1">IFERROR(__xludf.DUMMYFUNCTION("""COMPUTED_VALUE"""),"None")</f>
        <v>None</v>
      </c>
    </row>
    <row r="1217" spans="1:8" ht="12.5">
      <c r="A1217" s="1" t="str">
        <f ca="1">IFERROR(__xludf.DUMMYFUNCTION("""COMPUTED_VALUE"""),"20200519VAWEM")</f>
        <v>20200519VAWEM</v>
      </c>
      <c r="B1217" s="1">
        <f ca="1">IFERROR(__xludf.DUMMYFUNCTION("""COMPUTED_VALUE"""),18)</f>
        <v>18</v>
      </c>
      <c r="C1217" s="1" t="str">
        <f ca="1">IFERROR(__xludf.DUMMYFUNCTION("""COMPUTED_VALUE"""),"Male")</f>
        <v>Male</v>
      </c>
      <c r="D1217" s="1"/>
      <c r="E1217" s="1" t="str">
        <f ca="1">IFERROR(__xludf.DUMMYFUNCTION("""COMPUTED_VALUE"""),"No Relation")</f>
        <v>No Relation</v>
      </c>
      <c r="F1217" s="1" t="str">
        <f ca="1">IFERROR(__xludf.DUMMYFUNCTION("""COMPUTED_VALUE"""),"Fled/Apprehended")</f>
        <v>Fled/Apprehended</v>
      </c>
      <c r="G1217" s="1" t="str">
        <f ca="1">IFERROR(__xludf.DUMMYFUNCTION("""COMPUTED_VALUE"""),"No")</f>
        <v>No</v>
      </c>
      <c r="H1217" s="1" t="str">
        <f ca="1">IFERROR(__xludf.DUMMYFUNCTION("""COMPUTED_VALUE"""),"None")</f>
        <v>None</v>
      </c>
    </row>
    <row r="1218" spans="1:8" ht="12.5">
      <c r="A1218" s="1" t="str">
        <f ca="1">IFERROR(__xludf.DUMMYFUNCTION("""COMPUTED_VALUE"""),"20200515NCSTC")</f>
        <v>20200515NCSTC</v>
      </c>
      <c r="B1218" s="1" t="str">
        <f ca="1">IFERROR(__xludf.DUMMYFUNCTION("""COMPUTED_VALUE"""),"Adult")</f>
        <v>Adult</v>
      </c>
      <c r="C1218" s="1" t="str">
        <f ca="1">IFERROR(__xludf.DUMMYFUNCTION("""COMPUTED_VALUE"""),"Male")</f>
        <v>Male</v>
      </c>
      <c r="D1218" s="1" t="str">
        <f ca="1">IFERROR(__xludf.DUMMYFUNCTION("""COMPUTED_VALUE"""),"White")</f>
        <v>White</v>
      </c>
      <c r="E1218" s="1" t="str">
        <f ca="1">IFERROR(__xludf.DUMMYFUNCTION("""COMPUTED_VALUE"""),"No Relation")</f>
        <v>No Relation</v>
      </c>
      <c r="F1218" s="1" t="str">
        <f ca="1">IFERROR(__xludf.DUMMYFUNCTION("""COMPUTED_VALUE"""),"Fled/Apprehended")</f>
        <v>Fled/Apprehended</v>
      </c>
      <c r="G1218" s="1" t="str">
        <f ca="1">IFERROR(__xludf.DUMMYFUNCTION("""COMPUTED_VALUE"""),"No")</f>
        <v>No</v>
      </c>
      <c r="H1218" s="1" t="str">
        <f ca="1">IFERROR(__xludf.DUMMYFUNCTION("""COMPUTED_VALUE"""),"None")</f>
        <v>None</v>
      </c>
    </row>
    <row r="1219" spans="1:8" ht="12.5">
      <c r="A1219" s="1" t="str">
        <f ca="1">IFERROR(__xludf.DUMMYFUNCTION("""COMPUTED_VALUE"""),"20200505CAGOV")</f>
        <v>20200505CAGOV</v>
      </c>
      <c r="B1219" s="1"/>
      <c r="C1219" s="1"/>
      <c r="D1219" s="1"/>
      <c r="E1219" s="1" t="str">
        <f ca="1">IFERROR(__xludf.DUMMYFUNCTION("""COMPUTED_VALUE"""),"Unknown")</f>
        <v>Unknown</v>
      </c>
      <c r="F1219" s="1" t="str">
        <f ca="1">IFERROR(__xludf.DUMMYFUNCTION("""COMPUTED_VALUE"""),"Fled/Escaped")</f>
        <v>Fled/Escaped</v>
      </c>
      <c r="G1219" s="1" t="str">
        <f ca="1">IFERROR(__xludf.DUMMYFUNCTION("""COMPUTED_VALUE"""),"No")</f>
        <v>No</v>
      </c>
      <c r="H1219" s="1" t="str">
        <f ca="1">IFERROR(__xludf.DUMMYFUNCTION("""COMPUTED_VALUE"""),"None")</f>
        <v>None</v>
      </c>
    </row>
    <row r="1220" spans="1:8" ht="12.5">
      <c r="A1220" s="1" t="str">
        <f ca="1">IFERROR(__xludf.DUMMYFUNCTION("""COMPUTED_VALUE"""),"20200419NCABR")</f>
        <v>20200419NCABR</v>
      </c>
      <c r="B1220" s="1">
        <f ca="1">IFERROR(__xludf.DUMMYFUNCTION("""COMPUTED_VALUE"""),24)</f>
        <v>24</v>
      </c>
      <c r="C1220" s="1" t="str">
        <f ca="1">IFERROR(__xludf.DUMMYFUNCTION("""COMPUTED_VALUE"""),"Male")</f>
        <v>Male</v>
      </c>
      <c r="D1220" s="1"/>
      <c r="E1220" s="1" t="str">
        <f ca="1">IFERROR(__xludf.DUMMYFUNCTION("""COMPUTED_VALUE"""),"No Relation")</f>
        <v>No Relation</v>
      </c>
      <c r="F1220" s="1" t="str">
        <f ca="1">IFERROR(__xludf.DUMMYFUNCTION("""COMPUTED_VALUE"""),"Fled/Apprehended")</f>
        <v>Fled/Apprehended</v>
      </c>
      <c r="G1220" s="1" t="str">
        <f ca="1">IFERROR(__xludf.DUMMYFUNCTION("""COMPUTED_VALUE"""),"No")</f>
        <v>No</v>
      </c>
      <c r="H1220" s="1" t="str">
        <f ca="1">IFERROR(__xludf.DUMMYFUNCTION("""COMPUTED_VALUE"""),"None")</f>
        <v>None</v>
      </c>
    </row>
    <row r="1221" spans="1:8" ht="12.5">
      <c r="A1221" s="1" t="str">
        <f ca="1">IFERROR(__xludf.DUMMYFUNCTION("""COMPUTED_VALUE"""),"20200413NEMOO")</f>
        <v>20200413NEMOO</v>
      </c>
      <c r="B1221" s="1"/>
      <c r="C1221" s="1" t="str">
        <f ca="1">IFERROR(__xludf.DUMMYFUNCTION("""COMPUTED_VALUE"""),"Male")</f>
        <v>Male</v>
      </c>
      <c r="D1221" s="1"/>
      <c r="E1221" s="1" t="str">
        <f ca="1">IFERROR(__xludf.DUMMYFUNCTION("""COMPUTED_VALUE"""),"No Relation")</f>
        <v>No Relation</v>
      </c>
      <c r="F1221" s="1" t="str">
        <f ca="1">IFERROR(__xludf.DUMMYFUNCTION("""COMPUTED_VALUE"""),"Fled/Escaped")</f>
        <v>Fled/Escaped</v>
      </c>
      <c r="G1221" s="1" t="str">
        <f ca="1">IFERROR(__xludf.DUMMYFUNCTION("""COMPUTED_VALUE"""),"No")</f>
        <v>No</v>
      </c>
      <c r="H1221" s="1" t="str">
        <f ca="1">IFERROR(__xludf.DUMMYFUNCTION("""COMPUTED_VALUE"""),"None")</f>
        <v>None</v>
      </c>
    </row>
    <row r="1222" spans="1:8" ht="12.5">
      <c r="A1222" s="1" t="str">
        <f ca="1">IFERROR(__xludf.DUMMYFUNCTION("""COMPUTED_VALUE"""),"20200330GANAS")</f>
        <v>20200330GANAS</v>
      </c>
      <c r="B1222" s="1"/>
      <c r="C1222" s="1"/>
      <c r="D1222" s="1"/>
      <c r="E1222" s="1" t="str">
        <f ca="1">IFERROR(__xludf.DUMMYFUNCTION("""COMPUTED_VALUE"""),"No Relation")</f>
        <v>No Relation</v>
      </c>
      <c r="F1222" s="1" t="str">
        <f ca="1">IFERROR(__xludf.DUMMYFUNCTION("""COMPUTED_VALUE"""),"Fled/Apprehended")</f>
        <v>Fled/Apprehended</v>
      </c>
      <c r="G1222" s="1" t="str">
        <f ca="1">IFERROR(__xludf.DUMMYFUNCTION("""COMPUTED_VALUE"""),"No")</f>
        <v>No</v>
      </c>
      <c r="H1222" s="1" t="str">
        <f ca="1">IFERROR(__xludf.DUMMYFUNCTION("""COMPUTED_VALUE"""),"None")</f>
        <v>None</v>
      </c>
    </row>
    <row r="1223" spans="1:8" ht="12.5">
      <c r="A1223" s="1" t="str">
        <f ca="1">IFERROR(__xludf.DUMMYFUNCTION("""COMPUTED_VALUE"""),"20200330GANAS")</f>
        <v>20200330GANAS</v>
      </c>
      <c r="B1223" s="1"/>
      <c r="C1223" s="1"/>
      <c r="D1223" s="1"/>
      <c r="E1223" s="1" t="str">
        <f ca="1">IFERROR(__xludf.DUMMYFUNCTION("""COMPUTED_VALUE"""),"No Relation")</f>
        <v>No Relation</v>
      </c>
      <c r="F1223" s="1" t="str">
        <f ca="1">IFERROR(__xludf.DUMMYFUNCTION("""COMPUTED_VALUE"""),"Fled/Apprehended")</f>
        <v>Fled/Apprehended</v>
      </c>
      <c r="G1223" s="1" t="str">
        <f ca="1">IFERROR(__xludf.DUMMYFUNCTION("""COMPUTED_VALUE"""),"No")</f>
        <v>No</v>
      </c>
      <c r="H1223" s="1" t="str">
        <f ca="1">IFERROR(__xludf.DUMMYFUNCTION("""COMPUTED_VALUE"""),"None")</f>
        <v>None</v>
      </c>
    </row>
    <row r="1224" spans="1:8" ht="12.5">
      <c r="A1224" s="1" t="str">
        <f ca="1">IFERROR(__xludf.DUMMYFUNCTION("""COMPUTED_VALUE"""),"20200324LAROM")</f>
        <v>20200324LAROM</v>
      </c>
      <c r="B1224" s="1" t="str">
        <f ca="1">IFERROR(__xludf.DUMMYFUNCTION("""COMPUTED_VALUE"""),"Adult")</f>
        <v>Adult</v>
      </c>
      <c r="C1224" s="1" t="str">
        <f ca="1">IFERROR(__xludf.DUMMYFUNCTION("""COMPUTED_VALUE"""),"Male")</f>
        <v>Male</v>
      </c>
      <c r="D1224" s="1"/>
      <c r="E1224" s="1" t="str">
        <f ca="1">IFERROR(__xludf.DUMMYFUNCTION("""COMPUTED_VALUE"""),"No Relation")</f>
        <v>No Relation</v>
      </c>
      <c r="F1224" s="1" t="str">
        <f ca="1">IFERROR(__xludf.DUMMYFUNCTION("""COMPUTED_VALUE"""),"Fled/Apprehended")</f>
        <v>Fled/Apprehended</v>
      </c>
      <c r="G1224" s="1" t="str">
        <f ca="1">IFERROR(__xludf.DUMMYFUNCTION("""COMPUTED_VALUE"""),"No")</f>
        <v>No</v>
      </c>
      <c r="H1224" s="1" t="str">
        <f ca="1">IFERROR(__xludf.DUMMYFUNCTION("""COMPUTED_VALUE"""),"None")</f>
        <v>None</v>
      </c>
    </row>
    <row r="1225" spans="1:8" ht="12.5">
      <c r="A1225" s="1" t="str">
        <f ca="1">IFERROR(__xludf.DUMMYFUNCTION("""COMPUTED_VALUE"""),"20200324LAROM")</f>
        <v>20200324LAROM</v>
      </c>
      <c r="B1225" s="1">
        <f ca="1">IFERROR(__xludf.DUMMYFUNCTION("""COMPUTED_VALUE"""),26)</f>
        <v>26</v>
      </c>
      <c r="C1225" s="1" t="str">
        <f ca="1">IFERROR(__xludf.DUMMYFUNCTION("""COMPUTED_VALUE"""),"Male")</f>
        <v>Male</v>
      </c>
      <c r="D1225" s="1"/>
      <c r="E1225" s="1" t="str">
        <f ca="1">IFERROR(__xludf.DUMMYFUNCTION("""COMPUTED_VALUE"""),"No Relation")</f>
        <v>No Relation</v>
      </c>
      <c r="F1225" s="1" t="str">
        <f ca="1">IFERROR(__xludf.DUMMYFUNCTION("""COMPUTED_VALUE"""),"Fled/Apprehended")</f>
        <v>Fled/Apprehended</v>
      </c>
      <c r="G1225" s="1" t="str">
        <f ca="1">IFERROR(__xludf.DUMMYFUNCTION("""COMPUTED_VALUE"""),"No")</f>
        <v>No</v>
      </c>
      <c r="H1225" s="1" t="str">
        <f ca="1">IFERROR(__xludf.DUMMYFUNCTION("""COMPUTED_VALUE"""),"None")</f>
        <v>None</v>
      </c>
    </row>
    <row r="1226" spans="1:8" ht="12.5">
      <c r="A1226" s="1" t="str">
        <f ca="1">IFERROR(__xludf.DUMMYFUNCTION("""COMPUTED_VALUE"""),"20200324LAROM")</f>
        <v>20200324LAROM</v>
      </c>
      <c r="B1226" s="1" t="str">
        <f ca="1">IFERROR(__xludf.DUMMYFUNCTION("""COMPUTED_VALUE"""),"Adult")</f>
        <v>Adult</v>
      </c>
      <c r="C1226" s="1" t="str">
        <f ca="1">IFERROR(__xludf.DUMMYFUNCTION("""COMPUTED_VALUE"""),"Male")</f>
        <v>Male</v>
      </c>
      <c r="D1226" s="1"/>
      <c r="E1226" s="1" t="str">
        <f ca="1">IFERROR(__xludf.DUMMYFUNCTION("""COMPUTED_VALUE"""),"No Relation")</f>
        <v>No Relation</v>
      </c>
      <c r="F1226" s="1" t="str">
        <f ca="1">IFERROR(__xludf.DUMMYFUNCTION("""COMPUTED_VALUE"""),"Fled/Apprehended")</f>
        <v>Fled/Apprehended</v>
      </c>
      <c r="G1226" s="1" t="str">
        <f ca="1">IFERROR(__xludf.DUMMYFUNCTION("""COMPUTED_VALUE"""),"No")</f>
        <v>No</v>
      </c>
      <c r="H1226" s="1" t="str">
        <f ca="1">IFERROR(__xludf.DUMMYFUNCTION("""COMPUTED_VALUE"""),"None")</f>
        <v>None</v>
      </c>
    </row>
    <row r="1227" spans="1:8" ht="12.5">
      <c r="A1227" s="1" t="str">
        <f ca="1">IFERROR(__xludf.DUMMYFUNCTION("""COMPUTED_VALUE"""),"20200318LABOS")</f>
        <v>20200318LABOS</v>
      </c>
      <c r="B1227" s="1" t="str">
        <f ca="1">IFERROR(__xludf.DUMMYFUNCTION("""COMPUTED_VALUE"""),"Teen")</f>
        <v>Teen</v>
      </c>
      <c r="C1227" s="1" t="str">
        <f ca="1">IFERROR(__xludf.DUMMYFUNCTION("""COMPUTED_VALUE"""),"Male")</f>
        <v>Male</v>
      </c>
      <c r="D1227" s="1"/>
      <c r="E1227" s="1" t="str">
        <f ca="1">IFERROR(__xludf.DUMMYFUNCTION("""COMPUTED_VALUE"""),"Unknown")</f>
        <v>Unknown</v>
      </c>
      <c r="F1227" s="1" t="str">
        <f ca="1">IFERROR(__xludf.DUMMYFUNCTION("""COMPUTED_VALUE"""),"Fled/Escaped")</f>
        <v>Fled/Escaped</v>
      </c>
      <c r="G1227" s="1" t="str">
        <f ca="1">IFERROR(__xludf.DUMMYFUNCTION("""COMPUTED_VALUE"""),"No")</f>
        <v>No</v>
      </c>
      <c r="H1227" s="1" t="str">
        <f ca="1">IFERROR(__xludf.DUMMYFUNCTION("""COMPUTED_VALUE"""),"None")</f>
        <v>None</v>
      </c>
    </row>
    <row r="1228" spans="1:8" ht="12.5">
      <c r="A1228" s="1" t="str">
        <f ca="1">IFERROR(__xludf.DUMMYFUNCTION("""COMPUTED_VALUE"""),"20200315TXATH")</f>
        <v>20200315TXATH</v>
      </c>
      <c r="B1228" s="1">
        <f ca="1">IFERROR(__xludf.DUMMYFUNCTION("""COMPUTED_VALUE"""),20)</f>
        <v>20</v>
      </c>
      <c r="C1228" s="1" t="str">
        <f ca="1">IFERROR(__xludf.DUMMYFUNCTION("""COMPUTED_VALUE"""),"Male")</f>
        <v>Male</v>
      </c>
      <c r="D1228" s="1" t="str">
        <f ca="1">IFERROR(__xludf.DUMMYFUNCTION("""COMPUTED_VALUE"""),"Black")</f>
        <v>Black</v>
      </c>
      <c r="E1228" s="1" t="str">
        <f ca="1">IFERROR(__xludf.DUMMYFUNCTION("""COMPUTED_VALUE"""),"Former Student")</f>
        <v>Former Student</v>
      </c>
      <c r="F1228" s="1" t="str">
        <f ca="1">IFERROR(__xludf.DUMMYFUNCTION("""COMPUTED_VALUE"""),"Fled/Apprehended")</f>
        <v>Fled/Apprehended</v>
      </c>
      <c r="G1228" s="1" t="str">
        <f ca="1">IFERROR(__xludf.DUMMYFUNCTION("""COMPUTED_VALUE"""),"No")</f>
        <v>No</v>
      </c>
      <c r="H1228" s="1" t="str">
        <f ca="1">IFERROR(__xludf.DUMMYFUNCTION("""COMPUTED_VALUE"""),"None")</f>
        <v>None</v>
      </c>
    </row>
    <row r="1229" spans="1:8" ht="12.5">
      <c r="A1229" s="1" t="str">
        <f ca="1">IFERROR(__xludf.DUMMYFUNCTION("""COMPUTED_VALUE"""),"20200313TNPIR")</f>
        <v>20200313TNPIR</v>
      </c>
      <c r="B1229" s="1" t="str">
        <f ca="1">IFERROR(__xludf.DUMMYFUNCTION("""COMPUTED_VALUE"""),"Adult")</f>
        <v>Adult</v>
      </c>
      <c r="C1229" s="1" t="str">
        <f ca="1">IFERROR(__xludf.DUMMYFUNCTION("""COMPUTED_VALUE"""),"Male")</f>
        <v>Male</v>
      </c>
      <c r="D1229" s="1"/>
      <c r="E1229" s="1" t="str">
        <f ca="1">IFERROR(__xludf.DUMMYFUNCTION("""COMPUTED_VALUE"""),"Police Officer/SRO")</f>
        <v>Police Officer/SRO</v>
      </c>
      <c r="F1229" s="1" t="str">
        <f ca="1">IFERROR(__xludf.DUMMYFUNCTION("""COMPUTED_VALUE"""),"Law Enforcement")</f>
        <v>Law Enforcement</v>
      </c>
      <c r="G1229" s="1" t="str">
        <f ca="1">IFERROR(__xludf.DUMMYFUNCTION("""COMPUTED_VALUE"""),"No")</f>
        <v>No</v>
      </c>
      <c r="H1229" s="1" t="str">
        <f ca="1">IFERROR(__xludf.DUMMYFUNCTION("""COMPUTED_VALUE"""),"None")</f>
        <v>None</v>
      </c>
    </row>
    <row r="1230" spans="1:8" ht="12.5">
      <c r="A1230" s="1" t="str">
        <f ca="1">IFERROR(__xludf.DUMMYFUNCTION("""COMPUTED_VALUE"""),"20200310PASHN")</f>
        <v>20200310PASHN</v>
      </c>
      <c r="B1230" s="1">
        <f ca="1">IFERROR(__xludf.DUMMYFUNCTION("""COMPUTED_VALUE"""),41)</f>
        <v>41</v>
      </c>
      <c r="C1230" s="1" t="str">
        <f ca="1">IFERROR(__xludf.DUMMYFUNCTION("""COMPUTED_VALUE"""),"Male")</f>
        <v>Male</v>
      </c>
      <c r="D1230" s="1"/>
      <c r="E1230" s="1" t="str">
        <f ca="1">IFERROR(__xludf.DUMMYFUNCTION("""COMPUTED_VALUE"""),"Unknown")</f>
        <v>Unknown</v>
      </c>
      <c r="F1230" s="1" t="str">
        <f ca="1">IFERROR(__xludf.DUMMYFUNCTION("""COMPUTED_VALUE"""),"Fled/Apprehended")</f>
        <v>Fled/Apprehended</v>
      </c>
      <c r="G1230" s="1" t="str">
        <f ca="1">IFERROR(__xludf.DUMMYFUNCTION("""COMPUTED_VALUE"""),"No")</f>
        <v>No</v>
      </c>
      <c r="H1230" s="1" t="str">
        <f ca="1">IFERROR(__xludf.DUMMYFUNCTION("""COMPUTED_VALUE"""),"None")</f>
        <v>None</v>
      </c>
    </row>
    <row r="1231" spans="1:8" ht="12.5">
      <c r="A1231" s="1" t="str">
        <f ca="1">IFERROR(__xludf.DUMMYFUNCTION("""COMPUTED_VALUE"""),"20200305FLSAW")</f>
        <v>20200305FLSAW</v>
      </c>
      <c r="B1231" s="1">
        <f ca="1">IFERROR(__xludf.DUMMYFUNCTION("""COMPUTED_VALUE"""),55)</f>
        <v>55</v>
      </c>
      <c r="C1231" s="1" t="str">
        <f ca="1">IFERROR(__xludf.DUMMYFUNCTION("""COMPUTED_VALUE"""),"Male")</f>
        <v>Male</v>
      </c>
      <c r="D1231" s="1" t="str">
        <f ca="1">IFERROR(__xludf.DUMMYFUNCTION("""COMPUTED_VALUE"""),"Hispanic")</f>
        <v>Hispanic</v>
      </c>
      <c r="E1231" s="1" t="str">
        <f ca="1">IFERROR(__xludf.DUMMYFUNCTION("""COMPUTED_VALUE"""),"Security Guard")</f>
        <v>Security Guard</v>
      </c>
      <c r="F1231" s="1" t="str">
        <f ca="1">IFERROR(__xludf.DUMMYFUNCTION("""COMPUTED_VALUE"""),"Fled/Apprehended")</f>
        <v>Fled/Apprehended</v>
      </c>
      <c r="G1231" s="1" t="str">
        <f ca="1">IFERROR(__xludf.DUMMYFUNCTION("""COMPUTED_VALUE"""),"No")</f>
        <v>No</v>
      </c>
      <c r="H1231" s="1" t="str">
        <f ca="1">IFERROR(__xludf.DUMMYFUNCTION("""COMPUTED_VALUE"""),"None")</f>
        <v>None</v>
      </c>
    </row>
    <row r="1232" spans="1:8" ht="12.5">
      <c r="A1232" s="1" t="str">
        <f ca="1">IFERROR(__xludf.DUMMYFUNCTION("""COMPUTED_VALUE"""),"20200302TXNOF")</f>
        <v>20200302TXNOF</v>
      </c>
      <c r="B1232" s="1" t="str">
        <f ca="1">IFERROR(__xludf.DUMMYFUNCTION("""COMPUTED_VALUE"""),"Teen")</f>
        <v>Teen</v>
      </c>
      <c r="C1232" s="1" t="str">
        <f ca="1">IFERROR(__xludf.DUMMYFUNCTION("""COMPUTED_VALUE"""),"Male")</f>
        <v>Male</v>
      </c>
      <c r="D1232" s="1"/>
      <c r="E1232" s="1" t="str">
        <f ca="1">IFERROR(__xludf.DUMMYFUNCTION("""COMPUTED_VALUE"""),"Student")</f>
        <v>Student</v>
      </c>
      <c r="F1232" s="1" t="str">
        <f ca="1">IFERROR(__xludf.DUMMYFUNCTION("""COMPUTED_VALUE"""),"Apprehended/Killed by LE")</f>
        <v>Apprehended/Killed by LE</v>
      </c>
      <c r="G1232" s="1" t="str">
        <f ca="1">IFERROR(__xludf.DUMMYFUNCTION("""COMPUTED_VALUE"""),"No")</f>
        <v>No</v>
      </c>
      <c r="H1232" s="1" t="str">
        <f ca="1">IFERROR(__xludf.DUMMYFUNCTION("""COMPUTED_VALUE"""),"None")</f>
        <v>None</v>
      </c>
    </row>
    <row r="1233" spans="1:8" ht="12.5">
      <c r="A1233" s="1" t="str">
        <f ca="1">IFERROR(__xludf.DUMMYFUNCTION("""COMPUTED_VALUE"""),"20200227FLJET")</f>
        <v>20200227FLJET</v>
      </c>
      <c r="B1233" s="1">
        <f ca="1">IFERROR(__xludf.DUMMYFUNCTION("""COMPUTED_VALUE"""),69)</f>
        <v>69</v>
      </c>
      <c r="C1233" s="1" t="str">
        <f ca="1">IFERROR(__xludf.DUMMYFUNCTION("""COMPUTED_VALUE"""),"Male")</f>
        <v>Male</v>
      </c>
      <c r="D1233" s="1"/>
      <c r="E1233" s="1" t="str">
        <f ca="1">IFERROR(__xludf.DUMMYFUNCTION("""COMPUTED_VALUE"""),"Police Officer/SRO")</f>
        <v>Police Officer/SRO</v>
      </c>
      <c r="F1233" s="1" t="str">
        <f ca="1">IFERROR(__xludf.DUMMYFUNCTION("""COMPUTED_VALUE"""),"Law Enforcement")</f>
        <v>Law Enforcement</v>
      </c>
      <c r="G1233" s="1" t="str">
        <f ca="1">IFERROR(__xludf.DUMMYFUNCTION("""COMPUTED_VALUE"""),"No")</f>
        <v>No</v>
      </c>
      <c r="H1233" s="1" t="str">
        <f ca="1">IFERROR(__xludf.DUMMYFUNCTION("""COMPUTED_VALUE"""),"Wounded")</f>
        <v>Wounded</v>
      </c>
    </row>
    <row r="1234" spans="1:8" ht="12.5">
      <c r="A1234" s="1" t="str">
        <f ca="1">IFERROR(__xludf.DUMMYFUNCTION("""COMPUTED_VALUE"""),"20200221NMCEA")</f>
        <v>20200221NMCEA</v>
      </c>
      <c r="B1234" s="1"/>
      <c r="C1234" s="1"/>
      <c r="D1234" s="1"/>
      <c r="E1234" s="1" t="str">
        <f ca="1">IFERROR(__xludf.DUMMYFUNCTION("""COMPUTED_VALUE"""),"Unknown")</f>
        <v>Unknown</v>
      </c>
      <c r="F1234" s="1" t="str">
        <f ca="1">IFERROR(__xludf.DUMMYFUNCTION("""COMPUTED_VALUE"""),"Fled/Escaped")</f>
        <v>Fled/Escaped</v>
      </c>
      <c r="G1234" s="1" t="str">
        <f ca="1">IFERROR(__xludf.DUMMYFUNCTION("""COMPUTED_VALUE"""),"No")</f>
        <v>No</v>
      </c>
      <c r="H1234" s="1" t="str">
        <f ca="1">IFERROR(__xludf.DUMMYFUNCTION("""COMPUTED_VALUE"""),"None")</f>
        <v>None</v>
      </c>
    </row>
    <row r="1235" spans="1:8" ht="12.5">
      <c r="A1235" s="1" t="str">
        <f ca="1">IFERROR(__xludf.DUMMYFUNCTION("""COMPUTED_VALUE"""),"20200215DCDUW")</f>
        <v>20200215DCDUW</v>
      </c>
      <c r="B1235" s="1"/>
      <c r="C1235" s="1"/>
      <c r="D1235" s="1"/>
      <c r="E1235" s="1" t="str">
        <f ca="1">IFERROR(__xludf.DUMMYFUNCTION("""COMPUTED_VALUE"""),"Unknown")</f>
        <v>Unknown</v>
      </c>
      <c r="F1235" s="1" t="str">
        <f ca="1">IFERROR(__xludf.DUMMYFUNCTION("""COMPUTED_VALUE"""),"Fled/Escaped")</f>
        <v>Fled/Escaped</v>
      </c>
      <c r="G1235" s="1" t="str">
        <f ca="1">IFERROR(__xludf.DUMMYFUNCTION("""COMPUTED_VALUE"""),"No")</f>
        <v>No</v>
      </c>
      <c r="H1235" s="1" t="str">
        <f ca="1">IFERROR(__xludf.DUMMYFUNCTION("""COMPUTED_VALUE"""),"None")</f>
        <v>None</v>
      </c>
    </row>
    <row r="1236" spans="1:8" ht="12.5">
      <c r="A1236" s="1" t="str">
        <f ca="1">IFERROR(__xludf.DUMMYFUNCTION("""COMPUTED_VALUE"""),"20200212MOJOF")</f>
        <v>20200212MOJOF</v>
      </c>
      <c r="B1236" s="1" t="str">
        <f ca="1">IFERROR(__xludf.DUMMYFUNCTION("""COMPUTED_VALUE"""),"Adult")</f>
        <v>Adult</v>
      </c>
      <c r="C1236" s="1" t="str">
        <f ca="1">IFERROR(__xludf.DUMMYFUNCTION("""COMPUTED_VALUE"""),"Male")</f>
        <v>Male</v>
      </c>
      <c r="D1236" s="1"/>
      <c r="E1236" s="1" t="str">
        <f ca="1">IFERROR(__xludf.DUMMYFUNCTION("""COMPUTED_VALUE"""),"Parent")</f>
        <v>Parent</v>
      </c>
      <c r="F1236" s="1" t="str">
        <f ca="1">IFERROR(__xludf.DUMMYFUNCTION("""COMPUTED_VALUE"""),"Fled/Escaped")</f>
        <v>Fled/Escaped</v>
      </c>
      <c r="G1236" s="1" t="str">
        <f ca="1">IFERROR(__xludf.DUMMYFUNCTION("""COMPUTED_VALUE"""),"No")</f>
        <v>No</v>
      </c>
      <c r="H1236" s="1" t="str">
        <f ca="1">IFERROR(__xludf.DUMMYFUNCTION("""COMPUTED_VALUE"""),"None")</f>
        <v>None</v>
      </c>
    </row>
    <row r="1237" spans="1:8" ht="12.5">
      <c r="A1237" s="1" t="str">
        <f ca="1">IFERROR(__xludf.DUMMYFUNCTION("""COMPUTED_VALUE"""),"20200205NHSEC")</f>
        <v>20200205NHSEC</v>
      </c>
      <c r="B1237" s="1">
        <f ca="1">IFERROR(__xludf.DUMMYFUNCTION("""COMPUTED_VALUE"""),17)</f>
        <v>17</v>
      </c>
      <c r="C1237" s="1" t="str">
        <f ca="1">IFERROR(__xludf.DUMMYFUNCTION("""COMPUTED_VALUE"""),"Male")</f>
        <v>Male</v>
      </c>
      <c r="D1237" s="1"/>
      <c r="E1237" s="1" t="str">
        <f ca="1">IFERROR(__xludf.DUMMYFUNCTION("""COMPUTED_VALUE"""),"Student")</f>
        <v>Student</v>
      </c>
      <c r="F1237" s="1" t="str">
        <f ca="1">IFERROR(__xludf.DUMMYFUNCTION("""COMPUTED_VALUE"""),"Suicide")</f>
        <v>Suicide</v>
      </c>
      <c r="G1237" s="1" t="str">
        <f ca="1">IFERROR(__xludf.DUMMYFUNCTION("""COMPUTED_VALUE"""),"Yes")</f>
        <v>Yes</v>
      </c>
      <c r="H1237" s="1" t="str">
        <f ca="1">IFERROR(__xludf.DUMMYFUNCTION("""COMPUTED_VALUE"""),"Suicide")</f>
        <v>Suicide</v>
      </c>
    </row>
    <row r="1238" spans="1:8" ht="12.5">
      <c r="A1238" s="1" t="str">
        <f ca="1">IFERROR(__xludf.DUMMYFUNCTION("""COMPUTED_VALUE"""),"20200204LABEA")</f>
        <v>20200204LABEA</v>
      </c>
      <c r="B1238" s="1">
        <f ca="1">IFERROR(__xludf.DUMMYFUNCTION("""COMPUTED_VALUE"""),17)</f>
        <v>17</v>
      </c>
      <c r="C1238" s="1" t="str">
        <f ca="1">IFERROR(__xludf.DUMMYFUNCTION("""COMPUTED_VALUE"""),"Male")</f>
        <v>Male</v>
      </c>
      <c r="D1238" s="1" t="str">
        <f ca="1">IFERROR(__xludf.DUMMYFUNCTION("""COMPUTED_VALUE"""),"Black")</f>
        <v>Black</v>
      </c>
      <c r="E1238" s="1" t="str">
        <f ca="1">IFERROR(__xludf.DUMMYFUNCTION("""COMPUTED_VALUE"""),"Nonstudent Using Athletic Facilities/Attending Game")</f>
        <v>Nonstudent Using Athletic Facilities/Attending Game</v>
      </c>
      <c r="F1238" s="1" t="str">
        <f ca="1">IFERROR(__xludf.DUMMYFUNCTION("""COMPUTED_VALUE"""),"Apprehended/Killed by SRO")</f>
        <v>Apprehended/Killed by SRO</v>
      </c>
      <c r="G1238" s="1" t="str">
        <f ca="1">IFERROR(__xludf.DUMMYFUNCTION("""COMPUTED_VALUE"""),"No")</f>
        <v>No</v>
      </c>
      <c r="H1238" s="1" t="str">
        <f ca="1">IFERROR(__xludf.DUMMYFUNCTION("""COMPUTED_VALUE"""),"None")</f>
        <v>None</v>
      </c>
    </row>
    <row r="1239" spans="1:8" ht="12.5">
      <c r="A1239" s="1" t="str">
        <f ca="1">IFERROR(__xludf.DUMMYFUNCTION("""COMPUTED_VALUE"""),"20200203FLGEJ")</f>
        <v>20200203FLGEJ</v>
      </c>
      <c r="B1239" s="1"/>
      <c r="C1239" s="1"/>
      <c r="D1239" s="1"/>
      <c r="E1239" s="1" t="str">
        <f ca="1">IFERROR(__xludf.DUMMYFUNCTION("""COMPUTED_VALUE"""),"No Relation")</f>
        <v>No Relation</v>
      </c>
      <c r="F1239" s="1" t="str">
        <f ca="1">IFERROR(__xludf.DUMMYFUNCTION("""COMPUTED_VALUE"""),"Fled/Escaped")</f>
        <v>Fled/Escaped</v>
      </c>
      <c r="G1239" s="1" t="str">
        <f ca="1">IFERROR(__xludf.DUMMYFUNCTION("""COMPUTED_VALUE"""),"No")</f>
        <v>No</v>
      </c>
      <c r="H1239" s="1" t="str">
        <f ca="1">IFERROR(__xludf.DUMMYFUNCTION("""COMPUTED_VALUE"""),"None")</f>
        <v>None</v>
      </c>
    </row>
    <row r="1240" spans="1:8" ht="12.5">
      <c r="A1240" s="1" t="str">
        <f ca="1">IFERROR(__xludf.DUMMYFUNCTION("""COMPUTED_VALUE"""),"20200201TXHIH")</f>
        <v>20200201TXHIH</v>
      </c>
      <c r="B1240" s="1" t="str">
        <f ca="1">IFERROR(__xludf.DUMMYFUNCTION("""COMPUTED_VALUE"""),"Adult")</f>
        <v>Adult</v>
      </c>
      <c r="C1240" s="1" t="str">
        <f ca="1">IFERROR(__xludf.DUMMYFUNCTION("""COMPUTED_VALUE"""),"Male")</f>
        <v>Male</v>
      </c>
      <c r="D1240" s="1"/>
      <c r="E1240" s="1" t="str">
        <f ca="1">IFERROR(__xludf.DUMMYFUNCTION("""COMPUTED_VALUE"""),"No Relation")</f>
        <v>No Relation</v>
      </c>
      <c r="F1240" s="1" t="str">
        <f ca="1">IFERROR(__xludf.DUMMYFUNCTION("""COMPUTED_VALUE"""),"Fled/Escaped")</f>
        <v>Fled/Escaped</v>
      </c>
      <c r="G1240" s="1" t="str">
        <f ca="1">IFERROR(__xludf.DUMMYFUNCTION("""COMPUTED_VALUE"""),"No")</f>
        <v>No</v>
      </c>
      <c r="H1240" s="1" t="str">
        <f ca="1">IFERROR(__xludf.DUMMYFUNCTION("""COMPUTED_VALUE"""),"None")</f>
        <v>None</v>
      </c>
    </row>
    <row r="1241" spans="1:8" ht="12.5">
      <c r="A1241" s="1" t="str">
        <f ca="1">IFERROR(__xludf.DUMMYFUNCTION("""COMPUTED_VALUE"""),"20200131CADEA")</f>
        <v>20200131CADEA</v>
      </c>
      <c r="B1241" s="1">
        <f ca="1">IFERROR(__xludf.DUMMYFUNCTION("""COMPUTED_VALUE"""),15)</f>
        <v>15</v>
      </c>
      <c r="C1241" s="1" t="str">
        <f ca="1">IFERROR(__xludf.DUMMYFUNCTION("""COMPUTED_VALUE"""),"Male")</f>
        <v>Male</v>
      </c>
      <c r="D1241" s="1"/>
      <c r="E1241" s="1" t="str">
        <f ca="1">IFERROR(__xludf.DUMMYFUNCTION("""COMPUTED_VALUE"""),"Unknown")</f>
        <v>Unknown</v>
      </c>
      <c r="F1241" s="1" t="str">
        <f ca="1">IFERROR(__xludf.DUMMYFUNCTION("""COMPUTED_VALUE"""),"Fled/Apprehended")</f>
        <v>Fled/Apprehended</v>
      </c>
      <c r="G1241" s="1" t="str">
        <f ca="1">IFERROR(__xludf.DUMMYFUNCTION("""COMPUTED_VALUE"""),"No")</f>
        <v>No</v>
      </c>
      <c r="H1241" s="1" t="str">
        <f ca="1">IFERROR(__xludf.DUMMYFUNCTION("""COMPUTED_VALUE"""),"None")</f>
        <v>None</v>
      </c>
    </row>
    <row r="1242" spans="1:8" ht="12.5">
      <c r="A1242" s="1" t="str">
        <f ca="1">IFERROR(__xludf.DUMMYFUNCTION("""COMPUTED_VALUE"""),"20200128TXLUL")</f>
        <v>20200128TXLUL</v>
      </c>
      <c r="B1242" s="1">
        <f ca="1">IFERROR(__xludf.DUMMYFUNCTION("""COMPUTED_VALUE"""),17)</f>
        <v>17</v>
      </c>
      <c r="C1242" s="1" t="str">
        <f ca="1">IFERROR(__xludf.DUMMYFUNCTION("""COMPUTED_VALUE"""),"Male")</f>
        <v>Male</v>
      </c>
      <c r="D1242" s="1" t="str">
        <f ca="1">IFERROR(__xludf.DUMMYFUNCTION("""COMPUTED_VALUE"""),"Black")</f>
        <v>Black</v>
      </c>
      <c r="E1242" s="1" t="str">
        <f ca="1">IFERROR(__xludf.DUMMYFUNCTION("""COMPUTED_VALUE"""),"No Relation")</f>
        <v>No Relation</v>
      </c>
      <c r="F1242" s="1" t="str">
        <f ca="1">IFERROR(__xludf.DUMMYFUNCTION("""COMPUTED_VALUE"""),"Fled/Apprehended")</f>
        <v>Fled/Apprehended</v>
      </c>
      <c r="G1242" s="1" t="str">
        <f ca="1">IFERROR(__xludf.DUMMYFUNCTION("""COMPUTED_VALUE"""),"No")</f>
        <v>No</v>
      </c>
      <c r="H1242" s="1" t="str">
        <f ca="1">IFERROR(__xludf.DUMMYFUNCTION("""COMPUTED_VALUE"""),"None")</f>
        <v>None</v>
      </c>
    </row>
    <row r="1243" spans="1:8" ht="12.5">
      <c r="A1243" s="1" t="str">
        <f ca="1">IFERROR(__xludf.DUMMYFUNCTION("""COMPUTED_VALUE"""),"20200128TNWHM")</f>
        <v>20200128TNWHM</v>
      </c>
      <c r="B1243" s="1">
        <f ca="1">IFERROR(__xludf.DUMMYFUNCTION("""COMPUTED_VALUE"""),18)</f>
        <v>18</v>
      </c>
      <c r="C1243" s="1" t="str">
        <f ca="1">IFERROR(__xludf.DUMMYFUNCTION("""COMPUTED_VALUE"""),"Male")</f>
        <v>Male</v>
      </c>
      <c r="D1243" s="1" t="str">
        <f ca="1">IFERROR(__xludf.DUMMYFUNCTION("""COMPUTED_VALUE"""),"Black")</f>
        <v>Black</v>
      </c>
      <c r="E1243" s="1" t="str">
        <f ca="1">IFERROR(__xludf.DUMMYFUNCTION("""COMPUTED_VALUE"""),"Unknown")</f>
        <v>Unknown</v>
      </c>
      <c r="F1243" s="1" t="str">
        <f ca="1">IFERROR(__xludf.DUMMYFUNCTION("""COMPUTED_VALUE"""),"Fled/Escaped")</f>
        <v>Fled/Escaped</v>
      </c>
      <c r="G1243" s="1" t="str">
        <f ca="1">IFERROR(__xludf.DUMMYFUNCTION("""COMPUTED_VALUE"""),"No")</f>
        <v>No</v>
      </c>
      <c r="H1243" s="1" t="str">
        <f ca="1">IFERROR(__xludf.DUMMYFUNCTION("""COMPUTED_VALUE"""),"None")</f>
        <v>None</v>
      </c>
    </row>
    <row r="1244" spans="1:8" ht="12.5">
      <c r="A1244" s="1" t="str">
        <f ca="1">IFERROR(__xludf.DUMMYFUNCTION("""COMPUTED_VALUE"""),"20200128NYMAQ")</f>
        <v>20200128NYMAQ</v>
      </c>
      <c r="B1244" s="1">
        <f ca="1">IFERROR(__xludf.DUMMYFUNCTION("""COMPUTED_VALUE"""),16)</f>
        <v>16</v>
      </c>
      <c r="C1244" s="1" t="str">
        <f ca="1">IFERROR(__xludf.DUMMYFUNCTION("""COMPUTED_VALUE"""),"Male")</f>
        <v>Male</v>
      </c>
      <c r="D1244" s="1"/>
      <c r="E1244" s="1" t="str">
        <f ca="1">IFERROR(__xludf.DUMMYFUNCTION("""COMPUTED_VALUE"""),"Student")</f>
        <v>Student</v>
      </c>
      <c r="F1244" s="1" t="str">
        <f ca="1">IFERROR(__xludf.DUMMYFUNCTION("""COMPUTED_VALUE"""),"Surrendered")</f>
        <v>Surrendered</v>
      </c>
      <c r="G1244" s="1" t="str">
        <f ca="1">IFERROR(__xludf.DUMMYFUNCTION("""COMPUTED_VALUE"""),"No")</f>
        <v>No</v>
      </c>
      <c r="H1244" s="1" t="str">
        <f ca="1">IFERROR(__xludf.DUMMYFUNCTION("""COMPUTED_VALUE"""),"Wounded")</f>
        <v>Wounded</v>
      </c>
    </row>
    <row r="1245" spans="1:8" ht="12.5">
      <c r="A1245" s="1" t="str">
        <f ca="1">IFERROR(__xludf.DUMMYFUNCTION("""COMPUTED_VALUE"""),"20200127WAROY")</f>
        <v>20200127WAROY</v>
      </c>
      <c r="B1245" s="1">
        <f ca="1">IFERROR(__xludf.DUMMYFUNCTION("""COMPUTED_VALUE"""),18)</f>
        <v>18</v>
      </c>
      <c r="C1245" s="1" t="str">
        <f ca="1">IFERROR(__xludf.DUMMYFUNCTION("""COMPUTED_VALUE"""),"Male")</f>
        <v>Male</v>
      </c>
      <c r="D1245" s="1" t="str">
        <f ca="1">IFERROR(__xludf.DUMMYFUNCTION("""COMPUTED_VALUE"""),"Hispanic")</f>
        <v>Hispanic</v>
      </c>
      <c r="E1245" s="1" t="str">
        <f ca="1">IFERROR(__xludf.DUMMYFUNCTION("""COMPUTED_VALUE"""),"No Relation")</f>
        <v>No Relation</v>
      </c>
      <c r="F1245" s="1" t="str">
        <f ca="1">IFERROR(__xludf.DUMMYFUNCTION("""COMPUTED_VALUE"""),"Fled/Apprehended")</f>
        <v>Fled/Apprehended</v>
      </c>
      <c r="G1245" s="1" t="str">
        <f ca="1">IFERROR(__xludf.DUMMYFUNCTION("""COMPUTED_VALUE"""),"No")</f>
        <v>No</v>
      </c>
      <c r="H1245" s="1" t="str">
        <f ca="1">IFERROR(__xludf.DUMMYFUNCTION("""COMPUTED_VALUE"""),"None")</f>
        <v>None</v>
      </c>
    </row>
    <row r="1246" spans="1:8" ht="12.5">
      <c r="A1246" s="1" t="str">
        <f ca="1">IFERROR(__xludf.DUMMYFUNCTION("""COMPUTED_VALUE"""),"20200123CAOXO")</f>
        <v>20200123CAOXO</v>
      </c>
      <c r="B1246" s="1"/>
      <c r="C1246" s="1"/>
      <c r="D1246" s="1"/>
      <c r="E1246" s="1" t="str">
        <f ca="1">IFERROR(__xludf.DUMMYFUNCTION("""COMPUTED_VALUE"""),"No Relation")</f>
        <v>No Relation</v>
      </c>
      <c r="F1246" s="1" t="str">
        <f ca="1">IFERROR(__xludf.DUMMYFUNCTION("""COMPUTED_VALUE"""),"Fled/Escaped")</f>
        <v>Fled/Escaped</v>
      </c>
      <c r="G1246" s="1" t="str">
        <f ca="1">IFERROR(__xludf.DUMMYFUNCTION("""COMPUTED_VALUE"""),"No")</f>
        <v>No</v>
      </c>
      <c r="H1246" s="1" t="str">
        <f ca="1">IFERROR(__xludf.DUMMYFUNCTION("""COMPUTED_VALUE"""),"None")</f>
        <v>None</v>
      </c>
    </row>
    <row r="1247" spans="1:8" ht="12.5">
      <c r="A1247" s="1" t="str">
        <f ca="1">IFERROR(__xludf.DUMMYFUNCTION("""COMPUTED_VALUE"""),"20200121NEPAL")</f>
        <v>20200121NEPAL</v>
      </c>
      <c r="B1247" s="1"/>
      <c r="C1247" s="1"/>
      <c r="D1247" s="1"/>
      <c r="E1247" s="1" t="str">
        <f ca="1">IFERROR(__xludf.DUMMYFUNCTION("""COMPUTED_VALUE"""),"Unknown")</f>
        <v>Unknown</v>
      </c>
      <c r="F1247" s="1" t="str">
        <f ca="1">IFERROR(__xludf.DUMMYFUNCTION("""COMPUTED_VALUE"""),"Fled/Escaped")</f>
        <v>Fled/Escaped</v>
      </c>
      <c r="G1247" s="1" t="str">
        <f ca="1">IFERROR(__xludf.DUMMYFUNCTION("""COMPUTED_VALUE"""),"No")</f>
        <v>No</v>
      </c>
      <c r="H1247" s="1" t="str">
        <f ca="1">IFERROR(__xludf.DUMMYFUNCTION("""COMPUTED_VALUE"""),"None")</f>
        <v>None</v>
      </c>
    </row>
    <row r="1248" spans="1:8" ht="12.5">
      <c r="A1248" s="1" t="str">
        <f ca="1">IFERROR(__xludf.DUMMYFUNCTION("""COMPUTED_VALUE"""),"20200121ILLIC")</f>
        <v>20200121ILLIC</v>
      </c>
      <c r="B1248" s="1"/>
      <c r="C1248" s="1" t="str">
        <f ca="1">IFERROR(__xludf.DUMMYFUNCTION("""COMPUTED_VALUE"""),"Male")</f>
        <v>Male</v>
      </c>
      <c r="D1248" s="1"/>
      <c r="E1248" s="1" t="str">
        <f ca="1">IFERROR(__xludf.DUMMYFUNCTION("""COMPUTED_VALUE"""),"Unknown")</f>
        <v>Unknown</v>
      </c>
      <c r="F1248" s="1" t="str">
        <f ca="1">IFERROR(__xludf.DUMMYFUNCTION("""COMPUTED_VALUE"""),"Fled/Escaped")</f>
        <v>Fled/Escaped</v>
      </c>
      <c r="G1248" s="1" t="str">
        <f ca="1">IFERROR(__xludf.DUMMYFUNCTION("""COMPUTED_VALUE"""),"No")</f>
        <v>No</v>
      </c>
      <c r="H1248" s="1" t="str">
        <f ca="1">IFERROR(__xludf.DUMMYFUNCTION("""COMPUTED_VALUE"""),"None")</f>
        <v>None</v>
      </c>
    </row>
    <row r="1249" spans="1:8" ht="12.5">
      <c r="A1249" s="1" t="str">
        <f ca="1">IFERROR(__xludf.DUMMYFUNCTION("""COMPUTED_VALUE"""),"20200119TXNOF")</f>
        <v>20200119TXNOF</v>
      </c>
      <c r="B1249" s="1" t="str">
        <f ca="1">IFERROR(__xludf.DUMMYFUNCTION("""COMPUTED_VALUE"""),"Adult")</f>
        <v>Adult</v>
      </c>
      <c r="C1249" s="1" t="str">
        <f ca="1">IFERROR(__xludf.DUMMYFUNCTION("""COMPUTED_VALUE"""),"Male")</f>
        <v>Male</v>
      </c>
      <c r="D1249" s="1"/>
      <c r="E1249" s="1" t="str">
        <f ca="1">IFERROR(__xludf.DUMMYFUNCTION("""COMPUTED_VALUE"""),"No Relation")</f>
        <v>No Relation</v>
      </c>
      <c r="F1249" s="1" t="str">
        <f ca="1">IFERROR(__xludf.DUMMYFUNCTION("""COMPUTED_VALUE"""),"Fled/Escaped")</f>
        <v>Fled/Escaped</v>
      </c>
      <c r="G1249" s="1" t="str">
        <f ca="1">IFERROR(__xludf.DUMMYFUNCTION("""COMPUTED_VALUE"""),"No")</f>
        <v>No</v>
      </c>
      <c r="H1249" s="1" t="str">
        <f ca="1">IFERROR(__xludf.DUMMYFUNCTION("""COMPUTED_VALUE"""),"None")</f>
        <v>None</v>
      </c>
    </row>
    <row r="1250" spans="1:8" ht="12.5">
      <c r="A1250" s="1" t="str">
        <f ca="1">IFERROR(__xludf.DUMMYFUNCTION("""COMPUTED_VALUE"""),"20200119TXNOF")</f>
        <v>20200119TXNOF</v>
      </c>
      <c r="B1250" s="1" t="str">
        <f ca="1">IFERROR(__xludf.DUMMYFUNCTION("""COMPUTED_VALUE"""),"Adult")</f>
        <v>Adult</v>
      </c>
      <c r="C1250" s="1" t="str">
        <f ca="1">IFERROR(__xludf.DUMMYFUNCTION("""COMPUTED_VALUE"""),"Male")</f>
        <v>Male</v>
      </c>
      <c r="D1250" s="1"/>
      <c r="E1250" s="1" t="str">
        <f ca="1">IFERROR(__xludf.DUMMYFUNCTION("""COMPUTED_VALUE"""),"No Relation")</f>
        <v>No Relation</v>
      </c>
      <c r="F1250" s="1" t="str">
        <f ca="1">IFERROR(__xludf.DUMMYFUNCTION("""COMPUTED_VALUE"""),"Fled/Escaped")</f>
        <v>Fled/Escaped</v>
      </c>
      <c r="G1250" s="1" t="str">
        <f ca="1">IFERROR(__xludf.DUMMYFUNCTION("""COMPUTED_VALUE"""),"No")</f>
        <v>No</v>
      </c>
      <c r="H1250" s="1" t="str">
        <f ca="1">IFERROR(__xludf.DUMMYFUNCTION("""COMPUTED_VALUE"""),"None")</f>
        <v>None</v>
      </c>
    </row>
    <row r="1251" spans="1:8" ht="12.5">
      <c r="A1251" s="1" t="str">
        <f ca="1">IFERROR(__xludf.DUMMYFUNCTION("""COMPUTED_VALUE"""),"20200117SCCAS")</f>
        <v>20200117SCCAS</v>
      </c>
      <c r="B1251" s="1">
        <f ca="1">IFERROR(__xludf.DUMMYFUNCTION("""COMPUTED_VALUE"""),16)</f>
        <v>16</v>
      </c>
      <c r="C1251" s="1" t="str">
        <f ca="1">IFERROR(__xludf.DUMMYFUNCTION("""COMPUTED_VALUE"""),"Male")</f>
        <v>Male</v>
      </c>
      <c r="D1251" s="1"/>
      <c r="E1251" s="1" t="str">
        <f ca="1">IFERROR(__xludf.DUMMYFUNCTION("""COMPUTED_VALUE"""),"Student")</f>
        <v>Student</v>
      </c>
      <c r="F1251" s="1" t="str">
        <f ca="1">IFERROR(__xludf.DUMMYFUNCTION("""COMPUTED_VALUE"""),"Suicide")</f>
        <v>Suicide</v>
      </c>
      <c r="G1251" s="1" t="str">
        <f ca="1">IFERROR(__xludf.DUMMYFUNCTION("""COMPUTED_VALUE"""),"Yes")</f>
        <v>Yes</v>
      </c>
      <c r="H1251" s="1" t="str">
        <f ca="1">IFERROR(__xludf.DUMMYFUNCTION("""COMPUTED_VALUE"""),"Suicide")</f>
        <v>Suicide</v>
      </c>
    </row>
    <row r="1252" spans="1:8" ht="12.5">
      <c r="A1252" s="1" t="str">
        <f ca="1">IFERROR(__xludf.DUMMYFUNCTION("""COMPUTED_VALUE"""),"20200117MITHH")</f>
        <v>20200117MITHH</v>
      </c>
      <c r="B1252" s="1">
        <f ca="1">IFERROR(__xludf.DUMMYFUNCTION("""COMPUTED_VALUE"""),25)</f>
        <v>25</v>
      </c>
      <c r="C1252" s="1" t="str">
        <f ca="1">IFERROR(__xludf.DUMMYFUNCTION("""COMPUTED_VALUE"""),"Male")</f>
        <v>Male</v>
      </c>
      <c r="D1252" s="1"/>
      <c r="E1252" s="1" t="str">
        <f ca="1">IFERROR(__xludf.DUMMYFUNCTION("""COMPUTED_VALUE"""),"Parent")</f>
        <v>Parent</v>
      </c>
      <c r="F1252" s="1" t="str">
        <f ca="1">IFERROR(__xludf.DUMMYFUNCTION("""COMPUTED_VALUE"""),"Surrendered")</f>
        <v>Surrendered</v>
      </c>
      <c r="G1252" s="1" t="str">
        <f ca="1">IFERROR(__xludf.DUMMYFUNCTION("""COMPUTED_VALUE"""),"No")</f>
        <v>No</v>
      </c>
      <c r="H1252" s="1" t="str">
        <f ca="1">IFERROR(__xludf.DUMMYFUNCTION("""COMPUTED_VALUE"""),"None")</f>
        <v>None</v>
      </c>
    </row>
    <row r="1253" spans="1:8" ht="12.5">
      <c r="A1253" s="1" t="str">
        <f ca="1">IFERROR(__xludf.DUMMYFUNCTION("""COMPUTED_VALUE"""),"20200114TXPOM")</f>
        <v>20200114TXPOM</v>
      </c>
      <c r="B1253" s="1">
        <f ca="1">IFERROR(__xludf.DUMMYFUNCTION("""COMPUTED_VALUE"""),17)</f>
        <v>17</v>
      </c>
      <c r="C1253" s="1" t="str">
        <f ca="1">IFERROR(__xludf.DUMMYFUNCTION("""COMPUTED_VALUE"""),"Male")</f>
        <v>Male</v>
      </c>
      <c r="D1253" s="1" t="str">
        <f ca="1">IFERROR(__xludf.DUMMYFUNCTION("""COMPUTED_VALUE"""),"Black")</f>
        <v>Black</v>
      </c>
      <c r="E1253" s="1" t="str">
        <f ca="1">IFERROR(__xludf.DUMMYFUNCTION("""COMPUTED_VALUE"""),"Nonstudent Using Athletic Facilities/Attending Game")</f>
        <v>Nonstudent Using Athletic Facilities/Attending Game</v>
      </c>
      <c r="F1253" s="1" t="str">
        <f ca="1">IFERROR(__xludf.DUMMYFUNCTION("""COMPUTED_VALUE"""),"Fled/Apprehended")</f>
        <v>Fled/Apprehended</v>
      </c>
      <c r="G1253" s="1" t="str">
        <f ca="1">IFERROR(__xludf.DUMMYFUNCTION("""COMPUTED_VALUE"""),"No")</f>
        <v>No</v>
      </c>
      <c r="H1253" s="1" t="str">
        <f ca="1">IFERROR(__xludf.DUMMYFUNCTION("""COMPUTED_VALUE"""),"None")</f>
        <v>None</v>
      </c>
    </row>
    <row r="1254" spans="1:8" ht="12.5">
      <c r="A1254" s="1" t="str">
        <f ca="1">IFERROR(__xludf.DUMMYFUNCTION("""COMPUTED_VALUE"""),"20200114TXPOM")</f>
        <v>20200114TXPOM</v>
      </c>
      <c r="B1254" s="1">
        <f ca="1">IFERROR(__xludf.DUMMYFUNCTION("""COMPUTED_VALUE"""),17)</f>
        <v>17</v>
      </c>
      <c r="C1254" s="1" t="str">
        <f ca="1">IFERROR(__xludf.DUMMYFUNCTION("""COMPUTED_VALUE"""),"Male")</f>
        <v>Male</v>
      </c>
      <c r="D1254" s="1" t="str">
        <f ca="1">IFERROR(__xludf.DUMMYFUNCTION("""COMPUTED_VALUE"""),"Black")</f>
        <v>Black</v>
      </c>
      <c r="E1254" s="1" t="str">
        <f ca="1">IFERROR(__xludf.DUMMYFUNCTION("""COMPUTED_VALUE"""),"Nonstudent Using Athletic Facilities/Attending Game")</f>
        <v>Nonstudent Using Athletic Facilities/Attending Game</v>
      </c>
      <c r="F1254" s="1" t="str">
        <f ca="1">IFERROR(__xludf.DUMMYFUNCTION("""COMPUTED_VALUE"""),"Fled/Apprehended")</f>
        <v>Fled/Apprehended</v>
      </c>
      <c r="G1254" s="1" t="str">
        <f ca="1">IFERROR(__xludf.DUMMYFUNCTION("""COMPUTED_VALUE"""),"No")</f>
        <v>No</v>
      </c>
      <c r="H1254" s="1" t="str">
        <f ca="1">IFERROR(__xludf.DUMMYFUNCTION("""COMPUTED_VALUE"""),"None")</f>
        <v>None</v>
      </c>
    </row>
    <row r="1255" spans="1:8" ht="12.5">
      <c r="A1255" s="1" t="str">
        <f ca="1">IFERROR(__xludf.DUMMYFUNCTION("""COMPUTED_VALUE"""),"20200114TXBEH")</f>
        <v>20200114TXBEH</v>
      </c>
      <c r="B1255" s="1">
        <f ca="1">IFERROR(__xludf.DUMMYFUNCTION("""COMPUTED_VALUE"""),16)</f>
        <v>16</v>
      </c>
      <c r="C1255" s="1" t="str">
        <f ca="1">IFERROR(__xludf.DUMMYFUNCTION("""COMPUTED_VALUE"""),"Male")</f>
        <v>Male</v>
      </c>
      <c r="D1255" s="1"/>
      <c r="E1255" s="1" t="str">
        <f ca="1">IFERROR(__xludf.DUMMYFUNCTION("""COMPUTED_VALUE"""),"Student")</f>
        <v>Student</v>
      </c>
      <c r="F1255" s="1" t="str">
        <f ca="1">IFERROR(__xludf.DUMMYFUNCTION("""COMPUTED_VALUE"""),"Fled/Apprehended")</f>
        <v>Fled/Apprehended</v>
      </c>
      <c r="G1255" s="1" t="str">
        <f ca="1">IFERROR(__xludf.DUMMYFUNCTION("""COMPUTED_VALUE"""),"No")</f>
        <v>No</v>
      </c>
      <c r="H1255" s="1" t="str">
        <f ca="1">IFERROR(__xludf.DUMMYFUNCTION("""COMPUTED_VALUE"""),"None")</f>
        <v>None</v>
      </c>
    </row>
    <row r="1256" spans="1:8" ht="12.5">
      <c r="A1256" s="1" t="str">
        <f ca="1">IFERROR(__xludf.DUMMYFUNCTION("""COMPUTED_VALUE"""),"20200111TXELD")</f>
        <v>20200111TXELD</v>
      </c>
      <c r="B1256" s="1">
        <f ca="1">IFERROR(__xludf.DUMMYFUNCTION("""COMPUTED_VALUE"""),15)</f>
        <v>15</v>
      </c>
      <c r="C1256" s="1" t="str">
        <f ca="1">IFERROR(__xludf.DUMMYFUNCTION("""COMPUTED_VALUE"""),"Male")</f>
        <v>Male</v>
      </c>
      <c r="D1256" s="1" t="str">
        <f ca="1">IFERROR(__xludf.DUMMYFUNCTION("""COMPUTED_VALUE"""),"Black")</f>
        <v>Black</v>
      </c>
      <c r="E1256" s="1" t="str">
        <f ca="1">IFERROR(__xludf.DUMMYFUNCTION("""COMPUTED_VALUE"""),"Unknown")</f>
        <v>Unknown</v>
      </c>
      <c r="F1256" s="1" t="str">
        <f ca="1">IFERROR(__xludf.DUMMYFUNCTION("""COMPUTED_VALUE"""),"Surrendered")</f>
        <v>Surrendered</v>
      </c>
      <c r="G1256" s="1" t="str">
        <f ca="1">IFERROR(__xludf.DUMMYFUNCTION("""COMPUTED_VALUE"""),"No")</f>
        <v>No</v>
      </c>
      <c r="H1256" s="1" t="str">
        <f ca="1">IFERROR(__xludf.DUMMYFUNCTION("""COMPUTED_VALUE"""),"None")</f>
        <v>None</v>
      </c>
    </row>
    <row r="1257" spans="1:8" ht="12.5">
      <c r="A1257" s="1" t="str">
        <f ca="1">IFERROR(__xludf.DUMMYFUNCTION("""COMPUTED_VALUE"""),"20200110MSMCJ")</f>
        <v>20200110MSMCJ</v>
      </c>
      <c r="B1257" s="1">
        <f ca="1">IFERROR(__xludf.DUMMYFUNCTION("""COMPUTED_VALUE"""),13)</f>
        <v>13</v>
      </c>
      <c r="C1257" s="1" t="str">
        <f ca="1">IFERROR(__xludf.DUMMYFUNCTION("""COMPUTED_VALUE"""),"Male")</f>
        <v>Male</v>
      </c>
      <c r="D1257" s="1"/>
      <c r="E1257" s="1" t="str">
        <f ca="1">IFERROR(__xludf.DUMMYFUNCTION("""COMPUTED_VALUE"""),"Student")</f>
        <v>Student</v>
      </c>
      <c r="F1257" s="1" t="str">
        <f ca="1">IFERROR(__xludf.DUMMYFUNCTION("""COMPUTED_VALUE"""),"Unknown")</f>
        <v>Unknown</v>
      </c>
      <c r="G1257" s="1" t="str">
        <f ca="1">IFERROR(__xludf.DUMMYFUNCTION("""COMPUTED_VALUE"""),"No")</f>
        <v>No</v>
      </c>
      <c r="H1257" s="1" t="str">
        <f ca="1">IFERROR(__xludf.DUMMYFUNCTION("""COMPUTED_VALUE"""),"None")</f>
        <v>None</v>
      </c>
    </row>
    <row r="1258" spans="1:8" ht="12.5">
      <c r="A1258" s="1" t="str">
        <f ca="1">IFERROR(__xludf.DUMMYFUNCTION("""COMPUTED_VALUE"""),"20200108FLGLB")</f>
        <v>20200108FLGLB</v>
      </c>
      <c r="B1258" s="1"/>
      <c r="C1258" s="1"/>
      <c r="D1258" s="1"/>
      <c r="E1258" s="1" t="str">
        <f ca="1">IFERROR(__xludf.DUMMYFUNCTION("""COMPUTED_VALUE"""),"Unknown")</f>
        <v>Unknown</v>
      </c>
      <c r="F1258" s="1" t="str">
        <f ca="1">IFERROR(__xludf.DUMMYFUNCTION("""COMPUTED_VALUE"""),"Surrendered")</f>
        <v>Surrendered</v>
      </c>
      <c r="G1258" s="1" t="str">
        <f ca="1">IFERROR(__xludf.DUMMYFUNCTION("""COMPUTED_VALUE"""),"No")</f>
        <v>No</v>
      </c>
      <c r="H1258" s="1" t="str">
        <f ca="1">IFERROR(__xludf.DUMMYFUNCTION("""COMPUTED_VALUE"""),"Wounded")</f>
        <v>Wounded</v>
      </c>
    </row>
    <row r="1259" spans="1:8" ht="12.5">
      <c r="A1259" s="1" t="str">
        <f ca="1">IFERROR(__xludf.DUMMYFUNCTION("""COMPUTED_VALUE"""),"20200107WASOK")</f>
        <v>20200107WASOK</v>
      </c>
      <c r="B1259" s="1">
        <f ca="1">IFERROR(__xludf.DUMMYFUNCTION("""COMPUTED_VALUE"""),16)</f>
        <v>16</v>
      </c>
      <c r="C1259" s="1" t="str">
        <f ca="1">IFERROR(__xludf.DUMMYFUNCTION("""COMPUTED_VALUE"""),"Male")</f>
        <v>Male</v>
      </c>
      <c r="D1259" s="1"/>
      <c r="E1259" s="1" t="str">
        <f ca="1">IFERROR(__xludf.DUMMYFUNCTION("""COMPUTED_VALUE"""),"Student")</f>
        <v>Student</v>
      </c>
      <c r="F1259" s="1" t="str">
        <f ca="1">IFERROR(__xludf.DUMMYFUNCTION("""COMPUTED_VALUE"""),"Fled/Apprehended")</f>
        <v>Fled/Apprehended</v>
      </c>
      <c r="G1259" s="1" t="str">
        <f ca="1">IFERROR(__xludf.DUMMYFUNCTION("""COMPUTED_VALUE"""),"No")</f>
        <v>No</v>
      </c>
      <c r="H1259" s="1" t="str">
        <f ca="1">IFERROR(__xludf.DUMMYFUNCTION("""COMPUTED_VALUE"""),"None")</f>
        <v>None</v>
      </c>
    </row>
    <row r="1260" spans="1:8" ht="12.5">
      <c r="A1260" s="1" t="str">
        <f ca="1">IFERROR(__xludf.DUMMYFUNCTION("""COMPUTED_VALUE"""),"20200107WASOK")</f>
        <v>20200107WASOK</v>
      </c>
      <c r="B1260" s="1">
        <f ca="1">IFERROR(__xludf.DUMMYFUNCTION("""COMPUTED_VALUE"""),16)</f>
        <v>16</v>
      </c>
      <c r="C1260" s="1" t="str">
        <f ca="1">IFERROR(__xludf.DUMMYFUNCTION("""COMPUTED_VALUE"""),"Male")</f>
        <v>Male</v>
      </c>
      <c r="D1260" s="1"/>
      <c r="E1260" s="1" t="str">
        <f ca="1">IFERROR(__xludf.DUMMYFUNCTION("""COMPUTED_VALUE"""),"Student")</f>
        <v>Student</v>
      </c>
      <c r="F1260" s="1" t="str">
        <f ca="1">IFERROR(__xludf.DUMMYFUNCTION("""COMPUTED_VALUE"""),"Fled/Apprehended")</f>
        <v>Fled/Apprehended</v>
      </c>
      <c r="G1260" s="1" t="str">
        <f ca="1">IFERROR(__xludf.DUMMYFUNCTION("""COMPUTED_VALUE"""),"No")</f>
        <v>No</v>
      </c>
      <c r="H1260" s="1" t="str">
        <f ca="1">IFERROR(__xludf.DUMMYFUNCTION("""COMPUTED_VALUE"""),"None")</f>
        <v>None</v>
      </c>
    </row>
    <row r="1261" spans="1:8" ht="12.5">
      <c r="A1261" s="1" t="str">
        <f ca="1">IFERROR(__xludf.DUMMYFUNCTION("""COMPUTED_VALUE"""),"20191228MOMAS")</f>
        <v>20191228MOMAS</v>
      </c>
      <c r="B1261" s="1">
        <f ca="1">IFERROR(__xludf.DUMMYFUNCTION("""COMPUTED_VALUE"""),17)</f>
        <v>17</v>
      </c>
      <c r="C1261" s="1" t="str">
        <f ca="1">IFERROR(__xludf.DUMMYFUNCTION("""COMPUTED_VALUE"""),"Male")</f>
        <v>Male</v>
      </c>
      <c r="D1261" s="1" t="str">
        <f ca="1">IFERROR(__xludf.DUMMYFUNCTION("""COMPUTED_VALUE"""),"Black")</f>
        <v>Black</v>
      </c>
      <c r="E1261" s="1" t="str">
        <f ca="1">IFERROR(__xludf.DUMMYFUNCTION("""COMPUTED_VALUE"""),"No Relation")</f>
        <v>No Relation</v>
      </c>
      <c r="F1261" s="1" t="str">
        <f ca="1">IFERROR(__xludf.DUMMYFUNCTION("""COMPUTED_VALUE"""),"Fled/Apprehended")</f>
        <v>Fled/Apprehended</v>
      </c>
      <c r="G1261" s="1" t="str">
        <f ca="1">IFERROR(__xludf.DUMMYFUNCTION("""COMPUTED_VALUE"""),"No")</f>
        <v>No</v>
      </c>
      <c r="H1261" s="1" t="str">
        <f ca="1">IFERROR(__xludf.DUMMYFUNCTION("""COMPUTED_VALUE"""),"None")</f>
        <v>None</v>
      </c>
    </row>
    <row r="1262" spans="1:8" ht="12.5">
      <c r="A1262" s="1" t="str">
        <f ca="1">IFERROR(__xludf.DUMMYFUNCTION("""COMPUTED_VALUE"""),"20191221LAWES")</f>
        <v>20191221LAWES</v>
      </c>
      <c r="B1262" s="1">
        <f ca="1">IFERROR(__xludf.DUMMYFUNCTION("""COMPUTED_VALUE"""),34)</f>
        <v>34</v>
      </c>
      <c r="C1262" s="1" t="str">
        <f ca="1">IFERROR(__xludf.DUMMYFUNCTION("""COMPUTED_VALUE"""),"Male")</f>
        <v>Male</v>
      </c>
      <c r="D1262" s="1" t="str">
        <f ca="1">IFERROR(__xludf.DUMMYFUNCTION("""COMPUTED_VALUE"""),"Black")</f>
        <v>Black</v>
      </c>
      <c r="E1262" s="1" t="str">
        <f ca="1">IFERROR(__xludf.DUMMYFUNCTION("""COMPUTED_VALUE"""),"Nonstudent Using Athletic Facilities/Attending Game")</f>
        <v>Nonstudent Using Athletic Facilities/Attending Game</v>
      </c>
      <c r="F1262" s="1" t="str">
        <f ca="1">IFERROR(__xludf.DUMMYFUNCTION("""COMPUTED_VALUE"""),"Fled/Apprehended")</f>
        <v>Fled/Apprehended</v>
      </c>
      <c r="G1262" s="1" t="str">
        <f ca="1">IFERROR(__xludf.DUMMYFUNCTION("""COMPUTED_VALUE"""),"No")</f>
        <v>No</v>
      </c>
      <c r="H1262" s="1" t="str">
        <f ca="1">IFERROR(__xludf.DUMMYFUNCTION("""COMPUTED_VALUE"""),"None")</f>
        <v>None</v>
      </c>
    </row>
    <row r="1263" spans="1:8" ht="12.5">
      <c r="A1263" s="1" t="str">
        <f ca="1">IFERROR(__xludf.DUMMYFUNCTION("""COMPUTED_VALUE"""),"20191219FLLEN")</f>
        <v>20191219FLLEN</v>
      </c>
      <c r="B1263" s="1">
        <f ca="1">IFERROR(__xludf.DUMMYFUNCTION("""COMPUTED_VALUE"""),50)</f>
        <v>50</v>
      </c>
      <c r="C1263" s="1" t="str">
        <f ca="1">IFERROR(__xludf.DUMMYFUNCTION("""COMPUTED_VALUE"""),"Male")</f>
        <v>Male</v>
      </c>
      <c r="D1263" s="1" t="str">
        <f ca="1">IFERROR(__xludf.DUMMYFUNCTION("""COMPUTED_VALUE"""),"Hispanic")</f>
        <v>Hispanic</v>
      </c>
      <c r="E1263" s="1" t="str">
        <f ca="1">IFERROR(__xludf.DUMMYFUNCTION("""COMPUTED_VALUE"""),"No Relation")</f>
        <v>No Relation</v>
      </c>
      <c r="F1263" s="1" t="str">
        <f ca="1">IFERROR(__xludf.DUMMYFUNCTION("""COMPUTED_VALUE"""),"Fled/Apprehended")</f>
        <v>Fled/Apprehended</v>
      </c>
      <c r="G1263" s="1" t="str">
        <f ca="1">IFERROR(__xludf.DUMMYFUNCTION("""COMPUTED_VALUE"""),"No")</f>
        <v>No</v>
      </c>
      <c r="H1263" s="1" t="str">
        <f ca="1">IFERROR(__xludf.DUMMYFUNCTION("""COMPUTED_VALUE"""),"None")</f>
        <v>None</v>
      </c>
    </row>
    <row r="1264" spans="1:8" ht="12.5">
      <c r="A1264" s="1" t="str">
        <f ca="1">IFERROR(__xludf.DUMMYFUNCTION("""COMPUTED_VALUE"""),"20191216CTCAN")</f>
        <v>20191216CTCAN</v>
      </c>
      <c r="B1264" s="1" t="str">
        <f ca="1">IFERROR(__xludf.DUMMYFUNCTION("""COMPUTED_VALUE"""),"Adult")</f>
        <v>Adult</v>
      </c>
      <c r="C1264" s="1" t="str">
        <f ca="1">IFERROR(__xludf.DUMMYFUNCTION("""COMPUTED_VALUE"""),"Male")</f>
        <v>Male</v>
      </c>
      <c r="D1264" s="1"/>
      <c r="E1264" s="1" t="str">
        <f ca="1">IFERROR(__xludf.DUMMYFUNCTION("""COMPUTED_VALUE"""),"No Relation")</f>
        <v>No Relation</v>
      </c>
      <c r="F1264" s="1" t="str">
        <f ca="1">IFERROR(__xludf.DUMMYFUNCTION("""COMPUTED_VALUE"""),"Fled/Escaped")</f>
        <v>Fled/Escaped</v>
      </c>
      <c r="G1264" s="1" t="str">
        <f ca="1">IFERROR(__xludf.DUMMYFUNCTION("""COMPUTED_VALUE"""),"No")</f>
        <v>No</v>
      </c>
      <c r="H1264" s="1" t="str">
        <f ca="1">IFERROR(__xludf.DUMMYFUNCTION("""COMPUTED_VALUE"""),"None")</f>
        <v>None</v>
      </c>
    </row>
    <row r="1265" spans="1:8" ht="12.5">
      <c r="A1265" s="1" t="str">
        <f ca="1">IFERROR(__xludf.DUMMYFUNCTION("""COMPUTED_VALUE"""),"20191213VAMAN")</f>
        <v>20191213VAMAN</v>
      </c>
      <c r="B1265" s="1">
        <f ca="1">IFERROR(__xludf.DUMMYFUNCTION("""COMPUTED_VALUE"""),17)</f>
        <v>17</v>
      </c>
      <c r="C1265" s="1" t="str">
        <f ca="1">IFERROR(__xludf.DUMMYFUNCTION("""COMPUTED_VALUE"""),"Male")</f>
        <v>Male</v>
      </c>
      <c r="D1265" s="1"/>
      <c r="E1265" s="1" t="str">
        <f ca="1">IFERROR(__xludf.DUMMYFUNCTION("""COMPUTED_VALUE"""),"Student")</f>
        <v>Student</v>
      </c>
      <c r="F1265" s="1" t="str">
        <f ca="1">IFERROR(__xludf.DUMMYFUNCTION("""COMPUTED_VALUE"""),"Surrendered")</f>
        <v>Surrendered</v>
      </c>
      <c r="G1265" s="1" t="str">
        <f ca="1">IFERROR(__xludf.DUMMYFUNCTION("""COMPUTED_VALUE"""),"No")</f>
        <v>No</v>
      </c>
      <c r="H1265" s="1" t="str">
        <f ca="1">IFERROR(__xludf.DUMMYFUNCTION("""COMPUTED_VALUE"""),"Wounded")</f>
        <v>Wounded</v>
      </c>
    </row>
    <row r="1266" spans="1:8" ht="12.5">
      <c r="A1266" s="1" t="str">
        <f ca="1">IFERROR(__xludf.DUMMYFUNCTION("""COMPUTED_VALUE"""),"20191211KSCHT")</f>
        <v>20191211KSCHT</v>
      </c>
      <c r="B1266" s="1"/>
      <c r="C1266" s="1"/>
      <c r="D1266" s="1"/>
      <c r="E1266" s="1" t="str">
        <f ca="1">IFERROR(__xludf.DUMMYFUNCTION("""COMPUTED_VALUE"""),"Unknown")</f>
        <v>Unknown</v>
      </c>
      <c r="F1266" s="1" t="str">
        <f ca="1">IFERROR(__xludf.DUMMYFUNCTION("""COMPUTED_VALUE"""),"Fled/Apprehended")</f>
        <v>Fled/Apprehended</v>
      </c>
      <c r="G1266" s="1" t="str">
        <f ca="1">IFERROR(__xludf.DUMMYFUNCTION("""COMPUTED_VALUE"""),"No")</f>
        <v>No</v>
      </c>
      <c r="H1266" s="1" t="str">
        <f ca="1">IFERROR(__xludf.DUMMYFUNCTION("""COMPUTED_VALUE"""),"None")</f>
        <v>None</v>
      </c>
    </row>
    <row r="1267" spans="1:8" ht="12.5">
      <c r="A1267" s="1" t="str">
        <f ca="1">IFERROR(__xludf.DUMMYFUNCTION("""COMPUTED_VALUE"""),"20191211INEVE")</f>
        <v>20191211INEVE</v>
      </c>
      <c r="B1267" s="1"/>
      <c r="C1267" s="1"/>
      <c r="D1267" s="1"/>
      <c r="E1267" s="1" t="str">
        <f ca="1">IFERROR(__xludf.DUMMYFUNCTION("""COMPUTED_VALUE"""),"Unknown")</f>
        <v>Unknown</v>
      </c>
      <c r="F1267" s="1" t="str">
        <f ca="1">IFERROR(__xludf.DUMMYFUNCTION("""COMPUTED_VALUE"""),"Fled/Escaped")</f>
        <v>Fled/Escaped</v>
      </c>
      <c r="G1267" s="1" t="str">
        <f ca="1">IFERROR(__xludf.DUMMYFUNCTION("""COMPUTED_VALUE"""),"No")</f>
        <v>No</v>
      </c>
      <c r="H1267" s="1" t="str">
        <f ca="1">IFERROR(__xludf.DUMMYFUNCTION("""COMPUTED_VALUE"""),"None")</f>
        <v>None</v>
      </c>
    </row>
    <row r="1268" spans="1:8" ht="12.5">
      <c r="A1268" s="1" t="str">
        <f ca="1">IFERROR(__xludf.DUMMYFUNCTION("""COMPUTED_VALUE"""),"20191210NJSAJ")</f>
        <v>20191210NJSAJ</v>
      </c>
      <c r="B1268" s="1">
        <f ca="1">IFERROR(__xludf.DUMMYFUNCTION("""COMPUTED_VALUE"""),47)</f>
        <v>47</v>
      </c>
      <c r="C1268" s="1" t="str">
        <f ca="1">IFERROR(__xludf.DUMMYFUNCTION("""COMPUTED_VALUE"""),"Male")</f>
        <v>Male</v>
      </c>
      <c r="D1268" s="1" t="str">
        <f ca="1">IFERROR(__xludf.DUMMYFUNCTION("""COMPUTED_VALUE"""),"White")</f>
        <v>White</v>
      </c>
      <c r="E1268" s="1" t="str">
        <f ca="1">IFERROR(__xludf.DUMMYFUNCTION("""COMPUTED_VALUE"""),"No Relation")</f>
        <v>No Relation</v>
      </c>
      <c r="F1268" s="1" t="str">
        <f ca="1">IFERROR(__xludf.DUMMYFUNCTION("""COMPUTED_VALUE"""),"Unknown")</f>
        <v>Unknown</v>
      </c>
      <c r="G1268" s="1" t="str">
        <f ca="1">IFERROR(__xludf.DUMMYFUNCTION("""COMPUTED_VALUE"""),"No")</f>
        <v>No</v>
      </c>
      <c r="H1268" s="1" t="str">
        <f ca="1">IFERROR(__xludf.DUMMYFUNCTION("""COMPUTED_VALUE"""),"None")</f>
        <v>None</v>
      </c>
    </row>
    <row r="1269" spans="1:8" ht="12.5">
      <c r="A1269" s="1" t="str">
        <f ca="1">IFERROR(__xludf.DUMMYFUNCTION("""COMPUTED_VALUE"""),"20191210NJSAJ")</f>
        <v>20191210NJSAJ</v>
      </c>
      <c r="B1269" s="1">
        <f ca="1">IFERROR(__xludf.DUMMYFUNCTION("""COMPUTED_VALUE"""),50)</f>
        <v>50</v>
      </c>
      <c r="C1269" s="1" t="str">
        <f ca="1">IFERROR(__xludf.DUMMYFUNCTION("""COMPUTED_VALUE"""),"Female")</f>
        <v>Female</v>
      </c>
      <c r="D1269" s="1" t="str">
        <f ca="1">IFERROR(__xludf.DUMMYFUNCTION("""COMPUTED_VALUE"""),"White")</f>
        <v>White</v>
      </c>
      <c r="E1269" s="1" t="str">
        <f ca="1">IFERROR(__xludf.DUMMYFUNCTION("""COMPUTED_VALUE"""),"No Relation")</f>
        <v>No Relation</v>
      </c>
      <c r="F1269" s="1" t="str">
        <f ca="1">IFERROR(__xludf.DUMMYFUNCTION("""COMPUTED_VALUE"""),"Unknown")</f>
        <v>Unknown</v>
      </c>
      <c r="G1269" s="1" t="str">
        <f ca="1">IFERROR(__xludf.DUMMYFUNCTION("""COMPUTED_VALUE"""),"No")</f>
        <v>No</v>
      </c>
      <c r="H1269" s="1" t="str">
        <f ca="1">IFERROR(__xludf.DUMMYFUNCTION("""COMPUTED_VALUE"""),"None")</f>
        <v>None</v>
      </c>
    </row>
    <row r="1270" spans="1:8" ht="12.5">
      <c r="A1270" s="1" t="str">
        <f ca="1">IFERROR(__xludf.DUMMYFUNCTION("""COMPUTED_VALUE"""),"20191210KSJCK")</f>
        <v>20191210KSJCK</v>
      </c>
      <c r="B1270" s="1"/>
      <c r="C1270" s="1"/>
      <c r="D1270" s="1"/>
      <c r="E1270" s="1" t="str">
        <f ca="1">IFERROR(__xludf.DUMMYFUNCTION("""COMPUTED_VALUE"""),"Unknown")</f>
        <v>Unknown</v>
      </c>
      <c r="F1270" s="1" t="str">
        <f ca="1">IFERROR(__xludf.DUMMYFUNCTION("""COMPUTED_VALUE"""),"Fled/Escaped")</f>
        <v>Fled/Escaped</v>
      </c>
      <c r="G1270" s="1" t="str">
        <f ca="1">IFERROR(__xludf.DUMMYFUNCTION("""COMPUTED_VALUE"""),"No")</f>
        <v>No</v>
      </c>
      <c r="H1270" s="1" t="str">
        <f ca="1">IFERROR(__xludf.DUMMYFUNCTION("""COMPUTED_VALUE"""),"None")</f>
        <v>None</v>
      </c>
    </row>
    <row r="1271" spans="1:8" ht="12.5">
      <c r="A1271" s="1" t="str">
        <f ca="1">IFERROR(__xludf.DUMMYFUNCTION("""COMPUTED_VALUE"""),"20191210ALDED")</f>
        <v>20191210ALDED</v>
      </c>
      <c r="B1271" s="1">
        <f ca="1">IFERROR(__xludf.DUMMYFUNCTION("""COMPUTED_VALUE"""),22)</f>
        <v>22</v>
      </c>
      <c r="C1271" s="1" t="str">
        <f ca="1">IFERROR(__xludf.DUMMYFUNCTION("""COMPUTED_VALUE"""),"Male")</f>
        <v>Male</v>
      </c>
      <c r="D1271" s="1" t="str">
        <f ca="1">IFERROR(__xludf.DUMMYFUNCTION("""COMPUTED_VALUE"""),"White")</f>
        <v>White</v>
      </c>
      <c r="E1271" s="1" t="str">
        <f ca="1">IFERROR(__xludf.DUMMYFUNCTION("""COMPUTED_VALUE"""),"Intimate Relationship")</f>
        <v>Intimate Relationship</v>
      </c>
      <c r="F1271" s="1" t="str">
        <f ca="1">IFERROR(__xludf.DUMMYFUNCTION("""COMPUTED_VALUE"""),"Fled/Apprehended")</f>
        <v>Fled/Apprehended</v>
      </c>
      <c r="G1271" s="1" t="str">
        <f ca="1">IFERROR(__xludf.DUMMYFUNCTION("""COMPUTED_VALUE"""),"No")</f>
        <v>No</v>
      </c>
      <c r="H1271" s="1" t="str">
        <f ca="1">IFERROR(__xludf.DUMMYFUNCTION("""COMPUTED_VALUE"""),"None")</f>
        <v>None</v>
      </c>
    </row>
    <row r="1272" spans="1:8" ht="12.5">
      <c r="A1272" s="1" t="str">
        <f ca="1">IFERROR(__xludf.DUMMYFUNCTION("""COMPUTED_VALUE"""),"20191204NMPIL")</f>
        <v>20191204NMPIL</v>
      </c>
      <c r="B1272" s="1" t="str">
        <f ca="1">IFERROR(__xludf.DUMMYFUNCTION("""COMPUTED_VALUE"""),"Adult")</f>
        <v>Adult</v>
      </c>
      <c r="C1272" s="1" t="str">
        <f ca="1">IFERROR(__xludf.DUMMYFUNCTION("""COMPUTED_VALUE"""),"Male")</f>
        <v>Male</v>
      </c>
      <c r="D1272" s="1" t="str">
        <f ca="1">IFERROR(__xludf.DUMMYFUNCTION("""COMPUTED_VALUE"""),"Hispanic")</f>
        <v>Hispanic</v>
      </c>
      <c r="E1272" s="1" t="str">
        <f ca="1">IFERROR(__xludf.DUMMYFUNCTION("""COMPUTED_VALUE"""),"Police Officer/SRO")</f>
        <v>Police Officer/SRO</v>
      </c>
      <c r="F1272" s="1" t="str">
        <f ca="1">IFERROR(__xludf.DUMMYFUNCTION("""COMPUTED_VALUE"""),"Law Enforcement")</f>
        <v>Law Enforcement</v>
      </c>
      <c r="G1272" s="1" t="str">
        <f ca="1">IFERROR(__xludf.DUMMYFUNCTION("""COMPUTED_VALUE"""),"No")</f>
        <v>No</v>
      </c>
      <c r="H1272" s="1" t="str">
        <f ca="1">IFERROR(__xludf.DUMMYFUNCTION("""COMPUTED_VALUE"""),"None")</f>
        <v>None</v>
      </c>
    </row>
    <row r="1273" spans="1:8" ht="12.5">
      <c r="A1273" s="1" t="str">
        <f ca="1">IFERROR(__xludf.DUMMYFUNCTION("""COMPUTED_VALUE"""),"20191203WITHM")</f>
        <v>20191203WITHM</v>
      </c>
      <c r="B1273" s="1">
        <f ca="1">IFERROR(__xludf.DUMMYFUNCTION("""COMPUTED_VALUE"""),13)</f>
        <v>13</v>
      </c>
      <c r="C1273" s="1" t="str">
        <f ca="1">IFERROR(__xludf.DUMMYFUNCTION("""COMPUTED_VALUE"""),"Male")</f>
        <v>Male</v>
      </c>
      <c r="D1273" s="1"/>
      <c r="E1273" s="1" t="str">
        <f ca="1">IFERROR(__xludf.DUMMYFUNCTION("""COMPUTED_VALUE"""),"Student")</f>
        <v>Student</v>
      </c>
      <c r="F1273" s="1" t="str">
        <f ca="1">IFERROR(__xludf.DUMMYFUNCTION("""COMPUTED_VALUE"""),"Fled/Apprehended")</f>
        <v>Fled/Apprehended</v>
      </c>
      <c r="G1273" s="1" t="str">
        <f ca="1">IFERROR(__xludf.DUMMYFUNCTION("""COMPUTED_VALUE"""),"No")</f>
        <v>No</v>
      </c>
      <c r="H1273" s="1" t="str">
        <f ca="1">IFERROR(__xludf.DUMMYFUNCTION("""COMPUTED_VALUE"""),"None")</f>
        <v>None</v>
      </c>
    </row>
    <row r="1274" spans="1:8" ht="12.5">
      <c r="A1274" s="1" t="str">
        <f ca="1">IFERROR(__xludf.DUMMYFUNCTION("""COMPUTED_VALUE"""),"20191203WIOSO")</f>
        <v>20191203WIOSO</v>
      </c>
      <c r="B1274" s="1" t="str">
        <f ca="1">IFERROR(__xludf.DUMMYFUNCTION("""COMPUTED_VALUE"""),"Adult")</f>
        <v>Adult</v>
      </c>
      <c r="C1274" s="1" t="str">
        <f ca="1">IFERROR(__xludf.DUMMYFUNCTION("""COMPUTED_VALUE"""),"Male")</f>
        <v>Male</v>
      </c>
      <c r="D1274" s="1"/>
      <c r="E1274" s="1" t="str">
        <f ca="1">IFERROR(__xludf.DUMMYFUNCTION("""COMPUTED_VALUE"""),"Police Officer/SRO")</f>
        <v>Police Officer/SRO</v>
      </c>
      <c r="F1274" s="1" t="str">
        <f ca="1">IFERROR(__xludf.DUMMYFUNCTION("""COMPUTED_VALUE"""),"Law Enforcement")</f>
        <v>Law Enforcement</v>
      </c>
      <c r="G1274" s="1" t="str">
        <f ca="1">IFERROR(__xludf.DUMMYFUNCTION("""COMPUTED_VALUE"""),"No")</f>
        <v>No</v>
      </c>
      <c r="H1274" s="1" t="str">
        <f ca="1">IFERROR(__xludf.DUMMYFUNCTION("""COMPUTED_VALUE"""),"Wounded")</f>
        <v>Wounded</v>
      </c>
    </row>
    <row r="1275" spans="1:8" ht="12.5">
      <c r="A1275" s="1" t="str">
        <f ca="1">IFERROR(__xludf.DUMMYFUNCTION("""COMPUTED_VALUE"""),"20191202WIWAW")</f>
        <v>20191202WIWAW</v>
      </c>
      <c r="B1275" s="1">
        <f ca="1">IFERROR(__xludf.DUMMYFUNCTION("""COMPUTED_VALUE"""),17)</f>
        <v>17</v>
      </c>
      <c r="C1275" s="1" t="str">
        <f ca="1">IFERROR(__xludf.DUMMYFUNCTION("""COMPUTED_VALUE"""),"Male")</f>
        <v>Male</v>
      </c>
      <c r="D1275" s="1"/>
      <c r="E1275" s="1" t="str">
        <f ca="1">IFERROR(__xludf.DUMMYFUNCTION("""COMPUTED_VALUE"""),"Student")</f>
        <v>Student</v>
      </c>
      <c r="F1275" s="1" t="str">
        <f ca="1">IFERROR(__xludf.DUMMYFUNCTION("""COMPUTED_VALUE"""),"Apprehended/Killed by SRO")</f>
        <v>Apprehended/Killed by SRO</v>
      </c>
      <c r="G1275" s="1" t="str">
        <f ca="1">IFERROR(__xludf.DUMMYFUNCTION("""COMPUTED_VALUE"""),"No")</f>
        <v>No</v>
      </c>
      <c r="H1275" s="1" t="str">
        <f ca="1">IFERROR(__xludf.DUMMYFUNCTION("""COMPUTED_VALUE"""),"Wounded")</f>
        <v>Wounded</v>
      </c>
    </row>
    <row r="1276" spans="1:8" ht="12.5">
      <c r="A1276" s="1" t="str">
        <f ca="1">IFERROR(__xludf.DUMMYFUNCTION("""COMPUTED_VALUE"""),"20191201ALMOM")</f>
        <v>20191201ALMOM</v>
      </c>
      <c r="B1276" s="1">
        <f ca="1">IFERROR(__xludf.DUMMYFUNCTION("""COMPUTED_VALUE"""),31)</f>
        <v>31</v>
      </c>
      <c r="C1276" s="1" t="str">
        <f ca="1">IFERROR(__xludf.DUMMYFUNCTION("""COMPUTED_VALUE"""),"Male")</f>
        <v>Male</v>
      </c>
      <c r="D1276" s="1" t="str">
        <f ca="1">IFERROR(__xludf.DUMMYFUNCTION("""COMPUTED_VALUE"""),"White")</f>
        <v>White</v>
      </c>
      <c r="E1276" s="1" t="str">
        <f ca="1">IFERROR(__xludf.DUMMYFUNCTION("""COMPUTED_VALUE"""),"No Relation")</f>
        <v>No Relation</v>
      </c>
      <c r="F1276" s="1" t="str">
        <f ca="1">IFERROR(__xludf.DUMMYFUNCTION("""COMPUTED_VALUE"""),"Fled/Apprehended")</f>
        <v>Fled/Apprehended</v>
      </c>
      <c r="G1276" s="1" t="str">
        <f ca="1">IFERROR(__xludf.DUMMYFUNCTION("""COMPUTED_VALUE"""),"No")</f>
        <v>No</v>
      </c>
      <c r="H1276" s="1" t="str">
        <f ca="1">IFERROR(__xludf.DUMMYFUNCTION("""COMPUTED_VALUE"""),"None")</f>
        <v>None</v>
      </c>
    </row>
    <row r="1277" spans="1:8" ht="12.5">
      <c r="A1277" s="1" t="str">
        <f ca="1">IFERROR(__xludf.DUMMYFUNCTION("""COMPUTED_VALUE"""),"20191126WASAV")</f>
        <v>20191126WASAV</v>
      </c>
      <c r="B1277" s="1">
        <f ca="1">IFERROR(__xludf.DUMMYFUNCTION("""COMPUTED_VALUE"""),38)</f>
        <v>38</v>
      </c>
      <c r="C1277" s="1" t="str">
        <f ca="1">IFERROR(__xludf.DUMMYFUNCTION("""COMPUTED_VALUE"""),"Male")</f>
        <v>Male</v>
      </c>
      <c r="D1277" s="1" t="str">
        <f ca="1">IFERROR(__xludf.DUMMYFUNCTION("""COMPUTED_VALUE"""),"Black")</f>
        <v>Black</v>
      </c>
      <c r="E1277" s="1" t="str">
        <f ca="1">IFERROR(__xludf.DUMMYFUNCTION("""COMPUTED_VALUE"""),"Parent")</f>
        <v>Parent</v>
      </c>
      <c r="F1277" s="1" t="str">
        <f ca="1">IFERROR(__xludf.DUMMYFUNCTION("""COMPUTED_VALUE"""),"Fled/Apprehended")</f>
        <v>Fled/Apprehended</v>
      </c>
      <c r="G1277" s="1" t="str">
        <f ca="1">IFERROR(__xludf.DUMMYFUNCTION("""COMPUTED_VALUE"""),"Yes")</f>
        <v>Yes</v>
      </c>
      <c r="H1277" s="1" t="str">
        <f ca="1">IFERROR(__xludf.DUMMYFUNCTION("""COMPUTED_VALUE"""),"Suicide")</f>
        <v>Suicide</v>
      </c>
    </row>
    <row r="1278" spans="1:8" ht="12.5">
      <c r="A1278" s="1" t="str">
        <f ca="1">IFERROR(__xludf.DUMMYFUNCTION("""COMPUTED_VALUE"""),"20191125ILCAC")</f>
        <v>20191125ILCAC</v>
      </c>
      <c r="B1278" s="1"/>
      <c r="C1278" s="1" t="str">
        <f ca="1">IFERROR(__xludf.DUMMYFUNCTION("""COMPUTED_VALUE"""),"Male")</f>
        <v>Male</v>
      </c>
      <c r="D1278" s="1"/>
      <c r="E1278" s="1" t="str">
        <f ca="1">IFERROR(__xludf.DUMMYFUNCTION("""COMPUTED_VALUE"""),"No Relation")</f>
        <v>No Relation</v>
      </c>
      <c r="F1278" s="1" t="str">
        <f ca="1">IFERROR(__xludf.DUMMYFUNCTION("""COMPUTED_VALUE"""),"Fled/Escaped")</f>
        <v>Fled/Escaped</v>
      </c>
      <c r="G1278" s="1" t="str">
        <f ca="1">IFERROR(__xludf.DUMMYFUNCTION("""COMPUTED_VALUE"""),"No")</f>
        <v>No</v>
      </c>
      <c r="H1278" s="1" t="str">
        <f ca="1">IFERROR(__xludf.DUMMYFUNCTION("""COMPUTED_VALUE"""),"None")</f>
        <v>None</v>
      </c>
    </row>
    <row r="1279" spans="1:8" ht="12.5">
      <c r="A1279" s="1" t="str">
        <f ca="1">IFERROR(__xludf.DUMMYFUNCTION("""COMPUTED_VALUE"""),"20191124CASEU")</f>
        <v>20191124CASEU</v>
      </c>
      <c r="B1279" s="1">
        <f ca="1">IFERROR(__xludf.DUMMYFUNCTION("""COMPUTED_VALUE"""),18)</f>
        <v>18</v>
      </c>
      <c r="C1279" s="1" t="str">
        <f ca="1">IFERROR(__xludf.DUMMYFUNCTION("""COMPUTED_VALUE"""),"Male")</f>
        <v>Male</v>
      </c>
      <c r="D1279" s="1" t="str">
        <f ca="1">IFERROR(__xludf.DUMMYFUNCTION("""COMPUTED_VALUE"""),"Hispanic")</f>
        <v>Hispanic</v>
      </c>
      <c r="E1279" s="1" t="str">
        <f ca="1">IFERROR(__xludf.DUMMYFUNCTION("""COMPUTED_VALUE"""),"No Relation")</f>
        <v>No Relation</v>
      </c>
      <c r="F1279" s="1" t="str">
        <f ca="1">IFERROR(__xludf.DUMMYFUNCTION("""COMPUTED_VALUE"""),"Fled/Apprehended")</f>
        <v>Fled/Apprehended</v>
      </c>
      <c r="G1279" s="1" t="str">
        <f ca="1">IFERROR(__xludf.DUMMYFUNCTION("""COMPUTED_VALUE"""),"No")</f>
        <v>No</v>
      </c>
      <c r="H1279" s="1" t="str">
        <f ca="1">IFERROR(__xludf.DUMMYFUNCTION("""COMPUTED_VALUE"""),"None")</f>
        <v>None</v>
      </c>
    </row>
    <row r="1280" spans="1:8" ht="12.5">
      <c r="A1280" s="1" t="str">
        <f ca="1">IFERROR(__xludf.DUMMYFUNCTION("""COMPUTED_VALUE"""),"20191124CASEU")</f>
        <v>20191124CASEU</v>
      </c>
      <c r="B1280" s="1">
        <f ca="1">IFERROR(__xludf.DUMMYFUNCTION("""COMPUTED_VALUE"""),17)</f>
        <v>17</v>
      </c>
      <c r="C1280" s="1" t="str">
        <f ca="1">IFERROR(__xludf.DUMMYFUNCTION("""COMPUTED_VALUE"""),"Male")</f>
        <v>Male</v>
      </c>
      <c r="D1280" s="1" t="str">
        <f ca="1">IFERROR(__xludf.DUMMYFUNCTION("""COMPUTED_VALUE"""),"Hispanic")</f>
        <v>Hispanic</v>
      </c>
      <c r="E1280" s="1" t="str">
        <f ca="1">IFERROR(__xludf.DUMMYFUNCTION("""COMPUTED_VALUE"""),"No Relation")</f>
        <v>No Relation</v>
      </c>
      <c r="F1280" s="1" t="str">
        <f ca="1">IFERROR(__xludf.DUMMYFUNCTION("""COMPUTED_VALUE"""),"Fled/Apprehended")</f>
        <v>Fled/Apprehended</v>
      </c>
      <c r="G1280" s="1" t="str">
        <f ca="1">IFERROR(__xludf.DUMMYFUNCTION("""COMPUTED_VALUE"""),"No")</f>
        <v>No</v>
      </c>
      <c r="H1280" s="1" t="str">
        <f ca="1">IFERROR(__xludf.DUMMYFUNCTION("""COMPUTED_VALUE"""),"None")</f>
        <v>None</v>
      </c>
    </row>
    <row r="1281" spans="1:8" ht="12.5">
      <c r="A1281" s="1" t="str">
        <f ca="1">IFERROR(__xludf.DUMMYFUNCTION("""COMPUTED_VALUE"""),"20191124CASEU")</f>
        <v>20191124CASEU</v>
      </c>
      <c r="B1281" s="1">
        <f ca="1">IFERROR(__xludf.DUMMYFUNCTION("""COMPUTED_VALUE"""),20)</f>
        <v>20</v>
      </c>
      <c r="C1281" s="1" t="str">
        <f ca="1">IFERROR(__xludf.DUMMYFUNCTION("""COMPUTED_VALUE"""),"Male")</f>
        <v>Male</v>
      </c>
      <c r="D1281" s="1" t="str">
        <f ca="1">IFERROR(__xludf.DUMMYFUNCTION("""COMPUTED_VALUE"""),"Hispanic")</f>
        <v>Hispanic</v>
      </c>
      <c r="E1281" s="1" t="str">
        <f ca="1">IFERROR(__xludf.DUMMYFUNCTION("""COMPUTED_VALUE"""),"No Relation")</f>
        <v>No Relation</v>
      </c>
      <c r="F1281" s="1" t="str">
        <f ca="1">IFERROR(__xludf.DUMMYFUNCTION("""COMPUTED_VALUE"""),"Fled/Apprehended")</f>
        <v>Fled/Apprehended</v>
      </c>
      <c r="G1281" s="1" t="str">
        <f ca="1">IFERROR(__xludf.DUMMYFUNCTION("""COMPUTED_VALUE"""),"No")</f>
        <v>No</v>
      </c>
      <c r="H1281" s="1" t="str">
        <f ca="1">IFERROR(__xludf.DUMMYFUNCTION("""COMPUTED_VALUE"""),"None")</f>
        <v>None</v>
      </c>
    </row>
    <row r="1282" spans="1:8" ht="12.5">
      <c r="A1282" s="1" t="str">
        <f ca="1">IFERROR(__xludf.DUMMYFUNCTION("""COMPUTED_VALUE"""),"20191121ILRIO")</f>
        <v>20191121ILRIO</v>
      </c>
      <c r="B1282" s="1">
        <f ca="1">IFERROR(__xludf.DUMMYFUNCTION("""COMPUTED_VALUE"""),19)</f>
        <v>19</v>
      </c>
      <c r="C1282" s="1" t="str">
        <f ca="1">IFERROR(__xludf.DUMMYFUNCTION("""COMPUTED_VALUE"""),"Male")</f>
        <v>Male</v>
      </c>
      <c r="D1282" s="1" t="str">
        <f ca="1">IFERROR(__xludf.DUMMYFUNCTION("""COMPUTED_VALUE"""),"Black")</f>
        <v>Black</v>
      </c>
      <c r="E1282" s="1" t="str">
        <f ca="1">IFERROR(__xludf.DUMMYFUNCTION("""COMPUTED_VALUE"""),"Student")</f>
        <v>Student</v>
      </c>
      <c r="F1282" s="1" t="str">
        <f ca="1">IFERROR(__xludf.DUMMYFUNCTION("""COMPUTED_VALUE"""),"Fled/Apprehended")</f>
        <v>Fled/Apprehended</v>
      </c>
      <c r="G1282" s="1" t="str">
        <f ca="1">IFERROR(__xludf.DUMMYFUNCTION("""COMPUTED_VALUE"""),"No")</f>
        <v>No</v>
      </c>
      <c r="H1282" s="1" t="str">
        <f ca="1">IFERROR(__xludf.DUMMYFUNCTION("""COMPUTED_VALUE"""),"None")</f>
        <v>None</v>
      </c>
    </row>
    <row r="1283" spans="1:8" ht="12.5">
      <c r="A1283" s="1" t="str">
        <f ca="1">IFERROR(__xludf.DUMMYFUNCTION("""COMPUTED_VALUE"""),"20191115NJPLP")</f>
        <v>20191115NJPLP</v>
      </c>
      <c r="B1283" s="1">
        <f ca="1">IFERROR(__xludf.DUMMYFUNCTION("""COMPUTED_VALUE"""),31)</f>
        <v>31</v>
      </c>
      <c r="C1283" s="1" t="str">
        <f ca="1">IFERROR(__xludf.DUMMYFUNCTION("""COMPUTED_VALUE"""),"Male")</f>
        <v>Male</v>
      </c>
      <c r="D1283" s="1" t="str">
        <f ca="1">IFERROR(__xludf.DUMMYFUNCTION("""COMPUTED_VALUE"""),"Black")</f>
        <v>Black</v>
      </c>
      <c r="E1283" s="1" t="str">
        <f ca="1">IFERROR(__xludf.DUMMYFUNCTION("""COMPUTED_VALUE"""),"Nonstudent Using Athletic Facilities/Attending Game")</f>
        <v>Nonstudent Using Athletic Facilities/Attending Game</v>
      </c>
      <c r="F1283" s="1" t="str">
        <f ca="1">IFERROR(__xludf.DUMMYFUNCTION("""COMPUTED_VALUE"""),"Fled/Apprehended")</f>
        <v>Fled/Apprehended</v>
      </c>
      <c r="G1283" s="1" t="str">
        <f ca="1">IFERROR(__xludf.DUMMYFUNCTION("""COMPUTED_VALUE"""),"No")</f>
        <v>No</v>
      </c>
      <c r="H1283" s="1" t="str">
        <f ca="1">IFERROR(__xludf.DUMMYFUNCTION("""COMPUTED_VALUE"""),"None")</f>
        <v>None</v>
      </c>
    </row>
    <row r="1284" spans="1:8" ht="12.5">
      <c r="A1284" s="1" t="str">
        <f ca="1">IFERROR(__xludf.DUMMYFUNCTION("""COMPUTED_VALUE"""),"20191115NJPLP")</f>
        <v>20191115NJPLP</v>
      </c>
      <c r="B1284" s="1">
        <f ca="1">IFERROR(__xludf.DUMMYFUNCTION("""COMPUTED_VALUE"""),28)</f>
        <v>28</v>
      </c>
      <c r="C1284" s="1" t="str">
        <f ca="1">IFERROR(__xludf.DUMMYFUNCTION("""COMPUTED_VALUE"""),"Male")</f>
        <v>Male</v>
      </c>
      <c r="D1284" s="1" t="str">
        <f ca="1">IFERROR(__xludf.DUMMYFUNCTION("""COMPUTED_VALUE"""),"Black")</f>
        <v>Black</v>
      </c>
      <c r="E1284" s="1" t="str">
        <f ca="1">IFERROR(__xludf.DUMMYFUNCTION("""COMPUTED_VALUE"""),"Nonstudent Using Athletic Facilities/Attending Game")</f>
        <v>Nonstudent Using Athletic Facilities/Attending Game</v>
      </c>
      <c r="F1284" s="1" t="str">
        <f ca="1">IFERROR(__xludf.DUMMYFUNCTION("""COMPUTED_VALUE"""),"Fled/Apprehended")</f>
        <v>Fled/Apprehended</v>
      </c>
      <c r="G1284" s="1" t="str">
        <f ca="1">IFERROR(__xludf.DUMMYFUNCTION("""COMPUTED_VALUE"""),"No")</f>
        <v>No</v>
      </c>
      <c r="H1284" s="1" t="str">
        <f ca="1">IFERROR(__xludf.DUMMYFUNCTION("""COMPUTED_VALUE"""),"None")</f>
        <v>None</v>
      </c>
    </row>
    <row r="1285" spans="1:8" ht="12.5">
      <c r="A1285" s="1" t="str">
        <f ca="1">IFERROR(__xludf.DUMMYFUNCTION("""COMPUTED_VALUE"""),"20191114CASAS")</f>
        <v>20191114CASAS</v>
      </c>
      <c r="B1285" s="1">
        <f ca="1">IFERROR(__xludf.DUMMYFUNCTION("""COMPUTED_VALUE"""),16)</f>
        <v>16</v>
      </c>
      <c r="C1285" s="1" t="str">
        <f ca="1">IFERROR(__xludf.DUMMYFUNCTION("""COMPUTED_VALUE"""),"Male")</f>
        <v>Male</v>
      </c>
      <c r="D1285" s="1" t="str">
        <f ca="1">IFERROR(__xludf.DUMMYFUNCTION("""COMPUTED_VALUE"""),"Asian")</f>
        <v>Asian</v>
      </c>
      <c r="E1285" s="1" t="str">
        <f ca="1">IFERROR(__xludf.DUMMYFUNCTION("""COMPUTED_VALUE"""),"Student")</f>
        <v>Student</v>
      </c>
      <c r="F1285" s="1" t="str">
        <f ca="1">IFERROR(__xludf.DUMMYFUNCTION("""COMPUTED_VALUE"""),"Suicide")</f>
        <v>Suicide</v>
      </c>
      <c r="G1285" s="1" t="str">
        <f ca="1">IFERROR(__xludf.DUMMYFUNCTION("""COMPUTED_VALUE"""),"Yes")</f>
        <v>Yes</v>
      </c>
      <c r="H1285" s="1" t="str">
        <f ca="1">IFERROR(__xludf.DUMMYFUNCTION("""COMPUTED_VALUE"""),"Suicide")</f>
        <v>Suicide</v>
      </c>
    </row>
    <row r="1286" spans="1:8" ht="12.5">
      <c r="A1286" s="1" t="str">
        <f ca="1">IFERROR(__xludf.DUMMYFUNCTION("""COMPUTED_VALUE"""),"20191113CAESL")</f>
        <v>20191113CAESL</v>
      </c>
      <c r="B1286" s="1" t="str">
        <f ca="1">IFERROR(__xludf.DUMMYFUNCTION("""COMPUTED_VALUE"""),"Adult")</f>
        <v>Adult</v>
      </c>
      <c r="C1286" s="1"/>
      <c r="D1286" s="1" t="str">
        <f ca="1">IFERROR(__xludf.DUMMYFUNCTION("""COMPUTED_VALUE"""),"N/A")</f>
        <v>N/A</v>
      </c>
      <c r="E1286" s="1" t="str">
        <f ca="1">IFERROR(__xludf.DUMMYFUNCTION("""COMPUTED_VALUE"""),"Police Officer/SRO")</f>
        <v>Police Officer/SRO</v>
      </c>
      <c r="F1286" s="1" t="str">
        <f ca="1">IFERROR(__xludf.DUMMYFUNCTION("""COMPUTED_VALUE"""),"Law Enforcement")</f>
        <v>Law Enforcement</v>
      </c>
      <c r="G1286" s="1" t="str">
        <f ca="1">IFERROR(__xludf.DUMMYFUNCTION("""COMPUTED_VALUE"""),"No")</f>
        <v>No</v>
      </c>
      <c r="H1286" s="1" t="str">
        <f ca="1">IFERROR(__xludf.DUMMYFUNCTION("""COMPUTED_VALUE"""),"None")</f>
        <v>None</v>
      </c>
    </row>
    <row r="1287" spans="1:8" ht="12.5">
      <c r="A1287" s="1" t="str">
        <f ca="1">IFERROR(__xludf.DUMMYFUNCTION("""COMPUTED_VALUE"""),"20191111MDACB")</f>
        <v>20191111MDACB</v>
      </c>
      <c r="B1287" s="1"/>
      <c r="C1287" s="1" t="str">
        <f ca="1">IFERROR(__xludf.DUMMYFUNCTION("""COMPUTED_VALUE"""),"Male")</f>
        <v>Male</v>
      </c>
      <c r="D1287" s="1"/>
      <c r="E1287" s="1" t="str">
        <f ca="1">IFERROR(__xludf.DUMMYFUNCTION("""COMPUTED_VALUE"""),"Unknown")</f>
        <v>Unknown</v>
      </c>
      <c r="F1287" s="1" t="str">
        <f ca="1">IFERROR(__xludf.DUMMYFUNCTION("""COMPUTED_VALUE"""),"Fled/Escaped")</f>
        <v>Fled/Escaped</v>
      </c>
      <c r="G1287" s="1" t="str">
        <f ca="1">IFERROR(__xludf.DUMMYFUNCTION("""COMPUTED_VALUE"""),"No")</f>
        <v>No</v>
      </c>
      <c r="H1287" s="1" t="str">
        <f ca="1">IFERROR(__xludf.DUMMYFUNCTION("""COMPUTED_VALUE"""),"None")</f>
        <v>None</v>
      </c>
    </row>
    <row r="1288" spans="1:8" ht="12.5">
      <c r="A1288" s="1" t="str">
        <f ca="1">IFERROR(__xludf.DUMMYFUNCTION("""COMPUTED_VALUE"""),"20191108TXROD")</f>
        <v>20191108TXROD</v>
      </c>
      <c r="B1288" s="1"/>
      <c r="C1288" s="1" t="str">
        <f ca="1">IFERROR(__xludf.DUMMYFUNCTION("""COMPUTED_VALUE"""),"Male")</f>
        <v>Male</v>
      </c>
      <c r="D1288" s="1"/>
      <c r="E1288" s="1" t="str">
        <f ca="1">IFERROR(__xludf.DUMMYFUNCTION("""COMPUTED_VALUE"""),"Unknown")</f>
        <v>Unknown</v>
      </c>
      <c r="F1288" s="1" t="str">
        <f ca="1">IFERROR(__xludf.DUMMYFUNCTION("""COMPUTED_VALUE"""),"Fled/Escaped")</f>
        <v>Fled/Escaped</v>
      </c>
      <c r="G1288" s="1" t="str">
        <f ca="1">IFERROR(__xludf.DUMMYFUNCTION("""COMPUTED_VALUE"""),"No")</f>
        <v>No</v>
      </c>
      <c r="H1288" s="1" t="str">
        <f ca="1">IFERROR(__xludf.DUMMYFUNCTION("""COMPUTED_VALUE"""),"None")</f>
        <v>None</v>
      </c>
    </row>
    <row r="1289" spans="1:8" ht="12.5">
      <c r="A1289" s="1" t="str">
        <f ca="1">IFERROR(__xludf.DUMMYFUNCTION("""COMPUTED_VALUE"""),"20191108CAEDS")</f>
        <v>20191108CAEDS</v>
      </c>
      <c r="B1289" s="1"/>
      <c r="C1289" s="1"/>
      <c r="D1289" s="1"/>
      <c r="E1289" s="1" t="str">
        <f ca="1">IFERROR(__xludf.DUMMYFUNCTION("""COMPUTED_VALUE"""),"Unknown")</f>
        <v>Unknown</v>
      </c>
      <c r="F1289" s="1" t="str">
        <f ca="1">IFERROR(__xludf.DUMMYFUNCTION("""COMPUTED_VALUE"""),"Fled/Escaped")</f>
        <v>Fled/Escaped</v>
      </c>
      <c r="G1289" s="1" t="str">
        <f ca="1">IFERROR(__xludf.DUMMYFUNCTION("""COMPUTED_VALUE"""),"No")</f>
        <v>No</v>
      </c>
      <c r="H1289" s="1" t="str">
        <f ca="1">IFERROR(__xludf.DUMMYFUNCTION("""COMPUTED_VALUE"""),"None")</f>
        <v>None</v>
      </c>
    </row>
    <row r="1290" spans="1:8" ht="12.5">
      <c r="A1290" s="1" t="str">
        <f ca="1">IFERROR(__xludf.DUMMYFUNCTION("""COMPUTED_VALUE"""),"20191029NYNEN")</f>
        <v>20191029NYNEN</v>
      </c>
      <c r="B1290" s="1"/>
      <c r="C1290" s="1" t="str">
        <f ca="1">IFERROR(__xludf.DUMMYFUNCTION("""COMPUTED_VALUE"""),"Male")</f>
        <v>Male</v>
      </c>
      <c r="D1290" s="1" t="str">
        <f ca="1">IFERROR(__xludf.DUMMYFUNCTION("""COMPUTED_VALUE"""),"Black")</f>
        <v>Black</v>
      </c>
      <c r="E1290" s="1" t="str">
        <f ca="1">IFERROR(__xludf.DUMMYFUNCTION("""COMPUTED_VALUE"""),"Student")</f>
        <v>Student</v>
      </c>
      <c r="F1290" s="1" t="str">
        <f ca="1">IFERROR(__xludf.DUMMYFUNCTION("""COMPUTED_VALUE"""),"Fled/Escaped")</f>
        <v>Fled/Escaped</v>
      </c>
      <c r="G1290" s="1" t="str">
        <f ca="1">IFERROR(__xludf.DUMMYFUNCTION("""COMPUTED_VALUE"""),"No")</f>
        <v>No</v>
      </c>
      <c r="H1290" s="1" t="str">
        <f ca="1">IFERROR(__xludf.DUMMYFUNCTION("""COMPUTED_VALUE"""),"None")</f>
        <v>None</v>
      </c>
    </row>
    <row r="1291" spans="1:8" ht="12.5">
      <c r="A1291" s="1" t="str">
        <f ca="1">IFERROR(__xludf.DUMMYFUNCTION("""COMPUTED_VALUE"""),"20191027MDLAL")</f>
        <v>20191027MDLAL</v>
      </c>
      <c r="B1291" s="1">
        <f ca="1">IFERROR(__xludf.DUMMYFUNCTION("""COMPUTED_VALUE"""),34)</f>
        <v>34</v>
      </c>
      <c r="C1291" s="1" t="str">
        <f ca="1">IFERROR(__xludf.DUMMYFUNCTION("""COMPUTED_VALUE"""),"Male")</f>
        <v>Male</v>
      </c>
      <c r="D1291" s="1" t="str">
        <f ca="1">IFERROR(__xludf.DUMMYFUNCTION("""COMPUTED_VALUE"""),"Hispanic")</f>
        <v>Hispanic</v>
      </c>
      <c r="E1291" s="1" t="str">
        <f ca="1">IFERROR(__xludf.DUMMYFUNCTION("""COMPUTED_VALUE"""),"No Relation")</f>
        <v>No Relation</v>
      </c>
      <c r="F1291" s="1" t="str">
        <f ca="1">IFERROR(__xludf.DUMMYFUNCTION("""COMPUTED_VALUE"""),"Fled/Apprehended")</f>
        <v>Fled/Apprehended</v>
      </c>
      <c r="G1291" s="1" t="str">
        <f ca="1">IFERROR(__xludf.DUMMYFUNCTION("""COMPUTED_VALUE"""),"No")</f>
        <v>No</v>
      </c>
      <c r="H1291" s="1" t="str">
        <f ca="1">IFERROR(__xludf.DUMMYFUNCTION("""COMPUTED_VALUE"""),"None")</f>
        <v>None</v>
      </c>
    </row>
    <row r="1292" spans="1:8" ht="12.5">
      <c r="A1292" s="1" t="str">
        <f ca="1">IFERROR(__xludf.DUMMYFUNCTION("""COMPUTED_VALUE"""),"20191022NJBRB")</f>
        <v>20191022NJBRB</v>
      </c>
      <c r="B1292" s="1">
        <f ca="1">IFERROR(__xludf.DUMMYFUNCTION("""COMPUTED_VALUE"""),17)</f>
        <v>17</v>
      </c>
      <c r="C1292" s="1" t="str">
        <f ca="1">IFERROR(__xludf.DUMMYFUNCTION("""COMPUTED_VALUE"""),"Male")</f>
        <v>Male</v>
      </c>
      <c r="D1292" s="1" t="str">
        <f ca="1">IFERROR(__xludf.DUMMYFUNCTION("""COMPUTED_VALUE"""),"Black")</f>
        <v>Black</v>
      </c>
      <c r="E1292" s="1" t="str">
        <f ca="1">IFERROR(__xludf.DUMMYFUNCTION("""COMPUTED_VALUE"""),"Student")</f>
        <v>Student</v>
      </c>
      <c r="F1292" s="1" t="str">
        <f ca="1">IFERROR(__xludf.DUMMYFUNCTION("""COMPUTED_VALUE"""),"Fled/Apprehended")</f>
        <v>Fled/Apprehended</v>
      </c>
      <c r="G1292" s="1" t="str">
        <f ca="1">IFERROR(__xludf.DUMMYFUNCTION("""COMPUTED_VALUE"""),"No")</f>
        <v>No</v>
      </c>
      <c r="H1292" s="1" t="str">
        <f ca="1">IFERROR(__xludf.DUMMYFUNCTION("""COMPUTED_VALUE"""),"None")</f>
        <v>None</v>
      </c>
    </row>
    <row r="1293" spans="1:8" ht="12.5">
      <c r="A1293" s="1" t="str">
        <f ca="1">IFERROR(__xludf.DUMMYFUNCTION("""COMPUTED_VALUE"""),"20191022CARIS")</f>
        <v>20191022CARIS</v>
      </c>
      <c r="B1293" s="1">
        <f ca="1">IFERROR(__xludf.DUMMYFUNCTION("""COMPUTED_VALUE"""),17)</f>
        <v>17</v>
      </c>
      <c r="C1293" s="1" t="str">
        <f ca="1">IFERROR(__xludf.DUMMYFUNCTION("""COMPUTED_VALUE"""),"Male")</f>
        <v>Male</v>
      </c>
      <c r="D1293" s="1" t="str">
        <f ca="1">IFERROR(__xludf.DUMMYFUNCTION("""COMPUTED_VALUE"""),"Black")</f>
        <v>Black</v>
      </c>
      <c r="E1293" s="1" t="str">
        <f ca="1">IFERROR(__xludf.DUMMYFUNCTION("""COMPUTED_VALUE"""),"Student")</f>
        <v>Student</v>
      </c>
      <c r="F1293" s="1" t="str">
        <f ca="1">IFERROR(__xludf.DUMMYFUNCTION("""COMPUTED_VALUE"""),"Fled/Apprehended")</f>
        <v>Fled/Apprehended</v>
      </c>
      <c r="G1293" s="1" t="str">
        <f ca="1">IFERROR(__xludf.DUMMYFUNCTION("""COMPUTED_VALUE"""),"No")</f>
        <v>No</v>
      </c>
      <c r="H1293" s="1" t="str">
        <f ca="1">IFERROR(__xludf.DUMMYFUNCTION("""COMPUTED_VALUE"""),"None")</f>
        <v>None</v>
      </c>
    </row>
    <row r="1294" spans="1:8" ht="12.5">
      <c r="A1294" s="1" t="str">
        <f ca="1">IFERROR(__xludf.DUMMYFUNCTION("""COMPUTED_VALUE"""),"20191018OHWOT")</f>
        <v>20191018OHWOT</v>
      </c>
      <c r="B1294" s="1"/>
      <c r="C1294" s="1"/>
      <c r="D1294" s="1"/>
      <c r="E1294" s="1" t="str">
        <f ca="1">IFERROR(__xludf.DUMMYFUNCTION("""COMPUTED_VALUE"""),"Unknown")</f>
        <v>Unknown</v>
      </c>
      <c r="F1294" s="1" t="str">
        <f ca="1">IFERROR(__xludf.DUMMYFUNCTION("""COMPUTED_VALUE"""),"Fled/Escaped")</f>
        <v>Fled/Escaped</v>
      </c>
      <c r="G1294" s="1" t="str">
        <f ca="1">IFERROR(__xludf.DUMMYFUNCTION("""COMPUTED_VALUE"""),"No")</f>
        <v>No</v>
      </c>
      <c r="H1294" s="1" t="str">
        <f ca="1">IFERROR(__xludf.DUMMYFUNCTION("""COMPUTED_VALUE"""),"None")</f>
        <v>None</v>
      </c>
    </row>
    <row r="1295" spans="1:8" ht="12.5">
      <c r="A1295" s="1" t="str">
        <f ca="1">IFERROR(__xludf.DUMMYFUNCTION("""COMPUTED_VALUE"""),"20191018GACRS")</f>
        <v>20191018GACRS</v>
      </c>
      <c r="B1295" s="1">
        <f ca="1">IFERROR(__xludf.DUMMYFUNCTION("""COMPUTED_VALUE"""),19)</f>
        <v>19</v>
      </c>
      <c r="C1295" s="1"/>
      <c r="D1295" s="1"/>
      <c r="E1295" s="1" t="str">
        <f ca="1">IFERROR(__xludf.DUMMYFUNCTION("""COMPUTED_VALUE"""),"Unknown")</f>
        <v>Unknown</v>
      </c>
      <c r="F1295" s="1" t="str">
        <f ca="1">IFERROR(__xludf.DUMMYFUNCTION("""COMPUTED_VALUE"""),"Fled/Escaped")</f>
        <v>Fled/Escaped</v>
      </c>
      <c r="G1295" s="1" t="str">
        <f ca="1">IFERROR(__xludf.DUMMYFUNCTION("""COMPUTED_VALUE"""),"No")</f>
        <v>No</v>
      </c>
      <c r="H1295" s="1" t="str">
        <f ca="1">IFERROR(__xludf.DUMMYFUNCTION("""COMPUTED_VALUE"""),"None")</f>
        <v>None</v>
      </c>
    </row>
    <row r="1296" spans="1:8" ht="12.5">
      <c r="A1296" s="1" t="str">
        <f ca="1">IFERROR(__xludf.DUMMYFUNCTION("""COMPUTED_VALUE"""),"20191015LAGEN")</f>
        <v>20191015LAGEN</v>
      </c>
      <c r="B1296" s="1"/>
      <c r="C1296" s="1" t="str">
        <f ca="1">IFERROR(__xludf.DUMMYFUNCTION("""COMPUTED_VALUE"""),"Male")</f>
        <v>Male</v>
      </c>
      <c r="D1296" s="1"/>
      <c r="E1296" s="1" t="str">
        <f ca="1">IFERROR(__xludf.DUMMYFUNCTION("""COMPUTED_VALUE"""),"Unknown")</f>
        <v>Unknown</v>
      </c>
      <c r="F1296" s="1" t="str">
        <f ca="1">IFERROR(__xludf.DUMMYFUNCTION("""COMPUTED_VALUE"""),"Fled/Escaped")</f>
        <v>Fled/Escaped</v>
      </c>
      <c r="G1296" s="1" t="str">
        <f ca="1">IFERROR(__xludf.DUMMYFUNCTION("""COMPUTED_VALUE"""),"No")</f>
        <v>No</v>
      </c>
      <c r="H1296" s="1" t="str">
        <f ca="1">IFERROR(__xludf.DUMMYFUNCTION("""COMPUTED_VALUE"""),"None")</f>
        <v>None</v>
      </c>
    </row>
    <row r="1297" spans="1:8" ht="12.5">
      <c r="A1297" s="1" t="str">
        <f ca="1">IFERROR(__xludf.DUMMYFUNCTION("""COMPUTED_VALUE"""),"20191011LARAR")</f>
        <v>20191011LARAR</v>
      </c>
      <c r="B1297" s="1">
        <f ca="1">IFERROR(__xludf.DUMMYFUNCTION("""COMPUTED_VALUE"""),15)</f>
        <v>15</v>
      </c>
      <c r="C1297" s="1" t="str">
        <f ca="1">IFERROR(__xludf.DUMMYFUNCTION("""COMPUTED_VALUE"""),"Male")</f>
        <v>Male</v>
      </c>
      <c r="D1297" s="1"/>
      <c r="E1297" s="1" t="str">
        <f ca="1">IFERROR(__xludf.DUMMYFUNCTION("""COMPUTED_VALUE"""),"Unknown")</f>
        <v>Unknown</v>
      </c>
      <c r="F1297" s="1" t="str">
        <f ca="1">IFERROR(__xludf.DUMMYFUNCTION("""COMPUTED_VALUE"""),"Fled/Apprehended")</f>
        <v>Fled/Apprehended</v>
      </c>
      <c r="G1297" s="1" t="str">
        <f ca="1">IFERROR(__xludf.DUMMYFUNCTION("""COMPUTED_VALUE"""),"No")</f>
        <v>No</v>
      </c>
      <c r="H1297" s="1" t="str">
        <f ca="1">IFERROR(__xludf.DUMMYFUNCTION("""COMPUTED_VALUE"""),"None")</f>
        <v>None</v>
      </c>
    </row>
    <row r="1298" spans="1:8" ht="12.5">
      <c r="A1298" s="1" t="str">
        <f ca="1">IFERROR(__xludf.DUMMYFUNCTION("""COMPUTED_VALUE"""),"20191009MAGRL")</f>
        <v>20191009MAGRL</v>
      </c>
      <c r="B1298" s="1"/>
      <c r="C1298" s="1" t="str">
        <f ca="1">IFERROR(__xludf.DUMMYFUNCTION("""COMPUTED_VALUE"""),"Male")</f>
        <v>Male</v>
      </c>
      <c r="D1298" s="1" t="str">
        <f ca="1">IFERROR(__xludf.DUMMYFUNCTION("""COMPUTED_VALUE"""),"Asian")</f>
        <v>Asian</v>
      </c>
      <c r="E1298" s="1" t="str">
        <f ca="1">IFERROR(__xludf.DUMMYFUNCTION("""COMPUTED_VALUE"""),"Unknown")</f>
        <v>Unknown</v>
      </c>
      <c r="F1298" s="1" t="str">
        <f ca="1">IFERROR(__xludf.DUMMYFUNCTION("""COMPUTED_VALUE"""),"Fled/Apprehended")</f>
        <v>Fled/Apprehended</v>
      </c>
      <c r="G1298" s="1" t="str">
        <f ca="1">IFERROR(__xludf.DUMMYFUNCTION("""COMPUTED_VALUE"""),"No")</f>
        <v>No</v>
      </c>
      <c r="H1298" s="1" t="str">
        <f ca="1">IFERROR(__xludf.DUMMYFUNCTION("""COMPUTED_VALUE"""),"None")</f>
        <v>None</v>
      </c>
    </row>
    <row r="1299" spans="1:8" ht="12.5">
      <c r="A1299" s="1" t="str">
        <f ca="1">IFERROR(__xludf.DUMMYFUNCTION("""COMPUTED_VALUE"""),"20191009MAGRL")</f>
        <v>20191009MAGRL</v>
      </c>
      <c r="B1299" s="1"/>
      <c r="C1299" s="1" t="str">
        <f ca="1">IFERROR(__xludf.DUMMYFUNCTION("""COMPUTED_VALUE"""),"Male")</f>
        <v>Male</v>
      </c>
      <c r="D1299" s="1" t="str">
        <f ca="1">IFERROR(__xludf.DUMMYFUNCTION("""COMPUTED_VALUE"""),"Asian")</f>
        <v>Asian</v>
      </c>
      <c r="E1299" s="1" t="str">
        <f ca="1">IFERROR(__xludf.DUMMYFUNCTION("""COMPUTED_VALUE"""),"Unknown")</f>
        <v>Unknown</v>
      </c>
      <c r="F1299" s="1" t="str">
        <f ca="1">IFERROR(__xludf.DUMMYFUNCTION("""COMPUTED_VALUE"""),"Fled/Apprehended")</f>
        <v>Fled/Apprehended</v>
      </c>
      <c r="G1299" s="1" t="str">
        <f ca="1">IFERROR(__xludf.DUMMYFUNCTION("""COMPUTED_VALUE"""),"No")</f>
        <v>No</v>
      </c>
      <c r="H1299" s="1" t="str">
        <f ca="1">IFERROR(__xludf.DUMMYFUNCTION("""COMPUTED_VALUE"""),"None")</f>
        <v>None</v>
      </c>
    </row>
    <row r="1300" spans="1:8" ht="12.5">
      <c r="A1300" s="1" t="str">
        <f ca="1">IFERROR(__xludf.DUMMYFUNCTION("""COMPUTED_VALUE"""),"20191008TXWEH")</f>
        <v>20191008TXWEH</v>
      </c>
      <c r="B1300" s="1"/>
      <c r="C1300" s="1"/>
      <c r="D1300" s="1"/>
      <c r="E1300" s="1" t="str">
        <f ca="1">IFERROR(__xludf.DUMMYFUNCTION("""COMPUTED_VALUE"""),"Student")</f>
        <v>Student</v>
      </c>
      <c r="F1300" s="1" t="str">
        <f ca="1">IFERROR(__xludf.DUMMYFUNCTION("""COMPUTED_VALUE"""),"Unknown")</f>
        <v>Unknown</v>
      </c>
      <c r="G1300" s="1" t="str">
        <f ca="1">IFERROR(__xludf.DUMMYFUNCTION("""COMPUTED_VALUE"""),"No")</f>
        <v>No</v>
      </c>
      <c r="H1300" s="1" t="str">
        <f ca="1">IFERROR(__xludf.DUMMYFUNCTION("""COMPUTED_VALUE"""),"None")</f>
        <v>None</v>
      </c>
    </row>
    <row r="1301" spans="1:8" ht="12.5">
      <c r="A1301" s="1" t="str">
        <f ca="1">IFERROR(__xludf.DUMMYFUNCTION("""COMPUTED_VALUE"""),"20191008COSHS")</f>
        <v>20191008COSHS</v>
      </c>
      <c r="B1301" s="1">
        <f ca="1">IFERROR(__xludf.DUMMYFUNCTION("""COMPUTED_VALUE"""),16)</f>
        <v>16</v>
      </c>
      <c r="C1301" s="1" t="str">
        <f ca="1">IFERROR(__xludf.DUMMYFUNCTION("""COMPUTED_VALUE"""),"Male")</f>
        <v>Male</v>
      </c>
      <c r="D1301" s="1"/>
      <c r="E1301" s="1" t="str">
        <f ca="1">IFERROR(__xludf.DUMMYFUNCTION("""COMPUTED_VALUE"""),"Rival School Student")</f>
        <v>Rival School Student</v>
      </c>
      <c r="F1301" s="1" t="str">
        <f ca="1">IFERROR(__xludf.DUMMYFUNCTION("""COMPUTED_VALUE"""),"Fled/Apprehended")</f>
        <v>Fled/Apprehended</v>
      </c>
      <c r="G1301" s="1" t="str">
        <f ca="1">IFERROR(__xludf.DUMMYFUNCTION("""COMPUTED_VALUE"""),"No")</f>
        <v>No</v>
      </c>
      <c r="H1301" s="1" t="str">
        <f ca="1">IFERROR(__xludf.DUMMYFUNCTION("""COMPUTED_VALUE"""),"None")</f>
        <v>None</v>
      </c>
    </row>
    <row r="1302" spans="1:8" ht="12.5">
      <c r="A1302" s="1" t="str">
        <f ca="1">IFERROR(__xludf.DUMMYFUNCTION("""COMPUTED_VALUE"""),"20191002GASOA")</f>
        <v>20191002GASOA</v>
      </c>
      <c r="B1302" s="1" t="str">
        <f ca="1">IFERROR(__xludf.DUMMYFUNCTION("""COMPUTED_VALUE"""),"Adult")</f>
        <v>Adult</v>
      </c>
      <c r="C1302" s="1" t="str">
        <f ca="1">IFERROR(__xludf.DUMMYFUNCTION("""COMPUTED_VALUE"""),"Male")</f>
        <v>Male</v>
      </c>
      <c r="D1302" s="1"/>
      <c r="E1302" s="1" t="str">
        <f ca="1">IFERROR(__xludf.DUMMYFUNCTION("""COMPUTED_VALUE"""),"Nonstudent Using Athletic Facilities/Attending Game")</f>
        <v>Nonstudent Using Athletic Facilities/Attending Game</v>
      </c>
      <c r="F1302" s="1" t="str">
        <f ca="1">IFERROR(__xludf.DUMMYFUNCTION("""COMPUTED_VALUE"""),"Subdued by Students/Staff/Other")</f>
        <v>Subdued by Students/Staff/Other</v>
      </c>
      <c r="G1302" s="1" t="str">
        <f ca="1">IFERROR(__xludf.DUMMYFUNCTION("""COMPUTED_VALUE"""),"No")</f>
        <v>No</v>
      </c>
      <c r="H1302" s="1" t="str">
        <f ca="1">IFERROR(__xludf.DUMMYFUNCTION("""COMPUTED_VALUE"""),"None")</f>
        <v>None</v>
      </c>
    </row>
    <row r="1303" spans="1:8" ht="12.5">
      <c r="A1303" s="1" t="str">
        <f ca="1">IFERROR(__xludf.DUMMYFUNCTION("""COMPUTED_VALUE"""),"20190927NCZEC")</f>
        <v>20190927NCZEC</v>
      </c>
      <c r="B1303" s="1"/>
      <c r="C1303" s="1"/>
      <c r="D1303" s="1"/>
      <c r="E1303" s="1" t="str">
        <f ca="1">IFERROR(__xludf.DUMMYFUNCTION("""COMPUTED_VALUE"""),"Unknown")</f>
        <v>Unknown</v>
      </c>
      <c r="F1303" s="1" t="str">
        <f ca="1">IFERROR(__xludf.DUMMYFUNCTION("""COMPUTED_VALUE"""),"Fled/Escaped")</f>
        <v>Fled/Escaped</v>
      </c>
      <c r="G1303" s="1" t="str">
        <f ca="1">IFERROR(__xludf.DUMMYFUNCTION("""COMPUTED_VALUE"""),"No")</f>
        <v>No</v>
      </c>
      <c r="H1303" s="1" t="str">
        <f ca="1">IFERROR(__xludf.DUMMYFUNCTION("""COMPUTED_VALUE"""),"None")</f>
        <v>None</v>
      </c>
    </row>
    <row r="1304" spans="1:8" ht="12.5">
      <c r="A1304" s="1" t="str">
        <f ca="1">IFERROR(__xludf.DUMMYFUNCTION("""COMPUTED_VALUE"""),"20190927CADER")</f>
        <v>20190927CADER</v>
      </c>
      <c r="B1304" s="1">
        <f ca="1">IFERROR(__xludf.DUMMYFUNCTION("""COMPUTED_VALUE"""),17)</f>
        <v>17</v>
      </c>
      <c r="C1304" s="1" t="str">
        <f ca="1">IFERROR(__xludf.DUMMYFUNCTION("""COMPUTED_VALUE"""),"Male")</f>
        <v>Male</v>
      </c>
      <c r="D1304" s="1"/>
      <c r="E1304" s="1" t="str">
        <f ca="1">IFERROR(__xludf.DUMMYFUNCTION("""COMPUTED_VALUE"""),"Student")</f>
        <v>Student</v>
      </c>
      <c r="F1304" s="1" t="str">
        <f ca="1">IFERROR(__xludf.DUMMYFUNCTION("""COMPUTED_VALUE"""),"Fled/Apprehended")</f>
        <v>Fled/Apprehended</v>
      </c>
      <c r="G1304" s="1" t="str">
        <f ca="1">IFERROR(__xludf.DUMMYFUNCTION("""COMPUTED_VALUE"""),"No")</f>
        <v>No</v>
      </c>
      <c r="H1304" s="1" t="str">
        <f ca="1">IFERROR(__xludf.DUMMYFUNCTION("""COMPUTED_VALUE"""),"None")</f>
        <v>None</v>
      </c>
    </row>
    <row r="1305" spans="1:8" ht="12.5">
      <c r="A1305" s="1" t="str">
        <f ca="1">IFERROR(__xludf.DUMMYFUNCTION("""COMPUTED_VALUE"""),"20190927CADER")</f>
        <v>20190927CADER</v>
      </c>
      <c r="B1305" s="1" t="str">
        <f ca="1">IFERROR(__xludf.DUMMYFUNCTION("""COMPUTED_VALUE"""),"Teen")</f>
        <v>Teen</v>
      </c>
      <c r="C1305" s="1" t="str">
        <f ca="1">IFERROR(__xludf.DUMMYFUNCTION("""COMPUTED_VALUE"""),"Male")</f>
        <v>Male</v>
      </c>
      <c r="D1305" s="1"/>
      <c r="E1305" s="1" t="str">
        <f ca="1">IFERROR(__xludf.DUMMYFUNCTION("""COMPUTED_VALUE"""),"Student")</f>
        <v>Student</v>
      </c>
      <c r="F1305" s="1" t="str">
        <f ca="1">IFERROR(__xludf.DUMMYFUNCTION("""COMPUTED_VALUE"""),"Fled/Apprehended")</f>
        <v>Fled/Apprehended</v>
      </c>
      <c r="G1305" s="1" t="str">
        <f ca="1">IFERROR(__xludf.DUMMYFUNCTION("""COMPUTED_VALUE"""),"No")</f>
        <v>No</v>
      </c>
      <c r="H1305" s="1" t="str">
        <f ca="1">IFERROR(__xludf.DUMMYFUNCTION("""COMPUTED_VALUE"""),"None")</f>
        <v>None</v>
      </c>
    </row>
    <row r="1306" spans="1:8" ht="12.5">
      <c r="A1306" s="1" t="str">
        <f ca="1">IFERROR(__xludf.DUMMYFUNCTION("""COMPUTED_VALUE"""),"20190920PASIP")</f>
        <v>20190920PASIP</v>
      </c>
      <c r="B1306" s="1"/>
      <c r="C1306" s="1" t="str">
        <f ca="1">IFERROR(__xludf.DUMMYFUNCTION("""COMPUTED_VALUE"""),"Male")</f>
        <v>Male</v>
      </c>
      <c r="D1306" s="1"/>
      <c r="E1306" s="1" t="str">
        <f ca="1">IFERROR(__xludf.DUMMYFUNCTION("""COMPUTED_VALUE"""),"Unknown")</f>
        <v>Unknown</v>
      </c>
      <c r="F1306" s="1" t="str">
        <f ca="1">IFERROR(__xludf.DUMMYFUNCTION("""COMPUTED_VALUE"""),"Fled/Escaped")</f>
        <v>Fled/Escaped</v>
      </c>
      <c r="G1306" s="1" t="str">
        <f ca="1">IFERROR(__xludf.DUMMYFUNCTION("""COMPUTED_VALUE"""),"No")</f>
        <v>No</v>
      </c>
      <c r="H1306" s="1" t="str">
        <f ca="1">IFERROR(__xludf.DUMMYFUNCTION("""COMPUTED_VALUE"""),"None")</f>
        <v>None</v>
      </c>
    </row>
    <row r="1307" spans="1:8" ht="12.5">
      <c r="A1307" s="1" t="str">
        <f ca="1">IFERROR(__xludf.DUMMYFUNCTION("""COMPUTED_VALUE"""),"20190918MNFOC")</f>
        <v>20190918MNFOC</v>
      </c>
      <c r="B1307" s="1">
        <f ca="1">IFERROR(__xludf.DUMMYFUNCTION("""COMPUTED_VALUE"""),28)</f>
        <v>28</v>
      </c>
      <c r="C1307" s="1" t="str">
        <f ca="1">IFERROR(__xludf.DUMMYFUNCTION("""COMPUTED_VALUE"""),"Male")</f>
        <v>Male</v>
      </c>
      <c r="D1307" s="1"/>
      <c r="E1307" s="1" t="str">
        <f ca="1">IFERROR(__xludf.DUMMYFUNCTION("""COMPUTED_VALUE"""),"Nonstudent Using Athletic Facilities/Attending Game")</f>
        <v>Nonstudent Using Athletic Facilities/Attending Game</v>
      </c>
      <c r="F1307" s="1" t="str">
        <f ca="1">IFERROR(__xludf.DUMMYFUNCTION("""COMPUTED_VALUE"""),"Apprehended/Killed by Other")</f>
        <v>Apprehended/Killed by Other</v>
      </c>
      <c r="G1307" s="1" t="str">
        <f ca="1">IFERROR(__xludf.DUMMYFUNCTION("""COMPUTED_VALUE"""),"No")</f>
        <v>No</v>
      </c>
      <c r="H1307" s="1" t="str">
        <f ca="1">IFERROR(__xludf.DUMMYFUNCTION("""COMPUTED_VALUE"""),"None")</f>
        <v>None</v>
      </c>
    </row>
    <row r="1308" spans="1:8" ht="12.5">
      <c r="A1308" s="1" t="str">
        <f ca="1">IFERROR(__xludf.DUMMYFUNCTION("""COMPUTED_VALUE"""),"20190916VAPHH")</f>
        <v>20190916VAPHH</v>
      </c>
      <c r="B1308" s="1"/>
      <c r="C1308" s="1" t="str">
        <f ca="1">IFERROR(__xludf.DUMMYFUNCTION("""COMPUTED_VALUE"""),"Male")</f>
        <v>Male</v>
      </c>
      <c r="D1308" s="1"/>
      <c r="E1308" s="1" t="str">
        <f ca="1">IFERROR(__xludf.DUMMYFUNCTION("""COMPUTED_VALUE"""),"No Relation")</f>
        <v>No Relation</v>
      </c>
      <c r="F1308" s="1" t="str">
        <f ca="1">IFERROR(__xludf.DUMMYFUNCTION("""COMPUTED_VALUE"""),"Fled/Apprehended")</f>
        <v>Fled/Apprehended</v>
      </c>
      <c r="G1308" s="1" t="str">
        <f ca="1">IFERROR(__xludf.DUMMYFUNCTION("""COMPUTED_VALUE"""),"No")</f>
        <v>No</v>
      </c>
      <c r="H1308" s="1" t="str">
        <f ca="1">IFERROR(__xludf.DUMMYFUNCTION("""COMPUTED_VALUE"""),"None")</f>
        <v>None</v>
      </c>
    </row>
    <row r="1309" spans="1:8" ht="12.5">
      <c r="A1309" s="1" t="str">
        <f ca="1">IFERROR(__xludf.DUMMYFUNCTION("""COMPUTED_VALUE"""),"20190916ILILK")</f>
        <v>20190916ILILK</v>
      </c>
      <c r="B1309" s="1"/>
      <c r="C1309" s="1" t="str">
        <f ca="1">IFERROR(__xludf.DUMMYFUNCTION("""COMPUTED_VALUE"""),"Male")</f>
        <v>Male</v>
      </c>
      <c r="D1309" s="1"/>
      <c r="E1309" s="1" t="str">
        <f ca="1">IFERROR(__xludf.DUMMYFUNCTION("""COMPUTED_VALUE"""),"No Relation")</f>
        <v>No Relation</v>
      </c>
      <c r="F1309" s="1" t="str">
        <f ca="1">IFERROR(__xludf.DUMMYFUNCTION("""COMPUTED_VALUE"""),"Fled/Escaped")</f>
        <v>Fled/Escaped</v>
      </c>
      <c r="G1309" s="1" t="str">
        <f ca="1">IFERROR(__xludf.DUMMYFUNCTION("""COMPUTED_VALUE"""),"No")</f>
        <v>No</v>
      </c>
      <c r="H1309" s="1" t="str">
        <f ca="1">IFERROR(__xludf.DUMMYFUNCTION("""COMPUTED_VALUE"""),"None")</f>
        <v>None</v>
      </c>
    </row>
    <row r="1310" spans="1:8" ht="12.5">
      <c r="A1310" s="1" t="str">
        <f ca="1">IFERROR(__xludf.DUMMYFUNCTION("""COMPUTED_VALUE"""),"20190914TXEAF")</f>
        <v>20190914TXEAF</v>
      </c>
      <c r="B1310" s="1" t="str">
        <f ca="1">IFERROR(__xludf.DUMMYFUNCTION("""COMPUTED_VALUE"""),"Adult")</f>
        <v>Adult</v>
      </c>
      <c r="C1310" s="1" t="str">
        <f ca="1">IFERROR(__xludf.DUMMYFUNCTION("""COMPUTED_VALUE"""),"Male")</f>
        <v>Male</v>
      </c>
      <c r="D1310" s="1"/>
      <c r="E1310" s="1" t="str">
        <f ca="1">IFERROR(__xludf.DUMMYFUNCTION("""COMPUTED_VALUE"""),"Relative")</f>
        <v>Relative</v>
      </c>
      <c r="F1310" s="1" t="str">
        <f ca="1">IFERROR(__xludf.DUMMYFUNCTION("""COMPUTED_VALUE"""),"Fled/Escaped")</f>
        <v>Fled/Escaped</v>
      </c>
      <c r="G1310" s="1" t="str">
        <f ca="1">IFERROR(__xludf.DUMMYFUNCTION("""COMPUTED_VALUE"""),"No")</f>
        <v>No</v>
      </c>
      <c r="H1310" s="1" t="str">
        <f ca="1">IFERROR(__xludf.DUMMYFUNCTION("""COMPUTED_VALUE"""),"None")</f>
        <v>None</v>
      </c>
    </row>
    <row r="1311" spans="1:8" ht="12.5">
      <c r="A1311" s="1" t="str">
        <f ca="1">IFERROR(__xludf.DUMMYFUNCTION("""COMPUTED_VALUE"""),"20190913VAETN")</f>
        <v>20190913VAETN</v>
      </c>
      <c r="B1311" s="1"/>
      <c r="C1311" s="1"/>
      <c r="D1311" s="1"/>
      <c r="E1311" s="1" t="str">
        <f ca="1">IFERROR(__xludf.DUMMYFUNCTION("""COMPUTED_VALUE"""),"Unknown")</f>
        <v>Unknown</v>
      </c>
      <c r="F1311" s="1" t="str">
        <f ca="1">IFERROR(__xludf.DUMMYFUNCTION("""COMPUTED_VALUE"""),"Fled/Escaped")</f>
        <v>Fled/Escaped</v>
      </c>
      <c r="G1311" s="1" t="str">
        <f ca="1">IFERROR(__xludf.DUMMYFUNCTION("""COMPUTED_VALUE"""),"No")</f>
        <v>No</v>
      </c>
      <c r="H1311" s="1" t="str">
        <f ca="1">IFERROR(__xludf.DUMMYFUNCTION("""COMPUTED_VALUE"""),"None")</f>
        <v>None</v>
      </c>
    </row>
    <row r="1312" spans="1:8" ht="12.5">
      <c r="A1312" s="1" t="str">
        <f ca="1">IFERROR(__xludf.DUMMYFUNCTION("""COMPUTED_VALUE"""),"20190913UTGRW")</f>
        <v>20190913UTGRW</v>
      </c>
      <c r="B1312" s="1"/>
      <c r="C1312" s="1" t="str">
        <f ca="1">IFERROR(__xludf.DUMMYFUNCTION("""COMPUTED_VALUE"""),"Male")</f>
        <v>Male</v>
      </c>
      <c r="D1312" s="1"/>
      <c r="E1312" s="1" t="str">
        <f ca="1">IFERROR(__xludf.DUMMYFUNCTION("""COMPUTED_VALUE"""),"No Relation")</f>
        <v>No Relation</v>
      </c>
      <c r="F1312" s="1" t="str">
        <f ca="1">IFERROR(__xludf.DUMMYFUNCTION("""COMPUTED_VALUE"""),"Fled/Apprehended")</f>
        <v>Fled/Apprehended</v>
      </c>
      <c r="G1312" s="1" t="str">
        <f ca="1">IFERROR(__xludf.DUMMYFUNCTION("""COMPUTED_VALUE"""),"No")</f>
        <v>No</v>
      </c>
      <c r="H1312" s="1" t="str">
        <f ca="1">IFERROR(__xludf.DUMMYFUNCTION("""COMPUTED_VALUE"""),"None")</f>
        <v>None</v>
      </c>
    </row>
    <row r="1313" spans="1:8" ht="12.5">
      <c r="A1313" s="1" t="str">
        <f ca="1">IFERROR(__xludf.DUMMYFUNCTION("""COMPUTED_VALUE"""),"20190912KSMAM")</f>
        <v>20190912KSMAM</v>
      </c>
      <c r="B1313" s="1" t="str">
        <f ca="1">IFERROR(__xludf.DUMMYFUNCTION("""COMPUTED_VALUE"""),"Adult")</f>
        <v>Adult</v>
      </c>
      <c r="C1313" s="1" t="str">
        <f ca="1">IFERROR(__xludf.DUMMYFUNCTION("""COMPUTED_VALUE"""),"Male")</f>
        <v>Male</v>
      </c>
      <c r="D1313" s="1"/>
      <c r="E1313" s="1" t="str">
        <f ca="1">IFERROR(__xludf.DUMMYFUNCTION("""COMPUTED_VALUE"""),"No Relation")</f>
        <v>No Relation</v>
      </c>
      <c r="F1313" s="1" t="str">
        <f ca="1">IFERROR(__xludf.DUMMYFUNCTION("""COMPUTED_VALUE"""),"Fled/Escaped")</f>
        <v>Fled/Escaped</v>
      </c>
      <c r="G1313" s="1" t="str">
        <f ca="1">IFERROR(__xludf.DUMMYFUNCTION("""COMPUTED_VALUE"""),"No")</f>
        <v>No</v>
      </c>
      <c r="H1313" s="1" t="str">
        <f ca="1">IFERROR(__xludf.DUMMYFUNCTION("""COMPUTED_VALUE"""),"None")</f>
        <v>None</v>
      </c>
    </row>
    <row r="1314" spans="1:8" ht="12.5">
      <c r="A1314" s="1" t="str">
        <f ca="1">IFERROR(__xludf.DUMMYFUNCTION("""COMPUTED_VALUE"""),"20190910SCSOA")</f>
        <v>20190910SCSOA</v>
      </c>
      <c r="B1314" s="1" t="str">
        <f ca="1">IFERROR(__xludf.DUMMYFUNCTION("""COMPUTED_VALUE"""),"Teen")</f>
        <v>Teen</v>
      </c>
      <c r="C1314" s="1" t="str">
        <f ca="1">IFERROR(__xludf.DUMMYFUNCTION("""COMPUTED_VALUE"""),"Male")</f>
        <v>Male</v>
      </c>
      <c r="D1314" s="1" t="str">
        <f ca="1">IFERROR(__xludf.DUMMYFUNCTION("""COMPUTED_VALUE"""),"Black")</f>
        <v>Black</v>
      </c>
      <c r="E1314" s="1" t="str">
        <f ca="1">IFERROR(__xludf.DUMMYFUNCTION("""COMPUTED_VALUE"""),"Unknown")</f>
        <v>Unknown</v>
      </c>
      <c r="F1314" s="1" t="str">
        <f ca="1">IFERROR(__xludf.DUMMYFUNCTION("""COMPUTED_VALUE"""),"Fled/Escaped")</f>
        <v>Fled/Escaped</v>
      </c>
      <c r="G1314" s="1" t="str">
        <f ca="1">IFERROR(__xludf.DUMMYFUNCTION("""COMPUTED_VALUE"""),"No")</f>
        <v>No</v>
      </c>
      <c r="H1314" s="1" t="str">
        <f ca="1">IFERROR(__xludf.DUMMYFUNCTION("""COMPUTED_VALUE"""),"None")</f>
        <v>None</v>
      </c>
    </row>
    <row r="1315" spans="1:8" ht="12.5">
      <c r="A1315" s="1" t="str">
        <f ca="1">IFERROR(__xludf.DUMMYFUNCTION("""COMPUTED_VALUE"""),"20190906PAWEM")</f>
        <v>20190906PAWEM</v>
      </c>
      <c r="B1315" s="1"/>
      <c r="C1315" s="1"/>
      <c r="D1315" s="1"/>
      <c r="E1315" s="1" t="str">
        <f ca="1">IFERROR(__xludf.DUMMYFUNCTION("""COMPUTED_VALUE"""),"Unknown")</f>
        <v>Unknown</v>
      </c>
      <c r="F1315" s="1" t="str">
        <f ca="1">IFERROR(__xludf.DUMMYFUNCTION("""COMPUTED_VALUE"""),"Fled/Escaped")</f>
        <v>Fled/Escaped</v>
      </c>
      <c r="G1315" s="1" t="str">
        <f ca="1">IFERROR(__xludf.DUMMYFUNCTION("""COMPUTED_VALUE"""),"No")</f>
        <v>No</v>
      </c>
      <c r="H1315" s="1" t="str">
        <f ca="1">IFERROR(__xludf.DUMMYFUNCTION("""COMPUTED_VALUE"""),"None")</f>
        <v>None</v>
      </c>
    </row>
    <row r="1316" spans="1:8" ht="12.5">
      <c r="A1316" s="1" t="str">
        <f ca="1">IFERROR(__xludf.DUMMYFUNCTION("""COMPUTED_VALUE"""),"20190906PAMCJ")</f>
        <v>20190906PAMCJ</v>
      </c>
      <c r="B1316" s="1">
        <f ca="1">IFERROR(__xludf.DUMMYFUNCTION("""COMPUTED_VALUE"""),40)</f>
        <v>40</v>
      </c>
      <c r="C1316" s="1" t="str">
        <f ca="1">IFERROR(__xludf.DUMMYFUNCTION("""COMPUTED_VALUE"""),"Male")</f>
        <v>Male</v>
      </c>
      <c r="D1316" s="1" t="str">
        <f ca="1">IFERROR(__xludf.DUMMYFUNCTION("""COMPUTED_VALUE"""),"Black")</f>
        <v>Black</v>
      </c>
      <c r="E1316" s="1" t="str">
        <f ca="1">IFERROR(__xludf.DUMMYFUNCTION("""COMPUTED_VALUE"""),"Nonstudent Using Athletic Facilities/Attending Game")</f>
        <v>Nonstudent Using Athletic Facilities/Attending Game</v>
      </c>
      <c r="F1316" s="1" t="str">
        <f ca="1">IFERROR(__xludf.DUMMYFUNCTION("""COMPUTED_VALUE"""),"Fled/Apprehended")</f>
        <v>Fled/Apprehended</v>
      </c>
      <c r="G1316" s="1" t="str">
        <f ca="1">IFERROR(__xludf.DUMMYFUNCTION("""COMPUTED_VALUE"""),"No")</f>
        <v>No</v>
      </c>
      <c r="H1316" s="1" t="str">
        <f ca="1">IFERROR(__xludf.DUMMYFUNCTION("""COMPUTED_VALUE"""),"None")</f>
        <v>None</v>
      </c>
    </row>
    <row r="1317" spans="1:8" ht="12.5">
      <c r="A1317" s="1" t="str">
        <f ca="1">IFERROR(__xludf.DUMMYFUNCTION("""COMPUTED_VALUE"""),"20190906ALCEC")</f>
        <v>20190906ALCEC</v>
      </c>
      <c r="B1317" s="1"/>
      <c r="C1317" s="1"/>
      <c r="D1317" s="1"/>
      <c r="E1317" s="1" t="str">
        <f ca="1">IFERROR(__xludf.DUMMYFUNCTION("""COMPUTED_VALUE"""),"Unknown")</f>
        <v>Unknown</v>
      </c>
      <c r="F1317" s="1" t="str">
        <f ca="1">IFERROR(__xludf.DUMMYFUNCTION("""COMPUTED_VALUE"""),"Fled/Escaped")</f>
        <v>Fled/Escaped</v>
      </c>
      <c r="G1317" s="1" t="str">
        <f ca="1">IFERROR(__xludf.DUMMYFUNCTION("""COMPUTED_VALUE"""),"No")</f>
        <v>No</v>
      </c>
      <c r="H1317" s="1" t="str">
        <f ca="1">IFERROR(__xludf.DUMMYFUNCTION("""COMPUTED_VALUE"""),"None")</f>
        <v>None</v>
      </c>
    </row>
    <row r="1318" spans="1:8" ht="12.5">
      <c r="A1318" s="1" t="str">
        <f ca="1">IFERROR(__xludf.DUMMYFUNCTION("""COMPUTED_VALUE"""),"20190902MDNOB")</f>
        <v>20190902MDNOB</v>
      </c>
      <c r="B1318" s="1"/>
      <c r="C1318" s="1"/>
      <c r="D1318" s="1"/>
      <c r="E1318" s="1" t="str">
        <f ca="1">IFERROR(__xludf.DUMMYFUNCTION("""COMPUTED_VALUE"""),"No Relation")</f>
        <v>No Relation</v>
      </c>
      <c r="F1318" s="1" t="str">
        <f ca="1">IFERROR(__xludf.DUMMYFUNCTION("""COMPUTED_VALUE"""),"Fled/Escaped")</f>
        <v>Fled/Escaped</v>
      </c>
      <c r="G1318" s="1" t="str">
        <f ca="1">IFERROR(__xludf.DUMMYFUNCTION("""COMPUTED_VALUE"""),"No")</f>
        <v>No</v>
      </c>
      <c r="H1318" s="1" t="str">
        <f ca="1">IFERROR(__xludf.DUMMYFUNCTION("""COMPUTED_VALUE"""),"None")</f>
        <v>None</v>
      </c>
    </row>
    <row r="1319" spans="1:8" ht="12.5">
      <c r="A1319" s="1" t="str">
        <f ca="1">IFERROR(__xludf.DUMMYFUNCTION("""COMPUTED_VALUE"""),"20190830OHCET")</f>
        <v>20190830OHCET</v>
      </c>
      <c r="B1319" s="1"/>
      <c r="C1319" s="1" t="str">
        <f ca="1">IFERROR(__xludf.DUMMYFUNCTION("""COMPUTED_VALUE"""),"Male")</f>
        <v>Male</v>
      </c>
      <c r="D1319" s="1"/>
      <c r="E1319" s="1" t="str">
        <f ca="1">IFERROR(__xludf.DUMMYFUNCTION("""COMPUTED_VALUE"""),"Nonstudent Using Athletic Facilities/Attending Game")</f>
        <v>Nonstudent Using Athletic Facilities/Attending Game</v>
      </c>
      <c r="F1319" s="1" t="str">
        <f ca="1">IFERROR(__xludf.DUMMYFUNCTION("""COMPUTED_VALUE"""),"Fled/Escaped")</f>
        <v>Fled/Escaped</v>
      </c>
      <c r="G1319" s="1" t="str">
        <f ca="1">IFERROR(__xludf.DUMMYFUNCTION("""COMPUTED_VALUE"""),"No")</f>
        <v>No</v>
      </c>
      <c r="H1319" s="1" t="str">
        <f ca="1">IFERROR(__xludf.DUMMYFUNCTION("""COMPUTED_VALUE"""),"None")</f>
        <v>None</v>
      </c>
    </row>
    <row r="1320" spans="1:8" ht="12.5">
      <c r="A1320" s="1" t="str">
        <f ca="1">IFERROR(__xludf.DUMMYFUNCTION("""COMPUTED_VALUE"""),"20190830NCKIK")</f>
        <v>20190830NCKIK</v>
      </c>
      <c r="B1320" s="1">
        <f ca="1">IFERROR(__xludf.DUMMYFUNCTION("""COMPUTED_VALUE"""),17)</f>
        <v>17</v>
      </c>
      <c r="C1320" s="1" t="str">
        <f ca="1">IFERROR(__xludf.DUMMYFUNCTION("""COMPUTED_VALUE"""),"Male")</f>
        <v>Male</v>
      </c>
      <c r="D1320" s="1" t="str">
        <f ca="1">IFERROR(__xludf.DUMMYFUNCTION("""COMPUTED_VALUE"""),"Black")</f>
        <v>Black</v>
      </c>
      <c r="E1320" s="1" t="str">
        <f ca="1">IFERROR(__xludf.DUMMYFUNCTION("""COMPUTED_VALUE"""),"Nonstudent Using Athletic Facilities/Attending Game")</f>
        <v>Nonstudent Using Athletic Facilities/Attending Game</v>
      </c>
      <c r="F1320" s="1" t="str">
        <f ca="1">IFERROR(__xludf.DUMMYFUNCTION("""COMPUTED_VALUE"""),"Fled/Apprehended")</f>
        <v>Fled/Apprehended</v>
      </c>
      <c r="G1320" s="1" t="str">
        <f ca="1">IFERROR(__xludf.DUMMYFUNCTION("""COMPUTED_VALUE"""),"No")</f>
        <v>No</v>
      </c>
      <c r="H1320" s="1" t="str">
        <f ca="1">IFERROR(__xludf.DUMMYFUNCTION("""COMPUTED_VALUE"""),"None")</f>
        <v>None</v>
      </c>
    </row>
    <row r="1321" spans="1:8" ht="12.5">
      <c r="A1321" s="1" t="str">
        <f ca="1">IFERROR(__xludf.DUMMYFUNCTION("""COMPUTED_VALUE"""),"20190830ALLAM")</f>
        <v>20190830ALLAM</v>
      </c>
      <c r="B1321" s="1">
        <f ca="1">IFERROR(__xludf.DUMMYFUNCTION("""COMPUTED_VALUE"""),17)</f>
        <v>17</v>
      </c>
      <c r="C1321" s="1" t="str">
        <f ca="1">IFERROR(__xludf.DUMMYFUNCTION("""COMPUTED_VALUE"""),"Male")</f>
        <v>Male</v>
      </c>
      <c r="D1321" s="1" t="str">
        <f ca="1">IFERROR(__xludf.DUMMYFUNCTION("""COMPUTED_VALUE"""),"Black")</f>
        <v>Black</v>
      </c>
      <c r="E1321" s="1" t="str">
        <f ca="1">IFERROR(__xludf.DUMMYFUNCTION("""COMPUTED_VALUE"""),"Student")</f>
        <v>Student</v>
      </c>
      <c r="F1321" s="1" t="str">
        <f ca="1">IFERROR(__xludf.DUMMYFUNCTION("""COMPUTED_VALUE"""),"Fled/Apprehended")</f>
        <v>Fled/Apprehended</v>
      </c>
      <c r="G1321" s="1" t="str">
        <f ca="1">IFERROR(__xludf.DUMMYFUNCTION("""COMPUTED_VALUE"""),"No")</f>
        <v>No</v>
      </c>
      <c r="H1321" s="1" t="str">
        <f ca="1">IFERROR(__xludf.DUMMYFUNCTION("""COMPUTED_VALUE"""),"None")</f>
        <v>None</v>
      </c>
    </row>
    <row r="1322" spans="1:8" ht="12.5">
      <c r="A1322" s="1" t="str">
        <f ca="1">IFERROR(__xludf.DUMMYFUNCTION("""COMPUTED_VALUE"""),"20190827NYROR")</f>
        <v>20190827NYROR</v>
      </c>
      <c r="B1322" s="1" t="str">
        <f ca="1">IFERROR(__xludf.DUMMYFUNCTION("""COMPUTED_VALUE"""),"Adult")</f>
        <v>Adult</v>
      </c>
      <c r="C1322" s="1" t="str">
        <f ca="1">IFERROR(__xludf.DUMMYFUNCTION("""COMPUTED_VALUE"""),"Male")</f>
        <v>Male</v>
      </c>
      <c r="D1322" s="1"/>
      <c r="E1322" s="1" t="str">
        <f ca="1">IFERROR(__xludf.DUMMYFUNCTION("""COMPUTED_VALUE"""),"Unknown")</f>
        <v>Unknown</v>
      </c>
      <c r="F1322" s="1" t="str">
        <f ca="1">IFERROR(__xludf.DUMMYFUNCTION("""COMPUTED_VALUE"""),"Fled/Escaped")</f>
        <v>Fled/Escaped</v>
      </c>
      <c r="G1322" s="1" t="str">
        <f ca="1">IFERROR(__xludf.DUMMYFUNCTION("""COMPUTED_VALUE"""),"No")</f>
        <v>No</v>
      </c>
      <c r="H1322" s="1" t="str">
        <f ca="1">IFERROR(__xludf.DUMMYFUNCTION("""COMPUTED_VALUE"""),"None")</f>
        <v>None</v>
      </c>
    </row>
    <row r="1323" spans="1:8" ht="12.5">
      <c r="A1323" s="1" t="str">
        <f ca="1">IFERROR(__xludf.DUMMYFUNCTION("""COMPUTED_VALUE"""),"20190827CAHOL")</f>
        <v>20190827CAHOL</v>
      </c>
      <c r="B1323" s="1"/>
      <c r="C1323" s="1"/>
      <c r="D1323" s="1"/>
      <c r="E1323" s="1" t="str">
        <f ca="1">IFERROR(__xludf.DUMMYFUNCTION("""COMPUTED_VALUE"""),"Unknown")</f>
        <v>Unknown</v>
      </c>
      <c r="F1323" s="1" t="str">
        <f ca="1">IFERROR(__xludf.DUMMYFUNCTION("""COMPUTED_VALUE"""),"Fled/Escaped")</f>
        <v>Fled/Escaped</v>
      </c>
      <c r="G1323" s="1" t="str">
        <f ca="1">IFERROR(__xludf.DUMMYFUNCTION("""COMPUTED_VALUE"""),"No")</f>
        <v>No</v>
      </c>
      <c r="H1323" s="1" t="str">
        <f ca="1">IFERROR(__xludf.DUMMYFUNCTION("""COMPUTED_VALUE"""),"None")</f>
        <v>None</v>
      </c>
    </row>
    <row r="1324" spans="1:8" ht="12.5">
      <c r="A1324" s="1" t="str">
        <f ca="1">IFERROR(__xludf.DUMMYFUNCTION("""COMPUTED_VALUE"""),"20190824PAWIP")</f>
        <v>20190824PAWIP</v>
      </c>
      <c r="B1324" s="1"/>
      <c r="C1324" s="1" t="str">
        <f ca="1">IFERROR(__xludf.DUMMYFUNCTION("""COMPUTED_VALUE"""),"Male")</f>
        <v>Male</v>
      </c>
      <c r="D1324" s="1"/>
      <c r="E1324" s="1" t="str">
        <f ca="1">IFERROR(__xludf.DUMMYFUNCTION("""COMPUTED_VALUE"""),"No Relation")</f>
        <v>No Relation</v>
      </c>
      <c r="F1324" s="1" t="str">
        <f ca="1">IFERROR(__xludf.DUMMYFUNCTION("""COMPUTED_VALUE"""),"Fled/Escaped")</f>
        <v>Fled/Escaped</v>
      </c>
      <c r="G1324" s="1" t="str">
        <f ca="1">IFERROR(__xludf.DUMMYFUNCTION("""COMPUTED_VALUE"""),"No")</f>
        <v>No</v>
      </c>
      <c r="H1324" s="1" t="str">
        <f ca="1">IFERROR(__xludf.DUMMYFUNCTION("""COMPUTED_VALUE"""),"None")</f>
        <v>None</v>
      </c>
    </row>
    <row r="1325" spans="1:8" ht="12.5">
      <c r="A1325" s="1" t="str">
        <f ca="1">IFERROR(__xludf.DUMMYFUNCTION("""COMPUTED_VALUE"""),"20190823MOROS")</f>
        <v>20190823MOROS</v>
      </c>
      <c r="B1325" s="1"/>
      <c r="C1325" s="1"/>
      <c r="D1325" s="1"/>
      <c r="E1325" s="1" t="str">
        <f ca="1">IFERROR(__xludf.DUMMYFUNCTION("""COMPUTED_VALUE"""),"Unknown")</f>
        <v>Unknown</v>
      </c>
      <c r="F1325" s="1" t="str">
        <f ca="1">IFERROR(__xludf.DUMMYFUNCTION("""COMPUTED_VALUE"""),"Fled/Escaped")</f>
        <v>Fled/Escaped</v>
      </c>
      <c r="G1325" s="1" t="str">
        <f ca="1">IFERROR(__xludf.DUMMYFUNCTION("""COMPUTED_VALUE"""),"No")</f>
        <v>No</v>
      </c>
      <c r="H1325" s="1" t="str">
        <f ca="1">IFERROR(__xludf.DUMMYFUNCTION("""COMPUTED_VALUE"""),"None")</f>
        <v>None</v>
      </c>
    </row>
    <row r="1326" spans="1:8" ht="12.5">
      <c r="A1326" s="1" t="str">
        <f ca="1">IFERROR(__xludf.DUMMYFUNCTION("""COMPUTED_VALUE"""),"20190823MOPAS")</f>
        <v>20190823MOPAS</v>
      </c>
      <c r="B1326" s="1"/>
      <c r="C1326" s="1" t="str">
        <f ca="1">IFERROR(__xludf.DUMMYFUNCTION("""COMPUTED_VALUE"""),"Male")</f>
        <v>Male</v>
      </c>
      <c r="D1326" s="1"/>
      <c r="E1326" s="1" t="str">
        <f ca="1">IFERROR(__xludf.DUMMYFUNCTION("""COMPUTED_VALUE"""),"Unknown")</f>
        <v>Unknown</v>
      </c>
      <c r="F1326" s="1" t="str">
        <f ca="1">IFERROR(__xludf.DUMMYFUNCTION("""COMPUTED_VALUE"""),"Fled/Escaped")</f>
        <v>Fled/Escaped</v>
      </c>
      <c r="G1326" s="1" t="str">
        <f ca="1">IFERROR(__xludf.DUMMYFUNCTION("""COMPUTED_VALUE"""),"No")</f>
        <v>No</v>
      </c>
      <c r="H1326" s="1" t="str">
        <f ca="1">IFERROR(__xludf.DUMMYFUNCTION("""COMPUTED_VALUE"""),"None")</f>
        <v>None</v>
      </c>
    </row>
    <row r="1327" spans="1:8" ht="12.5">
      <c r="A1327" s="1" t="str">
        <f ca="1">IFERROR(__xludf.DUMMYFUNCTION("""COMPUTED_VALUE"""),"20190823GAPEC")</f>
        <v>20190823GAPEC</v>
      </c>
      <c r="B1327" s="1">
        <f ca="1">IFERROR(__xludf.DUMMYFUNCTION("""COMPUTED_VALUE"""),15)</f>
        <v>15</v>
      </c>
      <c r="C1327" s="1" t="str">
        <f ca="1">IFERROR(__xludf.DUMMYFUNCTION("""COMPUTED_VALUE"""),"Male")</f>
        <v>Male</v>
      </c>
      <c r="D1327" s="1"/>
      <c r="E1327" s="1" t="str">
        <f ca="1">IFERROR(__xludf.DUMMYFUNCTION("""COMPUTED_VALUE"""),"Unknown")</f>
        <v>Unknown</v>
      </c>
      <c r="F1327" s="1" t="str">
        <f ca="1">IFERROR(__xludf.DUMMYFUNCTION("""COMPUTED_VALUE"""),"Unknown")</f>
        <v>Unknown</v>
      </c>
      <c r="G1327" s="1" t="str">
        <f ca="1">IFERROR(__xludf.DUMMYFUNCTION("""COMPUTED_VALUE"""),"No")</f>
        <v>No</v>
      </c>
      <c r="H1327" s="1" t="str">
        <f ca="1">IFERROR(__xludf.DUMMYFUNCTION("""COMPUTED_VALUE"""),"None")</f>
        <v>None</v>
      </c>
    </row>
    <row r="1328" spans="1:8" ht="12.5">
      <c r="A1328" s="1" t="str">
        <f ca="1">IFERROR(__xludf.DUMMYFUNCTION("""COMPUTED_VALUE"""),"20190820PASAC")</f>
        <v>20190820PASAC</v>
      </c>
      <c r="B1328" s="1" t="str">
        <f ca="1">IFERROR(__xludf.DUMMYFUNCTION("""COMPUTED_VALUE"""),"Adult")</f>
        <v>Adult</v>
      </c>
      <c r="C1328" s="1" t="str">
        <f ca="1">IFERROR(__xludf.DUMMYFUNCTION("""COMPUTED_VALUE"""),"Male")</f>
        <v>Male</v>
      </c>
      <c r="D1328" s="1"/>
      <c r="E1328" s="1" t="str">
        <f ca="1">IFERROR(__xludf.DUMMYFUNCTION("""COMPUTED_VALUE"""),"Parent")</f>
        <v>Parent</v>
      </c>
      <c r="F1328" s="1" t="str">
        <f ca="1">IFERROR(__xludf.DUMMYFUNCTION("""COMPUTED_VALUE"""),"Surrendered")</f>
        <v>Surrendered</v>
      </c>
      <c r="G1328" s="1" t="str">
        <f ca="1">IFERROR(__xludf.DUMMYFUNCTION("""COMPUTED_VALUE"""),"No")</f>
        <v>No</v>
      </c>
      <c r="H1328" s="1" t="str">
        <f ca="1">IFERROR(__xludf.DUMMYFUNCTION("""COMPUTED_VALUE"""),"Wounded")</f>
        <v>Wounded</v>
      </c>
    </row>
    <row r="1329" spans="1:8" ht="12.5">
      <c r="A1329" s="1" t="str">
        <f ca="1">IFERROR(__xludf.DUMMYFUNCTION("""COMPUTED_VALUE"""),"20190817GALAA")</f>
        <v>20190817GALAA</v>
      </c>
      <c r="B1329" s="1">
        <f ca="1">IFERROR(__xludf.DUMMYFUNCTION("""COMPUTED_VALUE"""),15)</f>
        <v>15</v>
      </c>
      <c r="C1329" s="1" t="str">
        <f ca="1">IFERROR(__xludf.DUMMYFUNCTION("""COMPUTED_VALUE"""),"Male")</f>
        <v>Male</v>
      </c>
      <c r="D1329" s="1"/>
      <c r="E1329" s="1" t="str">
        <f ca="1">IFERROR(__xludf.DUMMYFUNCTION("""COMPUTED_VALUE"""),"Student")</f>
        <v>Student</v>
      </c>
      <c r="F1329" s="1" t="str">
        <f ca="1">IFERROR(__xludf.DUMMYFUNCTION("""COMPUTED_VALUE"""),"Fled/Apprehended")</f>
        <v>Fled/Apprehended</v>
      </c>
      <c r="G1329" s="1" t="str">
        <f ca="1">IFERROR(__xludf.DUMMYFUNCTION("""COMPUTED_VALUE"""),"No")</f>
        <v>No</v>
      </c>
      <c r="H1329" s="1" t="str">
        <f ca="1">IFERROR(__xludf.DUMMYFUNCTION("""COMPUTED_VALUE"""),"None")</f>
        <v>None</v>
      </c>
    </row>
    <row r="1330" spans="1:8" ht="12.5">
      <c r="A1330" s="1" t="str">
        <f ca="1">IFERROR(__xludf.DUMMYFUNCTION("""COMPUTED_VALUE"""),"20190815TNEAN")</f>
        <v>20190815TNEAN</v>
      </c>
      <c r="B1330" s="1">
        <f ca="1">IFERROR(__xludf.DUMMYFUNCTION("""COMPUTED_VALUE"""),15)</f>
        <v>15</v>
      </c>
      <c r="C1330" s="1" t="str">
        <f ca="1">IFERROR(__xludf.DUMMYFUNCTION("""COMPUTED_VALUE"""),"Male")</f>
        <v>Male</v>
      </c>
      <c r="D1330" s="1"/>
      <c r="E1330" s="1" t="str">
        <f ca="1">IFERROR(__xludf.DUMMYFUNCTION("""COMPUTED_VALUE"""),"Rival School Student")</f>
        <v>Rival School Student</v>
      </c>
      <c r="F1330" s="1" t="str">
        <f ca="1">IFERROR(__xludf.DUMMYFUNCTION("""COMPUTED_VALUE"""),"Fled/Apprehended")</f>
        <v>Fled/Apprehended</v>
      </c>
      <c r="G1330" s="1" t="str">
        <f ca="1">IFERROR(__xludf.DUMMYFUNCTION("""COMPUTED_VALUE"""),"No")</f>
        <v>No</v>
      </c>
      <c r="H1330" s="1" t="str">
        <f ca="1">IFERROR(__xludf.DUMMYFUNCTION("""COMPUTED_VALUE"""),"None")</f>
        <v>None</v>
      </c>
    </row>
    <row r="1331" spans="1:8" ht="12.5">
      <c r="A1331" s="1" t="str">
        <f ca="1">IFERROR(__xludf.DUMMYFUNCTION("""COMPUTED_VALUE"""),"20190809NJWEN")</f>
        <v>20190809NJWEN</v>
      </c>
      <c r="B1331" s="1">
        <f ca="1">IFERROR(__xludf.DUMMYFUNCTION("""COMPUTED_VALUE"""),16)</f>
        <v>16</v>
      </c>
      <c r="C1331" s="1" t="str">
        <f ca="1">IFERROR(__xludf.DUMMYFUNCTION("""COMPUTED_VALUE"""),"Male")</f>
        <v>Male</v>
      </c>
      <c r="D1331" s="1"/>
      <c r="E1331" s="1" t="str">
        <f ca="1">IFERROR(__xludf.DUMMYFUNCTION("""COMPUTED_VALUE"""),"No Relation")</f>
        <v>No Relation</v>
      </c>
      <c r="F1331" s="1" t="str">
        <f ca="1">IFERROR(__xludf.DUMMYFUNCTION("""COMPUTED_VALUE"""),"Fled/Apprehended")</f>
        <v>Fled/Apprehended</v>
      </c>
      <c r="G1331" s="1" t="str">
        <f ca="1">IFERROR(__xludf.DUMMYFUNCTION("""COMPUTED_VALUE"""),"No")</f>
        <v>No</v>
      </c>
      <c r="H1331" s="1" t="str">
        <f ca="1">IFERROR(__xludf.DUMMYFUNCTION("""COMPUTED_VALUE"""),"None")</f>
        <v>None</v>
      </c>
    </row>
    <row r="1332" spans="1:8" ht="12.5">
      <c r="A1332" s="1" t="str">
        <f ca="1">IFERROR(__xludf.DUMMYFUNCTION("""COMPUTED_VALUE"""),"20190808ALBLM")</f>
        <v>20190808ALBLM</v>
      </c>
      <c r="B1332" s="1">
        <f ca="1">IFERROR(__xludf.DUMMYFUNCTION("""COMPUTED_VALUE"""),38)</f>
        <v>38</v>
      </c>
      <c r="C1332" s="1" t="str">
        <f ca="1">IFERROR(__xludf.DUMMYFUNCTION("""COMPUTED_VALUE"""),"Male")</f>
        <v>Male</v>
      </c>
      <c r="D1332" s="1"/>
      <c r="E1332" s="1" t="str">
        <f ca="1">IFERROR(__xludf.DUMMYFUNCTION("""COMPUTED_VALUE"""),"Parent")</f>
        <v>Parent</v>
      </c>
      <c r="F1332" s="1" t="str">
        <f ca="1">IFERROR(__xludf.DUMMYFUNCTION("""COMPUTED_VALUE"""),"Surrendered")</f>
        <v>Surrendered</v>
      </c>
      <c r="G1332" s="1" t="str">
        <f ca="1">IFERROR(__xludf.DUMMYFUNCTION("""COMPUTED_VALUE"""),"No")</f>
        <v>No</v>
      </c>
      <c r="H1332" s="1" t="str">
        <f ca="1">IFERROR(__xludf.DUMMYFUNCTION("""COMPUTED_VALUE"""),"None")</f>
        <v>None</v>
      </c>
    </row>
    <row r="1333" spans="1:8" ht="12.5">
      <c r="A1333" s="1" t="str">
        <f ca="1">IFERROR(__xludf.DUMMYFUNCTION("""COMPUTED_VALUE"""),"20190719CAMOS")</f>
        <v>20190719CAMOS</v>
      </c>
      <c r="B1333" s="1" t="str">
        <f ca="1">IFERROR(__xludf.DUMMYFUNCTION("""COMPUTED_VALUE"""),"Teen")</f>
        <v>Teen</v>
      </c>
      <c r="C1333" s="1" t="str">
        <f ca="1">IFERROR(__xludf.DUMMYFUNCTION("""COMPUTED_VALUE"""),"Male")</f>
        <v>Male</v>
      </c>
      <c r="D1333" s="1"/>
      <c r="E1333" s="1" t="str">
        <f ca="1">IFERROR(__xludf.DUMMYFUNCTION("""COMPUTED_VALUE"""),"Unknown")</f>
        <v>Unknown</v>
      </c>
      <c r="F1333" s="1" t="str">
        <f ca="1">IFERROR(__xludf.DUMMYFUNCTION("""COMPUTED_VALUE"""),"Fled/Escaped")</f>
        <v>Fled/Escaped</v>
      </c>
      <c r="G1333" s="1" t="str">
        <f ca="1">IFERROR(__xludf.DUMMYFUNCTION("""COMPUTED_VALUE"""),"No")</f>
        <v>No</v>
      </c>
      <c r="H1333" s="1" t="str">
        <f ca="1">IFERROR(__xludf.DUMMYFUNCTION("""COMPUTED_VALUE"""),"None")</f>
        <v>None</v>
      </c>
    </row>
    <row r="1334" spans="1:8" ht="12.5">
      <c r="A1334" s="1" t="str">
        <f ca="1">IFERROR(__xludf.DUMMYFUNCTION("""COMPUTED_VALUE"""),"20190711CTBUH")</f>
        <v>20190711CTBUH</v>
      </c>
      <c r="B1334" s="1">
        <f ca="1">IFERROR(__xludf.DUMMYFUNCTION("""COMPUTED_VALUE"""),23)</f>
        <v>23</v>
      </c>
      <c r="C1334" s="1" t="str">
        <f ca="1">IFERROR(__xludf.DUMMYFUNCTION("""COMPUTED_VALUE"""),"Female")</f>
        <v>Female</v>
      </c>
      <c r="D1334" s="1" t="str">
        <f ca="1">IFERROR(__xludf.DUMMYFUNCTION("""COMPUTED_VALUE"""),"Hispanic")</f>
        <v>Hispanic</v>
      </c>
      <c r="E1334" s="1" t="str">
        <f ca="1">IFERROR(__xludf.DUMMYFUNCTION("""COMPUTED_VALUE"""),"No Relation")</f>
        <v>No Relation</v>
      </c>
      <c r="F1334" s="1" t="str">
        <f ca="1">IFERROR(__xludf.DUMMYFUNCTION("""COMPUTED_VALUE"""),"Fled/Apprehended")</f>
        <v>Fled/Apprehended</v>
      </c>
      <c r="G1334" s="1" t="str">
        <f ca="1">IFERROR(__xludf.DUMMYFUNCTION("""COMPUTED_VALUE"""),"No")</f>
        <v>No</v>
      </c>
      <c r="H1334" s="1" t="str">
        <f ca="1">IFERROR(__xludf.DUMMYFUNCTION("""COMPUTED_VALUE"""),"None")</f>
        <v>None</v>
      </c>
    </row>
    <row r="1335" spans="1:8" ht="12.5">
      <c r="A1335" s="1" t="str">
        <f ca="1">IFERROR(__xludf.DUMMYFUNCTION("""COMPUTED_VALUE"""),"20190702AKWIA")</f>
        <v>20190702AKWIA</v>
      </c>
      <c r="B1335" s="1">
        <f ca="1">IFERROR(__xludf.DUMMYFUNCTION("""COMPUTED_VALUE"""),22)</f>
        <v>22</v>
      </c>
      <c r="C1335" s="1" t="str">
        <f ca="1">IFERROR(__xludf.DUMMYFUNCTION("""COMPUTED_VALUE"""),"Male")</f>
        <v>Male</v>
      </c>
      <c r="D1335" s="1"/>
      <c r="E1335" s="1" t="str">
        <f ca="1">IFERROR(__xludf.DUMMYFUNCTION("""COMPUTED_VALUE"""),"Nonstudent Using Athletic Facilities/Attending Game")</f>
        <v>Nonstudent Using Athletic Facilities/Attending Game</v>
      </c>
      <c r="F1335" s="1" t="str">
        <f ca="1">IFERROR(__xludf.DUMMYFUNCTION("""COMPUTED_VALUE"""),"Fled/Apprehended")</f>
        <v>Fled/Apprehended</v>
      </c>
      <c r="G1335" s="1" t="str">
        <f ca="1">IFERROR(__xludf.DUMMYFUNCTION("""COMPUTED_VALUE"""),"No")</f>
        <v>No</v>
      </c>
      <c r="H1335" s="1" t="str">
        <f ca="1">IFERROR(__xludf.DUMMYFUNCTION("""COMPUTED_VALUE"""),"None")</f>
        <v>None</v>
      </c>
    </row>
    <row r="1336" spans="1:8" ht="12.5">
      <c r="A1336" s="1" t="str">
        <f ca="1">IFERROR(__xludf.DUMMYFUNCTION("""COMPUTED_VALUE"""),"20190701NYSCN")</f>
        <v>20190701NYSCN</v>
      </c>
      <c r="B1336" s="1" t="str">
        <f ca="1">IFERROR(__xludf.DUMMYFUNCTION("""COMPUTED_VALUE"""),"Adult")</f>
        <v>Adult</v>
      </c>
      <c r="C1336" s="1" t="str">
        <f ca="1">IFERROR(__xludf.DUMMYFUNCTION("""COMPUTED_VALUE"""),"Male")</f>
        <v>Male</v>
      </c>
      <c r="D1336" s="1"/>
      <c r="E1336" s="1" t="str">
        <f ca="1">IFERROR(__xludf.DUMMYFUNCTION("""COMPUTED_VALUE"""),"No Relation")</f>
        <v>No Relation</v>
      </c>
      <c r="F1336" s="1" t="str">
        <f ca="1">IFERROR(__xludf.DUMMYFUNCTION("""COMPUTED_VALUE"""),"Fled/Escaped")</f>
        <v>Fled/Escaped</v>
      </c>
      <c r="G1336" s="1" t="str">
        <f ca="1">IFERROR(__xludf.DUMMYFUNCTION("""COMPUTED_VALUE"""),"No")</f>
        <v>No</v>
      </c>
      <c r="H1336" s="1" t="str">
        <f ca="1">IFERROR(__xludf.DUMMYFUNCTION("""COMPUTED_VALUE"""),"None")</f>
        <v>None</v>
      </c>
    </row>
    <row r="1337" spans="1:8" ht="12.5">
      <c r="A1337" s="1" t="str">
        <f ca="1">IFERROR(__xludf.DUMMYFUNCTION("""COMPUTED_VALUE"""),"20190629COJAC")</f>
        <v>20190629COJAC</v>
      </c>
      <c r="B1337" s="1"/>
      <c r="C1337" s="1" t="str">
        <f ca="1">IFERROR(__xludf.DUMMYFUNCTION("""COMPUTED_VALUE"""),"Male")</f>
        <v>Male</v>
      </c>
      <c r="D1337" s="1"/>
      <c r="E1337" s="1" t="str">
        <f ca="1">IFERROR(__xludf.DUMMYFUNCTION("""COMPUTED_VALUE"""),"No Relation")</f>
        <v>No Relation</v>
      </c>
      <c r="F1337" s="1" t="str">
        <f ca="1">IFERROR(__xludf.DUMMYFUNCTION("""COMPUTED_VALUE"""),"Fled/Escaped")</f>
        <v>Fled/Escaped</v>
      </c>
      <c r="G1337" s="1" t="str">
        <f ca="1">IFERROR(__xludf.DUMMYFUNCTION("""COMPUTED_VALUE"""),"No")</f>
        <v>No</v>
      </c>
      <c r="H1337" s="1" t="str">
        <f ca="1">IFERROR(__xludf.DUMMYFUNCTION("""COMPUTED_VALUE"""),"None")</f>
        <v>None</v>
      </c>
    </row>
    <row r="1338" spans="1:8" ht="12.5">
      <c r="A1338" s="1" t="str">
        <f ca="1">IFERROR(__xludf.DUMMYFUNCTION("""COMPUTED_VALUE"""),"20190621MICAF")</f>
        <v>20190621MICAF</v>
      </c>
      <c r="B1338" s="1"/>
      <c r="C1338" s="1"/>
      <c r="D1338" s="1"/>
      <c r="E1338" s="1" t="str">
        <f ca="1">IFERROR(__xludf.DUMMYFUNCTION("""COMPUTED_VALUE"""),"Unknown")</f>
        <v>Unknown</v>
      </c>
      <c r="F1338" s="1" t="str">
        <f ca="1">IFERROR(__xludf.DUMMYFUNCTION("""COMPUTED_VALUE"""),"Fled/Escaped")</f>
        <v>Fled/Escaped</v>
      </c>
      <c r="G1338" s="1" t="str">
        <f ca="1">IFERROR(__xludf.DUMMYFUNCTION("""COMPUTED_VALUE"""),"No")</f>
        <v>No</v>
      </c>
      <c r="H1338" s="1" t="str">
        <f ca="1">IFERROR(__xludf.DUMMYFUNCTION("""COMPUTED_VALUE"""),"None")</f>
        <v>None</v>
      </c>
    </row>
    <row r="1339" spans="1:8" ht="12.5">
      <c r="A1339" s="1" t="str">
        <f ca="1">IFERROR(__xludf.DUMMYFUNCTION("""COMPUTED_VALUE"""),"20190613NJTAW")</f>
        <v>20190613NJTAW</v>
      </c>
      <c r="B1339" s="1">
        <f ca="1">IFERROR(__xludf.DUMMYFUNCTION("""COMPUTED_VALUE"""),46)</f>
        <v>46</v>
      </c>
      <c r="C1339" s="1" t="str">
        <f ca="1">IFERROR(__xludf.DUMMYFUNCTION("""COMPUTED_VALUE"""),"Male")</f>
        <v>Male</v>
      </c>
      <c r="D1339" s="1" t="str">
        <f ca="1">IFERROR(__xludf.DUMMYFUNCTION("""COMPUTED_VALUE"""),"White")</f>
        <v>White</v>
      </c>
      <c r="E1339" s="1" t="str">
        <f ca="1">IFERROR(__xludf.DUMMYFUNCTION("""COMPUTED_VALUE"""),"Unknown")</f>
        <v>Unknown</v>
      </c>
      <c r="F1339" s="1" t="str">
        <f ca="1">IFERROR(__xludf.DUMMYFUNCTION("""COMPUTED_VALUE"""),"Surrendered")</f>
        <v>Surrendered</v>
      </c>
      <c r="G1339" s="1" t="str">
        <f ca="1">IFERROR(__xludf.DUMMYFUNCTION("""COMPUTED_VALUE"""),"No")</f>
        <v>No</v>
      </c>
      <c r="H1339" s="1" t="str">
        <f ca="1">IFERROR(__xludf.DUMMYFUNCTION("""COMPUTED_VALUE"""),"None")</f>
        <v>None</v>
      </c>
    </row>
    <row r="1340" spans="1:8" ht="12.5">
      <c r="A1340" s="1" t="str">
        <f ca="1">IFERROR(__xludf.DUMMYFUNCTION("""COMPUTED_VALUE"""),"20190612PAJEE")</f>
        <v>20190612PAJEE</v>
      </c>
      <c r="B1340" s="1">
        <f ca="1">IFERROR(__xludf.DUMMYFUNCTION("""COMPUTED_VALUE"""),16)</f>
        <v>16</v>
      </c>
      <c r="C1340" s="1" t="str">
        <f ca="1">IFERROR(__xludf.DUMMYFUNCTION("""COMPUTED_VALUE"""),"Male")</f>
        <v>Male</v>
      </c>
      <c r="D1340" s="1"/>
      <c r="E1340" s="1" t="str">
        <f ca="1">IFERROR(__xludf.DUMMYFUNCTION("""COMPUTED_VALUE"""),"No Relation")</f>
        <v>No Relation</v>
      </c>
      <c r="F1340" s="1" t="str">
        <f ca="1">IFERROR(__xludf.DUMMYFUNCTION("""COMPUTED_VALUE"""),"Fled/Apprehended")</f>
        <v>Fled/Apprehended</v>
      </c>
      <c r="G1340" s="1" t="str">
        <f ca="1">IFERROR(__xludf.DUMMYFUNCTION("""COMPUTED_VALUE"""),"No")</f>
        <v>No</v>
      </c>
      <c r="H1340" s="1" t="str">
        <f ca="1">IFERROR(__xludf.DUMMYFUNCTION("""COMPUTED_VALUE"""),"None")</f>
        <v>None</v>
      </c>
    </row>
    <row r="1341" spans="1:8" ht="12.5">
      <c r="A1341" s="1" t="str">
        <f ca="1">IFERROR(__xludf.DUMMYFUNCTION("""COMPUTED_VALUE"""),"20190612PAJEE")</f>
        <v>20190612PAJEE</v>
      </c>
      <c r="B1341" s="1">
        <f ca="1">IFERROR(__xludf.DUMMYFUNCTION("""COMPUTED_VALUE"""),18)</f>
        <v>18</v>
      </c>
      <c r="C1341" s="1" t="str">
        <f ca="1">IFERROR(__xludf.DUMMYFUNCTION("""COMPUTED_VALUE"""),"Female")</f>
        <v>Female</v>
      </c>
      <c r="D1341" s="1"/>
      <c r="E1341" s="1" t="str">
        <f ca="1">IFERROR(__xludf.DUMMYFUNCTION("""COMPUTED_VALUE"""),"Intimate Relationship")</f>
        <v>Intimate Relationship</v>
      </c>
      <c r="F1341" s="1" t="str">
        <f ca="1">IFERROR(__xludf.DUMMYFUNCTION("""COMPUTED_VALUE"""),"Fled/Apprehended")</f>
        <v>Fled/Apprehended</v>
      </c>
      <c r="G1341" s="1" t="str">
        <f ca="1">IFERROR(__xludf.DUMMYFUNCTION("""COMPUTED_VALUE"""),"No")</f>
        <v>No</v>
      </c>
      <c r="H1341" s="1" t="str">
        <f ca="1">IFERROR(__xludf.DUMMYFUNCTION("""COMPUTED_VALUE"""),"None")</f>
        <v>None</v>
      </c>
    </row>
    <row r="1342" spans="1:8" ht="12.5">
      <c r="A1342" s="1" t="str">
        <f ca="1">IFERROR(__xludf.DUMMYFUNCTION("""COMPUTED_VALUE"""),"20190612DCHEW")</f>
        <v>20190612DCHEW</v>
      </c>
      <c r="B1342" s="1"/>
      <c r="C1342" s="1"/>
      <c r="D1342" s="1"/>
      <c r="E1342" s="1" t="str">
        <f ca="1">IFERROR(__xludf.DUMMYFUNCTION("""COMPUTED_VALUE"""),"No Relation")</f>
        <v>No Relation</v>
      </c>
      <c r="F1342" s="1" t="str">
        <f ca="1">IFERROR(__xludf.DUMMYFUNCTION("""COMPUTED_VALUE"""),"Fled/Escaped")</f>
        <v>Fled/Escaped</v>
      </c>
      <c r="G1342" s="1" t="str">
        <f ca="1">IFERROR(__xludf.DUMMYFUNCTION("""COMPUTED_VALUE"""),"No")</f>
        <v>No</v>
      </c>
      <c r="H1342" s="1" t="str">
        <f ca="1">IFERROR(__xludf.DUMMYFUNCTION("""COMPUTED_VALUE"""),"None")</f>
        <v>None</v>
      </c>
    </row>
    <row r="1343" spans="1:8" ht="12.5">
      <c r="A1343" s="1" t="str">
        <f ca="1">IFERROR(__xludf.DUMMYFUNCTION("""COMPUTED_VALUE"""),"20190610ILMEW")</f>
        <v>20190610ILMEW</v>
      </c>
      <c r="B1343" s="1">
        <f ca="1">IFERROR(__xludf.DUMMYFUNCTION("""COMPUTED_VALUE"""),15)</f>
        <v>15</v>
      </c>
      <c r="C1343" s="1" t="str">
        <f ca="1">IFERROR(__xludf.DUMMYFUNCTION("""COMPUTED_VALUE"""),"Male")</f>
        <v>Male</v>
      </c>
      <c r="D1343" s="1"/>
      <c r="E1343" s="1" t="str">
        <f ca="1">IFERROR(__xludf.DUMMYFUNCTION("""COMPUTED_VALUE"""),"No Relation")</f>
        <v>No Relation</v>
      </c>
      <c r="F1343" s="1" t="str">
        <f ca="1">IFERROR(__xludf.DUMMYFUNCTION("""COMPUTED_VALUE"""),"Fled/Apprehended")</f>
        <v>Fled/Apprehended</v>
      </c>
      <c r="G1343" s="1" t="str">
        <f ca="1">IFERROR(__xludf.DUMMYFUNCTION("""COMPUTED_VALUE"""),"No")</f>
        <v>No</v>
      </c>
      <c r="H1343" s="1" t="str">
        <f ca="1">IFERROR(__xludf.DUMMYFUNCTION("""COMPUTED_VALUE"""),"None")</f>
        <v>None</v>
      </c>
    </row>
    <row r="1344" spans="1:8" ht="12.5">
      <c r="A1344" s="1" t="str">
        <f ca="1">IFERROR(__xludf.DUMMYFUNCTION("""COMPUTED_VALUE"""),"20190610ILMEW")</f>
        <v>20190610ILMEW</v>
      </c>
      <c r="B1344" s="1">
        <f ca="1">IFERROR(__xludf.DUMMYFUNCTION("""COMPUTED_VALUE"""),27)</f>
        <v>27</v>
      </c>
      <c r="C1344" s="1" t="str">
        <f ca="1">IFERROR(__xludf.DUMMYFUNCTION("""COMPUTED_VALUE"""),"Male")</f>
        <v>Male</v>
      </c>
      <c r="D1344" s="1"/>
      <c r="E1344" s="1" t="str">
        <f ca="1">IFERROR(__xludf.DUMMYFUNCTION("""COMPUTED_VALUE"""),"No Relation")</f>
        <v>No Relation</v>
      </c>
      <c r="F1344" s="1" t="str">
        <f ca="1">IFERROR(__xludf.DUMMYFUNCTION("""COMPUTED_VALUE"""),"Fled/Apprehended")</f>
        <v>Fled/Apprehended</v>
      </c>
      <c r="G1344" s="1" t="str">
        <f ca="1">IFERROR(__xludf.DUMMYFUNCTION("""COMPUTED_VALUE"""),"No")</f>
        <v>No</v>
      </c>
      <c r="H1344" s="1" t="str">
        <f ca="1">IFERROR(__xludf.DUMMYFUNCTION("""COMPUTED_VALUE"""),"None")</f>
        <v>None</v>
      </c>
    </row>
    <row r="1345" spans="1:8" ht="12.5">
      <c r="A1345" s="1" t="str">
        <f ca="1">IFERROR(__xludf.DUMMYFUNCTION("""COMPUTED_VALUE"""),"20190606ILGEC")</f>
        <v>20190606ILGEC</v>
      </c>
      <c r="B1345" s="1"/>
      <c r="C1345" s="1"/>
      <c r="D1345" s="1"/>
      <c r="E1345" s="1" t="str">
        <f ca="1">IFERROR(__xludf.DUMMYFUNCTION("""COMPUTED_VALUE"""),"Nonstudent Using Athletic Facilities/Attending Game")</f>
        <v>Nonstudent Using Athletic Facilities/Attending Game</v>
      </c>
      <c r="F1345" s="1" t="str">
        <f ca="1">IFERROR(__xludf.DUMMYFUNCTION("""COMPUTED_VALUE"""),"Fled/Escaped")</f>
        <v>Fled/Escaped</v>
      </c>
      <c r="G1345" s="1" t="str">
        <f ca="1">IFERROR(__xludf.DUMMYFUNCTION("""COMPUTED_VALUE"""),"No")</f>
        <v>No</v>
      </c>
      <c r="H1345" s="1" t="str">
        <f ca="1">IFERROR(__xludf.DUMMYFUNCTION("""COMPUTED_VALUE"""),"None")</f>
        <v>None</v>
      </c>
    </row>
    <row r="1346" spans="1:8" ht="12.5">
      <c r="A1346" s="1" t="str">
        <f ca="1">IFERROR(__xludf.DUMMYFUNCTION("""COMPUTED_VALUE"""),"20190530DCHEW")</f>
        <v>20190530DCHEW</v>
      </c>
      <c r="B1346" s="1"/>
      <c r="C1346" s="1"/>
      <c r="D1346" s="1"/>
      <c r="E1346" s="1" t="str">
        <f ca="1">IFERROR(__xludf.DUMMYFUNCTION("""COMPUTED_VALUE"""),"No Relation")</f>
        <v>No Relation</v>
      </c>
      <c r="F1346" s="1" t="str">
        <f ca="1">IFERROR(__xludf.DUMMYFUNCTION("""COMPUTED_VALUE"""),"Fled/Escaped")</f>
        <v>Fled/Escaped</v>
      </c>
      <c r="G1346" s="1" t="str">
        <f ca="1">IFERROR(__xludf.DUMMYFUNCTION("""COMPUTED_VALUE"""),"No")</f>
        <v>No</v>
      </c>
      <c r="H1346" s="1" t="str">
        <f ca="1">IFERROR(__xludf.DUMMYFUNCTION("""COMPUTED_VALUE"""),"None")</f>
        <v>None</v>
      </c>
    </row>
    <row r="1347" spans="1:8" ht="12.5">
      <c r="A1347" s="1" t="str">
        <f ca="1">IFERROR(__xludf.DUMMYFUNCTION("""COMPUTED_VALUE"""),"20190522OHSAC")</f>
        <v>20190522OHSAC</v>
      </c>
      <c r="B1347" s="1">
        <f ca="1">IFERROR(__xludf.DUMMYFUNCTION("""COMPUTED_VALUE"""),13)</f>
        <v>13</v>
      </c>
      <c r="C1347" s="1" t="str">
        <f ca="1">IFERROR(__xludf.DUMMYFUNCTION("""COMPUTED_VALUE"""),"Male")</f>
        <v>Male</v>
      </c>
      <c r="D1347" s="1"/>
      <c r="E1347" s="1" t="str">
        <f ca="1">IFERROR(__xludf.DUMMYFUNCTION("""COMPUTED_VALUE"""),"No Relation")</f>
        <v>No Relation</v>
      </c>
      <c r="F1347" s="1" t="str">
        <f ca="1">IFERROR(__xludf.DUMMYFUNCTION("""COMPUTED_VALUE"""),"Fled/Apprehended")</f>
        <v>Fled/Apprehended</v>
      </c>
      <c r="G1347" s="1" t="str">
        <f ca="1">IFERROR(__xludf.DUMMYFUNCTION("""COMPUTED_VALUE"""),"No")</f>
        <v>No</v>
      </c>
      <c r="H1347" s="1" t="str">
        <f ca="1">IFERROR(__xludf.DUMMYFUNCTION("""COMPUTED_VALUE"""),"None")</f>
        <v>None</v>
      </c>
    </row>
    <row r="1348" spans="1:8" ht="12.5">
      <c r="A1348" s="1" t="str">
        <f ca="1">IFERROR(__xludf.DUMMYFUNCTION("""COMPUTED_VALUE"""),"20190517ORPAP")</f>
        <v>20190517ORPAP</v>
      </c>
      <c r="B1348" s="1">
        <f ca="1">IFERROR(__xludf.DUMMYFUNCTION("""COMPUTED_VALUE"""),18)</f>
        <v>18</v>
      </c>
      <c r="C1348" s="1" t="str">
        <f ca="1">IFERROR(__xludf.DUMMYFUNCTION("""COMPUTED_VALUE"""),"Male")</f>
        <v>Male</v>
      </c>
      <c r="D1348" s="1" t="str">
        <f ca="1">IFERROR(__xludf.DUMMYFUNCTION("""COMPUTED_VALUE"""),"Hispanic")</f>
        <v>Hispanic</v>
      </c>
      <c r="E1348" s="1" t="str">
        <f ca="1">IFERROR(__xludf.DUMMYFUNCTION("""COMPUTED_VALUE"""),"Student")</f>
        <v>Student</v>
      </c>
      <c r="F1348" s="1" t="str">
        <f ca="1">IFERROR(__xludf.DUMMYFUNCTION("""COMPUTED_VALUE"""),"Subdued by Students/Staff/Other")</f>
        <v>Subdued by Students/Staff/Other</v>
      </c>
      <c r="G1348" s="1" t="str">
        <f ca="1">IFERROR(__xludf.DUMMYFUNCTION("""COMPUTED_VALUE"""),"No")</f>
        <v>No</v>
      </c>
      <c r="H1348" s="1" t="str">
        <f ca="1">IFERROR(__xludf.DUMMYFUNCTION("""COMPUTED_VALUE"""),"None")</f>
        <v>None</v>
      </c>
    </row>
    <row r="1349" spans="1:8" ht="12.5">
      <c r="A1349" s="1" t="str">
        <f ca="1">IFERROR(__xludf.DUMMYFUNCTION("""COMPUTED_VALUE"""),"20190517FLTEJ")</f>
        <v>20190517FLTEJ</v>
      </c>
      <c r="B1349" s="1">
        <f ca="1">IFERROR(__xludf.DUMMYFUNCTION("""COMPUTED_VALUE"""),19)</f>
        <v>19</v>
      </c>
      <c r="C1349" s="1" t="str">
        <f ca="1">IFERROR(__xludf.DUMMYFUNCTION("""COMPUTED_VALUE"""),"Male")</f>
        <v>Male</v>
      </c>
      <c r="D1349" s="1" t="str">
        <f ca="1">IFERROR(__xludf.DUMMYFUNCTION("""COMPUTED_VALUE"""),"Black")</f>
        <v>Black</v>
      </c>
      <c r="E1349" s="1" t="str">
        <f ca="1">IFERROR(__xludf.DUMMYFUNCTION("""COMPUTED_VALUE"""),"Unknown")</f>
        <v>Unknown</v>
      </c>
      <c r="F1349" s="1" t="str">
        <f ca="1">IFERROR(__xludf.DUMMYFUNCTION("""COMPUTED_VALUE"""),"Fled/Apprehended")</f>
        <v>Fled/Apprehended</v>
      </c>
      <c r="G1349" s="1" t="str">
        <f ca="1">IFERROR(__xludf.DUMMYFUNCTION("""COMPUTED_VALUE"""),"No")</f>
        <v>No</v>
      </c>
      <c r="H1349" s="1" t="str">
        <f ca="1">IFERROR(__xludf.DUMMYFUNCTION("""COMPUTED_VALUE"""),"None")</f>
        <v>None</v>
      </c>
    </row>
    <row r="1350" spans="1:8" ht="12.5">
      <c r="A1350" s="1" t="str">
        <f ca="1">IFERROR(__xludf.DUMMYFUNCTION("""COMPUTED_VALUE"""),"20190508ILSEC")</f>
        <v>20190508ILSEC</v>
      </c>
      <c r="B1350" s="1">
        <f ca="1">IFERROR(__xludf.DUMMYFUNCTION("""COMPUTED_VALUE"""),18)</f>
        <v>18</v>
      </c>
      <c r="C1350" s="1" t="str">
        <f ca="1">IFERROR(__xludf.DUMMYFUNCTION("""COMPUTED_VALUE"""),"Male")</f>
        <v>Male</v>
      </c>
      <c r="D1350" s="1" t="str">
        <f ca="1">IFERROR(__xludf.DUMMYFUNCTION("""COMPUTED_VALUE"""),"Hispanic")</f>
        <v>Hispanic</v>
      </c>
      <c r="E1350" s="1" t="str">
        <f ca="1">IFERROR(__xludf.DUMMYFUNCTION("""COMPUTED_VALUE"""),"No Relation")</f>
        <v>No Relation</v>
      </c>
      <c r="F1350" s="1" t="str">
        <f ca="1">IFERROR(__xludf.DUMMYFUNCTION("""COMPUTED_VALUE"""),"Fled/Apprehended")</f>
        <v>Fled/Apprehended</v>
      </c>
      <c r="G1350" s="1" t="str">
        <f ca="1">IFERROR(__xludf.DUMMYFUNCTION("""COMPUTED_VALUE"""),"No")</f>
        <v>No</v>
      </c>
      <c r="H1350" s="1" t="str">
        <f ca="1">IFERROR(__xludf.DUMMYFUNCTION("""COMPUTED_VALUE"""),"None")</f>
        <v>None</v>
      </c>
    </row>
    <row r="1351" spans="1:8" ht="12.5">
      <c r="A1351" s="1" t="str">
        <f ca="1">IFERROR(__xludf.DUMMYFUNCTION("""COMPUTED_VALUE"""),"20190507COSTH")</f>
        <v>20190507COSTH</v>
      </c>
      <c r="B1351" s="1">
        <f ca="1">IFERROR(__xludf.DUMMYFUNCTION("""COMPUTED_VALUE"""),18)</f>
        <v>18</v>
      </c>
      <c r="C1351" s="1" t="str">
        <f ca="1">IFERROR(__xludf.DUMMYFUNCTION("""COMPUTED_VALUE"""),"Male")</f>
        <v>Male</v>
      </c>
      <c r="D1351" s="1" t="str">
        <f ca="1">IFERROR(__xludf.DUMMYFUNCTION("""COMPUTED_VALUE"""),"White")</f>
        <v>White</v>
      </c>
      <c r="E1351" s="1" t="str">
        <f ca="1">IFERROR(__xludf.DUMMYFUNCTION("""COMPUTED_VALUE"""),"Student")</f>
        <v>Student</v>
      </c>
      <c r="F1351" s="1" t="str">
        <f ca="1">IFERROR(__xludf.DUMMYFUNCTION("""COMPUTED_VALUE"""),"Apprehended/Killed by LE")</f>
        <v>Apprehended/Killed by LE</v>
      </c>
      <c r="G1351" s="1" t="str">
        <f ca="1">IFERROR(__xludf.DUMMYFUNCTION("""COMPUTED_VALUE"""),"No")</f>
        <v>No</v>
      </c>
      <c r="H1351" s="1" t="str">
        <f ca="1">IFERROR(__xludf.DUMMYFUNCTION("""COMPUTED_VALUE"""),"None")</f>
        <v>None</v>
      </c>
    </row>
    <row r="1352" spans="1:8" ht="12.5">
      <c r="A1352" s="1" t="str">
        <f ca="1">IFERROR(__xludf.DUMMYFUNCTION("""COMPUTED_VALUE"""),"20190507COSTH")</f>
        <v>20190507COSTH</v>
      </c>
      <c r="B1352" s="1">
        <f ca="1">IFERROR(__xludf.DUMMYFUNCTION("""COMPUTED_VALUE"""),16)</f>
        <v>16</v>
      </c>
      <c r="C1352" s="1" t="str">
        <f ca="1">IFERROR(__xludf.DUMMYFUNCTION("""COMPUTED_VALUE"""),"Transgender")</f>
        <v>Transgender</v>
      </c>
      <c r="D1352" s="1" t="str">
        <f ca="1">IFERROR(__xludf.DUMMYFUNCTION("""COMPUTED_VALUE"""),"White")</f>
        <v>White</v>
      </c>
      <c r="E1352" s="1" t="str">
        <f ca="1">IFERROR(__xludf.DUMMYFUNCTION("""COMPUTED_VALUE"""),"Student")</f>
        <v>Student</v>
      </c>
      <c r="F1352" s="1" t="str">
        <f ca="1">IFERROR(__xludf.DUMMYFUNCTION("""COMPUTED_VALUE"""),"Apprehended/Killed by LE")</f>
        <v>Apprehended/Killed by LE</v>
      </c>
      <c r="G1352" s="1" t="str">
        <f ca="1">IFERROR(__xludf.DUMMYFUNCTION("""COMPUTED_VALUE"""),"No")</f>
        <v>No</v>
      </c>
      <c r="H1352" s="1" t="str">
        <f ca="1">IFERROR(__xludf.DUMMYFUNCTION("""COMPUTED_VALUE"""),"None")</f>
        <v>None</v>
      </c>
    </row>
    <row r="1353" spans="1:8" ht="12.5">
      <c r="A1353" s="1" t="str">
        <f ca="1">IFERROR(__xludf.DUMMYFUNCTION("""COMPUTED_VALUE"""),"20190430VACDW")</f>
        <v>20190430VACDW</v>
      </c>
      <c r="B1353" s="1">
        <f ca="1">IFERROR(__xludf.DUMMYFUNCTION("""COMPUTED_VALUE"""),16)</f>
        <v>16</v>
      </c>
      <c r="C1353" s="1" t="str">
        <f ca="1">IFERROR(__xludf.DUMMYFUNCTION("""COMPUTED_VALUE"""),"Male")</f>
        <v>Male</v>
      </c>
      <c r="D1353" s="1"/>
      <c r="E1353" s="1" t="str">
        <f ca="1">IFERROR(__xludf.DUMMYFUNCTION("""COMPUTED_VALUE"""),"Student")</f>
        <v>Student</v>
      </c>
      <c r="F1353" s="1" t="str">
        <f ca="1">IFERROR(__xludf.DUMMYFUNCTION("""COMPUTED_VALUE"""),"Apprehended/Killed by SRO")</f>
        <v>Apprehended/Killed by SRO</v>
      </c>
      <c r="G1353" s="1" t="str">
        <f ca="1">IFERROR(__xludf.DUMMYFUNCTION("""COMPUTED_VALUE"""),"No")</f>
        <v>No</v>
      </c>
      <c r="H1353" s="1" t="str">
        <f ca="1">IFERROR(__xludf.DUMMYFUNCTION("""COMPUTED_VALUE"""),"None")</f>
        <v>None</v>
      </c>
    </row>
    <row r="1354" spans="1:8" ht="12.5">
      <c r="A1354" s="1" t="str">
        <f ca="1">IFERROR(__xludf.DUMMYFUNCTION("""COMPUTED_VALUE"""),"20190430FLWEW")</f>
        <v>20190430FLWEW</v>
      </c>
      <c r="B1354" s="1" t="str">
        <f ca="1">IFERROR(__xludf.DUMMYFUNCTION("""COMPUTED_VALUE"""),"Adult")</f>
        <v>Adult</v>
      </c>
      <c r="C1354" s="1"/>
      <c r="D1354" s="1" t="str">
        <f ca="1">IFERROR(__xludf.DUMMYFUNCTION("""COMPUTED_VALUE"""),"N/A")</f>
        <v>N/A</v>
      </c>
      <c r="E1354" s="1" t="str">
        <f ca="1">IFERROR(__xludf.DUMMYFUNCTION("""COMPUTED_VALUE"""),"Police Officer/SRO")</f>
        <v>Police Officer/SRO</v>
      </c>
      <c r="F1354" s="1" t="str">
        <f ca="1">IFERROR(__xludf.DUMMYFUNCTION("""COMPUTED_VALUE"""),"Law Enforcement")</f>
        <v>Law Enforcement</v>
      </c>
      <c r="G1354" s="1" t="str">
        <f ca="1">IFERROR(__xludf.DUMMYFUNCTION("""COMPUTED_VALUE"""),"No")</f>
        <v>No</v>
      </c>
      <c r="H1354" s="1" t="str">
        <f ca="1">IFERROR(__xludf.DUMMYFUNCTION("""COMPUTED_VALUE"""),"None")</f>
        <v>None</v>
      </c>
    </row>
    <row r="1355" spans="1:8" ht="12.5">
      <c r="A1355" s="1" t="str">
        <f ca="1">IFERROR(__xludf.DUMMYFUNCTION("""COMPUTED_VALUE"""),"20190426GACRF")</f>
        <v>20190426GACRF</v>
      </c>
      <c r="B1355" s="1" t="str">
        <f ca="1">IFERROR(__xludf.DUMMYFUNCTION("""COMPUTED_VALUE"""),"Adult")</f>
        <v>Adult</v>
      </c>
      <c r="C1355" s="1"/>
      <c r="D1355" s="1"/>
      <c r="E1355" s="1" t="str">
        <f ca="1">IFERROR(__xludf.DUMMYFUNCTION("""COMPUTED_VALUE"""),"Parent")</f>
        <v>Parent</v>
      </c>
      <c r="F1355" s="1" t="str">
        <f ca="1">IFERROR(__xludf.DUMMYFUNCTION("""COMPUTED_VALUE"""),"Fled/Escaped")</f>
        <v>Fled/Escaped</v>
      </c>
      <c r="G1355" s="1" t="str">
        <f ca="1">IFERROR(__xludf.DUMMYFUNCTION("""COMPUTED_VALUE"""),"No")</f>
        <v>No</v>
      </c>
      <c r="H1355" s="1" t="str">
        <f ca="1">IFERROR(__xludf.DUMMYFUNCTION("""COMPUTED_VALUE"""),"None")</f>
        <v>None</v>
      </c>
    </row>
    <row r="1356" spans="1:8" ht="12.5">
      <c r="A1356" s="1" t="str">
        <f ca="1">IFERROR(__xludf.DUMMYFUNCTION("""COMPUTED_VALUE"""),"20190425GAWYS")</f>
        <v>20190425GAWYS</v>
      </c>
      <c r="B1356" s="1"/>
      <c r="C1356" s="1"/>
      <c r="D1356" s="1"/>
      <c r="E1356" s="1" t="str">
        <f ca="1">IFERROR(__xludf.DUMMYFUNCTION("""COMPUTED_VALUE"""),"Unknown")</f>
        <v>Unknown</v>
      </c>
      <c r="F1356" s="1" t="str">
        <f ca="1">IFERROR(__xludf.DUMMYFUNCTION("""COMPUTED_VALUE"""),"Fled/Escaped")</f>
        <v>Fled/Escaped</v>
      </c>
      <c r="G1356" s="1" t="str">
        <f ca="1">IFERROR(__xludf.DUMMYFUNCTION("""COMPUTED_VALUE"""),"No")</f>
        <v>No</v>
      </c>
      <c r="H1356" s="1" t="str">
        <f ca="1">IFERROR(__xludf.DUMMYFUNCTION("""COMPUTED_VALUE"""),"None")</f>
        <v>None</v>
      </c>
    </row>
    <row r="1357" spans="1:8" ht="12.5">
      <c r="A1357" s="1" t="str">
        <f ca="1">IFERROR(__xludf.DUMMYFUNCTION("""COMPUTED_VALUE"""),"20190424ARCOC")</f>
        <v>20190424ARCOC</v>
      </c>
      <c r="B1357" s="1">
        <f ca="1">IFERROR(__xludf.DUMMYFUNCTION("""COMPUTED_VALUE"""),14)</f>
        <v>14</v>
      </c>
      <c r="C1357" s="1" t="str">
        <f ca="1">IFERROR(__xludf.DUMMYFUNCTION("""COMPUTED_VALUE"""),"Male")</f>
        <v>Male</v>
      </c>
      <c r="D1357" s="1"/>
      <c r="E1357" s="1" t="str">
        <f ca="1">IFERROR(__xludf.DUMMYFUNCTION("""COMPUTED_VALUE"""),"Student")</f>
        <v>Student</v>
      </c>
      <c r="F1357" s="1" t="str">
        <f ca="1">IFERROR(__xludf.DUMMYFUNCTION("""COMPUTED_VALUE"""),"Suicide")</f>
        <v>Suicide</v>
      </c>
      <c r="G1357" s="1" t="str">
        <f ca="1">IFERROR(__xludf.DUMMYFUNCTION("""COMPUTED_VALUE"""),"Yes")</f>
        <v>Yes</v>
      </c>
      <c r="H1357" s="1" t="str">
        <f ca="1">IFERROR(__xludf.DUMMYFUNCTION("""COMPUTED_VALUE"""),"Suicide")</f>
        <v>Suicide</v>
      </c>
    </row>
    <row r="1358" spans="1:8" ht="12.5">
      <c r="A1358" s="1" t="str">
        <f ca="1">IFERROR(__xludf.DUMMYFUNCTION("""COMPUTED_VALUE"""),"20190417ILWAL")</f>
        <v>20190417ILWAL</v>
      </c>
      <c r="B1358" s="1" t="str">
        <f ca="1">IFERROR(__xludf.DUMMYFUNCTION("""COMPUTED_VALUE"""),"Teen")</f>
        <v>Teen</v>
      </c>
      <c r="C1358" s="1" t="str">
        <f ca="1">IFERROR(__xludf.DUMMYFUNCTION("""COMPUTED_VALUE"""),"Male")</f>
        <v>Male</v>
      </c>
      <c r="D1358" s="1"/>
      <c r="E1358" s="1" t="str">
        <f ca="1">IFERROR(__xludf.DUMMYFUNCTION("""COMPUTED_VALUE"""),"Student")</f>
        <v>Student</v>
      </c>
      <c r="F1358" s="1" t="str">
        <f ca="1">IFERROR(__xludf.DUMMYFUNCTION("""COMPUTED_VALUE"""),"Suicide")</f>
        <v>Suicide</v>
      </c>
      <c r="G1358" s="1" t="str">
        <f ca="1">IFERROR(__xludf.DUMMYFUNCTION("""COMPUTED_VALUE"""),"Yes")</f>
        <v>Yes</v>
      </c>
      <c r="H1358" s="1" t="str">
        <f ca="1">IFERROR(__xludf.DUMMYFUNCTION("""COMPUTED_VALUE"""),"Suicide")</f>
        <v>Suicide</v>
      </c>
    </row>
    <row r="1359" spans="1:8" ht="12.5">
      <c r="A1359" s="1" t="str">
        <f ca="1">IFERROR(__xludf.DUMMYFUNCTION("""COMPUTED_VALUE"""),"20190410TXROH")</f>
        <v>20190410TXROH</v>
      </c>
      <c r="B1359" s="1"/>
      <c r="C1359" s="1" t="str">
        <f ca="1">IFERROR(__xludf.DUMMYFUNCTION("""COMPUTED_VALUE"""),"Male")</f>
        <v>Male</v>
      </c>
      <c r="D1359" s="1"/>
      <c r="E1359" s="1" t="str">
        <f ca="1">IFERROR(__xludf.DUMMYFUNCTION("""COMPUTED_VALUE"""),"No Relation")</f>
        <v>No Relation</v>
      </c>
      <c r="F1359" s="1" t="str">
        <f ca="1">IFERROR(__xludf.DUMMYFUNCTION("""COMPUTED_VALUE"""),"Fled/Escaped")</f>
        <v>Fled/Escaped</v>
      </c>
      <c r="G1359" s="1" t="str">
        <f ca="1">IFERROR(__xludf.DUMMYFUNCTION("""COMPUTED_VALUE"""),"No")</f>
        <v>No</v>
      </c>
      <c r="H1359" s="1" t="str">
        <f ca="1">IFERROR(__xludf.DUMMYFUNCTION("""COMPUTED_VALUE"""),"None")</f>
        <v>None</v>
      </c>
    </row>
    <row r="1360" spans="1:8" ht="12.5">
      <c r="A1360" s="1" t="str">
        <f ca="1">IFERROR(__xludf.DUMMYFUNCTION("""COMPUTED_VALUE"""),"20190410TXROH")</f>
        <v>20190410TXROH</v>
      </c>
      <c r="B1360" s="1"/>
      <c r="C1360" s="1" t="str">
        <f ca="1">IFERROR(__xludf.DUMMYFUNCTION("""COMPUTED_VALUE"""),"Male")</f>
        <v>Male</v>
      </c>
      <c r="D1360" s="1"/>
      <c r="E1360" s="1" t="str">
        <f ca="1">IFERROR(__xludf.DUMMYFUNCTION("""COMPUTED_VALUE"""),"No Relation")</f>
        <v>No Relation</v>
      </c>
      <c r="F1360" s="1" t="str">
        <f ca="1">IFERROR(__xludf.DUMMYFUNCTION("""COMPUTED_VALUE"""),"Fled/Escaped")</f>
        <v>Fled/Escaped</v>
      </c>
      <c r="G1360" s="1" t="str">
        <f ca="1">IFERROR(__xludf.DUMMYFUNCTION("""COMPUTED_VALUE"""),"No")</f>
        <v>No</v>
      </c>
      <c r="H1360" s="1" t="str">
        <f ca="1">IFERROR(__xludf.DUMMYFUNCTION("""COMPUTED_VALUE"""),"None")</f>
        <v>None</v>
      </c>
    </row>
    <row r="1361" spans="1:8" ht="12.5">
      <c r="A1361" s="1" t="str">
        <f ca="1">IFERROR(__xludf.DUMMYFUNCTION("""COMPUTED_VALUE"""),"20190407MAHOL")</f>
        <v>20190407MAHOL</v>
      </c>
      <c r="B1361" s="1"/>
      <c r="C1361" s="1"/>
      <c r="D1361" s="1"/>
      <c r="E1361" s="1" t="str">
        <f ca="1">IFERROR(__xludf.DUMMYFUNCTION("""COMPUTED_VALUE"""),"Unknown")</f>
        <v>Unknown</v>
      </c>
      <c r="F1361" s="1" t="str">
        <f ca="1">IFERROR(__xludf.DUMMYFUNCTION("""COMPUTED_VALUE"""),"Fled/Escaped")</f>
        <v>Fled/Escaped</v>
      </c>
      <c r="G1361" s="1" t="str">
        <f ca="1">IFERROR(__xludf.DUMMYFUNCTION("""COMPUTED_VALUE"""),"No")</f>
        <v>No</v>
      </c>
      <c r="H1361" s="1" t="str">
        <f ca="1">IFERROR(__xludf.DUMMYFUNCTION("""COMPUTED_VALUE"""),"None")</f>
        <v>None</v>
      </c>
    </row>
    <row r="1362" spans="1:8" ht="12.5">
      <c r="A1362" s="1" t="str">
        <f ca="1">IFERROR(__xludf.DUMMYFUNCTION("""COMPUTED_VALUE"""),"20190405WISTM")</f>
        <v>20190405WISTM</v>
      </c>
      <c r="B1362" s="1">
        <f ca="1">IFERROR(__xludf.DUMMYFUNCTION("""COMPUTED_VALUE"""),59)</f>
        <v>59</v>
      </c>
      <c r="C1362" s="1" t="str">
        <f ca="1">IFERROR(__xludf.DUMMYFUNCTION("""COMPUTED_VALUE"""),"Male")</f>
        <v>Male</v>
      </c>
      <c r="D1362" s="1"/>
      <c r="E1362" s="1" t="str">
        <f ca="1">IFERROR(__xludf.DUMMYFUNCTION("""COMPUTED_VALUE"""),"Other Staff")</f>
        <v>Other Staff</v>
      </c>
      <c r="F1362" s="1" t="str">
        <f ca="1">IFERROR(__xludf.DUMMYFUNCTION("""COMPUTED_VALUE"""),"Unknown")</f>
        <v>Unknown</v>
      </c>
      <c r="G1362" s="1" t="str">
        <f ca="1">IFERROR(__xludf.DUMMYFUNCTION("""COMPUTED_VALUE"""),"No")</f>
        <v>No</v>
      </c>
      <c r="H1362" s="1" t="str">
        <f ca="1">IFERROR(__xludf.DUMMYFUNCTION("""COMPUTED_VALUE"""),"None")</f>
        <v>None</v>
      </c>
    </row>
    <row r="1363" spans="1:8" ht="12.5">
      <c r="A1363" s="1" t="str">
        <f ca="1">IFERROR(__xludf.DUMMYFUNCTION("""COMPUTED_VALUE"""),"20190403FLSAJ")</f>
        <v>20190403FLSAJ</v>
      </c>
      <c r="B1363" s="1"/>
      <c r="C1363" s="1"/>
      <c r="D1363" s="1"/>
      <c r="E1363" s="1" t="str">
        <f ca="1">IFERROR(__xludf.DUMMYFUNCTION("""COMPUTED_VALUE"""),"No Relation")</f>
        <v>No Relation</v>
      </c>
      <c r="F1363" s="1" t="str">
        <f ca="1">IFERROR(__xludf.DUMMYFUNCTION("""COMPUTED_VALUE"""),"Fled/Escaped")</f>
        <v>Fled/Escaped</v>
      </c>
      <c r="G1363" s="1" t="str">
        <f ca="1">IFERROR(__xludf.DUMMYFUNCTION("""COMPUTED_VALUE"""),"No")</f>
        <v>No</v>
      </c>
      <c r="H1363" s="1" t="str">
        <f ca="1">IFERROR(__xludf.DUMMYFUNCTION("""COMPUTED_VALUE"""),"None")</f>
        <v>None</v>
      </c>
    </row>
    <row r="1364" spans="1:8" ht="12.5">
      <c r="A1364" s="1" t="str">
        <f ca="1">IFERROR(__xludf.DUMMYFUNCTION("""COMPUTED_VALUE"""),"20190403COAUA")</f>
        <v>20190403COAUA</v>
      </c>
      <c r="B1364" s="1">
        <f ca="1">IFERROR(__xludf.DUMMYFUNCTION("""COMPUTED_VALUE"""),30)</f>
        <v>30</v>
      </c>
      <c r="C1364" s="1" t="str">
        <f ca="1">IFERROR(__xludf.DUMMYFUNCTION("""COMPUTED_VALUE"""),"Male")</f>
        <v>Male</v>
      </c>
      <c r="D1364" s="1" t="str">
        <f ca="1">IFERROR(__xludf.DUMMYFUNCTION("""COMPUTED_VALUE"""),"Other")</f>
        <v>Other</v>
      </c>
      <c r="E1364" s="1" t="str">
        <f ca="1">IFERROR(__xludf.DUMMYFUNCTION("""COMPUTED_VALUE"""),"Other Staff")</f>
        <v>Other Staff</v>
      </c>
      <c r="F1364" s="1" t="str">
        <f ca="1">IFERROR(__xludf.DUMMYFUNCTION("""COMPUTED_VALUE"""),"Fled/Apprehended")</f>
        <v>Fled/Apprehended</v>
      </c>
      <c r="G1364" s="1" t="str">
        <f ca="1">IFERROR(__xludf.DUMMYFUNCTION("""COMPUTED_VALUE"""),"No")</f>
        <v>No</v>
      </c>
      <c r="H1364" s="1" t="str">
        <f ca="1">IFERROR(__xludf.DUMMYFUNCTION("""COMPUTED_VALUE"""),"None")</f>
        <v>None</v>
      </c>
    </row>
    <row r="1365" spans="1:8" ht="12.5">
      <c r="A1365" s="1" t="str">
        <f ca="1">IFERROR(__xludf.DUMMYFUNCTION("""COMPUTED_VALUE"""),"20190401ARPRP")</f>
        <v>20190401ARPRP</v>
      </c>
      <c r="B1365" s="1">
        <f ca="1">IFERROR(__xludf.DUMMYFUNCTION("""COMPUTED_VALUE"""),14)</f>
        <v>14</v>
      </c>
      <c r="C1365" s="1" t="str">
        <f ca="1">IFERROR(__xludf.DUMMYFUNCTION("""COMPUTED_VALUE"""),"Male")</f>
        <v>Male</v>
      </c>
      <c r="D1365" s="1"/>
      <c r="E1365" s="1" t="str">
        <f ca="1">IFERROR(__xludf.DUMMYFUNCTION("""COMPUTED_VALUE"""),"Student")</f>
        <v>Student</v>
      </c>
      <c r="F1365" s="1" t="str">
        <f ca="1">IFERROR(__xludf.DUMMYFUNCTION("""COMPUTED_VALUE"""),"Apprehended/Killed by SRO")</f>
        <v>Apprehended/Killed by SRO</v>
      </c>
      <c r="G1365" s="1" t="str">
        <f ca="1">IFERROR(__xludf.DUMMYFUNCTION("""COMPUTED_VALUE"""),"No")</f>
        <v>No</v>
      </c>
      <c r="H1365" s="1" t="str">
        <f ca="1">IFERROR(__xludf.DUMMYFUNCTION("""COMPUTED_VALUE"""),"None")</f>
        <v>None</v>
      </c>
    </row>
    <row r="1366" spans="1:8" ht="12.5">
      <c r="A1366" s="1" t="str">
        <f ca="1">IFERROR(__xludf.DUMMYFUNCTION("""COMPUTED_VALUE"""),"20190327MSSVH")</f>
        <v>20190327MSSVH</v>
      </c>
      <c r="B1366" s="1"/>
      <c r="C1366" s="1"/>
      <c r="D1366" s="1"/>
      <c r="E1366" s="1" t="str">
        <f ca="1">IFERROR(__xludf.DUMMYFUNCTION("""COMPUTED_VALUE"""),"Unknown")</f>
        <v>Unknown</v>
      </c>
      <c r="F1366" s="1" t="str">
        <f ca="1">IFERROR(__xludf.DUMMYFUNCTION("""COMPUTED_VALUE"""),"Fled/Escaped")</f>
        <v>Fled/Escaped</v>
      </c>
      <c r="G1366" s="1" t="str">
        <f ca="1">IFERROR(__xludf.DUMMYFUNCTION("""COMPUTED_VALUE"""),"No")</f>
        <v>No</v>
      </c>
      <c r="H1366" s="1" t="str">
        <f ca="1">IFERROR(__xludf.DUMMYFUNCTION("""COMPUTED_VALUE"""),"None")</f>
        <v>None</v>
      </c>
    </row>
    <row r="1367" spans="1:8" ht="12.5">
      <c r="A1367" s="1" t="str">
        <f ca="1">IFERROR(__xludf.DUMMYFUNCTION("""COMPUTED_VALUE"""),"20190327FLMAJ")</f>
        <v>20190327FLMAJ</v>
      </c>
      <c r="B1367" s="1"/>
      <c r="C1367" s="1"/>
      <c r="D1367" s="1"/>
      <c r="E1367" s="1"/>
      <c r="F1367" s="1" t="str">
        <f ca="1">IFERROR(__xludf.DUMMYFUNCTION("""COMPUTED_VALUE"""),"Fled/Escaped")</f>
        <v>Fled/Escaped</v>
      </c>
      <c r="G1367" s="1" t="str">
        <f ca="1">IFERROR(__xludf.DUMMYFUNCTION("""COMPUTED_VALUE"""),"No")</f>
        <v>No</v>
      </c>
      <c r="H1367" s="1" t="str">
        <f ca="1">IFERROR(__xludf.DUMMYFUNCTION("""COMPUTED_VALUE"""),"None")</f>
        <v>None</v>
      </c>
    </row>
    <row r="1368" spans="1:8" ht="12.5">
      <c r="A1368" s="1" t="str">
        <f ca="1">IFERROR(__xludf.DUMMYFUNCTION("""COMPUTED_VALUE"""),"20190322ALBLB")</f>
        <v>20190322ALBLB</v>
      </c>
      <c r="B1368" s="1">
        <f ca="1">IFERROR(__xludf.DUMMYFUNCTION("""COMPUTED_VALUE"""),74)</f>
        <v>74</v>
      </c>
      <c r="C1368" s="1" t="str">
        <f ca="1">IFERROR(__xludf.DUMMYFUNCTION("""COMPUTED_VALUE"""),"Male")</f>
        <v>Male</v>
      </c>
      <c r="D1368" s="1" t="str">
        <f ca="1">IFERROR(__xludf.DUMMYFUNCTION("""COMPUTED_VALUE"""),"White")</f>
        <v>White</v>
      </c>
      <c r="E1368" s="1" t="str">
        <f ca="1">IFERROR(__xludf.DUMMYFUNCTION("""COMPUTED_VALUE"""),"Teacher")</f>
        <v>Teacher</v>
      </c>
      <c r="F1368" s="1" t="str">
        <f ca="1">IFERROR(__xludf.DUMMYFUNCTION("""COMPUTED_VALUE"""),"Surrendered")</f>
        <v>Surrendered</v>
      </c>
      <c r="G1368" s="1" t="str">
        <f ca="1">IFERROR(__xludf.DUMMYFUNCTION("""COMPUTED_VALUE"""),"No")</f>
        <v>No</v>
      </c>
      <c r="H1368" s="1" t="str">
        <f ca="1">IFERROR(__xludf.DUMMYFUNCTION("""COMPUTED_VALUE"""),"Wounded")</f>
        <v>Wounded</v>
      </c>
    </row>
    <row r="1369" spans="1:8" ht="12.5">
      <c r="A1369" s="1" t="str">
        <f ca="1">IFERROR(__xludf.DUMMYFUNCTION("""COMPUTED_VALUE"""),"20190313FLLAO")</f>
        <v>20190313FLLAO</v>
      </c>
      <c r="B1369" s="1">
        <f ca="1">IFERROR(__xludf.DUMMYFUNCTION("""COMPUTED_VALUE"""),17)</f>
        <v>17</v>
      </c>
      <c r="C1369" s="1" t="str">
        <f ca="1">IFERROR(__xludf.DUMMYFUNCTION("""COMPUTED_VALUE"""),"Female")</f>
        <v>Female</v>
      </c>
      <c r="D1369" s="1"/>
      <c r="E1369" s="1" t="str">
        <f ca="1">IFERROR(__xludf.DUMMYFUNCTION("""COMPUTED_VALUE"""),"Student")</f>
        <v>Student</v>
      </c>
      <c r="F1369" s="1" t="str">
        <f ca="1">IFERROR(__xludf.DUMMYFUNCTION("""COMPUTED_VALUE"""),"Suicide")</f>
        <v>Suicide</v>
      </c>
      <c r="G1369" s="1" t="str">
        <f ca="1">IFERROR(__xludf.DUMMYFUNCTION("""COMPUTED_VALUE"""),"Yes")</f>
        <v>Yes</v>
      </c>
      <c r="H1369" s="1" t="str">
        <f ca="1">IFERROR(__xludf.DUMMYFUNCTION("""COMPUTED_VALUE"""),"Suicide")</f>
        <v>Suicide</v>
      </c>
    </row>
    <row r="1370" spans="1:8" ht="12.5">
      <c r="A1370" s="1" t="str">
        <f ca="1">IFERROR(__xludf.DUMMYFUNCTION("""COMPUTED_VALUE"""),"20190301KSHIM")</f>
        <v>20190301KSHIM</v>
      </c>
      <c r="B1370" s="1">
        <f ca="1">IFERROR(__xludf.DUMMYFUNCTION("""COMPUTED_VALUE"""),26)</f>
        <v>26</v>
      </c>
      <c r="C1370" s="1" t="str">
        <f ca="1">IFERROR(__xludf.DUMMYFUNCTION("""COMPUTED_VALUE"""),"Male")</f>
        <v>Male</v>
      </c>
      <c r="D1370" s="1" t="str">
        <f ca="1">IFERROR(__xludf.DUMMYFUNCTION("""COMPUTED_VALUE"""),"White")</f>
        <v>White</v>
      </c>
      <c r="E1370" s="1" t="str">
        <f ca="1">IFERROR(__xludf.DUMMYFUNCTION("""COMPUTED_VALUE"""),"No Relation")</f>
        <v>No Relation</v>
      </c>
      <c r="F1370" s="1" t="str">
        <f ca="1">IFERROR(__xludf.DUMMYFUNCTION("""COMPUTED_VALUE"""),"Apprehended/Killed by LE")</f>
        <v>Apprehended/Killed by LE</v>
      </c>
      <c r="G1370" s="1" t="str">
        <f ca="1">IFERROR(__xludf.DUMMYFUNCTION("""COMPUTED_VALUE"""),"No")</f>
        <v>No</v>
      </c>
      <c r="H1370" s="1" t="str">
        <f ca="1">IFERROR(__xludf.DUMMYFUNCTION("""COMPUTED_VALUE"""),"Wounded")</f>
        <v>Wounded</v>
      </c>
    </row>
    <row r="1371" spans="1:8" ht="12.5">
      <c r="A1371" s="1" t="str">
        <f ca="1">IFERROR(__xludf.DUMMYFUNCTION("""COMPUTED_VALUE"""),"20190226ALROM")</f>
        <v>20190226ALROM</v>
      </c>
      <c r="B1371" s="1" t="str">
        <f ca="1">IFERROR(__xludf.DUMMYFUNCTION("""COMPUTED_VALUE"""),"Teen")</f>
        <v>Teen</v>
      </c>
      <c r="C1371" s="1" t="str">
        <f ca="1">IFERROR(__xludf.DUMMYFUNCTION("""COMPUTED_VALUE"""),"Male")</f>
        <v>Male</v>
      </c>
      <c r="D1371" s="1" t="str">
        <f ca="1">IFERROR(__xludf.DUMMYFUNCTION("""COMPUTED_VALUE"""),"Black")</f>
        <v>Black</v>
      </c>
      <c r="E1371" s="1" t="str">
        <f ca="1">IFERROR(__xludf.DUMMYFUNCTION("""COMPUTED_VALUE"""),"Student")</f>
        <v>Student</v>
      </c>
      <c r="F1371" s="1" t="str">
        <f ca="1">IFERROR(__xludf.DUMMYFUNCTION("""COMPUTED_VALUE"""),"Fled/Apprehended")</f>
        <v>Fled/Apprehended</v>
      </c>
      <c r="G1371" s="1" t="str">
        <f ca="1">IFERROR(__xludf.DUMMYFUNCTION("""COMPUTED_VALUE"""),"No")</f>
        <v>No</v>
      </c>
      <c r="H1371" s="1" t="str">
        <f ca="1">IFERROR(__xludf.DUMMYFUNCTION("""COMPUTED_VALUE"""),"None")</f>
        <v>None</v>
      </c>
    </row>
    <row r="1372" spans="1:8" ht="12.5">
      <c r="A1372" s="1" t="str">
        <f ca="1">IFERROR(__xludf.DUMMYFUNCTION("""COMPUTED_VALUE"""),"20190217COEAA")</f>
        <v>20190217COEAA</v>
      </c>
      <c r="B1372" s="1">
        <f ca="1">IFERROR(__xludf.DUMMYFUNCTION("""COMPUTED_VALUE"""),31)</f>
        <v>31</v>
      </c>
      <c r="C1372" s="1" t="str">
        <f ca="1">IFERROR(__xludf.DUMMYFUNCTION("""COMPUTED_VALUE"""),"Male")</f>
        <v>Male</v>
      </c>
      <c r="D1372" s="1" t="str">
        <f ca="1">IFERROR(__xludf.DUMMYFUNCTION("""COMPUTED_VALUE"""),"Black")</f>
        <v>Black</v>
      </c>
      <c r="E1372" s="1" t="str">
        <f ca="1">IFERROR(__xludf.DUMMYFUNCTION("""COMPUTED_VALUE"""),"Other Staff")</f>
        <v>Other Staff</v>
      </c>
      <c r="F1372" s="1" t="str">
        <f ca="1">IFERROR(__xludf.DUMMYFUNCTION("""COMPUTED_VALUE"""),"Surrendered")</f>
        <v>Surrendered</v>
      </c>
      <c r="G1372" s="1" t="str">
        <f ca="1">IFERROR(__xludf.DUMMYFUNCTION("""COMPUTED_VALUE"""),"No")</f>
        <v>No</v>
      </c>
      <c r="H1372" s="1" t="str">
        <f ca="1">IFERROR(__xludf.DUMMYFUNCTION("""COMPUTED_VALUE"""),"None")</f>
        <v>None</v>
      </c>
    </row>
    <row r="1373" spans="1:8" ht="12.5">
      <c r="A1373" s="1" t="str">
        <f ca="1">IFERROR(__xludf.DUMMYFUNCTION("""COMPUTED_VALUE"""),"20190214NMVR")</f>
        <v>20190214NMVR</v>
      </c>
      <c r="B1373" s="1">
        <f ca="1">IFERROR(__xludf.DUMMYFUNCTION("""COMPUTED_VALUE"""),16)</f>
        <v>16</v>
      </c>
      <c r="C1373" s="1" t="str">
        <f ca="1">IFERROR(__xludf.DUMMYFUNCTION("""COMPUTED_VALUE"""),"Male")</f>
        <v>Male</v>
      </c>
      <c r="D1373" s="1"/>
      <c r="E1373" s="1" t="str">
        <f ca="1">IFERROR(__xludf.DUMMYFUNCTION("""COMPUTED_VALUE"""),"Student")</f>
        <v>Student</v>
      </c>
      <c r="F1373" s="1" t="str">
        <f ca="1">IFERROR(__xludf.DUMMYFUNCTION("""COMPUTED_VALUE"""),"Fled/Apprehended")</f>
        <v>Fled/Apprehended</v>
      </c>
      <c r="G1373" s="1" t="str">
        <f ca="1">IFERROR(__xludf.DUMMYFUNCTION("""COMPUTED_VALUE"""),"No")</f>
        <v>No</v>
      </c>
      <c r="H1373" s="1" t="str">
        <f ca="1">IFERROR(__xludf.DUMMYFUNCTION("""COMPUTED_VALUE"""),"None")</f>
        <v>None</v>
      </c>
    </row>
    <row r="1374" spans="1:8" ht="12.5">
      <c r="A1374" s="1" t="str">
        <f ca="1">IFERROR(__xludf.DUMMYFUNCTION("""COMPUTED_VALUE"""),"20190212MOCEK")</f>
        <v>20190212MOCEK</v>
      </c>
      <c r="B1374" s="1">
        <f ca="1">IFERROR(__xludf.DUMMYFUNCTION("""COMPUTED_VALUE"""),21)</f>
        <v>21</v>
      </c>
      <c r="C1374" s="1" t="str">
        <f ca="1">IFERROR(__xludf.DUMMYFUNCTION("""COMPUTED_VALUE"""),"Female")</f>
        <v>Female</v>
      </c>
      <c r="D1374" s="1" t="str">
        <f ca="1">IFERROR(__xludf.DUMMYFUNCTION("""COMPUTED_VALUE"""),"Black")</f>
        <v>Black</v>
      </c>
      <c r="E1374" s="1" t="str">
        <f ca="1">IFERROR(__xludf.DUMMYFUNCTION("""COMPUTED_VALUE"""),"Nonstudent Using Athletic Facilities/Attending Game")</f>
        <v>Nonstudent Using Athletic Facilities/Attending Game</v>
      </c>
      <c r="F1374" s="1" t="str">
        <f ca="1">IFERROR(__xludf.DUMMYFUNCTION("""COMPUTED_VALUE"""),"Fled/Apprehended")</f>
        <v>Fled/Apprehended</v>
      </c>
      <c r="G1374" s="1" t="str">
        <f ca="1">IFERROR(__xludf.DUMMYFUNCTION("""COMPUTED_VALUE"""),"No")</f>
        <v>No</v>
      </c>
      <c r="H1374" s="1" t="str">
        <f ca="1">IFERROR(__xludf.DUMMYFUNCTION("""COMPUTED_VALUE"""),"None")</f>
        <v>None</v>
      </c>
    </row>
    <row r="1375" spans="1:8" ht="12.5">
      <c r="A1375" s="1" t="str">
        <f ca="1">IFERROR(__xludf.DUMMYFUNCTION("""COMPUTED_VALUE"""),"20190208MDFRB")</f>
        <v>20190208MDFRB</v>
      </c>
      <c r="B1375" s="1">
        <f ca="1">IFERROR(__xludf.DUMMYFUNCTION("""COMPUTED_VALUE"""),25)</f>
        <v>25</v>
      </c>
      <c r="C1375" s="1" t="str">
        <f ca="1">IFERROR(__xludf.DUMMYFUNCTION("""COMPUTED_VALUE"""),"Male")</f>
        <v>Male</v>
      </c>
      <c r="D1375" s="1" t="str">
        <f ca="1">IFERROR(__xludf.DUMMYFUNCTION("""COMPUTED_VALUE"""),"Black")</f>
        <v>Black</v>
      </c>
      <c r="E1375" s="1" t="str">
        <f ca="1">IFERROR(__xludf.DUMMYFUNCTION("""COMPUTED_VALUE"""),"No Relation")</f>
        <v>No Relation</v>
      </c>
      <c r="F1375" s="1" t="str">
        <f ca="1">IFERROR(__xludf.DUMMYFUNCTION("""COMPUTED_VALUE"""),"Apprehended/Killed by LE")</f>
        <v>Apprehended/Killed by LE</v>
      </c>
      <c r="G1375" s="1" t="str">
        <f ca="1">IFERROR(__xludf.DUMMYFUNCTION("""COMPUTED_VALUE"""),"No")</f>
        <v>No</v>
      </c>
      <c r="H1375" s="1" t="str">
        <f ca="1">IFERROR(__xludf.DUMMYFUNCTION("""COMPUTED_VALUE"""),"None")</f>
        <v>None</v>
      </c>
    </row>
    <row r="1376" spans="1:8" ht="12.5">
      <c r="A1376" s="1" t="str">
        <f ca="1">IFERROR(__xludf.DUMMYFUNCTION("""COMPUTED_VALUE"""),"20190205MNMIM")</f>
        <v>20190205MNMIM</v>
      </c>
      <c r="B1376" s="1">
        <f ca="1">IFERROR(__xludf.DUMMYFUNCTION("""COMPUTED_VALUE"""),31)</f>
        <v>31</v>
      </c>
      <c r="C1376" s="1" t="str">
        <f ca="1">IFERROR(__xludf.DUMMYFUNCTION("""COMPUTED_VALUE"""),"Male")</f>
        <v>Male</v>
      </c>
      <c r="D1376" s="1"/>
      <c r="E1376" s="1" t="str">
        <f ca="1">IFERROR(__xludf.DUMMYFUNCTION("""COMPUTED_VALUE"""),"No Relation")</f>
        <v>No Relation</v>
      </c>
      <c r="F1376" s="1" t="str">
        <f ca="1">IFERROR(__xludf.DUMMYFUNCTION("""COMPUTED_VALUE"""),"Apprehended/Killed by LE")</f>
        <v>Apprehended/Killed by LE</v>
      </c>
      <c r="G1376" s="1" t="str">
        <f ca="1">IFERROR(__xludf.DUMMYFUNCTION("""COMPUTED_VALUE"""),"No")</f>
        <v>No</v>
      </c>
      <c r="H1376" s="1" t="str">
        <f ca="1">IFERROR(__xludf.DUMMYFUNCTION("""COMPUTED_VALUE"""),"None")</f>
        <v>None</v>
      </c>
    </row>
    <row r="1377" spans="1:8" ht="12.5">
      <c r="A1377" s="1" t="str">
        <f ca="1">IFERROR(__xludf.DUMMYFUNCTION("""COMPUTED_VALUE"""),"20190131TXATA")</f>
        <v>20190131TXATA</v>
      </c>
      <c r="B1377" s="1">
        <f ca="1">IFERROR(__xludf.DUMMYFUNCTION("""COMPUTED_VALUE"""),16)</f>
        <v>16</v>
      </c>
      <c r="C1377" s="1" t="str">
        <f ca="1">IFERROR(__xludf.DUMMYFUNCTION("""COMPUTED_VALUE"""),"Male")</f>
        <v>Male</v>
      </c>
      <c r="D1377" s="1"/>
      <c r="E1377" s="1" t="str">
        <f ca="1">IFERROR(__xludf.DUMMYFUNCTION("""COMPUTED_VALUE"""),"Student")</f>
        <v>Student</v>
      </c>
      <c r="F1377" s="1" t="str">
        <f ca="1">IFERROR(__xludf.DUMMYFUNCTION("""COMPUTED_VALUE"""),"Fled/Escaped")</f>
        <v>Fled/Escaped</v>
      </c>
      <c r="G1377" s="1" t="str">
        <f ca="1">IFERROR(__xludf.DUMMYFUNCTION("""COMPUTED_VALUE"""),"No")</f>
        <v>No</v>
      </c>
      <c r="H1377" s="1" t="str">
        <f ca="1">IFERROR(__xludf.DUMMYFUNCTION("""COMPUTED_VALUE"""),"None")</f>
        <v>None</v>
      </c>
    </row>
    <row r="1378" spans="1:8" ht="12.5">
      <c r="A1378" s="1" t="str">
        <f ca="1">IFERROR(__xludf.DUMMYFUNCTION("""COMPUTED_VALUE"""),"20190131TNMAM")</f>
        <v>20190131TNMAM</v>
      </c>
      <c r="B1378" s="1"/>
      <c r="C1378" s="1"/>
      <c r="D1378" s="1"/>
      <c r="E1378" s="1" t="str">
        <f ca="1">IFERROR(__xludf.DUMMYFUNCTION("""COMPUTED_VALUE"""),"Unknown")</f>
        <v>Unknown</v>
      </c>
      <c r="F1378" s="1" t="str">
        <f ca="1">IFERROR(__xludf.DUMMYFUNCTION("""COMPUTED_VALUE"""),"Fled/Escaped")</f>
        <v>Fled/Escaped</v>
      </c>
      <c r="G1378" s="1" t="str">
        <f ca="1">IFERROR(__xludf.DUMMYFUNCTION("""COMPUTED_VALUE"""),"No")</f>
        <v>No</v>
      </c>
      <c r="H1378" s="1" t="str">
        <f ca="1">IFERROR(__xludf.DUMMYFUNCTION("""COMPUTED_VALUE"""),"None")</f>
        <v>None</v>
      </c>
    </row>
    <row r="1379" spans="1:8" ht="12.5">
      <c r="A1379" s="1" t="str">
        <f ca="1">IFERROR(__xludf.DUMMYFUNCTION("""COMPUTED_VALUE"""),"20190130GAMIL")</f>
        <v>20190130GAMIL</v>
      </c>
      <c r="B1379" s="1">
        <f ca="1">IFERROR(__xludf.DUMMYFUNCTION("""COMPUTED_VALUE"""),16)</f>
        <v>16</v>
      </c>
      <c r="C1379" s="1" t="str">
        <f ca="1">IFERROR(__xludf.DUMMYFUNCTION("""COMPUTED_VALUE"""),"Male")</f>
        <v>Male</v>
      </c>
      <c r="D1379" s="1"/>
      <c r="E1379" s="1" t="str">
        <f ca="1">IFERROR(__xludf.DUMMYFUNCTION("""COMPUTED_VALUE"""),"No Relation")</f>
        <v>No Relation</v>
      </c>
      <c r="F1379" s="1" t="str">
        <f ca="1">IFERROR(__xludf.DUMMYFUNCTION("""COMPUTED_VALUE"""),"Fled/Escaped")</f>
        <v>Fled/Escaped</v>
      </c>
      <c r="G1379" s="1" t="str">
        <f ca="1">IFERROR(__xludf.DUMMYFUNCTION("""COMPUTED_VALUE"""),"No")</f>
        <v>No</v>
      </c>
      <c r="H1379" s="1" t="str">
        <f ca="1">IFERROR(__xludf.DUMMYFUNCTION("""COMPUTED_VALUE"""),"None")</f>
        <v>None</v>
      </c>
    </row>
    <row r="1380" spans="1:8" ht="12.5">
      <c r="A1380" s="1" t="str">
        <f ca="1">IFERROR(__xludf.DUMMYFUNCTION("""COMPUTED_VALUE"""),"20190127NVRER")</f>
        <v>20190127NVRER</v>
      </c>
      <c r="B1380" s="1">
        <f ca="1">IFERROR(__xludf.DUMMYFUNCTION("""COMPUTED_VALUE"""),35)</f>
        <v>35</v>
      </c>
      <c r="C1380" s="1" t="str">
        <f ca="1">IFERROR(__xludf.DUMMYFUNCTION("""COMPUTED_VALUE"""),"Male")</f>
        <v>Male</v>
      </c>
      <c r="D1380" s="1" t="str">
        <f ca="1">IFERROR(__xludf.DUMMYFUNCTION("""COMPUTED_VALUE"""),"White")</f>
        <v>White</v>
      </c>
      <c r="E1380" s="1" t="str">
        <f ca="1">IFERROR(__xludf.DUMMYFUNCTION("""COMPUTED_VALUE"""),"No Relation")</f>
        <v>No Relation</v>
      </c>
      <c r="F1380" s="1" t="str">
        <f ca="1">IFERROR(__xludf.DUMMYFUNCTION("""COMPUTED_VALUE"""),"Apprehended/Killed by LE")</f>
        <v>Apprehended/Killed by LE</v>
      </c>
      <c r="G1380" s="1" t="str">
        <f ca="1">IFERROR(__xludf.DUMMYFUNCTION("""COMPUTED_VALUE"""),"No")</f>
        <v>No</v>
      </c>
      <c r="H1380" s="1" t="str">
        <f ca="1">IFERROR(__xludf.DUMMYFUNCTION("""COMPUTED_VALUE"""),"Wounded")</f>
        <v>Wounded</v>
      </c>
    </row>
    <row r="1381" spans="1:8" ht="12.5">
      <c r="A1381" s="1" t="str">
        <f ca="1">IFERROR(__xludf.DUMMYFUNCTION("""COMPUTED_VALUE"""),"20190125TNMAM")</f>
        <v>20190125TNMAM</v>
      </c>
      <c r="B1381" s="1">
        <f ca="1">IFERROR(__xludf.DUMMYFUNCTION("""COMPUTED_VALUE"""),16)</f>
        <v>16</v>
      </c>
      <c r="C1381" s="1" t="str">
        <f ca="1">IFERROR(__xludf.DUMMYFUNCTION("""COMPUTED_VALUE"""),"Male")</f>
        <v>Male</v>
      </c>
      <c r="D1381" s="1" t="str">
        <f ca="1">IFERROR(__xludf.DUMMYFUNCTION("""COMPUTED_VALUE"""),"Black")</f>
        <v>Black</v>
      </c>
      <c r="E1381" s="1" t="str">
        <f ca="1">IFERROR(__xludf.DUMMYFUNCTION("""COMPUTED_VALUE"""),"Unknown")</f>
        <v>Unknown</v>
      </c>
      <c r="F1381" s="1" t="str">
        <f ca="1">IFERROR(__xludf.DUMMYFUNCTION("""COMPUTED_VALUE"""),"Fled/Apprehended")</f>
        <v>Fled/Apprehended</v>
      </c>
      <c r="G1381" s="1" t="str">
        <f ca="1">IFERROR(__xludf.DUMMYFUNCTION("""COMPUTED_VALUE"""),"No")</f>
        <v>No</v>
      </c>
      <c r="H1381" s="1" t="str">
        <f ca="1">IFERROR(__xludf.DUMMYFUNCTION("""COMPUTED_VALUE"""),"None")</f>
        <v>None</v>
      </c>
    </row>
    <row r="1382" spans="1:8" ht="12.5">
      <c r="A1382" s="1" t="str">
        <f ca="1">IFERROR(__xludf.DUMMYFUNCTION("""COMPUTED_VALUE"""),"20190125TNMAM")</f>
        <v>20190125TNMAM</v>
      </c>
      <c r="B1382" s="1">
        <f ca="1">IFERROR(__xludf.DUMMYFUNCTION("""COMPUTED_VALUE"""),16)</f>
        <v>16</v>
      </c>
      <c r="C1382" s="1" t="str">
        <f ca="1">IFERROR(__xludf.DUMMYFUNCTION("""COMPUTED_VALUE"""),"Male")</f>
        <v>Male</v>
      </c>
      <c r="D1382" s="1" t="str">
        <f ca="1">IFERROR(__xludf.DUMMYFUNCTION("""COMPUTED_VALUE"""),"Black")</f>
        <v>Black</v>
      </c>
      <c r="E1382" s="1" t="str">
        <f ca="1">IFERROR(__xludf.DUMMYFUNCTION("""COMPUTED_VALUE"""),"Unknown")</f>
        <v>Unknown</v>
      </c>
      <c r="F1382" s="1" t="str">
        <f ca="1">IFERROR(__xludf.DUMMYFUNCTION("""COMPUTED_VALUE"""),"Fled/Apprehended")</f>
        <v>Fled/Apprehended</v>
      </c>
      <c r="G1382" s="1" t="str">
        <f ca="1">IFERROR(__xludf.DUMMYFUNCTION("""COMPUTED_VALUE"""),"No")</f>
        <v>No</v>
      </c>
      <c r="H1382" s="1" t="str">
        <f ca="1">IFERROR(__xludf.DUMMYFUNCTION("""COMPUTED_VALUE"""),"None")</f>
        <v>None</v>
      </c>
    </row>
    <row r="1383" spans="1:8" ht="12.5">
      <c r="A1383" s="1" t="str">
        <f ca="1">IFERROR(__xludf.DUMMYFUNCTION("""COMPUTED_VALUE"""),"20190125ALDAM")</f>
        <v>20190125ALDAM</v>
      </c>
      <c r="B1383" s="1">
        <f ca="1">IFERROR(__xludf.DUMMYFUNCTION("""COMPUTED_VALUE"""),15)</f>
        <v>15</v>
      </c>
      <c r="C1383" s="1" t="str">
        <f ca="1">IFERROR(__xludf.DUMMYFUNCTION("""COMPUTED_VALUE"""),"Male")</f>
        <v>Male</v>
      </c>
      <c r="D1383" s="1"/>
      <c r="E1383" s="1" t="str">
        <f ca="1">IFERROR(__xludf.DUMMYFUNCTION("""COMPUTED_VALUE"""),"Student")</f>
        <v>Student</v>
      </c>
      <c r="F1383" s="1" t="str">
        <f ca="1">IFERROR(__xludf.DUMMYFUNCTION("""COMPUTED_VALUE"""),"Fled/Escaped")</f>
        <v>Fled/Escaped</v>
      </c>
      <c r="G1383" s="1" t="str">
        <f ca="1">IFERROR(__xludf.DUMMYFUNCTION("""COMPUTED_VALUE"""),"No")</f>
        <v>No</v>
      </c>
      <c r="H1383" s="1" t="str">
        <f ca="1">IFERROR(__xludf.DUMMYFUNCTION("""COMPUTED_VALUE"""),"None")</f>
        <v>None</v>
      </c>
    </row>
    <row r="1384" spans="1:8" ht="12.5">
      <c r="A1384" s="1" t="str">
        <f ca="1">IFERROR(__xludf.DUMMYFUNCTION("""COMPUTED_VALUE"""),"20190123LASOS")</f>
        <v>20190123LASOS</v>
      </c>
      <c r="B1384" s="1" t="str">
        <f ca="1">IFERROR(__xludf.DUMMYFUNCTION("""COMPUTED_VALUE"""),"Adult")</f>
        <v>Adult</v>
      </c>
      <c r="C1384" s="1"/>
      <c r="D1384" s="1"/>
      <c r="E1384" s="1" t="str">
        <f ca="1">IFERROR(__xludf.DUMMYFUNCTION("""COMPUTED_VALUE"""),"No Relation")</f>
        <v>No Relation</v>
      </c>
      <c r="F1384" s="1" t="str">
        <f ca="1">IFERROR(__xludf.DUMMYFUNCTION("""COMPUTED_VALUE"""),"Fled/Escaped")</f>
        <v>Fled/Escaped</v>
      </c>
      <c r="G1384" s="1" t="str">
        <f ca="1">IFERROR(__xludf.DUMMYFUNCTION("""COMPUTED_VALUE"""),"No")</f>
        <v>No</v>
      </c>
      <c r="H1384" s="1" t="str">
        <f ca="1">IFERROR(__xludf.DUMMYFUNCTION("""COMPUTED_VALUE"""),"None")</f>
        <v>None</v>
      </c>
    </row>
    <row r="1385" spans="1:8" ht="12.5">
      <c r="A1385" s="1" t="str">
        <f ca="1">IFERROR(__xludf.DUMMYFUNCTION("""COMPUTED_VALUE"""),"20190119KSLAO")</f>
        <v>20190119KSLAO</v>
      </c>
      <c r="B1385" s="1"/>
      <c r="C1385" s="1" t="str">
        <f ca="1">IFERROR(__xludf.DUMMYFUNCTION("""COMPUTED_VALUE"""),"Male")</f>
        <v>Male</v>
      </c>
      <c r="D1385" s="1"/>
      <c r="E1385" s="1" t="str">
        <f ca="1">IFERROR(__xludf.DUMMYFUNCTION("""COMPUTED_VALUE"""),"No Relation")</f>
        <v>No Relation</v>
      </c>
      <c r="F1385" s="1" t="str">
        <f ca="1">IFERROR(__xludf.DUMMYFUNCTION("""COMPUTED_VALUE"""),"Fled/Escaped")</f>
        <v>Fled/Escaped</v>
      </c>
      <c r="G1385" s="1" t="str">
        <f ca="1">IFERROR(__xludf.DUMMYFUNCTION("""COMPUTED_VALUE"""),"No")</f>
        <v>No</v>
      </c>
      <c r="H1385" s="1" t="str">
        <f ca="1">IFERROR(__xludf.DUMMYFUNCTION("""COMPUTED_VALUE"""),"None")</f>
        <v>None</v>
      </c>
    </row>
    <row r="1386" spans="1:8" ht="12.5">
      <c r="A1386" s="1" t="str">
        <f ca="1">IFERROR(__xludf.DUMMYFUNCTION("""COMPUTED_VALUE"""),"20190118NCSHD")</f>
        <v>20190118NCSHD</v>
      </c>
      <c r="B1386" s="1"/>
      <c r="C1386" s="1" t="str">
        <f ca="1">IFERROR(__xludf.DUMMYFUNCTION("""COMPUTED_VALUE"""),"Male")</f>
        <v>Male</v>
      </c>
      <c r="D1386" s="1"/>
      <c r="E1386" s="1" t="str">
        <f ca="1">IFERROR(__xludf.DUMMYFUNCTION("""COMPUTED_VALUE"""),"No Relation")</f>
        <v>No Relation</v>
      </c>
      <c r="F1386" s="1" t="str">
        <f ca="1">IFERROR(__xludf.DUMMYFUNCTION("""COMPUTED_VALUE"""),"Fled/Escaped")</f>
        <v>Fled/Escaped</v>
      </c>
      <c r="G1386" s="1" t="str">
        <f ca="1">IFERROR(__xludf.DUMMYFUNCTION("""COMPUTED_VALUE"""),"No")</f>
        <v>No</v>
      </c>
      <c r="H1386" s="1" t="str">
        <f ca="1">IFERROR(__xludf.DUMMYFUNCTION("""COMPUTED_VALUE"""),"None")</f>
        <v>None</v>
      </c>
    </row>
    <row r="1387" spans="1:8" ht="12.5">
      <c r="A1387" s="1" t="str">
        <f ca="1">IFERROR(__xludf.DUMMYFUNCTION("""COMPUTED_VALUE"""),"20190118MOHAS")</f>
        <v>20190118MOHAS</v>
      </c>
      <c r="B1387" s="1"/>
      <c r="C1387" s="1" t="str">
        <f ca="1">IFERROR(__xludf.DUMMYFUNCTION("""COMPUTED_VALUE"""),"Male")</f>
        <v>Male</v>
      </c>
      <c r="D1387" s="1"/>
      <c r="E1387" s="1" t="str">
        <f ca="1">IFERROR(__xludf.DUMMYFUNCTION("""COMPUTED_VALUE"""),"Unknown")</f>
        <v>Unknown</v>
      </c>
      <c r="F1387" s="1" t="str">
        <f ca="1">IFERROR(__xludf.DUMMYFUNCTION("""COMPUTED_VALUE"""),"Fled/Escaped")</f>
        <v>Fled/Escaped</v>
      </c>
      <c r="G1387" s="1" t="str">
        <f ca="1">IFERROR(__xludf.DUMMYFUNCTION("""COMPUTED_VALUE"""),"No")</f>
        <v>No</v>
      </c>
      <c r="H1387" s="1" t="str">
        <f ca="1">IFERROR(__xludf.DUMMYFUNCTION("""COMPUTED_VALUE"""),"None")</f>
        <v>None</v>
      </c>
    </row>
    <row r="1388" spans="1:8" ht="12.5">
      <c r="A1388" s="1" t="str">
        <f ca="1">IFERROR(__xludf.DUMMYFUNCTION("""COMPUTED_VALUE"""),"20190118ALCET")</f>
        <v>20190118ALCET</v>
      </c>
      <c r="B1388" s="1">
        <f ca="1">IFERROR(__xludf.DUMMYFUNCTION("""COMPUTED_VALUE"""),19)</f>
        <v>19</v>
      </c>
      <c r="C1388" s="1" t="str">
        <f ca="1">IFERROR(__xludf.DUMMYFUNCTION("""COMPUTED_VALUE"""),"Male")</f>
        <v>Male</v>
      </c>
      <c r="D1388" s="1" t="str">
        <f ca="1">IFERROR(__xludf.DUMMYFUNCTION("""COMPUTED_VALUE"""),"Black")</f>
        <v>Black</v>
      </c>
      <c r="E1388" s="1" t="str">
        <f ca="1">IFERROR(__xludf.DUMMYFUNCTION("""COMPUTED_VALUE"""),"No Relation")</f>
        <v>No Relation</v>
      </c>
      <c r="F1388" s="1" t="str">
        <f ca="1">IFERROR(__xludf.DUMMYFUNCTION("""COMPUTED_VALUE"""),"Fled/Apprehended")</f>
        <v>Fled/Apprehended</v>
      </c>
      <c r="G1388" s="1" t="str">
        <f ca="1">IFERROR(__xludf.DUMMYFUNCTION("""COMPUTED_VALUE"""),"No")</f>
        <v>No</v>
      </c>
      <c r="H1388" s="1" t="str">
        <f ca="1">IFERROR(__xludf.DUMMYFUNCTION("""COMPUTED_VALUE"""),"None")</f>
        <v>None</v>
      </c>
    </row>
    <row r="1389" spans="1:8" ht="12.5">
      <c r="A1389" s="1" t="str">
        <f ca="1">IFERROR(__xludf.DUMMYFUNCTION("""COMPUTED_VALUE"""),"20190111ORCAE")</f>
        <v>20190111ORCAE</v>
      </c>
      <c r="B1389" s="1">
        <f ca="1">IFERROR(__xludf.DUMMYFUNCTION("""COMPUTED_VALUE"""),30)</f>
        <v>30</v>
      </c>
      <c r="C1389" s="1" t="str">
        <f ca="1">IFERROR(__xludf.DUMMYFUNCTION("""COMPUTED_VALUE"""),"Male")</f>
        <v>Male</v>
      </c>
      <c r="D1389" s="1"/>
      <c r="E1389" s="1" t="str">
        <f ca="1">IFERROR(__xludf.DUMMYFUNCTION("""COMPUTED_VALUE"""),"Parent")</f>
        <v>Parent</v>
      </c>
      <c r="F1389" s="1" t="str">
        <f ca="1">IFERROR(__xludf.DUMMYFUNCTION("""COMPUTED_VALUE"""),"Apprehended/Killed by LE")</f>
        <v>Apprehended/Killed by LE</v>
      </c>
      <c r="G1389" s="1" t="str">
        <f ca="1">IFERROR(__xludf.DUMMYFUNCTION("""COMPUTED_VALUE"""),"No")</f>
        <v>No</v>
      </c>
      <c r="H1389" s="1" t="str">
        <f ca="1">IFERROR(__xludf.DUMMYFUNCTION("""COMPUTED_VALUE"""),"None")</f>
        <v>None</v>
      </c>
    </row>
    <row r="1390" spans="1:8" ht="12.5">
      <c r="A1390" s="1" t="str">
        <f ca="1">IFERROR(__xludf.DUMMYFUNCTION("""COMPUTED_VALUE"""),"20190107CACEB")</f>
        <v>20190107CACEB</v>
      </c>
      <c r="B1390" s="1"/>
      <c r="C1390" s="1"/>
      <c r="D1390" s="1"/>
      <c r="E1390" s="1" t="str">
        <f ca="1">IFERROR(__xludf.DUMMYFUNCTION("""COMPUTED_VALUE"""),"Unknown")</f>
        <v>Unknown</v>
      </c>
      <c r="F1390" s="1" t="str">
        <f ca="1">IFERROR(__xludf.DUMMYFUNCTION("""COMPUTED_VALUE"""),"Fled/Escaped")</f>
        <v>Fled/Escaped</v>
      </c>
      <c r="G1390" s="1" t="str">
        <f ca="1">IFERROR(__xludf.DUMMYFUNCTION("""COMPUTED_VALUE"""),"No")</f>
        <v>No</v>
      </c>
      <c r="H1390" s="1" t="str">
        <f ca="1">IFERROR(__xludf.DUMMYFUNCTION("""COMPUTED_VALUE"""),"None")</f>
        <v>None</v>
      </c>
    </row>
    <row r="1391" spans="1:8" ht="12.5">
      <c r="A1391" s="1" t="str">
        <f ca="1">IFERROR(__xludf.DUMMYFUNCTION("""COMPUTED_VALUE"""),"20181218DEAIG")</f>
        <v>20181218DEAIG</v>
      </c>
      <c r="B1391" s="1"/>
      <c r="C1391" s="1"/>
      <c r="D1391" s="1"/>
      <c r="E1391" s="1" t="str">
        <f ca="1">IFERROR(__xludf.DUMMYFUNCTION("""COMPUTED_VALUE"""),"Unknown")</f>
        <v>Unknown</v>
      </c>
      <c r="F1391" s="1" t="str">
        <f ca="1">IFERROR(__xludf.DUMMYFUNCTION("""COMPUTED_VALUE"""),"Fled/Escaped")</f>
        <v>Fled/Escaped</v>
      </c>
      <c r="G1391" s="1" t="str">
        <f ca="1">IFERROR(__xludf.DUMMYFUNCTION("""COMPUTED_VALUE"""),"No")</f>
        <v>No</v>
      </c>
      <c r="H1391" s="1" t="str">
        <f ca="1">IFERROR(__xludf.DUMMYFUNCTION("""COMPUTED_VALUE"""),"None")</f>
        <v>None</v>
      </c>
    </row>
    <row r="1392" spans="1:8" ht="12.5">
      <c r="A1392" s="1" t="str">
        <f ca="1">IFERROR(__xludf.DUMMYFUNCTION("""COMPUTED_VALUE"""),"20181214MOWIK")</f>
        <v>20181214MOWIK</v>
      </c>
      <c r="B1392" s="1" t="str">
        <f ca="1">IFERROR(__xludf.DUMMYFUNCTION("""COMPUTED_VALUE"""),"Teen")</f>
        <v>Teen</v>
      </c>
      <c r="C1392" s="1" t="str">
        <f ca="1">IFERROR(__xludf.DUMMYFUNCTION("""COMPUTED_VALUE"""),"Male")</f>
        <v>Male</v>
      </c>
      <c r="D1392" s="1"/>
      <c r="E1392" s="1" t="str">
        <f ca="1">IFERROR(__xludf.DUMMYFUNCTION("""COMPUTED_VALUE"""),"Student")</f>
        <v>Student</v>
      </c>
      <c r="F1392" s="1" t="str">
        <f ca="1">IFERROR(__xludf.DUMMYFUNCTION("""COMPUTED_VALUE"""),"Fled/Escaped")</f>
        <v>Fled/Escaped</v>
      </c>
      <c r="G1392" s="1" t="str">
        <f ca="1">IFERROR(__xludf.DUMMYFUNCTION("""COMPUTED_VALUE"""),"No")</f>
        <v>No</v>
      </c>
      <c r="H1392" s="1" t="str">
        <f ca="1">IFERROR(__xludf.DUMMYFUNCTION("""COMPUTED_VALUE"""),"None")</f>
        <v>None</v>
      </c>
    </row>
    <row r="1393" spans="1:8" ht="12.5">
      <c r="A1393" s="1" t="str">
        <f ca="1">IFERROR(__xludf.DUMMYFUNCTION("""COMPUTED_VALUE"""),"20181213INDER")</f>
        <v>20181213INDER</v>
      </c>
      <c r="B1393" s="1">
        <f ca="1">IFERROR(__xludf.DUMMYFUNCTION("""COMPUTED_VALUE"""),14)</f>
        <v>14</v>
      </c>
      <c r="C1393" s="1" t="str">
        <f ca="1">IFERROR(__xludf.DUMMYFUNCTION("""COMPUTED_VALUE"""),"Male")</f>
        <v>Male</v>
      </c>
      <c r="D1393" s="1"/>
      <c r="E1393" s="1" t="str">
        <f ca="1">IFERROR(__xludf.DUMMYFUNCTION("""COMPUTED_VALUE"""),"Former Student")</f>
        <v>Former Student</v>
      </c>
      <c r="F1393" s="1" t="str">
        <f ca="1">IFERROR(__xludf.DUMMYFUNCTION("""COMPUTED_VALUE"""),"Suicide")</f>
        <v>Suicide</v>
      </c>
      <c r="G1393" s="1" t="str">
        <f ca="1">IFERROR(__xludf.DUMMYFUNCTION("""COMPUTED_VALUE"""),"Yes")</f>
        <v>Yes</v>
      </c>
      <c r="H1393" s="1" t="str">
        <f ca="1">IFERROR(__xludf.DUMMYFUNCTION("""COMPUTED_VALUE"""),"Suicide")</f>
        <v>Suicide</v>
      </c>
    </row>
    <row r="1394" spans="1:8" ht="12.5">
      <c r="A1394" s="1" t="str">
        <f ca="1">IFERROR(__xludf.DUMMYFUNCTION("""COMPUTED_VALUE"""),"20181211KYCAC")</f>
        <v>20181211KYCAC</v>
      </c>
      <c r="B1394" s="1"/>
      <c r="C1394" s="1"/>
      <c r="D1394" s="1"/>
      <c r="E1394" s="1" t="str">
        <f ca="1">IFERROR(__xludf.DUMMYFUNCTION("""COMPUTED_VALUE"""),"No Relation")</f>
        <v>No Relation</v>
      </c>
      <c r="F1394" s="1" t="str">
        <f ca="1">IFERROR(__xludf.DUMMYFUNCTION("""COMPUTED_VALUE"""),"Fled/Escaped")</f>
        <v>Fled/Escaped</v>
      </c>
      <c r="G1394" s="1" t="str">
        <f ca="1">IFERROR(__xludf.DUMMYFUNCTION("""COMPUTED_VALUE"""),"No")</f>
        <v>No</v>
      </c>
      <c r="H1394" s="1" t="str">
        <f ca="1">IFERROR(__xludf.DUMMYFUNCTION("""COMPUTED_VALUE"""),"None")</f>
        <v>None</v>
      </c>
    </row>
    <row r="1395" spans="1:8" ht="12.5">
      <c r="A1395" s="1" t="str">
        <f ca="1">IFERROR(__xludf.DUMMYFUNCTION("""COMPUTED_VALUE"""),"20181210NYJEJ")</f>
        <v>20181210NYJEJ</v>
      </c>
      <c r="B1395" s="1">
        <f ca="1">IFERROR(__xludf.DUMMYFUNCTION("""COMPUTED_VALUE"""),17)</f>
        <v>17</v>
      </c>
      <c r="C1395" s="1" t="str">
        <f ca="1">IFERROR(__xludf.DUMMYFUNCTION("""COMPUTED_VALUE"""),"Male")</f>
        <v>Male</v>
      </c>
      <c r="D1395" s="1"/>
      <c r="E1395" s="1" t="str">
        <f ca="1">IFERROR(__xludf.DUMMYFUNCTION("""COMPUTED_VALUE"""),"Student")</f>
        <v>Student</v>
      </c>
      <c r="F1395" s="1" t="str">
        <f ca="1">IFERROR(__xludf.DUMMYFUNCTION("""COMPUTED_VALUE"""),"Suicide")</f>
        <v>Suicide</v>
      </c>
      <c r="G1395" s="1" t="str">
        <f ca="1">IFERROR(__xludf.DUMMYFUNCTION("""COMPUTED_VALUE"""),"Yes")</f>
        <v>Yes</v>
      </c>
      <c r="H1395" s="1" t="str">
        <f ca="1">IFERROR(__xludf.DUMMYFUNCTION("""COMPUTED_VALUE"""),"Suicide")</f>
        <v>Suicide</v>
      </c>
    </row>
    <row r="1396" spans="1:8" ht="12.5">
      <c r="A1396" s="1" t="str">
        <f ca="1">IFERROR(__xludf.DUMMYFUNCTION("""COMPUTED_VALUE"""),"20181128PASTP")</f>
        <v>20181128PASTP</v>
      </c>
      <c r="B1396" s="1"/>
      <c r="C1396" s="1"/>
      <c r="D1396" s="1"/>
      <c r="E1396" s="1" t="str">
        <f ca="1">IFERROR(__xludf.DUMMYFUNCTION("""COMPUTED_VALUE"""),"Unknown")</f>
        <v>Unknown</v>
      </c>
      <c r="F1396" s="1" t="str">
        <f ca="1">IFERROR(__xludf.DUMMYFUNCTION("""COMPUTED_VALUE"""),"Fled/Escaped")</f>
        <v>Fled/Escaped</v>
      </c>
      <c r="G1396" s="1" t="str">
        <f ca="1">IFERROR(__xludf.DUMMYFUNCTION("""COMPUTED_VALUE"""),"No")</f>
        <v>No</v>
      </c>
      <c r="H1396" s="1" t="str">
        <f ca="1">IFERROR(__xludf.DUMMYFUNCTION("""COMPUTED_VALUE"""),"None")</f>
        <v>None</v>
      </c>
    </row>
    <row r="1397" spans="1:8" ht="12.5">
      <c r="A1397" s="1" t="str">
        <f ca="1">IFERROR(__xludf.DUMMYFUNCTION("""COMPUTED_VALUE"""),"20181124OHAFC")</f>
        <v>20181124OHAFC</v>
      </c>
      <c r="B1397" s="1" t="str">
        <f ca="1">IFERROR(__xludf.DUMMYFUNCTION("""COMPUTED_VALUE"""),"Adult")</f>
        <v>Adult</v>
      </c>
      <c r="C1397" s="1" t="str">
        <f ca="1">IFERROR(__xludf.DUMMYFUNCTION("""COMPUTED_VALUE"""),"Male")</f>
        <v>Male</v>
      </c>
      <c r="D1397" s="1"/>
      <c r="E1397" s="1" t="str">
        <f ca="1">IFERROR(__xludf.DUMMYFUNCTION("""COMPUTED_VALUE"""),"No Relation")</f>
        <v>No Relation</v>
      </c>
      <c r="F1397" s="1" t="str">
        <f ca="1">IFERROR(__xludf.DUMMYFUNCTION("""COMPUTED_VALUE"""),"Fled/Escaped")</f>
        <v>Fled/Escaped</v>
      </c>
      <c r="G1397" s="1" t="str">
        <f ca="1">IFERROR(__xludf.DUMMYFUNCTION("""COMPUTED_VALUE"""),"No")</f>
        <v>No</v>
      </c>
      <c r="H1397" s="1" t="str">
        <f ca="1">IFERROR(__xludf.DUMMYFUNCTION("""COMPUTED_VALUE"""),"None")</f>
        <v>None</v>
      </c>
    </row>
    <row r="1398" spans="1:8" ht="12.5">
      <c r="A1398" s="1" t="str">
        <f ca="1">IFERROR(__xludf.DUMMYFUNCTION("""COMPUTED_VALUE"""),"20181122WAMOD")</f>
        <v>20181122WAMOD</v>
      </c>
      <c r="B1398" s="1" t="str">
        <f ca="1">IFERROR(__xludf.DUMMYFUNCTION("""COMPUTED_VALUE"""),"Adult")</f>
        <v>Adult</v>
      </c>
      <c r="C1398" s="1" t="str">
        <f ca="1">IFERROR(__xludf.DUMMYFUNCTION("""COMPUTED_VALUE"""),"Male")</f>
        <v>Male</v>
      </c>
      <c r="D1398" s="1"/>
      <c r="E1398" s="1" t="str">
        <f ca="1">IFERROR(__xludf.DUMMYFUNCTION("""COMPUTED_VALUE"""),"Nonstudent Using Athletic Facilities/Attending Game")</f>
        <v>Nonstudent Using Athletic Facilities/Attending Game</v>
      </c>
      <c r="F1398" s="1" t="str">
        <f ca="1">IFERROR(__xludf.DUMMYFUNCTION("""COMPUTED_VALUE"""),"Fled/Escaped")</f>
        <v>Fled/Escaped</v>
      </c>
      <c r="G1398" s="1" t="str">
        <f ca="1">IFERROR(__xludf.DUMMYFUNCTION("""COMPUTED_VALUE"""),"No")</f>
        <v>No</v>
      </c>
      <c r="H1398" s="1" t="str">
        <f ca="1">IFERROR(__xludf.DUMMYFUNCTION("""COMPUTED_VALUE"""),"None")</f>
        <v>None</v>
      </c>
    </row>
    <row r="1399" spans="1:8" ht="12.5">
      <c r="A1399" s="1" t="str">
        <f ca="1">IFERROR(__xludf.DUMMYFUNCTION("""COMPUTED_VALUE"""),"20181122TXSKD")</f>
        <v>20181122TXSKD</v>
      </c>
      <c r="B1399" s="1" t="str">
        <f ca="1">IFERROR(__xludf.DUMMYFUNCTION("""COMPUTED_VALUE"""),"Teen")</f>
        <v>Teen</v>
      </c>
      <c r="C1399" s="1" t="str">
        <f ca="1">IFERROR(__xludf.DUMMYFUNCTION("""COMPUTED_VALUE"""),"Male")</f>
        <v>Male</v>
      </c>
      <c r="D1399" s="1" t="str">
        <f ca="1">IFERROR(__xludf.DUMMYFUNCTION("""COMPUTED_VALUE"""),"Black")</f>
        <v>Black</v>
      </c>
      <c r="E1399" s="1" t="str">
        <f ca="1">IFERROR(__xludf.DUMMYFUNCTION("""COMPUTED_VALUE"""),"Unknown")</f>
        <v>Unknown</v>
      </c>
      <c r="F1399" s="1" t="str">
        <f ca="1">IFERROR(__xludf.DUMMYFUNCTION("""COMPUTED_VALUE"""),"Fled/Escaped")</f>
        <v>Fled/Escaped</v>
      </c>
      <c r="G1399" s="1" t="str">
        <f ca="1">IFERROR(__xludf.DUMMYFUNCTION("""COMPUTED_VALUE"""),"No")</f>
        <v>No</v>
      </c>
      <c r="H1399" s="1" t="str">
        <f ca="1">IFERROR(__xludf.DUMMYFUNCTION("""COMPUTED_VALUE"""),"None")</f>
        <v>None</v>
      </c>
    </row>
    <row r="1400" spans="1:8" ht="12.5">
      <c r="A1400" s="1" t="str">
        <f ca="1">IFERROR(__xludf.DUMMYFUNCTION("""COMPUTED_VALUE"""),"20181121MIPEP")</f>
        <v>20181121MIPEP</v>
      </c>
      <c r="B1400" s="1">
        <f ca="1">IFERROR(__xludf.DUMMYFUNCTION("""COMPUTED_VALUE"""),22)</f>
        <v>22</v>
      </c>
      <c r="C1400" s="1" t="str">
        <f ca="1">IFERROR(__xludf.DUMMYFUNCTION("""COMPUTED_VALUE"""),"Male")</f>
        <v>Male</v>
      </c>
      <c r="D1400" s="1"/>
      <c r="E1400" s="1" t="str">
        <f ca="1">IFERROR(__xludf.DUMMYFUNCTION("""COMPUTED_VALUE"""),"No Relation")</f>
        <v>No Relation</v>
      </c>
      <c r="F1400" s="1" t="str">
        <f ca="1">IFERROR(__xludf.DUMMYFUNCTION("""COMPUTED_VALUE"""),"Fled/Apprehended")</f>
        <v>Fled/Apprehended</v>
      </c>
      <c r="G1400" s="1" t="str">
        <f ca="1">IFERROR(__xludf.DUMMYFUNCTION("""COMPUTED_VALUE"""),"No")</f>
        <v>No</v>
      </c>
      <c r="H1400" s="1" t="str">
        <f ca="1">IFERROR(__xludf.DUMMYFUNCTION("""COMPUTED_VALUE"""),"None")</f>
        <v>None</v>
      </c>
    </row>
    <row r="1401" spans="1:8" ht="12.5">
      <c r="A1401" s="1" t="str">
        <f ca="1">IFERROR(__xludf.DUMMYFUNCTION("""COMPUTED_VALUE"""),"20181120VASIP")</f>
        <v>20181120VASIP</v>
      </c>
      <c r="B1401" s="1">
        <f ca="1">IFERROR(__xludf.DUMMYFUNCTION("""COMPUTED_VALUE"""),29)</f>
        <v>29</v>
      </c>
      <c r="C1401" s="1" t="str">
        <f ca="1">IFERROR(__xludf.DUMMYFUNCTION("""COMPUTED_VALUE"""),"Male")</f>
        <v>Male</v>
      </c>
      <c r="D1401" s="1" t="str">
        <f ca="1">IFERROR(__xludf.DUMMYFUNCTION("""COMPUTED_VALUE"""),"Black")</f>
        <v>Black</v>
      </c>
      <c r="E1401" s="1" t="str">
        <f ca="1">IFERROR(__xludf.DUMMYFUNCTION("""COMPUTED_VALUE"""),"Parent")</f>
        <v>Parent</v>
      </c>
      <c r="F1401" s="1" t="str">
        <f ca="1">IFERROR(__xludf.DUMMYFUNCTION("""COMPUTED_VALUE"""),"Fled/Apprehended")</f>
        <v>Fled/Apprehended</v>
      </c>
      <c r="G1401" s="1" t="str">
        <f ca="1">IFERROR(__xludf.DUMMYFUNCTION("""COMPUTED_VALUE"""),"No")</f>
        <v>No</v>
      </c>
      <c r="H1401" s="1" t="str">
        <f ca="1">IFERROR(__xludf.DUMMYFUNCTION("""COMPUTED_VALUE"""),"None")</f>
        <v>None</v>
      </c>
    </row>
    <row r="1402" spans="1:8" ht="12.5">
      <c r="A1402" s="1" t="str">
        <f ca="1">IFERROR(__xludf.DUMMYFUNCTION("""COMPUTED_VALUE"""),"20181112MDEAE")</f>
        <v>20181112MDEAE</v>
      </c>
      <c r="B1402" s="1"/>
      <c r="C1402" s="1" t="str">
        <f ca="1">IFERROR(__xludf.DUMMYFUNCTION("""COMPUTED_VALUE"""),"Male")</f>
        <v>Male</v>
      </c>
      <c r="D1402" s="1"/>
      <c r="E1402" s="1" t="str">
        <f ca="1">IFERROR(__xludf.DUMMYFUNCTION("""COMPUTED_VALUE"""),"Police Officer/SRO")</f>
        <v>Police Officer/SRO</v>
      </c>
      <c r="F1402" s="1" t="str">
        <f ca="1">IFERROR(__xludf.DUMMYFUNCTION("""COMPUTED_VALUE"""),"Suicide")</f>
        <v>Suicide</v>
      </c>
      <c r="G1402" s="1" t="str">
        <f ca="1">IFERROR(__xludf.DUMMYFUNCTION("""COMPUTED_VALUE"""),"Yes")</f>
        <v>Yes</v>
      </c>
      <c r="H1402" s="1" t="str">
        <f ca="1">IFERROR(__xludf.DUMMYFUNCTION("""COMPUTED_VALUE"""),"Suicide")</f>
        <v>Suicide</v>
      </c>
    </row>
    <row r="1403" spans="1:8" ht="12.5">
      <c r="A1403" s="1" t="str">
        <f ca="1">IFERROR(__xludf.DUMMYFUNCTION("""COMPUTED_VALUE"""),"20181109GAGAM")</f>
        <v>20181109GAGAM</v>
      </c>
      <c r="B1403" s="1" t="str">
        <f ca="1">IFERROR(__xludf.DUMMYFUNCTION("""COMPUTED_VALUE"""),"Teen")</f>
        <v>Teen</v>
      </c>
      <c r="C1403" s="1" t="str">
        <f ca="1">IFERROR(__xludf.DUMMYFUNCTION("""COMPUTED_VALUE"""),"Male")</f>
        <v>Male</v>
      </c>
      <c r="D1403" s="1"/>
      <c r="E1403" s="1" t="str">
        <f ca="1">IFERROR(__xludf.DUMMYFUNCTION("""COMPUTED_VALUE"""),"Student")</f>
        <v>Student</v>
      </c>
      <c r="F1403" s="1" t="str">
        <f ca="1">IFERROR(__xludf.DUMMYFUNCTION("""COMPUTED_VALUE"""),"Fled/Apprehended")</f>
        <v>Fled/Apprehended</v>
      </c>
      <c r="G1403" s="1" t="str">
        <f ca="1">IFERROR(__xludf.DUMMYFUNCTION("""COMPUTED_VALUE"""),"No")</f>
        <v>No</v>
      </c>
      <c r="H1403" s="1" t="str">
        <f ca="1">IFERROR(__xludf.DUMMYFUNCTION("""COMPUTED_VALUE"""),"None")</f>
        <v>None</v>
      </c>
    </row>
    <row r="1404" spans="1:8" ht="12.5">
      <c r="A1404" s="1" t="str">
        <f ca="1">IFERROR(__xludf.DUMMYFUNCTION("""COMPUTED_VALUE"""),"20181108CACLS")</f>
        <v>20181108CACLS</v>
      </c>
      <c r="B1404" s="1">
        <f ca="1">IFERROR(__xludf.DUMMYFUNCTION("""COMPUTED_VALUE"""),29)</f>
        <v>29</v>
      </c>
      <c r="C1404" s="1" t="str">
        <f ca="1">IFERROR(__xludf.DUMMYFUNCTION("""COMPUTED_VALUE"""),"Male")</f>
        <v>Male</v>
      </c>
      <c r="D1404" s="1" t="str">
        <f ca="1">IFERROR(__xludf.DUMMYFUNCTION("""COMPUTED_VALUE"""),"Hispanic")</f>
        <v>Hispanic</v>
      </c>
      <c r="E1404" s="1" t="str">
        <f ca="1">IFERROR(__xludf.DUMMYFUNCTION("""COMPUTED_VALUE"""),"No Relation")</f>
        <v>No Relation</v>
      </c>
      <c r="F1404" s="1" t="str">
        <f ca="1">IFERROR(__xludf.DUMMYFUNCTION("""COMPUTED_VALUE"""),"Fled/Apprehended")</f>
        <v>Fled/Apprehended</v>
      </c>
      <c r="G1404" s="1" t="str">
        <f ca="1">IFERROR(__xludf.DUMMYFUNCTION("""COMPUTED_VALUE"""),"No")</f>
        <v>No</v>
      </c>
      <c r="H1404" s="1" t="str">
        <f ca="1">IFERROR(__xludf.DUMMYFUNCTION("""COMPUTED_VALUE"""),"None")</f>
        <v>None</v>
      </c>
    </row>
    <row r="1405" spans="1:8" ht="12.5">
      <c r="A1405" s="1" t="str">
        <f ca="1">IFERROR(__xludf.DUMMYFUNCTION("""COMPUTED_VALUE"""),"20181108CACLS")</f>
        <v>20181108CACLS</v>
      </c>
      <c r="B1405" s="1">
        <f ca="1">IFERROR(__xludf.DUMMYFUNCTION("""COMPUTED_VALUE"""),29)</f>
        <v>29</v>
      </c>
      <c r="C1405" s="1" t="str">
        <f ca="1">IFERROR(__xludf.DUMMYFUNCTION("""COMPUTED_VALUE"""),"Male")</f>
        <v>Male</v>
      </c>
      <c r="D1405" s="1" t="str">
        <f ca="1">IFERROR(__xludf.DUMMYFUNCTION("""COMPUTED_VALUE"""),"Hispanic")</f>
        <v>Hispanic</v>
      </c>
      <c r="E1405" s="1" t="str">
        <f ca="1">IFERROR(__xludf.DUMMYFUNCTION("""COMPUTED_VALUE"""),"No Relation")</f>
        <v>No Relation</v>
      </c>
      <c r="F1405" s="1" t="str">
        <f ca="1">IFERROR(__xludf.DUMMYFUNCTION("""COMPUTED_VALUE"""),"Fled/Apprehended")</f>
        <v>Fled/Apprehended</v>
      </c>
      <c r="G1405" s="1" t="str">
        <f ca="1">IFERROR(__xludf.DUMMYFUNCTION("""COMPUTED_VALUE"""),"No")</f>
        <v>No</v>
      </c>
      <c r="H1405" s="1" t="str">
        <f ca="1">IFERROR(__xludf.DUMMYFUNCTION("""COMPUTED_VALUE"""),"None")</f>
        <v>None</v>
      </c>
    </row>
    <row r="1406" spans="1:8" ht="12.5">
      <c r="A1406" s="1" t="str">
        <f ca="1">IFERROR(__xludf.DUMMYFUNCTION("""COMPUTED_VALUE"""),"20181105SCACC")</f>
        <v>20181105SCACC</v>
      </c>
      <c r="B1406" s="1">
        <f ca="1">IFERROR(__xludf.DUMMYFUNCTION("""COMPUTED_VALUE"""),12)</f>
        <v>12</v>
      </c>
      <c r="C1406" s="1" t="str">
        <f ca="1">IFERROR(__xludf.DUMMYFUNCTION("""COMPUTED_VALUE"""),"Male")</f>
        <v>Male</v>
      </c>
      <c r="D1406" s="1"/>
      <c r="E1406" s="1" t="str">
        <f ca="1">IFERROR(__xludf.DUMMYFUNCTION("""COMPUTED_VALUE"""),"Student")</f>
        <v>Student</v>
      </c>
      <c r="F1406" s="1" t="str">
        <f ca="1">IFERROR(__xludf.DUMMYFUNCTION("""COMPUTED_VALUE"""),"Apprehended/Killed by LE")</f>
        <v>Apprehended/Killed by LE</v>
      </c>
      <c r="G1406" s="1" t="str">
        <f ca="1">IFERROR(__xludf.DUMMYFUNCTION("""COMPUTED_VALUE"""),"No")</f>
        <v>No</v>
      </c>
      <c r="H1406" s="1" t="str">
        <f ca="1">IFERROR(__xludf.DUMMYFUNCTION("""COMPUTED_VALUE"""),"None")</f>
        <v>None</v>
      </c>
    </row>
    <row r="1407" spans="1:8" ht="12.5">
      <c r="A1407" s="1" t="str">
        <f ca="1">IFERROR(__xludf.DUMMYFUNCTION("""COMPUTED_VALUE"""),"20181104KYCRL")</f>
        <v>20181104KYCRL</v>
      </c>
      <c r="B1407" s="1" t="str">
        <f ca="1">IFERROR(__xludf.DUMMYFUNCTION("""COMPUTED_VALUE"""),"Adult")</f>
        <v>Adult</v>
      </c>
      <c r="C1407" s="1" t="str">
        <f ca="1">IFERROR(__xludf.DUMMYFUNCTION("""COMPUTED_VALUE"""),"Male")</f>
        <v>Male</v>
      </c>
      <c r="D1407" s="1"/>
      <c r="E1407" s="1" t="str">
        <f ca="1">IFERROR(__xludf.DUMMYFUNCTION("""COMPUTED_VALUE"""),"Unknown")</f>
        <v>Unknown</v>
      </c>
      <c r="F1407" s="1" t="str">
        <f ca="1">IFERROR(__xludf.DUMMYFUNCTION("""COMPUTED_VALUE"""),"Fled/Escaped")</f>
        <v>Fled/Escaped</v>
      </c>
      <c r="G1407" s="1" t="str">
        <f ca="1">IFERROR(__xludf.DUMMYFUNCTION("""COMPUTED_VALUE"""),"No")</f>
        <v>No</v>
      </c>
      <c r="H1407" s="1" t="str">
        <f ca="1">IFERROR(__xludf.DUMMYFUNCTION("""COMPUTED_VALUE"""),"None")</f>
        <v>None</v>
      </c>
    </row>
    <row r="1408" spans="1:8" ht="12.5">
      <c r="A1408" s="1" t="str">
        <f ca="1">IFERROR(__xludf.DUMMYFUNCTION("""COMPUTED_VALUE"""),"20181029NCBUM")</f>
        <v>20181029NCBUM</v>
      </c>
      <c r="B1408" s="1">
        <f ca="1">IFERROR(__xludf.DUMMYFUNCTION("""COMPUTED_VALUE"""),16)</f>
        <v>16</v>
      </c>
      <c r="C1408" s="1" t="str">
        <f ca="1">IFERROR(__xludf.DUMMYFUNCTION("""COMPUTED_VALUE"""),"Male")</f>
        <v>Male</v>
      </c>
      <c r="D1408" s="1" t="str">
        <f ca="1">IFERROR(__xludf.DUMMYFUNCTION("""COMPUTED_VALUE"""),"Black")</f>
        <v>Black</v>
      </c>
      <c r="E1408" s="1" t="str">
        <f ca="1">IFERROR(__xludf.DUMMYFUNCTION("""COMPUTED_VALUE"""),"Student")</f>
        <v>Student</v>
      </c>
      <c r="F1408" s="1" t="str">
        <f ca="1">IFERROR(__xludf.DUMMYFUNCTION("""COMPUTED_VALUE"""),"Surrendered")</f>
        <v>Surrendered</v>
      </c>
      <c r="G1408" s="1" t="str">
        <f ca="1">IFERROR(__xludf.DUMMYFUNCTION("""COMPUTED_VALUE"""),"No")</f>
        <v>No</v>
      </c>
      <c r="H1408" s="1" t="str">
        <f ca="1">IFERROR(__xludf.DUMMYFUNCTION("""COMPUTED_VALUE"""),"None")</f>
        <v>None</v>
      </c>
    </row>
    <row r="1409" spans="1:8" ht="12.5">
      <c r="A1409" s="1" t="str">
        <f ca="1">IFERROR(__xludf.DUMMYFUNCTION("""COMPUTED_VALUE"""),"20181026FLSAO")</f>
        <v>20181026FLSAO</v>
      </c>
      <c r="B1409" s="1">
        <f ca="1">IFERROR(__xludf.DUMMYFUNCTION("""COMPUTED_VALUE"""),16)</f>
        <v>16</v>
      </c>
      <c r="C1409" s="1" t="str">
        <f ca="1">IFERROR(__xludf.DUMMYFUNCTION("""COMPUTED_VALUE"""),"Male")</f>
        <v>Male</v>
      </c>
      <c r="D1409" s="1" t="str">
        <f ca="1">IFERROR(__xludf.DUMMYFUNCTION("""COMPUTED_VALUE"""),"Hispanic")</f>
        <v>Hispanic</v>
      </c>
      <c r="E1409" s="1" t="str">
        <f ca="1">IFERROR(__xludf.DUMMYFUNCTION("""COMPUTED_VALUE"""),"No Relation")</f>
        <v>No Relation</v>
      </c>
      <c r="F1409" s="1" t="str">
        <f ca="1">IFERROR(__xludf.DUMMYFUNCTION("""COMPUTED_VALUE"""),"Fled/Apprehended")</f>
        <v>Fled/Apprehended</v>
      </c>
      <c r="G1409" s="1" t="str">
        <f ca="1">IFERROR(__xludf.DUMMYFUNCTION("""COMPUTED_VALUE"""),"No")</f>
        <v>No</v>
      </c>
      <c r="H1409" s="1" t="str">
        <f ca="1">IFERROR(__xludf.DUMMYFUNCTION("""COMPUTED_VALUE"""),"None")</f>
        <v>None</v>
      </c>
    </row>
    <row r="1410" spans="1:8" ht="12.5">
      <c r="A1410" s="1" t="str">
        <f ca="1">IFERROR(__xludf.DUMMYFUNCTION("""COMPUTED_VALUE"""),"20181025MICOD")</f>
        <v>20181025MICOD</v>
      </c>
      <c r="B1410" s="1"/>
      <c r="C1410" s="1"/>
      <c r="D1410" s="1"/>
      <c r="E1410" s="1" t="str">
        <f ca="1">IFERROR(__xludf.DUMMYFUNCTION("""COMPUTED_VALUE"""),"Unknown")</f>
        <v>Unknown</v>
      </c>
      <c r="F1410" s="1" t="str">
        <f ca="1">IFERROR(__xludf.DUMMYFUNCTION("""COMPUTED_VALUE"""),"Fled/Escaped")</f>
        <v>Fled/Escaped</v>
      </c>
      <c r="G1410" s="1" t="str">
        <f ca="1">IFERROR(__xludf.DUMMYFUNCTION("""COMPUTED_VALUE"""),"No")</f>
        <v>No</v>
      </c>
      <c r="H1410" s="1" t="str">
        <f ca="1">IFERROR(__xludf.DUMMYFUNCTION("""COMPUTED_VALUE"""),"None")</f>
        <v>None</v>
      </c>
    </row>
    <row r="1411" spans="1:8" ht="12.5">
      <c r="A1411" s="1" t="str">
        <f ca="1">IFERROR(__xludf.DUMMYFUNCTION("""COMPUTED_VALUE"""),"20181023NHGOM")</f>
        <v>20181023NHGOM</v>
      </c>
      <c r="B1411" s="1"/>
      <c r="C1411" s="1" t="str">
        <f ca="1">IFERROR(__xludf.DUMMYFUNCTION("""COMPUTED_VALUE"""),"Male")</f>
        <v>Male</v>
      </c>
      <c r="D1411" s="1"/>
      <c r="E1411" s="1" t="str">
        <f ca="1">IFERROR(__xludf.DUMMYFUNCTION("""COMPUTED_VALUE"""),"Unknown")</f>
        <v>Unknown</v>
      </c>
      <c r="F1411" s="1" t="str">
        <f ca="1">IFERROR(__xludf.DUMMYFUNCTION("""COMPUTED_VALUE"""),"Fled/Escaped")</f>
        <v>Fled/Escaped</v>
      </c>
      <c r="G1411" s="1" t="str">
        <f ca="1">IFERROR(__xludf.DUMMYFUNCTION("""COMPUTED_VALUE"""),"No")</f>
        <v>No</v>
      </c>
      <c r="H1411" s="1" t="str">
        <f ca="1">IFERROR(__xludf.DUMMYFUNCTION("""COMPUTED_VALUE"""),"None")</f>
        <v>None</v>
      </c>
    </row>
    <row r="1412" spans="1:8" ht="12.5">
      <c r="A1412" s="1" t="str">
        <f ca="1">IFERROR(__xludf.DUMMYFUNCTION("""COMPUTED_VALUE"""),"20181022CTDUB")</f>
        <v>20181022CTDUB</v>
      </c>
      <c r="B1412" s="1">
        <f ca="1">IFERROR(__xludf.DUMMYFUNCTION("""COMPUTED_VALUE"""),18)</f>
        <v>18</v>
      </c>
      <c r="C1412" s="1" t="str">
        <f ca="1">IFERROR(__xludf.DUMMYFUNCTION("""COMPUTED_VALUE"""),"Male")</f>
        <v>Male</v>
      </c>
      <c r="D1412" s="1" t="str">
        <f ca="1">IFERROR(__xludf.DUMMYFUNCTION("""COMPUTED_VALUE"""),"Black")</f>
        <v>Black</v>
      </c>
      <c r="E1412" s="1" t="str">
        <f ca="1">IFERROR(__xludf.DUMMYFUNCTION("""COMPUTED_VALUE"""),"No Relation")</f>
        <v>No Relation</v>
      </c>
      <c r="F1412" s="1" t="str">
        <f ca="1">IFERROR(__xludf.DUMMYFUNCTION("""COMPUTED_VALUE"""),"Fled/Apprehended")</f>
        <v>Fled/Apprehended</v>
      </c>
      <c r="G1412" s="1" t="str">
        <f ca="1">IFERROR(__xludf.DUMMYFUNCTION("""COMPUTED_VALUE"""),"No")</f>
        <v>No</v>
      </c>
      <c r="H1412" s="1" t="str">
        <f ca="1">IFERROR(__xludf.DUMMYFUNCTION("""COMPUTED_VALUE"""),"None")</f>
        <v>None</v>
      </c>
    </row>
    <row r="1413" spans="1:8" ht="12.5">
      <c r="A1413" s="1" t="str">
        <f ca="1">IFERROR(__xludf.DUMMYFUNCTION("""COMPUTED_VALUE"""),"20181020GASHS")</f>
        <v>20181020GASHS</v>
      </c>
      <c r="B1413" s="1">
        <f ca="1">IFERROR(__xludf.DUMMYFUNCTION("""COMPUTED_VALUE"""),18)</f>
        <v>18</v>
      </c>
      <c r="C1413" s="1" t="str">
        <f ca="1">IFERROR(__xludf.DUMMYFUNCTION("""COMPUTED_VALUE"""),"Male")</f>
        <v>Male</v>
      </c>
      <c r="D1413" s="1" t="str">
        <f ca="1">IFERROR(__xludf.DUMMYFUNCTION("""COMPUTED_VALUE"""),"Black")</f>
        <v>Black</v>
      </c>
      <c r="E1413" s="1" t="str">
        <f ca="1">IFERROR(__xludf.DUMMYFUNCTION("""COMPUTED_VALUE"""),"No Relation")</f>
        <v>No Relation</v>
      </c>
      <c r="F1413" s="1" t="str">
        <f ca="1">IFERROR(__xludf.DUMMYFUNCTION("""COMPUTED_VALUE"""),"Fled/Apprehended")</f>
        <v>Fled/Apprehended</v>
      </c>
      <c r="G1413" s="1" t="str">
        <f ca="1">IFERROR(__xludf.DUMMYFUNCTION("""COMPUTED_VALUE"""),"No")</f>
        <v>No</v>
      </c>
      <c r="H1413" s="1" t="str">
        <f ca="1">IFERROR(__xludf.DUMMYFUNCTION("""COMPUTED_VALUE"""),"None")</f>
        <v>None</v>
      </c>
    </row>
    <row r="1414" spans="1:8" ht="12.5">
      <c r="A1414" s="1" t="str">
        <f ca="1">IFERROR(__xludf.DUMMYFUNCTION("""COMPUTED_VALUE"""),"20181013TNMCN")</f>
        <v>20181013TNMCN</v>
      </c>
      <c r="B1414" s="1"/>
      <c r="C1414" s="1" t="str">
        <f ca="1">IFERROR(__xludf.DUMMYFUNCTION("""COMPUTED_VALUE"""),"Male")</f>
        <v>Male</v>
      </c>
      <c r="D1414" s="1" t="str">
        <f ca="1">IFERROR(__xludf.DUMMYFUNCTION("""COMPUTED_VALUE"""),"Black")</f>
        <v>Black</v>
      </c>
      <c r="E1414" s="1" t="str">
        <f ca="1">IFERROR(__xludf.DUMMYFUNCTION("""COMPUTED_VALUE"""),"Unknown")</f>
        <v>Unknown</v>
      </c>
      <c r="F1414" s="1" t="str">
        <f ca="1">IFERROR(__xludf.DUMMYFUNCTION("""COMPUTED_VALUE"""),"Fled/Escaped")</f>
        <v>Fled/Escaped</v>
      </c>
      <c r="G1414" s="1" t="str">
        <f ca="1">IFERROR(__xludf.DUMMYFUNCTION("""COMPUTED_VALUE"""),"No")</f>
        <v>No</v>
      </c>
      <c r="H1414" s="1" t="str">
        <f ca="1">IFERROR(__xludf.DUMMYFUNCTION("""COMPUTED_VALUE"""),"None")</f>
        <v>None</v>
      </c>
    </row>
    <row r="1415" spans="1:8" ht="12.5">
      <c r="A1415" s="1" t="str">
        <f ca="1">IFERROR(__xludf.DUMMYFUNCTION("""COMPUTED_VALUE"""),"20181012MIBAB")</f>
        <v>20181012MIBAB</v>
      </c>
      <c r="B1415" s="1"/>
      <c r="C1415" s="1"/>
      <c r="D1415" s="1"/>
      <c r="E1415" s="1" t="str">
        <f ca="1">IFERROR(__xludf.DUMMYFUNCTION("""COMPUTED_VALUE"""),"Unknown")</f>
        <v>Unknown</v>
      </c>
      <c r="F1415" s="1" t="str">
        <f ca="1">IFERROR(__xludf.DUMMYFUNCTION("""COMPUTED_VALUE"""),"Fled/Escaped")</f>
        <v>Fled/Escaped</v>
      </c>
      <c r="G1415" s="1" t="str">
        <f ca="1">IFERROR(__xludf.DUMMYFUNCTION("""COMPUTED_VALUE"""),"No")</f>
        <v>No</v>
      </c>
      <c r="H1415" s="1" t="str">
        <f ca="1">IFERROR(__xludf.DUMMYFUNCTION("""COMPUTED_VALUE"""),"None")</f>
        <v>None</v>
      </c>
    </row>
    <row r="1416" spans="1:8" ht="12.5">
      <c r="A1416" s="1" t="str">
        <f ca="1">IFERROR(__xludf.DUMMYFUNCTION("""COMPUTED_VALUE"""),"20181007VAVAH")</f>
        <v>20181007VAVAH</v>
      </c>
      <c r="B1416" s="1"/>
      <c r="C1416" s="1" t="str">
        <f ca="1">IFERROR(__xludf.DUMMYFUNCTION("""COMPUTED_VALUE"""),"Male")</f>
        <v>Male</v>
      </c>
      <c r="D1416" s="1"/>
      <c r="E1416" s="1" t="str">
        <f ca="1">IFERROR(__xludf.DUMMYFUNCTION("""COMPUTED_VALUE"""),"Unknown")</f>
        <v>Unknown</v>
      </c>
      <c r="F1416" s="1" t="str">
        <f ca="1">IFERROR(__xludf.DUMMYFUNCTION("""COMPUTED_VALUE"""),"Fled/Escaped")</f>
        <v>Fled/Escaped</v>
      </c>
      <c r="G1416" s="1" t="str">
        <f ca="1">IFERROR(__xludf.DUMMYFUNCTION("""COMPUTED_VALUE"""),"No")</f>
        <v>No</v>
      </c>
      <c r="H1416" s="1" t="str">
        <f ca="1">IFERROR(__xludf.DUMMYFUNCTION("""COMPUTED_VALUE"""),"None")</f>
        <v>None</v>
      </c>
    </row>
    <row r="1417" spans="1:8" ht="12.5">
      <c r="A1417" s="1" t="str">
        <f ca="1">IFERROR(__xludf.DUMMYFUNCTION("""COMPUTED_VALUE"""),"20181005VALAN")</f>
        <v>20181005VALAN</v>
      </c>
      <c r="B1417" s="1"/>
      <c r="C1417" s="1" t="str">
        <f ca="1">IFERROR(__xludf.DUMMYFUNCTION("""COMPUTED_VALUE"""),"Male")</f>
        <v>Male</v>
      </c>
      <c r="D1417" s="1"/>
      <c r="E1417" s="1" t="str">
        <f ca="1">IFERROR(__xludf.DUMMYFUNCTION("""COMPUTED_VALUE"""),"Unknown")</f>
        <v>Unknown</v>
      </c>
      <c r="F1417" s="1" t="str">
        <f ca="1">IFERROR(__xludf.DUMMYFUNCTION("""COMPUTED_VALUE"""),"Fled/Escaped")</f>
        <v>Fled/Escaped</v>
      </c>
      <c r="G1417" s="1" t="str">
        <f ca="1">IFERROR(__xludf.DUMMYFUNCTION("""COMPUTED_VALUE"""),"No")</f>
        <v>No</v>
      </c>
      <c r="H1417" s="1" t="str">
        <f ca="1">IFERROR(__xludf.DUMMYFUNCTION("""COMPUTED_VALUE"""),"None")</f>
        <v>None</v>
      </c>
    </row>
    <row r="1418" spans="1:8" ht="12.5">
      <c r="A1418" s="1" t="str">
        <f ca="1">IFERROR(__xludf.DUMMYFUNCTION("""COMPUTED_VALUE"""),"20181005TNHAB")</f>
        <v>20181005TNHAB</v>
      </c>
      <c r="B1418" s="1">
        <f ca="1">IFERROR(__xludf.DUMMYFUNCTION("""COMPUTED_VALUE"""),16)</f>
        <v>16</v>
      </c>
      <c r="C1418" s="1" t="str">
        <f ca="1">IFERROR(__xludf.DUMMYFUNCTION("""COMPUTED_VALUE"""),"Male")</f>
        <v>Male</v>
      </c>
      <c r="D1418" s="1"/>
      <c r="E1418" s="1" t="str">
        <f ca="1">IFERROR(__xludf.DUMMYFUNCTION("""COMPUTED_VALUE"""),"Unknown")</f>
        <v>Unknown</v>
      </c>
      <c r="F1418" s="1" t="str">
        <f ca="1">IFERROR(__xludf.DUMMYFUNCTION("""COMPUTED_VALUE"""),"Subdued by Students/Staff/Other")</f>
        <v>Subdued by Students/Staff/Other</v>
      </c>
      <c r="G1418" s="1" t="str">
        <f ca="1">IFERROR(__xludf.DUMMYFUNCTION("""COMPUTED_VALUE"""),"No")</f>
        <v>No</v>
      </c>
      <c r="H1418" s="1" t="str">
        <f ca="1">IFERROR(__xludf.DUMMYFUNCTION("""COMPUTED_VALUE"""),"None")</f>
        <v>None</v>
      </c>
    </row>
    <row r="1419" spans="1:8" ht="12.5">
      <c r="A1419" s="1" t="str">
        <f ca="1">IFERROR(__xludf.DUMMYFUNCTION("""COMPUTED_VALUE"""),"20181004ORJAP")</f>
        <v>20181004ORJAP</v>
      </c>
      <c r="B1419" s="1" t="str">
        <f ca="1">IFERROR(__xludf.DUMMYFUNCTION("""COMPUTED_VALUE"""),"Adult")</f>
        <v>Adult</v>
      </c>
      <c r="C1419" s="1" t="str">
        <f ca="1">IFERROR(__xludf.DUMMYFUNCTION("""COMPUTED_VALUE"""),"Female")</f>
        <v>Female</v>
      </c>
      <c r="D1419" s="1"/>
      <c r="E1419" s="1" t="str">
        <f ca="1">IFERROR(__xludf.DUMMYFUNCTION("""COMPUTED_VALUE"""),"Parent")</f>
        <v>Parent</v>
      </c>
      <c r="F1419" s="1" t="str">
        <f ca="1">IFERROR(__xludf.DUMMYFUNCTION("""COMPUTED_VALUE"""),"Fled/Escaped")</f>
        <v>Fled/Escaped</v>
      </c>
      <c r="G1419" s="1" t="str">
        <f ca="1">IFERROR(__xludf.DUMMYFUNCTION("""COMPUTED_VALUE"""),"No")</f>
        <v>No</v>
      </c>
      <c r="H1419" s="1" t="str">
        <f ca="1">IFERROR(__xludf.DUMMYFUNCTION("""COMPUTED_VALUE"""),"None")</f>
        <v>None</v>
      </c>
    </row>
    <row r="1420" spans="1:8" ht="12.5">
      <c r="A1420" s="1" t="str">
        <f ca="1">IFERROR(__xludf.DUMMYFUNCTION("""COMPUTED_VALUE"""),"20181003AKDEA")</f>
        <v>20181003AKDEA</v>
      </c>
      <c r="B1420" s="1">
        <f ca="1">IFERROR(__xludf.DUMMYFUNCTION("""COMPUTED_VALUE"""),26)</f>
        <v>26</v>
      </c>
      <c r="C1420" s="1" t="str">
        <f ca="1">IFERROR(__xludf.DUMMYFUNCTION("""COMPUTED_VALUE"""),"Male")</f>
        <v>Male</v>
      </c>
      <c r="D1420" s="1" t="str">
        <f ca="1">IFERROR(__xludf.DUMMYFUNCTION("""COMPUTED_VALUE"""),"Black")</f>
        <v>Black</v>
      </c>
      <c r="E1420" s="1" t="str">
        <f ca="1">IFERROR(__xludf.DUMMYFUNCTION("""COMPUTED_VALUE"""),"Relative")</f>
        <v>Relative</v>
      </c>
      <c r="F1420" s="1" t="str">
        <f ca="1">IFERROR(__xludf.DUMMYFUNCTION("""COMPUTED_VALUE"""),"Fled/Apprehended")</f>
        <v>Fled/Apprehended</v>
      </c>
      <c r="G1420" s="1" t="str">
        <f ca="1">IFERROR(__xludf.DUMMYFUNCTION("""COMPUTED_VALUE"""),"No")</f>
        <v>No</v>
      </c>
      <c r="H1420" s="1" t="str">
        <f ca="1">IFERROR(__xludf.DUMMYFUNCTION("""COMPUTED_VALUE"""),"None")</f>
        <v>None</v>
      </c>
    </row>
    <row r="1421" spans="1:8" ht="12.5">
      <c r="A1421" s="1" t="str">
        <f ca="1">IFERROR(__xludf.DUMMYFUNCTION("""COMPUTED_VALUE"""),"20181002ARCHL")</f>
        <v>20181002ARCHL</v>
      </c>
      <c r="B1421" s="1"/>
      <c r="C1421" s="1"/>
      <c r="D1421" s="1"/>
      <c r="E1421" s="1" t="str">
        <f ca="1">IFERROR(__xludf.DUMMYFUNCTION("""COMPUTED_VALUE"""),"Unknown")</f>
        <v>Unknown</v>
      </c>
      <c r="F1421" s="1" t="str">
        <f ca="1">IFERROR(__xludf.DUMMYFUNCTION("""COMPUTED_VALUE"""),"Fled/Escaped")</f>
        <v>Fled/Escaped</v>
      </c>
      <c r="G1421" s="1" t="str">
        <f ca="1">IFERROR(__xludf.DUMMYFUNCTION("""COMPUTED_VALUE"""),"No")</f>
        <v>No</v>
      </c>
      <c r="H1421" s="1" t="str">
        <f ca="1">IFERROR(__xludf.DUMMYFUNCTION("""COMPUTED_VALUE"""),"None")</f>
        <v>None</v>
      </c>
    </row>
    <row r="1422" spans="1:8" ht="12.5">
      <c r="A1422" s="1" t="str">
        <f ca="1">IFERROR(__xludf.DUMMYFUNCTION("""COMPUTED_VALUE"""),"20180928SDCHC")</f>
        <v>20180928SDCHC</v>
      </c>
      <c r="B1422" s="1">
        <f ca="1">IFERROR(__xludf.DUMMYFUNCTION("""COMPUTED_VALUE"""),20)</f>
        <v>20</v>
      </c>
      <c r="C1422" s="1" t="str">
        <f ca="1">IFERROR(__xludf.DUMMYFUNCTION("""COMPUTED_VALUE"""),"Male")</f>
        <v>Male</v>
      </c>
      <c r="D1422" s="1"/>
      <c r="E1422" s="1" t="str">
        <f ca="1">IFERROR(__xludf.DUMMYFUNCTION("""COMPUTED_VALUE"""),"No Relation")</f>
        <v>No Relation</v>
      </c>
      <c r="F1422" s="1" t="str">
        <f ca="1">IFERROR(__xludf.DUMMYFUNCTION("""COMPUTED_VALUE"""),"Attempted Suicide")</f>
        <v>Attempted Suicide</v>
      </c>
      <c r="G1422" s="1" t="str">
        <f ca="1">IFERROR(__xludf.DUMMYFUNCTION("""COMPUTED_VALUE"""),"No")</f>
        <v>No</v>
      </c>
      <c r="H1422" s="1" t="str">
        <f ca="1">IFERROR(__xludf.DUMMYFUNCTION("""COMPUTED_VALUE"""),"Wounded")</f>
        <v>Wounded</v>
      </c>
    </row>
    <row r="1423" spans="1:8" ht="12.5">
      <c r="A1423" s="1" t="str">
        <f ca="1">IFERROR(__xludf.DUMMYFUNCTION("""COMPUTED_VALUE"""),"20180927TXHEC")</f>
        <v>20180927TXHEC</v>
      </c>
      <c r="B1423" s="1">
        <f ca="1">IFERROR(__xludf.DUMMYFUNCTION("""COMPUTED_VALUE"""),47)</f>
        <v>47</v>
      </c>
      <c r="C1423" s="1" t="str">
        <f ca="1">IFERROR(__xludf.DUMMYFUNCTION("""COMPUTED_VALUE"""),"Male")</f>
        <v>Male</v>
      </c>
      <c r="D1423" s="1"/>
      <c r="E1423" s="1" t="str">
        <f ca="1">IFERROR(__xludf.DUMMYFUNCTION("""COMPUTED_VALUE"""),"Nonstudent Using Athletic Facilities/Attending Game")</f>
        <v>Nonstudent Using Athletic Facilities/Attending Game</v>
      </c>
      <c r="F1423" s="1" t="str">
        <f ca="1">IFERROR(__xludf.DUMMYFUNCTION("""COMPUTED_VALUE"""),"Apprehended/Killed by LE")</f>
        <v>Apprehended/Killed by LE</v>
      </c>
      <c r="G1423" s="1" t="str">
        <f ca="1">IFERROR(__xludf.DUMMYFUNCTION("""COMPUTED_VALUE"""),"No")</f>
        <v>No</v>
      </c>
      <c r="H1423" s="1" t="str">
        <f ca="1">IFERROR(__xludf.DUMMYFUNCTION("""COMPUTED_VALUE"""),"None")</f>
        <v>None</v>
      </c>
    </row>
    <row r="1424" spans="1:8" ht="12.5">
      <c r="A1424" s="1" t="str">
        <f ca="1">IFERROR(__xludf.DUMMYFUNCTION("""COMPUTED_VALUE"""),"20180926MDMAB")</f>
        <v>20180926MDMAB</v>
      </c>
      <c r="B1424" s="1" t="str">
        <f ca="1">IFERROR(__xludf.DUMMYFUNCTION("""COMPUTED_VALUE"""),"Teen")</f>
        <v>Teen</v>
      </c>
      <c r="C1424" s="1" t="str">
        <f ca="1">IFERROR(__xludf.DUMMYFUNCTION("""COMPUTED_VALUE"""),"Male")</f>
        <v>Male</v>
      </c>
      <c r="D1424" s="1"/>
      <c r="E1424" s="1" t="str">
        <f ca="1">IFERROR(__xludf.DUMMYFUNCTION("""COMPUTED_VALUE"""),"Student")</f>
        <v>Student</v>
      </c>
      <c r="F1424" s="1" t="str">
        <f ca="1">IFERROR(__xludf.DUMMYFUNCTION("""COMPUTED_VALUE"""),"Unknown")</f>
        <v>Unknown</v>
      </c>
      <c r="G1424" s="1" t="str">
        <f ca="1">IFERROR(__xludf.DUMMYFUNCTION("""COMPUTED_VALUE"""),"No")</f>
        <v>No</v>
      </c>
      <c r="H1424" s="1" t="str">
        <f ca="1">IFERROR(__xludf.DUMMYFUNCTION("""COMPUTED_VALUE"""),"None")</f>
        <v>None</v>
      </c>
    </row>
    <row r="1425" spans="1:8" ht="12.5">
      <c r="A1425" s="1" t="str">
        <f ca="1">IFERROR(__xludf.DUMMYFUNCTION("""COMPUTED_VALUE"""),"20180924PACEP")</f>
        <v>20180924PACEP</v>
      </c>
      <c r="B1425" s="1"/>
      <c r="C1425" s="1" t="str">
        <f ca="1">IFERROR(__xludf.DUMMYFUNCTION("""COMPUTED_VALUE"""),"Male")</f>
        <v>Male</v>
      </c>
      <c r="D1425" s="1"/>
      <c r="E1425" s="1" t="str">
        <f ca="1">IFERROR(__xludf.DUMMYFUNCTION("""COMPUTED_VALUE"""),"Unknown")</f>
        <v>Unknown</v>
      </c>
      <c r="F1425" s="1" t="str">
        <f ca="1">IFERROR(__xludf.DUMMYFUNCTION("""COMPUTED_VALUE"""),"Fled/Escaped")</f>
        <v>Fled/Escaped</v>
      </c>
      <c r="G1425" s="1" t="str">
        <f ca="1">IFERROR(__xludf.DUMMYFUNCTION("""COMPUTED_VALUE"""),"No")</f>
        <v>No</v>
      </c>
      <c r="H1425" s="1" t="str">
        <f ca="1">IFERROR(__xludf.DUMMYFUNCTION("""COMPUTED_VALUE"""),"None")</f>
        <v>None</v>
      </c>
    </row>
    <row r="1426" spans="1:8" ht="12.5">
      <c r="A1426" s="1" t="str">
        <f ca="1">IFERROR(__xludf.DUMMYFUNCTION("""COMPUTED_VALUE"""),"20180924PACEP")</f>
        <v>20180924PACEP</v>
      </c>
      <c r="B1426" s="1"/>
      <c r="C1426" s="1" t="str">
        <f ca="1">IFERROR(__xludf.DUMMYFUNCTION("""COMPUTED_VALUE"""),"Male")</f>
        <v>Male</v>
      </c>
      <c r="D1426" s="1"/>
      <c r="E1426" s="1" t="str">
        <f ca="1">IFERROR(__xludf.DUMMYFUNCTION("""COMPUTED_VALUE"""),"Unknown")</f>
        <v>Unknown</v>
      </c>
      <c r="F1426" s="1" t="str">
        <f ca="1">IFERROR(__xludf.DUMMYFUNCTION("""COMPUTED_VALUE"""),"Fled/Escaped")</f>
        <v>Fled/Escaped</v>
      </c>
      <c r="G1426" s="1" t="str">
        <f ca="1">IFERROR(__xludf.DUMMYFUNCTION("""COMPUTED_VALUE"""),"No")</f>
        <v>No</v>
      </c>
      <c r="H1426" s="1" t="str">
        <f ca="1">IFERROR(__xludf.DUMMYFUNCTION("""COMPUTED_VALUE"""),"None")</f>
        <v>None</v>
      </c>
    </row>
    <row r="1427" spans="1:8" ht="12.5">
      <c r="A1427" s="1" t="str">
        <f ca="1">IFERROR(__xludf.DUMMYFUNCTION("""COMPUTED_VALUE"""),"20180924NCLAC")</f>
        <v>20180924NCLAC</v>
      </c>
      <c r="B1427" s="1"/>
      <c r="C1427" s="1" t="str">
        <f ca="1">IFERROR(__xludf.DUMMYFUNCTION("""COMPUTED_VALUE"""),"Male")</f>
        <v>Male</v>
      </c>
      <c r="D1427" s="1"/>
      <c r="E1427" s="1" t="str">
        <f ca="1">IFERROR(__xludf.DUMMYFUNCTION("""COMPUTED_VALUE"""),"Unknown")</f>
        <v>Unknown</v>
      </c>
      <c r="F1427" s="1" t="str">
        <f ca="1">IFERROR(__xludf.DUMMYFUNCTION("""COMPUTED_VALUE"""),"Fled/Escaped")</f>
        <v>Fled/Escaped</v>
      </c>
      <c r="G1427" s="1" t="str">
        <f ca="1">IFERROR(__xludf.DUMMYFUNCTION("""COMPUTED_VALUE"""),"No")</f>
        <v>No</v>
      </c>
      <c r="H1427" s="1" t="str">
        <f ca="1">IFERROR(__xludf.DUMMYFUNCTION("""COMPUTED_VALUE"""),"None")</f>
        <v>None</v>
      </c>
    </row>
    <row r="1428" spans="1:8" ht="12.5">
      <c r="A1428" s="1" t="str">
        <f ca="1">IFERROR(__xludf.DUMMYFUNCTION("""COMPUTED_VALUE"""),"20180924GAAPB")</f>
        <v>20180924GAAPB</v>
      </c>
      <c r="B1428" s="1" t="str">
        <f ca="1">IFERROR(__xludf.DUMMYFUNCTION("""COMPUTED_VALUE"""),"Teen")</f>
        <v>Teen</v>
      </c>
      <c r="C1428" s="1" t="str">
        <f ca="1">IFERROR(__xludf.DUMMYFUNCTION("""COMPUTED_VALUE"""),"Male")</f>
        <v>Male</v>
      </c>
      <c r="D1428" s="1"/>
      <c r="E1428" s="1" t="str">
        <f ca="1">IFERROR(__xludf.DUMMYFUNCTION("""COMPUTED_VALUE"""),"Student")</f>
        <v>Student</v>
      </c>
      <c r="F1428" s="1" t="str">
        <f ca="1">IFERROR(__xludf.DUMMYFUNCTION("""COMPUTED_VALUE"""),"Suicide")</f>
        <v>Suicide</v>
      </c>
      <c r="G1428" s="1" t="str">
        <f ca="1">IFERROR(__xludf.DUMMYFUNCTION("""COMPUTED_VALUE"""),"Yes")</f>
        <v>Yes</v>
      </c>
      <c r="H1428" s="1" t="str">
        <f ca="1">IFERROR(__xludf.DUMMYFUNCTION("""COMPUTED_VALUE"""),"Suicide")</f>
        <v>Suicide</v>
      </c>
    </row>
    <row r="1429" spans="1:8" ht="12.5">
      <c r="A1429" s="1" t="str">
        <f ca="1">IFERROR(__xludf.DUMMYFUNCTION("""COMPUTED_VALUE"""),"20180920CAPOP")</f>
        <v>20180920CAPOP</v>
      </c>
      <c r="B1429" s="1" t="str">
        <f ca="1">IFERROR(__xludf.DUMMYFUNCTION("""COMPUTED_VALUE"""),"Adult")</f>
        <v>Adult</v>
      </c>
      <c r="C1429" s="1" t="str">
        <f ca="1">IFERROR(__xludf.DUMMYFUNCTION("""COMPUTED_VALUE"""),"Male")</f>
        <v>Male</v>
      </c>
      <c r="D1429" s="1"/>
      <c r="E1429" s="1" t="str">
        <f ca="1">IFERROR(__xludf.DUMMYFUNCTION("""COMPUTED_VALUE"""),"Unknown")</f>
        <v>Unknown</v>
      </c>
      <c r="F1429" s="1" t="str">
        <f ca="1">IFERROR(__xludf.DUMMYFUNCTION("""COMPUTED_VALUE"""),"Suicide")</f>
        <v>Suicide</v>
      </c>
      <c r="G1429" s="1" t="str">
        <f ca="1">IFERROR(__xludf.DUMMYFUNCTION("""COMPUTED_VALUE"""),"Yes")</f>
        <v>Yes</v>
      </c>
      <c r="H1429" s="1" t="str">
        <f ca="1">IFERROR(__xludf.DUMMYFUNCTION("""COMPUTED_VALUE"""),"Suicide")</f>
        <v>Suicide</v>
      </c>
    </row>
    <row r="1430" spans="1:8" ht="12.5">
      <c r="A1430" s="1" t="str">
        <f ca="1">IFERROR(__xludf.DUMMYFUNCTION("""COMPUTED_VALUE"""),"20180920CACHL")</f>
        <v>20180920CACHL</v>
      </c>
      <c r="B1430" s="1">
        <f ca="1">IFERROR(__xludf.DUMMYFUNCTION("""COMPUTED_VALUE"""),18)</f>
        <v>18</v>
      </c>
      <c r="C1430" s="1" t="str">
        <f ca="1">IFERROR(__xludf.DUMMYFUNCTION("""COMPUTED_VALUE"""),"Male")</f>
        <v>Male</v>
      </c>
      <c r="D1430" s="1"/>
      <c r="E1430" s="1" t="str">
        <f ca="1">IFERROR(__xludf.DUMMYFUNCTION("""COMPUTED_VALUE"""),"Unknown")</f>
        <v>Unknown</v>
      </c>
      <c r="F1430" s="1" t="str">
        <f ca="1">IFERROR(__xludf.DUMMYFUNCTION("""COMPUTED_VALUE"""),"Fled/Apprehended")</f>
        <v>Fled/Apprehended</v>
      </c>
      <c r="G1430" s="1" t="str">
        <f ca="1">IFERROR(__xludf.DUMMYFUNCTION("""COMPUTED_VALUE"""),"No")</f>
        <v>No</v>
      </c>
      <c r="H1430" s="1" t="str">
        <f ca="1">IFERROR(__xludf.DUMMYFUNCTION("""COMPUTED_VALUE"""),"None")</f>
        <v>None</v>
      </c>
    </row>
    <row r="1431" spans="1:8" ht="12.5">
      <c r="A1431" s="1" t="str">
        <f ca="1">IFERROR(__xludf.DUMMYFUNCTION("""COMPUTED_VALUE"""),"20180920CACHL")</f>
        <v>20180920CACHL</v>
      </c>
      <c r="B1431" s="1">
        <f ca="1">IFERROR(__xludf.DUMMYFUNCTION("""COMPUTED_VALUE"""),20)</f>
        <v>20</v>
      </c>
      <c r="C1431" s="1" t="str">
        <f ca="1">IFERROR(__xludf.DUMMYFUNCTION("""COMPUTED_VALUE"""),"Male")</f>
        <v>Male</v>
      </c>
      <c r="D1431" s="1"/>
      <c r="E1431" s="1" t="str">
        <f ca="1">IFERROR(__xludf.DUMMYFUNCTION("""COMPUTED_VALUE"""),"Unknown")</f>
        <v>Unknown</v>
      </c>
      <c r="F1431" s="1" t="str">
        <f ca="1">IFERROR(__xludf.DUMMYFUNCTION("""COMPUTED_VALUE"""),"Fled/Apprehended")</f>
        <v>Fled/Apprehended</v>
      </c>
      <c r="G1431" s="1" t="str">
        <f ca="1">IFERROR(__xludf.DUMMYFUNCTION("""COMPUTED_VALUE"""),"No")</f>
        <v>No</v>
      </c>
      <c r="H1431" s="1" t="str">
        <f ca="1">IFERROR(__xludf.DUMMYFUNCTION("""COMPUTED_VALUE"""),"None")</f>
        <v>None</v>
      </c>
    </row>
    <row r="1432" spans="1:8" ht="12.5">
      <c r="A1432" s="1" t="str">
        <f ca="1">IFERROR(__xludf.DUMMYFUNCTION("""COMPUTED_VALUE"""),"20180917ALBLH")</f>
        <v>20180917ALBLH</v>
      </c>
      <c r="B1432" s="1">
        <f ca="1">IFERROR(__xludf.DUMMYFUNCTION("""COMPUTED_VALUE"""),7)</f>
        <v>7</v>
      </c>
      <c r="C1432" s="1" t="str">
        <f ca="1">IFERROR(__xludf.DUMMYFUNCTION("""COMPUTED_VALUE"""),"Male")</f>
        <v>Male</v>
      </c>
      <c r="D1432" s="1"/>
      <c r="E1432" s="1" t="str">
        <f ca="1">IFERROR(__xludf.DUMMYFUNCTION("""COMPUTED_VALUE"""),"Student")</f>
        <v>Student</v>
      </c>
      <c r="F1432" s="1" t="str">
        <f ca="1">IFERROR(__xludf.DUMMYFUNCTION("""COMPUTED_VALUE"""),"Unknown")</f>
        <v>Unknown</v>
      </c>
      <c r="G1432" s="1" t="str">
        <f ca="1">IFERROR(__xludf.DUMMYFUNCTION("""COMPUTED_VALUE"""),"No")</f>
        <v>No</v>
      </c>
      <c r="H1432" s="1" t="str">
        <f ca="1">IFERROR(__xludf.DUMMYFUNCTION("""COMPUTED_VALUE"""),"None")</f>
        <v>None</v>
      </c>
    </row>
    <row r="1433" spans="1:8" ht="12.5">
      <c r="A1433" s="1" t="str">
        <f ca="1">IFERROR(__xludf.DUMMYFUNCTION("""COMPUTED_VALUE"""),"20180914WAMAE")</f>
        <v>20180914WAMAE</v>
      </c>
      <c r="B1433" s="1"/>
      <c r="C1433" s="1"/>
      <c r="D1433" s="1"/>
      <c r="E1433" s="1" t="str">
        <f ca="1">IFERROR(__xludf.DUMMYFUNCTION("""COMPUTED_VALUE"""),"Unknown")</f>
        <v>Unknown</v>
      </c>
      <c r="F1433" s="1" t="str">
        <f ca="1">IFERROR(__xludf.DUMMYFUNCTION("""COMPUTED_VALUE"""),"Fled/Escaped")</f>
        <v>Fled/Escaped</v>
      </c>
      <c r="G1433" s="1" t="str">
        <f ca="1">IFERROR(__xludf.DUMMYFUNCTION("""COMPUTED_VALUE"""),"No")</f>
        <v>No</v>
      </c>
      <c r="H1433" s="1" t="str">
        <f ca="1">IFERROR(__xludf.DUMMYFUNCTION("""COMPUTED_VALUE"""),"None")</f>
        <v>None</v>
      </c>
    </row>
    <row r="1434" spans="1:8" ht="12.5">
      <c r="A1434" s="1" t="str">
        <f ca="1">IFERROR(__xludf.DUMMYFUNCTION("""COMPUTED_VALUE"""),"20180914FLBOB")</f>
        <v>20180914FLBOB</v>
      </c>
      <c r="B1434" s="1" t="str">
        <f ca="1">IFERROR(__xludf.DUMMYFUNCTION("""COMPUTED_VALUE"""),"Teen")</f>
        <v>Teen</v>
      </c>
      <c r="C1434" s="1" t="str">
        <f ca="1">IFERROR(__xludf.DUMMYFUNCTION("""COMPUTED_VALUE"""),"Male")</f>
        <v>Male</v>
      </c>
      <c r="D1434" s="1"/>
      <c r="E1434" s="1" t="str">
        <f ca="1">IFERROR(__xludf.DUMMYFUNCTION("""COMPUTED_VALUE"""),"Student")</f>
        <v>Student</v>
      </c>
      <c r="F1434" s="1" t="str">
        <f ca="1">IFERROR(__xludf.DUMMYFUNCTION("""COMPUTED_VALUE"""),"Apprehended/Killed by LE")</f>
        <v>Apprehended/Killed by LE</v>
      </c>
      <c r="G1434" s="1" t="str">
        <f ca="1">IFERROR(__xludf.DUMMYFUNCTION("""COMPUTED_VALUE"""),"No")</f>
        <v>No</v>
      </c>
      <c r="H1434" s="1" t="str">
        <f ca="1">IFERROR(__xludf.DUMMYFUNCTION("""COMPUTED_VALUE"""),"None")</f>
        <v>None</v>
      </c>
    </row>
    <row r="1435" spans="1:8" ht="12.5">
      <c r="A1435" s="1" t="str">
        <f ca="1">IFERROR(__xludf.DUMMYFUNCTION("""COMPUTED_VALUE"""),"20180911NVCAL")</f>
        <v>20180911NVCAL</v>
      </c>
      <c r="B1435" s="1">
        <f ca="1">IFERROR(__xludf.DUMMYFUNCTION("""COMPUTED_VALUE"""),16)</f>
        <v>16</v>
      </c>
      <c r="C1435" s="1" t="str">
        <f ca="1">IFERROR(__xludf.DUMMYFUNCTION("""COMPUTED_VALUE"""),"Male")</f>
        <v>Male</v>
      </c>
      <c r="D1435" s="1" t="str">
        <f ca="1">IFERROR(__xludf.DUMMYFUNCTION("""COMPUTED_VALUE"""),"Black")</f>
        <v>Black</v>
      </c>
      <c r="E1435" s="1" t="str">
        <f ca="1">IFERROR(__xludf.DUMMYFUNCTION("""COMPUTED_VALUE"""),"Rival School Student")</f>
        <v>Rival School Student</v>
      </c>
      <c r="F1435" s="1" t="str">
        <f ca="1">IFERROR(__xludf.DUMMYFUNCTION("""COMPUTED_VALUE"""),"Fled/Escaped")</f>
        <v>Fled/Escaped</v>
      </c>
      <c r="G1435" s="1" t="str">
        <f ca="1">IFERROR(__xludf.DUMMYFUNCTION("""COMPUTED_VALUE"""),"No")</f>
        <v>No</v>
      </c>
      <c r="H1435" s="1" t="str">
        <f ca="1">IFERROR(__xludf.DUMMYFUNCTION("""COMPUTED_VALUE"""),"None")</f>
        <v>None</v>
      </c>
    </row>
    <row r="1436" spans="1:8" ht="12.5">
      <c r="A1436" s="1" t="str">
        <f ca="1">IFERROR(__xludf.DUMMYFUNCTION("""COMPUTED_VALUE"""),"20180910TNFAM")</f>
        <v>20180910TNFAM</v>
      </c>
      <c r="B1436" s="1">
        <f ca="1">IFERROR(__xludf.DUMMYFUNCTION("""COMPUTED_VALUE"""),23)</f>
        <v>23</v>
      </c>
      <c r="C1436" s="1" t="str">
        <f ca="1">IFERROR(__xludf.DUMMYFUNCTION("""COMPUTED_VALUE"""),"Male")</f>
        <v>Male</v>
      </c>
      <c r="D1436" s="1"/>
      <c r="E1436" s="1" t="str">
        <f ca="1">IFERROR(__xludf.DUMMYFUNCTION("""COMPUTED_VALUE"""),"No Relation")</f>
        <v>No Relation</v>
      </c>
      <c r="F1436" s="1" t="str">
        <f ca="1">IFERROR(__xludf.DUMMYFUNCTION("""COMPUTED_VALUE"""),"Fled/Apprehended")</f>
        <v>Fled/Apprehended</v>
      </c>
      <c r="G1436" s="1" t="str">
        <f ca="1">IFERROR(__xludf.DUMMYFUNCTION("""COMPUTED_VALUE"""),"No")</f>
        <v>No</v>
      </c>
      <c r="H1436" s="1" t="str">
        <f ca="1">IFERROR(__xludf.DUMMYFUNCTION("""COMPUTED_VALUE"""),"None")</f>
        <v>None</v>
      </c>
    </row>
    <row r="1437" spans="1:8" ht="12.5">
      <c r="A1437" s="1" t="str">
        <f ca="1">IFERROR(__xludf.DUMMYFUNCTION("""COMPUTED_VALUE"""),"20180910ILCHC")</f>
        <v>20180910ILCHC</v>
      </c>
      <c r="B1437" s="1"/>
      <c r="C1437" s="1" t="str">
        <f ca="1">IFERROR(__xludf.DUMMYFUNCTION("""COMPUTED_VALUE"""),"Male")</f>
        <v>Male</v>
      </c>
      <c r="D1437" s="1"/>
      <c r="E1437" s="1" t="str">
        <f ca="1">IFERROR(__xludf.DUMMYFUNCTION("""COMPUTED_VALUE"""),"Unknown")</f>
        <v>Unknown</v>
      </c>
      <c r="F1437" s="1" t="str">
        <f ca="1">IFERROR(__xludf.DUMMYFUNCTION("""COMPUTED_VALUE"""),"Fled/Escaped")</f>
        <v>Fled/Escaped</v>
      </c>
      <c r="G1437" s="1" t="str">
        <f ca="1">IFERROR(__xludf.DUMMYFUNCTION("""COMPUTED_VALUE"""),"No")</f>
        <v>No</v>
      </c>
      <c r="H1437" s="1" t="str">
        <f ca="1">IFERROR(__xludf.DUMMYFUNCTION("""COMPUTED_VALUE"""),"None")</f>
        <v>None</v>
      </c>
    </row>
    <row r="1438" spans="1:8" ht="12.5">
      <c r="A1438" s="1" t="str">
        <f ca="1">IFERROR(__xludf.DUMMYFUNCTION("""COMPUTED_VALUE"""),"20180909CAGIG")</f>
        <v>20180909CAGIG</v>
      </c>
      <c r="B1438" s="1" t="str">
        <f ca="1">IFERROR(__xludf.DUMMYFUNCTION("""COMPUTED_VALUE"""),"Adult")</f>
        <v>Adult</v>
      </c>
      <c r="C1438" s="1"/>
      <c r="D1438" s="1"/>
      <c r="E1438" s="1" t="str">
        <f ca="1">IFERROR(__xludf.DUMMYFUNCTION("""COMPUTED_VALUE"""),"Police Officer/SRO")</f>
        <v>Police Officer/SRO</v>
      </c>
      <c r="F1438" s="1" t="str">
        <f ca="1">IFERROR(__xludf.DUMMYFUNCTION("""COMPUTED_VALUE"""),"Law Enforcement")</f>
        <v>Law Enforcement</v>
      </c>
      <c r="G1438" s="1" t="str">
        <f ca="1">IFERROR(__xludf.DUMMYFUNCTION("""COMPUTED_VALUE"""),"No")</f>
        <v>No</v>
      </c>
      <c r="H1438" s="1" t="str">
        <f ca="1">IFERROR(__xludf.DUMMYFUNCTION("""COMPUTED_VALUE"""),"None")</f>
        <v>None</v>
      </c>
    </row>
    <row r="1439" spans="1:8" ht="12.5">
      <c r="A1439" s="1" t="str">
        <f ca="1">IFERROR(__xludf.DUMMYFUNCTION("""COMPUTED_VALUE"""),"20180907IAHED")</f>
        <v>20180907IAHED</v>
      </c>
      <c r="B1439" s="1"/>
      <c r="C1439" s="1"/>
      <c r="D1439" s="1"/>
      <c r="E1439" s="1" t="str">
        <f ca="1">IFERROR(__xludf.DUMMYFUNCTION("""COMPUTED_VALUE"""),"Unknown")</f>
        <v>Unknown</v>
      </c>
      <c r="F1439" s="1" t="str">
        <f ca="1">IFERROR(__xludf.DUMMYFUNCTION("""COMPUTED_VALUE"""),"Fled/Escaped")</f>
        <v>Fled/Escaped</v>
      </c>
      <c r="G1439" s="1" t="str">
        <f ca="1">IFERROR(__xludf.DUMMYFUNCTION("""COMPUTED_VALUE"""),"No")</f>
        <v>No</v>
      </c>
      <c r="H1439" s="1" t="str">
        <f ca="1">IFERROR(__xludf.DUMMYFUNCTION("""COMPUTED_VALUE"""),"None")</f>
        <v>None</v>
      </c>
    </row>
    <row r="1440" spans="1:8" ht="12.5">
      <c r="A1440" s="1" t="str">
        <f ca="1">IFERROR(__xludf.DUMMYFUNCTION("""COMPUTED_VALUE"""),"20180905RIPRP")</f>
        <v>20180905RIPRP</v>
      </c>
      <c r="B1440" s="1">
        <f ca="1">IFERROR(__xludf.DUMMYFUNCTION("""COMPUTED_VALUE"""),16)</f>
        <v>16</v>
      </c>
      <c r="C1440" s="1" t="str">
        <f ca="1">IFERROR(__xludf.DUMMYFUNCTION("""COMPUTED_VALUE"""),"Male")</f>
        <v>Male</v>
      </c>
      <c r="D1440" s="1" t="str">
        <f ca="1">IFERROR(__xludf.DUMMYFUNCTION("""COMPUTED_VALUE"""),"Hispanic")</f>
        <v>Hispanic</v>
      </c>
      <c r="E1440" s="1" t="str">
        <f ca="1">IFERROR(__xludf.DUMMYFUNCTION("""COMPUTED_VALUE"""),"Rival School Student")</f>
        <v>Rival School Student</v>
      </c>
      <c r="F1440" s="1" t="str">
        <f ca="1">IFERROR(__xludf.DUMMYFUNCTION("""COMPUTED_VALUE"""),"Fled/Apprehended")</f>
        <v>Fled/Apprehended</v>
      </c>
      <c r="G1440" s="1" t="str">
        <f ca="1">IFERROR(__xludf.DUMMYFUNCTION("""COMPUTED_VALUE"""),"No")</f>
        <v>No</v>
      </c>
      <c r="H1440" s="1" t="str">
        <f ca="1">IFERROR(__xludf.DUMMYFUNCTION("""COMPUTED_VALUE"""),"Wounded")</f>
        <v>Wounded</v>
      </c>
    </row>
    <row r="1441" spans="1:8" ht="12.5">
      <c r="A1441" s="1" t="str">
        <f ca="1">IFERROR(__xludf.DUMMYFUNCTION("""COMPUTED_VALUE"""),"20180903NYLUN")</f>
        <v>20180903NYLUN</v>
      </c>
      <c r="B1441" s="1"/>
      <c r="C1441" s="1" t="str">
        <f ca="1">IFERROR(__xludf.DUMMYFUNCTION("""COMPUTED_VALUE"""),"Male")</f>
        <v>Male</v>
      </c>
      <c r="D1441" s="1"/>
      <c r="E1441" s="1" t="str">
        <f ca="1">IFERROR(__xludf.DUMMYFUNCTION("""COMPUTED_VALUE"""),"Unknown")</f>
        <v>Unknown</v>
      </c>
      <c r="F1441" s="1" t="str">
        <f ca="1">IFERROR(__xludf.DUMMYFUNCTION("""COMPUTED_VALUE"""),"Fled/Escaped")</f>
        <v>Fled/Escaped</v>
      </c>
      <c r="G1441" s="1" t="str">
        <f ca="1">IFERROR(__xludf.DUMMYFUNCTION("""COMPUTED_VALUE"""),"No")</f>
        <v>No</v>
      </c>
      <c r="H1441" s="1" t="str">
        <f ca="1">IFERROR(__xludf.DUMMYFUNCTION("""COMPUTED_VALUE"""),"None")</f>
        <v>None</v>
      </c>
    </row>
    <row r="1442" spans="1:8" ht="12.5">
      <c r="A1442" s="1" t="str">
        <f ca="1">IFERROR(__xludf.DUMMYFUNCTION("""COMPUTED_VALUE"""),"20180831IANOE")</f>
        <v>20180831IANOE</v>
      </c>
      <c r="B1442" s="1">
        <f ca="1">IFERROR(__xludf.DUMMYFUNCTION("""COMPUTED_VALUE"""),12)</f>
        <v>12</v>
      </c>
      <c r="C1442" s="1" t="str">
        <f ca="1">IFERROR(__xludf.DUMMYFUNCTION("""COMPUTED_VALUE"""),"Male")</f>
        <v>Male</v>
      </c>
      <c r="D1442" s="1" t="str">
        <f ca="1">IFERROR(__xludf.DUMMYFUNCTION("""COMPUTED_VALUE"""),"White")</f>
        <v>White</v>
      </c>
      <c r="E1442" s="1" t="str">
        <f ca="1">IFERROR(__xludf.DUMMYFUNCTION("""COMPUTED_VALUE"""),"Student")</f>
        <v>Student</v>
      </c>
      <c r="F1442" s="1" t="str">
        <f ca="1">IFERROR(__xludf.DUMMYFUNCTION("""COMPUTED_VALUE"""),"Subdued by Students/Staff/Other")</f>
        <v>Subdued by Students/Staff/Other</v>
      </c>
      <c r="G1442" s="1" t="str">
        <f ca="1">IFERROR(__xludf.DUMMYFUNCTION("""COMPUTED_VALUE"""),"No")</f>
        <v>No</v>
      </c>
      <c r="H1442" s="1" t="str">
        <f ca="1">IFERROR(__xludf.DUMMYFUNCTION("""COMPUTED_VALUE"""),"None")</f>
        <v>None</v>
      </c>
    </row>
    <row r="1443" spans="1:8" ht="12.5">
      <c r="A1443" s="1" t="str">
        <f ca="1">IFERROR(__xludf.DUMMYFUNCTION("""COMPUTED_VALUE"""),"20180831CABAS")</f>
        <v>20180831CABAS</v>
      </c>
      <c r="B1443" s="1" t="str">
        <f ca="1">IFERROR(__xludf.DUMMYFUNCTION("""COMPUTED_VALUE"""),"Teen")</f>
        <v>Teen</v>
      </c>
      <c r="C1443" s="1" t="str">
        <f ca="1">IFERROR(__xludf.DUMMYFUNCTION("""COMPUTED_VALUE"""),"Male")</f>
        <v>Male</v>
      </c>
      <c r="D1443" s="1"/>
      <c r="E1443" s="1" t="str">
        <f ca="1">IFERROR(__xludf.DUMMYFUNCTION("""COMPUTED_VALUE"""),"Student")</f>
        <v>Student</v>
      </c>
      <c r="F1443" s="1" t="str">
        <f ca="1">IFERROR(__xludf.DUMMYFUNCTION("""COMPUTED_VALUE"""),"Fled/Apprehended")</f>
        <v>Fled/Apprehended</v>
      </c>
      <c r="G1443" s="1" t="str">
        <f ca="1">IFERROR(__xludf.DUMMYFUNCTION("""COMPUTED_VALUE"""),"No")</f>
        <v>No</v>
      </c>
      <c r="H1443" s="1" t="str">
        <f ca="1">IFERROR(__xludf.DUMMYFUNCTION("""COMPUTED_VALUE"""),"None")</f>
        <v>None</v>
      </c>
    </row>
    <row r="1444" spans="1:8" ht="12.5">
      <c r="A1444" s="1" t="str">
        <f ca="1">IFERROR(__xludf.DUMMYFUNCTION("""COMPUTED_VALUE"""),"20180830NCVIC")</f>
        <v>20180830NCVIC</v>
      </c>
      <c r="B1444" s="1">
        <f ca="1">IFERROR(__xludf.DUMMYFUNCTION("""COMPUTED_VALUE"""),34)</f>
        <v>34</v>
      </c>
      <c r="C1444" s="1" t="str">
        <f ca="1">IFERROR(__xludf.DUMMYFUNCTION("""COMPUTED_VALUE"""),"Male")</f>
        <v>Male</v>
      </c>
      <c r="D1444" s="1" t="str">
        <f ca="1">IFERROR(__xludf.DUMMYFUNCTION("""COMPUTED_VALUE"""),"Black")</f>
        <v>Black</v>
      </c>
      <c r="E1444" s="1" t="str">
        <f ca="1">IFERROR(__xludf.DUMMYFUNCTION("""COMPUTED_VALUE"""),"Intimate Relationship")</f>
        <v>Intimate Relationship</v>
      </c>
      <c r="F1444" s="1" t="str">
        <f ca="1">IFERROR(__xludf.DUMMYFUNCTION("""COMPUTED_VALUE"""),"Fled/Apprehended")</f>
        <v>Fled/Apprehended</v>
      </c>
      <c r="G1444" s="1" t="str">
        <f ca="1">IFERROR(__xludf.DUMMYFUNCTION("""COMPUTED_VALUE"""),"No")</f>
        <v>No</v>
      </c>
      <c r="H1444" s="1" t="str">
        <f ca="1">IFERROR(__xludf.DUMMYFUNCTION("""COMPUTED_VALUE"""),"None")</f>
        <v>None</v>
      </c>
    </row>
    <row r="1445" spans="1:8" ht="12.5">
      <c r="A1445" s="1" t="str">
        <f ca="1">IFERROR(__xludf.DUMMYFUNCTION("""COMPUTED_VALUE"""),"20180830MIOTG")</f>
        <v>20180830MIOTG</v>
      </c>
      <c r="B1445" s="1"/>
      <c r="C1445" s="1" t="str">
        <f ca="1">IFERROR(__xludf.DUMMYFUNCTION("""COMPUTED_VALUE"""),"Male")</f>
        <v>Male</v>
      </c>
      <c r="D1445" s="1"/>
      <c r="E1445" s="1" t="str">
        <f ca="1">IFERROR(__xludf.DUMMYFUNCTION("""COMPUTED_VALUE"""),"Unknown")</f>
        <v>Unknown</v>
      </c>
      <c r="F1445" s="1" t="str">
        <f ca="1">IFERROR(__xludf.DUMMYFUNCTION("""COMPUTED_VALUE"""),"Fled/Escaped")</f>
        <v>Fled/Escaped</v>
      </c>
      <c r="G1445" s="1" t="str">
        <f ca="1">IFERROR(__xludf.DUMMYFUNCTION("""COMPUTED_VALUE"""),"No")</f>
        <v>No</v>
      </c>
      <c r="H1445" s="1" t="str">
        <f ca="1">IFERROR(__xludf.DUMMYFUNCTION("""COMPUTED_VALUE"""),"None")</f>
        <v>None</v>
      </c>
    </row>
    <row r="1446" spans="1:8" ht="12.5">
      <c r="A1446" s="1" t="str">
        <f ca="1">IFERROR(__xludf.DUMMYFUNCTION("""COMPUTED_VALUE"""),"20180829DETOD")</f>
        <v>20180829DETOD</v>
      </c>
      <c r="B1446" s="1">
        <f ca="1">IFERROR(__xludf.DUMMYFUNCTION("""COMPUTED_VALUE"""),53)</f>
        <v>53</v>
      </c>
      <c r="C1446" s="1" t="str">
        <f ca="1">IFERROR(__xludf.DUMMYFUNCTION("""COMPUTED_VALUE"""),"Male")</f>
        <v>Male</v>
      </c>
      <c r="D1446" s="1" t="str">
        <f ca="1">IFERROR(__xludf.DUMMYFUNCTION("""COMPUTED_VALUE"""),"Black")</f>
        <v>Black</v>
      </c>
      <c r="E1446" s="1" t="str">
        <f ca="1">IFERROR(__xludf.DUMMYFUNCTION("""COMPUTED_VALUE"""),"Other Staff")</f>
        <v>Other Staff</v>
      </c>
      <c r="F1446" s="1" t="str">
        <f ca="1">IFERROR(__xludf.DUMMYFUNCTION("""COMPUTED_VALUE"""),"Fled/Apprehended")</f>
        <v>Fled/Apprehended</v>
      </c>
      <c r="G1446" s="1" t="str">
        <f ca="1">IFERROR(__xludf.DUMMYFUNCTION("""COMPUTED_VALUE"""),"No")</f>
        <v>No</v>
      </c>
      <c r="H1446" s="1" t="str">
        <f ca="1">IFERROR(__xludf.DUMMYFUNCTION("""COMPUTED_VALUE"""),"None")</f>
        <v>None</v>
      </c>
    </row>
    <row r="1447" spans="1:8" ht="12.5">
      <c r="A1447" s="1" t="str">
        <f ca="1">IFERROR(__xludf.DUMMYFUNCTION("""COMPUTED_VALUE"""),"20180828COCOD")</f>
        <v>20180828COCOD</v>
      </c>
      <c r="B1447" s="1">
        <f ca="1">IFERROR(__xludf.DUMMYFUNCTION("""COMPUTED_VALUE"""),14)</f>
        <v>14</v>
      </c>
      <c r="C1447" s="1" t="str">
        <f ca="1">IFERROR(__xludf.DUMMYFUNCTION("""COMPUTED_VALUE"""),"Male")</f>
        <v>Male</v>
      </c>
      <c r="D1447" s="1"/>
      <c r="E1447" s="1" t="str">
        <f ca="1">IFERROR(__xludf.DUMMYFUNCTION("""COMPUTED_VALUE"""),"Student")</f>
        <v>Student</v>
      </c>
      <c r="F1447" s="1" t="str">
        <f ca="1">IFERROR(__xludf.DUMMYFUNCTION("""COMPUTED_VALUE"""),"Fled/Apprehended")</f>
        <v>Fled/Apprehended</v>
      </c>
      <c r="G1447" s="1" t="str">
        <f ca="1">IFERROR(__xludf.DUMMYFUNCTION("""COMPUTED_VALUE"""),"No")</f>
        <v>No</v>
      </c>
      <c r="H1447" s="1" t="str">
        <f ca="1">IFERROR(__xludf.DUMMYFUNCTION("""COMPUTED_VALUE"""),"None")</f>
        <v>None</v>
      </c>
    </row>
    <row r="1448" spans="1:8" ht="12.5">
      <c r="A1448" s="1" t="str">
        <f ca="1">IFERROR(__xludf.DUMMYFUNCTION("""COMPUTED_VALUE"""),"20180824ILMEC")</f>
        <v>20180824ILMEC</v>
      </c>
      <c r="B1448" s="1"/>
      <c r="C1448" s="1" t="str">
        <f ca="1">IFERROR(__xludf.DUMMYFUNCTION("""COMPUTED_VALUE"""),"Male")</f>
        <v>Male</v>
      </c>
      <c r="D1448" s="1"/>
      <c r="E1448" s="1" t="str">
        <f ca="1">IFERROR(__xludf.DUMMYFUNCTION("""COMPUTED_VALUE"""),"Unknown")</f>
        <v>Unknown</v>
      </c>
      <c r="F1448" s="1" t="str">
        <f ca="1">IFERROR(__xludf.DUMMYFUNCTION("""COMPUTED_VALUE"""),"Fled/Escaped")</f>
        <v>Fled/Escaped</v>
      </c>
      <c r="G1448" s="1" t="str">
        <f ca="1">IFERROR(__xludf.DUMMYFUNCTION("""COMPUTED_VALUE"""),"No")</f>
        <v>No</v>
      </c>
      <c r="H1448" s="1" t="str">
        <f ca="1">IFERROR(__xludf.DUMMYFUNCTION("""COMPUTED_VALUE"""),"None")</f>
        <v>None</v>
      </c>
    </row>
    <row r="1449" spans="1:8" ht="12.5">
      <c r="A1449" s="1" t="str">
        <f ca="1">IFERROR(__xludf.DUMMYFUNCTION("""COMPUTED_VALUE"""),"20180824FLRAJ")</f>
        <v>20180824FLRAJ</v>
      </c>
      <c r="B1449" s="1">
        <f ca="1">IFERROR(__xludf.DUMMYFUNCTION("""COMPUTED_VALUE"""),16)</f>
        <v>16</v>
      </c>
      <c r="C1449" s="1" t="str">
        <f ca="1">IFERROR(__xludf.DUMMYFUNCTION("""COMPUTED_VALUE"""),"Male")</f>
        <v>Male</v>
      </c>
      <c r="D1449" s="1"/>
      <c r="E1449" s="1" t="str">
        <f ca="1">IFERROR(__xludf.DUMMYFUNCTION("""COMPUTED_VALUE"""),"Unknown")</f>
        <v>Unknown</v>
      </c>
      <c r="F1449" s="1" t="str">
        <f ca="1">IFERROR(__xludf.DUMMYFUNCTION("""COMPUTED_VALUE"""),"Fled/Apprehended")</f>
        <v>Fled/Apprehended</v>
      </c>
      <c r="G1449" s="1" t="str">
        <f ca="1">IFERROR(__xludf.DUMMYFUNCTION("""COMPUTED_VALUE"""),"No")</f>
        <v>No</v>
      </c>
      <c r="H1449" s="1" t="str">
        <f ca="1">IFERROR(__xludf.DUMMYFUNCTION("""COMPUTED_VALUE"""),"None")</f>
        <v>None</v>
      </c>
    </row>
    <row r="1450" spans="1:8" ht="12.5">
      <c r="A1450" s="1" t="str">
        <f ca="1">IFERROR(__xludf.DUMMYFUNCTION("""COMPUTED_VALUE"""),"20180823ALALM")</f>
        <v>20180823ALALM</v>
      </c>
      <c r="B1450" s="1"/>
      <c r="C1450" s="1"/>
      <c r="D1450" s="1"/>
      <c r="E1450" s="1" t="str">
        <f ca="1">IFERROR(__xludf.DUMMYFUNCTION("""COMPUTED_VALUE"""),"Unknown")</f>
        <v>Unknown</v>
      </c>
      <c r="F1450" s="1" t="str">
        <f ca="1">IFERROR(__xludf.DUMMYFUNCTION("""COMPUTED_VALUE"""),"Fled/Escaped")</f>
        <v>Fled/Escaped</v>
      </c>
      <c r="G1450" s="1" t="str">
        <f ca="1">IFERROR(__xludf.DUMMYFUNCTION("""COMPUTED_VALUE"""),"No")</f>
        <v>No</v>
      </c>
      <c r="H1450" s="1" t="str">
        <f ca="1">IFERROR(__xludf.DUMMYFUNCTION("""COMPUTED_VALUE"""),"None")</f>
        <v>None</v>
      </c>
    </row>
    <row r="1451" spans="1:8" ht="12.5">
      <c r="A1451" s="1" t="str">
        <f ca="1">IFERROR(__xludf.DUMMYFUNCTION("""COMPUTED_VALUE"""),"20180817FLPAW")</f>
        <v>20180817FLPAW</v>
      </c>
      <c r="B1451" s="1"/>
      <c r="C1451" s="1"/>
      <c r="D1451" s="1"/>
      <c r="E1451" s="1" t="str">
        <f ca="1">IFERROR(__xludf.DUMMYFUNCTION("""COMPUTED_VALUE"""),"Unknown")</f>
        <v>Unknown</v>
      </c>
      <c r="F1451" s="1" t="str">
        <f ca="1">IFERROR(__xludf.DUMMYFUNCTION("""COMPUTED_VALUE"""),"Fled/Escaped")</f>
        <v>Fled/Escaped</v>
      </c>
      <c r="G1451" s="1" t="str">
        <f ca="1">IFERROR(__xludf.DUMMYFUNCTION("""COMPUTED_VALUE"""),"No")</f>
        <v>No</v>
      </c>
      <c r="H1451" s="1" t="str">
        <f ca="1">IFERROR(__xludf.DUMMYFUNCTION("""COMPUTED_VALUE"""),"None")</f>
        <v>None</v>
      </c>
    </row>
    <row r="1452" spans="1:8" ht="12.5">
      <c r="A1452" s="1" t="str">
        <f ca="1">IFERROR(__xludf.DUMMYFUNCTION("""COMPUTED_VALUE"""),"20180811TNANN")</f>
        <v>20180811TNANN</v>
      </c>
      <c r="B1452" s="1">
        <f ca="1">IFERROR(__xludf.DUMMYFUNCTION("""COMPUTED_VALUE"""),30)</f>
        <v>30</v>
      </c>
      <c r="C1452" s="1" t="str">
        <f ca="1">IFERROR(__xludf.DUMMYFUNCTION("""COMPUTED_VALUE"""),"Male")</f>
        <v>Male</v>
      </c>
      <c r="D1452" s="1" t="str">
        <f ca="1">IFERROR(__xludf.DUMMYFUNCTION("""COMPUTED_VALUE"""),"Black")</f>
        <v>Black</v>
      </c>
      <c r="E1452" s="1" t="str">
        <f ca="1">IFERROR(__xludf.DUMMYFUNCTION("""COMPUTED_VALUE"""),"Parent")</f>
        <v>Parent</v>
      </c>
      <c r="F1452" s="1" t="str">
        <f ca="1">IFERROR(__xludf.DUMMYFUNCTION("""COMPUTED_VALUE"""),"Fled/Apprehended")</f>
        <v>Fled/Apprehended</v>
      </c>
      <c r="G1452" s="1" t="str">
        <f ca="1">IFERROR(__xludf.DUMMYFUNCTION("""COMPUTED_VALUE"""),"No")</f>
        <v>No</v>
      </c>
      <c r="H1452" s="1" t="str">
        <f ca="1">IFERROR(__xludf.DUMMYFUNCTION("""COMPUTED_VALUE"""),"None")</f>
        <v>None</v>
      </c>
    </row>
    <row r="1453" spans="1:8" ht="12.5">
      <c r="A1453" s="1" t="str">
        <f ca="1">IFERROR(__xludf.DUMMYFUNCTION("""COMPUTED_VALUE"""),"20180809NJLAM")</f>
        <v>20180809NJLAM</v>
      </c>
      <c r="B1453" s="1"/>
      <c r="C1453" s="1" t="str">
        <f ca="1">IFERROR(__xludf.DUMMYFUNCTION("""COMPUTED_VALUE"""),"Male")</f>
        <v>Male</v>
      </c>
      <c r="D1453" s="1"/>
      <c r="E1453" s="1" t="str">
        <f ca="1">IFERROR(__xludf.DUMMYFUNCTION("""COMPUTED_VALUE"""),"Unknown")</f>
        <v>Unknown</v>
      </c>
      <c r="F1453" s="1" t="str">
        <f ca="1">IFERROR(__xludf.DUMMYFUNCTION("""COMPUTED_VALUE"""),"Fled/Escaped")</f>
        <v>Fled/Escaped</v>
      </c>
      <c r="G1453" s="1" t="str">
        <f ca="1">IFERROR(__xludf.DUMMYFUNCTION("""COMPUTED_VALUE"""),"No")</f>
        <v>No</v>
      </c>
      <c r="H1453" s="1" t="str">
        <f ca="1">IFERROR(__xludf.DUMMYFUNCTION("""COMPUTED_VALUE"""),"None")</f>
        <v>None</v>
      </c>
    </row>
    <row r="1454" spans="1:8" ht="12.5">
      <c r="A1454" s="1" t="str">
        <f ca="1">IFERROR(__xludf.DUMMYFUNCTION("""COMPUTED_VALUE"""),"20180804MDEDE")</f>
        <v>20180804MDEDE</v>
      </c>
      <c r="B1454" s="1"/>
      <c r="C1454" s="1"/>
      <c r="D1454" s="1"/>
      <c r="E1454" s="1" t="str">
        <f ca="1">IFERROR(__xludf.DUMMYFUNCTION("""COMPUTED_VALUE"""),"Unknown")</f>
        <v>Unknown</v>
      </c>
      <c r="F1454" s="1" t="str">
        <f ca="1">IFERROR(__xludf.DUMMYFUNCTION("""COMPUTED_VALUE"""),"Fled/Escaped")</f>
        <v>Fled/Escaped</v>
      </c>
      <c r="G1454" s="1" t="str">
        <f ca="1">IFERROR(__xludf.DUMMYFUNCTION("""COMPUTED_VALUE"""),"No")</f>
        <v>No</v>
      </c>
      <c r="H1454" s="1" t="str">
        <f ca="1">IFERROR(__xludf.DUMMYFUNCTION("""COMPUTED_VALUE"""),"None")</f>
        <v>None</v>
      </c>
    </row>
    <row r="1455" spans="1:8" ht="12.5">
      <c r="A1455" s="1" t="str">
        <f ca="1">IFERROR(__xludf.DUMMYFUNCTION("""COMPUTED_VALUE"""),"20180803IALIO")</f>
        <v>20180803IALIO</v>
      </c>
      <c r="B1455" s="1">
        <f ca="1">IFERROR(__xludf.DUMMYFUNCTION("""COMPUTED_VALUE"""),32)</f>
        <v>32</v>
      </c>
      <c r="C1455" s="1" t="str">
        <f ca="1">IFERROR(__xludf.DUMMYFUNCTION("""COMPUTED_VALUE"""),"Male")</f>
        <v>Male</v>
      </c>
      <c r="D1455" s="1" t="str">
        <f ca="1">IFERROR(__xludf.DUMMYFUNCTION("""COMPUTED_VALUE"""),"White")</f>
        <v>White</v>
      </c>
      <c r="E1455" s="1" t="str">
        <f ca="1">IFERROR(__xludf.DUMMYFUNCTION("""COMPUTED_VALUE"""),"No Relation")</f>
        <v>No Relation</v>
      </c>
      <c r="F1455" s="1" t="str">
        <f ca="1">IFERROR(__xludf.DUMMYFUNCTION("""COMPUTED_VALUE"""),"Fled/Apprehended")</f>
        <v>Fled/Apprehended</v>
      </c>
      <c r="G1455" s="1" t="str">
        <f ca="1">IFERROR(__xludf.DUMMYFUNCTION("""COMPUTED_VALUE"""),"No")</f>
        <v>No</v>
      </c>
      <c r="H1455" s="1" t="str">
        <f ca="1">IFERROR(__xludf.DUMMYFUNCTION("""COMPUTED_VALUE"""),"Wounded")</f>
        <v>Wounded</v>
      </c>
    </row>
    <row r="1456" spans="1:8" ht="12.5">
      <c r="A1456" s="1" t="str">
        <f ca="1">IFERROR(__xludf.DUMMYFUNCTION("""COMPUTED_VALUE"""),"20180803IALIO")</f>
        <v>20180803IALIO</v>
      </c>
      <c r="B1456" s="1">
        <f ca="1">IFERROR(__xludf.DUMMYFUNCTION("""COMPUTED_VALUE"""),23)</f>
        <v>23</v>
      </c>
      <c r="C1456" s="1" t="str">
        <f ca="1">IFERROR(__xludf.DUMMYFUNCTION("""COMPUTED_VALUE"""),"Male")</f>
        <v>Male</v>
      </c>
      <c r="D1456" s="1" t="str">
        <f ca="1">IFERROR(__xludf.DUMMYFUNCTION("""COMPUTED_VALUE"""),"White")</f>
        <v>White</v>
      </c>
      <c r="E1456" s="1" t="str">
        <f ca="1">IFERROR(__xludf.DUMMYFUNCTION("""COMPUTED_VALUE"""),"No Relation")</f>
        <v>No Relation</v>
      </c>
      <c r="F1456" s="1" t="str">
        <f ca="1">IFERROR(__xludf.DUMMYFUNCTION("""COMPUTED_VALUE"""),"Fled/Apprehended")</f>
        <v>Fled/Apprehended</v>
      </c>
      <c r="G1456" s="1" t="str">
        <f ca="1">IFERROR(__xludf.DUMMYFUNCTION("""COMPUTED_VALUE"""),"No")</f>
        <v>No</v>
      </c>
      <c r="H1456" s="1" t="str">
        <f ca="1">IFERROR(__xludf.DUMMYFUNCTION("""COMPUTED_VALUE"""),"None")</f>
        <v>None</v>
      </c>
    </row>
    <row r="1457" spans="1:8" ht="12.5">
      <c r="A1457" s="1" t="str">
        <f ca="1">IFERROR(__xludf.DUMMYFUNCTION("""COMPUTED_VALUE"""),"20180803IALIO")</f>
        <v>20180803IALIO</v>
      </c>
      <c r="B1457" s="1" t="str">
        <f ca="1">IFERROR(__xludf.DUMMYFUNCTION("""COMPUTED_VALUE"""),"Adult")</f>
        <v>Adult</v>
      </c>
      <c r="C1457" s="1" t="str">
        <f ca="1">IFERROR(__xludf.DUMMYFUNCTION("""COMPUTED_VALUE"""),"Male")</f>
        <v>Male</v>
      </c>
      <c r="D1457" s="1" t="str">
        <f ca="1">IFERROR(__xludf.DUMMYFUNCTION("""COMPUTED_VALUE"""),"White")</f>
        <v>White</v>
      </c>
      <c r="E1457" s="1" t="str">
        <f ca="1">IFERROR(__xludf.DUMMYFUNCTION("""COMPUTED_VALUE"""),"No Relation")</f>
        <v>No Relation</v>
      </c>
      <c r="F1457" s="1" t="str">
        <f ca="1">IFERROR(__xludf.DUMMYFUNCTION("""COMPUTED_VALUE"""),"Apprehended/Killed by LE")</f>
        <v>Apprehended/Killed by LE</v>
      </c>
      <c r="G1457" s="1" t="str">
        <f ca="1">IFERROR(__xludf.DUMMYFUNCTION("""COMPUTED_VALUE"""),"Yes")</f>
        <v>Yes</v>
      </c>
      <c r="H1457" s="1" t="str">
        <f ca="1">IFERROR(__xludf.DUMMYFUNCTION("""COMPUTED_VALUE"""),"Fatal")</f>
        <v>Fatal</v>
      </c>
    </row>
    <row r="1458" spans="1:8" ht="12.5">
      <c r="A1458" s="1" t="str">
        <f ca="1">IFERROR(__xludf.DUMMYFUNCTION("""COMPUTED_VALUE"""),"20180719WAWEY")</f>
        <v>20180719WAWEY</v>
      </c>
      <c r="B1458" s="1"/>
      <c r="C1458" s="1"/>
      <c r="D1458" s="1"/>
      <c r="E1458" s="1" t="str">
        <f ca="1">IFERROR(__xludf.DUMMYFUNCTION("""COMPUTED_VALUE"""),"Unknown")</f>
        <v>Unknown</v>
      </c>
      <c r="F1458" s="1" t="str">
        <f ca="1">IFERROR(__xludf.DUMMYFUNCTION("""COMPUTED_VALUE"""),"Fled/Escaped")</f>
        <v>Fled/Escaped</v>
      </c>
      <c r="G1458" s="1" t="str">
        <f ca="1">IFERROR(__xludf.DUMMYFUNCTION("""COMPUTED_VALUE"""),"No")</f>
        <v>No</v>
      </c>
      <c r="H1458" s="1" t="str">
        <f ca="1">IFERROR(__xludf.DUMMYFUNCTION("""COMPUTED_VALUE"""),"None")</f>
        <v>None</v>
      </c>
    </row>
    <row r="1459" spans="1:8" ht="12.5">
      <c r="A1459" s="1" t="str">
        <f ca="1">IFERROR(__xludf.DUMMYFUNCTION("""COMPUTED_VALUE"""),"20180717WVHUH")</f>
        <v>20180717WVHUH</v>
      </c>
      <c r="B1459" s="1" t="str">
        <f ca="1">IFERROR(__xludf.DUMMYFUNCTION("""COMPUTED_VALUE"""),"Adult")</f>
        <v>Adult</v>
      </c>
      <c r="C1459" s="1" t="str">
        <f ca="1">IFERROR(__xludf.DUMMYFUNCTION("""COMPUTED_VALUE"""),"Male")</f>
        <v>Male</v>
      </c>
      <c r="D1459" s="1"/>
      <c r="E1459" s="1" t="str">
        <f ca="1">IFERROR(__xludf.DUMMYFUNCTION("""COMPUTED_VALUE"""),"Unknown")</f>
        <v>Unknown</v>
      </c>
      <c r="F1459" s="1" t="str">
        <f ca="1">IFERROR(__xludf.DUMMYFUNCTION("""COMPUTED_VALUE"""),"Unknown")</f>
        <v>Unknown</v>
      </c>
      <c r="G1459" s="1" t="str">
        <f ca="1">IFERROR(__xludf.DUMMYFUNCTION("""COMPUTED_VALUE"""),"No")</f>
        <v>No</v>
      </c>
      <c r="H1459" s="1" t="str">
        <f ca="1">IFERROR(__xludf.DUMMYFUNCTION("""COMPUTED_VALUE"""),"None")</f>
        <v>None</v>
      </c>
    </row>
    <row r="1460" spans="1:8" ht="12.5">
      <c r="A1460" s="1" t="str">
        <f ca="1">IFERROR(__xludf.DUMMYFUNCTION("""COMPUTED_VALUE"""),"20180711OHMIM")</f>
        <v>20180711OHMIM</v>
      </c>
      <c r="B1460" s="1" t="str">
        <f ca="1">IFERROR(__xludf.DUMMYFUNCTION("""COMPUTED_VALUE"""),"Teen")</f>
        <v>Teen</v>
      </c>
      <c r="C1460" s="1"/>
      <c r="D1460" s="1"/>
      <c r="E1460" s="1" t="str">
        <f ca="1">IFERROR(__xludf.DUMMYFUNCTION("""COMPUTED_VALUE"""),"Unknown")</f>
        <v>Unknown</v>
      </c>
      <c r="F1460" s="1" t="str">
        <f ca="1">IFERROR(__xludf.DUMMYFUNCTION("""COMPUTED_VALUE"""),"Fled/Apprehended")</f>
        <v>Fled/Apprehended</v>
      </c>
      <c r="G1460" s="1" t="str">
        <f ca="1">IFERROR(__xludf.DUMMYFUNCTION("""COMPUTED_VALUE"""),"No")</f>
        <v>No</v>
      </c>
      <c r="H1460" s="1" t="str">
        <f ca="1">IFERROR(__xludf.DUMMYFUNCTION("""COMPUTED_VALUE"""),"None")</f>
        <v>None</v>
      </c>
    </row>
    <row r="1461" spans="1:8" ht="12.5">
      <c r="A1461" s="1" t="str">
        <f ca="1">IFERROR(__xludf.DUMMYFUNCTION("""COMPUTED_VALUE"""),"20180703KSSUO")</f>
        <v>20180703KSSUO</v>
      </c>
      <c r="B1461" s="1">
        <f ca="1">IFERROR(__xludf.DUMMYFUNCTION("""COMPUTED_VALUE"""),32)</f>
        <v>32</v>
      </c>
      <c r="C1461" s="1" t="str">
        <f ca="1">IFERROR(__xludf.DUMMYFUNCTION("""COMPUTED_VALUE"""),"Male")</f>
        <v>Male</v>
      </c>
      <c r="D1461" s="1"/>
      <c r="E1461" s="1" t="str">
        <f ca="1">IFERROR(__xludf.DUMMYFUNCTION("""COMPUTED_VALUE"""),"Other Staff")</f>
        <v>Other Staff</v>
      </c>
      <c r="F1461" s="1" t="str">
        <f ca="1">IFERROR(__xludf.DUMMYFUNCTION("""COMPUTED_VALUE"""),"Fled/Apprehended")</f>
        <v>Fled/Apprehended</v>
      </c>
      <c r="G1461" s="1" t="str">
        <f ca="1">IFERROR(__xludf.DUMMYFUNCTION("""COMPUTED_VALUE"""),"No")</f>
        <v>No</v>
      </c>
      <c r="H1461" s="1" t="str">
        <f ca="1">IFERROR(__xludf.DUMMYFUNCTION("""COMPUTED_VALUE"""),"None")</f>
        <v>None</v>
      </c>
    </row>
    <row r="1462" spans="1:8" ht="12.5">
      <c r="A1462" s="1" t="str">
        <f ca="1">IFERROR(__xludf.DUMMYFUNCTION("""COMPUTED_VALUE"""),"20180701TNRAM")</f>
        <v>20180701TNRAM</v>
      </c>
      <c r="B1462" s="1"/>
      <c r="C1462" s="1"/>
      <c r="D1462" s="1"/>
      <c r="E1462" s="1" t="str">
        <f ca="1">IFERROR(__xludf.DUMMYFUNCTION("""COMPUTED_VALUE"""),"Unknown")</f>
        <v>Unknown</v>
      </c>
      <c r="F1462" s="1" t="str">
        <f ca="1">IFERROR(__xludf.DUMMYFUNCTION("""COMPUTED_VALUE"""),"Fled/Escaped")</f>
        <v>Fled/Escaped</v>
      </c>
      <c r="G1462" s="1" t="str">
        <f ca="1">IFERROR(__xludf.DUMMYFUNCTION("""COMPUTED_VALUE"""),"No")</f>
        <v>No</v>
      </c>
      <c r="H1462" s="1" t="str">
        <f ca="1">IFERROR(__xludf.DUMMYFUNCTION("""COMPUTED_VALUE"""),"None")</f>
        <v>None</v>
      </c>
    </row>
    <row r="1463" spans="1:8" ht="12.5">
      <c r="A1463" s="1" t="str">
        <f ca="1">IFERROR(__xludf.DUMMYFUNCTION("""COMPUTED_VALUE"""),"20180625OHFUS")</f>
        <v>20180625OHFUS</v>
      </c>
      <c r="B1463" s="1">
        <f ca="1">IFERROR(__xludf.DUMMYFUNCTION("""COMPUTED_VALUE"""),14)</f>
        <v>14</v>
      </c>
      <c r="C1463" s="1" t="str">
        <f ca="1">IFERROR(__xludf.DUMMYFUNCTION("""COMPUTED_VALUE"""),"Male")</f>
        <v>Male</v>
      </c>
      <c r="D1463" s="1" t="str">
        <f ca="1">IFERROR(__xludf.DUMMYFUNCTION("""COMPUTED_VALUE"""),"Black")</f>
        <v>Black</v>
      </c>
      <c r="E1463" s="1" t="str">
        <f ca="1">IFERROR(__xludf.DUMMYFUNCTION("""COMPUTED_VALUE"""),"Unknown")</f>
        <v>Unknown</v>
      </c>
      <c r="F1463" s="1" t="str">
        <f ca="1">IFERROR(__xludf.DUMMYFUNCTION("""COMPUTED_VALUE"""),"Fled/Apprehended")</f>
        <v>Fled/Apprehended</v>
      </c>
      <c r="G1463" s="1" t="str">
        <f ca="1">IFERROR(__xludf.DUMMYFUNCTION("""COMPUTED_VALUE"""),"No")</f>
        <v>No</v>
      </c>
      <c r="H1463" s="1" t="str">
        <f ca="1">IFERROR(__xludf.DUMMYFUNCTION("""COMPUTED_VALUE"""),"None")</f>
        <v>None</v>
      </c>
    </row>
    <row r="1464" spans="1:8" ht="12.5">
      <c r="A1464" s="1" t="str">
        <f ca="1">IFERROR(__xludf.DUMMYFUNCTION("""COMPUTED_VALUE"""),"20180625OHFUS")</f>
        <v>20180625OHFUS</v>
      </c>
      <c r="B1464" s="1">
        <f ca="1">IFERROR(__xludf.DUMMYFUNCTION("""COMPUTED_VALUE"""),16)</f>
        <v>16</v>
      </c>
      <c r="C1464" s="1" t="str">
        <f ca="1">IFERROR(__xludf.DUMMYFUNCTION("""COMPUTED_VALUE"""),"Male")</f>
        <v>Male</v>
      </c>
      <c r="D1464" s="1" t="str">
        <f ca="1">IFERROR(__xludf.DUMMYFUNCTION("""COMPUTED_VALUE"""),"Black")</f>
        <v>Black</v>
      </c>
      <c r="E1464" s="1" t="str">
        <f ca="1">IFERROR(__xludf.DUMMYFUNCTION("""COMPUTED_VALUE"""),"Unknown")</f>
        <v>Unknown</v>
      </c>
      <c r="F1464" s="1" t="str">
        <f ca="1">IFERROR(__xludf.DUMMYFUNCTION("""COMPUTED_VALUE"""),"Fled/Apprehended")</f>
        <v>Fled/Apprehended</v>
      </c>
      <c r="G1464" s="1" t="str">
        <f ca="1">IFERROR(__xludf.DUMMYFUNCTION("""COMPUTED_VALUE"""),"No")</f>
        <v>No</v>
      </c>
      <c r="H1464" s="1" t="str">
        <f ca="1">IFERROR(__xludf.DUMMYFUNCTION("""COMPUTED_VALUE"""),"None")</f>
        <v>None</v>
      </c>
    </row>
    <row r="1465" spans="1:8" ht="12.5">
      <c r="A1465" s="1" t="str">
        <f ca="1">IFERROR(__xludf.DUMMYFUNCTION("""COMPUTED_VALUE"""),"20180624MTSEM")</f>
        <v>20180624MTSEM</v>
      </c>
      <c r="B1465" s="1">
        <f ca="1">IFERROR(__xludf.DUMMYFUNCTION("""COMPUTED_VALUE"""),17)</f>
        <v>17</v>
      </c>
      <c r="C1465" s="1" t="str">
        <f ca="1">IFERROR(__xludf.DUMMYFUNCTION("""COMPUTED_VALUE"""),"Male")</f>
        <v>Male</v>
      </c>
      <c r="D1465" s="1" t="str">
        <f ca="1">IFERROR(__xludf.DUMMYFUNCTION("""COMPUTED_VALUE"""),"White")</f>
        <v>White</v>
      </c>
      <c r="E1465" s="1" t="str">
        <f ca="1">IFERROR(__xludf.DUMMYFUNCTION("""COMPUTED_VALUE"""),"Unknown")</f>
        <v>Unknown</v>
      </c>
      <c r="F1465" s="1" t="str">
        <f ca="1">IFERROR(__xludf.DUMMYFUNCTION("""COMPUTED_VALUE"""),"Fled/Apprehended")</f>
        <v>Fled/Apprehended</v>
      </c>
      <c r="G1465" s="1" t="str">
        <f ca="1">IFERROR(__xludf.DUMMYFUNCTION("""COMPUTED_VALUE"""),"No")</f>
        <v>No</v>
      </c>
      <c r="H1465" s="1" t="str">
        <f ca="1">IFERROR(__xludf.DUMMYFUNCTION("""COMPUTED_VALUE"""),"None")</f>
        <v>None</v>
      </c>
    </row>
    <row r="1466" spans="1:8" ht="12.5">
      <c r="A1466" s="1" t="str">
        <f ca="1">IFERROR(__xludf.DUMMYFUNCTION("""COMPUTED_VALUE"""),"20180621TXSKD")</f>
        <v>20180621TXSKD</v>
      </c>
      <c r="B1466" s="1"/>
      <c r="C1466" s="1"/>
      <c r="D1466" s="1"/>
      <c r="E1466" s="1" t="str">
        <f ca="1">IFERROR(__xludf.DUMMYFUNCTION("""COMPUTED_VALUE"""),"Unknown")</f>
        <v>Unknown</v>
      </c>
      <c r="F1466" s="1" t="str">
        <f ca="1">IFERROR(__xludf.DUMMYFUNCTION("""COMPUTED_VALUE"""),"Fled/Escaped")</f>
        <v>Fled/Escaped</v>
      </c>
      <c r="G1466" s="1" t="str">
        <f ca="1">IFERROR(__xludf.DUMMYFUNCTION("""COMPUTED_VALUE"""),"No")</f>
        <v>No</v>
      </c>
      <c r="H1466" s="1" t="str">
        <f ca="1">IFERROR(__xludf.DUMMYFUNCTION("""COMPUTED_VALUE"""),"None")</f>
        <v>None</v>
      </c>
    </row>
    <row r="1467" spans="1:8" ht="12.5">
      <c r="A1467" s="1" t="str">
        <f ca="1">IFERROR(__xludf.DUMMYFUNCTION("""COMPUTED_VALUE"""),"20180617ORGRP")</f>
        <v>20180617ORGRP</v>
      </c>
      <c r="B1467" s="1"/>
      <c r="C1467" s="1"/>
      <c r="D1467" s="1"/>
      <c r="E1467" s="1" t="str">
        <f ca="1">IFERROR(__xludf.DUMMYFUNCTION("""COMPUTED_VALUE"""),"Unknown")</f>
        <v>Unknown</v>
      </c>
      <c r="F1467" s="1" t="str">
        <f ca="1">IFERROR(__xludf.DUMMYFUNCTION("""COMPUTED_VALUE"""),"Fled/Escaped")</f>
        <v>Fled/Escaped</v>
      </c>
      <c r="G1467" s="1" t="str">
        <f ca="1">IFERROR(__xludf.DUMMYFUNCTION("""COMPUTED_VALUE"""),"No")</f>
        <v>No</v>
      </c>
      <c r="H1467" s="1" t="str">
        <f ca="1">IFERROR(__xludf.DUMMYFUNCTION("""COMPUTED_VALUE"""),"None")</f>
        <v>None</v>
      </c>
    </row>
    <row r="1468" spans="1:8" ht="12.5">
      <c r="A1468" s="1" t="str">
        <f ca="1">IFERROR(__xludf.DUMMYFUNCTION("""COMPUTED_VALUE"""),"20180615OHVAB")</f>
        <v>20180615OHVAB</v>
      </c>
      <c r="B1468" s="1">
        <f ca="1">IFERROR(__xludf.DUMMYFUNCTION("""COMPUTED_VALUE"""),17)</f>
        <v>17</v>
      </c>
      <c r="C1468" s="1" t="str">
        <f ca="1">IFERROR(__xludf.DUMMYFUNCTION("""COMPUTED_VALUE"""),"Male")</f>
        <v>Male</v>
      </c>
      <c r="D1468" s="1"/>
      <c r="E1468" s="1" t="str">
        <f ca="1">IFERROR(__xludf.DUMMYFUNCTION("""COMPUTED_VALUE"""),"No Relation")</f>
        <v>No Relation</v>
      </c>
      <c r="F1468" s="1" t="str">
        <f ca="1">IFERROR(__xludf.DUMMYFUNCTION("""COMPUTED_VALUE"""),"Fled/Apprehended")</f>
        <v>Fled/Apprehended</v>
      </c>
      <c r="G1468" s="1" t="str">
        <f ca="1">IFERROR(__xludf.DUMMYFUNCTION("""COMPUTED_VALUE"""),"No")</f>
        <v>No</v>
      </c>
      <c r="H1468" s="1" t="str">
        <f ca="1">IFERROR(__xludf.DUMMYFUNCTION("""COMPUTED_VALUE"""),"None")</f>
        <v>None</v>
      </c>
    </row>
    <row r="1469" spans="1:8" ht="12.5">
      <c r="A1469" s="1" t="str">
        <f ca="1">IFERROR(__xludf.DUMMYFUNCTION("""COMPUTED_VALUE"""),"20180601TXMCM")</f>
        <v>20180601TXMCM</v>
      </c>
      <c r="B1469" s="1" t="str">
        <f ca="1">IFERROR(__xludf.DUMMYFUNCTION("""COMPUTED_VALUE"""),"Teen")</f>
        <v>Teen</v>
      </c>
      <c r="C1469" s="1" t="str">
        <f ca="1">IFERROR(__xludf.DUMMYFUNCTION("""COMPUTED_VALUE"""),"Male")</f>
        <v>Male</v>
      </c>
      <c r="D1469" s="1"/>
      <c r="E1469" s="1" t="str">
        <f ca="1">IFERROR(__xludf.DUMMYFUNCTION("""COMPUTED_VALUE"""),"Student")</f>
        <v>Student</v>
      </c>
      <c r="F1469" s="1" t="str">
        <f ca="1">IFERROR(__xludf.DUMMYFUNCTION("""COMPUTED_VALUE"""),"Suicide")</f>
        <v>Suicide</v>
      </c>
      <c r="G1469" s="1" t="str">
        <f ca="1">IFERROR(__xludf.DUMMYFUNCTION("""COMPUTED_VALUE"""),"Yes")</f>
        <v>Yes</v>
      </c>
      <c r="H1469" s="1" t="str">
        <f ca="1">IFERROR(__xludf.DUMMYFUNCTION("""COMPUTED_VALUE"""),"Suicide")</f>
        <v>Suicide</v>
      </c>
    </row>
    <row r="1470" spans="1:8" ht="12.5">
      <c r="A1470" s="1" t="str">
        <f ca="1">IFERROR(__xludf.DUMMYFUNCTION("""COMPUTED_VALUE"""),"20180525INNON")</f>
        <v>20180525INNON</v>
      </c>
      <c r="B1470" s="1">
        <f ca="1">IFERROR(__xludf.DUMMYFUNCTION("""COMPUTED_VALUE"""),13)</f>
        <v>13</v>
      </c>
      <c r="C1470" s="1" t="str">
        <f ca="1">IFERROR(__xludf.DUMMYFUNCTION("""COMPUTED_VALUE"""),"Male")</f>
        <v>Male</v>
      </c>
      <c r="D1470" s="1"/>
      <c r="E1470" s="1" t="str">
        <f ca="1">IFERROR(__xludf.DUMMYFUNCTION("""COMPUTED_VALUE"""),"Student")</f>
        <v>Student</v>
      </c>
      <c r="F1470" s="1" t="str">
        <f ca="1">IFERROR(__xludf.DUMMYFUNCTION("""COMPUTED_VALUE"""),"Subdued by Students/Staff/Other")</f>
        <v>Subdued by Students/Staff/Other</v>
      </c>
      <c r="G1470" s="1" t="str">
        <f ca="1">IFERROR(__xludf.DUMMYFUNCTION("""COMPUTED_VALUE"""),"No")</f>
        <v>No</v>
      </c>
      <c r="H1470" s="1" t="str">
        <f ca="1">IFERROR(__xludf.DUMMYFUNCTION("""COMPUTED_VALUE"""),"None")</f>
        <v>None</v>
      </c>
    </row>
    <row r="1471" spans="1:8" ht="12.5">
      <c r="A1471" s="1" t="str">
        <f ca="1">IFERROR(__xludf.DUMMYFUNCTION("""COMPUTED_VALUE"""),"20180521GABEG")</f>
        <v>20180521GABEG</v>
      </c>
      <c r="B1471" s="1" t="str">
        <f ca="1">IFERROR(__xludf.DUMMYFUNCTION("""COMPUTED_VALUE"""),"Adult")</f>
        <v>Adult</v>
      </c>
      <c r="C1471" s="1"/>
      <c r="D1471" s="1"/>
      <c r="E1471" s="1" t="str">
        <f ca="1">IFERROR(__xludf.DUMMYFUNCTION("""COMPUTED_VALUE"""),"No Relation")</f>
        <v>No Relation</v>
      </c>
      <c r="F1471" s="1" t="str">
        <f ca="1">IFERROR(__xludf.DUMMYFUNCTION("""COMPUTED_VALUE"""),"Fled/Escaped")</f>
        <v>Fled/Escaped</v>
      </c>
      <c r="G1471" s="1" t="str">
        <f ca="1">IFERROR(__xludf.DUMMYFUNCTION("""COMPUTED_VALUE"""),"No")</f>
        <v>No</v>
      </c>
      <c r="H1471" s="1" t="str">
        <f ca="1">IFERROR(__xludf.DUMMYFUNCTION("""COMPUTED_VALUE"""),"None")</f>
        <v>None</v>
      </c>
    </row>
    <row r="1472" spans="1:8" ht="12.5">
      <c r="A1472" s="1" t="str">
        <f ca="1">IFERROR(__xludf.DUMMYFUNCTION("""COMPUTED_VALUE"""),"20180518TXSAS")</f>
        <v>20180518TXSAS</v>
      </c>
      <c r="B1472" s="1">
        <f ca="1">IFERROR(__xludf.DUMMYFUNCTION("""COMPUTED_VALUE"""),17)</f>
        <v>17</v>
      </c>
      <c r="C1472" s="1" t="str">
        <f ca="1">IFERROR(__xludf.DUMMYFUNCTION("""COMPUTED_VALUE"""),"Male")</f>
        <v>Male</v>
      </c>
      <c r="D1472" s="1" t="str">
        <f ca="1">IFERROR(__xludf.DUMMYFUNCTION("""COMPUTED_VALUE"""),"White")</f>
        <v>White</v>
      </c>
      <c r="E1472" s="1" t="str">
        <f ca="1">IFERROR(__xludf.DUMMYFUNCTION("""COMPUTED_VALUE"""),"Student")</f>
        <v>Student</v>
      </c>
      <c r="F1472" s="1" t="str">
        <f ca="1">IFERROR(__xludf.DUMMYFUNCTION("""COMPUTED_VALUE"""),"Surrendered")</f>
        <v>Surrendered</v>
      </c>
      <c r="G1472" s="1" t="str">
        <f ca="1">IFERROR(__xludf.DUMMYFUNCTION("""COMPUTED_VALUE"""),"No")</f>
        <v>No</v>
      </c>
      <c r="H1472" s="1" t="str">
        <f ca="1">IFERROR(__xludf.DUMMYFUNCTION("""COMPUTED_VALUE"""),"None")</f>
        <v>None</v>
      </c>
    </row>
    <row r="1473" spans="1:8" ht="12.5">
      <c r="A1473" s="1" t="str">
        <f ca="1">IFERROR(__xludf.DUMMYFUNCTION("""COMPUTED_VALUE"""),"20180518GAMOA")</f>
        <v>20180518GAMOA</v>
      </c>
      <c r="B1473" s="1"/>
      <c r="C1473" s="1"/>
      <c r="D1473" s="1"/>
      <c r="E1473" s="1" t="str">
        <f ca="1">IFERROR(__xludf.DUMMYFUNCTION("""COMPUTED_VALUE"""),"Unknown")</f>
        <v>Unknown</v>
      </c>
      <c r="F1473" s="1" t="str">
        <f ca="1">IFERROR(__xludf.DUMMYFUNCTION("""COMPUTED_VALUE"""),"Fled/Escaped")</f>
        <v>Fled/Escaped</v>
      </c>
      <c r="G1473" s="1" t="str">
        <f ca="1">IFERROR(__xludf.DUMMYFUNCTION("""COMPUTED_VALUE"""),"No")</f>
        <v>No</v>
      </c>
      <c r="H1473" s="1" t="str">
        <f ca="1">IFERROR(__xludf.DUMMYFUNCTION("""COMPUTED_VALUE"""),"None")</f>
        <v>None</v>
      </c>
    </row>
    <row r="1474" spans="1:8" ht="12.5">
      <c r="A1474" s="1" t="str">
        <f ca="1">IFERROR(__xludf.DUMMYFUNCTION("""COMPUTED_VALUE"""),"20180517MOCEK")</f>
        <v>20180517MOCEK</v>
      </c>
      <c r="B1474" s="1">
        <f ca="1">IFERROR(__xludf.DUMMYFUNCTION("""COMPUTED_VALUE"""),21)</f>
        <v>21</v>
      </c>
      <c r="C1474" s="1" t="str">
        <f ca="1">IFERROR(__xludf.DUMMYFUNCTION("""COMPUTED_VALUE"""),"Male")</f>
        <v>Male</v>
      </c>
      <c r="D1474" s="1" t="str">
        <f ca="1">IFERROR(__xludf.DUMMYFUNCTION("""COMPUTED_VALUE"""),"Black")</f>
        <v>Black</v>
      </c>
      <c r="E1474" s="1" t="str">
        <f ca="1">IFERROR(__xludf.DUMMYFUNCTION("""COMPUTED_VALUE"""),"Unknown")</f>
        <v>Unknown</v>
      </c>
      <c r="F1474" s="1" t="str">
        <f ca="1">IFERROR(__xludf.DUMMYFUNCTION("""COMPUTED_VALUE"""),"Fled/Apprehended")</f>
        <v>Fled/Apprehended</v>
      </c>
      <c r="G1474" s="1" t="str">
        <f ca="1">IFERROR(__xludf.DUMMYFUNCTION("""COMPUTED_VALUE"""),"No")</f>
        <v>No</v>
      </c>
      <c r="H1474" s="1" t="str">
        <f ca="1">IFERROR(__xludf.DUMMYFUNCTION("""COMPUTED_VALUE"""),"None")</f>
        <v>None</v>
      </c>
    </row>
    <row r="1475" spans="1:8" ht="12.5">
      <c r="A1475" s="1" t="str">
        <f ca="1">IFERROR(__xludf.DUMMYFUNCTION("""COMPUTED_VALUE"""),"20180516ILDID")</f>
        <v>20180516ILDID</v>
      </c>
      <c r="B1475" s="1">
        <f ca="1">IFERROR(__xludf.DUMMYFUNCTION("""COMPUTED_VALUE"""),19)</f>
        <v>19</v>
      </c>
      <c r="C1475" s="1" t="str">
        <f ca="1">IFERROR(__xludf.DUMMYFUNCTION("""COMPUTED_VALUE"""),"Male")</f>
        <v>Male</v>
      </c>
      <c r="D1475" s="1" t="str">
        <f ca="1">IFERROR(__xludf.DUMMYFUNCTION("""COMPUTED_VALUE"""),"White")</f>
        <v>White</v>
      </c>
      <c r="E1475" s="1" t="str">
        <f ca="1">IFERROR(__xludf.DUMMYFUNCTION("""COMPUTED_VALUE"""),"Student")</f>
        <v>Student</v>
      </c>
      <c r="F1475" s="1" t="str">
        <f ca="1">IFERROR(__xludf.DUMMYFUNCTION("""COMPUTED_VALUE"""),"Apprehended/Killed by SRO")</f>
        <v>Apprehended/Killed by SRO</v>
      </c>
      <c r="G1475" s="1" t="str">
        <f ca="1">IFERROR(__xludf.DUMMYFUNCTION("""COMPUTED_VALUE"""),"No")</f>
        <v>No</v>
      </c>
      <c r="H1475" s="1" t="str">
        <f ca="1">IFERROR(__xludf.DUMMYFUNCTION("""COMPUTED_VALUE"""),"None")</f>
        <v>None</v>
      </c>
    </row>
    <row r="1476" spans="1:8" ht="12.5">
      <c r="A1476" s="1" t="str">
        <f ca="1">IFERROR(__xludf.DUMMYFUNCTION("""COMPUTED_VALUE"""),"20180511CAHIP")</f>
        <v>20180511CAHIP</v>
      </c>
      <c r="B1476" s="1">
        <f ca="1">IFERROR(__xludf.DUMMYFUNCTION("""COMPUTED_VALUE"""),14)</f>
        <v>14</v>
      </c>
      <c r="C1476" s="1" t="str">
        <f ca="1">IFERROR(__xludf.DUMMYFUNCTION("""COMPUTED_VALUE"""),"Male")</f>
        <v>Male</v>
      </c>
      <c r="D1476" s="1"/>
      <c r="E1476" s="1" t="str">
        <f ca="1">IFERROR(__xludf.DUMMYFUNCTION("""COMPUTED_VALUE"""),"Former Student")</f>
        <v>Former Student</v>
      </c>
      <c r="F1476" s="1" t="str">
        <f ca="1">IFERROR(__xludf.DUMMYFUNCTION("""COMPUTED_VALUE"""),"Fled/Apprehended")</f>
        <v>Fled/Apprehended</v>
      </c>
      <c r="G1476" s="1" t="str">
        <f ca="1">IFERROR(__xludf.DUMMYFUNCTION("""COMPUTED_VALUE"""),"No")</f>
        <v>No</v>
      </c>
      <c r="H1476" s="1" t="str">
        <f ca="1">IFERROR(__xludf.DUMMYFUNCTION("""COMPUTED_VALUE"""),"None")</f>
        <v>None</v>
      </c>
    </row>
    <row r="1477" spans="1:8" ht="12.5">
      <c r="A1477" s="1" t="str">
        <f ca="1">IFERROR(__xludf.DUMMYFUNCTION("""COMPUTED_VALUE"""),"20180505MIFOF")</f>
        <v>20180505MIFOF</v>
      </c>
      <c r="B1477" s="1" t="str">
        <f ca="1">IFERROR(__xludf.DUMMYFUNCTION("""COMPUTED_VALUE"""),"Adult")</f>
        <v>Adult</v>
      </c>
      <c r="C1477" s="1" t="str">
        <f ca="1">IFERROR(__xludf.DUMMYFUNCTION("""COMPUTED_VALUE"""),"Male")</f>
        <v>Male</v>
      </c>
      <c r="D1477" s="1"/>
      <c r="E1477" s="1" t="str">
        <f ca="1">IFERROR(__xludf.DUMMYFUNCTION("""COMPUTED_VALUE"""),"Police Officer/SRO")</f>
        <v>Police Officer/SRO</v>
      </c>
      <c r="F1477" s="1" t="str">
        <f ca="1">IFERROR(__xludf.DUMMYFUNCTION("""COMPUTED_VALUE"""),"Law Enforcement")</f>
        <v>Law Enforcement</v>
      </c>
      <c r="G1477" s="1" t="str">
        <f ca="1">IFERROR(__xludf.DUMMYFUNCTION("""COMPUTED_VALUE"""),"No")</f>
        <v>No</v>
      </c>
      <c r="H1477" s="1" t="str">
        <f ca="1">IFERROR(__xludf.DUMMYFUNCTION("""COMPUTED_VALUE"""),"None")</f>
        <v>None</v>
      </c>
    </row>
    <row r="1478" spans="1:8" ht="12.5">
      <c r="A1478" s="1" t="str">
        <f ca="1">IFERROR(__xludf.DUMMYFUNCTION("""COMPUTED_VALUE"""),"20180503TNWAW")</f>
        <v>20180503TNWAW</v>
      </c>
      <c r="B1478" s="1" t="str">
        <f ca="1">IFERROR(__xludf.DUMMYFUNCTION("""COMPUTED_VALUE"""),"Teen")</f>
        <v>Teen</v>
      </c>
      <c r="C1478" s="1"/>
      <c r="D1478" s="1"/>
      <c r="E1478" s="1" t="str">
        <f ca="1">IFERROR(__xludf.DUMMYFUNCTION("""COMPUTED_VALUE"""),"Student")</f>
        <v>Student</v>
      </c>
      <c r="F1478" s="1" t="str">
        <f ca="1">IFERROR(__xludf.DUMMYFUNCTION("""COMPUTED_VALUE"""),"Unknown")</f>
        <v>Unknown</v>
      </c>
      <c r="G1478" s="1" t="str">
        <f ca="1">IFERROR(__xludf.DUMMYFUNCTION("""COMPUTED_VALUE"""),"No")</f>
        <v>No</v>
      </c>
      <c r="H1478" s="1" t="str">
        <f ca="1">IFERROR(__xludf.DUMMYFUNCTION("""COMPUTED_VALUE"""),"None")</f>
        <v>None</v>
      </c>
    </row>
    <row r="1479" spans="1:8" ht="12.5">
      <c r="A1479" s="1" t="str">
        <f ca="1">IFERROR(__xludf.DUMMYFUNCTION("""COMPUTED_VALUE"""),"20180503SDENW")</f>
        <v>20180503SDENW</v>
      </c>
      <c r="B1479" s="1"/>
      <c r="C1479" s="1"/>
      <c r="D1479" s="1"/>
      <c r="E1479" s="1" t="str">
        <f ca="1">IFERROR(__xludf.DUMMYFUNCTION("""COMPUTED_VALUE"""),"Unknown")</f>
        <v>Unknown</v>
      </c>
      <c r="F1479" s="1" t="str">
        <f ca="1">IFERROR(__xludf.DUMMYFUNCTION("""COMPUTED_VALUE"""),"Fled/Apprehended")</f>
        <v>Fled/Apprehended</v>
      </c>
      <c r="G1479" s="1" t="str">
        <f ca="1">IFERROR(__xludf.DUMMYFUNCTION("""COMPUTED_VALUE"""),"No")</f>
        <v>No</v>
      </c>
      <c r="H1479" s="1" t="str">
        <f ca="1">IFERROR(__xludf.DUMMYFUNCTION("""COMPUTED_VALUE"""),"None")</f>
        <v>None</v>
      </c>
    </row>
    <row r="1480" spans="1:8" ht="12.5">
      <c r="A1480" s="1" t="str">
        <f ca="1">IFERROR(__xludf.DUMMYFUNCTION("""COMPUTED_VALUE"""),"20180425NMHIA")</f>
        <v>20180425NMHIA</v>
      </c>
      <c r="B1480" s="1" t="str">
        <f ca="1">IFERROR(__xludf.DUMMYFUNCTION("""COMPUTED_VALUE"""),"Adult")</f>
        <v>Adult</v>
      </c>
      <c r="C1480" s="1" t="str">
        <f ca="1">IFERROR(__xludf.DUMMYFUNCTION("""COMPUTED_VALUE"""),"Male")</f>
        <v>Male</v>
      </c>
      <c r="D1480" s="1" t="str">
        <f ca="1">IFERROR(__xludf.DUMMYFUNCTION("""COMPUTED_VALUE"""),"Hispanic")</f>
        <v>Hispanic</v>
      </c>
      <c r="E1480" s="1" t="str">
        <f ca="1">IFERROR(__xludf.DUMMYFUNCTION("""COMPUTED_VALUE"""),"Parent")</f>
        <v>Parent</v>
      </c>
      <c r="F1480" s="1" t="str">
        <f ca="1">IFERROR(__xludf.DUMMYFUNCTION("""COMPUTED_VALUE"""),"Apprehended/Killed by LE")</f>
        <v>Apprehended/Killed by LE</v>
      </c>
      <c r="G1480" s="1" t="str">
        <f ca="1">IFERROR(__xludf.DUMMYFUNCTION("""COMPUTED_VALUE"""),"No")</f>
        <v>No</v>
      </c>
      <c r="H1480" s="1" t="str">
        <f ca="1">IFERROR(__xludf.DUMMYFUNCTION("""COMPUTED_VALUE"""),"None")</f>
        <v>None</v>
      </c>
    </row>
    <row r="1481" spans="1:8" ht="12.5">
      <c r="A1481" s="1" t="str">
        <f ca="1">IFERROR(__xludf.DUMMYFUNCTION("""COMPUTED_VALUE"""),"20180423GABEA")</f>
        <v>20180423GABEA</v>
      </c>
      <c r="B1481" s="1"/>
      <c r="C1481" s="1" t="str">
        <f ca="1">IFERROR(__xludf.DUMMYFUNCTION("""COMPUTED_VALUE"""),"Male")</f>
        <v>Male</v>
      </c>
      <c r="D1481" s="1" t="str">
        <f ca="1">IFERROR(__xludf.DUMMYFUNCTION("""COMPUTED_VALUE"""),"Black")</f>
        <v>Black</v>
      </c>
      <c r="E1481" s="1" t="str">
        <f ca="1">IFERROR(__xludf.DUMMYFUNCTION("""COMPUTED_VALUE"""),"Intimate Relationship")</f>
        <v>Intimate Relationship</v>
      </c>
      <c r="F1481" s="1" t="str">
        <f ca="1">IFERROR(__xludf.DUMMYFUNCTION("""COMPUTED_VALUE"""),"Fled/Apprehended")</f>
        <v>Fled/Apprehended</v>
      </c>
      <c r="G1481" s="1" t="str">
        <f ca="1">IFERROR(__xludf.DUMMYFUNCTION("""COMPUTED_VALUE"""),"No")</f>
        <v>No</v>
      </c>
      <c r="H1481" s="1" t="str">
        <f ca="1">IFERROR(__xludf.DUMMYFUNCTION("""COMPUTED_VALUE"""),"None")</f>
        <v>None</v>
      </c>
    </row>
    <row r="1482" spans="1:8" ht="12.5">
      <c r="A1482" s="1" t="str">
        <f ca="1">IFERROR(__xludf.DUMMYFUNCTION("""COMPUTED_VALUE"""),"20180420FLFOO")</f>
        <v>20180420FLFOO</v>
      </c>
      <c r="B1482" s="1">
        <f ca="1">IFERROR(__xludf.DUMMYFUNCTION("""COMPUTED_VALUE"""),19)</f>
        <v>19</v>
      </c>
      <c r="C1482" s="1" t="str">
        <f ca="1">IFERROR(__xludf.DUMMYFUNCTION("""COMPUTED_VALUE"""),"Male")</f>
        <v>Male</v>
      </c>
      <c r="D1482" s="1" t="str">
        <f ca="1">IFERROR(__xludf.DUMMYFUNCTION("""COMPUTED_VALUE"""),"White")</f>
        <v>White</v>
      </c>
      <c r="E1482" s="1" t="str">
        <f ca="1">IFERROR(__xludf.DUMMYFUNCTION("""COMPUTED_VALUE"""),"Former Student")</f>
        <v>Former Student</v>
      </c>
      <c r="F1482" s="1" t="str">
        <f ca="1">IFERROR(__xludf.DUMMYFUNCTION("""COMPUTED_VALUE"""),"Surrendered")</f>
        <v>Surrendered</v>
      </c>
      <c r="G1482" s="1" t="str">
        <f ca="1">IFERROR(__xludf.DUMMYFUNCTION("""COMPUTED_VALUE"""),"No")</f>
        <v>No</v>
      </c>
      <c r="H1482" s="1" t="str">
        <f ca="1">IFERROR(__xludf.DUMMYFUNCTION("""COMPUTED_VALUE"""),"None")</f>
        <v>None</v>
      </c>
    </row>
    <row r="1483" spans="1:8" ht="12.5">
      <c r="A1483" s="1" t="str">
        <f ca="1">IFERROR(__xludf.DUMMYFUNCTION("""COMPUTED_VALUE"""),"20180419MIJAJ")</f>
        <v>20180419MIJAJ</v>
      </c>
      <c r="B1483" s="1"/>
      <c r="C1483" s="1"/>
      <c r="D1483" s="1"/>
      <c r="E1483" s="1" t="str">
        <f ca="1">IFERROR(__xludf.DUMMYFUNCTION("""COMPUTED_VALUE"""),"No Relation")</f>
        <v>No Relation</v>
      </c>
      <c r="F1483" s="1" t="str">
        <f ca="1">IFERROR(__xludf.DUMMYFUNCTION("""COMPUTED_VALUE"""),"Fled/Escaped")</f>
        <v>Fled/Escaped</v>
      </c>
      <c r="G1483" s="1" t="str">
        <f ca="1">IFERROR(__xludf.DUMMYFUNCTION("""COMPUTED_VALUE"""),"No")</f>
        <v>No</v>
      </c>
      <c r="H1483" s="1" t="str">
        <f ca="1">IFERROR(__xludf.DUMMYFUNCTION("""COMPUTED_VALUE"""),"None")</f>
        <v>None</v>
      </c>
    </row>
    <row r="1484" spans="1:8" ht="12.5">
      <c r="A1484" s="1" t="str">
        <f ca="1">IFERROR(__xludf.DUMMYFUNCTION("""COMPUTED_VALUE"""),"20180412MORAR")</f>
        <v>20180412MORAR</v>
      </c>
      <c r="B1484" s="1"/>
      <c r="C1484" s="1" t="str">
        <f ca="1">IFERROR(__xludf.DUMMYFUNCTION("""COMPUTED_VALUE"""),"Male")</f>
        <v>Male</v>
      </c>
      <c r="D1484" s="1"/>
      <c r="E1484" s="1" t="str">
        <f ca="1">IFERROR(__xludf.DUMMYFUNCTION("""COMPUTED_VALUE"""),"Unknown")</f>
        <v>Unknown</v>
      </c>
      <c r="F1484" s="1" t="str">
        <f ca="1">IFERROR(__xludf.DUMMYFUNCTION("""COMPUTED_VALUE"""),"Fled/Escaped")</f>
        <v>Fled/Escaped</v>
      </c>
      <c r="G1484" s="1" t="str">
        <f ca="1">IFERROR(__xludf.DUMMYFUNCTION("""COMPUTED_VALUE"""),"No")</f>
        <v>No</v>
      </c>
      <c r="H1484" s="1" t="str">
        <f ca="1">IFERROR(__xludf.DUMMYFUNCTION("""COMPUTED_VALUE"""),"None")</f>
        <v>None</v>
      </c>
    </row>
    <row r="1485" spans="1:8" ht="12.5">
      <c r="A1485" s="1" t="str">
        <f ca="1">IFERROR(__xludf.DUMMYFUNCTION("""COMPUTED_VALUE"""),"20180409NYGLG")</f>
        <v>20180409NYGLG</v>
      </c>
      <c r="B1485" s="1">
        <f ca="1">IFERROR(__xludf.DUMMYFUNCTION("""COMPUTED_VALUE"""),16)</f>
        <v>16</v>
      </c>
      <c r="C1485" s="1" t="str">
        <f ca="1">IFERROR(__xludf.DUMMYFUNCTION("""COMPUTED_VALUE"""),"Male")</f>
        <v>Male</v>
      </c>
      <c r="D1485" s="1"/>
      <c r="E1485" s="1" t="str">
        <f ca="1">IFERROR(__xludf.DUMMYFUNCTION("""COMPUTED_VALUE"""),"Student")</f>
        <v>Student</v>
      </c>
      <c r="F1485" s="1" t="str">
        <f ca="1">IFERROR(__xludf.DUMMYFUNCTION("""COMPUTED_VALUE"""),"Fled/Apprehended")</f>
        <v>Fled/Apprehended</v>
      </c>
      <c r="G1485" s="1" t="str">
        <f ca="1">IFERROR(__xludf.DUMMYFUNCTION("""COMPUTED_VALUE"""),"No")</f>
        <v>No</v>
      </c>
      <c r="H1485" s="1" t="str">
        <f ca="1">IFERROR(__xludf.DUMMYFUNCTION("""COMPUTED_VALUE"""),"None")</f>
        <v>None</v>
      </c>
    </row>
    <row r="1486" spans="1:8" ht="12.5">
      <c r="A1486" s="1" t="str">
        <f ca="1">IFERROR(__xludf.DUMMYFUNCTION("""COMPUTED_VALUE"""),"20180329KYJOE")</f>
        <v>20180329KYJOE</v>
      </c>
      <c r="B1486" s="1">
        <f ca="1">IFERROR(__xludf.DUMMYFUNCTION("""COMPUTED_VALUE"""),51)</f>
        <v>51</v>
      </c>
      <c r="C1486" s="1" t="str">
        <f ca="1">IFERROR(__xludf.DUMMYFUNCTION("""COMPUTED_VALUE"""),"Male")</f>
        <v>Male</v>
      </c>
      <c r="D1486" s="1" t="str">
        <f ca="1">IFERROR(__xludf.DUMMYFUNCTION("""COMPUTED_VALUE"""),"White")</f>
        <v>White</v>
      </c>
      <c r="E1486" s="1" t="str">
        <f ca="1">IFERROR(__xludf.DUMMYFUNCTION("""COMPUTED_VALUE"""),"Parent")</f>
        <v>Parent</v>
      </c>
      <c r="F1486" s="1" t="str">
        <f ca="1">IFERROR(__xludf.DUMMYFUNCTION("""COMPUTED_VALUE"""),"Apprehended/Killed by LE")</f>
        <v>Apprehended/Killed by LE</v>
      </c>
      <c r="G1486" s="1" t="str">
        <f ca="1">IFERROR(__xludf.DUMMYFUNCTION("""COMPUTED_VALUE"""),"Yes")</f>
        <v>Yes</v>
      </c>
      <c r="H1486" s="1" t="str">
        <f ca="1">IFERROR(__xludf.DUMMYFUNCTION("""COMPUTED_VALUE"""),"Fatal")</f>
        <v>Fatal</v>
      </c>
    </row>
    <row r="1487" spans="1:8" ht="12.5">
      <c r="A1487" s="1" t="str">
        <f ca="1">IFERROR(__xludf.DUMMYFUNCTION("""COMPUTED_VALUE"""),"20180328MSEUE")</f>
        <v>20180328MSEUE</v>
      </c>
      <c r="B1487" s="1">
        <f ca="1">IFERROR(__xludf.DUMMYFUNCTION("""COMPUTED_VALUE"""),21)</f>
        <v>21</v>
      </c>
      <c r="C1487" s="1" t="str">
        <f ca="1">IFERROR(__xludf.DUMMYFUNCTION("""COMPUTED_VALUE"""),"Male")</f>
        <v>Male</v>
      </c>
      <c r="D1487" s="1" t="str">
        <f ca="1">IFERROR(__xludf.DUMMYFUNCTION("""COMPUTED_VALUE"""),"White")</f>
        <v>White</v>
      </c>
      <c r="E1487" s="1" t="str">
        <f ca="1">IFERROR(__xludf.DUMMYFUNCTION("""COMPUTED_VALUE"""),"Former Student")</f>
        <v>Former Student</v>
      </c>
      <c r="F1487" s="1" t="str">
        <f ca="1">IFERROR(__xludf.DUMMYFUNCTION("""COMPUTED_VALUE"""),"Fled/Apprehended")</f>
        <v>Fled/Apprehended</v>
      </c>
      <c r="G1487" s="1" t="str">
        <f ca="1">IFERROR(__xludf.DUMMYFUNCTION("""COMPUTED_VALUE"""),"No")</f>
        <v>No</v>
      </c>
      <c r="H1487" s="1" t="str">
        <f ca="1">IFERROR(__xludf.DUMMYFUNCTION("""COMPUTED_VALUE"""),"None")</f>
        <v>None</v>
      </c>
    </row>
    <row r="1488" spans="1:8" ht="12.5">
      <c r="A1488" s="1" t="str">
        <f ca="1">IFERROR(__xludf.DUMMYFUNCTION("""COMPUTED_VALUE"""),"20180320MDGRG")</f>
        <v>20180320MDGRG</v>
      </c>
      <c r="B1488" s="1">
        <f ca="1">IFERROR(__xludf.DUMMYFUNCTION("""COMPUTED_VALUE"""),17)</f>
        <v>17</v>
      </c>
      <c r="C1488" s="1" t="str">
        <f ca="1">IFERROR(__xludf.DUMMYFUNCTION("""COMPUTED_VALUE"""),"Male")</f>
        <v>Male</v>
      </c>
      <c r="D1488" s="1" t="str">
        <f ca="1">IFERROR(__xludf.DUMMYFUNCTION("""COMPUTED_VALUE"""),"White")</f>
        <v>White</v>
      </c>
      <c r="E1488" s="1" t="str">
        <f ca="1">IFERROR(__xludf.DUMMYFUNCTION("""COMPUTED_VALUE"""),"Student")</f>
        <v>Student</v>
      </c>
      <c r="F1488" s="1" t="str">
        <f ca="1">IFERROR(__xludf.DUMMYFUNCTION("""COMPUTED_VALUE"""),"Suicide")</f>
        <v>Suicide</v>
      </c>
      <c r="G1488" s="1" t="str">
        <f ca="1">IFERROR(__xludf.DUMMYFUNCTION("""COMPUTED_VALUE"""),"Yes")</f>
        <v>Yes</v>
      </c>
      <c r="H1488" s="1" t="str">
        <f ca="1">IFERROR(__xludf.DUMMYFUNCTION("""COMPUTED_VALUE"""),"Suicide")</f>
        <v>Suicide</v>
      </c>
    </row>
    <row r="1489" spans="1:8" ht="12.5">
      <c r="A1489" s="1" t="str">
        <f ca="1">IFERROR(__xludf.DUMMYFUNCTION("""COMPUTED_VALUE"""),"20180319VADOP")</f>
        <v>20180319VADOP</v>
      </c>
      <c r="B1489" s="1" t="str">
        <f ca="1">IFERROR(__xludf.DUMMYFUNCTION("""COMPUTED_VALUE"""),"Adult")</f>
        <v>Adult</v>
      </c>
      <c r="C1489" s="1"/>
      <c r="D1489" s="1"/>
      <c r="E1489" s="1" t="str">
        <f ca="1">IFERROR(__xludf.DUMMYFUNCTION("""COMPUTED_VALUE"""),"No Relation")</f>
        <v>No Relation</v>
      </c>
      <c r="F1489" s="1" t="str">
        <f ca="1">IFERROR(__xludf.DUMMYFUNCTION("""COMPUTED_VALUE"""),"Fled/Escaped")</f>
        <v>Fled/Escaped</v>
      </c>
      <c r="G1489" s="1" t="str">
        <f ca="1">IFERROR(__xludf.DUMMYFUNCTION("""COMPUTED_VALUE"""),"No")</f>
        <v>No</v>
      </c>
      <c r="H1489" s="1" t="str">
        <f ca="1">IFERROR(__xludf.DUMMYFUNCTION("""COMPUTED_VALUE"""),"None")</f>
        <v>None</v>
      </c>
    </row>
    <row r="1490" spans="1:8" ht="12.5">
      <c r="A1490" s="1" t="str">
        <f ca="1">IFERROR(__xludf.DUMMYFUNCTION("""COMPUTED_VALUE"""),"20180316MTBIM")</f>
        <v>20180316MTBIM</v>
      </c>
      <c r="B1490" s="1" t="str">
        <f ca="1">IFERROR(__xludf.DUMMYFUNCTION("""COMPUTED_VALUE"""),"Adult")</f>
        <v>Adult</v>
      </c>
      <c r="C1490" s="1" t="str">
        <f ca="1">IFERROR(__xludf.DUMMYFUNCTION("""COMPUTED_VALUE"""),"Male")</f>
        <v>Male</v>
      </c>
      <c r="D1490" s="1"/>
      <c r="E1490" s="1" t="str">
        <f ca="1">IFERROR(__xludf.DUMMYFUNCTION("""COMPUTED_VALUE"""),"Police Officer/SRO")</f>
        <v>Police Officer/SRO</v>
      </c>
      <c r="F1490" s="1" t="str">
        <f ca="1">IFERROR(__xludf.DUMMYFUNCTION("""COMPUTED_VALUE"""),"Law Enforcement")</f>
        <v>Law Enforcement</v>
      </c>
      <c r="G1490" s="1" t="str">
        <f ca="1">IFERROR(__xludf.DUMMYFUNCTION("""COMPUTED_VALUE"""),"No")</f>
        <v>No</v>
      </c>
      <c r="H1490" s="1" t="str">
        <f ca="1">IFERROR(__xludf.DUMMYFUNCTION("""COMPUTED_VALUE"""),"None")</f>
        <v>None</v>
      </c>
    </row>
    <row r="1491" spans="1:8" ht="12.5">
      <c r="A1491" s="1" t="str">
        <f ca="1">IFERROR(__xludf.DUMMYFUNCTION("""COMPUTED_VALUE"""),"20180313VAGEA")</f>
        <v>20180313VAGEA</v>
      </c>
      <c r="B1491" s="1">
        <f ca="1">IFERROR(__xludf.DUMMYFUNCTION("""COMPUTED_VALUE"""),27)</f>
        <v>27</v>
      </c>
      <c r="C1491" s="1" t="str">
        <f ca="1">IFERROR(__xludf.DUMMYFUNCTION("""COMPUTED_VALUE"""),"Male")</f>
        <v>Male</v>
      </c>
      <c r="D1491" s="1" t="str">
        <f ca="1">IFERROR(__xludf.DUMMYFUNCTION("""COMPUTED_VALUE"""),"Black")</f>
        <v>Black</v>
      </c>
      <c r="E1491" s="1" t="str">
        <f ca="1">IFERROR(__xludf.DUMMYFUNCTION("""COMPUTED_VALUE"""),"Police Officer/SRO")</f>
        <v>Police Officer/SRO</v>
      </c>
      <c r="F1491" s="1" t="str">
        <f ca="1">IFERROR(__xludf.DUMMYFUNCTION("""COMPUTED_VALUE"""),"Surrendered")</f>
        <v>Surrendered</v>
      </c>
      <c r="G1491" s="1" t="str">
        <f ca="1">IFERROR(__xludf.DUMMYFUNCTION("""COMPUTED_VALUE"""),"No")</f>
        <v>No</v>
      </c>
      <c r="H1491" s="1" t="str">
        <f ca="1">IFERROR(__xludf.DUMMYFUNCTION("""COMPUTED_VALUE"""),"None")</f>
        <v>None</v>
      </c>
    </row>
    <row r="1492" spans="1:8" ht="12.5">
      <c r="A1492" s="1" t="str">
        <f ca="1">IFERROR(__xludf.DUMMYFUNCTION("""COMPUTED_VALUE"""),"20180313CASES")</f>
        <v>20180313CASES</v>
      </c>
      <c r="B1492" s="1" t="str">
        <f ca="1">IFERROR(__xludf.DUMMYFUNCTION("""COMPUTED_VALUE"""),"Adult")</f>
        <v>Adult</v>
      </c>
      <c r="C1492" s="1" t="str">
        <f ca="1">IFERROR(__xludf.DUMMYFUNCTION("""COMPUTED_VALUE"""),"Male")</f>
        <v>Male</v>
      </c>
      <c r="D1492" s="1" t="str">
        <f ca="1">IFERROR(__xludf.DUMMYFUNCTION("""COMPUTED_VALUE"""),"White")</f>
        <v>White</v>
      </c>
      <c r="E1492" s="1" t="str">
        <f ca="1">IFERROR(__xludf.DUMMYFUNCTION("""COMPUTED_VALUE"""),"Police Officer/SRO")</f>
        <v>Police Officer/SRO</v>
      </c>
      <c r="F1492" s="1" t="str">
        <f ca="1">IFERROR(__xludf.DUMMYFUNCTION("""COMPUTED_VALUE"""),"Surrendered")</f>
        <v>Surrendered</v>
      </c>
      <c r="G1492" s="1" t="str">
        <f ca="1">IFERROR(__xludf.DUMMYFUNCTION("""COMPUTED_VALUE"""),"No")</f>
        <v>No</v>
      </c>
      <c r="H1492" s="1" t="str">
        <f ca="1">IFERROR(__xludf.DUMMYFUNCTION("""COMPUTED_VALUE"""),"None")</f>
        <v>None</v>
      </c>
    </row>
    <row r="1493" spans="1:8" ht="12.5">
      <c r="A1493" s="1" t="str">
        <f ca="1">IFERROR(__xludf.DUMMYFUNCTION("""COMPUTED_VALUE"""),"20180309KYFRL")</f>
        <v>20180309KYFRL</v>
      </c>
      <c r="B1493" s="1" t="str">
        <f ca="1">IFERROR(__xludf.DUMMYFUNCTION("""COMPUTED_VALUE"""),"Teen")</f>
        <v>Teen</v>
      </c>
      <c r="C1493" s="1" t="str">
        <f ca="1">IFERROR(__xludf.DUMMYFUNCTION("""COMPUTED_VALUE"""),"Male")</f>
        <v>Male</v>
      </c>
      <c r="D1493" s="1"/>
      <c r="E1493" s="1" t="str">
        <f ca="1">IFERROR(__xludf.DUMMYFUNCTION("""COMPUTED_VALUE"""),"Student")</f>
        <v>Student</v>
      </c>
      <c r="F1493" s="1" t="str">
        <f ca="1">IFERROR(__xludf.DUMMYFUNCTION("""COMPUTED_VALUE"""),"Unknown")</f>
        <v>Unknown</v>
      </c>
      <c r="G1493" s="1" t="str">
        <f ca="1">IFERROR(__xludf.DUMMYFUNCTION("""COMPUTED_VALUE"""),"No")</f>
        <v>No</v>
      </c>
      <c r="H1493" s="1" t="str">
        <f ca="1">IFERROR(__xludf.DUMMYFUNCTION("""COMPUTED_VALUE"""),"Wounded")</f>
        <v>Wounded</v>
      </c>
    </row>
    <row r="1494" spans="1:8" ht="12.5">
      <c r="A1494" s="1" t="str">
        <f ca="1">IFERROR(__xludf.DUMMYFUNCTION("""COMPUTED_VALUE"""),"20180307ALHUB")</f>
        <v>20180307ALHUB</v>
      </c>
      <c r="B1494" s="1">
        <f ca="1">IFERROR(__xludf.DUMMYFUNCTION("""COMPUTED_VALUE"""),17)</f>
        <v>17</v>
      </c>
      <c r="C1494" s="1" t="str">
        <f ca="1">IFERROR(__xludf.DUMMYFUNCTION("""COMPUTED_VALUE"""),"Male")</f>
        <v>Male</v>
      </c>
      <c r="D1494" s="1" t="str">
        <f ca="1">IFERROR(__xludf.DUMMYFUNCTION("""COMPUTED_VALUE"""),"Black")</f>
        <v>Black</v>
      </c>
      <c r="E1494" s="1" t="str">
        <f ca="1">IFERROR(__xludf.DUMMYFUNCTION("""COMPUTED_VALUE"""),"Student")</f>
        <v>Student</v>
      </c>
      <c r="F1494" s="1" t="str">
        <f ca="1">IFERROR(__xludf.DUMMYFUNCTION("""COMPUTED_VALUE"""),"Fled/Apprehended")</f>
        <v>Fled/Apprehended</v>
      </c>
      <c r="G1494" s="1" t="str">
        <f ca="1">IFERROR(__xludf.DUMMYFUNCTION("""COMPUTED_VALUE"""),"No")</f>
        <v>No</v>
      </c>
      <c r="H1494" s="1" t="str">
        <f ca="1">IFERROR(__xludf.DUMMYFUNCTION("""COMPUTED_VALUE"""),"Wounded")</f>
        <v>Wounded</v>
      </c>
    </row>
    <row r="1495" spans="1:8" ht="12.5">
      <c r="A1495" s="1" t="str">
        <f ca="1">IFERROR(__xludf.DUMMYFUNCTION("""COMPUTED_VALUE"""),"20180305MOKIC")</f>
        <v>20180305MOKIC</v>
      </c>
      <c r="B1495" s="1">
        <f ca="1">IFERROR(__xludf.DUMMYFUNCTION("""COMPUTED_VALUE"""),17)</f>
        <v>17</v>
      </c>
      <c r="C1495" s="1" t="str">
        <f ca="1">IFERROR(__xludf.DUMMYFUNCTION("""COMPUTED_VALUE"""),"Male")</f>
        <v>Male</v>
      </c>
      <c r="D1495" s="1"/>
      <c r="E1495" s="1" t="str">
        <f ca="1">IFERROR(__xludf.DUMMYFUNCTION("""COMPUTED_VALUE"""),"Student")</f>
        <v>Student</v>
      </c>
      <c r="F1495" s="1" t="str">
        <f ca="1">IFERROR(__xludf.DUMMYFUNCTION("""COMPUTED_VALUE"""),"Suicide")</f>
        <v>Suicide</v>
      </c>
      <c r="G1495" s="1" t="str">
        <f ca="1">IFERROR(__xludf.DUMMYFUNCTION("""COMPUTED_VALUE"""),"Yes")</f>
        <v>Yes</v>
      </c>
      <c r="H1495" s="1" t="str">
        <f ca="1">IFERROR(__xludf.DUMMYFUNCTION("""COMPUTED_VALUE"""),"Suicide")</f>
        <v>Suicide</v>
      </c>
    </row>
    <row r="1496" spans="1:8" ht="12.5">
      <c r="A1496" s="1" t="str">
        <f ca="1">IFERROR(__xludf.DUMMYFUNCTION("""COMPUTED_VALUE"""),"20180228GADAD")</f>
        <v>20180228GADAD</v>
      </c>
      <c r="B1496" s="1">
        <f ca="1">IFERROR(__xludf.DUMMYFUNCTION("""COMPUTED_VALUE"""),53)</f>
        <v>53</v>
      </c>
      <c r="C1496" s="1" t="str">
        <f ca="1">IFERROR(__xludf.DUMMYFUNCTION("""COMPUTED_VALUE"""),"Male")</f>
        <v>Male</v>
      </c>
      <c r="D1496" s="1" t="str">
        <f ca="1">IFERROR(__xludf.DUMMYFUNCTION("""COMPUTED_VALUE"""),"White")</f>
        <v>White</v>
      </c>
      <c r="E1496" s="1" t="str">
        <f ca="1">IFERROR(__xludf.DUMMYFUNCTION("""COMPUTED_VALUE"""),"Teacher")</f>
        <v>Teacher</v>
      </c>
      <c r="F1496" s="1" t="str">
        <f ca="1">IFERROR(__xludf.DUMMYFUNCTION("""COMPUTED_VALUE"""),"Surrendered")</f>
        <v>Surrendered</v>
      </c>
      <c r="G1496" s="1" t="str">
        <f ca="1">IFERROR(__xludf.DUMMYFUNCTION("""COMPUTED_VALUE"""),"No")</f>
        <v>No</v>
      </c>
      <c r="H1496" s="1" t="str">
        <f ca="1">IFERROR(__xludf.DUMMYFUNCTION("""COMPUTED_VALUE"""),"None")</f>
        <v>None</v>
      </c>
    </row>
    <row r="1497" spans="1:8" ht="12.5">
      <c r="A1497" s="1" t="str">
        <f ca="1">IFERROR(__xludf.DUMMYFUNCTION("""COMPUTED_VALUE"""),"20180226WAOAT")</f>
        <v>20180226WAOAT</v>
      </c>
      <c r="B1497" s="1" t="str">
        <f ca="1">IFERROR(__xludf.DUMMYFUNCTION("""COMPUTED_VALUE"""),"Teen")</f>
        <v>Teen</v>
      </c>
      <c r="C1497" s="1" t="str">
        <f ca="1">IFERROR(__xludf.DUMMYFUNCTION("""COMPUTED_VALUE"""),"Male")</f>
        <v>Male</v>
      </c>
      <c r="D1497" s="1"/>
      <c r="E1497" s="1" t="str">
        <f ca="1">IFERROR(__xludf.DUMMYFUNCTION("""COMPUTED_VALUE"""),"Student")</f>
        <v>Student</v>
      </c>
      <c r="F1497" s="1" t="str">
        <f ca="1">IFERROR(__xludf.DUMMYFUNCTION("""COMPUTED_VALUE"""),"Fled/Apprehended")</f>
        <v>Fled/Apprehended</v>
      </c>
      <c r="G1497" s="1" t="str">
        <f ca="1">IFERROR(__xludf.DUMMYFUNCTION("""COMPUTED_VALUE"""),"No")</f>
        <v>No</v>
      </c>
      <c r="H1497" s="1" t="str">
        <f ca="1">IFERROR(__xludf.DUMMYFUNCTION("""COMPUTED_VALUE"""),"None")</f>
        <v>None</v>
      </c>
    </row>
    <row r="1498" spans="1:8" ht="12.5">
      <c r="A1498" s="1" t="str">
        <f ca="1">IFERROR(__xludf.DUMMYFUNCTION("""COMPUTED_VALUE"""),"20180220OHJAM")</f>
        <v>20180220OHJAM</v>
      </c>
      <c r="B1498" s="1">
        <f ca="1">IFERROR(__xludf.DUMMYFUNCTION("""COMPUTED_VALUE"""),13)</f>
        <v>13</v>
      </c>
      <c r="C1498" s="1" t="str">
        <f ca="1">IFERROR(__xludf.DUMMYFUNCTION("""COMPUTED_VALUE"""),"Male")</f>
        <v>Male</v>
      </c>
      <c r="D1498" s="1"/>
      <c r="E1498" s="1" t="str">
        <f ca="1">IFERROR(__xludf.DUMMYFUNCTION("""COMPUTED_VALUE"""),"Student")</f>
        <v>Student</v>
      </c>
      <c r="F1498" s="1" t="str">
        <f ca="1">IFERROR(__xludf.DUMMYFUNCTION("""COMPUTED_VALUE"""),"Suicide")</f>
        <v>Suicide</v>
      </c>
      <c r="G1498" s="1" t="str">
        <f ca="1">IFERROR(__xludf.DUMMYFUNCTION("""COMPUTED_VALUE"""),"Yes")</f>
        <v>Yes</v>
      </c>
      <c r="H1498" s="1" t="str">
        <f ca="1">IFERROR(__xludf.DUMMYFUNCTION("""COMPUTED_VALUE"""),"Suicide")</f>
        <v>Suicide</v>
      </c>
    </row>
    <row r="1499" spans="1:8" ht="12.5">
      <c r="A1499" s="1" t="str">
        <f ca="1">IFERROR(__xludf.DUMMYFUNCTION("""COMPUTED_VALUE"""),"20180215FLNOC")</f>
        <v>20180215FLNOC</v>
      </c>
      <c r="B1499" s="1" t="str">
        <f ca="1">IFERROR(__xludf.DUMMYFUNCTION("""COMPUTED_VALUE"""),"Adult")</f>
        <v>Adult</v>
      </c>
      <c r="C1499" s="1"/>
      <c r="D1499" s="1"/>
      <c r="E1499" s="1" t="str">
        <f ca="1">IFERROR(__xludf.DUMMYFUNCTION("""COMPUTED_VALUE"""),"Police Officer/SRO")</f>
        <v>Police Officer/SRO</v>
      </c>
      <c r="F1499" s="1" t="str">
        <f ca="1">IFERROR(__xludf.DUMMYFUNCTION("""COMPUTED_VALUE"""),"Law Enforcement")</f>
        <v>Law Enforcement</v>
      </c>
      <c r="G1499" s="1" t="str">
        <f ca="1">IFERROR(__xludf.DUMMYFUNCTION("""COMPUTED_VALUE"""),"No")</f>
        <v>No</v>
      </c>
      <c r="H1499" s="1" t="str">
        <f ca="1">IFERROR(__xludf.DUMMYFUNCTION("""COMPUTED_VALUE"""),"Wounded")</f>
        <v>Wounded</v>
      </c>
    </row>
    <row r="1500" spans="1:8" ht="12.5">
      <c r="A1500" s="1" t="str">
        <f ca="1">IFERROR(__xludf.DUMMYFUNCTION("""COMPUTED_VALUE"""),"20180214FLMAP")</f>
        <v>20180214FLMAP</v>
      </c>
      <c r="B1500" s="1">
        <f ca="1">IFERROR(__xludf.DUMMYFUNCTION("""COMPUTED_VALUE"""),19)</f>
        <v>19</v>
      </c>
      <c r="C1500" s="1" t="str">
        <f ca="1">IFERROR(__xludf.DUMMYFUNCTION("""COMPUTED_VALUE"""),"Male")</f>
        <v>Male</v>
      </c>
      <c r="D1500" s="1" t="str">
        <f ca="1">IFERROR(__xludf.DUMMYFUNCTION("""COMPUTED_VALUE"""),"White")</f>
        <v>White</v>
      </c>
      <c r="E1500" s="1" t="str">
        <f ca="1">IFERROR(__xludf.DUMMYFUNCTION("""COMPUTED_VALUE"""),"Former Student")</f>
        <v>Former Student</v>
      </c>
      <c r="F1500" s="1" t="str">
        <f ca="1">IFERROR(__xludf.DUMMYFUNCTION("""COMPUTED_VALUE"""),"Fled/Apprehended")</f>
        <v>Fled/Apprehended</v>
      </c>
      <c r="G1500" s="1" t="str">
        <f ca="1">IFERROR(__xludf.DUMMYFUNCTION("""COMPUTED_VALUE"""),"No")</f>
        <v>No</v>
      </c>
      <c r="H1500" s="1" t="str">
        <f ca="1">IFERROR(__xludf.DUMMYFUNCTION("""COMPUTED_VALUE"""),"None")</f>
        <v>None</v>
      </c>
    </row>
    <row r="1501" spans="1:8" ht="12.5">
      <c r="A1501" s="1" t="str">
        <f ca="1">IFERROR(__xludf.DUMMYFUNCTION("""COMPUTED_VALUE"""),"20180209TNPEN")</f>
        <v>20180209TNPEN</v>
      </c>
      <c r="B1501" s="1">
        <f ca="1">IFERROR(__xludf.DUMMYFUNCTION("""COMPUTED_VALUE"""),14)</f>
        <v>14</v>
      </c>
      <c r="C1501" s="1" t="str">
        <f ca="1">IFERROR(__xludf.DUMMYFUNCTION("""COMPUTED_VALUE"""),"Male")</f>
        <v>Male</v>
      </c>
      <c r="D1501" s="1" t="str">
        <f ca="1">IFERROR(__xludf.DUMMYFUNCTION("""COMPUTED_VALUE"""),"Black")</f>
        <v>Black</v>
      </c>
      <c r="E1501" s="1" t="str">
        <f ca="1">IFERROR(__xludf.DUMMYFUNCTION("""COMPUTED_VALUE"""),"Student")</f>
        <v>Student</v>
      </c>
      <c r="F1501" s="1" t="str">
        <f ca="1">IFERROR(__xludf.DUMMYFUNCTION("""COMPUTED_VALUE"""),"Fled/Apprehended")</f>
        <v>Fled/Apprehended</v>
      </c>
      <c r="G1501" s="1" t="str">
        <f ca="1">IFERROR(__xludf.DUMMYFUNCTION("""COMPUTED_VALUE"""),"No")</f>
        <v>No</v>
      </c>
      <c r="H1501" s="1" t="str">
        <f ca="1">IFERROR(__xludf.DUMMYFUNCTION("""COMPUTED_VALUE"""),"None")</f>
        <v>None</v>
      </c>
    </row>
    <row r="1502" spans="1:8" ht="12.5">
      <c r="A1502" s="1" t="str">
        <f ca="1">IFERROR(__xludf.DUMMYFUNCTION("""COMPUTED_VALUE"""),"20180208NYTHN")</f>
        <v>20180208NYTHN</v>
      </c>
      <c r="B1502" s="1">
        <f ca="1">IFERROR(__xludf.DUMMYFUNCTION("""COMPUTED_VALUE"""),17)</f>
        <v>17</v>
      </c>
      <c r="C1502" s="1" t="str">
        <f ca="1">IFERROR(__xludf.DUMMYFUNCTION("""COMPUTED_VALUE"""),"Male")</f>
        <v>Male</v>
      </c>
      <c r="D1502" s="1"/>
      <c r="E1502" s="1" t="str">
        <f ca="1">IFERROR(__xludf.DUMMYFUNCTION("""COMPUTED_VALUE"""),"Student")</f>
        <v>Student</v>
      </c>
      <c r="F1502" s="1" t="str">
        <f ca="1">IFERROR(__xludf.DUMMYFUNCTION("""COMPUTED_VALUE"""),"Apprehended/Killed by LE")</f>
        <v>Apprehended/Killed by LE</v>
      </c>
      <c r="G1502" s="1" t="str">
        <f ca="1">IFERROR(__xludf.DUMMYFUNCTION("""COMPUTED_VALUE"""),"No")</f>
        <v>No</v>
      </c>
      <c r="H1502" s="1" t="str">
        <f ca="1">IFERROR(__xludf.DUMMYFUNCTION("""COMPUTED_VALUE"""),"None")</f>
        <v>None</v>
      </c>
    </row>
    <row r="1503" spans="1:8" ht="12.5">
      <c r="A1503" s="1" t="str">
        <f ca="1">IFERROR(__xludf.DUMMYFUNCTION("""COMPUTED_VALUE"""),"20180205MNHAM")</f>
        <v>20180205MNHAM</v>
      </c>
      <c r="B1503" s="1" t="str">
        <f ca="1">IFERROR(__xludf.DUMMYFUNCTION("""COMPUTED_VALUE"""),"Child")</f>
        <v>Child</v>
      </c>
      <c r="C1503" s="1"/>
      <c r="D1503" s="1"/>
      <c r="E1503" s="1" t="str">
        <f ca="1">IFERROR(__xludf.DUMMYFUNCTION("""COMPUTED_VALUE"""),"Student")</f>
        <v>Student</v>
      </c>
      <c r="F1503" s="1" t="str">
        <f ca="1">IFERROR(__xludf.DUMMYFUNCTION("""COMPUTED_VALUE"""),"Unknown")</f>
        <v>Unknown</v>
      </c>
      <c r="G1503" s="1" t="str">
        <f ca="1">IFERROR(__xludf.DUMMYFUNCTION("""COMPUTED_VALUE"""),"No")</f>
        <v>No</v>
      </c>
      <c r="H1503" s="1" t="str">
        <f ca="1">IFERROR(__xludf.DUMMYFUNCTION("""COMPUTED_VALUE"""),"None")</f>
        <v>None</v>
      </c>
    </row>
    <row r="1504" spans="1:8" ht="12.5">
      <c r="A1504" s="1" t="str">
        <f ca="1">IFERROR(__xludf.DUMMYFUNCTION("""COMPUTED_VALUE"""),"20180205MDOXO")</f>
        <v>20180205MDOXO</v>
      </c>
      <c r="B1504" s="1">
        <f ca="1">IFERROR(__xludf.DUMMYFUNCTION("""COMPUTED_VALUE"""),18)</f>
        <v>18</v>
      </c>
      <c r="C1504" s="1" t="str">
        <f ca="1">IFERROR(__xludf.DUMMYFUNCTION("""COMPUTED_VALUE"""),"Multiple")</f>
        <v>Multiple</v>
      </c>
      <c r="D1504" s="1" t="str">
        <f ca="1">IFERROR(__xludf.DUMMYFUNCTION("""COMPUTED_VALUE"""),"Black")</f>
        <v>Black</v>
      </c>
      <c r="E1504" s="1" t="str">
        <f ca="1">IFERROR(__xludf.DUMMYFUNCTION("""COMPUTED_VALUE"""),"Intimate Relationship")</f>
        <v>Intimate Relationship</v>
      </c>
      <c r="F1504" s="1" t="str">
        <f ca="1">IFERROR(__xludf.DUMMYFUNCTION("""COMPUTED_VALUE"""),"Fled/Apprehended")</f>
        <v>Fled/Apprehended</v>
      </c>
      <c r="G1504" s="1" t="str">
        <f ca="1">IFERROR(__xludf.DUMMYFUNCTION("""COMPUTED_VALUE"""),"No")</f>
        <v>No</v>
      </c>
      <c r="H1504" s="1" t="str">
        <f ca="1">IFERROR(__xludf.DUMMYFUNCTION("""COMPUTED_VALUE"""),"None")</f>
        <v>None</v>
      </c>
    </row>
    <row r="1505" spans="1:8" ht="12.5">
      <c r="A1505" s="1" t="str">
        <f ca="1">IFERROR(__xludf.DUMMYFUNCTION("""COMPUTED_VALUE"""),"20180205MDOXO")</f>
        <v>20180205MDOXO</v>
      </c>
      <c r="B1505" s="1">
        <f ca="1">IFERROR(__xludf.DUMMYFUNCTION("""COMPUTED_VALUE"""),17)</f>
        <v>17</v>
      </c>
      <c r="C1505" s="1" t="str">
        <f ca="1">IFERROR(__xludf.DUMMYFUNCTION("""COMPUTED_VALUE"""),"Multiple")</f>
        <v>Multiple</v>
      </c>
      <c r="D1505" s="1" t="str">
        <f ca="1">IFERROR(__xludf.DUMMYFUNCTION("""COMPUTED_VALUE"""),"Black")</f>
        <v>Black</v>
      </c>
      <c r="E1505" s="1" t="str">
        <f ca="1">IFERROR(__xludf.DUMMYFUNCTION("""COMPUTED_VALUE"""),"Intimate Relationship")</f>
        <v>Intimate Relationship</v>
      </c>
      <c r="F1505" s="1" t="str">
        <f ca="1">IFERROR(__xludf.DUMMYFUNCTION("""COMPUTED_VALUE"""),"Fled/Apprehended")</f>
        <v>Fled/Apprehended</v>
      </c>
      <c r="G1505" s="1" t="str">
        <f ca="1">IFERROR(__xludf.DUMMYFUNCTION("""COMPUTED_VALUE"""),"No")</f>
        <v>No</v>
      </c>
      <c r="H1505" s="1" t="str">
        <f ca="1">IFERROR(__xludf.DUMMYFUNCTION("""COMPUTED_VALUE"""),"None")</f>
        <v>None</v>
      </c>
    </row>
    <row r="1506" spans="1:8" ht="12.5">
      <c r="A1506" s="1" t="str">
        <f ca="1">IFERROR(__xludf.DUMMYFUNCTION("""COMPUTED_VALUE"""),"20180201CASAL")</f>
        <v>20180201CASAL</v>
      </c>
      <c r="B1506" s="1">
        <f ca="1">IFERROR(__xludf.DUMMYFUNCTION("""COMPUTED_VALUE"""),12)</f>
        <v>12</v>
      </c>
      <c r="C1506" s="1" t="str">
        <f ca="1">IFERROR(__xludf.DUMMYFUNCTION("""COMPUTED_VALUE"""),"Female")</f>
        <v>Female</v>
      </c>
      <c r="D1506" s="1"/>
      <c r="E1506" s="1" t="str">
        <f ca="1">IFERROR(__xludf.DUMMYFUNCTION("""COMPUTED_VALUE"""),"Student")</f>
        <v>Student</v>
      </c>
      <c r="F1506" s="1" t="str">
        <f ca="1">IFERROR(__xludf.DUMMYFUNCTION("""COMPUTED_VALUE"""),"Unknown")</f>
        <v>Unknown</v>
      </c>
      <c r="G1506" s="1" t="str">
        <f ca="1">IFERROR(__xludf.DUMMYFUNCTION("""COMPUTED_VALUE"""),"No")</f>
        <v>No</v>
      </c>
      <c r="H1506" s="1" t="str">
        <f ca="1">IFERROR(__xludf.DUMMYFUNCTION("""COMPUTED_VALUE"""),"None")</f>
        <v>None</v>
      </c>
    </row>
    <row r="1507" spans="1:8" ht="12.5">
      <c r="A1507" s="1" t="str">
        <f ca="1">IFERROR(__xludf.DUMMYFUNCTION("""COMPUTED_VALUE"""),"20180131PALIP")</f>
        <v>20180131PALIP</v>
      </c>
      <c r="B1507" s="1"/>
      <c r="C1507" s="1"/>
      <c r="D1507" s="1"/>
      <c r="E1507" s="1" t="str">
        <f ca="1">IFERROR(__xludf.DUMMYFUNCTION("""COMPUTED_VALUE"""),"Unknown")</f>
        <v>Unknown</v>
      </c>
      <c r="F1507" s="1" t="str">
        <f ca="1">IFERROR(__xludf.DUMMYFUNCTION("""COMPUTED_VALUE"""),"Fled/Escaped")</f>
        <v>Fled/Escaped</v>
      </c>
      <c r="G1507" s="1" t="str">
        <f ca="1">IFERROR(__xludf.DUMMYFUNCTION("""COMPUTED_VALUE"""),"No")</f>
        <v>No</v>
      </c>
      <c r="H1507" s="1" t="str">
        <f ca="1">IFERROR(__xludf.DUMMYFUNCTION("""COMPUTED_VALUE"""),"None")</f>
        <v>None</v>
      </c>
    </row>
    <row r="1508" spans="1:8" ht="12.5">
      <c r="A1508" s="1" t="str">
        <f ca="1">IFERROR(__xludf.DUMMYFUNCTION("""COMPUTED_VALUE"""),"20180131PALIP")</f>
        <v>20180131PALIP</v>
      </c>
      <c r="B1508" s="1"/>
      <c r="C1508" s="1"/>
      <c r="D1508" s="1"/>
      <c r="E1508" s="1" t="str">
        <f ca="1">IFERROR(__xludf.DUMMYFUNCTION("""COMPUTED_VALUE"""),"Unknown")</f>
        <v>Unknown</v>
      </c>
      <c r="F1508" s="1" t="str">
        <f ca="1">IFERROR(__xludf.DUMMYFUNCTION("""COMPUTED_VALUE"""),"Fled/Escaped")</f>
        <v>Fled/Escaped</v>
      </c>
      <c r="G1508" s="1" t="str">
        <f ca="1">IFERROR(__xludf.DUMMYFUNCTION("""COMPUTED_VALUE"""),"No")</f>
        <v>No</v>
      </c>
      <c r="H1508" s="1" t="str">
        <f ca="1">IFERROR(__xludf.DUMMYFUNCTION("""COMPUTED_VALUE"""),"None")</f>
        <v>None</v>
      </c>
    </row>
    <row r="1509" spans="1:8" ht="12.5">
      <c r="A1509" s="1" t="str">
        <f ca="1">IFERROR(__xludf.DUMMYFUNCTION("""COMPUTED_VALUE"""),"20180131PALIP")</f>
        <v>20180131PALIP</v>
      </c>
      <c r="B1509" s="1"/>
      <c r="C1509" s="1"/>
      <c r="D1509" s="1"/>
      <c r="E1509" s="1" t="str">
        <f ca="1">IFERROR(__xludf.DUMMYFUNCTION("""COMPUTED_VALUE"""),"Unknown")</f>
        <v>Unknown</v>
      </c>
      <c r="F1509" s="1" t="str">
        <f ca="1">IFERROR(__xludf.DUMMYFUNCTION("""COMPUTED_VALUE"""),"Fled/Escaped")</f>
        <v>Fled/Escaped</v>
      </c>
      <c r="G1509" s="1" t="str">
        <f ca="1">IFERROR(__xludf.DUMMYFUNCTION("""COMPUTED_VALUE"""),"No")</f>
        <v>No</v>
      </c>
      <c r="H1509" s="1" t="str">
        <f ca="1">IFERROR(__xludf.DUMMYFUNCTION("""COMPUTED_VALUE"""),"None")</f>
        <v>None</v>
      </c>
    </row>
    <row r="1510" spans="1:8" ht="12.5">
      <c r="A1510" s="1" t="str">
        <f ca="1">IFERROR(__xludf.DUMMYFUNCTION("""COMPUTED_VALUE"""),"20180126MIDED")</f>
        <v>20180126MIDED</v>
      </c>
      <c r="B1510" s="1" t="str">
        <f ca="1">IFERROR(__xludf.DUMMYFUNCTION("""COMPUTED_VALUE"""),"Teen")</f>
        <v>Teen</v>
      </c>
      <c r="C1510" s="1" t="str">
        <f ca="1">IFERROR(__xludf.DUMMYFUNCTION("""COMPUTED_VALUE"""),"Male")</f>
        <v>Male</v>
      </c>
      <c r="D1510" s="1"/>
      <c r="E1510" s="1" t="str">
        <f ca="1">IFERROR(__xludf.DUMMYFUNCTION("""COMPUTED_VALUE"""),"Rival School Student")</f>
        <v>Rival School Student</v>
      </c>
      <c r="F1510" s="1" t="str">
        <f ca="1">IFERROR(__xludf.DUMMYFUNCTION("""COMPUTED_VALUE"""),"Fled/Escaped")</f>
        <v>Fled/Escaped</v>
      </c>
      <c r="G1510" s="1" t="str">
        <f ca="1">IFERROR(__xludf.DUMMYFUNCTION("""COMPUTED_VALUE"""),"No")</f>
        <v>No</v>
      </c>
      <c r="H1510" s="1" t="str">
        <f ca="1">IFERROR(__xludf.DUMMYFUNCTION("""COMPUTED_VALUE"""),"None")</f>
        <v>None</v>
      </c>
    </row>
    <row r="1511" spans="1:8" ht="12.5">
      <c r="A1511" s="1" t="str">
        <f ca="1">IFERROR(__xludf.DUMMYFUNCTION("""COMPUTED_VALUE"""),"20180125ALMUM")</f>
        <v>20180125ALMUM</v>
      </c>
      <c r="B1511" s="1">
        <f ca="1">IFERROR(__xludf.DUMMYFUNCTION("""COMPUTED_VALUE"""),16)</f>
        <v>16</v>
      </c>
      <c r="C1511" s="1" t="str">
        <f ca="1">IFERROR(__xludf.DUMMYFUNCTION("""COMPUTED_VALUE"""),"Male")</f>
        <v>Male</v>
      </c>
      <c r="D1511" s="1" t="str">
        <f ca="1">IFERROR(__xludf.DUMMYFUNCTION("""COMPUTED_VALUE"""),"Black")</f>
        <v>Black</v>
      </c>
      <c r="E1511" s="1" t="str">
        <f ca="1">IFERROR(__xludf.DUMMYFUNCTION("""COMPUTED_VALUE"""),"Student")</f>
        <v>Student</v>
      </c>
      <c r="F1511" s="1" t="str">
        <f ca="1">IFERROR(__xludf.DUMMYFUNCTION("""COMPUTED_VALUE"""),"Apprehended/Killed by LE")</f>
        <v>Apprehended/Killed by LE</v>
      </c>
      <c r="G1511" s="1" t="str">
        <f ca="1">IFERROR(__xludf.DUMMYFUNCTION("""COMPUTED_VALUE"""),"No")</f>
        <v>No</v>
      </c>
      <c r="H1511" s="1" t="str">
        <f ca="1">IFERROR(__xludf.DUMMYFUNCTION("""COMPUTED_VALUE"""),"None")</f>
        <v>None</v>
      </c>
    </row>
    <row r="1512" spans="1:8" ht="12.5">
      <c r="A1512" s="1" t="str">
        <f ca="1">IFERROR(__xludf.DUMMYFUNCTION("""COMPUTED_VALUE"""),"20180123KYMAB")</f>
        <v>20180123KYMAB</v>
      </c>
      <c r="B1512" s="1">
        <f ca="1">IFERROR(__xludf.DUMMYFUNCTION("""COMPUTED_VALUE"""),15)</f>
        <v>15</v>
      </c>
      <c r="C1512" s="1" t="str">
        <f ca="1">IFERROR(__xludf.DUMMYFUNCTION("""COMPUTED_VALUE"""),"Male")</f>
        <v>Male</v>
      </c>
      <c r="D1512" s="1" t="str">
        <f ca="1">IFERROR(__xludf.DUMMYFUNCTION("""COMPUTED_VALUE"""),"White")</f>
        <v>White</v>
      </c>
      <c r="E1512" s="1" t="str">
        <f ca="1">IFERROR(__xludf.DUMMYFUNCTION("""COMPUTED_VALUE"""),"Student")</f>
        <v>Student</v>
      </c>
      <c r="F1512" s="1" t="str">
        <f ca="1">IFERROR(__xludf.DUMMYFUNCTION("""COMPUTED_VALUE"""),"Surrendered")</f>
        <v>Surrendered</v>
      </c>
      <c r="G1512" s="1" t="str">
        <f ca="1">IFERROR(__xludf.DUMMYFUNCTION("""COMPUTED_VALUE"""),"No")</f>
        <v>No</v>
      </c>
      <c r="H1512" s="1" t="str">
        <f ca="1">IFERROR(__xludf.DUMMYFUNCTION("""COMPUTED_VALUE"""),"None")</f>
        <v>None</v>
      </c>
    </row>
    <row r="1513" spans="1:8" ht="12.5">
      <c r="A1513" s="1" t="str">
        <f ca="1">IFERROR(__xludf.DUMMYFUNCTION("""COMPUTED_VALUE"""),"20180122TXITI")</f>
        <v>20180122TXITI</v>
      </c>
      <c r="B1513" s="1">
        <f ca="1">IFERROR(__xludf.DUMMYFUNCTION("""COMPUTED_VALUE"""),16)</f>
        <v>16</v>
      </c>
      <c r="C1513" s="1" t="str">
        <f ca="1">IFERROR(__xludf.DUMMYFUNCTION("""COMPUTED_VALUE"""),"Male")</f>
        <v>Male</v>
      </c>
      <c r="D1513" s="1" t="str">
        <f ca="1">IFERROR(__xludf.DUMMYFUNCTION("""COMPUTED_VALUE"""),"White")</f>
        <v>White</v>
      </c>
      <c r="E1513" s="1" t="str">
        <f ca="1">IFERROR(__xludf.DUMMYFUNCTION("""COMPUTED_VALUE"""),"Student")</f>
        <v>Student</v>
      </c>
      <c r="F1513" s="1" t="str">
        <f ca="1">IFERROR(__xludf.DUMMYFUNCTION("""COMPUTED_VALUE"""),"Fled/Apprehended")</f>
        <v>Fled/Apprehended</v>
      </c>
      <c r="G1513" s="1" t="str">
        <f ca="1">IFERROR(__xludf.DUMMYFUNCTION("""COMPUTED_VALUE"""),"No")</f>
        <v>No</v>
      </c>
      <c r="H1513" s="1" t="str">
        <f ca="1">IFERROR(__xludf.DUMMYFUNCTION("""COMPUTED_VALUE"""),"None")</f>
        <v>None</v>
      </c>
    </row>
    <row r="1514" spans="1:8" ht="12.5">
      <c r="A1514" s="1" t="str">
        <f ca="1">IFERROR(__xludf.DUMMYFUNCTION("""COMPUTED_VALUE"""),"20180122LANEN")</f>
        <v>20180122LANEN</v>
      </c>
      <c r="B1514" s="1"/>
      <c r="C1514" s="1" t="str">
        <f ca="1">IFERROR(__xludf.DUMMYFUNCTION("""COMPUTED_VALUE"""),"Male")</f>
        <v>Male</v>
      </c>
      <c r="D1514" s="1"/>
      <c r="E1514" s="1" t="str">
        <f ca="1">IFERROR(__xludf.DUMMYFUNCTION("""COMPUTED_VALUE"""),"Unknown")</f>
        <v>Unknown</v>
      </c>
      <c r="F1514" s="1" t="str">
        <f ca="1">IFERROR(__xludf.DUMMYFUNCTION("""COMPUTED_VALUE"""),"Fled/Escaped")</f>
        <v>Fled/Escaped</v>
      </c>
      <c r="G1514" s="1" t="str">
        <f ca="1">IFERROR(__xludf.DUMMYFUNCTION("""COMPUTED_VALUE"""),"No")</f>
        <v>No</v>
      </c>
      <c r="H1514" s="1" t="str">
        <f ca="1">IFERROR(__xludf.DUMMYFUNCTION("""COMPUTED_VALUE"""),"None")</f>
        <v>None</v>
      </c>
    </row>
    <row r="1515" spans="1:8" ht="12.5">
      <c r="A1515" s="1" t="str">
        <f ca="1">IFERROR(__xludf.DUMMYFUNCTION("""COMPUTED_VALUE"""),"20180116VTMOM")</f>
        <v>20180116VTMOM</v>
      </c>
      <c r="B1515" s="1">
        <f ca="1">IFERROR(__xludf.DUMMYFUNCTION("""COMPUTED_VALUE"""),32)</f>
        <v>32</v>
      </c>
      <c r="C1515" s="1" t="str">
        <f ca="1">IFERROR(__xludf.DUMMYFUNCTION("""COMPUTED_VALUE"""),"Male")</f>
        <v>Male</v>
      </c>
      <c r="D1515" s="1" t="str">
        <f ca="1">IFERROR(__xludf.DUMMYFUNCTION("""COMPUTED_VALUE"""),"White")</f>
        <v>White</v>
      </c>
      <c r="E1515" s="1" t="str">
        <f ca="1">IFERROR(__xludf.DUMMYFUNCTION("""COMPUTED_VALUE"""),"No Relation")</f>
        <v>No Relation</v>
      </c>
      <c r="F1515" s="1" t="str">
        <f ca="1">IFERROR(__xludf.DUMMYFUNCTION("""COMPUTED_VALUE"""),"Apprehended/Killed by LE")</f>
        <v>Apprehended/Killed by LE</v>
      </c>
      <c r="G1515" s="1" t="str">
        <f ca="1">IFERROR(__xludf.DUMMYFUNCTION("""COMPUTED_VALUE"""),"Yes")</f>
        <v>Yes</v>
      </c>
      <c r="H1515" s="1" t="str">
        <f ca="1">IFERROR(__xludf.DUMMYFUNCTION("""COMPUTED_VALUE"""),"Fatal")</f>
        <v>Fatal</v>
      </c>
    </row>
    <row r="1516" spans="1:8" ht="12.5">
      <c r="A1516" s="1" t="str">
        <f ca="1">IFERROR(__xludf.DUMMYFUNCTION("""COMPUTED_VALUE"""),"20180109AZCOS")</f>
        <v>20180109AZCOS</v>
      </c>
      <c r="B1516" s="1">
        <f ca="1">IFERROR(__xludf.DUMMYFUNCTION("""COMPUTED_VALUE"""),14)</f>
        <v>14</v>
      </c>
      <c r="C1516" s="1" t="str">
        <f ca="1">IFERROR(__xludf.DUMMYFUNCTION("""COMPUTED_VALUE"""),"Male")</f>
        <v>Male</v>
      </c>
      <c r="D1516" s="1"/>
      <c r="E1516" s="1" t="str">
        <f ca="1">IFERROR(__xludf.DUMMYFUNCTION("""COMPUTED_VALUE"""),"Student")</f>
        <v>Student</v>
      </c>
      <c r="F1516" s="1" t="str">
        <f ca="1">IFERROR(__xludf.DUMMYFUNCTION("""COMPUTED_VALUE"""),"Suicide")</f>
        <v>Suicide</v>
      </c>
      <c r="G1516" s="1" t="str">
        <f ca="1">IFERROR(__xludf.DUMMYFUNCTION("""COMPUTED_VALUE"""),"Yes")</f>
        <v>Yes</v>
      </c>
      <c r="H1516" s="1" t="str">
        <f ca="1">IFERROR(__xludf.DUMMYFUNCTION("""COMPUTED_VALUE"""),"Suicide")</f>
        <v>Suicide</v>
      </c>
    </row>
    <row r="1517" spans="1:8" ht="12.5">
      <c r="A1517" s="1" t="str">
        <f ca="1">IFERROR(__xludf.DUMMYFUNCTION("""COMPUTED_VALUE"""),"20180105IAFOF")</f>
        <v>20180105IAFOF</v>
      </c>
      <c r="B1517" s="1">
        <f ca="1">IFERROR(__xludf.DUMMYFUNCTION("""COMPUTED_VALUE"""),33)</f>
        <v>33</v>
      </c>
      <c r="C1517" s="1" t="str">
        <f ca="1">IFERROR(__xludf.DUMMYFUNCTION("""COMPUTED_VALUE"""),"Male")</f>
        <v>Male</v>
      </c>
      <c r="D1517" s="1" t="str">
        <f ca="1">IFERROR(__xludf.DUMMYFUNCTION("""COMPUTED_VALUE"""),"White")</f>
        <v>White</v>
      </c>
      <c r="E1517" s="1" t="str">
        <f ca="1">IFERROR(__xludf.DUMMYFUNCTION("""COMPUTED_VALUE"""),"No Relation")</f>
        <v>No Relation</v>
      </c>
      <c r="F1517" s="1" t="str">
        <f ca="1">IFERROR(__xludf.DUMMYFUNCTION("""COMPUTED_VALUE"""),"Fled/Apprehended")</f>
        <v>Fled/Apprehended</v>
      </c>
      <c r="G1517" s="1" t="str">
        <f ca="1">IFERROR(__xludf.DUMMYFUNCTION("""COMPUTED_VALUE"""),"No")</f>
        <v>No</v>
      </c>
      <c r="H1517" s="1" t="str">
        <f ca="1">IFERROR(__xludf.DUMMYFUNCTION("""COMPUTED_VALUE"""),"None")</f>
        <v>None</v>
      </c>
    </row>
    <row r="1518" spans="1:8" ht="12.5">
      <c r="A1518" s="1" t="str">
        <f ca="1">IFERROR(__xludf.DUMMYFUNCTION("""COMPUTED_VALUE"""),"20180104WANES")</f>
        <v>20180104WANES</v>
      </c>
      <c r="B1518" s="1"/>
      <c r="C1518" s="1"/>
      <c r="D1518" s="1"/>
      <c r="E1518" s="1" t="str">
        <f ca="1">IFERROR(__xludf.DUMMYFUNCTION("""COMPUTED_VALUE"""),"Unknown")</f>
        <v>Unknown</v>
      </c>
      <c r="F1518" s="1" t="str">
        <f ca="1">IFERROR(__xludf.DUMMYFUNCTION("""COMPUTED_VALUE"""),"Fled/Escaped")</f>
        <v>Fled/Escaped</v>
      </c>
      <c r="G1518" s="1" t="str">
        <f ca="1">IFERROR(__xludf.DUMMYFUNCTION("""COMPUTED_VALUE"""),"No")</f>
        <v>No</v>
      </c>
      <c r="H1518" s="1" t="str">
        <f ca="1">IFERROR(__xludf.DUMMYFUNCTION("""COMPUTED_VALUE"""),"None")</f>
        <v>None</v>
      </c>
    </row>
    <row r="1519" spans="1:8" ht="12.5">
      <c r="A1519" s="1"/>
      <c r="B1519" s="1"/>
      <c r="C1519" s="1"/>
      <c r="D1519" s="1"/>
      <c r="E1519" s="1"/>
      <c r="F1519" s="1"/>
      <c r="G1519" s="1"/>
      <c r="H1519" s="1"/>
    </row>
    <row r="1520" spans="1:8" ht="12.5">
      <c r="A1520" s="1"/>
      <c r="B1520" s="1"/>
      <c r="C1520" s="1"/>
      <c r="D1520" s="1"/>
      <c r="E1520" s="1"/>
      <c r="F1520" s="1"/>
      <c r="G1520" s="1"/>
      <c r="H1520" s="1"/>
    </row>
    <row r="1521" spans="1:8" ht="12.5">
      <c r="A1521" s="1"/>
      <c r="B1521" s="1"/>
      <c r="C1521" s="1"/>
      <c r="D1521" s="1"/>
      <c r="E1521" s="1"/>
      <c r="F1521" s="1"/>
      <c r="G1521" s="1"/>
      <c r="H1521" s="1"/>
    </row>
    <row r="1522" spans="1:8" ht="12.5">
      <c r="A1522" s="1"/>
      <c r="B1522" s="1"/>
      <c r="C1522" s="1"/>
      <c r="D1522" s="1"/>
      <c r="E1522" s="1"/>
      <c r="F1522" s="1"/>
      <c r="G1522" s="1"/>
      <c r="H1522" s="1"/>
    </row>
    <row r="1523" spans="1:8" ht="12.5">
      <c r="A1523" s="1"/>
      <c r="B1523" s="1"/>
      <c r="C1523" s="1"/>
      <c r="D1523" s="1"/>
      <c r="E1523" s="1"/>
      <c r="F1523" s="1"/>
      <c r="G1523" s="1"/>
      <c r="H1523" s="1"/>
    </row>
    <row r="1524" spans="1:8" ht="12.5">
      <c r="A1524" s="1"/>
      <c r="B1524" s="1"/>
      <c r="C1524" s="1"/>
      <c r="D1524" s="1"/>
      <c r="E1524" s="1"/>
      <c r="F1524" s="1"/>
      <c r="G1524" s="1"/>
      <c r="H1524" s="1"/>
    </row>
    <row r="1525" spans="1:8" ht="12.5">
      <c r="A1525" s="1"/>
      <c r="B1525" s="1"/>
      <c r="C1525" s="1"/>
      <c r="D1525" s="1"/>
      <c r="E1525" s="1"/>
      <c r="F1525" s="1"/>
      <c r="G1525" s="1"/>
      <c r="H1525" s="1"/>
    </row>
    <row r="1526" spans="1:8" ht="12.5">
      <c r="A1526" s="1"/>
      <c r="B1526" s="1"/>
      <c r="C1526" s="1"/>
      <c r="D1526" s="1"/>
      <c r="E1526" s="1"/>
      <c r="F1526" s="1"/>
      <c r="G1526" s="1"/>
      <c r="H1526" s="1"/>
    </row>
    <row r="1527" spans="1:8" ht="12.5">
      <c r="A1527" s="1"/>
      <c r="B1527" s="1"/>
      <c r="C1527" s="1"/>
      <c r="D1527" s="1"/>
      <c r="E1527" s="1"/>
      <c r="F1527" s="1"/>
      <c r="G1527" s="1"/>
      <c r="H1527" s="1"/>
    </row>
    <row r="1528" spans="1:8" ht="12.5">
      <c r="A1528" s="1"/>
      <c r="B1528" s="1"/>
      <c r="C1528" s="1"/>
      <c r="D1528" s="1"/>
      <c r="E1528" s="1"/>
      <c r="F1528" s="1"/>
      <c r="G1528" s="1"/>
      <c r="H1528" s="1"/>
    </row>
    <row r="1529" spans="1:8" ht="12.5">
      <c r="A1529" s="1"/>
      <c r="B1529" s="1"/>
      <c r="C1529" s="1"/>
      <c r="D1529" s="1"/>
      <c r="E1529" s="1"/>
      <c r="F1529" s="1"/>
      <c r="G1529" s="1"/>
      <c r="H1529" s="1"/>
    </row>
    <row r="1530" spans="1:8" ht="12.5">
      <c r="A1530" s="1"/>
      <c r="B1530" s="1"/>
      <c r="C1530" s="1"/>
      <c r="D1530" s="1"/>
      <c r="E1530" s="1"/>
      <c r="F1530" s="1"/>
      <c r="G1530" s="1"/>
      <c r="H1530" s="1"/>
    </row>
    <row r="1531" spans="1:8" ht="12.5">
      <c r="A1531" s="1"/>
      <c r="B1531" s="1"/>
      <c r="C1531" s="1"/>
      <c r="D1531" s="1"/>
      <c r="E1531" s="1"/>
      <c r="F1531" s="1"/>
      <c r="G1531" s="1"/>
      <c r="H1531" s="1"/>
    </row>
    <row r="1532" spans="1:8" ht="12.5">
      <c r="A1532" s="1"/>
      <c r="B1532" s="1"/>
      <c r="C1532" s="1"/>
      <c r="D1532" s="1"/>
      <c r="E1532" s="1"/>
      <c r="F1532" s="1"/>
      <c r="G1532" s="1"/>
      <c r="H1532" s="1"/>
    </row>
    <row r="1533" spans="1:8" ht="12.5">
      <c r="A1533" s="1"/>
      <c r="B1533" s="1"/>
      <c r="C1533" s="1"/>
      <c r="D1533" s="1"/>
      <c r="E1533" s="1"/>
      <c r="F1533" s="1"/>
      <c r="G1533" s="1"/>
      <c r="H1533" s="1"/>
    </row>
    <row r="1534" spans="1:8" ht="12.5">
      <c r="A1534" s="1"/>
      <c r="B1534" s="1"/>
      <c r="C1534" s="1"/>
      <c r="D1534" s="1"/>
      <c r="E1534" s="1"/>
      <c r="F1534" s="1"/>
      <c r="G1534" s="1"/>
      <c r="H1534" s="1"/>
    </row>
    <row r="1535" spans="1:8" ht="12.5">
      <c r="A1535" s="1"/>
      <c r="B1535" s="1"/>
      <c r="C1535" s="1"/>
      <c r="D1535" s="1"/>
      <c r="E1535" s="1"/>
      <c r="F1535" s="1"/>
      <c r="G1535" s="1"/>
      <c r="H1535" s="1"/>
    </row>
    <row r="1536" spans="1:8" ht="12.5">
      <c r="A1536" s="1"/>
      <c r="B1536" s="1"/>
      <c r="C1536" s="1"/>
      <c r="D1536" s="1"/>
      <c r="E1536" s="1"/>
      <c r="F1536" s="1"/>
      <c r="G1536" s="1"/>
      <c r="H1536" s="1"/>
    </row>
    <row r="1537" spans="1:8" ht="12.5">
      <c r="A1537" s="1"/>
      <c r="B1537" s="1"/>
      <c r="C1537" s="1"/>
      <c r="D1537" s="1"/>
      <c r="E1537" s="1"/>
      <c r="F1537" s="1"/>
      <c r="G1537" s="1"/>
      <c r="H1537" s="1"/>
    </row>
    <row r="1538" spans="1:8" ht="12.5">
      <c r="A1538" s="1"/>
      <c r="B1538" s="1"/>
      <c r="C1538" s="1"/>
      <c r="D1538" s="1"/>
      <c r="E1538" s="1"/>
      <c r="F1538" s="1"/>
      <c r="G1538" s="1"/>
      <c r="H1538" s="1"/>
    </row>
    <row r="1539" spans="1:8" ht="12.5">
      <c r="A1539" s="1"/>
      <c r="B1539" s="1"/>
      <c r="C1539" s="1"/>
      <c r="D1539" s="1"/>
      <c r="E1539" s="1"/>
      <c r="F1539" s="1"/>
      <c r="G1539" s="1"/>
      <c r="H1539" s="1"/>
    </row>
    <row r="1540" spans="1:8" ht="12.5">
      <c r="A1540" s="1"/>
      <c r="B1540" s="1"/>
      <c r="C1540" s="1"/>
      <c r="D1540" s="1"/>
      <c r="E1540" s="1"/>
      <c r="F1540" s="1"/>
      <c r="G1540" s="1"/>
      <c r="H1540" s="1"/>
    </row>
    <row r="1541" spans="1:8" ht="12.5">
      <c r="A1541" s="1"/>
      <c r="B1541" s="1"/>
      <c r="C1541" s="1"/>
      <c r="D1541" s="1"/>
      <c r="E1541" s="1"/>
      <c r="F1541" s="1"/>
      <c r="G1541" s="1"/>
      <c r="H1541" s="1"/>
    </row>
    <row r="1542" spans="1:8" ht="12.5">
      <c r="A1542" s="1"/>
      <c r="B1542" s="1"/>
      <c r="C1542" s="1"/>
      <c r="D1542" s="1"/>
      <c r="E1542" s="1"/>
      <c r="F1542" s="1"/>
      <c r="G1542" s="1"/>
      <c r="H1542" s="1"/>
    </row>
    <row r="1543" spans="1:8" ht="12.5">
      <c r="A1543" s="1"/>
      <c r="B1543" s="1"/>
      <c r="C1543" s="1"/>
      <c r="D1543" s="1"/>
      <c r="E1543" s="1"/>
      <c r="F1543" s="1"/>
      <c r="G1543" s="1"/>
      <c r="H1543" s="1"/>
    </row>
    <row r="1544" spans="1:8" ht="12.5">
      <c r="A1544" s="1"/>
      <c r="B1544" s="1"/>
      <c r="C1544" s="1"/>
      <c r="D1544" s="1"/>
      <c r="E1544" s="1"/>
      <c r="F1544" s="1"/>
      <c r="G1544" s="1"/>
      <c r="H1544" s="1"/>
    </row>
    <row r="1545" spans="1:8" ht="12.5">
      <c r="A1545" s="1"/>
      <c r="B1545" s="1"/>
      <c r="C1545" s="1"/>
      <c r="D1545" s="1"/>
      <c r="E1545" s="1"/>
      <c r="F1545" s="1"/>
      <c r="G1545" s="1"/>
      <c r="H1545" s="1"/>
    </row>
    <row r="1546" spans="1:8" ht="12.5">
      <c r="A1546" s="1"/>
      <c r="B1546" s="1"/>
      <c r="C1546" s="1"/>
      <c r="D1546" s="1"/>
      <c r="E1546" s="1"/>
      <c r="F1546" s="1"/>
      <c r="G1546" s="1"/>
      <c r="H1546" s="1"/>
    </row>
    <row r="1547" spans="1:8" ht="12.5">
      <c r="A1547" s="1"/>
      <c r="B1547" s="1"/>
      <c r="C1547" s="1"/>
      <c r="D1547" s="1"/>
      <c r="E1547" s="1"/>
      <c r="F1547" s="1"/>
      <c r="G1547" s="1"/>
      <c r="H1547" s="1"/>
    </row>
    <row r="1548" spans="1:8" ht="12.5">
      <c r="A1548" s="1"/>
      <c r="B1548" s="1"/>
      <c r="C1548" s="1"/>
      <c r="D1548" s="1"/>
      <c r="E1548" s="1"/>
      <c r="F1548" s="1"/>
      <c r="G1548" s="1"/>
      <c r="H1548" s="1"/>
    </row>
    <row r="1549" spans="1:8" ht="12.5">
      <c r="A1549" s="1"/>
      <c r="B1549" s="1"/>
      <c r="C1549" s="1"/>
      <c r="D1549" s="1"/>
      <c r="E1549" s="1"/>
      <c r="F1549" s="1"/>
      <c r="G1549" s="1"/>
      <c r="H1549" s="1"/>
    </row>
    <row r="1550" spans="1:8" ht="12.5">
      <c r="A1550" s="1"/>
      <c r="B1550" s="1"/>
      <c r="C1550" s="1"/>
      <c r="D1550" s="1"/>
      <c r="E1550" s="1"/>
      <c r="F1550" s="1"/>
      <c r="G1550" s="1"/>
      <c r="H1550" s="1"/>
    </row>
    <row r="1551" spans="1:8" ht="12.5">
      <c r="A1551" s="1"/>
      <c r="B1551" s="1"/>
      <c r="C1551" s="1"/>
      <c r="D1551" s="1"/>
      <c r="E1551" s="1"/>
      <c r="F1551" s="1"/>
      <c r="G1551" s="1"/>
      <c r="H1551" s="1"/>
    </row>
    <row r="1552" spans="1:8" ht="12.5">
      <c r="A1552" s="1"/>
      <c r="B1552" s="1"/>
      <c r="C1552" s="1"/>
      <c r="D1552" s="1"/>
      <c r="E1552" s="1"/>
      <c r="F1552" s="1"/>
      <c r="G1552" s="1"/>
      <c r="H1552" s="1"/>
    </row>
    <row r="1553" spans="1:8" ht="12.5">
      <c r="A1553" s="1"/>
      <c r="B1553" s="1"/>
      <c r="C1553" s="1"/>
      <c r="D1553" s="1"/>
      <c r="E1553" s="1"/>
      <c r="F1553" s="1"/>
      <c r="G1553" s="1"/>
      <c r="H1553" s="1"/>
    </row>
    <row r="1554" spans="1:8" ht="12.5">
      <c r="A1554" s="1"/>
      <c r="B1554" s="1"/>
      <c r="C1554" s="1"/>
      <c r="D1554" s="1"/>
      <c r="E1554" s="1"/>
      <c r="F1554" s="1"/>
      <c r="G1554" s="1"/>
      <c r="H1554" s="1"/>
    </row>
    <row r="1555" spans="1:8" ht="12.5">
      <c r="A1555" s="1"/>
      <c r="B1555" s="1"/>
      <c r="C1555" s="1"/>
      <c r="D1555" s="1"/>
      <c r="E1555" s="1"/>
      <c r="F1555" s="1"/>
      <c r="G1555" s="1"/>
      <c r="H1555" s="1"/>
    </row>
    <row r="1556" spans="1:8" ht="12.5">
      <c r="A1556" s="1"/>
      <c r="B1556" s="1"/>
      <c r="C1556" s="1"/>
      <c r="D1556" s="1"/>
      <c r="E1556" s="1"/>
      <c r="F1556" s="1"/>
      <c r="G1556" s="1"/>
      <c r="H1556" s="1"/>
    </row>
    <row r="1557" spans="1:8" ht="12.5">
      <c r="A1557" s="1"/>
      <c r="B1557" s="1"/>
      <c r="C1557" s="1"/>
      <c r="D1557" s="1"/>
      <c r="E1557" s="1"/>
      <c r="F1557" s="1"/>
      <c r="G1557" s="1"/>
      <c r="H1557" s="1"/>
    </row>
    <row r="1558" spans="1:8" ht="12.5">
      <c r="A1558" s="1"/>
      <c r="B1558" s="1"/>
      <c r="C1558" s="1"/>
      <c r="D1558" s="1"/>
      <c r="E1558" s="1"/>
      <c r="F1558" s="1"/>
      <c r="G1558" s="1"/>
      <c r="H1558" s="1"/>
    </row>
    <row r="1559" spans="1:8" ht="12.5">
      <c r="A1559" s="1"/>
      <c r="B1559" s="1"/>
      <c r="C1559" s="1"/>
      <c r="D1559" s="1"/>
      <c r="E1559" s="1"/>
      <c r="F1559" s="1"/>
      <c r="G1559" s="1"/>
      <c r="H1559" s="1"/>
    </row>
    <row r="1560" spans="1:8" ht="12.5">
      <c r="A1560" s="1"/>
      <c r="B1560" s="1"/>
      <c r="C1560" s="1"/>
      <c r="D1560" s="1"/>
      <c r="E1560" s="1"/>
      <c r="F1560" s="1"/>
      <c r="G1560" s="1"/>
      <c r="H1560" s="1"/>
    </row>
    <row r="1561" spans="1:8" ht="12.5">
      <c r="A1561" s="1"/>
      <c r="B1561" s="1"/>
      <c r="C1561" s="1"/>
      <c r="D1561" s="1"/>
      <c r="E1561" s="1"/>
      <c r="F1561" s="1"/>
      <c r="G1561" s="1"/>
      <c r="H1561" s="1"/>
    </row>
    <row r="1562" spans="1:8" ht="12.5">
      <c r="A1562" s="1"/>
      <c r="B1562" s="1"/>
      <c r="C1562" s="1"/>
      <c r="D1562" s="1"/>
      <c r="E1562" s="1"/>
      <c r="F1562" s="1"/>
      <c r="G1562" s="1"/>
      <c r="H1562" s="1"/>
    </row>
    <row r="1563" spans="1:8" ht="12.5">
      <c r="A1563" s="1"/>
      <c r="B1563" s="1"/>
      <c r="C1563" s="1"/>
      <c r="D1563" s="1"/>
      <c r="E1563" s="1"/>
      <c r="F1563" s="1"/>
      <c r="G1563" s="1"/>
      <c r="H1563" s="1"/>
    </row>
    <row r="1564" spans="1:8" ht="12.5">
      <c r="A1564" s="1"/>
      <c r="B1564" s="1"/>
      <c r="C1564" s="1"/>
      <c r="D1564" s="1"/>
      <c r="E1564" s="1"/>
      <c r="F1564" s="1"/>
      <c r="G1564" s="1"/>
      <c r="H1564" s="1"/>
    </row>
    <row r="1565" spans="1:8" ht="12.5">
      <c r="A1565" s="1"/>
      <c r="B1565" s="1"/>
      <c r="C1565" s="1"/>
      <c r="D1565" s="1"/>
      <c r="E1565" s="1"/>
      <c r="F1565" s="1"/>
      <c r="G1565" s="1"/>
      <c r="H1565" s="1"/>
    </row>
    <row r="1566" spans="1:8" ht="12.5">
      <c r="A1566" s="1"/>
      <c r="B1566" s="1"/>
      <c r="C1566" s="1"/>
      <c r="D1566" s="1"/>
      <c r="E1566" s="1"/>
      <c r="F1566" s="1"/>
      <c r="G1566" s="1"/>
      <c r="H1566" s="1"/>
    </row>
    <row r="1567" spans="1:8" ht="12.5">
      <c r="A1567" s="1"/>
      <c r="B1567" s="1"/>
      <c r="C1567" s="1"/>
      <c r="D1567" s="1"/>
      <c r="E1567" s="1"/>
      <c r="F1567" s="1"/>
      <c r="G1567" s="1"/>
      <c r="H1567" s="1"/>
    </row>
    <row r="1568" spans="1:8" ht="12.5">
      <c r="A1568" s="1"/>
      <c r="B1568" s="1"/>
      <c r="C1568" s="1"/>
      <c r="D1568" s="1"/>
      <c r="E1568" s="1"/>
      <c r="F1568" s="1"/>
      <c r="G1568" s="1"/>
      <c r="H1568" s="1"/>
    </row>
    <row r="1569" spans="1:8" ht="12.5">
      <c r="A1569" s="1"/>
      <c r="B1569" s="1"/>
      <c r="C1569" s="1"/>
      <c r="D1569" s="1"/>
      <c r="E1569" s="1"/>
      <c r="F1569" s="1"/>
      <c r="G1569" s="1"/>
      <c r="H1569" s="1"/>
    </row>
    <row r="1570" spans="1:8" ht="12.5">
      <c r="A1570" s="1"/>
      <c r="B1570" s="1"/>
      <c r="C1570" s="1"/>
      <c r="D1570" s="1"/>
      <c r="E1570" s="1"/>
      <c r="F1570" s="1"/>
      <c r="G1570" s="1"/>
      <c r="H1570" s="1"/>
    </row>
    <row r="1571" spans="1:8" ht="12.5">
      <c r="A1571" s="1"/>
      <c r="B1571" s="1"/>
      <c r="C1571" s="1"/>
      <c r="D1571" s="1"/>
      <c r="E1571" s="1"/>
      <c r="F1571" s="1"/>
      <c r="G1571" s="1"/>
      <c r="H1571" s="1"/>
    </row>
    <row r="1572" spans="1:8" ht="12.5">
      <c r="A1572" s="1"/>
      <c r="B1572" s="1"/>
      <c r="C1572" s="1"/>
      <c r="D1572" s="1"/>
      <c r="E1572" s="1"/>
      <c r="F1572" s="1"/>
      <c r="G1572" s="1"/>
      <c r="H1572" s="1"/>
    </row>
    <row r="1573" spans="1:8" ht="12.5">
      <c r="A1573" s="1"/>
      <c r="B1573" s="1"/>
      <c r="C1573" s="1"/>
      <c r="D1573" s="1"/>
      <c r="E1573" s="1"/>
      <c r="F1573" s="1"/>
      <c r="G1573" s="1"/>
      <c r="H1573" s="1"/>
    </row>
    <row r="1574" spans="1:8" ht="12.5">
      <c r="A1574" s="1"/>
      <c r="B1574" s="1"/>
      <c r="C1574" s="1"/>
      <c r="D1574" s="1"/>
      <c r="E1574" s="1"/>
      <c r="F1574" s="1"/>
      <c r="G1574" s="1"/>
      <c r="H1574" s="1"/>
    </row>
    <row r="1575" spans="1:8" ht="12.5">
      <c r="A1575" s="1"/>
      <c r="B1575" s="1"/>
      <c r="C1575" s="1"/>
      <c r="D1575" s="1"/>
      <c r="E1575" s="1"/>
      <c r="F1575" s="1"/>
      <c r="G1575" s="1"/>
      <c r="H1575" s="1"/>
    </row>
    <row r="1576" spans="1:8" ht="12.5">
      <c r="A1576" s="1"/>
      <c r="B1576" s="1"/>
      <c r="C1576" s="1"/>
      <c r="D1576" s="1"/>
      <c r="E1576" s="1"/>
      <c r="F1576" s="1"/>
      <c r="G1576" s="1"/>
      <c r="H1576" s="1"/>
    </row>
    <row r="1577" spans="1:8" ht="12.5">
      <c r="A1577" s="1"/>
      <c r="B1577" s="1"/>
      <c r="C1577" s="1"/>
      <c r="D1577" s="1"/>
      <c r="E1577" s="1"/>
      <c r="F1577" s="1"/>
      <c r="G1577" s="1"/>
      <c r="H1577" s="1"/>
    </row>
    <row r="1578" spans="1:8" ht="12.5">
      <c r="A1578" s="1"/>
      <c r="B1578" s="1"/>
      <c r="C1578" s="1"/>
      <c r="D1578" s="1"/>
      <c r="E1578" s="1"/>
      <c r="F1578" s="1"/>
      <c r="G1578" s="1"/>
      <c r="H1578" s="1"/>
    </row>
    <row r="1579" spans="1:8" ht="12.5">
      <c r="A1579" s="1"/>
      <c r="B1579" s="1"/>
      <c r="C1579" s="1"/>
      <c r="D1579" s="1"/>
      <c r="E1579" s="1"/>
      <c r="F1579" s="1"/>
      <c r="G1579" s="1"/>
      <c r="H1579" s="1"/>
    </row>
    <row r="1580" spans="1:8" ht="12.5">
      <c r="A1580" s="1"/>
      <c r="B1580" s="1"/>
      <c r="C1580" s="1"/>
      <c r="D1580" s="1"/>
      <c r="E1580" s="1"/>
      <c r="F1580" s="1"/>
      <c r="G1580" s="1"/>
      <c r="H1580" s="1"/>
    </row>
    <row r="1581" spans="1:8" ht="12.5">
      <c r="A1581" s="1"/>
      <c r="B1581" s="1"/>
      <c r="C1581" s="1"/>
      <c r="D1581" s="1"/>
      <c r="E1581" s="1"/>
      <c r="F1581" s="1"/>
      <c r="G1581" s="1"/>
      <c r="H1581" s="1"/>
    </row>
    <row r="1582" spans="1:8" ht="12.5">
      <c r="A1582" s="1"/>
      <c r="B1582" s="1"/>
      <c r="C1582" s="1"/>
      <c r="D1582" s="1"/>
      <c r="E1582" s="1"/>
      <c r="F1582" s="1"/>
      <c r="G1582" s="1"/>
      <c r="H1582" s="1"/>
    </row>
    <row r="1583" spans="1:8" ht="12.5">
      <c r="A1583" s="1"/>
      <c r="B1583" s="1"/>
      <c r="C1583" s="1"/>
      <c r="D1583" s="1"/>
      <c r="E1583" s="1"/>
      <c r="F1583" s="1"/>
      <c r="G1583" s="1"/>
      <c r="H1583" s="1"/>
    </row>
    <row r="1584" spans="1:8" ht="12.5">
      <c r="A1584" s="1"/>
      <c r="B1584" s="1"/>
      <c r="C1584" s="1"/>
      <c r="D1584" s="1"/>
      <c r="E1584" s="1"/>
      <c r="F1584" s="1"/>
      <c r="G1584" s="1"/>
      <c r="H1584" s="1"/>
    </row>
    <row r="1585" spans="1:8" ht="12.5">
      <c r="A1585" s="1"/>
      <c r="B1585" s="1"/>
      <c r="C1585" s="1"/>
      <c r="D1585" s="1"/>
      <c r="E1585" s="1"/>
      <c r="F1585" s="1"/>
      <c r="G1585" s="1"/>
      <c r="H1585" s="1"/>
    </row>
    <row r="1586" spans="1:8" ht="12.5">
      <c r="A1586" s="1"/>
      <c r="B1586" s="1"/>
      <c r="C1586" s="1"/>
      <c r="D1586" s="1"/>
      <c r="E1586" s="1"/>
      <c r="F1586" s="1"/>
      <c r="G1586" s="1"/>
      <c r="H1586" s="1"/>
    </row>
    <row r="1587" spans="1:8" ht="12.5">
      <c r="A1587" s="1"/>
      <c r="B1587" s="1"/>
      <c r="C1587" s="1"/>
      <c r="D1587" s="1"/>
      <c r="E1587" s="1"/>
      <c r="F1587" s="1"/>
      <c r="G1587" s="1"/>
      <c r="H1587" s="1"/>
    </row>
    <row r="1588" spans="1:8" ht="12.5">
      <c r="A1588" s="1"/>
      <c r="B1588" s="1"/>
      <c r="C1588" s="1"/>
      <c r="D1588" s="1"/>
      <c r="E1588" s="1"/>
      <c r="F1588" s="1"/>
      <c r="G1588" s="1"/>
      <c r="H1588" s="1"/>
    </row>
    <row r="1589" spans="1:8" ht="12.5">
      <c r="A1589" s="1"/>
      <c r="B1589" s="1"/>
      <c r="C1589" s="1"/>
      <c r="D1589" s="1"/>
      <c r="E1589" s="1"/>
      <c r="F1589" s="1"/>
      <c r="G1589" s="1"/>
      <c r="H1589" s="1"/>
    </row>
    <row r="1590" spans="1:8" ht="12.5">
      <c r="A1590" s="1"/>
      <c r="B1590" s="1"/>
      <c r="C1590" s="1"/>
      <c r="D1590" s="1"/>
      <c r="E1590" s="1"/>
      <c r="F1590" s="1"/>
      <c r="G1590" s="1"/>
      <c r="H1590" s="1"/>
    </row>
    <row r="1591" spans="1:8" ht="12.5">
      <c r="A1591" s="1"/>
      <c r="B1591" s="1"/>
      <c r="C1591" s="1"/>
      <c r="D1591" s="1"/>
      <c r="E1591" s="1"/>
      <c r="F1591" s="1"/>
      <c r="G1591" s="1"/>
      <c r="H1591" s="1"/>
    </row>
    <row r="1592" spans="1:8" ht="12.5">
      <c r="A1592" s="1"/>
      <c r="B1592" s="1"/>
      <c r="C1592" s="1"/>
      <c r="D1592" s="1"/>
      <c r="E1592" s="1"/>
      <c r="F1592" s="1"/>
      <c r="G1592" s="1"/>
      <c r="H1592" s="1"/>
    </row>
    <row r="1593" spans="1:8" ht="12.5">
      <c r="A1593" s="1"/>
      <c r="B1593" s="1"/>
      <c r="C1593" s="1"/>
      <c r="D1593" s="1"/>
      <c r="E1593" s="1"/>
      <c r="F1593" s="1"/>
      <c r="G1593" s="1"/>
      <c r="H1593" s="1"/>
    </row>
    <row r="1594" spans="1:8" ht="12.5">
      <c r="A1594" s="1"/>
      <c r="B1594" s="1"/>
      <c r="C1594" s="1"/>
      <c r="D1594" s="1"/>
      <c r="E1594" s="1"/>
      <c r="F1594" s="1"/>
      <c r="G1594" s="1"/>
      <c r="H1594" s="1"/>
    </row>
    <row r="1595" spans="1:8" ht="12.5">
      <c r="A1595" s="1"/>
      <c r="B1595" s="1"/>
      <c r="C1595" s="1"/>
      <c r="D1595" s="1"/>
      <c r="E1595" s="1"/>
      <c r="F1595" s="1"/>
      <c r="G1595" s="1"/>
      <c r="H1595" s="1"/>
    </row>
    <row r="1596" spans="1:8" ht="12.5">
      <c r="A1596" s="1"/>
      <c r="B1596" s="1"/>
      <c r="C1596" s="1"/>
      <c r="D1596" s="1"/>
      <c r="E1596" s="1"/>
      <c r="F1596" s="1"/>
      <c r="G1596" s="1"/>
      <c r="H1596" s="1"/>
    </row>
    <row r="1597" spans="1:8" ht="12.5">
      <c r="A1597" s="1"/>
      <c r="B1597" s="1"/>
      <c r="C1597" s="1"/>
      <c r="D1597" s="1"/>
      <c r="E1597" s="1"/>
      <c r="F1597" s="1"/>
      <c r="G1597" s="1"/>
      <c r="H1597" s="1"/>
    </row>
    <row r="1598" spans="1:8" ht="12.5">
      <c r="A1598" s="1"/>
      <c r="B1598" s="1"/>
      <c r="C1598" s="1"/>
      <c r="D1598" s="1"/>
      <c r="E1598" s="1"/>
      <c r="F1598" s="1"/>
      <c r="G1598" s="1"/>
      <c r="H1598" s="1"/>
    </row>
    <row r="1599" spans="1:8" ht="12.5">
      <c r="A1599" s="1"/>
      <c r="B1599" s="1"/>
      <c r="C1599" s="1"/>
      <c r="D1599" s="1"/>
      <c r="E1599" s="1"/>
      <c r="F1599" s="1"/>
      <c r="G1599" s="1"/>
      <c r="H1599" s="1"/>
    </row>
    <row r="1600" spans="1:8" ht="12.5">
      <c r="A1600" s="1"/>
      <c r="B1600" s="1"/>
      <c r="C1600" s="1"/>
      <c r="D1600" s="1"/>
      <c r="E1600" s="1"/>
      <c r="F1600" s="1"/>
      <c r="G1600" s="1"/>
      <c r="H1600" s="1"/>
    </row>
    <row r="1601" spans="1:8" ht="12.5">
      <c r="A1601" s="1"/>
      <c r="B1601" s="1"/>
      <c r="C1601" s="1"/>
      <c r="D1601" s="1"/>
      <c r="E1601" s="1"/>
      <c r="F1601" s="1"/>
      <c r="G1601" s="1"/>
      <c r="H1601" s="1"/>
    </row>
    <row r="1602" spans="1:8" ht="12.5">
      <c r="A1602" s="1"/>
      <c r="B1602" s="1"/>
      <c r="C1602" s="1"/>
      <c r="D1602" s="1"/>
      <c r="E1602" s="1"/>
      <c r="F1602" s="1"/>
      <c r="G1602" s="1"/>
      <c r="H1602" s="1"/>
    </row>
    <row r="1603" spans="1:8" ht="12.5">
      <c r="A1603" s="1"/>
      <c r="B1603" s="1"/>
      <c r="C1603" s="1"/>
      <c r="D1603" s="1"/>
      <c r="E1603" s="1"/>
      <c r="F1603" s="1"/>
      <c r="G1603" s="1"/>
      <c r="H1603" s="1"/>
    </row>
    <row r="1604" spans="1:8" ht="12.5">
      <c r="A1604" s="1"/>
      <c r="B1604" s="1"/>
      <c r="C1604" s="1"/>
      <c r="D1604" s="1"/>
      <c r="E1604" s="1"/>
      <c r="F1604" s="1"/>
      <c r="G1604" s="1"/>
      <c r="H1604" s="1"/>
    </row>
    <row r="1605" spans="1:8" ht="12.5">
      <c r="A1605" s="1"/>
      <c r="B1605" s="1"/>
      <c r="C1605" s="1"/>
      <c r="D1605" s="1"/>
      <c r="E1605" s="1"/>
      <c r="F1605" s="1"/>
      <c r="G1605" s="1"/>
      <c r="H1605" s="1"/>
    </row>
    <row r="1606" spans="1:8" ht="12.5">
      <c r="A1606" s="1"/>
      <c r="B1606" s="1"/>
      <c r="C1606" s="1"/>
      <c r="D1606" s="1"/>
      <c r="E1606" s="1"/>
      <c r="F1606" s="1"/>
      <c r="G1606" s="1"/>
      <c r="H1606" s="1"/>
    </row>
    <row r="1607" spans="1:8" ht="12.5">
      <c r="A1607" s="1"/>
      <c r="B1607" s="1"/>
      <c r="C1607" s="1"/>
      <c r="D1607" s="1"/>
      <c r="E1607" s="1"/>
      <c r="F1607" s="1"/>
      <c r="G1607" s="1"/>
      <c r="H1607" s="1"/>
    </row>
    <row r="1608" spans="1:8" ht="12.5">
      <c r="A1608" s="1"/>
      <c r="B1608" s="1"/>
      <c r="C1608" s="1"/>
      <c r="D1608" s="1"/>
      <c r="E1608" s="1"/>
      <c r="F1608" s="1"/>
      <c r="G1608" s="1"/>
      <c r="H1608" s="1"/>
    </row>
    <row r="1609" spans="1:8" ht="12.5">
      <c r="A1609" s="1"/>
      <c r="B1609" s="1"/>
      <c r="C1609" s="1"/>
      <c r="D1609" s="1"/>
      <c r="E1609" s="1"/>
      <c r="F1609" s="1"/>
      <c r="G1609" s="1"/>
      <c r="H1609" s="1"/>
    </row>
    <row r="1610" spans="1:8" ht="12.5">
      <c r="A1610" s="1"/>
      <c r="B1610" s="1"/>
      <c r="C1610" s="1"/>
      <c r="D1610" s="1"/>
      <c r="E1610" s="1"/>
      <c r="F1610" s="1"/>
      <c r="G1610" s="1"/>
      <c r="H1610" s="1"/>
    </row>
    <row r="1611" spans="1:8" ht="12.5">
      <c r="A1611" s="1"/>
      <c r="B1611" s="1"/>
      <c r="C1611" s="1"/>
      <c r="D1611" s="1"/>
      <c r="E1611" s="1"/>
      <c r="F1611" s="1"/>
      <c r="G1611" s="1"/>
      <c r="H1611" s="1"/>
    </row>
    <row r="1612" spans="1:8" ht="12.5">
      <c r="A1612" s="1"/>
      <c r="B1612" s="1"/>
      <c r="C1612" s="1"/>
      <c r="D1612" s="1"/>
      <c r="E1612" s="1"/>
      <c r="F1612" s="1"/>
      <c r="G1612" s="1"/>
      <c r="H1612" s="1"/>
    </row>
    <row r="1613" spans="1:8" ht="12.5">
      <c r="A1613" s="1"/>
      <c r="B1613" s="1"/>
      <c r="C1613" s="1"/>
      <c r="D1613" s="1"/>
      <c r="E1613" s="1"/>
      <c r="F1613" s="1"/>
      <c r="G1613" s="1"/>
      <c r="H1613" s="1"/>
    </row>
    <row r="1614" spans="1:8" ht="12.5">
      <c r="A1614" s="1"/>
      <c r="B1614" s="1"/>
      <c r="C1614" s="1"/>
      <c r="D1614" s="1"/>
      <c r="E1614" s="1"/>
      <c r="F1614" s="1"/>
      <c r="G1614" s="1"/>
      <c r="H1614" s="1"/>
    </row>
    <row r="1615" spans="1:8" ht="12.5">
      <c r="A1615" s="1"/>
      <c r="B1615" s="1"/>
      <c r="C1615" s="1"/>
      <c r="D1615" s="1"/>
      <c r="E1615" s="1"/>
      <c r="F1615" s="1"/>
      <c r="G1615" s="1"/>
      <c r="H1615" s="1"/>
    </row>
    <row r="1616" spans="1:8" ht="12.5">
      <c r="A1616" s="1"/>
      <c r="B1616" s="1"/>
      <c r="C1616" s="1"/>
      <c r="D1616" s="1"/>
      <c r="E1616" s="1"/>
      <c r="F1616" s="1"/>
      <c r="G1616" s="1"/>
      <c r="H1616" s="1"/>
    </row>
    <row r="1617" spans="1:8" ht="12.5">
      <c r="A1617" s="1"/>
      <c r="B1617" s="1"/>
      <c r="C1617" s="1"/>
      <c r="D1617" s="1"/>
      <c r="E1617" s="1"/>
      <c r="F1617" s="1"/>
      <c r="G1617" s="1"/>
      <c r="H1617" s="1"/>
    </row>
    <row r="1618" spans="1:8" ht="12.5">
      <c r="A1618" s="1"/>
      <c r="B1618" s="1"/>
      <c r="C1618" s="1"/>
      <c r="D1618" s="1"/>
      <c r="E1618" s="1"/>
      <c r="F1618" s="1"/>
      <c r="G1618" s="1"/>
      <c r="H1618" s="1"/>
    </row>
    <row r="1619" spans="1:8" ht="12.5">
      <c r="A1619" s="1"/>
      <c r="B1619" s="1"/>
      <c r="C1619" s="1"/>
      <c r="D1619" s="1"/>
      <c r="E1619" s="1"/>
      <c r="F1619" s="1"/>
      <c r="G1619" s="1"/>
      <c r="H1619" s="1"/>
    </row>
    <row r="1620" spans="1:8" ht="12.5">
      <c r="A1620" s="1"/>
      <c r="B1620" s="1"/>
      <c r="C1620" s="1"/>
      <c r="D1620" s="1"/>
      <c r="E1620" s="1"/>
      <c r="F1620" s="1"/>
      <c r="G1620" s="1"/>
      <c r="H1620" s="1"/>
    </row>
    <row r="1621" spans="1:8" ht="12.5">
      <c r="A1621" s="1"/>
      <c r="B1621" s="1"/>
      <c r="C1621" s="1"/>
      <c r="D1621" s="1"/>
      <c r="E1621" s="1"/>
      <c r="F1621" s="1"/>
      <c r="G1621" s="1"/>
      <c r="H1621" s="1"/>
    </row>
    <row r="1622" spans="1:8" ht="12.5">
      <c r="A1622" s="1"/>
      <c r="B1622" s="1"/>
      <c r="C1622" s="1"/>
      <c r="D1622" s="1"/>
      <c r="E1622" s="1"/>
      <c r="F1622" s="1"/>
      <c r="G1622" s="1"/>
      <c r="H1622" s="1"/>
    </row>
    <row r="1623" spans="1:8" ht="12.5">
      <c r="A1623" s="1"/>
      <c r="B1623" s="1"/>
      <c r="C1623" s="1"/>
      <c r="D1623" s="1"/>
      <c r="E1623" s="1"/>
      <c r="F1623" s="1"/>
      <c r="G1623" s="1"/>
      <c r="H1623" s="1"/>
    </row>
    <row r="1624" spans="1:8" ht="12.5">
      <c r="A1624" s="1"/>
      <c r="B1624" s="1"/>
      <c r="C1624" s="1"/>
      <c r="D1624" s="1"/>
      <c r="E1624" s="1"/>
      <c r="F1624" s="1"/>
      <c r="G1624" s="1"/>
      <c r="H1624" s="1"/>
    </row>
    <row r="1625" spans="1:8" ht="12.5">
      <c r="A1625" s="1"/>
      <c r="B1625" s="1"/>
      <c r="C1625" s="1"/>
      <c r="D1625" s="1"/>
      <c r="E1625" s="1"/>
      <c r="F1625" s="1"/>
      <c r="G1625" s="1"/>
      <c r="H1625" s="1"/>
    </row>
    <row r="1626" spans="1:8" ht="12.5">
      <c r="A1626" s="1"/>
      <c r="B1626" s="1"/>
      <c r="C1626" s="1"/>
      <c r="D1626" s="1"/>
      <c r="E1626" s="1"/>
      <c r="F1626" s="1"/>
      <c r="G1626" s="1"/>
      <c r="H1626" s="1"/>
    </row>
    <row r="1627" spans="1:8" ht="12.5">
      <c r="A1627" s="1"/>
      <c r="B1627" s="1"/>
      <c r="C1627" s="1"/>
      <c r="D1627" s="1"/>
      <c r="E1627" s="1"/>
      <c r="F1627" s="1"/>
      <c r="G1627" s="1"/>
      <c r="H1627" s="1"/>
    </row>
    <row r="1628" spans="1:8" ht="12.5">
      <c r="A1628" s="1"/>
      <c r="B1628" s="1"/>
      <c r="C1628" s="1"/>
      <c r="D1628" s="1"/>
      <c r="E1628" s="1"/>
      <c r="F1628" s="1"/>
      <c r="G1628" s="1"/>
      <c r="H1628" s="1"/>
    </row>
    <row r="1629" spans="1:8" ht="12.5">
      <c r="A1629" s="1"/>
      <c r="B1629" s="1"/>
      <c r="C1629" s="1"/>
      <c r="D1629" s="1"/>
      <c r="E1629" s="1"/>
      <c r="F1629" s="1"/>
      <c r="G1629" s="1"/>
      <c r="H1629" s="1"/>
    </row>
    <row r="1630" spans="1:8" ht="12.5">
      <c r="A1630" s="1"/>
      <c r="B1630" s="1"/>
      <c r="C1630" s="1"/>
      <c r="D1630" s="1"/>
      <c r="E1630" s="1"/>
      <c r="F1630" s="1"/>
      <c r="G1630" s="1"/>
      <c r="H1630" s="1"/>
    </row>
    <row r="1631" spans="1:8" ht="12.5">
      <c r="A1631" s="1"/>
      <c r="B1631" s="1"/>
      <c r="C1631" s="1"/>
      <c r="D1631" s="1"/>
      <c r="E1631" s="1"/>
      <c r="F1631" s="1"/>
      <c r="G1631" s="1"/>
      <c r="H1631" s="1"/>
    </row>
    <row r="1632" spans="1:8" ht="12.5">
      <c r="A1632" s="1"/>
      <c r="B1632" s="1"/>
      <c r="C1632" s="1"/>
      <c r="D1632" s="1"/>
      <c r="E1632" s="1"/>
      <c r="F1632" s="1"/>
      <c r="G1632" s="1"/>
      <c r="H1632" s="1"/>
    </row>
    <row r="1633" spans="1:8" ht="12.5">
      <c r="A1633" s="1"/>
      <c r="B1633" s="1"/>
      <c r="C1633" s="1"/>
      <c r="D1633" s="1"/>
      <c r="E1633" s="1"/>
      <c r="F1633" s="1"/>
      <c r="G1633" s="1"/>
      <c r="H1633" s="1"/>
    </row>
    <row r="1634" spans="1:8" ht="12.5">
      <c r="A1634" s="1"/>
      <c r="B1634" s="1"/>
      <c r="C1634" s="1"/>
      <c r="D1634" s="1"/>
      <c r="E1634" s="1"/>
      <c r="F1634" s="1"/>
      <c r="G1634" s="1"/>
      <c r="H1634" s="1"/>
    </row>
    <row r="1635" spans="1:8" ht="12.5">
      <c r="A1635" s="1"/>
      <c r="B1635" s="1"/>
      <c r="C1635" s="1"/>
      <c r="D1635" s="1"/>
      <c r="E1635" s="1"/>
      <c r="F1635" s="1"/>
      <c r="G1635" s="1"/>
      <c r="H1635" s="1"/>
    </row>
    <row r="1636" spans="1:8" ht="12.5">
      <c r="A1636" s="1"/>
      <c r="B1636" s="1"/>
      <c r="C1636" s="1"/>
      <c r="D1636" s="1"/>
      <c r="E1636" s="1"/>
      <c r="F1636" s="1"/>
      <c r="G1636" s="1"/>
      <c r="H1636" s="1"/>
    </row>
    <row r="1637" spans="1:8" ht="12.5">
      <c r="A1637" s="1"/>
      <c r="B1637" s="1"/>
      <c r="C1637" s="1"/>
      <c r="D1637" s="1"/>
      <c r="E1637" s="1"/>
      <c r="F1637" s="1"/>
      <c r="G1637" s="1"/>
      <c r="H1637" s="1"/>
    </row>
    <row r="1638" spans="1:8" ht="12.5">
      <c r="A1638" s="1"/>
      <c r="B1638" s="1"/>
      <c r="C1638" s="1"/>
      <c r="D1638" s="1"/>
      <c r="E1638" s="1"/>
      <c r="F1638" s="1"/>
      <c r="G1638" s="1"/>
      <c r="H1638" s="1"/>
    </row>
    <row r="1639" spans="1:8" ht="12.5">
      <c r="A1639" s="1"/>
      <c r="B1639" s="1"/>
      <c r="C1639" s="1"/>
      <c r="D1639" s="1"/>
      <c r="E1639" s="1"/>
      <c r="F1639" s="1"/>
      <c r="G1639" s="1"/>
      <c r="H1639" s="1"/>
    </row>
    <row r="1640" spans="1:8" ht="12.5">
      <c r="A1640" s="1"/>
      <c r="B1640" s="1"/>
      <c r="C1640" s="1"/>
      <c r="D1640" s="1"/>
      <c r="E1640" s="1"/>
      <c r="F1640" s="1"/>
      <c r="G1640" s="1"/>
      <c r="H1640" s="1"/>
    </row>
    <row r="1641" spans="1:8" ht="12.5">
      <c r="A1641" s="1"/>
      <c r="B1641" s="1"/>
      <c r="C1641" s="1"/>
      <c r="D1641" s="1"/>
      <c r="E1641" s="1"/>
      <c r="F1641" s="1"/>
      <c r="G1641" s="1"/>
      <c r="H1641" s="1"/>
    </row>
    <row r="1642" spans="1:8" ht="12.5">
      <c r="A1642" s="1"/>
      <c r="B1642" s="1"/>
      <c r="C1642" s="1"/>
      <c r="D1642" s="1"/>
      <c r="E1642" s="1"/>
      <c r="F1642" s="1"/>
      <c r="G1642" s="1"/>
      <c r="H1642" s="1"/>
    </row>
    <row r="1643" spans="1:8" ht="12.5">
      <c r="A1643" s="1"/>
      <c r="B1643" s="1"/>
      <c r="C1643" s="1"/>
      <c r="D1643" s="1"/>
      <c r="E1643" s="1"/>
      <c r="F1643" s="1"/>
      <c r="G1643" s="1"/>
      <c r="H1643" s="1"/>
    </row>
    <row r="1644" spans="1:8" ht="12.5">
      <c r="A1644" s="1"/>
      <c r="B1644" s="1"/>
      <c r="C1644" s="1"/>
      <c r="D1644" s="1"/>
      <c r="E1644" s="1"/>
      <c r="F1644" s="1"/>
      <c r="G1644" s="1"/>
      <c r="H1644" s="1"/>
    </row>
    <row r="1645" spans="1:8" ht="12.5">
      <c r="A1645" s="1"/>
      <c r="B1645" s="1"/>
      <c r="C1645" s="1"/>
      <c r="D1645" s="1"/>
      <c r="E1645" s="1"/>
      <c r="F1645" s="1"/>
      <c r="G1645" s="1"/>
      <c r="H1645" s="1"/>
    </row>
    <row r="1646" spans="1:8" ht="12.5">
      <c r="A1646" s="1"/>
      <c r="B1646" s="1"/>
      <c r="C1646" s="1"/>
      <c r="D1646" s="1"/>
      <c r="E1646" s="1"/>
      <c r="F1646" s="1"/>
      <c r="G1646" s="1"/>
      <c r="H1646" s="1"/>
    </row>
    <row r="1647" spans="1:8" ht="12.5">
      <c r="A1647" s="1"/>
      <c r="B1647" s="1"/>
      <c r="C1647" s="1"/>
      <c r="D1647" s="1"/>
      <c r="E1647" s="1"/>
      <c r="F1647" s="1"/>
      <c r="G1647" s="1"/>
      <c r="H1647" s="1"/>
    </row>
    <row r="1648" spans="1:8" ht="12.5">
      <c r="A1648" s="1"/>
      <c r="B1648" s="1"/>
      <c r="C1648" s="1"/>
      <c r="D1648" s="1"/>
      <c r="E1648" s="1"/>
      <c r="F1648" s="1"/>
      <c r="G1648" s="1"/>
      <c r="H1648" s="1"/>
    </row>
    <row r="1649" spans="1:8" ht="12.5">
      <c r="A1649" s="1"/>
      <c r="B1649" s="1"/>
      <c r="C1649" s="1"/>
      <c r="D1649" s="1"/>
      <c r="E1649" s="1"/>
      <c r="F1649" s="1"/>
      <c r="G1649" s="1"/>
      <c r="H1649" s="1"/>
    </row>
    <row r="1650" spans="1:8" ht="12.5">
      <c r="A1650" s="1"/>
      <c r="B1650" s="1"/>
      <c r="C1650" s="1"/>
      <c r="D1650" s="1"/>
      <c r="E1650" s="1"/>
      <c r="F1650" s="1"/>
      <c r="G1650" s="1"/>
      <c r="H1650" s="1"/>
    </row>
    <row r="1651" spans="1:8" ht="12.5">
      <c r="A1651" s="1"/>
      <c r="B1651" s="1"/>
      <c r="C1651" s="1"/>
      <c r="D1651" s="1"/>
      <c r="E1651" s="1"/>
      <c r="F1651" s="1"/>
      <c r="G1651" s="1"/>
      <c r="H1651" s="1"/>
    </row>
    <row r="1652" spans="1:8" ht="12.5">
      <c r="A1652" s="1"/>
      <c r="B1652" s="1"/>
      <c r="C1652" s="1"/>
      <c r="D1652" s="1"/>
      <c r="E1652" s="1"/>
      <c r="F1652" s="1"/>
      <c r="G1652" s="1"/>
      <c r="H1652" s="1"/>
    </row>
    <row r="1653" spans="1:8" ht="12.5">
      <c r="A1653" s="1"/>
      <c r="B1653" s="1"/>
      <c r="C1653" s="1"/>
      <c r="D1653" s="1"/>
      <c r="E1653" s="1"/>
      <c r="F1653" s="1"/>
      <c r="G1653" s="1"/>
      <c r="H1653" s="1"/>
    </row>
    <row r="1654" spans="1:8" ht="12.5">
      <c r="A1654" s="1"/>
      <c r="B1654" s="1"/>
      <c r="C1654" s="1"/>
      <c r="D1654" s="1"/>
      <c r="E1654" s="1"/>
      <c r="F1654" s="1"/>
      <c r="G1654" s="1"/>
      <c r="H1654" s="1"/>
    </row>
    <row r="1655" spans="1:8" ht="12.5">
      <c r="A1655" s="1"/>
      <c r="B1655" s="1"/>
      <c r="C1655" s="1"/>
      <c r="D1655" s="1"/>
      <c r="E1655" s="1"/>
      <c r="F1655" s="1"/>
      <c r="G1655" s="1"/>
      <c r="H1655" s="1"/>
    </row>
    <row r="1656" spans="1:8" ht="12.5">
      <c r="A1656" s="1"/>
      <c r="B1656" s="1"/>
      <c r="C1656" s="1"/>
      <c r="D1656" s="1"/>
      <c r="E1656" s="1"/>
      <c r="F1656" s="1"/>
      <c r="G1656" s="1"/>
      <c r="H1656" s="1"/>
    </row>
    <row r="1657" spans="1:8" ht="12.5">
      <c r="A1657" s="1"/>
      <c r="B1657" s="1"/>
      <c r="C1657" s="1"/>
      <c r="D1657" s="1"/>
      <c r="E1657" s="1"/>
      <c r="F1657" s="1"/>
      <c r="G1657" s="1"/>
      <c r="H1657" s="1"/>
    </row>
    <row r="1658" spans="1:8" ht="12.5">
      <c r="A1658" s="1"/>
      <c r="B1658" s="1"/>
      <c r="C1658" s="1"/>
      <c r="D1658" s="1"/>
      <c r="E1658" s="1"/>
      <c r="F1658" s="1"/>
      <c r="G1658" s="1"/>
      <c r="H1658" s="1"/>
    </row>
    <row r="1659" spans="1:8" ht="12.5">
      <c r="A1659" s="1"/>
      <c r="B1659" s="1"/>
      <c r="C1659" s="1"/>
      <c r="D1659" s="1"/>
      <c r="E1659" s="1"/>
      <c r="F1659" s="1"/>
      <c r="G1659" s="1"/>
      <c r="H1659" s="1"/>
    </row>
    <row r="1660" spans="1:8" ht="12.5">
      <c r="A1660" s="1"/>
      <c r="B1660" s="1"/>
      <c r="C1660" s="1"/>
      <c r="D1660" s="1"/>
      <c r="E1660" s="1"/>
      <c r="F1660" s="1"/>
      <c r="G1660" s="1"/>
      <c r="H1660" s="1"/>
    </row>
    <row r="1661" spans="1:8" ht="12.5">
      <c r="A1661" s="1"/>
      <c r="B1661" s="1"/>
      <c r="C1661" s="1"/>
      <c r="D1661" s="1"/>
      <c r="E1661" s="1"/>
      <c r="F1661" s="1"/>
      <c r="G1661" s="1"/>
      <c r="H1661" s="1"/>
    </row>
    <row r="1662" spans="1:8" ht="12.5">
      <c r="A1662" s="1"/>
      <c r="B1662" s="1"/>
      <c r="C1662" s="1"/>
      <c r="D1662" s="1"/>
      <c r="E1662" s="1"/>
      <c r="F1662" s="1"/>
      <c r="G1662" s="1"/>
      <c r="H1662" s="1"/>
    </row>
    <row r="1663" spans="1:8" ht="12.5">
      <c r="A1663" s="1"/>
      <c r="B1663" s="1"/>
      <c r="C1663" s="1"/>
      <c r="D1663" s="1"/>
      <c r="E1663" s="1"/>
      <c r="F1663" s="1"/>
      <c r="G1663" s="1"/>
      <c r="H1663" s="1"/>
    </row>
    <row r="1664" spans="1:8" ht="12.5">
      <c r="A1664" s="1"/>
      <c r="B1664" s="1"/>
      <c r="C1664" s="1"/>
      <c r="D1664" s="1"/>
      <c r="E1664" s="1"/>
      <c r="F1664" s="1"/>
      <c r="G1664" s="1"/>
      <c r="H1664" s="1"/>
    </row>
    <row r="1665" spans="1:8" ht="12.5">
      <c r="A1665" s="1"/>
      <c r="B1665" s="1"/>
      <c r="C1665" s="1"/>
      <c r="D1665" s="1"/>
      <c r="E1665" s="1"/>
      <c r="F1665" s="1"/>
      <c r="G1665" s="1"/>
      <c r="H1665" s="1"/>
    </row>
    <row r="1666" spans="1:8" ht="12.5">
      <c r="A1666" s="1"/>
      <c r="B1666" s="1"/>
      <c r="C1666" s="1"/>
      <c r="D1666" s="1"/>
      <c r="E1666" s="1"/>
      <c r="F1666" s="1"/>
      <c r="G1666" s="1"/>
      <c r="H1666" s="1"/>
    </row>
    <row r="1667" spans="1:8" ht="12.5">
      <c r="A1667" s="1"/>
      <c r="B1667" s="1"/>
      <c r="C1667" s="1"/>
      <c r="D1667" s="1"/>
      <c r="E1667" s="1"/>
      <c r="F1667" s="1"/>
      <c r="G1667" s="1"/>
      <c r="H1667" s="1"/>
    </row>
    <row r="1668" spans="1:8" ht="12.5">
      <c r="A1668" s="1"/>
      <c r="B1668" s="1"/>
      <c r="C1668" s="1"/>
      <c r="D1668" s="1"/>
      <c r="E1668" s="1"/>
      <c r="F1668" s="1"/>
      <c r="G1668" s="1"/>
      <c r="H1668" s="1"/>
    </row>
    <row r="1669" spans="1:8" ht="12.5">
      <c r="A1669" s="1"/>
      <c r="B1669" s="1"/>
      <c r="C1669" s="1"/>
      <c r="D1669" s="1"/>
      <c r="E1669" s="1"/>
      <c r="F1669" s="1"/>
      <c r="G1669" s="1"/>
      <c r="H1669" s="1"/>
    </row>
    <row r="1670" spans="1:8" ht="12.5">
      <c r="A1670" s="1"/>
      <c r="B1670" s="1"/>
      <c r="C1670" s="1"/>
      <c r="D1670" s="1"/>
      <c r="E1670" s="1"/>
      <c r="F1670" s="1"/>
      <c r="G1670" s="1"/>
      <c r="H1670" s="1"/>
    </row>
    <row r="1671" spans="1:8" ht="12.5">
      <c r="A1671" s="1"/>
      <c r="B1671" s="1"/>
      <c r="C1671" s="1"/>
      <c r="D1671" s="1"/>
      <c r="E1671" s="1"/>
      <c r="F1671" s="1"/>
      <c r="G1671" s="1"/>
      <c r="H1671" s="1"/>
    </row>
    <row r="1672" spans="1:8" ht="12.5">
      <c r="A1672" s="1"/>
      <c r="B1672" s="1"/>
      <c r="C1672" s="1"/>
      <c r="D1672" s="1"/>
      <c r="E1672" s="1"/>
      <c r="F1672" s="1"/>
      <c r="G1672" s="1"/>
      <c r="H1672" s="1"/>
    </row>
    <row r="1673" spans="1:8" ht="12.5">
      <c r="A1673" s="1"/>
      <c r="B1673" s="1"/>
      <c r="C1673" s="1"/>
      <c r="D1673" s="1"/>
      <c r="E1673" s="1"/>
      <c r="F1673" s="1"/>
      <c r="G1673" s="1"/>
      <c r="H1673" s="1"/>
    </row>
    <row r="1674" spans="1:8" ht="12.5">
      <c r="A1674" s="1"/>
      <c r="B1674" s="1"/>
      <c r="C1674" s="1"/>
      <c r="D1674" s="1"/>
      <c r="E1674" s="1"/>
      <c r="F1674" s="1"/>
      <c r="G1674" s="1"/>
      <c r="H1674" s="1"/>
    </row>
    <row r="1675" spans="1:8" ht="12.5">
      <c r="A1675" s="1"/>
      <c r="B1675" s="1"/>
      <c r="C1675" s="1"/>
      <c r="D1675" s="1"/>
      <c r="E1675" s="1"/>
      <c r="F1675" s="1"/>
      <c r="G1675" s="1"/>
      <c r="H1675" s="1"/>
    </row>
    <row r="1676" spans="1:8" ht="12.5">
      <c r="A1676" s="1"/>
      <c r="B1676" s="1"/>
      <c r="C1676" s="1"/>
      <c r="D1676" s="1"/>
      <c r="E1676" s="1"/>
      <c r="F1676" s="1"/>
      <c r="G1676" s="1"/>
      <c r="H1676" s="1"/>
    </row>
    <row r="1677" spans="1:8" ht="12.5">
      <c r="A1677" s="1"/>
      <c r="B1677" s="1"/>
      <c r="C1677" s="1"/>
      <c r="D1677" s="1"/>
      <c r="E1677" s="1"/>
      <c r="F1677" s="1"/>
      <c r="G1677" s="1"/>
      <c r="H1677" s="1"/>
    </row>
    <row r="1678" spans="1:8" ht="12.5">
      <c r="A1678" s="1"/>
      <c r="B1678" s="1"/>
      <c r="C1678" s="1"/>
      <c r="D1678" s="1"/>
      <c r="E1678" s="1"/>
      <c r="F1678" s="1"/>
      <c r="G1678" s="1"/>
      <c r="H1678" s="1"/>
    </row>
    <row r="1679" spans="1:8" ht="12.5">
      <c r="A1679" s="1"/>
      <c r="B1679" s="1"/>
      <c r="C1679" s="1"/>
      <c r="D1679" s="1"/>
      <c r="E1679" s="1"/>
      <c r="F1679" s="1"/>
      <c r="G1679" s="1"/>
      <c r="H1679" s="1"/>
    </row>
    <row r="1680" spans="1:8" ht="12.5">
      <c r="A1680" s="1"/>
      <c r="B1680" s="1"/>
      <c r="C1680" s="1"/>
      <c r="D1680" s="1"/>
      <c r="E1680" s="1"/>
      <c r="F1680" s="1"/>
      <c r="G1680" s="1"/>
      <c r="H1680" s="1"/>
    </row>
    <row r="1681" spans="1:8" ht="12.5">
      <c r="A1681" s="1"/>
      <c r="B1681" s="1"/>
      <c r="C1681" s="1"/>
      <c r="D1681" s="1"/>
      <c r="E1681" s="1"/>
      <c r="F1681" s="1"/>
      <c r="G1681" s="1"/>
      <c r="H1681" s="1"/>
    </row>
    <row r="1682" spans="1:8" ht="12.5">
      <c r="A1682" s="1"/>
      <c r="B1682" s="1"/>
      <c r="C1682" s="1"/>
      <c r="D1682" s="1"/>
      <c r="E1682" s="1"/>
      <c r="F1682" s="1"/>
      <c r="G1682" s="1"/>
      <c r="H1682" s="1"/>
    </row>
    <row r="1683" spans="1:8" ht="12.5">
      <c r="A1683" s="1"/>
      <c r="B1683" s="1"/>
      <c r="C1683" s="1"/>
      <c r="D1683" s="1"/>
      <c r="E1683" s="1"/>
      <c r="F1683" s="1"/>
      <c r="G1683" s="1"/>
      <c r="H1683" s="1"/>
    </row>
    <row r="1684" spans="1:8" ht="12.5">
      <c r="A1684" s="1"/>
      <c r="B1684" s="1"/>
      <c r="C1684" s="1"/>
      <c r="D1684" s="1"/>
      <c r="E1684" s="1"/>
      <c r="F1684" s="1"/>
      <c r="G1684" s="1"/>
      <c r="H1684" s="1"/>
    </row>
    <row r="1685" spans="1:8" ht="12.5">
      <c r="A1685" s="1"/>
      <c r="B1685" s="1"/>
      <c r="C1685" s="1"/>
      <c r="D1685" s="1"/>
      <c r="E1685" s="1"/>
      <c r="F1685" s="1"/>
      <c r="G1685" s="1"/>
      <c r="H1685" s="1"/>
    </row>
    <row r="1686" spans="1:8" ht="12.5">
      <c r="A1686" s="1"/>
      <c r="B1686" s="1"/>
      <c r="C1686" s="1"/>
      <c r="D1686" s="1"/>
      <c r="E1686" s="1"/>
      <c r="F1686" s="1"/>
      <c r="G1686" s="1"/>
      <c r="H1686" s="1"/>
    </row>
    <row r="1687" spans="1:8" ht="12.5">
      <c r="A1687" s="1"/>
      <c r="B1687" s="1"/>
      <c r="C1687" s="1"/>
      <c r="D1687" s="1"/>
      <c r="E1687" s="1"/>
      <c r="F1687" s="1"/>
      <c r="G1687" s="1"/>
      <c r="H1687" s="1"/>
    </row>
    <row r="1688" spans="1:8" ht="12.5">
      <c r="A1688" s="1"/>
      <c r="B1688" s="1"/>
      <c r="C1688" s="1"/>
      <c r="D1688" s="1"/>
      <c r="E1688" s="1"/>
      <c r="F1688" s="1"/>
      <c r="G1688" s="1"/>
      <c r="H1688" s="1"/>
    </row>
    <row r="1689" spans="1:8" ht="12.5">
      <c r="A1689" s="1"/>
      <c r="B1689" s="1"/>
      <c r="C1689" s="1"/>
      <c r="D1689" s="1"/>
      <c r="E1689" s="1"/>
      <c r="F1689" s="1"/>
      <c r="G1689" s="1"/>
      <c r="H1689" s="1"/>
    </row>
    <row r="1690" spans="1:8" ht="12.5">
      <c r="A1690" s="1"/>
      <c r="B1690" s="1"/>
      <c r="C1690" s="1"/>
      <c r="D1690" s="1"/>
      <c r="E1690" s="1"/>
      <c r="F1690" s="1"/>
      <c r="G1690" s="1"/>
      <c r="H1690" s="1"/>
    </row>
    <row r="1691" spans="1:8" ht="12.5">
      <c r="A1691" s="1"/>
      <c r="B1691" s="1"/>
      <c r="C1691" s="1"/>
      <c r="D1691" s="1"/>
      <c r="E1691" s="1"/>
      <c r="F1691" s="1"/>
      <c r="G1691" s="1"/>
      <c r="H1691" s="1"/>
    </row>
    <row r="1692" spans="1:8" ht="12.5">
      <c r="A1692" s="1"/>
      <c r="B1692" s="1"/>
      <c r="C1692" s="1"/>
      <c r="D1692" s="1"/>
      <c r="E1692" s="1"/>
      <c r="F1692" s="1"/>
      <c r="G1692" s="1"/>
      <c r="H1692" s="1"/>
    </row>
    <row r="1693" spans="1:8" ht="12.5">
      <c r="A1693" s="1"/>
      <c r="B1693" s="1"/>
      <c r="C1693" s="1"/>
      <c r="D1693" s="1"/>
      <c r="E1693" s="1"/>
      <c r="F1693" s="1"/>
      <c r="G1693" s="1"/>
      <c r="H1693" s="1"/>
    </row>
    <row r="1694" spans="1:8" ht="12.5">
      <c r="A1694" s="1"/>
      <c r="B1694" s="1"/>
      <c r="C1694" s="1"/>
      <c r="D1694" s="1"/>
      <c r="E1694" s="1"/>
      <c r="F1694" s="1"/>
      <c r="G1694" s="1"/>
      <c r="H1694" s="1"/>
    </row>
    <row r="1695" spans="1:8" ht="12.5">
      <c r="A1695" s="1"/>
      <c r="B1695" s="1"/>
      <c r="C1695" s="1"/>
      <c r="D1695" s="1"/>
      <c r="E1695" s="1"/>
      <c r="F1695" s="1"/>
      <c r="G1695" s="1"/>
      <c r="H1695" s="1"/>
    </row>
    <row r="1696" spans="1:8" ht="12.5">
      <c r="A1696" s="1"/>
      <c r="B1696" s="1"/>
      <c r="C1696" s="1"/>
      <c r="D1696" s="1"/>
      <c r="E1696" s="1"/>
      <c r="F1696" s="1"/>
      <c r="G1696" s="1"/>
      <c r="H1696" s="1"/>
    </row>
    <row r="1697" spans="1:8" ht="12.5">
      <c r="A1697" s="1"/>
      <c r="B1697" s="1"/>
      <c r="C1697" s="1"/>
      <c r="D1697" s="1"/>
      <c r="E1697" s="1"/>
      <c r="F1697" s="1"/>
      <c r="G1697" s="1"/>
      <c r="H1697" s="1"/>
    </row>
    <row r="1698" spans="1:8" ht="12.5">
      <c r="A1698" s="1"/>
      <c r="B1698" s="1"/>
      <c r="C1698" s="1"/>
      <c r="D1698" s="1"/>
      <c r="E1698" s="1"/>
      <c r="F1698" s="1"/>
      <c r="G1698" s="1"/>
      <c r="H1698" s="1"/>
    </row>
    <row r="1699" spans="1:8" ht="12.5">
      <c r="A1699" s="1"/>
      <c r="B1699" s="1"/>
      <c r="C1699" s="1"/>
      <c r="D1699" s="1"/>
      <c r="E1699" s="1"/>
      <c r="F1699" s="1"/>
      <c r="G1699" s="1"/>
      <c r="H1699" s="1"/>
    </row>
    <row r="1700" spans="1:8" ht="12.5">
      <c r="A1700" s="1"/>
      <c r="B1700" s="1"/>
      <c r="C1700" s="1"/>
      <c r="D1700" s="1"/>
      <c r="E1700" s="1"/>
      <c r="F1700" s="1"/>
      <c r="G1700" s="1"/>
      <c r="H1700" s="1"/>
    </row>
    <row r="1701" spans="1:8" ht="12.5">
      <c r="A1701" s="1"/>
      <c r="B1701" s="1"/>
      <c r="C1701" s="1"/>
      <c r="D1701" s="1"/>
      <c r="E1701" s="1"/>
      <c r="F1701" s="1"/>
      <c r="G1701" s="1"/>
      <c r="H1701" s="1"/>
    </row>
    <row r="1702" spans="1:8" ht="12.5">
      <c r="A1702" s="1"/>
      <c r="B1702" s="1"/>
      <c r="C1702" s="1"/>
      <c r="D1702" s="1"/>
      <c r="E1702" s="1"/>
      <c r="F1702" s="1"/>
      <c r="G1702" s="1"/>
      <c r="H1702" s="1"/>
    </row>
    <row r="1703" spans="1:8" ht="12.5">
      <c r="A1703" s="1"/>
      <c r="B1703" s="1"/>
      <c r="C1703" s="1"/>
      <c r="D1703" s="1"/>
      <c r="E1703" s="1"/>
      <c r="F1703" s="1"/>
      <c r="G1703" s="1"/>
      <c r="H1703" s="1"/>
    </row>
    <row r="1704" spans="1:8" ht="12.5">
      <c r="A1704" s="1"/>
      <c r="B1704" s="1"/>
      <c r="C1704" s="1"/>
      <c r="D1704" s="1"/>
      <c r="E1704" s="1"/>
      <c r="F1704" s="1"/>
      <c r="G1704" s="1"/>
      <c r="H1704" s="1"/>
    </row>
    <row r="1705" spans="1:8" ht="12.5">
      <c r="A1705" s="1"/>
      <c r="B1705" s="1"/>
      <c r="C1705" s="1"/>
      <c r="D1705" s="1"/>
      <c r="E1705" s="1"/>
      <c r="F1705" s="1"/>
      <c r="G1705" s="1"/>
      <c r="H1705" s="1"/>
    </row>
    <row r="1706" spans="1:8" ht="12.5">
      <c r="A1706" s="1"/>
      <c r="B1706" s="1"/>
      <c r="C1706" s="1"/>
      <c r="D1706" s="1"/>
      <c r="E1706" s="1"/>
      <c r="F1706" s="1"/>
      <c r="G1706" s="1"/>
      <c r="H1706" s="1"/>
    </row>
    <row r="1707" spans="1:8" ht="12.5">
      <c r="A1707" s="1"/>
      <c r="B1707" s="1"/>
      <c r="C1707" s="1"/>
      <c r="D1707" s="1"/>
      <c r="E1707" s="1"/>
      <c r="F1707" s="1"/>
      <c r="G1707" s="1"/>
      <c r="H1707" s="1"/>
    </row>
    <row r="1708" spans="1:8" ht="12.5">
      <c r="A1708" s="1"/>
      <c r="B1708" s="1"/>
      <c r="C1708" s="1"/>
      <c r="D1708" s="1"/>
      <c r="E1708" s="1"/>
      <c r="F1708" s="1"/>
      <c r="G1708" s="1"/>
      <c r="H1708" s="1"/>
    </row>
    <row r="1709" spans="1:8" ht="12.5">
      <c r="A1709" s="1"/>
      <c r="B1709" s="1"/>
      <c r="C1709" s="1"/>
      <c r="D1709" s="1"/>
      <c r="E1709" s="1"/>
      <c r="F1709" s="1"/>
      <c r="G1709" s="1"/>
      <c r="H1709" s="1"/>
    </row>
    <row r="1710" spans="1:8" ht="12.5">
      <c r="A1710" s="1"/>
      <c r="B1710" s="1"/>
      <c r="C1710" s="1"/>
      <c r="D1710" s="1"/>
      <c r="E1710" s="1"/>
      <c r="F1710" s="1"/>
      <c r="G1710" s="1"/>
      <c r="H1710" s="1"/>
    </row>
    <row r="1711" spans="1:8" ht="12.5">
      <c r="A1711" s="1"/>
      <c r="B1711" s="1"/>
      <c r="C1711" s="1"/>
      <c r="D1711" s="1"/>
      <c r="E1711" s="1"/>
      <c r="F1711" s="1"/>
      <c r="G1711" s="1"/>
      <c r="H1711" s="1"/>
    </row>
    <row r="1712" spans="1:8" ht="12.5">
      <c r="A1712" s="1"/>
      <c r="B1712" s="1"/>
      <c r="C1712" s="1"/>
      <c r="D1712" s="1"/>
      <c r="E1712" s="1"/>
      <c r="F1712" s="1"/>
      <c r="G1712" s="1"/>
      <c r="H1712" s="1"/>
    </row>
    <row r="1713" spans="1:8" ht="12.5">
      <c r="A1713" s="1"/>
      <c r="B1713" s="1"/>
      <c r="C1713" s="1"/>
      <c r="D1713" s="1"/>
      <c r="E1713" s="1"/>
      <c r="F1713" s="1"/>
      <c r="G1713" s="1"/>
      <c r="H1713" s="1"/>
    </row>
    <row r="1714" spans="1:8" ht="12.5">
      <c r="A1714" s="1"/>
      <c r="B1714" s="1"/>
      <c r="C1714" s="1"/>
      <c r="D1714" s="1"/>
      <c r="E1714" s="1"/>
      <c r="F1714" s="1"/>
      <c r="G1714" s="1"/>
      <c r="H1714" s="1"/>
    </row>
    <row r="1715" spans="1:8" ht="12.5">
      <c r="A1715" s="1"/>
      <c r="B1715" s="1"/>
      <c r="C1715" s="1"/>
      <c r="D1715" s="1"/>
      <c r="E1715" s="1"/>
      <c r="F1715" s="1"/>
      <c r="G1715" s="1"/>
      <c r="H1715" s="1"/>
    </row>
    <row r="1716" spans="1:8" ht="12.5">
      <c r="A1716" s="1"/>
      <c r="B1716" s="1"/>
      <c r="C1716" s="1"/>
      <c r="D1716" s="1"/>
      <c r="E1716" s="1"/>
      <c r="F1716" s="1"/>
      <c r="G1716" s="1"/>
      <c r="H1716" s="1"/>
    </row>
    <row r="1717" spans="1:8" ht="12.5">
      <c r="A1717" s="1"/>
      <c r="B1717" s="1"/>
      <c r="C1717" s="1"/>
      <c r="D1717" s="1"/>
      <c r="E1717" s="1"/>
      <c r="F1717" s="1"/>
      <c r="G1717" s="1"/>
      <c r="H1717" s="1"/>
    </row>
    <row r="1718" spans="1:8" ht="12.5">
      <c r="A1718" s="1"/>
      <c r="B1718" s="1"/>
      <c r="C1718" s="1"/>
      <c r="D1718" s="1"/>
      <c r="E1718" s="1"/>
      <c r="F1718" s="1"/>
      <c r="G1718" s="1"/>
      <c r="H1718" s="1"/>
    </row>
    <row r="1719" spans="1:8" ht="12.5">
      <c r="A1719" s="1"/>
      <c r="B1719" s="1"/>
      <c r="C1719" s="1"/>
      <c r="D1719" s="1"/>
      <c r="E1719" s="1"/>
      <c r="F1719" s="1"/>
      <c r="G1719" s="1"/>
      <c r="H1719" s="1"/>
    </row>
    <row r="1720" spans="1:8" ht="12.5">
      <c r="A1720" s="1"/>
      <c r="B1720" s="1"/>
      <c r="C1720" s="1"/>
      <c r="D1720" s="1"/>
      <c r="E1720" s="1"/>
      <c r="F1720" s="1"/>
      <c r="G1720" s="1"/>
      <c r="H1720" s="1"/>
    </row>
    <row r="1721" spans="1:8" ht="12.5">
      <c r="A1721" s="1"/>
      <c r="B1721" s="1"/>
      <c r="C1721" s="1"/>
      <c r="D1721" s="1"/>
      <c r="E1721" s="1"/>
      <c r="F1721" s="1"/>
      <c r="G1721" s="1"/>
      <c r="H1721" s="1"/>
    </row>
    <row r="1722" spans="1:8" ht="12.5">
      <c r="A1722" s="1"/>
      <c r="B1722" s="1"/>
      <c r="C1722" s="1"/>
      <c r="D1722" s="1"/>
      <c r="E1722" s="1"/>
      <c r="F1722" s="1"/>
      <c r="G1722" s="1"/>
      <c r="H1722" s="1"/>
    </row>
    <row r="1723" spans="1:8" ht="12.5">
      <c r="A1723" s="1"/>
      <c r="B1723" s="1"/>
      <c r="C1723" s="1"/>
      <c r="D1723" s="1"/>
      <c r="E1723" s="1"/>
      <c r="F1723" s="1"/>
      <c r="G1723" s="1"/>
      <c r="H1723" s="1"/>
    </row>
    <row r="1724" spans="1:8" ht="12.5">
      <c r="A1724" s="1"/>
      <c r="B1724" s="1"/>
      <c r="C1724" s="1"/>
      <c r="D1724" s="1"/>
      <c r="E1724" s="1"/>
      <c r="F1724" s="1"/>
      <c r="G1724" s="1"/>
      <c r="H1724" s="1"/>
    </row>
    <row r="1725" spans="1:8" ht="12.5">
      <c r="A1725" s="1"/>
      <c r="B1725" s="1"/>
      <c r="C1725" s="1"/>
      <c r="D1725" s="1"/>
      <c r="E1725" s="1"/>
      <c r="F1725" s="1"/>
      <c r="G1725" s="1"/>
      <c r="H1725" s="1"/>
    </row>
    <row r="1726" spans="1:8" ht="12.5">
      <c r="A1726" s="1"/>
      <c r="B1726" s="1"/>
      <c r="C1726" s="1"/>
      <c r="D1726" s="1"/>
      <c r="E1726" s="1"/>
      <c r="F1726" s="1"/>
      <c r="G1726" s="1"/>
      <c r="H1726" s="1"/>
    </row>
    <row r="1727" spans="1:8" ht="12.5">
      <c r="A1727" s="1"/>
      <c r="B1727" s="1"/>
      <c r="C1727" s="1"/>
      <c r="D1727" s="1"/>
      <c r="E1727" s="1"/>
      <c r="F1727" s="1"/>
      <c r="G1727" s="1"/>
      <c r="H1727" s="1"/>
    </row>
    <row r="1728" spans="1:8" ht="12.5">
      <c r="A1728" s="1"/>
      <c r="B1728" s="1"/>
      <c r="C1728" s="1"/>
      <c r="D1728" s="1"/>
      <c r="E1728" s="1"/>
      <c r="F1728" s="1"/>
      <c r="G1728" s="1"/>
      <c r="H1728" s="1"/>
    </row>
    <row r="1729" spans="1:8" ht="12.5">
      <c r="A1729" s="1"/>
      <c r="B1729" s="1"/>
      <c r="C1729" s="1"/>
      <c r="D1729" s="1"/>
      <c r="E1729" s="1"/>
      <c r="F1729" s="1"/>
      <c r="G1729" s="1"/>
      <c r="H1729" s="1"/>
    </row>
    <row r="1730" spans="1:8" ht="12.5">
      <c r="A1730" s="1"/>
      <c r="B1730" s="1"/>
      <c r="C1730" s="1"/>
      <c r="D1730" s="1"/>
      <c r="E1730" s="1"/>
      <c r="F1730" s="1"/>
      <c r="G1730" s="1"/>
      <c r="H1730" s="1"/>
    </row>
    <row r="1731" spans="1:8" ht="12.5">
      <c r="A1731" s="1"/>
      <c r="B1731" s="1"/>
      <c r="C1731" s="1"/>
      <c r="D1731" s="1"/>
      <c r="E1731" s="1"/>
      <c r="F1731" s="1"/>
      <c r="G1731" s="1"/>
      <c r="H1731" s="1"/>
    </row>
    <row r="1732" spans="1:8" ht="12.5">
      <c r="A1732" s="1"/>
      <c r="B1732" s="1"/>
      <c r="C1732" s="1"/>
      <c r="D1732" s="1"/>
      <c r="E1732" s="1"/>
      <c r="F1732" s="1"/>
      <c r="G1732" s="1"/>
      <c r="H1732" s="1"/>
    </row>
    <row r="1733" spans="1:8" ht="12.5">
      <c r="A1733" s="1"/>
      <c r="B1733" s="1"/>
      <c r="C1733" s="1"/>
      <c r="D1733" s="1"/>
      <c r="E1733" s="1"/>
      <c r="F1733" s="1"/>
      <c r="G1733" s="1"/>
      <c r="H1733" s="1"/>
    </row>
    <row r="1734" spans="1:8" ht="12.5">
      <c r="A1734" s="1"/>
      <c r="B1734" s="1"/>
      <c r="C1734" s="1"/>
      <c r="D1734" s="1"/>
      <c r="E1734" s="1"/>
      <c r="F1734" s="1"/>
      <c r="G1734" s="1"/>
      <c r="H1734" s="1"/>
    </row>
    <row r="1735" spans="1:8" ht="12.5">
      <c r="A1735" s="1"/>
      <c r="B1735" s="1"/>
      <c r="C1735" s="1"/>
      <c r="D1735" s="1"/>
      <c r="E1735" s="1"/>
      <c r="F1735" s="1"/>
      <c r="G1735" s="1"/>
      <c r="H1735" s="1"/>
    </row>
    <row r="1736" spans="1:8" ht="12.5">
      <c r="A1736" s="1"/>
      <c r="B1736" s="1"/>
      <c r="C1736" s="1"/>
      <c r="D1736" s="1"/>
      <c r="E1736" s="1"/>
      <c r="F1736" s="1"/>
      <c r="G1736" s="1"/>
      <c r="H1736" s="1"/>
    </row>
    <row r="1737" spans="1:8" ht="12.5">
      <c r="A1737" s="1"/>
      <c r="B1737" s="1"/>
      <c r="C1737" s="1"/>
      <c r="D1737" s="1"/>
      <c r="E1737" s="1"/>
      <c r="F1737" s="1"/>
      <c r="G1737" s="1"/>
      <c r="H1737" s="1"/>
    </row>
    <row r="1738" spans="1:8" ht="12.5">
      <c r="A1738" s="1"/>
      <c r="B1738" s="1"/>
      <c r="C1738" s="1"/>
      <c r="D1738" s="1"/>
      <c r="E1738" s="1"/>
      <c r="F1738" s="1"/>
      <c r="G1738" s="1"/>
      <c r="H1738" s="1"/>
    </row>
    <row r="1739" spans="1:8" ht="12.5">
      <c r="A1739" s="1"/>
      <c r="B1739" s="1"/>
      <c r="C1739" s="1"/>
      <c r="D1739" s="1"/>
      <c r="E1739" s="1"/>
      <c r="F1739" s="1"/>
      <c r="G1739" s="1"/>
      <c r="H1739" s="1"/>
    </row>
    <row r="1740" spans="1:8" ht="12.5">
      <c r="A1740" s="1"/>
      <c r="B1740" s="1"/>
      <c r="C1740" s="1"/>
      <c r="D1740" s="1"/>
      <c r="E1740" s="1"/>
      <c r="F1740" s="1"/>
      <c r="G1740" s="1"/>
      <c r="H1740" s="1"/>
    </row>
    <row r="1741" spans="1:8" ht="12.5">
      <c r="A1741" s="1"/>
      <c r="B1741" s="1"/>
      <c r="C1741" s="1"/>
      <c r="D1741" s="1"/>
      <c r="E1741" s="1"/>
      <c r="F1741" s="1"/>
      <c r="G1741" s="1"/>
      <c r="H1741" s="1"/>
    </row>
    <row r="1742" spans="1:8" ht="12.5">
      <c r="A1742" s="1"/>
      <c r="B1742" s="1"/>
      <c r="C1742" s="1"/>
      <c r="D1742" s="1"/>
      <c r="E1742" s="1"/>
      <c r="F1742" s="1"/>
      <c r="G1742" s="1"/>
      <c r="H1742" s="1"/>
    </row>
    <row r="1743" spans="1:8" ht="12.5">
      <c r="A1743" s="1"/>
      <c r="B1743" s="1"/>
      <c r="C1743" s="1"/>
      <c r="D1743" s="1"/>
      <c r="E1743" s="1"/>
      <c r="F1743" s="1"/>
      <c r="G1743" s="1"/>
      <c r="H1743" s="1"/>
    </row>
    <row r="1744" spans="1:8" ht="12.5">
      <c r="A1744" s="1"/>
      <c r="B1744" s="1"/>
      <c r="C1744" s="1"/>
      <c r="D1744" s="1"/>
      <c r="E1744" s="1"/>
      <c r="F1744" s="1"/>
      <c r="G1744" s="1"/>
      <c r="H1744" s="1"/>
    </row>
    <row r="1745" spans="1:8" ht="12.5">
      <c r="A1745" s="1"/>
      <c r="B1745" s="1"/>
      <c r="C1745" s="1"/>
      <c r="D1745" s="1"/>
      <c r="E1745" s="1"/>
      <c r="F1745" s="1"/>
      <c r="G1745" s="1"/>
      <c r="H1745" s="1"/>
    </row>
    <row r="1746" spans="1:8" ht="12.5">
      <c r="A1746" s="1"/>
      <c r="B1746" s="1"/>
      <c r="C1746" s="1"/>
      <c r="D1746" s="1"/>
      <c r="E1746" s="1"/>
      <c r="F1746" s="1"/>
      <c r="G1746" s="1"/>
      <c r="H1746" s="1"/>
    </row>
    <row r="1747" spans="1:8" ht="12.5">
      <c r="A1747" s="1"/>
      <c r="B1747" s="1"/>
      <c r="C1747" s="1"/>
      <c r="D1747" s="1"/>
      <c r="E1747" s="1"/>
      <c r="F1747" s="1"/>
      <c r="G1747" s="1"/>
      <c r="H1747" s="1"/>
    </row>
    <row r="1748" spans="1:8" ht="12.5">
      <c r="A1748" s="1"/>
      <c r="B1748" s="1"/>
      <c r="C1748" s="1"/>
      <c r="D1748" s="1"/>
      <c r="E1748" s="1"/>
      <c r="F1748" s="1"/>
      <c r="G1748" s="1"/>
      <c r="H1748" s="1"/>
    </row>
    <row r="1749" spans="1:8" ht="12.5">
      <c r="A1749" s="1"/>
      <c r="B1749" s="1"/>
      <c r="C1749" s="1"/>
      <c r="D1749" s="1"/>
      <c r="E1749" s="1"/>
      <c r="F1749" s="1"/>
      <c r="G1749" s="1"/>
      <c r="H1749" s="1"/>
    </row>
    <row r="1750" spans="1:8" ht="12.5">
      <c r="A1750" s="1"/>
      <c r="B1750" s="1"/>
      <c r="C1750" s="1"/>
      <c r="D1750" s="1"/>
      <c r="E1750" s="1"/>
      <c r="F1750" s="1"/>
      <c r="G1750" s="1"/>
      <c r="H1750" s="1"/>
    </row>
    <row r="1751" spans="1:8" ht="12.5">
      <c r="A1751" s="1"/>
      <c r="B1751" s="1"/>
      <c r="C1751" s="1"/>
      <c r="D1751" s="1"/>
      <c r="E1751" s="1"/>
      <c r="F1751" s="1"/>
      <c r="G1751" s="1"/>
      <c r="H1751" s="1"/>
    </row>
    <row r="1752" spans="1:8" ht="12.5">
      <c r="A1752" s="1"/>
      <c r="B1752" s="1"/>
      <c r="C1752" s="1"/>
      <c r="D1752" s="1"/>
      <c r="E1752" s="1"/>
      <c r="F1752" s="1"/>
      <c r="G1752" s="1"/>
      <c r="H1752" s="1"/>
    </row>
    <row r="1753" spans="1:8" ht="12.5">
      <c r="A1753" s="1"/>
      <c r="B1753" s="1"/>
      <c r="C1753" s="1"/>
      <c r="D1753" s="1"/>
      <c r="E1753" s="1"/>
      <c r="F1753" s="1"/>
      <c r="G1753" s="1"/>
      <c r="H1753" s="1"/>
    </row>
    <row r="1754" spans="1:8" ht="12.5">
      <c r="A1754" s="1"/>
      <c r="B1754" s="1"/>
      <c r="C1754" s="1"/>
      <c r="D1754" s="1"/>
      <c r="E1754" s="1"/>
      <c r="F1754" s="1"/>
      <c r="G1754" s="1"/>
      <c r="H1754" s="1"/>
    </row>
    <row r="1755" spans="1:8" ht="12.5">
      <c r="A1755" s="1"/>
      <c r="B1755" s="1"/>
      <c r="C1755" s="1"/>
      <c r="D1755" s="1"/>
      <c r="E1755" s="1"/>
      <c r="F1755" s="1"/>
      <c r="G1755" s="1"/>
      <c r="H1755" s="1"/>
    </row>
    <row r="1756" spans="1:8" ht="12.5">
      <c r="A1756" s="1"/>
      <c r="B1756" s="1"/>
      <c r="C1756" s="1"/>
      <c r="D1756" s="1"/>
      <c r="E1756" s="1"/>
      <c r="F1756" s="1"/>
      <c r="G1756" s="1"/>
      <c r="H1756" s="1"/>
    </row>
    <row r="1757" spans="1:8" ht="12.5">
      <c r="A1757" s="1"/>
      <c r="B1757" s="1"/>
      <c r="C1757" s="1"/>
      <c r="D1757" s="1"/>
      <c r="E1757" s="1"/>
      <c r="F1757" s="1"/>
      <c r="G1757" s="1"/>
      <c r="H1757" s="1"/>
    </row>
    <row r="1758" spans="1:8" ht="12.5">
      <c r="A1758" s="1"/>
      <c r="B1758" s="1"/>
      <c r="C1758" s="1"/>
      <c r="D1758" s="1"/>
      <c r="E1758" s="1"/>
      <c r="F1758" s="1"/>
      <c r="G1758" s="1"/>
      <c r="H1758" s="1"/>
    </row>
    <row r="1759" spans="1:8" ht="12.5">
      <c r="A1759" s="1"/>
      <c r="B1759" s="1"/>
      <c r="C1759" s="1"/>
      <c r="D1759" s="1"/>
      <c r="E1759" s="1"/>
      <c r="F1759" s="1"/>
      <c r="G1759" s="1"/>
      <c r="H1759" s="1"/>
    </row>
    <row r="1760" spans="1:8" ht="12.5">
      <c r="A1760" s="1"/>
      <c r="B1760" s="1"/>
      <c r="C1760" s="1"/>
      <c r="D1760" s="1"/>
      <c r="E1760" s="1"/>
      <c r="F1760" s="1"/>
      <c r="G1760" s="1"/>
      <c r="H1760" s="1"/>
    </row>
    <row r="1761" spans="1:8" ht="12.5">
      <c r="A1761" s="1"/>
      <c r="B1761" s="1"/>
      <c r="C1761" s="1"/>
      <c r="D1761" s="1"/>
      <c r="E1761" s="1"/>
      <c r="F1761" s="1"/>
      <c r="G1761" s="1"/>
      <c r="H1761" s="1"/>
    </row>
    <row r="1762" spans="1:8" ht="12.5">
      <c r="A1762" s="1"/>
      <c r="B1762" s="1"/>
      <c r="C1762" s="1"/>
      <c r="D1762" s="1"/>
      <c r="E1762" s="1"/>
      <c r="F1762" s="1"/>
      <c r="G1762" s="1"/>
      <c r="H1762" s="1"/>
    </row>
    <row r="1763" spans="1:8" ht="12.5">
      <c r="A1763" s="1"/>
      <c r="B1763" s="1"/>
      <c r="C1763" s="1"/>
      <c r="D1763" s="1"/>
      <c r="E1763" s="1"/>
      <c r="F1763" s="1"/>
      <c r="G1763" s="1"/>
      <c r="H1763" s="1"/>
    </row>
    <row r="1764" spans="1:8" ht="12.5">
      <c r="A1764" s="1"/>
      <c r="B1764" s="1"/>
      <c r="C1764" s="1"/>
      <c r="D1764" s="1"/>
      <c r="E1764" s="1"/>
      <c r="F1764" s="1"/>
      <c r="G1764" s="1"/>
      <c r="H1764" s="1"/>
    </row>
    <row r="1765" spans="1:8" ht="12.5">
      <c r="A1765" s="1"/>
      <c r="B1765" s="1"/>
      <c r="C1765" s="1"/>
      <c r="D1765" s="1"/>
      <c r="E1765" s="1"/>
      <c r="F1765" s="1"/>
      <c r="G1765" s="1"/>
      <c r="H1765" s="1"/>
    </row>
    <row r="1766" spans="1:8" ht="12.5">
      <c r="A1766" s="1"/>
      <c r="B1766" s="1"/>
      <c r="C1766" s="1"/>
      <c r="D1766" s="1"/>
      <c r="E1766" s="1"/>
      <c r="F1766" s="1"/>
      <c r="G1766" s="1"/>
      <c r="H1766" s="1"/>
    </row>
    <row r="1767" spans="1:8" ht="12.5">
      <c r="A1767" s="1"/>
      <c r="B1767" s="1"/>
      <c r="C1767" s="1"/>
      <c r="D1767" s="1"/>
      <c r="E1767" s="1"/>
      <c r="F1767" s="1"/>
      <c r="G1767" s="1"/>
      <c r="H1767" s="1"/>
    </row>
    <row r="1768" spans="1:8" ht="12.5">
      <c r="A1768" s="1"/>
      <c r="B1768" s="1"/>
      <c r="C1768" s="1"/>
      <c r="D1768" s="1"/>
      <c r="E1768" s="1"/>
      <c r="F1768" s="1"/>
      <c r="G1768" s="1"/>
      <c r="H1768" s="1"/>
    </row>
    <row r="1769" spans="1:8" ht="12.5">
      <c r="A1769" s="1"/>
      <c r="B1769" s="1"/>
      <c r="C1769" s="1"/>
      <c r="D1769" s="1"/>
      <c r="E1769" s="1"/>
      <c r="F1769" s="1"/>
      <c r="G1769" s="1"/>
      <c r="H1769" s="1"/>
    </row>
    <row r="1770" spans="1:8" ht="12.5">
      <c r="A1770" s="1"/>
      <c r="B1770" s="1"/>
      <c r="C1770" s="1"/>
      <c r="D1770" s="1"/>
      <c r="E1770" s="1"/>
      <c r="F1770" s="1"/>
      <c r="G1770" s="1"/>
      <c r="H1770" s="1"/>
    </row>
    <row r="1771" spans="1:8" ht="12.5">
      <c r="A1771" s="1"/>
      <c r="B1771" s="1"/>
      <c r="C1771" s="1"/>
      <c r="D1771" s="1"/>
      <c r="E1771" s="1"/>
      <c r="F1771" s="1"/>
      <c r="G1771" s="1"/>
      <c r="H1771" s="1"/>
    </row>
    <row r="1772" spans="1:8" ht="12.5">
      <c r="A1772" s="1"/>
      <c r="B1772" s="1"/>
      <c r="C1772" s="1"/>
      <c r="D1772" s="1"/>
      <c r="E1772" s="1"/>
      <c r="F1772" s="1"/>
      <c r="G1772" s="1"/>
      <c r="H1772" s="1"/>
    </row>
    <row r="1773" spans="1:8" ht="12.5">
      <c r="A1773" s="1"/>
      <c r="B1773" s="1"/>
      <c r="C1773" s="1"/>
      <c r="D1773" s="1"/>
      <c r="E1773" s="1"/>
      <c r="F1773" s="1"/>
      <c r="G1773" s="1"/>
      <c r="H1773" s="1"/>
    </row>
    <row r="1774" spans="1:8" ht="12.5">
      <c r="A1774" s="1"/>
      <c r="B1774" s="1"/>
      <c r="C1774" s="1"/>
      <c r="D1774" s="1"/>
      <c r="E1774" s="1"/>
      <c r="F1774" s="1"/>
      <c r="G1774" s="1"/>
      <c r="H1774" s="1"/>
    </row>
    <row r="1775" spans="1:8" ht="12.5">
      <c r="A1775" s="1"/>
      <c r="B1775" s="1"/>
      <c r="C1775" s="1"/>
      <c r="D1775" s="1"/>
      <c r="E1775" s="1"/>
      <c r="F1775" s="1"/>
      <c r="G1775" s="1"/>
      <c r="H1775" s="1"/>
    </row>
    <row r="1776" spans="1:8" ht="12.5">
      <c r="A1776" s="1"/>
      <c r="B1776" s="1"/>
      <c r="C1776" s="1"/>
      <c r="D1776" s="1"/>
      <c r="E1776" s="1"/>
      <c r="F1776" s="1"/>
      <c r="G1776" s="1"/>
      <c r="H1776" s="1"/>
    </row>
    <row r="1777" spans="1:8" ht="12.5">
      <c r="A1777" s="1"/>
      <c r="B1777" s="1"/>
      <c r="C1777" s="1"/>
      <c r="D1777" s="1"/>
      <c r="E1777" s="1"/>
      <c r="F1777" s="1"/>
      <c r="G1777" s="1"/>
      <c r="H1777" s="1"/>
    </row>
    <row r="1778" spans="1:8" ht="12.5">
      <c r="A1778" s="1"/>
      <c r="B1778" s="1"/>
      <c r="C1778" s="1"/>
      <c r="D1778" s="1"/>
      <c r="E1778" s="1"/>
      <c r="F1778" s="1"/>
      <c r="G1778" s="1"/>
      <c r="H1778" s="1"/>
    </row>
    <row r="1779" spans="1:8" ht="12.5">
      <c r="A1779" s="1"/>
      <c r="B1779" s="1"/>
      <c r="C1779" s="1"/>
      <c r="D1779" s="1"/>
      <c r="E1779" s="1"/>
      <c r="F1779" s="1"/>
      <c r="G1779" s="1"/>
      <c r="H1779" s="1"/>
    </row>
    <row r="1780" spans="1:8" ht="12.5">
      <c r="A1780" s="1"/>
      <c r="B1780" s="1"/>
      <c r="C1780" s="1"/>
      <c r="D1780" s="1"/>
      <c r="E1780" s="1"/>
      <c r="F1780" s="1"/>
      <c r="G1780" s="1"/>
      <c r="H1780" s="1"/>
    </row>
    <row r="1781" spans="1:8" ht="12.5">
      <c r="A1781" s="1"/>
      <c r="B1781" s="1"/>
      <c r="C1781" s="1"/>
      <c r="D1781" s="1"/>
      <c r="E1781" s="1"/>
      <c r="F1781" s="1"/>
      <c r="G1781" s="1"/>
      <c r="H1781" s="1"/>
    </row>
    <row r="1782" spans="1:8" ht="12.5">
      <c r="A1782" s="1"/>
      <c r="B1782" s="1"/>
      <c r="C1782" s="1"/>
      <c r="D1782" s="1"/>
      <c r="E1782" s="1"/>
      <c r="F1782" s="1"/>
      <c r="G1782" s="1"/>
      <c r="H1782" s="1"/>
    </row>
    <row r="1783" spans="1:8" ht="12.5">
      <c r="A1783" s="1"/>
      <c r="B1783" s="1"/>
      <c r="C1783" s="1"/>
      <c r="D1783" s="1"/>
      <c r="E1783" s="1"/>
      <c r="F1783" s="1"/>
      <c r="G1783" s="1"/>
      <c r="H1783" s="1"/>
    </row>
    <row r="1784" spans="1:8" ht="12.5">
      <c r="A1784" s="1"/>
      <c r="B1784" s="1"/>
      <c r="C1784" s="1"/>
      <c r="D1784" s="1"/>
      <c r="E1784" s="1"/>
      <c r="F1784" s="1"/>
      <c r="G1784" s="1"/>
      <c r="H1784" s="1"/>
    </row>
    <row r="1785" spans="1:8" ht="12.5">
      <c r="A1785" s="1"/>
      <c r="B1785" s="1"/>
      <c r="C1785" s="1"/>
      <c r="D1785" s="1"/>
      <c r="E1785" s="1"/>
      <c r="F1785" s="1"/>
      <c r="G1785" s="1"/>
      <c r="H1785" s="1"/>
    </row>
    <row r="1786" spans="1:8" ht="12.5">
      <c r="A1786" s="1"/>
      <c r="B1786" s="1"/>
      <c r="C1786" s="1"/>
      <c r="D1786" s="1"/>
      <c r="E1786" s="1"/>
      <c r="F1786" s="1"/>
      <c r="G1786" s="1"/>
      <c r="H1786" s="1"/>
    </row>
    <row r="1787" spans="1:8" ht="12.5">
      <c r="A1787" s="1"/>
      <c r="B1787" s="1"/>
      <c r="C1787" s="1"/>
      <c r="D1787" s="1"/>
      <c r="E1787" s="1"/>
      <c r="F1787" s="1"/>
      <c r="G1787" s="1"/>
      <c r="H1787" s="1"/>
    </row>
    <row r="1788" spans="1:8" ht="12.5">
      <c r="A1788" s="1"/>
      <c r="B1788" s="1"/>
      <c r="C1788" s="1"/>
      <c r="D1788" s="1"/>
      <c r="E1788" s="1"/>
      <c r="F1788" s="1"/>
      <c r="G1788" s="1"/>
      <c r="H1788" s="1"/>
    </row>
    <row r="1789" spans="1:8" ht="12.5">
      <c r="A1789" s="1"/>
      <c r="B1789" s="1"/>
      <c r="C1789" s="1"/>
      <c r="D1789" s="1"/>
      <c r="E1789" s="1"/>
      <c r="F1789" s="1"/>
      <c r="G1789" s="1"/>
      <c r="H1789" s="1"/>
    </row>
    <row r="1790" spans="1:8" ht="12.5">
      <c r="A1790" s="1"/>
      <c r="B1790" s="1"/>
      <c r="C1790" s="1"/>
      <c r="D1790" s="1"/>
      <c r="E1790" s="1"/>
      <c r="F1790" s="1"/>
      <c r="G1790" s="1"/>
      <c r="H1790" s="1"/>
    </row>
    <row r="1791" spans="1:8" ht="12.5">
      <c r="A1791" s="1"/>
      <c r="B1791" s="1"/>
      <c r="C1791" s="1"/>
      <c r="D1791" s="1"/>
      <c r="E1791" s="1"/>
      <c r="F1791" s="1"/>
      <c r="G1791" s="1"/>
      <c r="H1791" s="1"/>
    </row>
    <row r="1792" spans="1:8" ht="12.5">
      <c r="A1792" s="1"/>
      <c r="B1792" s="1"/>
      <c r="C1792" s="1"/>
      <c r="D1792" s="1"/>
      <c r="E1792" s="1"/>
      <c r="F1792" s="1"/>
      <c r="G1792" s="1"/>
      <c r="H1792" s="1"/>
    </row>
    <row r="1793" spans="1:8" ht="12.5">
      <c r="A1793" s="1"/>
      <c r="B1793" s="1"/>
      <c r="C1793" s="1"/>
      <c r="D1793" s="1"/>
      <c r="E1793" s="1"/>
      <c r="F1793" s="1"/>
      <c r="G1793" s="1"/>
      <c r="H1793" s="1"/>
    </row>
    <row r="1794" spans="1:8" ht="12.5">
      <c r="A1794" s="1"/>
      <c r="B1794" s="1"/>
      <c r="C1794" s="1"/>
      <c r="D1794" s="1"/>
      <c r="E1794" s="1"/>
      <c r="F1794" s="1"/>
      <c r="G1794" s="1"/>
      <c r="H1794" s="1"/>
    </row>
    <row r="1795" spans="1:8" ht="12.5">
      <c r="A1795" s="1"/>
      <c r="B1795" s="1"/>
      <c r="C1795" s="1"/>
      <c r="D1795" s="1"/>
      <c r="E1795" s="1"/>
      <c r="F1795" s="1"/>
      <c r="G1795" s="1"/>
      <c r="H1795" s="1"/>
    </row>
    <row r="1796" spans="1:8" ht="12.5">
      <c r="A1796" s="1"/>
      <c r="B1796" s="1"/>
      <c r="C1796" s="1"/>
      <c r="D1796" s="1"/>
      <c r="E1796" s="1"/>
      <c r="F1796" s="1"/>
      <c r="G1796" s="1"/>
      <c r="H1796" s="1"/>
    </row>
    <row r="1797" spans="1:8" ht="12.5">
      <c r="A1797" s="1"/>
      <c r="B1797" s="1"/>
      <c r="C1797" s="1"/>
      <c r="D1797" s="1"/>
      <c r="E1797" s="1"/>
      <c r="F1797" s="1"/>
      <c r="G1797" s="1"/>
      <c r="H1797" s="1"/>
    </row>
    <row r="1798" spans="1:8" ht="12.5">
      <c r="A1798" s="1"/>
      <c r="B1798" s="1"/>
      <c r="C1798" s="1"/>
      <c r="D1798" s="1"/>
      <c r="E1798" s="1"/>
      <c r="F1798" s="1"/>
      <c r="G1798" s="1"/>
      <c r="H1798" s="1"/>
    </row>
    <row r="1799" spans="1:8" ht="12.5">
      <c r="A1799" s="1"/>
      <c r="B1799" s="1"/>
      <c r="C1799" s="1"/>
      <c r="D1799" s="1"/>
      <c r="E1799" s="1"/>
      <c r="F1799" s="1"/>
      <c r="G1799" s="1"/>
      <c r="H1799" s="1"/>
    </row>
    <row r="1800" spans="1:8" ht="12.5">
      <c r="A1800" s="1"/>
      <c r="B1800" s="1"/>
      <c r="C1800" s="1"/>
      <c r="D1800" s="1"/>
      <c r="E1800" s="1"/>
      <c r="F1800" s="1"/>
      <c r="G1800" s="1"/>
      <c r="H1800" s="1"/>
    </row>
    <row r="1801" spans="1:8" ht="12.5">
      <c r="A1801" s="1"/>
      <c r="B1801" s="1"/>
      <c r="C1801" s="1"/>
      <c r="D1801" s="1"/>
      <c r="E1801" s="1"/>
      <c r="F1801" s="1"/>
      <c r="G1801" s="1"/>
      <c r="H1801" s="1"/>
    </row>
    <row r="1802" spans="1:8" ht="12.5">
      <c r="A1802" s="1"/>
      <c r="B1802" s="1"/>
      <c r="C1802" s="1"/>
      <c r="D1802" s="1"/>
      <c r="E1802" s="1"/>
      <c r="F1802" s="1"/>
      <c r="G1802" s="1"/>
      <c r="H1802" s="1"/>
    </row>
    <row r="1803" spans="1:8" ht="12.5">
      <c r="A1803" s="1"/>
      <c r="B1803" s="1"/>
      <c r="C1803" s="1"/>
      <c r="D1803" s="1"/>
      <c r="E1803" s="1"/>
      <c r="F1803" s="1"/>
      <c r="G1803" s="1"/>
      <c r="H1803" s="1"/>
    </row>
    <row r="1804" spans="1:8" ht="12.5">
      <c r="A1804" s="1"/>
      <c r="B1804" s="1"/>
      <c r="C1804" s="1"/>
      <c r="D1804" s="1"/>
      <c r="E1804" s="1"/>
      <c r="F1804" s="1"/>
      <c r="G1804" s="1"/>
      <c r="H1804" s="1"/>
    </row>
    <row r="1805" spans="1:8" ht="12.5">
      <c r="A1805" s="1"/>
      <c r="B1805" s="1"/>
      <c r="C1805" s="1"/>
      <c r="D1805" s="1"/>
      <c r="E1805" s="1"/>
      <c r="F1805" s="1"/>
      <c r="G1805" s="1"/>
      <c r="H1805" s="1"/>
    </row>
    <row r="1806" spans="1:8" ht="12.5">
      <c r="A1806" s="1"/>
      <c r="B1806" s="1"/>
      <c r="C1806" s="1"/>
      <c r="D1806" s="1"/>
      <c r="E1806" s="1"/>
      <c r="F1806" s="1"/>
      <c r="G1806" s="1"/>
      <c r="H1806" s="1"/>
    </row>
    <row r="1807" spans="1:8" ht="12.5">
      <c r="A1807" s="1"/>
      <c r="B1807" s="1"/>
      <c r="C1807" s="1"/>
      <c r="D1807" s="1"/>
      <c r="E1807" s="1"/>
      <c r="F1807" s="1"/>
      <c r="G1807" s="1"/>
      <c r="H1807" s="1"/>
    </row>
    <row r="1808" spans="1:8" ht="12.5">
      <c r="A1808" s="1"/>
      <c r="B1808" s="1"/>
      <c r="C1808" s="1"/>
      <c r="D1808" s="1"/>
      <c r="E1808" s="1"/>
      <c r="F1808" s="1"/>
      <c r="G1808" s="1"/>
      <c r="H1808" s="1"/>
    </row>
    <row r="1809" spans="1:8" ht="12.5">
      <c r="A1809" s="1"/>
      <c r="B1809" s="1"/>
      <c r="C1809" s="1"/>
      <c r="D1809" s="1"/>
      <c r="E1809" s="1"/>
      <c r="F1809" s="1"/>
      <c r="G1809" s="1"/>
      <c r="H1809" s="1"/>
    </row>
    <row r="1810" spans="1:8" ht="12.5">
      <c r="A1810" s="1"/>
      <c r="B1810" s="1"/>
      <c r="C1810" s="1"/>
      <c r="D1810" s="1"/>
      <c r="E1810" s="1"/>
      <c r="F1810" s="1"/>
      <c r="G1810" s="1"/>
      <c r="H1810" s="1"/>
    </row>
    <row r="1811" spans="1:8" ht="12.5">
      <c r="A1811" s="1"/>
      <c r="B1811" s="1"/>
      <c r="C1811" s="1"/>
      <c r="D1811" s="1"/>
      <c r="E1811" s="1"/>
      <c r="F1811" s="1"/>
      <c r="G1811" s="1"/>
      <c r="H1811" s="1"/>
    </row>
    <row r="1812" spans="1:8" ht="12.5">
      <c r="A1812" s="1"/>
      <c r="B1812" s="1"/>
      <c r="C1812" s="1"/>
      <c r="D1812" s="1"/>
      <c r="E1812" s="1"/>
      <c r="F1812" s="1"/>
      <c r="G1812" s="1"/>
      <c r="H1812" s="1"/>
    </row>
    <row r="1813" spans="1:8" ht="12.5">
      <c r="A1813" s="1"/>
      <c r="B1813" s="1"/>
      <c r="C1813" s="1"/>
      <c r="D1813" s="1"/>
      <c r="E1813" s="1"/>
      <c r="F1813" s="1"/>
      <c r="G1813" s="1"/>
      <c r="H1813" s="1"/>
    </row>
    <row r="1814" spans="1:8" ht="12.5">
      <c r="A1814" s="1"/>
      <c r="B1814" s="1"/>
      <c r="C1814" s="1"/>
      <c r="D1814" s="1"/>
      <c r="E1814" s="1"/>
      <c r="F1814" s="1"/>
      <c r="G1814" s="1"/>
      <c r="H1814" s="1"/>
    </row>
    <row r="1815" spans="1:8" ht="12.5">
      <c r="A1815" s="1"/>
      <c r="B1815" s="1"/>
      <c r="C1815" s="1"/>
      <c r="D1815" s="1"/>
      <c r="E1815" s="1"/>
      <c r="F1815" s="1"/>
      <c r="G1815" s="1"/>
      <c r="H1815" s="1"/>
    </row>
    <row r="1816" spans="1:8" ht="12.5">
      <c r="A1816" s="1"/>
      <c r="B1816" s="1"/>
      <c r="C1816" s="1"/>
      <c r="D1816" s="1"/>
      <c r="E1816" s="1"/>
      <c r="F1816" s="1"/>
      <c r="G1816" s="1"/>
      <c r="H1816" s="1"/>
    </row>
    <row r="1817" spans="1:8" ht="12.5">
      <c r="A1817" s="1"/>
      <c r="B1817" s="1"/>
      <c r="C1817" s="1"/>
      <c r="D1817" s="1"/>
      <c r="E1817" s="1"/>
      <c r="F1817" s="1"/>
      <c r="G1817" s="1"/>
      <c r="H1817" s="1"/>
    </row>
    <row r="1818" spans="1:8" ht="12.5">
      <c r="A1818" s="1"/>
      <c r="B1818" s="1"/>
      <c r="C1818" s="1"/>
      <c r="D1818" s="1"/>
      <c r="E1818" s="1"/>
      <c r="F1818" s="1"/>
      <c r="G1818" s="1"/>
      <c r="H1818" s="1"/>
    </row>
    <row r="1819" spans="1:8" ht="12.5">
      <c r="A1819" s="1"/>
      <c r="B1819" s="1"/>
      <c r="C1819" s="1"/>
      <c r="D1819" s="1"/>
      <c r="E1819" s="1"/>
      <c r="F1819" s="1"/>
      <c r="G1819" s="1"/>
      <c r="H1819" s="1"/>
    </row>
    <row r="1820" spans="1:8" ht="12.5">
      <c r="A1820" s="1"/>
      <c r="B1820" s="1"/>
      <c r="C1820" s="1"/>
      <c r="D1820" s="1"/>
      <c r="E1820" s="1"/>
      <c r="F1820" s="1"/>
      <c r="G1820" s="1"/>
      <c r="H1820" s="1"/>
    </row>
    <row r="1821" spans="1:8" ht="12.5">
      <c r="A1821" s="1"/>
      <c r="B1821" s="1"/>
      <c r="C1821" s="1"/>
      <c r="D1821" s="1"/>
      <c r="E1821" s="1"/>
      <c r="F1821" s="1"/>
      <c r="G1821" s="1"/>
      <c r="H1821" s="1"/>
    </row>
    <row r="1822" spans="1:8" ht="12.5">
      <c r="A1822" s="1"/>
      <c r="B1822" s="1"/>
      <c r="C1822" s="1"/>
      <c r="D1822" s="1"/>
      <c r="E1822" s="1"/>
      <c r="F1822" s="1"/>
      <c r="G1822" s="1"/>
      <c r="H1822" s="1"/>
    </row>
    <row r="1823" spans="1:8" ht="12.5">
      <c r="A1823" s="1"/>
      <c r="B1823" s="1"/>
      <c r="C1823" s="1"/>
      <c r="D1823" s="1"/>
      <c r="E1823" s="1"/>
      <c r="F1823" s="1"/>
      <c r="G1823" s="1"/>
      <c r="H1823" s="1"/>
    </row>
    <row r="1824" spans="1:8" ht="12.5">
      <c r="A1824" s="1"/>
      <c r="B1824" s="1"/>
      <c r="C1824" s="1"/>
      <c r="D1824" s="1"/>
      <c r="E1824" s="1"/>
      <c r="F1824" s="1"/>
      <c r="G1824" s="1"/>
      <c r="H1824" s="1"/>
    </row>
    <row r="1825" spans="1:8" ht="12.5">
      <c r="A1825" s="1"/>
      <c r="B1825" s="1"/>
      <c r="C1825" s="1"/>
      <c r="D1825" s="1"/>
      <c r="E1825" s="1"/>
      <c r="F1825" s="1"/>
      <c r="G1825" s="1"/>
      <c r="H1825" s="1"/>
    </row>
    <row r="1826" spans="1:8" ht="12.5">
      <c r="A1826" s="1"/>
      <c r="B1826" s="1"/>
      <c r="C1826" s="1"/>
      <c r="D1826" s="1"/>
      <c r="E1826" s="1"/>
      <c r="F1826" s="1"/>
      <c r="G1826" s="1"/>
      <c r="H1826" s="1"/>
    </row>
    <row r="1827" spans="1:8" ht="12.5">
      <c r="A1827" s="1"/>
      <c r="B1827" s="1"/>
      <c r="C1827" s="1"/>
      <c r="D1827" s="1"/>
      <c r="E1827" s="1"/>
      <c r="F1827" s="1"/>
      <c r="G1827" s="1"/>
      <c r="H1827" s="1"/>
    </row>
    <row r="1828" spans="1:8" ht="12.5">
      <c r="A1828" s="1"/>
      <c r="B1828" s="1"/>
      <c r="C1828" s="1"/>
      <c r="D1828" s="1"/>
      <c r="E1828" s="1"/>
      <c r="F1828" s="1"/>
      <c r="G1828" s="1"/>
      <c r="H1828" s="1"/>
    </row>
    <row r="1829" spans="1:8" ht="12.5">
      <c r="A1829" s="1"/>
      <c r="B1829" s="1"/>
      <c r="C1829" s="1"/>
      <c r="D1829" s="1"/>
      <c r="E1829" s="1"/>
      <c r="F1829" s="1"/>
      <c r="G1829" s="1"/>
      <c r="H1829" s="1"/>
    </row>
    <row r="1830" spans="1:8" ht="12.5">
      <c r="A1830" s="1"/>
      <c r="B1830" s="1"/>
      <c r="C1830" s="1"/>
      <c r="D1830" s="1"/>
      <c r="E1830" s="1"/>
      <c r="F1830" s="1"/>
      <c r="G1830" s="1"/>
      <c r="H1830" s="1"/>
    </row>
    <row r="1831" spans="1:8" ht="12.5">
      <c r="A1831" s="1"/>
      <c r="B1831" s="1"/>
      <c r="C1831" s="1"/>
      <c r="D1831" s="1"/>
      <c r="E1831" s="1"/>
      <c r="F1831" s="1"/>
      <c r="G1831" s="1"/>
      <c r="H1831" s="1"/>
    </row>
    <row r="1832" spans="1:8" ht="12.5">
      <c r="A1832" s="1"/>
      <c r="B1832" s="1"/>
      <c r="C1832" s="1"/>
      <c r="D1832" s="1"/>
      <c r="E1832" s="1"/>
      <c r="F1832" s="1"/>
      <c r="G1832" s="1"/>
      <c r="H1832" s="1"/>
    </row>
    <row r="1833" spans="1:8" ht="12.5">
      <c r="A1833" s="1"/>
      <c r="B1833" s="1"/>
      <c r="C1833" s="1"/>
      <c r="D1833" s="1"/>
      <c r="E1833" s="1"/>
      <c r="F1833" s="1"/>
      <c r="G1833" s="1"/>
      <c r="H1833" s="1"/>
    </row>
    <row r="1834" spans="1:8" ht="12.5">
      <c r="A1834" s="1"/>
      <c r="B1834" s="1"/>
      <c r="C1834" s="1"/>
      <c r="D1834" s="1"/>
      <c r="E1834" s="1"/>
      <c r="F1834" s="1"/>
      <c r="G1834" s="1"/>
      <c r="H1834" s="1"/>
    </row>
    <row r="1835" spans="1:8" ht="12.5">
      <c r="A1835" s="1"/>
      <c r="B1835" s="1"/>
      <c r="C1835" s="1"/>
      <c r="D1835" s="1"/>
      <c r="E1835" s="1"/>
      <c r="F1835" s="1"/>
      <c r="G1835" s="1"/>
      <c r="H1835" s="1"/>
    </row>
    <row r="1836" spans="1:8" ht="12.5">
      <c r="A1836" s="1"/>
      <c r="B1836" s="1"/>
      <c r="C1836" s="1"/>
      <c r="D1836" s="1"/>
      <c r="E1836" s="1"/>
      <c r="F1836" s="1"/>
      <c r="G1836" s="1"/>
      <c r="H1836" s="1"/>
    </row>
    <row r="1837" spans="1:8" ht="12.5">
      <c r="A1837" s="1"/>
      <c r="B1837" s="1"/>
      <c r="C1837" s="1"/>
      <c r="D1837" s="1"/>
      <c r="E1837" s="1"/>
      <c r="F1837" s="1"/>
      <c r="G1837" s="1"/>
      <c r="H1837" s="1"/>
    </row>
    <row r="1838" spans="1:8" ht="12.5">
      <c r="A1838" s="1"/>
      <c r="B1838" s="1"/>
      <c r="C1838" s="1"/>
      <c r="D1838" s="1"/>
      <c r="E1838" s="1"/>
      <c r="F1838" s="1"/>
      <c r="G1838" s="1"/>
      <c r="H1838" s="1"/>
    </row>
    <row r="1839" spans="1:8" ht="12.5">
      <c r="A1839" s="1"/>
      <c r="B1839" s="1"/>
      <c r="C1839" s="1"/>
      <c r="D1839" s="1"/>
      <c r="E1839" s="1"/>
      <c r="F1839" s="1"/>
      <c r="G1839" s="1"/>
      <c r="H1839" s="1"/>
    </row>
    <row r="1840" spans="1:8" ht="12.5">
      <c r="A1840" s="1"/>
      <c r="B1840" s="1"/>
      <c r="C1840" s="1"/>
      <c r="D1840" s="1"/>
      <c r="E1840" s="1"/>
      <c r="F1840" s="1"/>
      <c r="G1840" s="1"/>
      <c r="H1840" s="1"/>
    </row>
    <row r="1841" spans="1:8" ht="12.5">
      <c r="A1841" s="1"/>
      <c r="B1841" s="1"/>
      <c r="C1841" s="1"/>
      <c r="D1841" s="1"/>
      <c r="E1841" s="1"/>
      <c r="F1841" s="1"/>
      <c r="G1841" s="1"/>
      <c r="H1841" s="1"/>
    </row>
    <row r="1842" spans="1:8" ht="12.5">
      <c r="A1842" s="1"/>
      <c r="B1842" s="1"/>
      <c r="C1842" s="1"/>
      <c r="D1842" s="1"/>
      <c r="E1842" s="1"/>
      <c r="F1842" s="1"/>
      <c r="G1842" s="1"/>
      <c r="H1842" s="1"/>
    </row>
    <row r="1843" spans="1:8" ht="12.5">
      <c r="A1843" s="1"/>
      <c r="B1843" s="1"/>
      <c r="C1843" s="1"/>
      <c r="D1843" s="1"/>
      <c r="E1843" s="1"/>
      <c r="F1843" s="1"/>
      <c r="G1843" s="1"/>
      <c r="H1843" s="1"/>
    </row>
    <row r="1844" spans="1:8" ht="12.5">
      <c r="A1844" s="1"/>
      <c r="B1844" s="1"/>
      <c r="C1844" s="1"/>
      <c r="D1844" s="1"/>
      <c r="E1844" s="1"/>
      <c r="F1844" s="1"/>
      <c r="G1844" s="1"/>
      <c r="H1844" s="1"/>
    </row>
    <row r="1845" spans="1:8" ht="12.5">
      <c r="A1845" s="1"/>
      <c r="B1845" s="1"/>
      <c r="C1845" s="1"/>
      <c r="D1845" s="1"/>
      <c r="E1845" s="1"/>
      <c r="F1845" s="1"/>
      <c r="G1845" s="1"/>
      <c r="H1845" s="1"/>
    </row>
    <row r="1846" spans="1:8" ht="12.5">
      <c r="A1846" s="1"/>
      <c r="B1846" s="1"/>
      <c r="C1846" s="1"/>
      <c r="D1846" s="1"/>
      <c r="E1846" s="1"/>
      <c r="F1846" s="1"/>
      <c r="G1846" s="1"/>
      <c r="H1846" s="1"/>
    </row>
    <row r="1847" spans="1:8" ht="12.5">
      <c r="A1847" s="1"/>
      <c r="B1847" s="1"/>
      <c r="C1847" s="1"/>
      <c r="D1847" s="1"/>
      <c r="E1847" s="1"/>
      <c r="F1847" s="1"/>
      <c r="G1847" s="1"/>
      <c r="H1847" s="1"/>
    </row>
    <row r="1848" spans="1:8" ht="12.5">
      <c r="A1848" s="1"/>
      <c r="B1848" s="1"/>
      <c r="C1848" s="1"/>
      <c r="D1848" s="1"/>
      <c r="E1848" s="1"/>
      <c r="F1848" s="1"/>
      <c r="G1848" s="1"/>
      <c r="H1848" s="1"/>
    </row>
    <row r="1849" spans="1:8" ht="12.5">
      <c r="A1849" s="1"/>
      <c r="B1849" s="1"/>
      <c r="C1849" s="1"/>
      <c r="D1849" s="1"/>
      <c r="E1849" s="1"/>
      <c r="F1849" s="1"/>
      <c r="G1849" s="1"/>
      <c r="H1849" s="1"/>
    </row>
    <row r="1850" spans="1:8" ht="12.5">
      <c r="A1850" s="1"/>
      <c r="B1850" s="1"/>
      <c r="C1850" s="1"/>
      <c r="D1850" s="1"/>
      <c r="E1850" s="1"/>
      <c r="F1850" s="1"/>
      <c r="G1850" s="1"/>
      <c r="H1850" s="1"/>
    </row>
    <row r="1851" spans="1:8" ht="12.5">
      <c r="A1851" s="1"/>
      <c r="B1851" s="1"/>
      <c r="C1851" s="1"/>
      <c r="D1851" s="1"/>
      <c r="E1851" s="1"/>
      <c r="F1851" s="1"/>
      <c r="G1851" s="1"/>
      <c r="H1851" s="1"/>
    </row>
    <row r="1852" spans="1:8" ht="12.5">
      <c r="A1852" s="1"/>
      <c r="B1852" s="1"/>
      <c r="C1852" s="1"/>
      <c r="D1852" s="1"/>
      <c r="E1852" s="1"/>
      <c r="F1852" s="1"/>
      <c r="G1852" s="1"/>
      <c r="H1852" s="1"/>
    </row>
    <row r="1853" spans="1:8" ht="12.5">
      <c r="A1853" s="1"/>
      <c r="B1853" s="1"/>
      <c r="C1853" s="1"/>
      <c r="D1853" s="1"/>
      <c r="E1853" s="1"/>
      <c r="F1853" s="1"/>
      <c r="G1853" s="1"/>
      <c r="H1853" s="1"/>
    </row>
    <row r="1854" spans="1:8" ht="12.5">
      <c r="A1854" s="1"/>
      <c r="B1854" s="1"/>
      <c r="C1854" s="1"/>
      <c r="D1854" s="1"/>
      <c r="E1854" s="1"/>
      <c r="F1854" s="1"/>
      <c r="G1854" s="1"/>
      <c r="H1854" s="1"/>
    </row>
    <row r="1855" spans="1:8" ht="12.5">
      <c r="A1855" s="1"/>
      <c r="B1855" s="1"/>
      <c r="C1855" s="1"/>
      <c r="D1855" s="1"/>
      <c r="E1855" s="1"/>
      <c r="F1855" s="1"/>
      <c r="G1855" s="1"/>
      <c r="H1855" s="1"/>
    </row>
    <row r="1856" spans="1:8" ht="12.5">
      <c r="A1856" s="1"/>
      <c r="B1856" s="1"/>
      <c r="C1856" s="1"/>
      <c r="D1856" s="1"/>
      <c r="E1856" s="1"/>
      <c r="F1856" s="1"/>
      <c r="G1856" s="1"/>
      <c r="H1856" s="1"/>
    </row>
    <row r="1857" spans="1:8" ht="12.5">
      <c r="A1857" s="1"/>
      <c r="B1857" s="1"/>
      <c r="C1857" s="1"/>
      <c r="D1857" s="1"/>
      <c r="E1857" s="1"/>
      <c r="F1857" s="1"/>
      <c r="G1857" s="1"/>
      <c r="H1857" s="1"/>
    </row>
    <row r="1858" spans="1:8" ht="12.5">
      <c r="A1858" s="1"/>
      <c r="B1858" s="1"/>
      <c r="C1858" s="1"/>
      <c r="D1858" s="1"/>
      <c r="E1858" s="1"/>
      <c r="F1858" s="1"/>
      <c r="G1858" s="1"/>
      <c r="H1858" s="1"/>
    </row>
    <row r="1859" spans="1:8" ht="12.5">
      <c r="A1859" s="1"/>
      <c r="B1859" s="1"/>
      <c r="C1859" s="1"/>
      <c r="D1859" s="1"/>
      <c r="E1859" s="1"/>
      <c r="F1859" s="1"/>
      <c r="G1859" s="1"/>
      <c r="H1859" s="1"/>
    </row>
    <row r="1860" spans="1:8" ht="12.5">
      <c r="A1860" s="1"/>
      <c r="B1860" s="1"/>
      <c r="C1860" s="1"/>
      <c r="D1860" s="1"/>
      <c r="E1860" s="1"/>
      <c r="F1860" s="1"/>
      <c r="G1860" s="1"/>
      <c r="H1860" s="1"/>
    </row>
    <row r="1861" spans="1:8" ht="12.5">
      <c r="A1861" s="1"/>
      <c r="B1861" s="1"/>
      <c r="C1861" s="1"/>
      <c r="D1861" s="1"/>
      <c r="E1861" s="1"/>
      <c r="F1861" s="1"/>
      <c r="G1861" s="1"/>
      <c r="H1861" s="1"/>
    </row>
    <row r="1862" spans="1:8" ht="12.5">
      <c r="A1862" s="1"/>
      <c r="B1862" s="1"/>
      <c r="C1862" s="1"/>
      <c r="D1862" s="1"/>
      <c r="E1862" s="1"/>
      <c r="F1862" s="1"/>
      <c r="G1862" s="1"/>
      <c r="H1862" s="1"/>
    </row>
    <row r="1863" spans="1:8" ht="12.5">
      <c r="A1863" s="1"/>
      <c r="B1863" s="1"/>
      <c r="C1863" s="1"/>
      <c r="D1863" s="1"/>
      <c r="E1863" s="1"/>
      <c r="F1863" s="1"/>
      <c r="G1863" s="1"/>
      <c r="H1863" s="1"/>
    </row>
    <row r="1864" spans="1:8" ht="12.5">
      <c r="A1864" s="1"/>
      <c r="B1864" s="1"/>
      <c r="C1864" s="1"/>
      <c r="D1864" s="1"/>
      <c r="E1864" s="1"/>
      <c r="F1864" s="1"/>
      <c r="G1864" s="1"/>
      <c r="H1864" s="1"/>
    </row>
    <row r="1865" spans="1:8" ht="12.5">
      <c r="A1865" s="1"/>
      <c r="B1865" s="1"/>
      <c r="C1865" s="1"/>
      <c r="D1865" s="1"/>
      <c r="E1865" s="1"/>
      <c r="F1865" s="1"/>
      <c r="G1865" s="1"/>
      <c r="H1865" s="1"/>
    </row>
    <row r="1866" spans="1:8" ht="12.5">
      <c r="A1866" s="1"/>
      <c r="B1866" s="1"/>
      <c r="C1866" s="1"/>
      <c r="D1866" s="1"/>
      <c r="E1866" s="1"/>
      <c r="F1866" s="1"/>
      <c r="G1866" s="1"/>
      <c r="H1866" s="1"/>
    </row>
    <row r="1867" spans="1:8" ht="12.5">
      <c r="A1867" s="1"/>
      <c r="B1867" s="1"/>
      <c r="C1867" s="1"/>
      <c r="D1867" s="1"/>
      <c r="E1867" s="1"/>
      <c r="F1867" s="1"/>
      <c r="G1867" s="1"/>
      <c r="H1867" s="1"/>
    </row>
    <row r="1868" spans="1:8" ht="12.5">
      <c r="A1868" s="1"/>
      <c r="B1868" s="1"/>
      <c r="C1868" s="1"/>
      <c r="D1868" s="1"/>
      <c r="E1868" s="1"/>
      <c r="F1868" s="1"/>
      <c r="G1868" s="1"/>
      <c r="H1868" s="1"/>
    </row>
    <row r="1869" spans="1:8" ht="12.5">
      <c r="A1869" s="1"/>
      <c r="B1869" s="1"/>
      <c r="C1869" s="1"/>
      <c r="D1869" s="1"/>
      <c r="E1869" s="1"/>
      <c r="F1869" s="1"/>
      <c r="G1869" s="1"/>
      <c r="H1869" s="1"/>
    </row>
    <row r="1870" spans="1:8" ht="12.5">
      <c r="A1870" s="1"/>
      <c r="B1870" s="1"/>
      <c r="C1870" s="1"/>
      <c r="D1870" s="1"/>
      <c r="E1870" s="1"/>
      <c r="F1870" s="1"/>
      <c r="G1870" s="1"/>
      <c r="H1870" s="1"/>
    </row>
    <row r="1871" spans="1:8" ht="12.5">
      <c r="A1871" s="1"/>
      <c r="B1871" s="1"/>
      <c r="C1871" s="1"/>
      <c r="D1871" s="1"/>
      <c r="E1871" s="1"/>
      <c r="F1871" s="1"/>
      <c r="G1871" s="1"/>
      <c r="H1871" s="1"/>
    </row>
    <row r="1872" spans="1:8" ht="12.5">
      <c r="A1872" s="1"/>
      <c r="B1872" s="1"/>
      <c r="C1872" s="1"/>
      <c r="D1872" s="1"/>
      <c r="E1872" s="1"/>
      <c r="F1872" s="1"/>
      <c r="G1872" s="1"/>
      <c r="H1872" s="1"/>
    </row>
    <row r="1873" spans="1:8" ht="12.5">
      <c r="A1873" s="1"/>
      <c r="B1873" s="1"/>
      <c r="C1873" s="1"/>
      <c r="D1873" s="1"/>
      <c r="E1873" s="1"/>
      <c r="F1873" s="1"/>
      <c r="G1873" s="1"/>
      <c r="H1873" s="1"/>
    </row>
    <row r="1874" spans="1:8" ht="12.5">
      <c r="A1874" s="1"/>
      <c r="B1874" s="1"/>
      <c r="C1874" s="1"/>
      <c r="D1874" s="1"/>
      <c r="E1874" s="1"/>
      <c r="F1874" s="1"/>
      <c r="G1874" s="1"/>
      <c r="H1874" s="1"/>
    </row>
    <row r="1875" spans="1:8" ht="12.5">
      <c r="A1875" s="1"/>
      <c r="B1875" s="1"/>
      <c r="C1875" s="1"/>
      <c r="D1875" s="1"/>
      <c r="E1875" s="1"/>
      <c r="F1875" s="1"/>
      <c r="G1875" s="1"/>
      <c r="H1875" s="1"/>
    </row>
    <row r="1876" spans="1:8" ht="12.5">
      <c r="A1876" s="1"/>
      <c r="B1876" s="1"/>
      <c r="C1876" s="1"/>
      <c r="D1876" s="1"/>
      <c r="E1876" s="1"/>
      <c r="F1876" s="1"/>
      <c r="G1876" s="1"/>
      <c r="H1876" s="1"/>
    </row>
    <row r="1877" spans="1:8" ht="12.5">
      <c r="A1877" s="1"/>
      <c r="B1877" s="1"/>
      <c r="C1877" s="1"/>
      <c r="D1877" s="1"/>
      <c r="E1877" s="1"/>
      <c r="F1877" s="1"/>
      <c r="G1877" s="1"/>
      <c r="H1877" s="1"/>
    </row>
    <row r="1878" spans="1:8" ht="12.5">
      <c r="A1878" s="1"/>
      <c r="B1878" s="1"/>
      <c r="C1878" s="1"/>
      <c r="D1878" s="1"/>
      <c r="E1878" s="1"/>
      <c r="F1878" s="1"/>
      <c r="G1878" s="1"/>
      <c r="H1878" s="1"/>
    </row>
    <row r="1879" spans="1:8" ht="12.5">
      <c r="A1879" s="1"/>
      <c r="B1879" s="1"/>
      <c r="C1879" s="1"/>
      <c r="D1879" s="1"/>
      <c r="E1879" s="1"/>
      <c r="F1879" s="1"/>
      <c r="G1879" s="1"/>
      <c r="H1879" s="1"/>
    </row>
    <row r="1880" spans="1:8" ht="12.5">
      <c r="A1880" s="1"/>
      <c r="B1880" s="1"/>
      <c r="C1880" s="1"/>
      <c r="D1880" s="1"/>
      <c r="E1880" s="1"/>
      <c r="F1880" s="1"/>
      <c r="G1880" s="1"/>
      <c r="H1880" s="1"/>
    </row>
    <row r="1881" spans="1:8" ht="12.5">
      <c r="A1881" s="1"/>
      <c r="B1881" s="1"/>
      <c r="C1881" s="1"/>
      <c r="D1881" s="1"/>
      <c r="E1881" s="1"/>
      <c r="F1881" s="1"/>
      <c r="G1881" s="1"/>
      <c r="H1881" s="1"/>
    </row>
    <row r="1882" spans="1:8" ht="12.5">
      <c r="A1882" s="1"/>
      <c r="B1882" s="1"/>
      <c r="C1882" s="1"/>
      <c r="D1882" s="1"/>
      <c r="E1882" s="1"/>
      <c r="F1882" s="1"/>
      <c r="G1882" s="1"/>
      <c r="H1882" s="1"/>
    </row>
    <row r="1883" spans="1:8" ht="12.5">
      <c r="A1883" s="1"/>
      <c r="B1883" s="1"/>
      <c r="C1883" s="1"/>
      <c r="D1883" s="1"/>
      <c r="E1883" s="1"/>
      <c r="F1883" s="1"/>
      <c r="G1883" s="1"/>
      <c r="H1883" s="1"/>
    </row>
    <row r="1884" spans="1:8" ht="12.5">
      <c r="A1884" s="1"/>
      <c r="B1884" s="1"/>
      <c r="C1884" s="1"/>
      <c r="D1884" s="1"/>
      <c r="E1884" s="1"/>
      <c r="F1884" s="1"/>
      <c r="G1884" s="1"/>
      <c r="H1884" s="1"/>
    </row>
    <row r="1885" spans="1:8" ht="12.5">
      <c r="A1885" s="1"/>
      <c r="B1885" s="1"/>
      <c r="C1885" s="1"/>
      <c r="D1885" s="1"/>
      <c r="E1885" s="1"/>
      <c r="F1885" s="1"/>
      <c r="G1885" s="1"/>
      <c r="H1885" s="1"/>
    </row>
    <row r="1886" spans="1:8" ht="12.5">
      <c r="A1886" s="1"/>
      <c r="B1886" s="1"/>
      <c r="C1886" s="1"/>
      <c r="D1886" s="1"/>
      <c r="E1886" s="1"/>
      <c r="F1886" s="1"/>
      <c r="G1886" s="1"/>
      <c r="H1886" s="1"/>
    </row>
    <row r="1887" spans="1:8" ht="12.5">
      <c r="A1887" s="1"/>
      <c r="B1887" s="1"/>
      <c r="C1887" s="1"/>
      <c r="D1887" s="1"/>
      <c r="E1887" s="1"/>
      <c r="F1887" s="1"/>
      <c r="G1887" s="1"/>
      <c r="H1887" s="1"/>
    </row>
    <row r="1888" spans="1:8" ht="12.5">
      <c r="A1888" s="1"/>
      <c r="B1888" s="1"/>
      <c r="C1888" s="1"/>
      <c r="D1888" s="1"/>
      <c r="E1888" s="1"/>
      <c r="F1888" s="1"/>
      <c r="G1888" s="1"/>
      <c r="H1888" s="1"/>
    </row>
    <row r="1889" spans="1:8" ht="12.5">
      <c r="A1889" s="1"/>
      <c r="B1889" s="1"/>
      <c r="C1889" s="1"/>
      <c r="D1889" s="1"/>
      <c r="E1889" s="1"/>
      <c r="F1889" s="1"/>
      <c r="G1889" s="1"/>
      <c r="H1889" s="1"/>
    </row>
    <row r="1890" spans="1:8" ht="12.5">
      <c r="A1890" s="1"/>
      <c r="B1890" s="1"/>
      <c r="C1890" s="1"/>
      <c r="D1890" s="1"/>
      <c r="E1890" s="1"/>
      <c r="F1890" s="1"/>
      <c r="G1890" s="1"/>
      <c r="H1890" s="1"/>
    </row>
    <row r="1891" spans="1:8" ht="12.5">
      <c r="A1891" s="1"/>
      <c r="B1891" s="1"/>
      <c r="C1891" s="1"/>
      <c r="D1891" s="1"/>
      <c r="E1891" s="1"/>
      <c r="F1891" s="1"/>
      <c r="G1891" s="1"/>
      <c r="H1891" s="1"/>
    </row>
    <row r="1892" spans="1:8" ht="12.5">
      <c r="A1892" s="1"/>
      <c r="B1892" s="1"/>
      <c r="C1892" s="1"/>
      <c r="D1892" s="1"/>
      <c r="E1892" s="1"/>
      <c r="F1892" s="1"/>
      <c r="G1892" s="1"/>
      <c r="H1892" s="1"/>
    </row>
    <row r="1893" spans="1:8" ht="12.5">
      <c r="A1893" s="1"/>
      <c r="B1893" s="1"/>
      <c r="C1893" s="1"/>
      <c r="D1893" s="1"/>
      <c r="E1893" s="1"/>
      <c r="F1893" s="1"/>
      <c r="G1893" s="1"/>
      <c r="H1893" s="1"/>
    </row>
    <row r="1894" spans="1:8" ht="12.5">
      <c r="A1894" s="1"/>
      <c r="B1894" s="1"/>
      <c r="C1894" s="1"/>
      <c r="D1894" s="1"/>
      <c r="E1894" s="1"/>
      <c r="F1894" s="1"/>
      <c r="G1894" s="1"/>
      <c r="H1894" s="1"/>
    </row>
    <row r="1895" spans="1:8" ht="12.5">
      <c r="A1895" s="1"/>
      <c r="B1895" s="1"/>
      <c r="C1895" s="1"/>
      <c r="D1895" s="1"/>
      <c r="E1895" s="1"/>
      <c r="F1895" s="1"/>
      <c r="G1895" s="1"/>
      <c r="H1895" s="1"/>
    </row>
    <row r="1896" spans="1:8" ht="12.5">
      <c r="A1896" s="1"/>
      <c r="B1896" s="1"/>
      <c r="C1896" s="1"/>
      <c r="D1896" s="1"/>
      <c r="E1896" s="1"/>
      <c r="F1896" s="1"/>
      <c r="G1896" s="1"/>
      <c r="H1896" s="1"/>
    </row>
    <row r="1897" spans="1:8" ht="12.5">
      <c r="A1897" s="1"/>
      <c r="B1897" s="1"/>
      <c r="C1897" s="1"/>
      <c r="D1897" s="1"/>
      <c r="E1897" s="1"/>
      <c r="F1897" s="1"/>
      <c r="G1897" s="1"/>
      <c r="H1897" s="1"/>
    </row>
    <row r="1898" spans="1:8" ht="12.5">
      <c r="A1898" s="1"/>
      <c r="B1898" s="1"/>
      <c r="C1898" s="1"/>
      <c r="D1898" s="1"/>
      <c r="E1898" s="1"/>
      <c r="F1898" s="1"/>
      <c r="G1898" s="1"/>
      <c r="H1898" s="1"/>
    </row>
    <row r="1899" spans="1:8" ht="12.5">
      <c r="A1899" s="1"/>
      <c r="B1899" s="1"/>
      <c r="C1899" s="1"/>
      <c r="D1899" s="1"/>
      <c r="E1899" s="1"/>
      <c r="F1899" s="1"/>
      <c r="G1899" s="1"/>
      <c r="H1899" s="1"/>
    </row>
    <row r="1900" spans="1:8" ht="12.5">
      <c r="A1900" s="1"/>
      <c r="B1900" s="1"/>
      <c r="C1900" s="1"/>
      <c r="D1900" s="1"/>
      <c r="E1900" s="1"/>
      <c r="F1900" s="1"/>
      <c r="G1900" s="1"/>
      <c r="H1900" s="1"/>
    </row>
    <row r="1901" spans="1:8" ht="12.5">
      <c r="A1901" s="1"/>
      <c r="B1901" s="1"/>
      <c r="C1901" s="1"/>
      <c r="D1901" s="1"/>
      <c r="E1901" s="1"/>
      <c r="F1901" s="1"/>
      <c r="G1901" s="1"/>
      <c r="H1901" s="1"/>
    </row>
    <row r="1902" spans="1:8" ht="12.5">
      <c r="A1902" s="1"/>
      <c r="B1902" s="1"/>
      <c r="C1902" s="1"/>
      <c r="D1902" s="1"/>
      <c r="E1902" s="1"/>
      <c r="F1902" s="1"/>
      <c r="G1902" s="1"/>
      <c r="H1902" s="1"/>
    </row>
    <row r="1903" spans="1:8" ht="12.5">
      <c r="A1903" s="1"/>
      <c r="B1903" s="1"/>
      <c r="C1903" s="1"/>
      <c r="D1903" s="1"/>
      <c r="E1903" s="1"/>
      <c r="F1903" s="1"/>
      <c r="G1903" s="1"/>
      <c r="H1903" s="1"/>
    </row>
    <row r="1904" spans="1:8" ht="12.5">
      <c r="A1904" s="1"/>
      <c r="B1904" s="1"/>
      <c r="C1904" s="1"/>
      <c r="D1904" s="1"/>
      <c r="E1904" s="1"/>
      <c r="F1904" s="1"/>
      <c r="G1904" s="1"/>
      <c r="H1904" s="1"/>
    </row>
    <row r="1905" spans="1:8" ht="12.5">
      <c r="A1905" s="1"/>
      <c r="B1905" s="1"/>
      <c r="C1905" s="1"/>
      <c r="D1905" s="1"/>
      <c r="E1905" s="1"/>
      <c r="F1905" s="1"/>
      <c r="G1905" s="1"/>
      <c r="H1905" s="1"/>
    </row>
    <row r="1906" spans="1:8" ht="12.5">
      <c r="A1906" s="1"/>
      <c r="B1906" s="1"/>
      <c r="C1906" s="1"/>
      <c r="D1906" s="1"/>
      <c r="E1906" s="1"/>
      <c r="F1906" s="1"/>
      <c r="G1906" s="1"/>
      <c r="H1906" s="1"/>
    </row>
    <row r="1907" spans="1:8" ht="12.5">
      <c r="A1907" s="1"/>
      <c r="B1907" s="1"/>
      <c r="C1907" s="1"/>
      <c r="D1907" s="1"/>
      <c r="E1907" s="1"/>
      <c r="F1907" s="1"/>
      <c r="G1907" s="1"/>
      <c r="H1907" s="1"/>
    </row>
    <row r="1908" spans="1:8" ht="12.5">
      <c r="A1908" s="1"/>
      <c r="B1908" s="1"/>
      <c r="C1908" s="1"/>
      <c r="D1908" s="1"/>
      <c r="E1908" s="1"/>
      <c r="F1908" s="1"/>
      <c r="G1908" s="1"/>
      <c r="H1908" s="1"/>
    </row>
    <row r="1909" spans="1:8" ht="12.5">
      <c r="A1909" s="1"/>
      <c r="B1909" s="1"/>
      <c r="C1909" s="1"/>
      <c r="D1909" s="1"/>
      <c r="E1909" s="1"/>
      <c r="F1909" s="1"/>
      <c r="G1909" s="1"/>
      <c r="H1909" s="1"/>
    </row>
    <row r="1910" spans="1:8" ht="12.5">
      <c r="A1910" s="1"/>
      <c r="B1910" s="1"/>
      <c r="C1910" s="1"/>
      <c r="D1910" s="1"/>
      <c r="E1910" s="1"/>
      <c r="F1910" s="1"/>
      <c r="G1910" s="1"/>
      <c r="H1910" s="1"/>
    </row>
    <row r="1911" spans="1:8" ht="12.5">
      <c r="A1911" s="1"/>
      <c r="B1911" s="1"/>
      <c r="C1911" s="1"/>
      <c r="D1911" s="1"/>
      <c r="E1911" s="1"/>
      <c r="F1911" s="1"/>
      <c r="G1911" s="1"/>
      <c r="H1911" s="1"/>
    </row>
    <row r="1912" spans="1:8" ht="12.5">
      <c r="A1912" s="1"/>
      <c r="B1912" s="1"/>
      <c r="C1912" s="1"/>
      <c r="D1912" s="1"/>
      <c r="E1912" s="1"/>
      <c r="F1912" s="1"/>
      <c r="G1912" s="1"/>
      <c r="H1912" s="1"/>
    </row>
    <row r="1913" spans="1:8" ht="12.5">
      <c r="A1913" s="1"/>
      <c r="B1913" s="1"/>
      <c r="C1913" s="1"/>
      <c r="D1913" s="1"/>
      <c r="E1913" s="1"/>
      <c r="F1913" s="1"/>
      <c r="G1913" s="1"/>
      <c r="H1913" s="1"/>
    </row>
    <row r="1914" spans="1:8" ht="12.5">
      <c r="A1914" s="1"/>
      <c r="B1914" s="1"/>
      <c r="C1914" s="1"/>
      <c r="D1914" s="1"/>
      <c r="E1914" s="1"/>
      <c r="F1914" s="1"/>
      <c r="G1914" s="1"/>
      <c r="H1914" s="1"/>
    </row>
    <row r="1915" spans="1:8" ht="12.5">
      <c r="A1915" s="1"/>
      <c r="B1915" s="1"/>
      <c r="C1915" s="1"/>
      <c r="D1915" s="1"/>
      <c r="E1915" s="1"/>
      <c r="F1915" s="1"/>
      <c r="G1915" s="1"/>
      <c r="H1915" s="1"/>
    </row>
    <row r="1916" spans="1:8" ht="12.5">
      <c r="A1916" s="1"/>
      <c r="B1916" s="1"/>
      <c r="C1916" s="1"/>
      <c r="D1916" s="1"/>
      <c r="E1916" s="1"/>
      <c r="F1916" s="1"/>
      <c r="G1916" s="1"/>
      <c r="H1916" s="1"/>
    </row>
    <row r="1917" spans="1:8" ht="12.5">
      <c r="A1917" s="1"/>
      <c r="B1917" s="1"/>
      <c r="C1917" s="1"/>
      <c r="D1917" s="1"/>
      <c r="E1917" s="1"/>
      <c r="F1917" s="1"/>
      <c r="G1917" s="1"/>
      <c r="H1917" s="1"/>
    </row>
    <row r="1918" spans="1:8" ht="12.5">
      <c r="A1918" s="1"/>
      <c r="B1918" s="1"/>
      <c r="C1918" s="1"/>
      <c r="D1918" s="1"/>
      <c r="E1918" s="1"/>
      <c r="F1918" s="1"/>
      <c r="G1918" s="1"/>
      <c r="H1918" s="1"/>
    </row>
    <row r="1919" spans="1:8" ht="12.5">
      <c r="A1919" s="1"/>
      <c r="B1919" s="1"/>
      <c r="C1919" s="1"/>
      <c r="D1919" s="1"/>
      <c r="E1919" s="1"/>
      <c r="F1919" s="1"/>
      <c r="G1919" s="1"/>
      <c r="H1919" s="1"/>
    </row>
    <row r="1920" spans="1:8" ht="12.5">
      <c r="A1920" s="1"/>
      <c r="B1920" s="1"/>
      <c r="C1920" s="1"/>
      <c r="D1920" s="1"/>
      <c r="E1920" s="1"/>
      <c r="F1920" s="1"/>
      <c r="G1920" s="1"/>
      <c r="H1920" s="1"/>
    </row>
    <row r="1921" spans="1:8" ht="12.5">
      <c r="A1921" s="1"/>
      <c r="B1921" s="1"/>
      <c r="C1921" s="1"/>
      <c r="D1921" s="1"/>
      <c r="E1921" s="1"/>
      <c r="F1921" s="1"/>
      <c r="G1921" s="1"/>
      <c r="H1921" s="1"/>
    </row>
    <row r="1922" spans="1:8" ht="12.5">
      <c r="A1922" s="1"/>
      <c r="B1922" s="1"/>
      <c r="C1922" s="1"/>
      <c r="D1922" s="1"/>
      <c r="E1922" s="1"/>
      <c r="F1922" s="1"/>
      <c r="G1922" s="1"/>
      <c r="H1922" s="1"/>
    </row>
    <row r="1923" spans="1:8" ht="12.5">
      <c r="A1923" s="1"/>
      <c r="B1923" s="1"/>
      <c r="C1923" s="1"/>
      <c r="D1923" s="1"/>
      <c r="E1923" s="1"/>
      <c r="F1923" s="1"/>
      <c r="G1923" s="1"/>
      <c r="H1923" s="1"/>
    </row>
    <row r="1924" spans="1:8" ht="12.5">
      <c r="A1924" s="1"/>
      <c r="B1924" s="1"/>
      <c r="C1924" s="1"/>
      <c r="D1924" s="1"/>
      <c r="E1924" s="1"/>
      <c r="F1924" s="1"/>
      <c r="G1924" s="1"/>
      <c r="H1924" s="1"/>
    </row>
    <row r="1925" spans="1:8" ht="12.5">
      <c r="A1925" s="1"/>
      <c r="B1925" s="1"/>
      <c r="C1925" s="1"/>
      <c r="D1925" s="1"/>
      <c r="E1925" s="1"/>
      <c r="F1925" s="1"/>
      <c r="G1925" s="1"/>
      <c r="H1925" s="1"/>
    </row>
    <row r="1926" spans="1:8" ht="12.5">
      <c r="A1926" s="1"/>
      <c r="B1926" s="1"/>
      <c r="C1926" s="1"/>
      <c r="D1926" s="1"/>
      <c r="E1926" s="1"/>
      <c r="F1926" s="1"/>
      <c r="G1926" s="1"/>
      <c r="H1926" s="1"/>
    </row>
    <row r="1927" spans="1:8" ht="12.5">
      <c r="A1927" s="1"/>
      <c r="B1927" s="1"/>
      <c r="C1927" s="1"/>
      <c r="D1927" s="1"/>
      <c r="E1927" s="1"/>
      <c r="F1927" s="1"/>
      <c r="G1927" s="1"/>
      <c r="H1927" s="1"/>
    </row>
    <row r="1928" spans="1:8" ht="12.5">
      <c r="A1928" s="1"/>
      <c r="B1928" s="1"/>
      <c r="C1928" s="1"/>
      <c r="D1928" s="1"/>
      <c r="E1928" s="1"/>
      <c r="F1928" s="1"/>
      <c r="G1928" s="1"/>
      <c r="H1928" s="1"/>
    </row>
    <row r="1929" spans="1:8" ht="12.5">
      <c r="A1929" s="1"/>
      <c r="B1929" s="1"/>
      <c r="C1929" s="1"/>
      <c r="D1929" s="1"/>
      <c r="E1929" s="1"/>
      <c r="F1929" s="1"/>
      <c r="G1929" s="1"/>
      <c r="H1929" s="1"/>
    </row>
    <row r="1930" spans="1:8" ht="12.5">
      <c r="A1930" s="1"/>
      <c r="B1930" s="1"/>
      <c r="C1930" s="1"/>
      <c r="D1930" s="1"/>
      <c r="E1930" s="1"/>
      <c r="F1930" s="1"/>
      <c r="G1930" s="1"/>
      <c r="H1930" s="1"/>
    </row>
    <row r="1931" spans="1:8" ht="12.5">
      <c r="A1931" s="1"/>
      <c r="B1931" s="1"/>
      <c r="C1931" s="1"/>
      <c r="D1931" s="1"/>
      <c r="E1931" s="1"/>
      <c r="F1931" s="1"/>
      <c r="G1931" s="1"/>
      <c r="H1931" s="1"/>
    </row>
    <row r="1932" spans="1:8" ht="12.5">
      <c r="A1932" s="1"/>
      <c r="B1932" s="1"/>
      <c r="C1932" s="1"/>
      <c r="D1932" s="1"/>
      <c r="E1932" s="1"/>
      <c r="F1932" s="1"/>
      <c r="G1932" s="1"/>
      <c r="H1932" s="1"/>
    </row>
    <row r="1933" spans="1:8" ht="12.5">
      <c r="A1933" s="1"/>
      <c r="B1933" s="1"/>
      <c r="C1933" s="1"/>
      <c r="D1933" s="1"/>
      <c r="E1933" s="1"/>
      <c r="F1933" s="1"/>
      <c r="G1933" s="1"/>
      <c r="H1933" s="1"/>
    </row>
    <row r="1934" spans="1:8" ht="12.5">
      <c r="A1934" s="1"/>
      <c r="B1934" s="1"/>
      <c r="C1934" s="1"/>
      <c r="D1934" s="1"/>
      <c r="E1934" s="1"/>
      <c r="F1934" s="1"/>
      <c r="G1934" s="1"/>
      <c r="H1934" s="1"/>
    </row>
    <row r="1935" spans="1:8" ht="12.5">
      <c r="A1935" s="1"/>
      <c r="B1935" s="1"/>
      <c r="C1935" s="1"/>
      <c r="D1935" s="1"/>
      <c r="E1935" s="1"/>
      <c r="F1935" s="1"/>
      <c r="G1935" s="1"/>
      <c r="H1935" s="1"/>
    </row>
    <row r="1936" spans="1:8" ht="12.5">
      <c r="A1936" s="1"/>
      <c r="B1936" s="1"/>
      <c r="C1936" s="1"/>
      <c r="D1936" s="1"/>
      <c r="E1936" s="1"/>
      <c r="F1936" s="1"/>
      <c r="G1936" s="1"/>
      <c r="H1936" s="1"/>
    </row>
    <row r="1937" spans="1:8" ht="12.5">
      <c r="A1937" s="1"/>
      <c r="B1937" s="1"/>
      <c r="C1937" s="1"/>
      <c r="D1937" s="1"/>
      <c r="E1937" s="1"/>
      <c r="F1937" s="1"/>
      <c r="G1937" s="1"/>
      <c r="H1937" s="1"/>
    </row>
    <row r="1938" spans="1:8" ht="12.5">
      <c r="A1938" s="1"/>
      <c r="B1938" s="1"/>
      <c r="C1938" s="1"/>
      <c r="D1938" s="1"/>
      <c r="E1938" s="1"/>
      <c r="F1938" s="1"/>
      <c r="G1938" s="1"/>
      <c r="H1938" s="1"/>
    </row>
    <row r="1939" spans="1:8" ht="12.5">
      <c r="A1939" s="1"/>
      <c r="B1939" s="1"/>
      <c r="C1939" s="1"/>
      <c r="D1939" s="1"/>
      <c r="E1939" s="1"/>
      <c r="F1939" s="1"/>
      <c r="G1939" s="1"/>
      <c r="H1939" s="1"/>
    </row>
    <row r="1940" spans="1:8" ht="12.5">
      <c r="A1940" s="1"/>
      <c r="B1940" s="1"/>
      <c r="C1940" s="1"/>
      <c r="D1940" s="1"/>
      <c r="E1940" s="1"/>
      <c r="F1940" s="1"/>
      <c r="G1940" s="1"/>
      <c r="H1940" s="1"/>
    </row>
    <row r="1941" spans="1:8" ht="12.5">
      <c r="A1941" s="1"/>
      <c r="B1941" s="1"/>
      <c r="C1941" s="1"/>
      <c r="D1941" s="1"/>
      <c r="E1941" s="1"/>
      <c r="F1941" s="1"/>
      <c r="G1941" s="1"/>
      <c r="H1941" s="1"/>
    </row>
    <row r="1942" spans="1:8" ht="12.5">
      <c r="A1942" s="1"/>
      <c r="B1942" s="1"/>
      <c r="C1942" s="1"/>
      <c r="D1942" s="1"/>
      <c r="E1942" s="1"/>
      <c r="F1942" s="1"/>
      <c r="G1942" s="1"/>
      <c r="H1942" s="1"/>
    </row>
    <row r="1943" spans="1:8" ht="12.5">
      <c r="A1943" s="1"/>
      <c r="B1943" s="1"/>
      <c r="C1943" s="1"/>
      <c r="D1943" s="1"/>
      <c r="E1943" s="1"/>
      <c r="F1943" s="1"/>
      <c r="G1943" s="1"/>
      <c r="H1943" s="1"/>
    </row>
    <row r="1944" spans="1:8" ht="12.5">
      <c r="A1944" s="1"/>
      <c r="B1944" s="1"/>
      <c r="C1944" s="1"/>
      <c r="D1944" s="1"/>
      <c r="E1944" s="1"/>
      <c r="F1944" s="1"/>
      <c r="G1944" s="1"/>
      <c r="H1944" s="1"/>
    </row>
    <row r="1945" spans="1:8" ht="12.5">
      <c r="A1945" s="1"/>
      <c r="B1945" s="1"/>
      <c r="C1945" s="1"/>
      <c r="D1945" s="1"/>
      <c r="E1945" s="1"/>
      <c r="F1945" s="1"/>
      <c r="G1945" s="1"/>
      <c r="H1945" s="1"/>
    </row>
    <row r="1946" spans="1:8" ht="12.5">
      <c r="A1946" s="1"/>
      <c r="B1946" s="1"/>
      <c r="C1946" s="1"/>
      <c r="D1946" s="1"/>
      <c r="E1946" s="1"/>
      <c r="F1946" s="1"/>
      <c r="G1946" s="1"/>
      <c r="H1946" s="1"/>
    </row>
    <row r="1947" spans="1:8" ht="12.5">
      <c r="A1947" s="1"/>
      <c r="B1947" s="1"/>
      <c r="C1947" s="1"/>
      <c r="D1947" s="1"/>
      <c r="E1947" s="1"/>
      <c r="F1947" s="1"/>
      <c r="G1947" s="1"/>
      <c r="H1947" s="1"/>
    </row>
    <row r="1948" spans="1:8" ht="12.5">
      <c r="A1948" s="1"/>
      <c r="B1948" s="1"/>
      <c r="C1948" s="1"/>
      <c r="D1948" s="1"/>
      <c r="E1948" s="1"/>
      <c r="F1948" s="1"/>
      <c r="G1948" s="1"/>
      <c r="H1948" s="1"/>
    </row>
    <row r="1949" spans="1:8" ht="12.5">
      <c r="A1949" s="1"/>
      <c r="B1949" s="1"/>
      <c r="C1949" s="1"/>
      <c r="D1949" s="1"/>
      <c r="E1949" s="1"/>
      <c r="F1949" s="1"/>
      <c r="G1949" s="1"/>
      <c r="H1949" s="1"/>
    </row>
    <row r="1950" spans="1:8" ht="12.5">
      <c r="A1950" s="1"/>
      <c r="B1950" s="1"/>
      <c r="C1950" s="1"/>
      <c r="D1950" s="1"/>
      <c r="E1950" s="1"/>
      <c r="F1950" s="1"/>
      <c r="G1950" s="1"/>
      <c r="H1950" s="1"/>
    </row>
    <row r="1951" spans="1:8" ht="12.5">
      <c r="A1951" s="1"/>
      <c r="B1951" s="1"/>
      <c r="C1951" s="1"/>
      <c r="D1951" s="1"/>
      <c r="E1951" s="1"/>
      <c r="F1951" s="1"/>
      <c r="G1951" s="1"/>
      <c r="H1951" s="1"/>
    </row>
    <row r="1952" spans="1:8" ht="12.5">
      <c r="A1952" s="1"/>
      <c r="B1952" s="1"/>
      <c r="C1952" s="1"/>
      <c r="D1952" s="1"/>
      <c r="E1952" s="1"/>
      <c r="F1952" s="1"/>
      <c r="G1952" s="1"/>
      <c r="H1952" s="1"/>
    </row>
    <row r="1953" spans="1:8" ht="12.5">
      <c r="A1953" s="1"/>
      <c r="B1953" s="1"/>
      <c r="C1953" s="1"/>
      <c r="D1953" s="1"/>
      <c r="E1953" s="1"/>
      <c r="F1953" s="1"/>
      <c r="G1953" s="1"/>
      <c r="H1953" s="1"/>
    </row>
    <row r="1954" spans="1:8" ht="12.5">
      <c r="A1954" s="1"/>
      <c r="B1954" s="1"/>
      <c r="C1954" s="1"/>
      <c r="D1954" s="1"/>
      <c r="E1954" s="1"/>
      <c r="F1954" s="1"/>
      <c r="G1954" s="1"/>
      <c r="H1954" s="1"/>
    </row>
    <row r="1955" spans="1:8" ht="12.5">
      <c r="A1955" s="1"/>
      <c r="B1955" s="1"/>
      <c r="C1955" s="1"/>
      <c r="D1955" s="1"/>
      <c r="E1955" s="1"/>
      <c r="F1955" s="1"/>
      <c r="G1955" s="1"/>
      <c r="H1955" s="1"/>
    </row>
    <row r="1956" spans="1:8" ht="12.5">
      <c r="A1956" s="1"/>
      <c r="B1956" s="1"/>
      <c r="C1956" s="1"/>
      <c r="D1956" s="1"/>
      <c r="E1956" s="1"/>
      <c r="F1956" s="1"/>
      <c r="G1956" s="1"/>
      <c r="H1956" s="1"/>
    </row>
    <row r="1957" spans="1:8" ht="12.5">
      <c r="A1957" s="1"/>
      <c r="B1957" s="1"/>
      <c r="C1957" s="1"/>
      <c r="D1957" s="1"/>
      <c r="E1957" s="1"/>
      <c r="F1957" s="1"/>
      <c r="G1957" s="1"/>
      <c r="H1957" s="1"/>
    </row>
    <row r="1958" spans="1:8" ht="12.5">
      <c r="A1958" s="1"/>
      <c r="B1958" s="1"/>
      <c r="C1958" s="1"/>
      <c r="D1958" s="1"/>
      <c r="E1958" s="1"/>
      <c r="F1958" s="1"/>
      <c r="G1958" s="1"/>
      <c r="H1958" s="1"/>
    </row>
    <row r="1959" spans="1:8" ht="12.5">
      <c r="A1959" s="1"/>
      <c r="B1959" s="1"/>
      <c r="C1959" s="1"/>
      <c r="D1959" s="1"/>
      <c r="E1959" s="1"/>
      <c r="F1959" s="1"/>
      <c r="G1959" s="1"/>
      <c r="H1959" s="1"/>
    </row>
    <row r="1960" spans="1:8" ht="12.5">
      <c r="A1960" s="1"/>
      <c r="B1960" s="1"/>
      <c r="C1960" s="1"/>
      <c r="D1960" s="1"/>
      <c r="E1960" s="1"/>
      <c r="F1960" s="1"/>
      <c r="G1960" s="1"/>
      <c r="H1960" s="1"/>
    </row>
    <row r="1961" spans="1:8" ht="12.5">
      <c r="A1961" s="1"/>
      <c r="B1961" s="1"/>
      <c r="C1961" s="1"/>
      <c r="D1961" s="1"/>
      <c r="E1961" s="1"/>
      <c r="F1961" s="1"/>
      <c r="G1961" s="1"/>
      <c r="H1961" s="1"/>
    </row>
    <row r="1962" spans="1:8" ht="12.5">
      <c r="A1962" s="1"/>
      <c r="B1962" s="1"/>
      <c r="C1962" s="1"/>
      <c r="D1962" s="1"/>
      <c r="E1962" s="1"/>
      <c r="F1962" s="1"/>
      <c r="G1962" s="1"/>
      <c r="H1962" s="1"/>
    </row>
    <row r="1963" spans="1:8" ht="12.5">
      <c r="A1963" s="1"/>
      <c r="B1963" s="1"/>
      <c r="C1963" s="1"/>
      <c r="D1963" s="1"/>
      <c r="E1963" s="1"/>
      <c r="F1963" s="1"/>
      <c r="G1963" s="1"/>
      <c r="H1963" s="1"/>
    </row>
    <row r="1964" spans="1:8" ht="12.5">
      <c r="A1964" s="1"/>
      <c r="B1964" s="1"/>
      <c r="C1964" s="1"/>
      <c r="D1964" s="1"/>
      <c r="E1964" s="1"/>
      <c r="F1964" s="1"/>
      <c r="G1964" s="1"/>
      <c r="H1964" s="1"/>
    </row>
    <row r="1965" spans="1:8" ht="12.5">
      <c r="A1965" s="1"/>
      <c r="B1965" s="1"/>
      <c r="C1965" s="1"/>
      <c r="D1965" s="1"/>
      <c r="E1965" s="1"/>
      <c r="F1965" s="1"/>
      <c r="G1965" s="1"/>
      <c r="H1965" s="1"/>
    </row>
    <row r="1966" spans="1:8" ht="12.5">
      <c r="A1966" s="1"/>
      <c r="B1966" s="1"/>
      <c r="C1966" s="1"/>
      <c r="D1966" s="1"/>
      <c r="E1966" s="1"/>
      <c r="F1966" s="1"/>
      <c r="G1966" s="1"/>
      <c r="H1966" s="1"/>
    </row>
    <row r="1967" spans="1:8" ht="12.5">
      <c r="A1967" s="1"/>
      <c r="B1967" s="1"/>
      <c r="C1967" s="1"/>
      <c r="D1967" s="1"/>
      <c r="E1967" s="1"/>
      <c r="F1967" s="1"/>
      <c r="G1967" s="1"/>
      <c r="H1967" s="1"/>
    </row>
    <row r="1968" spans="1:8" ht="12.5">
      <c r="A1968" s="1"/>
      <c r="B1968" s="1"/>
      <c r="C1968" s="1"/>
      <c r="D1968" s="1"/>
      <c r="E1968" s="1"/>
      <c r="F1968" s="1"/>
      <c r="G1968" s="1"/>
      <c r="H1968" s="1"/>
    </row>
    <row r="1969" spans="1:8" ht="12.5">
      <c r="A1969" s="1"/>
      <c r="B1969" s="1"/>
      <c r="C1969" s="1"/>
      <c r="D1969" s="1"/>
      <c r="E1969" s="1"/>
      <c r="F1969" s="1"/>
      <c r="G1969" s="1"/>
      <c r="H1969" s="1"/>
    </row>
    <row r="1970" spans="1:8" ht="12.5">
      <c r="A1970" s="1"/>
      <c r="B1970" s="1"/>
      <c r="C1970" s="1"/>
      <c r="D1970" s="1"/>
      <c r="E1970" s="1"/>
      <c r="F1970" s="1"/>
      <c r="G1970" s="1"/>
      <c r="H1970" s="1"/>
    </row>
    <row r="1971" spans="1:8" ht="12.5">
      <c r="A1971" s="1"/>
      <c r="B1971" s="1"/>
      <c r="C1971" s="1"/>
      <c r="D1971" s="1"/>
      <c r="E1971" s="1"/>
      <c r="F1971" s="1"/>
      <c r="G1971" s="1"/>
      <c r="H1971" s="1"/>
    </row>
    <row r="1972" spans="1:8" ht="12.5">
      <c r="A1972" s="1"/>
      <c r="B1972" s="1"/>
      <c r="C1972" s="1"/>
      <c r="D1972" s="1"/>
      <c r="E1972" s="1"/>
      <c r="F1972" s="1"/>
      <c r="G1972" s="1"/>
      <c r="H1972" s="1"/>
    </row>
    <row r="1973" spans="1:8" ht="12.5">
      <c r="A1973" s="1"/>
      <c r="B1973" s="1"/>
      <c r="C1973" s="1"/>
      <c r="D1973" s="1"/>
      <c r="E1973" s="1"/>
      <c r="F1973" s="1"/>
      <c r="G1973" s="1"/>
      <c r="H1973" s="1"/>
    </row>
    <row r="1974" spans="1:8" ht="12.5">
      <c r="A1974" s="1"/>
      <c r="B1974" s="1"/>
      <c r="C1974" s="1"/>
      <c r="D1974" s="1"/>
      <c r="E1974" s="1"/>
      <c r="F1974" s="1"/>
      <c r="G1974" s="1"/>
      <c r="H1974" s="1"/>
    </row>
    <row r="1975" spans="1:8" ht="12.5">
      <c r="A1975" s="1"/>
      <c r="B1975" s="1"/>
      <c r="C1975" s="1"/>
      <c r="D1975" s="1"/>
      <c r="E1975" s="1"/>
      <c r="F1975" s="1"/>
      <c r="G1975" s="1"/>
      <c r="H1975" s="1"/>
    </row>
    <row r="1976" spans="1:8" ht="12.5">
      <c r="A1976" s="1"/>
      <c r="B1976" s="1"/>
      <c r="C1976" s="1"/>
      <c r="D1976" s="1"/>
      <c r="E1976" s="1"/>
      <c r="F1976" s="1"/>
      <c r="G1976" s="1"/>
      <c r="H1976" s="1"/>
    </row>
    <row r="1977" spans="1:8" ht="12.5">
      <c r="A1977" s="1"/>
      <c r="B1977" s="1"/>
      <c r="C1977" s="1"/>
      <c r="D1977" s="1"/>
      <c r="E1977" s="1"/>
      <c r="F1977" s="1"/>
      <c r="G1977" s="1"/>
      <c r="H1977" s="1"/>
    </row>
    <row r="1978" spans="1:8" ht="12.5">
      <c r="A1978" s="1"/>
      <c r="B1978" s="1"/>
      <c r="C1978" s="1"/>
      <c r="D1978" s="1"/>
      <c r="E1978" s="1"/>
      <c r="F1978" s="1"/>
      <c r="G1978" s="1"/>
      <c r="H1978" s="1"/>
    </row>
    <row r="1979" spans="1:8" ht="12.5">
      <c r="A1979" s="1"/>
      <c r="B1979" s="1"/>
      <c r="C1979" s="1"/>
      <c r="D1979" s="1"/>
      <c r="E1979" s="1"/>
      <c r="F1979" s="1"/>
      <c r="G1979" s="1"/>
      <c r="H1979" s="1"/>
    </row>
    <row r="1980" spans="1:8" ht="12.5">
      <c r="A1980" s="1"/>
      <c r="B1980" s="1"/>
      <c r="C1980" s="1"/>
      <c r="D1980" s="1"/>
      <c r="E1980" s="1"/>
      <c r="F1980" s="1"/>
      <c r="G1980" s="1"/>
      <c r="H1980" s="1"/>
    </row>
    <row r="1981" spans="1:8" ht="12.5">
      <c r="A1981" s="1"/>
      <c r="B1981" s="1"/>
      <c r="C1981" s="1"/>
      <c r="D1981" s="1"/>
      <c r="E1981" s="1"/>
      <c r="F1981" s="1"/>
      <c r="G1981" s="1"/>
      <c r="H1981" s="1"/>
    </row>
    <row r="1982" spans="1:8" ht="12.5">
      <c r="A1982" s="1"/>
      <c r="B1982" s="1"/>
      <c r="C1982" s="1"/>
      <c r="D1982" s="1"/>
      <c r="E1982" s="1"/>
      <c r="F1982" s="1"/>
      <c r="G1982" s="1"/>
      <c r="H1982" s="1"/>
    </row>
    <row r="1983" spans="1:8" ht="12.5">
      <c r="A1983" s="1"/>
      <c r="B1983" s="1"/>
      <c r="C1983" s="1"/>
      <c r="D1983" s="1"/>
      <c r="E1983" s="1"/>
      <c r="F1983" s="1"/>
      <c r="G1983" s="1"/>
      <c r="H1983" s="1"/>
    </row>
    <row r="1984" spans="1:8" ht="12.5">
      <c r="A1984" s="1"/>
      <c r="B1984" s="1"/>
      <c r="C1984" s="1"/>
      <c r="D1984" s="1"/>
      <c r="E1984" s="1"/>
      <c r="F1984" s="1"/>
      <c r="G1984" s="1"/>
      <c r="H1984" s="1"/>
    </row>
    <row r="1985" spans="1:8" ht="12.5">
      <c r="A1985" s="1"/>
      <c r="B1985" s="1"/>
      <c r="C1985" s="1"/>
      <c r="D1985" s="1"/>
      <c r="E1985" s="1"/>
      <c r="F1985" s="1"/>
      <c r="G1985" s="1"/>
      <c r="H1985" s="1"/>
    </row>
    <row r="1986" spans="1:8" ht="12.5">
      <c r="A1986" s="1"/>
      <c r="B1986" s="1"/>
      <c r="C1986" s="1"/>
      <c r="D1986" s="1"/>
      <c r="E1986" s="1"/>
      <c r="F1986" s="1"/>
      <c r="G1986" s="1"/>
      <c r="H1986" s="1"/>
    </row>
    <row r="1987" spans="1:8" ht="12.5">
      <c r="A1987" s="1"/>
      <c r="B1987" s="1"/>
      <c r="C1987" s="1"/>
      <c r="D1987" s="1"/>
      <c r="E1987" s="1"/>
      <c r="F1987" s="1"/>
      <c r="G1987" s="1"/>
      <c r="H1987" s="1"/>
    </row>
    <row r="1988" spans="1:8" ht="12.5">
      <c r="A1988" s="1"/>
      <c r="B1988" s="1"/>
      <c r="C1988" s="1"/>
      <c r="D1988" s="1"/>
      <c r="E1988" s="1"/>
      <c r="F1988" s="1"/>
      <c r="G1988" s="1"/>
      <c r="H1988" s="1"/>
    </row>
    <row r="1989" spans="1:8" ht="12.5">
      <c r="A1989" s="1"/>
      <c r="B1989" s="1"/>
      <c r="C1989" s="1"/>
      <c r="D1989" s="1"/>
      <c r="E1989" s="1"/>
      <c r="F1989" s="1"/>
      <c r="G1989" s="1"/>
      <c r="H1989" s="1"/>
    </row>
    <row r="1990" spans="1:8" ht="12.5">
      <c r="A1990" s="1"/>
      <c r="B1990" s="1"/>
      <c r="C1990" s="1"/>
      <c r="D1990" s="1"/>
      <c r="E1990" s="1"/>
      <c r="F1990" s="1"/>
      <c r="G1990" s="1"/>
      <c r="H1990" s="1"/>
    </row>
    <row r="1991" spans="1:8" ht="12.5">
      <c r="A1991" s="1"/>
      <c r="B1991" s="1"/>
      <c r="C1991" s="1"/>
      <c r="D1991" s="1"/>
      <c r="E1991" s="1"/>
      <c r="F1991" s="1"/>
      <c r="G1991" s="1"/>
      <c r="H1991" s="1"/>
    </row>
    <row r="1992" spans="1:8" ht="12.5">
      <c r="A1992" s="1"/>
      <c r="B1992" s="1"/>
      <c r="C1992" s="1"/>
      <c r="D1992" s="1"/>
      <c r="E1992" s="1"/>
      <c r="F1992" s="1"/>
      <c r="G1992" s="1"/>
      <c r="H1992" s="1"/>
    </row>
    <row r="1993" spans="1:8" ht="12.5">
      <c r="A1993" s="1"/>
      <c r="B1993" s="1"/>
      <c r="C1993" s="1"/>
      <c r="D1993" s="1"/>
      <c r="E1993" s="1"/>
      <c r="F1993" s="1"/>
      <c r="G1993" s="1"/>
      <c r="H1993" s="1"/>
    </row>
    <row r="1994" spans="1:8" ht="12.5">
      <c r="A1994" s="1"/>
      <c r="B1994" s="1"/>
      <c r="C1994" s="1"/>
      <c r="D1994" s="1"/>
      <c r="E1994" s="1"/>
      <c r="F1994" s="1"/>
      <c r="G1994" s="1"/>
      <c r="H1994" s="1"/>
    </row>
    <row r="1995" spans="1:8" ht="12.5">
      <c r="A1995" s="1"/>
      <c r="B1995" s="1"/>
      <c r="C1995" s="1"/>
      <c r="D1995" s="1"/>
      <c r="E1995" s="1"/>
      <c r="F1995" s="1"/>
      <c r="G1995" s="1"/>
      <c r="H1995" s="1"/>
    </row>
    <row r="1996" spans="1:8" ht="12.5">
      <c r="A1996" s="1"/>
      <c r="B1996" s="1"/>
      <c r="C1996" s="1"/>
      <c r="D1996" s="1"/>
      <c r="E1996" s="1"/>
      <c r="F1996" s="1"/>
      <c r="G1996" s="1"/>
      <c r="H1996" s="1"/>
    </row>
    <row r="1997" spans="1:8" ht="12.5">
      <c r="A1997" s="1"/>
      <c r="B1997" s="1"/>
      <c r="C1997" s="1"/>
      <c r="D1997" s="1"/>
      <c r="E1997" s="1"/>
      <c r="F1997" s="1"/>
      <c r="G1997" s="1"/>
      <c r="H1997" s="1"/>
    </row>
    <row r="1998" spans="1:8" ht="12.5">
      <c r="A1998" s="1"/>
      <c r="B1998" s="1"/>
      <c r="C1998" s="1"/>
      <c r="D1998" s="1"/>
      <c r="E1998" s="1"/>
      <c r="F1998" s="1"/>
      <c r="G1998" s="1"/>
      <c r="H1998" s="1"/>
    </row>
    <row r="1999" spans="1:8" ht="12.5">
      <c r="A1999" s="1"/>
      <c r="B1999" s="1"/>
      <c r="C1999" s="1"/>
      <c r="D1999" s="1"/>
      <c r="E1999" s="1"/>
      <c r="F1999" s="1"/>
      <c r="G1999" s="1"/>
      <c r="H1999" s="1"/>
    </row>
    <row r="2000" spans="1:8" ht="12.5">
      <c r="A2000" s="1"/>
      <c r="B2000" s="1"/>
      <c r="C2000" s="1"/>
      <c r="D2000" s="1"/>
      <c r="E2000" s="1"/>
      <c r="F2000" s="1"/>
      <c r="G2000" s="1"/>
      <c r="H2000" s="1"/>
    </row>
    <row r="2001" spans="1:8" ht="12.5">
      <c r="A2001" s="1"/>
      <c r="B2001" s="1"/>
      <c r="C2001" s="1"/>
      <c r="D2001" s="1"/>
      <c r="E2001" s="1"/>
      <c r="F2001" s="1"/>
      <c r="G2001" s="1"/>
      <c r="H2001" s="1"/>
    </row>
    <row r="2002" spans="1:8" ht="12.5">
      <c r="A2002" s="1"/>
      <c r="B2002" s="1"/>
      <c r="C2002" s="1"/>
      <c r="D2002" s="1"/>
      <c r="E2002" s="1"/>
      <c r="F2002" s="1"/>
      <c r="G2002" s="1"/>
      <c r="H2002" s="1"/>
    </row>
    <row r="2003" spans="1:8" ht="12.5">
      <c r="A2003" s="1"/>
      <c r="B2003" s="1"/>
      <c r="C2003" s="1"/>
      <c r="D2003" s="1"/>
      <c r="E2003" s="1"/>
      <c r="F2003" s="1"/>
      <c r="G2003" s="1"/>
      <c r="H2003" s="1"/>
    </row>
    <row r="2004" spans="1:8" ht="12.5">
      <c r="A2004" s="1"/>
      <c r="B2004" s="1"/>
      <c r="C2004" s="1"/>
      <c r="D2004" s="1"/>
      <c r="E2004" s="1"/>
      <c r="F2004" s="1"/>
      <c r="G2004" s="1"/>
      <c r="H2004" s="1"/>
    </row>
    <row r="2005" spans="1:8" ht="12.5">
      <c r="A2005" s="1"/>
      <c r="B2005" s="1"/>
      <c r="C2005" s="1"/>
      <c r="D2005" s="1"/>
      <c r="E2005" s="1"/>
      <c r="F2005" s="1"/>
      <c r="G2005" s="1"/>
      <c r="H2005" s="1"/>
    </row>
    <row r="2006" spans="1:8" ht="12.5">
      <c r="A2006" s="1"/>
      <c r="B2006" s="1"/>
      <c r="C2006" s="1"/>
      <c r="D2006" s="1"/>
      <c r="E2006" s="1"/>
      <c r="F2006" s="1"/>
      <c r="G2006" s="1"/>
      <c r="H2006" s="1"/>
    </row>
    <row r="2007" spans="1:8" ht="12.5">
      <c r="A2007" s="1"/>
      <c r="B2007" s="1"/>
      <c r="C2007" s="1"/>
      <c r="D2007" s="1"/>
      <c r="E2007" s="1"/>
      <c r="F2007" s="1"/>
      <c r="G2007" s="1"/>
      <c r="H2007" s="1"/>
    </row>
    <row r="2008" spans="1:8" ht="12.5">
      <c r="A2008" s="1"/>
      <c r="B2008" s="1"/>
      <c r="C2008" s="1"/>
      <c r="D2008" s="1"/>
      <c r="E2008" s="1"/>
      <c r="F2008" s="1"/>
      <c r="G2008" s="1"/>
      <c r="H2008" s="1"/>
    </row>
    <row r="2009" spans="1:8" ht="12.5">
      <c r="A2009" s="1"/>
      <c r="B2009" s="1"/>
      <c r="C2009" s="1"/>
      <c r="D2009" s="1"/>
      <c r="E2009" s="1"/>
      <c r="F2009" s="1"/>
      <c r="G2009" s="1"/>
      <c r="H2009" s="1"/>
    </row>
    <row r="2010" spans="1:8" ht="12.5">
      <c r="A2010" s="1"/>
      <c r="B2010" s="1"/>
      <c r="C2010" s="1"/>
      <c r="D2010" s="1"/>
      <c r="E2010" s="1"/>
      <c r="F2010" s="1"/>
      <c r="G2010" s="1"/>
      <c r="H2010" s="1"/>
    </row>
    <row r="2011" spans="1:8" ht="12.5">
      <c r="A2011" s="1"/>
      <c r="B2011" s="1"/>
      <c r="C2011" s="1"/>
      <c r="D2011" s="1"/>
      <c r="E2011" s="1"/>
      <c r="F2011" s="1"/>
      <c r="G2011" s="1"/>
      <c r="H2011" s="1"/>
    </row>
    <row r="2012" spans="1:8" ht="12.5">
      <c r="A2012" s="1"/>
      <c r="B2012" s="1"/>
      <c r="C2012" s="1"/>
      <c r="D2012" s="1"/>
      <c r="E2012" s="1"/>
      <c r="F2012" s="1"/>
      <c r="G2012" s="1"/>
      <c r="H2012" s="1"/>
    </row>
    <row r="2013" spans="1:8" ht="12.5">
      <c r="A2013" s="1"/>
      <c r="B2013" s="1"/>
      <c r="C2013" s="1"/>
      <c r="D2013" s="1"/>
      <c r="E2013" s="1"/>
      <c r="F2013" s="1"/>
      <c r="G2013" s="1"/>
      <c r="H2013" s="1"/>
    </row>
    <row r="2014" spans="1:8" ht="12.5">
      <c r="A2014" s="1"/>
      <c r="B2014" s="1"/>
      <c r="C2014" s="1"/>
      <c r="D2014" s="1"/>
      <c r="E2014" s="1"/>
      <c r="F2014" s="1"/>
      <c r="G2014" s="1"/>
      <c r="H2014" s="1"/>
    </row>
    <row r="2015" spans="1:8" ht="12.5">
      <c r="A2015" s="1"/>
      <c r="B2015" s="1"/>
      <c r="C2015" s="1"/>
      <c r="D2015" s="1"/>
      <c r="E2015" s="1"/>
      <c r="F2015" s="1"/>
      <c r="G2015" s="1"/>
      <c r="H2015" s="1"/>
    </row>
    <row r="2016" spans="1:8" ht="12.5">
      <c r="A2016" s="1"/>
      <c r="B2016" s="1"/>
      <c r="C2016" s="1"/>
      <c r="D2016" s="1"/>
      <c r="E2016" s="1"/>
      <c r="F2016" s="1"/>
      <c r="G2016" s="1"/>
      <c r="H2016" s="1"/>
    </row>
    <row r="2017" spans="1:8" ht="12.5">
      <c r="A2017" s="1"/>
      <c r="B2017" s="1"/>
      <c r="C2017" s="1"/>
      <c r="D2017" s="1"/>
      <c r="E2017" s="1"/>
      <c r="F2017" s="1"/>
      <c r="G2017" s="1"/>
      <c r="H2017" s="1"/>
    </row>
    <row r="2018" spans="1:8" ht="12.5">
      <c r="A2018" s="1"/>
      <c r="B2018" s="1"/>
      <c r="C2018" s="1"/>
      <c r="D2018" s="1"/>
      <c r="E2018" s="1"/>
      <c r="F2018" s="1"/>
      <c r="G2018" s="1"/>
      <c r="H2018" s="1"/>
    </row>
    <row r="2019" spans="1:8" ht="12.5">
      <c r="A2019" s="1"/>
      <c r="B2019" s="1"/>
      <c r="C2019" s="1"/>
      <c r="D2019" s="1"/>
      <c r="E2019" s="1"/>
      <c r="F2019" s="1"/>
      <c r="G2019" s="1"/>
      <c r="H2019" s="1"/>
    </row>
    <row r="2020" spans="1:8" ht="12.5">
      <c r="A2020" s="1"/>
      <c r="B2020" s="1"/>
      <c r="C2020" s="1"/>
      <c r="D2020" s="1"/>
      <c r="E2020" s="1"/>
      <c r="F2020" s="1"/>
      <c r="G2020" s="1"/>
      <c r="H2020" s="1"/>
    </row>
    <row r="2021" spans="1:8" ht="12.5">
      <c r="A2021" s="1"/>
      <c r="B2021" s="1"/>
      <c r="C2021" s="1"/>
      <c r="D2021" s="1"/>
      <c r="E2021" s="1"/>
      <c r="F2021" s="1"/>
      <c r="G2021" s="1"/>
      <c r="H2021" s="1"/>
    </row>
    <row r="2022" spans="1:8" ht="12.5">
      <c r="A2022" s="1"/>
      <c r="B2022" s="1"/>
      <c r="C2022" s="1"/>
      <c r="D2022" s="1"/>
      <c r="E2022" s="1"/>
      <c r="F2022" s="1"/>
      <c r="G2022" s="1"/>
      <c r="H2022" s="1"/>
    </row>
    <row r="2023" spans="1:8" ht="12.5">
      <c r="A2023" s="1"/>
      <c r="B2023" s="1"/>
      <c r="C2023" s="1"/>
      <c r="D2023" s="1"/>
      <c r="E2023" s="1"/>
      <c r="F2023" s="1"/>
      <c r="G2023" s="1"/>
      <c r="H2023" s="1"/>
    </row>
    <row r="2024" spans="1:8" ht="12.5">
      <c r="A2024" s="1"/>
      <c r="B2024" s="1"/>
      <c r="C2024" s="1"/>
      <c r="D2024" s="1"/>
      <c r="E2024" s="1"/>
      <c r="F2024" s="1"/>
      <c r="G2024" s="1"/>
      <c r="H2024" s="1"/>
    </row>
    <row r="2025" spans="1:8" ht="12.5">
      <c r="A2025" s="1"/>
      <c r="B2025" s="1"/>
      <c r="C2025" s="1"/>
      <c r="D2025" s="1"/>
      <c r="E2025" s="1"/>
      <c r="F2025" s="1"/>
      <c r="G2025" s="1"/>
      <c r="H2025" s="1"/>
    </row>
    <row r="2026" spans="1:8" ht="12.5">
      <c r="A2026" s="1"/>
      <c r="B2026" s="1"/>
      <c r="C2026" s="1"/>
      <c r="D2026" s="1"/>
      <c r="E2026" s="1"/>
      <c r="F2026" s="1"/>
      <c r="G2026" s="1"/>
      <c r="H2026" s="1"/>
    </row>
    <row r="2027" spans="1:8" ht="12.5">
      <c r="A2027" s="1"/>
      <c r="B2027" s="1"/>
      <c r="C2027" s="1"/>
      <c r="D2027" s="1"/>
      <c r="E2027" s="1"/>
      <c r="F2027" s="1"/>
      <c r="G2027" s="1"/>
      <c r="H2027" s="1"/>
    </row>
    <row r="2028" spans="1:8" ht="12.5">
      <c r="A2028" s="1"/>
      <c r="B2028" s="1"/>
      <c r="C2028" s="1"/>
      <c r="D2028" s="1"/>
      <c r="E2028" s="1"/>
      <c r="F2028" s="1"/>
      <c r="G2028" s="1"/>
      <c r="H2028" s="1"/>
    </row>
    <row r="2029" spans="1:8" ht="12.5">
      <c r="A2029" s="1"/>
      <c r="B2029" s="1"/>
      <c r="C2029" s="1"/>
      <c r="D2029" s="1"/>
      <c r="E2029" s="1"/>
      <c r="F2029" s="1"/>
      <c r="G2029" s="1"/>
      <c r="H2029" s="1"/>
    </row>
    <row r="2030" spans="1:8" ht="12.5">
      <c r="A2030" s="1"/>
      <c r="B2030" s="1"/>
      <c r="C2030" s="1"/>
      <c r="D2030" s="1"/>
      <c r="E2030" s="1"/>
      <c r="F2030" s="1"/>
      <c r="G2030" s="1"/>
      <c r="H2030" s="1"/>
    </row>
    <row r="2031" spans="1:8" ht="12.5">
      <c r="A2031" s="1"/>
      <c r="B2031" s="1"/>
      <c r="C2031" s="1"/>
      <c r="D2031" s="1"/>
      <c r="E2031" s="1"/>
      <c r="F2031" s="1"/>
      <c r="G2031" s="1"/>
      <c r="H2031" s="1"/>
    </row>
    <row r="2032" spans="1:8" ht="12.5">
      <c r="A2032" s="1"/>
      <c r="B2032" s="1"/>
      <c r="C2032" s="1"/>
      <c r="D2032" s="1"/>
      <c r="E2032" s="1"/>
      <c r="F2032" s="1"/>
      <c r="G2032" s="1"/>
      <c r="H2032" s="1"/>
    </row>
    <row r="2033" spans="1:8" ht="12.5">
      <c r="A2033" s="1"/>
      <c r="B2033" s="1"/>
      <c r="C2033" s="1"/>
      <c r="D2033" s="1"/>
      <c r="E2033" s="1"/>
      <c r="F2033" s="1"/>
      <c r="G2033" s="1"/>
      <c r="H2033" s="1"/>
    </row>
    <row r="2034" spans="1:8" ht="12.5">
      <c r="A2034" s="1"/>
      <c r="B2034" s="1"/>
      <c r="C2034" s="1"/>
      <c r="D2034" s="1"/>
      <c r="E2034" s="1"/>
      <c r="F2034" s="1"/>
      <c r="G2034" s="1"/>
      <c r="H2034" s="1"/>
    </row>
    <row r="2035" spans="1:8" ht="12.5">
      <c r="A2035" s="1"/>
      <c r="B2035" s="1"/>
      <c r="C2035" s="1"/>
      <c r="D2035" s="1"/>
      <c r="E2035" s="1"/>
      <c r="F2035" s="1"/>
      <c r="G2035" s="1"/>
      <c r="H2035" s="1"/>
    </row>
    <row r="2036" spans="1:8" ht="12.5">
      <c r="A2036" s="1"/>
      <c r="B2036" s="1"/>
      <c r="C2036" s="1"/>
      <c r="D2036" s="1"/>
      <c r="E2036" s="1"/>
      <c r="F2036" s="1"/>
      <c r="G2036" s="1"/>
      <c r="H2036" s="1"/>
    </row>
    <row r="2037" spans="1:8" ht="12.5">
      <c r="A2037" s="1"/>
      <c r="B2037" s="1"/>
      <c r="C2037" s="1"/>
      <c r="D2037" s="1"/>
      <c r="E2037" s="1"/>
      <c r="F2037" s="1"/>
      <c r="G2037" s="1"/>
      <c r="H2037" s="1"/>
    </row>
    <row r="2038" spans="1:8" ht="12.5">
      <c r="A2038" s="1"/>
      <c r="B2038" s="1"/>
      <c r="C2038" s="1"/>
      <c r="D2038" s="1"/>
      <c r="E2038" s="1"/>
      <c r="F2038" s="1"/>
      <c r="G2038" s="1"/>
      <c r="H2038" s="1"/>
    </row>
    <row r="2039" spans="1:8" ht="12.5">
      <c r="A2039" s="1"/>
      <c r="B2039" s="1"/>
      <c r="C2039" s="1"/>
      <c r="D2039" s="1"/>
      <c r="E2039" s="1"/>
      <c r="F2039" s="1"/>
      <c r="G2039" s="1"/>
      <c r="H2039" s="1"/>
    </row>
    <row r="2040" spans="1:8" ht="12.5">
      <c r="A2040" s="1"/>
      <c r="B2040" s="1"/>
      <c r="C2040" s="1"/>
      <c r="D2040" s="1"/>
      <c r="E2040" s="1"/>
      <c r="F2040" s="1"/>
      <c r="G2040" s="1"/>
      <c r="H2040" s="1"/>
    </row>
    <row r="2041" spans="1:8" ht="12.5">
      <c r="A2041" s="1"/>
      <c r="B2041" s="1"/>
      <c r="C2041" s="1"/>
      <c r="D2041" s="1"/>
      <c r="E2041" s="1"/>
      <c r="F2041" s="1"/>
      <c r="G2041" s="1"/>
      <c r="H2041" s="1"/>
    </row>
    <row r="2042" spans="1:8" ht="12.5">
      <c r="A2042" s="1"/>
      <c r="B2042" s="1"/>
      <c r="C2042" s="1"/>
      <c r="D2042" s="1"/>
      <c r="E2042" s="1"/>
      <c r="F2042" s="1"/>
      <c r="G2042" s="1"/>
      <c r="H2042" s="1"/>
    </row>
    <row r="2043" spans="1:8" ht="12.5">
      <c r="A2043" s="1"/>
      <c r="B2043" s="1"/>
      <c r="C2043" s="1"/>
      <c r="D2043" s="1"/>
      <c r="E2043" s="1"/>
      <c r="F2043" s="1"/>
      <c r="G2043" s="1"/>
      <c r="H2043" s="1"/>
    </row>
    <row r="2044" spans="1:8" ht="12.5">
      <c r="A2044" s="1"/>
      <c r="B2044" s="1"/>
      <c r="C2044" s="1"/>
      <c r="D2044" s="1"/>
      <c r="E2044" s="1"/>
      <c r="F2044" s="1"/>
      <c r="G2044" s="1"/>
      <c r="H2044" s="1"/>
    </row>
    <row r="2045" spans="1:8" ht="12.5">
      <c r="A2045" s="1"/>
      <c r="B2045" s="1"/>
      <c r="C2045" s="1"/>
      <c r="D2045" s="1"/>
      <c r="E2045" s="1"/>
      <c r="F2045" s="1"/>
      <c r="G2045" s="1"/>
      <c r="H2045" s="1"/>
    </row>
    <row r="2046" spans="1:8" ht="12.5">
      <c r="A2046" s="1"/>
      <c r="B2046" s="1"/>
      <c r="C2046" s="1"/>
      <c r="D2046" s="1"/>
      <c r="E2046" s="1"/>
      <c r="F2046" s="1"/>
      <c r="G2046" s="1"/>
      <c r="H2046" s="1"/>
    </row>
    <row r="2047" spans="1:8" ht="12.5">
      <c r="A2047" s="1"/>
      <c r="B2047" s="1"/>
      <c r="C2047" s="1"/>
      <c r="D2047" s="1"/>
      <c r="E2047" s="1"/>
      <c r="F2047" s="1"/>
      <c r="G2047" s="1"/>
      <c r="H2047" s="1"/>
    </row>
    <row r="2048" spans="1:8" ht="12.5">
      <c r="A2048" s="1"/>
      <c r="B2048" s="1"/>
      <c r="C2048" s="1"/>
      <c r="D2048" s="1"/>
      <c r="E2048" s="1"/>
      <c r="F2048" s="1"/>
      <c r="G2048" s="1"/>
      <c r="H2048" s="1"/>
    </row>
    <row r="2049" spans="1:8" ht="12.5">
      <c r="A2049" s="1"/>
      <c r="B2049" s="1"/>
      <c r="C2049" s="1"/>
      <c r="D2049" s="1"/>
      <c r="E2049" s="1"/>
      <c r="F2049" s="1"/>
      <c r="G2049" s="1"/>
      <c r="H2049" s="1"/>
    </row>
    <row r="2050" spans="1:8" ht="12.5">
      <c r="A2050" s="1"/>
      <c r="B2050" s="1"/>
      <c r="C2050" s="1"/>
      <c r="D2050" s="1"/>
      <c r="E2050" s="1"/>
      <c r="F2050" s="1"/>
      <c r="G2050" s="1"/>
      <c r="H2050" s="1"/>
    </row>
    <row r="2051" spans="1:8" ht="12.5">
      <c r="A2051" s="1"/>
      <c r="B2051" s="1"/>
      <c r="C2051" s="1"/>
      <c r="D2051" s="1"/>
      <c r="E2051" s="1"/>
      <c r="F2051" s="1"/>
      <c r="G2051" s="1"/>
      <c r="H2051" s="1"/>
    </row>
    <row r="2052" spans="1:8" ht="12.5">
      <c r="A2052" s="1"/>
      <c r="B2052" s="1"/>
      <c r="C2052" s="1"/>
      <c r="D2052" s="1"/>
      <c r="E2052" s="1"/>
      <c r="F2052" s="1"/>
      <c r="G2052" s="1"/>
      <c r="H2052" s="1"/>
    </row>
    <row r="2053" spans="1:8" ht="12.5">
      <c r="A2053" s="1"/>
      <c r="B2053" s="1"/>
      <c r="C2053" s="1"/>
      <c r="D2053" s="1"/>
      <c r="E2053" s="1"/>
      <c r="F2053" s="1"/>
      <c r="G2053" s="1"/>
      <c r="H2053" s="1"/>
    </row>
    <row r="2054" spans="1:8" ht="12.5">
      <c r="A2054" s="1"/>
      <c r="B2054" s="1"/>
      <c r="C2054" s="1"/>
      <c r="D2054" s="1"/>
      <c r="E2054" s="1"/>
      <c r="F2054" s="1"/>
      <c r="G2054" s="1"/>
      <c r="H2054" s="1"/>
    </row>
    <row r="2055" spans="1:8" ht="12.5">
      <c r="A2055" s="1"/>
      <c r="B2055" s="1"/>
      <c r="C2055" s="1"/>
      <c r="D2055" s="1"/>
      <c r="E2055" s="1"/>
      <c r="F2055" s="1"/>
      <c r="G2055" s="1"/>
      <c r="H2055" s="1"/>
    </row>
    <row r="2056" spans="1:8" ht="12.5">
      <c r="A2056" s="1"/>
      <c r="B2056" s="1"/>
      <c r="C2056" s="1"/>
      <c r="D2056" s="1"/>
      <c r="E2056" s="1"/>
      <c r="F2056" s="1"/>
      <c r="G2056" s="1"/>
      <c r="H2056" s="1"/>
    </row>
    <row r="2057" spans="1:8" ht="12.5">
      <c r="A2057" s="1"/>
      <c r="B2057" s="1"/>
      <c r="C2057" s="1"/>
      <c r="D2057" s="1"/>
      <c r="E2057" s="1"/>
      <c r="F2057" s="1"/>
      <c r="G2057" s="1"/>
      <c r="H2057" s="1"/>
    </row>
    <row r="2058" spans="1:8" ht="12.5">
      <c r="A2058" s="1"/>
      <c r="B2058" s="1"/>
      <c r="C2058" s="1"/>
      <c r="D2058" s="1"/>
      <c r="E2058" s="1"/>
      <c r="F2058" s="1"/>
      <c r="G2058" s="1"/>
      <c r="H2058" s="1"/>
    </row>
    <row r="2059" spans="1:8" ht="12.5">
      <c r="A2059" s="1"/>
      <c r="B2059" s="1"/>
      <c r="C2059" s="1"/>
      <c r="D2059" s="1"/>
      <c r="E2059" s="1"/>
      <c r="F2059" s="1"/>
      <c r="G2059" s="1"/>
      <c r="H2059" s="1"/>
    </row>
    <row r="2060" spans="1:8" ht="12.5">
      <c r="A2060" s="1"/>
      <c r="B2060" s="1"/>
      <c r="C2060" s="1"/>
      <c r="D2060" s="1"/>
      <c r="E2060" s="1"/>
      <c r="F2060" s="1"/>
      <c r="G2060" s="1"/>
      <c r="H2060" s="1"/>
    </row>
    <row r="2061" spans="1:8" ht="12.5">
      <c r="A2061" s="1"/>
      <c r="B2061" s="1"/>
      <c r="C2061" s="1"/>
      <c r="D2061" s="1"/>
      <c r="E2061" s="1"/>
      <c r="F2061" s="1"/>
      <c r="G2061" s="1"/>
      <c r="H2061" s="1"/>
    </row>
    <row r="2062" spans="1:8" ht="12.5">
      <c r="A2062" s="1"/>
      <c r="B2062" s="1"/>
      <c r="C2062" s="1"/>
      <c r="D2062" s="1"/>
      <c r="E2062" s="1"/>
      <c r="F2062" s="1"/>
      <c r="G2062" s="1"/>
      <c r="H2062" s="1"/>
    </row>
    <row r="2063" spans="1:8" ht="12.5">
      <c r="A2063" s="1"/>
      <c r="B2063" s="1"/>
      <c r="C2063" s="1"/>
      <c r="D2063" s="1"/>
      <c r="E2063" s="1"/>
      <c r="F2063" s="1"/>
      <c r="G2063" s="1"/>
      <c r="H2063" s="1"/>
    </row>
    <row r="2064" spans="1:8" ht="12.5">
      <c r="A2064" s="1"/>
      <c r="B2064" s="1"/>
      <c r="C2064" s="1"/>
      <c r="D2064" s="1"/>
      <c r="E2064" s="1"/>
      <c r="F2064" s="1"/>
      <c r="G2064" s="1"/>
      <c r="H2064" s="1"/>
    </row>
    <row r="2065" spans="1:8" ht="12.5">
      <c r="A2065" s="1"/>
      <c r="B2065" s="1"/>
      <c r="C2065" s="1"/>
      <c r="D2065" s="1"/>
      <c r="E2065" s="1"/>
      <c r="F2065" s="1"/>
      <c r="G2065" s="1"/>
      <c r="H2065" s="1"/>
    </row>
    <row r="2066" spans="1:8" ht="12.5">
      <c r="A2066" s="1"/>
      <c r="B2066" s="1"/>
      <c r="C2066" s="1"/>
      <c r="D2066" s="1"/>
      <c r="E2066" s="1"/>
      <c r="F2066" s="1"/>
      <c r="G2066" s="1"/>
      <c r="H2066" s="1"/>
    </row>
    <row r="2067" spans="1:8" ht="12.5">
      <c r="A2067" s="1"/>
      <c r="B2067" s="1"/>
      <c r="C2067" s="1"/>
      <c r="D2067" s="1"/>
      <c r="E2067" s="1"/>
      <c r="F2067" s="1"/>
      <c r="G2067" s="1"/>
      <c r="H2067" s="1"/>
    </row>
    <row r="2068" spans="1:8" ht="12.5">
      <c r="A2068" s="1"/>
      <c r="B2068" s="1"/>
      <c r="C2068" s="1"/>
      <c r="D2068" s="1"/>
      <c r="E2068" s="1"/>
      <c r="F2068" s="1"/>
      <c r="G2068" s="1"/>
      <c r="H2068" s="1"/>
    </row>
    <row r="2069" spans="1:8" ht="12.5">
      <c r="A2069" s="1"/>
      <c r="B2069" s="1"/>
      <c r="C2069" s="1"/>
      <c r="D2069" s="1"/>
      <c r="E2069" s="1"/>
      <c r="F2069" s="1"/>
      <c r="G2069" s="1"/>
      <c r="H2069" s="1"/>
    </row>
    <row r="2070" spans="1:8" ht="12.5">
      <c r="A2070" s="1"/>
      <c r="B2070" s="1"/>
      <c r="C2070" s="1"/>
      <c r="D2070" s="1"/>
      <c r="E2070" s="1"/>
      <c r="F2070" s="1"/>
      <c r="G2070" s="1"/>
      <c r="H2070" s="1"/>
    </row>
    <row r="2071" spans="1:8" ht="12.5">
      <c r="A2071" s="1"/>
      <c r="B2071" s="1"/>
      <c r="C2071" s="1"/>
      <c r="D2071" s="1"/>
      <c r="E2071" s="1"/>
      <c r="F2071" s="1"/>
      <c r="G2071" s="1"/>
      <c r="H2071" s="1"/>
    </row>
    <row r="2072" spans="1:8" ht="12.5">
      <c r="A2072" s="1"/>
      <c r="B2072" s="1"/>
      <c r="C2072" s="1"/>
      <c r="D2072" s="1"/>
      <c r="E2072" s="1"/>
      <c r="F2072" s="1"/>
      <c r="G2072" s="1"/>
      <c r="H2072" s="1"/>
    </row>
    <row r="2073" spans="1:8" ht="12.5">
      <c r="A2073" s="1"/>
      <c r="B2073" s="1"/>
      <c r="C2073" s="1"/>
      <c r="D2073" s="1"/>
      <c r="E2073" s="1"/>
      <c r="F2073" s="1"/>
      <c r="G2073" s="1"/>
      <c r="H2073" s="1"/>
    </row>
    <row r="2074" spans="1:8" ht="12.5">
      <c r="A2074" s="1"/>
      <c r="B2074" s="1"/>
      <c r="C2074" s="1"/>
      <c r="D2074" s="1"/>
      <c r="E2074" s="1"/>
      <c r="F2074" s="1"/>
      <c r="G2074" s="1"/>
      <c r="H2074" s="1"/>
    </row>
    <row r="2075" spans="1:8" ht="12.5">
      <c r="A2075" s="1"/>
      <c r="B2075" s="1"/>
      <c r="C2075" s="1"/>
      <c r="D2075" s="1"/>
      <c r="E2075" s="1"/>
      <c r="F2075" s="1"/>
      <c r="G2075" s="1"/>
      <c r="H2075" s="1"/>
    </row>
    <row r="2076" spans="1:8" ht="12.5">
      <c r="A2076" s="1"/>
      <c r="B2076" s="1"/>
      <c r="C2076" s="1"/>
      <c r="D2076" s="1"/>
      <c r="E2076" s="1"/>
      <c r="F2076" s="1"/>
      <c r="G2076" s="1"/>
      <c r="H2076" s="1"/>
    </row>
    <row r="2077" spans="1:8" ht="12.5">
      <c r="A2077" s="1"/>
      <c r="B2077" s="1"/>
      <c r="C2077" s="1"/>
      <c r="D2077" s="1"/>
      <c r="E2077" s="1"/>
      <c r="F2077" s="1"/>
      <c r="G2077" s="1"/>
      <c r="H2077" s="1"/>
    </row>
    <row r="2078" spans="1:8" ht="12.5">
      <c r="A2078" s="1"/>
      <c r="B2078" s="1"/>
      <c r="C2078" s="1"/>
      <c r="D2078" s="1"/>
      <c r="E2078" s="1"/>
      <c r="F2078" s="1"/>
      <c r="G2078" s="1"/>
      <c r="H2078" s="1"/>
    </row>
    <row r="2079" spans="1:8" ht="12.5">
      <c r="A2079" s="1"/>
      <c r="B2079" s="1"/>
      <c r="C2079" s="1"/>
      <c r="D2079" s="1"/>
      <c r="E2079" s="1"/>
      <c r="F2079" s="1"/>
      <c r="G2079" s="1"/>
      <c r="H2079" s="1"/>
    </row>
    <row r="2080" spans="1:8" ht="12.5">
      <c r="A2080" s="1"/>
      <c r="B2080" s="1"/>
      <c r="C2080" s="1"/>
      <c r="D2080" s="1"/>
      <c r="E2080" s="1"/>
      <c r="F2080" s="1"/>
      <c r="G2080" s="1"/>
      <c r="H2080" s="1"/>
    </row>
    <row r="2081" spans="1:8" ht="12.5">
      <c r="A2081" s="1"/>
      <c r="B2081" s="1"/>
      <c r="C2081" s="1"/>
      <c r="D2081" s="1"/>
      <c r="E2081" s="1"/>
      <c r="F2081" s="1"/>
      <c r="G2081" s="1"/>
      <c r="H2081" s="1"/>
    </row>
    <row r="2082" spans="1:8" ht="12.5">
      <c r="A2082" s="1"/>
      <c r="B2082" s="1"/>
      <c r="C2082" s="1"/>
      <c r="D2082" s="1"/>
      <c r="E2082" s="1"/>
      <c r="F2082" s="1"/>
      <c r="G2082" s="1"/>
      <c r="H2082" s="1"/>
    </row>
    <row r="2083" spans="1:8" ht="12.5">
      <c r="A2083" s="1"/>
      <c r="B2083" s="1"/>
      <c r="C2083" s="1"/>
      <c r="D2083" s="1"/>
      <c r="E2083" s="1"/>
      <c r="F2083" s="1"/>
      <c r="G2083" s="1"/>
      <c r="H2083" s="1"/>
    </row>
    <row r="2084" spans="1:8" ht="12.5">
      <c r="A2084" s="1"/>
      <c r="B2084" s="1"/>
      <c r="C2084" s="1"/>
      <c r="D2084" s="1"/>
      <c r="E2084" s="1"/>
      <c r="F2084" s="1"/>
      <c r="G2084" s="1"/>
      <c r="H2084" s="1"/>
    </row>
    <row r="2085" spans="1:8" ht="12.5">
      <c r="A2085" s="1"/>
      <c r="B2085" s="1"/>
      <c r="C2085" s="1"/>
      <c r="D2085" s="1"/>
      <c r="E2085" s="1"/>
      <c r="F2085" s="1"/>
      <c r="G2085" s="1"/>
      <c r="H2085" s="1"/>
    </row>
    <row r="2086" spans="1:8" ht="12.5">
      <c r="A2086" s="1"/>
      <c r="B2086" s="1"/>
      <c r="C2086" s="1"/>
      <c r="D2086" s="1"/>
      <c r="E2086" s="1"/>
      <c r="F2086" s="1"/>
      <c r="G2086" s="1"/>
      <c r="H2086" s="1"/>
    </row>
    <row r="2087" spans="1:8" ht="12.5">
      <c r="A2087" s="1"/>
      <c r="B2087" s="1"/>
      <c r="C2087" s="1"/>
      <c r="D2087" s="1"/>
      <c r="E2087" s="1"/>
      <c r="F2087" s="1"/>
      <c r="G2087" s="1"/>
      <c r="H2087" s="1"/>
    </row>
    <row r="2088" spans="1:8" ht="12.5">
      <c r="A2088" s="1"/>
      <c r="B2088" s="1"/>
      <c r="C2088" s="1"/>
      <c r="D2088" s="1"/>
      <c r="E2088" s="1"/>
      <c r="F2088" s="1"/>
      <c r="G2088" s="1"/>
      <c r="H2088" s="1"/>
    </row>
    <row r="2089" spans="1:8" ht="12.5">
      <c r="A2089" s="1"/>
      <c r="B2089" s="1"/>
      <c r="C2089" s="1"/>
      <c r="D2089" s="1"/>
      <c r="E2089" s="1"/>
      <c r="F2089" s="1"/>
      <c r="G2089" s="1"/>
      <c r="H2089" s="1"/>
    </row>
    <row r="2090" spans="1:8" ht="12.5">
      <c r="A2090" s="1"/>
      <c r="B2090" s="1"/>
      <c r="C2090" s="1"/>
      <c r="D2090" s="1"/>
      <c r="E2090" s="1"/>
      <c r="F2090" s="1"/>
      <c r="G2090" s="1"/>
      <c r="H2090" s="1"/>
    </row>
    <row r="2091" spans="1:8" ht="12.5">
      <c r="A2091" s="1"/>
      <c r="B2091" s="1"/>
      <c r="C2091" s="1"/>
      <c r="D2091" s="1"/>
      <c r="E2091" s="1"/>
      <c r="F2091" s="1"/>
      <c r="G2091" s="1"/>
      <c r="H2091" s="1"/>
    </row>
    <row r="2092" spans="1:8" ht="12.5">
      <c r="A2092" s="1"/>
      <c r="B2092" s="1"/>
      <c r="C2092" s="1"/>
      <c r="D2092" s="1"/>
      <c r="E2092" s="1"/>
      <c r="F2092" s="1"/>
      <c r="G2092" s="1"/>
      <c r="H2092" s="1"/>
    </row>
    <row r="2093" spans="1:8" ht="12.5">
      <c r="A2093" s="1"/>
      <c r="B2093" s="1"/>
      <c r="C2093" s="1"/>
      <c r="D2093" s="1"/>
      <c r="E2093" s="1"/>
      <c r="F2093" s="1"/>
      <c r="G2093" s="1"/>
      <c r="H2093" s="1"/>
    </row>
    <row r="2094" spans="1:8" ht="12.5">
      <c r="A2094" s="1"/>
      <c r="B2094" s="1"/>
      <c r="C2094" s="1"/>
      <c r="D2094" s="1"/>
      <c r="E2094" s="1"/>
      <c r="F2094" s="1"/>
      <c r="G2094" s="1"/>
      <c r="H2094" s="1"/>
    </row>
    <row r="2095" spans="1:8" ht="12.5">
      <c r="A2095" s="1"/>
      <c r="B2095" s="1"/>
      <c r="C2095" s="1"/>
      <c r="D2095" s="1"/>
      <c r="E2095" s="1"/>
      <c r="F2095" s="1"/>
      <c r="G2095" s="1"/>
      <c r="H2095" s="1"/>
    </row>
    <row r="2096" spans="1:8" ht="12.5">
      <c r="A2096" s="1"/>
      <c r="B2096" s="1"/>
      <c r="C2096" s="1"/>
      <c r="D2096" s="1"/>
      <c r="E2096" s="1"/>
      <c r="F2096" s="1"/>
      <c r="G2096" s="1"/>
      <c r="H2096" s="1"/>
    </row>
    <row r="2097" spans="1:8" ht="12.5">
      <c r="A2097" s="1"/>
      <c r="B2097" s="1"/>
      <c r="C2097" s="1"/>
      <c r="D2097" s="1"/>
      <c r="E2097" s="1"/>
      <c r="F2097" s="1"/>
      <c r="G2097" s="1"/>
      <c r="H2097" s="1"/>
    </row>
    <row r="2098" spans="1:8" ht="12.5">
      <c r="A2098" s="1"/>
      <c r="B2098" s="1"/>
      <c r="C2098" s="1"/>
      <c r="D2098" s="1"/>
      <c r="E2098" s="1"/>
      <c r="F2098" s="1"/>
      <c r="G2098" s="1"/>
      <c r="H2098" s="1"/>
    </row>
    <row r="2099" spans="1:8" ht="12.5">
      <c r="A2099" s="1"/>
      <c r="B2099" s="1"/>
      <c r="C2099" s="1"/>
      <c r="D2099" s="1"/>
      <c r="E2099" s="1"/>
      <c r="F2099" s="1"/>
      <c r="G2099" s="1"/>
      <c r="H2099" s="1"/>
    </row>
    <row r="2100" spans="1:8" ht="12.5">
      <c r="A2100" s="1"/>
      <c r="B2100" s="1"/>
      <c r="C2100" s="1"/>
      <c r="D2100" s="1"/>
      <c r="E2100" s="1"/>
      <c r="F2100" s="1"/>
      <c r="G2100" s="1"/>
      <c r="H2100" s="1"/>
    </row>
    <row r="2101" spans="1:8" ht="12.5">
      <c r="A2101" s="1"/>
      <c r="B2101" s="1"/>
      <c r="C2101" s="1"/>
      <c r="D2101" s="1"/>
      <c r="E2101" s="1"/>
      <c r="F2101" s="1"/>
      <c r="G2101" s="1"/>
      <c r="H2101" s="1"/>
    </row>
    <row r="2102" spans="1:8" ht="12.5">
      <c r="A2102" s="1"/>
      <c r="B2102" s="1"/>
      <c r="C2102" s="1"/>
      <c r="D2102" s="1"/>
      <c r="E2102" s="1"/>
      <c r="F2102" s="1"/>
      <c r="G2102" s="1"/>
      <c r="H2102" s="1"/>
    </row>
    <row r="2103" spans="1:8" ht="12.5">
      <c r="A2103" s="1"/>
      <c r="B2103" s="1"/>
      <c r="C2103" s="1"/>
      <c r="D2103" s="1"/>
      <c r="E2103" s="1"/>
      <c r="F2103" s="1"/>
      <c r="G2103" s="1"/>
      <c r="H2103" s="1"/>
    </row>
    <row r="2104" spans="1:8" ht="12.5">
      <c r="A2104" s="1"/>
      <c r="B2104" s="1"/>
      <c r="C2104" s="1"/>
      <c r="D2104" s="1"/>
      <c r="E2104" s="1"/>
      <c r="F2104" s="1"/>
      <c r="G2104" s="1"/>
      <c r="H2104" s="1"/>
    </row>
    <row r="2105" spans="1:8" ht="12.5">
      <c r="A2105" s="1"/>
      <c r="B2105" s="1"/>
      <c r="C2105" s="1"/>
      <c r="D2105" s="1"/>
      <c r="E2105" s="1"/>
      <c r="F2105" s="1"/>
      <c r="G2105" s="1"/>
      <c r="H2105" s="1"/>
    </row>
    <row r="2106" spans="1:8" ht="12.5">
      <c r="A2106" s="1"/>
      <c r="B2106" s="1"/>
      <c r="C2106" s="1"/>
      <c r="D2106" s="1"/>
      <c r="E2106" s="1"/>
      <c r="F2106" s="1"/>
      <c r="G2106" s="1"/>
      <c r="H2106" s="1"/>
    </row>
    <row r="2107" spans="1:8" ht="12.5">
      <c r="A2107" s="1"/>
      <c r="B2107" s="1"/>
      <c r="C2107" s="1"/>
      <c r="D2107" s="1"/>
      <c r="E2107" s="1"/>
      <c r="F2107" s="1"/>
      <c r="G2107" s="1"/>
      <c r="H2107" s="1"/>
    </row>
    <row r="2108" spans="1:8" ht="12.5">
      <c r="A2108" s="1"/>
      <c r="B2108" s="1"/>
      <c r="C2108" s="1"/>
      <c r="D2108" s="1"/>
      <c r="E2108" s="1"/>
      <c r="F2108" s="1"/>
      <c r="G2108" s="1"/>
      <c r="H2108" s="1"/>
    </row>
    <row r="2109" spans="1:8" ht="12.5">
      <c r="A2109" s="1"/>
      <c r="B2109" s="1"/>
      <c r="C2109" s="1"/>
      <c r="D2109" s="1"/>
      <c r="E2109" s="1"/>
      <c r="F2109" s="1"/>
      <c r="G2109" s="1"/>
      <c r="H2109" s="1"/>
    </row>
    <row r="2110" spans="1:8" ht="12.5">
      <c r="A2110" s="1"/>
      <c r="B2110" s="1"/>
      <c r="C2110" s="1"/>
      <c r="D2110" s="1"/>
      <c r="E2110" s="1"/>
      <c r="F2110" s="1"/>
      <c r="G2110" s="1"/>
      <c r="H2110" s="1"/>
    </row>
    <row r="2111" spans="1:8" ht="12.5">
      <c r="A2111" s="1"/>
      <c r="B2111" s="1"/>
      <c r="C2111" s="1"/>
      <c r="D2111" s="1"/>
      <c r="E2111" s="1"/>
      <c r="F2111" s="1"/>
      <c r="G2111" s="1"/>
      <c r="H2111" s="1"/>
    </row>
    <row r="2112" spans="1:8" ht="12.5">
      <c r="A2112" s="1"/>
      <c r="B2112" s="1"/>
      <c r="C2112" s="1"/>
      <c r="D2112" s="1"/>
      <c r="E2112" s="1"/>
      <c r="F2112" s="1"/>
      <c r="G2112" s="1"/>
      <c r="H2112" s="1"/>
    </row>
    <row r="2113" spans="1:8" ht="12.5">
      <c r="A2113" s="1"/>
      <c r="B2113" s="1"/>
      <c r="C2113" s="1"/>
      <c r="D2113" s="1"/>
      <c r="E2113" s="1"/>
      <c r="F2113" s="1"/>
      <c r="G2113" s="1"/>
      <c r="H2113" s="1"/>
    </row>
    <row r="2114" spans="1:8" ht="12.5">
      <c r="A2114" s="1"/>
      <c r="B2114" s="1"/>
      <c r="C2114" s="1"/>
      <c r="D2114" s="1"/>
      <c r="E2114" s="1"/>
      <c r="F2114" s="1"/>
      <c r="G2114" s="1"/>
      <c r="H2114" s="1"/>
    </row>
    <row r="2115" spans="1:8" ht="12.5">
      <c r="A2115" s="1"/>
      <c r="B2115" s="1"/>
      <c r="C2115" s="1"/>
      <c r="D2115" s="1"/>
      <c r="E2115" s="1"/>
      <c r="F2115" s="1"/>
      <c r="G2115" s="1"/>
      <c r="H2115" s="1"/>
    </row>
    <row r="2116" spans="1:8" ht="12.5">
      <c r="A2116" s="1"/>
      <c r="B2116" s="1"/>
      <c r="C2116" s="1"/>
      <c r="D2116" s="1"/>
      <c r="E2116" s="1"/>
      <c r="F2116" s="1"/>
      <c r="G2116" s="1"/>
      <c r="H2116" s="1"/>
    </row>
    <row r="2117" spans="1:8" ht="12.5">
      <c r="A2117" s="1"/>
      <c r="B2117" s="1"/>
      <c r="C2117" s="1"/>
      <c r="D2117" s="1"/>
      <c r="E2117" s="1"/>
      <c r="F2117" s="1"/>
      <c r="G2117" s="1"/>
      <c r="H2117" s="1"/>
    </row>
    <row r="2118" spans="1:8" ht="12.5">
      <c r="A2118" s="1"/>
      <c r="B2118" s="1"/>
      <c r="C2118" s="1"/>
      <c r="D2118" s="1"/>
      <c r="E2118" s="1"/>
      <c r="F2118" s="1"/>
      <c r="G2118" s="1"/>
      <c r="H2118" s="1"/>
    </row>
    <row r="2119" spans="1:8" ht="12.5">
      <c r="A2119" s="1"/>
      <c r="B2119" s="1"/>
      <c r="C2119" s="1"/>
      <c r="D2119" s="1"/>
      <c r="E2119" s="1"/>
      <c r="F2119" s="1"/>
      <c r="G2119" s="1"/>
      <c r="H2119" s="1"/>
    </row>
    <row r="2120" spans="1:8" ht="12.5">
      <c r="A2120" s="1"/>
      <c r="B2120" s="1"/>
      <c r="C2120" s="1"/>
      <c r="D2120" s="1"/>
      <c r="E2120" s="1"/>
      <c r="F2120" s="1"/>
      <c r="G2120" s="1"/>
      <c r="H2120" s="1"/>
    </row>
    <row r="2121" spans="1:8" ht="12.5">
      <c r="A2121" s="1"/>
      <c r="B2121" s="1"/>
      <c r="C2121" s="1"/>
      <c r="D2121" s="1"/>
      <c r="E2121" s="1"/>
      <c r="F2121" s="1"/>
      <c r="G2121" s="1"/>
      <c r="H2121" s="1"/>
    </row>
    <row r="2122" spans="1:8" ht="12.5">
      <c r="A2122" s="1"/>
      <c r="B2122" s="1"/>
      <c r="C2122" s="1"/>
      <c r="D2122" s="1"/>
      <c r="E2122" s="1"/>
      <c r="F2122" s="1"/>
      <c r="G2122" s="1"/>
      <c r="H2122" s="1"/>
    </row>
    <row r="2123" spans="1:8" ht="12.5">
      <c r="A2123" s="1"/>
      <c r="B2123" s="1"/>
      <c r="C2123" s="1"/>
      <c r="D2123" s="1"/>
      <c r="E2123" s="1"/>
      <c r="F2123" s="1"/>
      <c r="G2123" s="1"/>
      <c r="H2123" s="1"/>
    </row>
    <row r="2124" spans="1:8" ht="12.5">
      <c r="A2124" s="1"/>
      <c r="B2124" s="1"/>
      <c r="C2124" s="1"/>
      <c r="D2124" s="1"/>
      <c r="E2124" s="1"/>
      <c r="F2124" s="1"/>
      <c r="G2124" s="1"/>
      <c r="H2124" s="1"/>
    </row>
    <row r="2125" spans="1:8" ht="12.5">
      <c r="A2125" s="1"/>
      <c r="B2125" s="1"/>
      <c r="C2125" s="1"/>
      <c r="D2125" s="1"/>
      <c r="E2125" s="1"/>
      <c r="F2125" s="1"/>
      <c r="G2125" s="1"/>
      <c r="H2125" s="1"/>
    </row>
    <row r="2126" spans="1:8" ht="12.5">
      <c r="A2126" s="1"/>
      <c r="B2126" s="1"/>
      <c r="C2126" s="1"/>
      <c r="D2126" s="1"/>
      <c r="E2126" s="1"/>
      <c r="F2126" s="1"/>
      <c r="G2126" s="1"/>
      <c r="H2126" s="1"/>
    </row>
    <row r="2127" spans="1:8" ht="12.5">
      <c r="A2127" s="1"/>
      <c r="B2127" s="1"/>
      <c r="C2127" s="1"/>
      <c r="D2127" s="1"/>
      <c r="E2127" s="1"/>
      <c r="F2127" s="1"/>
      <c r="G2127" s="1"/>
      <c r="H2127" s="1"/>
    </row>
    <row r="2128" spans="1:8" ht="12.5">
      <c r="A2128" s="1"/>
      <c r="B2128" s="1"/>
      <c r="C2128" s="1"/>
      <c r="D2128" s="1"/>
      <c r="E2128" s="1"/>
      <c r="F2128" s="1"/>
      <c r="G2128" s="1"/>
      <c r="H2128" s="1"/>
    </row>
    <row r="2129" spans="1:8" ht="12.5">
      <c r="A2129" s="1"/>
      <c r="B2129" s="1"/>
      <c r="C2129" s="1"/>
      <c r="D2129" s="1"/>
      <c r="E2129" s="1"/>
      <c r="F2129" s="1"/>
      <c r="G2129" s="1"/>
      <c r="H2129" s="1"/>
    </row>
    <row r="2130" spans="1:8" ht="12.5">
      <c r="A2130" s="1"/>
      <c r="B2130" s="1"/>
      <c r="C2130" s="1"/>
      <c r="D2130" s="1"/>
      <c r="E2130" s="1"/>
      <c r="F2130" s="1"/>
      <c r="G2130" s="1"/>
      <c r="H2130" s="1"/>
    </row>
    <row r="2131" spans="1:8" ht="12.5">
      <c r="A2131" s="1"/>
      <c r="B2131" s="1"/>
      <c r="C2131" s="1"/>
      <c r="D2131" s="1"/>
      <c r="E2131" s="1"/>
      <c r="F2131" s="1"/>
      <c r="G2131" s="1"/>
      <c r="H2131" s="1"/>
    </row>
    <row r="2132" spans="1:8" ht="12.5">
      <c r="A2132" s="1"/>
      <c r="B2132" s="1"/>
      <c r="C2132" s="1"/>
      <c r="D2132" s="1"/>
      <c r="E2132" s="1"/>
      <c r="F2132" s="1"/>
      <c r="G2132" s="1"/>
      <c r="H2132" s="1"/>
    </row>
    <row r="2133" spans="1:8" ht="12.5">
      <c r="A2133" s="1"/>
      <c r="B2133" s="1"/>
      <c r="C2133" s="1"/>
      <c r="D2133" s="1"/>
      <c r="E2133" s="1"/>
      <c r="F2133" s="1"/>
      <c r="G2133" s="1"/>
      <c r="H2133" s="1"/>
    </row>
    <row r="2134" spans="1:8" ht="12.5">
      <c r="A2134" s="1"/>
      <c r="B2134" s="1"/>
      <c r="C2134" s="1"/>
      <c r="D2134" s="1"/>
      <c r="E2134" s="1"/>
      <c r="F2134" s="1"/>
      <c r="G2134" s="1"/>
      <c r="H2134" s="1"/>
    </row>
    <row r="2135" spans="1:8" ht="12.5">
      <c r="A2135" s="1"/>
      <c r="B2135" s="1"/>
      <c r="C2135" s="1"/>
      <c r="D2135" s="1"/>
      <c r="E2135" s="1"/>
      <c r="F2135" s="1"/>
      <c r="G2135" s="1"/>
      <c r="H2135" s="1"/>
    </row>
    <row r="2136" spans="1:8" ht="12.5">
      <c r="A2136" s="1"/>
      <c r="B2136" s="1"/>
      <c r="C2136" s="1"/>
      <c r="D2136" s="1"/>
      <c r="E2136" s="1"/>
      <c r="F2136" s="1"/>
      <c r="G2136" s="1"/>
      <c r="H2136" s="1"/>
    </row>
    <row r="2137" spans="1:8" ht="12.5">
      <c r="A2137" s="1"/>
      <c r="B2137" s="1"/>
      <c r="C2137" s="1"/>
      <c r="D2137" s="1"/>
      <c r="E2137" s="1"/>
      <c r="F2137" s="1"/>
      <c r="G2137" s="1"/>
      <c r="H2137" s="1"/>
    </row>
    <row r="2138" spans="1:8" ht="12.5">
      <c r="A2138" s="1"/>
      <c r="B2138" s="1"/>
      <c r="C2138" s="1"/>
      <c r="D2138" s="1"/>
      <c r="E2138" s="1"/>
      <c r="F2138" s="1"/>
      <c r="G2138" s="1"/>
      <c r="H2138" s="1"/>
    </row>
    <row r="2139" spans="1:8" ht="12.5">
      <c r="A2139" s="1"/>
      <c r="B2139" s="1"/>
      <c r="C2139" s="1"/>
      <c r="D2139" s="1"/>
      <c r="E2139" s="1"/>
      <c r="F2139" s="1"/>
      <c r="G2139" s="1"/>
      <c r="H2139" s="1"/>
    </row>
    <row r="2140" spans="1:8" ht="12.5">
      <c r="A2140" s="1"/>
      <c r="B2140" s="1"/>
      <c r="C2140" s="1"/>
      <c r="D2140" s="1"/>
      <c r="E2140" s="1"/>
      <c r="F2140" s="1"/>
      <c r="G2140" s="1"/>
      <c r="H2140" s="1"/>
    </row>
    <row r="2141" spans="1:8" ht="12.5">
      <c r="A2141" s="1"/>
      <c r="B2141" s="1"/>
      <c r="C2141" s="1"/>
      <c r="D2141" s="1"/>
      <c r="E2141" s="1"/>
      <c r="F2141" s="1"/>
      <c r="G2141" s="1"/>
      <c r="H2141" s="1"/>
    </row>
    <row r="2142" spans="1:8" ht="12.5">
      <c r="A2142" s="1"/>
      <c r="B2142" s="1"/>
      <c r="C2142" s="1"/>
      <c r="D2142" s="1"/>
      <c r="E2142" s="1"/>
      <c r="F2142" s="1"/>
      <c r="G2142" s="1"/>
      <c r="H2142" s="1"/>
    </row>
    <row r="2143" spans="1:8" ht="12.5">
      <c r="A2143" s="1"/>
      <c r="B2143" s="1"/>
      <c r="C2143" s="1"/>
      <c r="D2143" s="1"/>
      <c r="E2143" s="1"/>
      <c r="F2143" s="1"/>
      <c r="G2143" s="1"/>
      <c r="H2143" s="1"/>
    </row>
    <row r="2144" spans="1:8" ht="12.5">
      <c r="A2144" s="1"/>
      <c r="B2144" s="1"/>
      <c r="C2144" s="1"/>
      <c r="D2144" s="1"/>
      <c r="E2144" s="1"/>
      <c r="F2144" s="1"/>
      <c r="G2144" s="1"/>
      <c r="H2144" s="1"/>
    </row>
    <row r="2145" spans="1:8" ht="12.5">
      <c r="A2145" s="1"/>
      <c r="B2145" s="1"/>
      <c r="C2145" s="1"/>
      <c r="D2145" s="1"/>
      <c r="E2145" s="1"/>
      <c r="F2145" s="1"/>
      <c r="G2145" s="1"/>
      <c r="H2145" s="1"/>
    </row>
    <row r="2146" spans="1:8" ht="12.5">
      <c r="A2146" s="1"/>
      <c r="B2146" s="1"/>
      <c r="C2146" s="1"/>
      <c r="D2146" s="1"/>
      <c r="E2146" s="1"/>
      <c r="F2146" s="1"/>
      <c r="G2146" s="1"/>
      <c r="H2146" s="1"/>
    </row>
    <row r="2147" spans="1:8" ht="12.5">
      <c r="A2147" s="1"/>
      <c r="B2147" s="1"/>
      <c r="C2147" s="1"/>
      <c r="D2147" s="1"/>
      <c r="E2147" s="1"/>
      <c r="F2147" s="1"/>
      <c r="G2147" s="1"/>
      <c r="H2147" s="1"/>
    </row>
    <row r="2148" spans="1:8" ht="12.5">
      <c r="A2148" s="1"/>
      <c r="B2148" s="1"/>
      <c r="C2148" s="1"/>
      <c r="D2148" s="1"/>
      <c r="E2148" s="1"/>
      <c r="F2148" s="1"/>
      <c r="G2148" s="1"/>
      <c r="H2148" s="1"/>
    </row>
    <row r="2149" spans="1:8" ht="12.5">
      <c r="A2149" s="1"/>
      <c r="B2149" s="1"/>
      <c r="C2149" s="1"/>
      <c r="D2149" s="1"/>
      <c r="E2149" s="1"/>
      <c r="F2149" s="1"/>
      <c r="G2149" s="1"/>
      <c r="H2149" s="1"/>
    </row>
    <row r="2150" spans="1:8" ht="12.5">
      <c r="A2150" s="1"/>
      <c r="B2150" s="1"/>
      <c r="C2150" s="1"/>
      <c r="D2150" s="1"/>
      <c r="E2150" s="1"/>
      <c r="F2150" s="1"/>
      <c r="G2150" s="1"/>
      <c r="H2150" s="1"/>
    </row>
    <row r="2151" spans="1:8" ht="12.5">
      <c r="A2151" s="1"/>
      <c r="B2151" s="1"/>
      <c r="C2151" s="1"/>
      <c r="D2151" s="1"/>
      <c r="E2151" s="1"/>
      <c r="F2151" s="1"/>
      <c r="G2151" s="1"/>
      <c r="H2151" s="1"/>
    </row>
    <row r="2152" spans="1:8" ht="12.5">
      <c r="A2152" s="1"/>
      <c r="B2152" s="1"/>
      <c r="C2152" s="1"/>
      <c r="D2152" s="1"/>
      <c r="E2152" s="1"/>
      <c r="F2152" s="1"/>
      <c r="G2152" s="1"/>
      <c r="H2152" s="1"/>
    </row>
    <row r="2153" spans="1:8" ht="12.5">
      <c r="A2153" s="1"/>
      <c r="B2153" s="1"/>
      <c r="C2153" s="1"/>
      <c r="D2153" s="1"/>
      <c r="E2153" s="1"/>
      <c r="F2153" s="1"/>
      <c r="G2153" s="1"/>
      <c r="H2153" s="1"/>
    </row>
    <row r="2154" spans="1:8" ht="12.5">
      <c r="A2154" s="1"/>
      <c r="B2154" s="1"/>
      <c r="C2154" s="1"/>
      <c r="D2154" s="1"/>
      <c r="E2154" s="1"/>
      <c r="F2154" s="1"/>
      <c r="G2154" s="1"/>
      <c r="H2154" s="1"/>
    </row>
    <row r="2155" spans="1:8" ht="12.5">
      <c r="A2155" s="1"/>
      <c r="B2155" s="1"/>
      <c r="C2155" s="1"/>
      <c r="D2155" s="1"/>
      <c r="E2155" s="1"/>
      <c r="F2155" s="1"/>
      <c r="G2155" s="1"/>
      <c r="H2155" s="1"/>
    </row>
    <row r="2156" spans="1:8" ht="12.5">
      <c r="A2156" s="1"/>
      <c r="B2156" s="1"/>
      <c r="C2156" s="1"/>
      <c r="D2156" s="1"/>
      <c r="E2156" s="1"/>
      <c r="F2156" s="1"/>
      <c r="G2156" s="1"/>
      <c r="H2156" s="1"/>
    </row>
    <row r="2157" spans="1:8" ht="12.5">
      <c r="A2157" s="1"/>
      <c r="B2157" s="1"/>
      <c r="C2157" s="1"/>
      <c r="D2157" s="1"/>
      <c r="E2157" s="1"/>
      <c r="F2157" s="1"/>
      <c r="G2157" s="1"/>
      <c r="H2157" s="1"/>
    </row>
    <row r="2158" spans="1:8" ht="12.5">
      <c r="A2158" s="1"/>
      <c r="B2158" s="1"/>
      <c r="C2158" s="1"/>
      <c r="D2158" s="1"/>
      <c r="E2158" s="1"/>
      <c r="F2158" s="1"/>
      <c r="G2158" s="1"/>
      <c r="H2158" s="1"/>
    </row>
    <row r="2159" spans="1:8" ht="12.5">
      <c r="A2159" s="1"/>
      <c r="B2159" s="1"/>
      <c r="C2159" s="1"/>
      <c r="D2159" s="1"/>
      <c r="E2159" s="1"/>
      <c r="F2159" s="1"/>
      <c r="G2159" s="1"/>
      <c r="H2159" s="1"/>
    </row>
    <row r="2160" spans="1:8" ht="12.5">
      <c r="A2160" s="1"/>
      <c r="B2160" s="1"/>
      <c r="C2160" s="1"/>
      <c r="D2160" s="1"/>
      <c r="E2160" s="1"/>
      <c r="F2160" s="1"/>
      <c r="G2160" s="1"/>
      <c r="H2160" s="1"/>
    </row>
    <row r="2161" spans="1:8" ht="12.5">
      <c r="A2161" s="1"/>
      <c r="B2161" s="1"/>
      <c r="C2161" s="1"/>
      <c r="D2161" s="1"/>
      <c r="E2161" s="1"/>
      <c r="F2161" s="1"/>
      <c r="G2161" s="1"/>
      <c r="H2161" s="1"/>
    </row>
    <row r="2162" spans="1:8" ht="12.5">
      <c r="A2162" s="1"/>
      <c r="B2162" s="1"/>
      <c r="C2162" s="1"/>
      <c r="D2162" s="1"/>
      <c r="E2162" s="1"/>
      <c r="F2162" s="1"/>
      <c r="G2162" s="1"/>
      <c r="H2162" s="1"/>
    </row>
    <row r="2163" spans="1:8" ht="12.5">
      <c r="A2163" s="1"/>
      <c r="B2163" s="1"/>
      <c r="C2163" s="1"/>
      <c r="D2163" s="1"/>
      <c r="E2163" s="1"/>
      <c r="F2163" s="1"/>
      <c r="G2163" s="1"/>
      <c r="H2163" s="1"/>
    </row>
    <row r="2164" spans="1:8" ht="12.5">
      <c r="A2164" s="1"/>
      <c r="B2164" s="1"/>
      <c r="C2164" s="1"/>
      <c r="D2164" s="1"/>
      <c r="E2164" s="1"/>
      <c r="F2164" s="1"/>
      <c r="G2164" s="1"/>
      <c r="H2164" s="1"/>
    </row>
    <row r="2165" spans="1:8" ht="12.5">
      <c r="A2165" s="1"/>
      <c r="B2165" s="1"/>
      <c r="C2165" s="1"/>
      <c r="D2165" s="1"/>
      <c r="E2165" s="1"/>
      <c r="F2165" s="1"/>
      <c r="G2165" s="1"/>
      <c r="H2165" s="1"/>
    </row>
    <row r="2166" spans="1:8" ht="12.5">
      <c r="A2166" s="1"/>
      <c r="B2166" s="1"/>
      <c r="C2166" s="1"/>
      <c r="D2166" s="1"/>
      <c r="E2166" s="1"/>
      <c r="F2166" s="1"/>
      <c r="G2166" s="1"/>
      <c r="H2166" s="1"/>
    </row>
    <row r="2167" spans="1:8" ht="12.5">
      <c r="A2167" s="1"/>
      <c r="B2167" s="1"/>
      <c r="C2167" s="1"/>
      <c r="D2167" s="1"/>
      <c r="E2167" s="1"/>
      <c r="F2167" s="1"/>
      <c r="G2167" s="1"/>
      <c r="H2167" s="1"/>
    </row>
    <row r="2168" spans="1:8" ht="12.5">
      <c r="A2168" s="1"/>
      <c r="B2168" s="1"/>
      <c r="C2168" s="1"/>
      <c r="D2168" s="1"/>
      <c r="E2168" s="1"/>
      <c r="F2168" s="1"/>
      <c r="G2168" s="1"/>
      <c r="H2168" s="1"/>
    </row>
    <row r="2169" spans="1:8" ht="12.5">
      <c r="A2169" s="1"/>
      <c r="B2169" s="1"/>
      <c r="C2169" s="1"/>
      <c r="D2169" s="1"/>
      <c r="E2169" s="1"/>
      <c r="F2169" s="1"/>
      <c r="G2169" s="1"/>
      <c r="H2169" s="1"/>
    </row>
    <row r="2170" spans="1:8" ht="12.5">
      <c r="A2170" s="1"/>
      <c r="B2170" s="1"/>
      <c r="C2170" s="1"/>
      <c r="D2170" s="1"/>
      <c r="E2170" s="1"/>
      <c r="F2170" s="1"/>
      <c r="G2170" s="1"/>
      <c r="H2170" s="1"/>
    </row>
    <row r="2171" spans="1:8" ht="12.5">
      <c r="A2171" s="1"/>
      <c r="B2171" s="1"/>
      <c r="C2171" s="1"/>
      <c r="D2171" s="1"/>
      <c r="E2171" s="1"/>
      <c r="F2171" s="1"/>
      <c r="G2171" s="1"/>
      <c r="H2171" s="1"/>
    </row>
    <row r="2172" spans="1:8" ht="12.5">
      <c r="A2172" s="1"/>
      <c r="B2172" s="1"/>
      <c r="C2172" s="1"/>
      <c r="D2172" s="1"/>
      <c r="E2172" s="1"/>
      <c r="F2172" s="1"/>
      <c r="G2172" s="1"/>
      <c r="H2172" s="1"/>
    </row>
    <row r="2173" spans="1:8" ht="12.5">
      <c r="A2173" s="1"/>
      <c r="B2173" s="1"/>
      <c r="C2173" s="1"/>
      <c r="D2173" s="1"/>
      <c r="E2173" s="1"/>
      <c r="F2173" s="1"/>
      <c r="G2173" s="1"/>
      <c r="H2173" s="1"/>
    </row>
    <row r="2174" spans="1:8" ht="12.5">
      <c r="A2174" s="1"/>
      <c r="B2174" s="1"/>
      <c r="C2174" s="1"/>
      <c r="D2174" s="1"/>
      <c r="E2174" s="1"/>
      <c r="F2174" s="1"/>
      <c r="G2174" s="1"/>
      <c r="H2174" s="1"/>
    </row>
    <row r="2175" spans="1:8" ht="12.5">
      <c r="A2175" s="1"/>
      <c r="B2175" s="1"/>
      <c r="C2175" s="1"/>
      <c r="D2175" s="1"/>
      <c r="E2175" s="1"/>
      <c r="F2175" s="1"/>
      <c r="G2175" s="1"/>
      <c r="H2175" s="1"/>
    </row>
    <row r="2176" spans="1:8" ht="12.5">
      <c r="A2176" s="1"/>
      <c r="B2176" s="1"/>
      <c r="C2176" s="1"/>
      <c r="D2176" s="1"/>
      <c r="E2176" s="1"/>
      <c r="F2176" s="1"/>
      <c r="G2176" s="1"/>
      <c r="H2176" s="1"/>
    </row>
    <row r="2177" spans="1:8" ht="12.5">
      <c r="A2177" s="1"/>
      <c r="B2177" s="1"/>
      <c r="C2177" s="1"/>
      <c r="D2177" s="1"/>
      <c r="E2177" s="1"/>
      <c r="F2177" s="1"/>
      <c r="G2177" s="1"/>
      <c r="H2177" s="1"/>
    </row>
    <row r="2178" spans="1:8" ht="12.5">
      <c r="A2178" s="1"/>
      <c r="B2178" s="1"/>
      <c r="C2178" s="1"/>
      <c r="D2178" s="1"/>
      <c r="E2178" s="1"/>
      <c r="F2178" s="1"/>
      <c r="G2178" s="1"/>
      <c r="H2178" s="1"/>
    </row>
    <row r="2179" spans="1:8" ht="12.5">
      <c r="A2179" s="1"/>
      <c r="B2179" s="1"/>
      <c r="C2179" s="1"/>
      <c r="D2179" s="1"/>
      <c r="E2179" s="1"/>
      <c r="F2179" s="1"/>
      <c r="G2179" s="1"/>
      <c r="H2179" s="1"/>
    </row>
    <row r="2180" spans="1:8" ht="12.5">
      <c r="A2180" s="1"/>
      <c r="B2180" s="1"/>
      <c r="C2180" s="1"/>
      <c r="D2180" s="1"/>
      <c r="E2180" s="1"/>
      <c r="F2180" s="1"/>
      <c r="G2180" s="1"/>
      <c r="H2180" s="1"/>
    </row>
    <row r="2181" spans="1:8" ht="12.5">
      <c r="A2181" s="1"/>
      <c r="B2181" s="1"/>
      <c r="C2181" s="1"/>
      <c r="D2181" s="1"/>
      <c r="E2181" s="1"/>
      <c r="F2181" s="1"/>
      <c r="G2181" s="1"/>
      <c r="H2181" s="1"/>
    </row>
    <row r="2182" spans="1:8" ht="12.5">
      <c r="A2182" s="1"/>
      <c r="B2182" s="1"/>
      <c r="C2182" s="1"/>
      <c r="D2182" s="1"/>
      <c r="E2182" s="1"/>
      <c r="F2182" s="1"/>
      <c r="G2182" s="1"/>
      <c r="H2182" s="1"/>
    </row>
    <row r="2183" spans="1:8" ht="12.5">
      <c r="A2183" s="1"/>
      <c r="B2183" s="1"/>
      <c r="C2183" s="1"/>
      <c r="D2183" s="1"/>
      <c r="E2183" s="1"/>
      <c r="F2183" s="1"/>
      <c r="G2183" s="1"/>
      <c r="H2183" s="1"/>
    </row>
    <row r="2184" spans="1:8" ht="12.5">
      <c r="A2184" s="1"/>
      <c r="B2184" s="1"/>
      <c r="C2184" s="1"/>
      <c r="D2184" s="1"/>
      <c r="E2184" s="1"/>
      <c r="F2184" s="1"/>
      <c r="G2184" s="1"/>
      <c r="H2184" s="1"/>
    </row>
    <row r="2185" spans="1:8" ht="12.5">
      <c r="A2185" s="1"/>
      <c r="B2185" s="1"/>
      <c r="C2185" s="1"/>
      <c r="D2185" s="1"/>
      <c r="E2185" s="1"/>
      <c r="F2185" s="1"/>
      <c r="G2185" s="1"/>
      <c r="H2185" s="1"/>
    </row>
    <row r="2186" spans="1:8" ht="12.5">
      <c r="A2186" s="1"/>
      <c r="B2186" s="1"/>
      <c r="C2186" s="1"/>
      <c r="D2186" s="1"/>
      <c r="E2186" s="1"/>
      <c r="F2186" s="1"/>
      <c r="G2186" s="1"/>
      <c r="H2186" s="1"/>
    </row>
    <row r="2187" spans="1:8" ht="12.5">
      <c r="A2187" s="1"/>
      <c r="B2187" s="1"/>
      <c r="C2187" s="1"/>
      <c r="D2187" s="1"/>
      <c r="E2187" s="1"/>
      <c r="F2187" s="1"/>
      <c r="G2187" s="1"/>
      <c r="H2187" s="1"/>
    </row>
    <row r="2188" spans="1:8" ht="12.5">
      <c r="A2188" s="1"/>
      <c r="B2188" s="1"/>
      <c r="C2188" s="1"/>
      <c r="D2188" s="1"/>
      <c r="E2188" s="1"/>
      <c r="F2188" s="1"/>
      <c r="G2188" s="1"/>
      <c r="H2188" s="1"/>
    </row>
    <row r="2189" spans="1:8" ht="12.5">
      <c r="A2189" s="1"/>
      <c r="B2189" s="1"/>
      <c r="C2189" s="1"/>
      <c r="D2189" s="1"/>
      <c r="E2189" s="1"/>
      <c r="F2189" s="1"/>
      <c r="G2189" s="1"/>
      <c r="H2189" s="1"/>
    </row>
    <row r="2190" spans="1:8" ht="12.5">
      <c r="A2190" s="1"/>
      <c r="B2190" s="1"/>
      <c r="C2190" s="1"/>
      <c r="D2190" s="1"/>
      <c r="E2190" s="1"/>
      <c r="F2190" s="1"/>
      <c r="G2190" s="1"/>
      <c r="H2190" s="1"/>
    </row>
    <row r="2191" spans="1:8" ht="12.5">
      <c r="A2191" s="1"/>
      <c r="B2191" s="1"/>
      <c r="C2191" s="1"/>
      <c r="D2191" s="1"/>
      <c r="E2191" s="1"/>
      <c r="F2191" s="1"/>
      <c r="G2191" s="1"/>
      <c r="H2191" s="1"/>
    </row>
    <row r="2192" spans="1:8" ht="12.5">
      <c r="A2192" s="1"/>
      <c r="B2192" s="1"/>
      <c r="C2192" s="1"/>
      <c r="D2192" s="1"/>
      <c r="E2192" s="1"/>
      <c r="F2192" s="1"/>
      <c r="G2192" s="1"/>
      <c r="H2192" s="1"/>
    </row>
    <row r="2193" spans="1:8" ht="12.5">
      <c r="A2193" s="1"/>
      <c r="B2193" s="1"/>
      <c r="C2193" s="1"/>
      <c r="D2193" s="1"/>
      <c r="E2193" s="1"/>
      <c r="F2193" s="1"/>
      <c r="G2193" s="1"/>
      <c r="H2193" s="1"/>
    </row>
    <row r="2194" spans="1:8" ht="12.5">
      <c r="A2194" s="1"/>
      <c r="B2194" s="1"/>
      <c r="C2194" s="1"/>
      <c r="D2194" s="1"/>
      <c r="E2194" s="1"/>
      <c r="F2194" s="1"/>
      <c r="G2194" s="1"/>
      <c r="H2194" s="1"/>
    </row>
    <row r="2195" spans="1:8" ht="12.5">
      <c r="A2195" s="1"/>
      <c r="B2195" s="1"/>
      <c r="C2195" s="1"/>
      <c r="D2195" s="1"/>
      <c r="E2195" s="1"/>
      <c r="F2195" s="1"/>
      <c r="G2195" s="1"/>
      <c r="H2195" s="1"/>
    </row>
    <row r="2196" spans="1:8" ht="12.5">
      <c r="A2196" s="1"/>
      <c r="B2196" s="1"/>
      <c r="C2196" s="1"/>
      <c r="D2196" s="1"/>
      <c r="E2196" s="1"/>
      <c r="F2196" s="1"/>
      <c r="G2196" s="1"/>
      <c r="H2196" s="1"/>
    </row>
    <row r="2197" spans="1:8" ht="12.5">
      <c r="A2197" s="1"/>
      <c r="B2197" s="1"/>
      <c r="C2197" s="1"/>
      <c r="D2197" s="1"/>
      <c r="E2197" s="1"/>
      <c r="F2197" s="1"/>
      <c r="G2197" s="1"/>
      <c r="H2197" s="1"/>
    </row>
    <row r="2198" spans="1:8" ht="12.5">
      <c r="A2198" s="1"/>
      <c r="B2198" s="1"/>
      <c r="C2198" s="1"/>
      <c r="D2198" s="1"/>
      <c r="E2198" s="1"/>
      <c r="F2198" s="1"/>
      <c r="G2198" s="1"/>
      <c r="H2198" s="1"/>
    </row>
    <row r="2199" spans="1:8" ht="12.5">
      <c r="A2199" s="1"/>
      <c r="B2199" s="1"/>
      <c r="C2199" s="1"/>
      <c r="D2199" s="1"/>
      <c r="E2199" s="1"/>
      <c r="F2199" s="1"/>
      <c r="G2199" s="1"/>
      <c r="H2199" s="1"/>
    </row>
    <row r="2200" spans="1:8" ht="12.5">
      <c r="A2200" s="1"/>
      <c r="B2200" s="1"/>
      <c r="C2200" s="1"/>
      <c r="D2200" s="1"/>
      <c r="E2200" s="1"/>
      <c r="F2200" s="1"/>
      <c r="G2200" s="1"/>
      <c r="H2200" s="1"/>
    </row>
    <row r="2201" spans="1:8" ht="12.5">
      <c r="A2201" s="1"/>
      <c r="B2201" s="1"/>
      <c r="C2201" s="1"/>
      <c r="D2201" s="1"/>
      <c r="E2201" s="1"/>
      <c r="F2201" s="1"/>
      <c r="G2201" s="1"/>
      <c r="H2201" s="1"/>
    </row>
    <row r="2202" spans="1:8" ht="12.5">
      <c r="A2202" s="1"/>
      <c r="B2202" s="1"/>
      <c r="C2202" s="1"/>
      <c r="D2202" s="1"/>
      <c r="E2202" s="1"/>
      <c r="F2202" s="1"/>
      <c r="G2202" s="1"/>
      <c r="H2202" s="1"/>
    </row>
    <row r="2203" spans="1:8" ht="12.5">
      <c r="A2203" s="1"/>
      <c r="B2203" s="1"/>
      <c r="C2203" s="1"/>
      <c r="D2203" s="1"/>
      <c r="E2203" s="1"/>
      <c r="F2203" s="1"/>
      <c r="G2203" s="1"/>
      <c r="H2203" s="1"/>
    </row>
    <row r="2204" spans="1:8" ht="12.5">
      <c r="A2204" s="1"/>
      <c r="B2204" s="1"/>
      <c r="C2204" s="1"/>
      <c r="D2204" s="1"/>
      <c r="E2204" s="1"/>
      <c r="F2204" s="1"/>
      <c r="G2204" s="1"/>
      <c r="H2204" s="1"/>
    </row>
    <row r="2205" spans="1:8" ht="12.5">
      <c r="A2205" s="1"/>
      <c r="B2205" s="1"/>
      <c r="C2205" s="1"/>
      <c r="D2205" s="1"/>
      <c r="E2205" s="1"/>
      <c r="F2205" s="1"/>
      <c r="G2205" s="1"/>
      <c r="H2205" s="1"/>
    </row>
    <row r="2206" spans="1:8" ht="12.5">
      <c r="A2206" s="1"/>
      <c r="B2206" s="1"/>
      <c r="C2206" s="1"/>
      <c r="D2206" s="1"/>
      <c r="E2206" s="1"/>
      <c r="F2206" s="1"/>
      <c r="G2206" s="1"/>
      <c r="H2206" s="1"/>
    </row>
    <row r="2207" spans="1:8" ht="12.5">
      <c r="A2207" s="1"/>
      <c r="B2207" s="1"/>
      <c r="C2207" s="1"/>
      <c r="D2207" s="1"/>
      <c r="E2207" s="1"/>
      <c r="F2207" s="1"/>
      <c r="G2207" s="1"/>
      <c r="H2207" s="1"/>
    </row>
    <row r="2208" spans="1:8" ht="12.5">
      <c r="A2208" s="1"/>
      <c r="B2208" s="1"/>
      <c r="C2208" s="1"/>
      <c r="D2208" s="1"/>
      <c r="E2208" s="1"/>
      <c r="F2208" s="1"/>
      <c r="G2208" s="1"/>
      <c r="H2208" s="1"/>
    </row>
    <row r="2209" spans="1:8" ht="12.5">
      <c r="A2209" s="1"/>
      <c r="B2209" s="1"/>
      <c r="C2209" s="1"/>
      <c r="D2209" s="1"/>
      <c r="E2209" s="1"/>
      <c r="F2209" s="1"/>
      <c r="G2209" s="1"/>
      <c r="H2209" s="1"/>
    </row>
    <row r="2210" spans="1:8" ht="12.5">
      <c r="A2210" s="1"/>
      <c r="B2210" s="1"/>
      <c r="C2210" s="1"/>
      <c r="D2210" s="1"/>
      <c r="E2210" s="1"/>
      <c r="F2210" s="1"/>
      <c r="G2210" s="1"/>
      <c r="H2210" s="1"/>
    </row>
    <row r="2211" spans="1:8" ht="12.5">
      <c r="A2211" s="1"/>
      <c r="B2211" s="1"/>
      <c r="C2211" s="1"/>
      <c r="D2211" s="1"/>
      <c r="E2211" s="1"/>
      <c r="F2211" s="1"/>
      <c r="G2211" s="1"/>
      <c r="H2211" s="1"/>
    </row>
    <row r="2212" spans="1:8" ht="12.5">
      <c r="A2212" s="1"/>
      <c r="B2212" s="1"/>
      <c r="C2212" s="1"/>
      <c r="D2212" s="1"/>
      <c r="E2212" s="1"/>
      <c r="F2212" s="1"/>
      <c r="G2212" s="1"/>
      <c r="H2212" s="1"/>
    </row>
    <row r="2213" spans="1:8" ht="12.5">
      <c r="A2213" s="1"/>
      <c r="B2213" s="1"/>
      <c r="C2213" s="1"/>
      <c r="D2213" s="1"/>
      <c r="E2213" s="1"/>
      <c r="F2213" s="1"/>
      <c r="G2213" s="1"/>
      <c r="H2213" s="1"/>
    </row>
    <row r="2214" spans="1:8" ht="12.5">
      <c r="A2214" s="1"/>
      <c r="B2214" s="1"/>
      <c r="C2214" s="1"/>
      <c r="D2214" s="1"/>
      <c r="E2214" s="1"/>
      <c r="F2214" s="1"/>
      <c r="G2214" s="1"/>
      <c r="H2214" s="1"/>
    </row>
    <row r="2215" spans="1:8" ht="12.5">
      <c r="A2215" s="1"/>
      <c r="B2215" s="1"/>
      <c r="C2215" s="1"/>
      <c r="D2215" s="1"/>
      <c r="E2215" s="1"/>
      <c r="F2215" s="1"/>
      <c r="G2215" s="1"/>
      <c r="H2215" s="1"/>
    </row>
    <row r="2216" spans="1:8" ht="12.5">
      <c r="A2216" s="1"/>
      <c r="B2216" s="1"/>
      <c r="C2216" s="1"/>
      <c r="D2216" s="1"/>
      <c r="E2216" s="1"/>
      <c r="F2216" s="1"/>
      <c r="G2216" s="1"/>
      <c r="H2216" s="1"/>
    </row>
    <row r="2217" spans="1:8" ht="12.5">
      <c r="A2217" s="1"/>
      <c r="B2217" s="1"/>
      <c r="C2217" s="1"/>
      <c r="D2217" s="1"/>
      <c r="E2217" s="1"/>
      <c r="F2217" s="1"/>
      <c r="G2217" s="1"/>
      <c r="H2217" s="1"/>
    </row>
    <row r="2218" spans="1:8" ht="12.5">
      <c r="A2218" s="1"/>
      <c r="B2218" s="1"/>
      <c r="C2218" s="1"/>
      <c r="D2218" s="1"/>
      <c r="E2218" s="1"/>
      <c r="F2218" s="1"/>
      <c r="G2218" s="1"/>
      <c r="H2218" s="1"/>
    </row>
    <row r="2219" spans="1:8" ht="12.5">
      <c r="A2219" s="1"/>
      <c r="B2219" s="1"/>
      <c r="C2219" s="1"/>
      <c r="D2219" s="1"/>
      <c r="E2219" s="1"/>
      <c r="F2219" s="1"/>
      <c r="G2219" s="1"/>
      <c r="H2219" s="1"/>
    </row>
    <row r="2220" spans="1:8" ht="12.5">
      <c r="A2220" s="1"/>
      <c r="B2220" s="1"/>
      <c r="C2220" s="1"/>
      <c r="D2220" s="1"/>
      <c r="E2220" s="1"/>
      <c r="F2220" s="1"/>
      <c r="G2220" s="1"/>
      <c r="H2220" s="1"/>
    </row>
    <row r="2221" spans="1:8" ht="12.5">
      <c r="A2221" s="1"/>
      <c r="B2221" s="1"/>
      <c r="C2221" s="1"/>
      <c r="D2221" s="1"/>
      <c r="E2221" s="1"/>
      <c r="F2221" s="1"/>
      <c r="G2221" s="1"/>
      <c r="H2221" s="1"/>
    </row>
    <row r="2222" spans="1:8" ht="12.5">
      <c r="A2222" s="1"/>
      <c r="B2222" s="1"/>
      <c r="C2222" s="1"/>
      <c r="D2222" s="1"/>
      <c r="E2222" s="1"/>
      <c r="F2222" s="1"/>
      <c r="G2222" s="1"/>
      <c r="H2222" s="1"/>
    </row>
    <row r="2223" spans="1:8" ht="12.5">
      <c r="A2223" s="1"/>
      <c r="B2223" s="1"/>
      <c r="C2223" s="1"/>
      <c r="D2223" s="1"/>
      <c r="E2223" s="1"/>
      <c r="F2223" s="1"/>
      <c r="G2223" s="1"/>
      <c r="H2223" s="1"/>
    </row>
    <row r="2224" spans="1:8" ht="12.5">
      <c r="A2224" s="1"/>
      <c r="B2224" s="1"/>
      <c r="C2224" s="1"/>
      <c r="D2224" s="1"/>
      <c r="E2224" s="1"/>
      <c r="F2224" s="1"/>
      <c r="G2224" s="1"/>
      <c r="H2224" s="1"/>
    </row>
    <row r="2225" spans="1:8" ht="12.5">
      <c r="A2225" s="1"/>
      <c r="B2225" s="1"/>
      <c r="C2225" s="1"/>
      <c r="D2225" s="1"/>
      <c r="E2225" s="1"/>
      <c r="F2225" s="1"/>
      <c r="G2225" s="1"/>
      <c r="H2225" s="1"/>
    </row>
    <row r="2226" spans="1:8" ht="12.5">
      <c r="A2226" s="1"/>
      <c r="B2226" s="1"/>
      <c r="C2226" s="1"/>
      <c r="D2226" s="1"/>
      <c r="E2226" s="1"/>
      <c r="F2226" s="1"/>
      <c r="G2226" s="1"/>
      <c r="H2226" s="1"/>
    </row>
    <row r="2227" spans="1:8" ht="12.5">
      <c r="A2227" s="1"/>
      <c r="B2227" s="1"/>
      <c r="C2227" s="1"/>
      <c r="D2227" s="1"/>
      <c r="E2227" s="1"/>
      <c r="F2227" s="1"/>
      <c r="G2227" s="1"/>
      <c r="H2227" s="1"/>
    </row>
    <row r="2228" spans="1:8" ht="12.5">
      <c r="A2228" s="1"/>
      <c r="B2228" s="1"/>
      <c r="C2228" s="1"/>
      <c r="D2228" s="1"/>
      <c r="E2228" s="1"/>
      <c r="F2228" s="1"/>
      <c r="G2228" s="1"/>
      <c r="H2228" s="1"/>
    </row>
    <row r="2229" spans="1:8" ht="12.5">
      <c r="A2229" s="1"/>
      <c r="B2229" s="1"/>
      <c r="C2229" s="1"/>
      <c r="D2229" s="1"/>
      <c r="E2229" s="1"/>
      <c r="F2229" s="1"/>
      <c r="G2229" s="1"/>
      <c r="H2229" s="1"/>
    </row>
    <row r="2230" spans="1:8" ht="12.5">
      <c r="A2230" s="1"/>
      <c r="B2230" s="1"/>
      <c r="C2230" s="1"/>
      <c r="D2230" s="1"/>
      <c r="E2230" s="1"/>
      <c r="F2230" s="1"/>
      <c r="G2230" s="1"/>
      <c r="H2230" s="1"/>
    </row>
    <row r="2231" spans="1:8" ht="12.5">
      <c r="A2231" s="1"/>
      <c r="B2231" s="1"/>
      <c r="C2231" s="1"/>
      <c r="D2231" s="1"/>
      <c r="E2231" s="1"/>
      <c r="F2231" s="1"/>
      <c r="G2231" s="1"/>
      <c r="H2231" s="1"/>
    </row>
    <row r="2232" spans="1:8" ht="12.5">
      <c r="A2232" s="1"/>
      <c r="B2232" s="1"/>
      <c r="C2232" s="1"/>
      <c r="D2232" s="1"/>
      <c r="E2232" s="1"/>
      <c r="F2232" s="1"/>
      <c r="G2232" s="1"/>
      <c r="H2232" s="1"/>
    </row>
    <row r="2233" spans="1:8" ht="12.5">
      <c r="A2233" s="1"/>
      <c r="B2233" s="1"/>
      <c r="C2233" s="1"/>
      <c r="D2233" s="1"/>
      <c r="E2233" s="1"/>
      <c r="F2233" s="1"/>
      <c r="G2233" s="1"/>
      <c r="H2233" s="1"/>
    </row>
    <row r="2234" spans="1:8" ht="12.5">
      <c r="A2234" s="1"/>
      <c r="B2234" s="1"/>
      <c r="C2234" s="1"/>
      <c r="D2234" s="1"/>
      <c r="E2234" s="1"/>
      <c r="F2234" s="1"/>
      <c r="G2234" s="1"/>
      <c r="H2234" s="1"/>
    </row>
    <row r="2235" spans="1:8" ht="12.5">
      <c r="A2235" s="1"/>
      <c r="B2235" s="1"/>
      <c r="C2235" s="1"/>
      <c r="D2235" s="1"/>
      <c r="E2235" s="1"/>
      <c r="F2235" s="1"/>
      <c r="G2235" s="1"/>
      <c r="H2235" s="1"/>
    </row>
    <row r="2236" spans="1:8" ht="12.5">
      <c r="A2236" s="1"/>
      <c r="B2236" s="1"/>
      <c r="C2236" s="1"/>
      <c r="D2236" s="1"/>
      <c r="E2236" s="1"/>
      <c r="F2236" s="1"/>
      <c r="G2236" s="1"/>
      <c r="H2236" s="1"/>
    </row>
    <row r="2237" spans="1:8" ht="12.5">
      <c r="A2237" s="1"/>
      <c r="B2237" s="1"/>
      <c r="C2237" s="1"/>
      <c r="D2237" s="1"/>
      <c r="E2237" s="1"/>
      <c r="F2237" s="1"/>
      <c r="G2237" s="1"/>
      <c r="H2237" s="1"/>
    </row>
    <row r="2238" spans="1:8" ht="12.5">
      <c r="A2238" s="1"/>
      <c r="B2238" s="1"/>
      <c r="C2238" s="1"/>
      <c r="D2238" s="1"/>
      <c r="E2238" s="1"/>
      <c r="F2238" s="1"/>
      <c r="G2238" s="1"/>
      <c r="H2238" s="1"/>
    </row>
    <row r="2239" spans="1:8" ht="12.5">
      <c r="A2239" s="1"/>
      <c r="B2239" s="1"/>
      <c r="C2239" s="1"/>
      <c r="D2239" s="1"/>
      <c r="E2239" s="1"/>
      <c r="F2239" s="1"/>
      <c r="G2239" s="1"/>
      <c r="H2239" s="1"/>
    </row>
    <row r="2240" spans="1:8" ht="12.5">
      <c r="A2240" s="1"/>
      <c r="B2240" s="1"/>
      <c r="C2240" s="1"/>
      <c r="D2240" s="1"/>
      <c r="E2240" s="1"/>
      <c r="F2240" s="1"/>
      <c r="G2240" s="1"/>
      <c r="H2240" s="1"/>
    </row>
    <row r="2241" spans="1:8" ht="12.5">
      <c r="A2241" s="1"/>
      <c r="B2241" s="1"/>
      <c r="C2241" s="1"/>
      <c r="D2241" s="1"/>
      <c r="E2241" s="1"/>
      <c r="F2241" s="1"/>
      <c r="G2241" s="1"/>
      <c r="H2241" s="1"/>
    </row>
    <row r="2242" spans="1:8" ht="12.5">
      <c r="A2242" s="1"/>
      <c r="B2242" s="1"/>
      <c r="C2242" s="1"/>
      <c r="D2242" s="1"/>
      <c r="E2242" s="1"/>
      <c r="F2242" s="1"/>
      <c r="G2242" s="1"/>
      <c r="H2242" s="1"/>
    </row>
    <row r="2243" spans="1:8" ht="12.5">
      <c r="A2243" s="1"/>
      <c r="B2243" s="1"/>
      <c r="C2243" s="1"/>
      <c r="D2243" s="1"/>
      <c r="E2243" s="1"/>
      <c r="F2243" s="1"/>
      <c r="G2243" s="1"/>
      <c r="H2243" s="1"/>
    </row>
    <row r="2244" spans="1:8" ht="12.5">
      <c r="A2244" s="1"/>
      <c r="B2244" s="1"/>
      <c r="C2244" s="1"/>
      <c r="D2244" s="1"/>
      <c r="E2244" s="1"/>
      <c r="F2244" s="1"/>
      <c r="G2244" s="1"/>
      <c r="H2244" s="1"/>
    </row>
    <row r="2245" spans="1:8" ht="12.5">
      <c r="A2245" s="1"/>
      <c r="B2245" s="1"/>
      <c r="C2245" s="1"/>
      <c r="D2245" s="1"/>
      <c r="E2245" s="1"/>
      <c r="F2245" s="1"/>
      <c r="G2245" s="1"/>
      <c r="H2245" s="1"/>
    </row>
    <row r="2246" spans="1:8" ht="12.5">
      <c r="A2246" s="1"/>
      <c r="B2246" s="1"/>
      <c r="C2246" s="1"/>
      <c r="D2246" s="1"/>
      <c r="E2246" s="1"/>
      <c r="F2246" s="1"/>
      <c r="G2246" s="1"/>
      <c r="H2246" s="1"/>
    </row>
    <row r="2247" spans="1:8" ht="12.5">
      <c r="A2247" s="1"/>
      <c r="B2247" s="1"/>
      <c r="C2247" s="1"/>
      <c r="D2247" s="1"/>
      <c r="E2247" s="1"/>
      <c r="F2247" s="1"/>
      <c r="G2247" s="1"/>
      <c r="H2247" s="1"/>
    </row>
    <row r="2248" spans="1:8" ht="12.5">
      <c r="A2248" s="1"/>
      <c r="B2248" s="1"/>
      <c r="C2248" s="1"/>
      <c r="D2248" s="1"/>
      <c r="E2248" s="1"/>
      <c r="F2248" s="1"/>
      <c r="G2248" s="1"/>
      <c r="H2248" s="1"/>
    </row>
    <row r="2249" spans="1:8" ht="12.5">
      <c r="A2249" s="1"/>
      <c r="B2249" s="1"/>
      <c r="C2249" s="1"/>
      <c r="D2249" s="1"/>
      <c r="E2249" s="1"/>
      <c r="F2249" s="1"/>
      <c r="G2249" s="1"/>
      <c r="H2249" s="1"/>
    </row>
    <row r="2250" spans="1:8" ht="12.5">
      <c r="A2250" s="1"/>
      <c r="B2250" s="1"/>
      <c r="C2250" s="1"/>
      <c r="D2250" s="1"/>
      <c r="E2250" s="1"/>
      <c r="F2250" s="1"/>
      <c r="G2250" s="1"/>
      <c r="H2250" s="1"/>
    </row>
    <row r="2251" spans="1:8" ht="12.5">
      <c r="A2251" s="1"/>
      <c r="B2251" s="1"/>
      <c r="C2251" s="1"/>
      <c r="D2251" s="1"/>
      <c r="E2251" s="1"/>
      <c r="F2251" s="1"/>
      <c r="G2251" s="1"/>
      <c r="H2251" s="1"/>
    </row>
    <row r="2252" spans="1:8" ht="12.5">
      <c r="A2252" s="1"/>
      <c r="B2252" s="1"/>
      <c r="C2252" s="1"/>
      <c r="D2252" s="1"/>
      <c r="E2252" s="1"/>
      <c r="F2252" s="1"/>
      <c r="G2252" s="1"/>
      <c r="H2252" s="1"/>
    </row>
    <row r="2253" spans="1:8" ht="12.5">
      <c r="A2253" s="1"/>
      <c r="B2253" s="1"/>
      <c r="C2253" s="1"/>
      <c r="D2253" s="1"/>
      <c r="E2253" s="1"/>
      <c r="F2253" s="1"/>
      <c r="G2253" s="1"/>
      <c r="H2253" s="1"/>
    </row>
    <row r="2254" spans="1:8" ht="12.5">
      <c r="A2254" s="1"/>
      <c r="B2254" s="1"/>
      <c r="C2254" s="1"/>
      <c r="D2254" s="1"/>
      <c r="E2254" s="1"/>
      <c r="F2254" s="1"/>
      <c r="G2254" s="1"/>
      <c r="H2254" s="1"/>
    </row>
    <row r="2255" spans="1:8" ht="12.5">
      <c r="A2255" s="1"/>
      <c r="B2255" s="1"/>
      <c r="C2255" s="1"/>
      <c r="D2255" s="1"/>
      <c r="E2255" s="1"/>
      <c r="F2255" s="1"/>
      <c r="G2255" s="1"/>
      <c r="H2255" s="1"/>
    </row>
    <row r="2256" spans="1:8" ht="12.5">
      <c r="A2256" s="1"/>
      <c r="B2256" s="1"/>
      <c r="C2256" s="1"/>
      <c r="D2256" s="1"/>
      <c r="E2256" s="1"/>
      <c r="F2256" s="1"/>
      <c r="G2256" s="1"/>
      <c r="H2256" s="1"/>
    </row>
    <row r="2257" spans="1:8" ht="12.5">
      <c r="A2257" s="1"/>
      <c r="B2257" s="1"/>
      <c r="C2257" s="1"/>
      <c r="D2257" s="1"/>
      <c r="E2257" s="1"/>
      <c r="F2257" s="1"/>
      <c r="G2257" s="1"/>
      <c r="H2257" s="1"/>
    </row>
    <row r="2258" spans="1:8" ht="12.5">
      <c r="A2258" s="1"/>
      <c r="B2258" s="1"/>
      <c r="C2258" s="1"/>
      <c r="D2258" s="1"/>
      <c r="E2258" s="1"/>
      <c r="F2258" s="1"/>
      <c r="G2258" s="1"/>
      <c r="H2258" s="1"/>
    </row>
    <row r="2259" spans="1:8" ht="12.5">
      <c r="A2259" s="1"/>
      <c r="B2259" s="1"/>
      <c r="C2259" s="1"/>
      <c r="D2259" s="1"/>
      <c r="E2259" s="1"/>
      <c r="F2259" s="1"/>
      <c r="G2259" s="1"/>
      <c r="H2259" s="1"/>
    </row>
    <row r="2260" spans="1:8" ht="12.5">
      <c r="A2260" s="1"/>
      <c r="B2260" s="1"/>
      <c r="C2260" s="1"/>
      <c r="D2260" s="1"/>
      <c r="E2260" s="1"/>
      <c r="F2260" s="1"/>
      <c r="G2260" s="1"/>
      <c r="H2260" s="1"/>
    </row>
    <row r="2261" spans="1:8" ht="12.5">
      <c r="A2261" s="1"/>
      <c r="B2261" s="1"/>
      <c r="C2261" s="1"/>
      <c r="D2261" s="1"/>
      <c r="E2261" s="1"/>
      <c r="F2261" s="1"/>
      <c r="G2261" s="1"/>
      <c r="H2261" s="1"/>
    </row>
    <row r="2262" spans="1:8" ht="12.5">
      <c r="A2262" s="1"/>
      <c r="B2262" s="1"/>
      <c r="C2262" s="1"/>
      <c r="D2262" s="1"/>
      <c r="E2262" s="1"/>
      <c r="F2262" s="1"/>
      <c r="G2262" s="1"/>
      <c r="H2262" s="1"/>
    </row>
    <row r="2263" spans="1:8" ht="12.5">
      <c r="A2263" s="1"/>
      <c r="B2263" s="1"/>
      <c r="C2263" s="1"/>
      <c r="D2263" s="1"/>
      <c r="E2263" s="1"/>
      <c r="F2263" s="1"/>
      <c r="G2263" s="1"/>
      <c r="H2263" s="1"/>
    </row>
    <row r="2264" spans="1:8" ht="12.5">
      <c r="A2264" s="1"/>
      <c r="B2264" s="1"/>
      <c r="C2264" s="1"/>
      <c r="D2264" s="1"/>
      <c r="E2264" s="1"/>
      <c r="F2264" s="1"/>
      <c r="G2264" s="1"/>
      <c r="H2264" s="1"/>
    </row>
    <row r="2265" spans="1:8" ht="12.5">
      <c r="A2265" s="1"/>
      <c r="B2265" s="1"/>
      <c r="C2265" s="1"/>
      <c r="D2265" s="1"/>
      <c r="E2265" s="1"/>
      <c r="F2265" s="1"/>
      <c r="G2265" s="1"/>
      <c r="H2265" s="1"/>
    </row>
    <row r="2266" spans="1:8" ht="12.5">
      <c r="A2266" s="1"/>
      <c r="B2266" s="1"/>
      <c r="C2266" s="1"/>
      <c r="D2266" s="1"/>
      <c r="E2266" s="1"/>
      <c r="F2266" s="1"/>
      <c r="G2266" s="1"/>
      <c r="H2266" s="1"/>
    </row>
    <row r="2267" spans="1:8" ht="12.5">
      <c r="A2267" s="1"/>
      <c r="B2267" s="1"/>
      <c r="C2267" s="1"/>
      <c r="D2267" s="1"/>
      <c r="E2267" s="1"/>
      <c r="F2267" s="1"/>
      <c r="G2267" s="1"/>
      <c r="H2267" s="1"/>
    </row>
    <row r="2268" spans="1:8" ht="12.5">
      <c r="A2268" s="1"/>
      <c r="B2268" s="1"/>
      <c r="C2268" s="1"/>
      <c r="D2268" s="1"/>
      <c r="E2268" s="1"/>
      <c r="F2268" s="1"/>
      <c r="G2268" s="1"/>
      <c r="H2268" s="1"/>
    </row>
    <row r="2269" spans="1:8" ht="12.5">
      <c r="A2269" s="1"/>
      <c r="B2269" s="1"/>
      <c r="C2269" s="1"/>
      <c r="D2269" s="1"/>
      <c r="E2269" s="1"/>
      <c r="F2269" s="1"/>
      <c r="G2269" s="1"/>
      <c r="H2269" s="1"/>
    </row>
    <row r="2270" spans="1:8" ht="12.5">
      <c r="A2270" s="1"/>
      <c r="B2270" s="1"/>
      <c r="C2270" s="1"/>
      <c r="D2270" s="1"/>
      <c r="E2270" s="1"/>
      <c r="F2270" s="1"/>
      <c r="G2270" s="1"/>
      <c r="H2270" s="1"/>
    </row>
    <row r="2271" spans="1:8" ht="12.5">
      <c r="A2271" s="1"/>
      <c r="B2271" s="1"/>
      <c r="C2271" s="1"/>
      <c r="D2271" s="1"/>
      <c r="E2271" s="1"/>
      <c r="F2271" s="1"/>
      <c r="G2271" s="1"/>
      <c r="H2271" s="1"/>
    </row>
    <row r="2272" spans="1:8" ht="12.5">
      <c r="A2272" s="1"/>
      <c r="B2272" s="1"/>
      <c r="C2272" s="1"/>
      <c r="D2272" s="1"/>
      <c r="E2272" s="1"/>
      <c r="F2272" s="1"/>
      <c r="G2272" s="1"/>
      <c r="H2272" s="1"/>
    </row>
    <row r="2273" spans="1:8" ht="12.5">
      <c r="A2273" s="1"/>
      <c r="B2273" s="1"/>
      <c r="C2273" s="1"/>
      <c r="D2273" s="1"/>
      <c r="E2273" s="1"/>
      <c r="F2273" s="1"/>
      <c r="G2273" s="1"/>
      <c r="H2273" s="1"/>
    </row>
    <row r="2274" spans="1:8" ht="12.5">
      <c r="A2274" s="1"/>
      <c r="B2274" s="1"/>
      <c r="C2274" s="1"/>
      <c r="D2274" s="1"/>
      <c r="E2274" s="1"/>
      <c r="F2274" s="1"/>
      <c r="G2274" s="1"/>
      <c r="H2274" s="1"/>
    </row>
    <row r="2275" spans="1:8" ht="12.5">
      <c r="A2275" s="1"/>
      <c r="B2275" s="1"/>
      <c r="C2275" s="1"/>
      <c r="D2275" s="1"/>
      <c r="E2275" s="1"/>
      <c r="F2275" s="1"/>
      <c r="G2275" s="1"/>
      <c r="H2275" s="1"/>
    </row>
    <row r="2276" spans="1:8" ht="12.5">
      <c r="A2276" s="1"/>
      <c r="B2276" s="1"/>
      <c r="C2276" s="1"/>
      <c r="D2276" s="1"/>
      <c r="E2276" s="1"/>
      <c r="F2276" s="1"/>
      <c r="G2276" s="1"/>
      <c r="H2276" s="1"/>
    </row>
    <row r="2277" spans="1:8" ht="12.5">
      <c r="A2277" s="1"/>
      <c r="B2277" s="1"/>
      <c r="C2277" s="1"/>
      <c r="D2277" s="1"/>
      <c r="E2277" s="1"/>
      <c r="F2277" s="1"/>
      <c r="G2277" s="1"/>
      <c r="H2277" s="1"/>
    </row>
    <row r="2278" spans="1:8" ht="12.5">
      <c r="A2278" s="1"/>
      <c r="B2278" s="1"/>
      <c r="C2278" s="1"/>
      <c r="D2278" s="1"/>
      <c r="E2278" s="1"/>
      <c r="F2278" s="1"/>
      <c r="G2278" s="1"/>
      <c r="H2278" s="1"/>
    </row>
    <row r="2279" spans="1:8" ht="12.5">
      <c r="A2279" s="1"/>
      <c r="B2279" s="1"/>
      <c r="C2279" s="1"/>
      <c r="D2279" s="1"/>
      <c r="E2279" s="1"/>
      <c r="F2279" s="1"/>
      <c r="G2279" s="1"/>
      <c r="H2279" s="1"/>
    </row>
    <row r="2280" spans="1:8" ht="12.5">
      <c r="A2280" s="1"/>
      <c r="B2280" s="1"/>
      <c r="C2280" s="1"/>
      <c r="D2280" s="1"/>
      <c r="E2280" s="1"/>
      <c r="F2280" s="1"/>
      <c r="G2280" s="1"/>
      <c r="H2280" s="1"/>
    </row>
    <row r="2281" spans="1:8" ht="12.5">
      <c r="A2281" s="1"/>
      <c r="B2281" s="1"/>
      <c r="C2281" s="1"/>
      <c r="D2281" s="1"/>
      <c r="E2281" s="1"/>
      <c r="F2281" s="1"/>
      <c r="G2281" s="1"/>
      <c r="H2281" s="1"/>
    </row>
    <row r="2282" spans="1:8" ht="12.5">
      <c r="A2282" s="1"/>
      <c r="B2282" s="1"/>
      <c r="C2282" s="1"/>
      <c r="D2282" s="1"/>
      <c r="E2282" s="1"/>
      <c r="F2282" s="1"/>
      <c r="G2282" s="1"/>
      <c r="H2282" s="1"/>
    </row>
    <row r="2283" spans="1:8" ht="12.5">
      <c r="A2283" s="1"/>
      <c r="B2283" s="1"/>
      <c r="C2283" s="1"/>
      <c r="D2283" s="1"/>
      <c r="E2283" s="1"/>
      <c r="F2283" s="1"/>
      <c r="G2283" s="1"/>
      <c r="H2283" s="1"/>
    </row>
    <row r="2284" spans="1:8" ht="12.5">
      <c r="A2284" s="1"/>
      <c r="B2284" s="1"/>
      <c r="C2284" s="1"/>
      <c r="D2284" s="1"/>
      <c r="E2284" s="1"/>
      <c r="F2284" s="1"/>
      <c r="G2284" s="1"/>
      <c r="H2284" s="1"/>
    </row>
    <row r="2285" spans="1:8" ht="12.5">
      <c r="A2285" s="1"/>
      <c r="B2285" s="1"/>
      <c r="C2285" s="1"/>
      <c r="D2285" s="1"/>
      <c r="E2285" s="1"/>
      <c r="F2285" s="1"/>
      <c r="G2285" s="1"/>
      <c r="H2285" s="1"/>
    </row>
    <row r="2286" spans="1:8" ht="12.5">
      <c r="A2286" s="1"/>
      <c r="B2286" s="1"/>
      <c r="C2286" s="1"/>
      <c r="D2286" s="1"/>
      <c r="E2286" s="1"/>
      <c r="F2286" s="1"/>
      <c r="G2286" s="1"/>
      <c r="H2286" s="1"/>
    </row>
    <row r="2287" spans="1:8" ht="12.5">
      <c r="A2287" s="1"/>
      <c r="B2287" s="1"/>
      <c r="C2287" s="1"/>
      <c r="D2287" s="1"/>
      <c r="E2287" s="1"/>
      <c r="F2287" s="1"/>
      <c r="G2287" s="1"/>
      <c r="H2287" s="1"/>
    </row>
    <row r="2288" spans="1:8" ht="12.5">
      <c r="A2288" s="1"/>
      <c r="B2288" s="1"/>
      <c r="C2288" s="1"/>
      <c r="D2288" s="1"/>
      <c r="E2288" s="1"/>
      <c r="F2288" s="1"/>
      <c r="G2288" s="1"/>
      <c r="H2288" s="1"/>
    </row>
    <row r="2289" spans="1:8" ht="12.5">
      <c r="A2289" s="1"/>
      <c r="B2289" s="1"/>
      <c r="C2289" s="1"/>
      <c r="D2289" s="1"/>
      <c r="E2289" s="1"/>
      <c r="F2289" s="1"/>
      <c r="G2289" s="1"/>
      <c r="H2289" s="1"/>
    </row>
    <row r="2290" spans="1:8" ht="12.5">
      <c r="A2290" s="1"/>
      <c r="B2290" s="1"/>
      <c r="C2290" s="1"/>
      <c r="D2290" s="1"/>
      <c r="E2290" s="1"/>
      <c r="F2290" s="1"/>
      <c r="G2290" s="1"/>
      <c r="H2290" s="1"/>
    </row>
    <row r="2291" spans="1:8" ht="12.5">
      <c r="A2291" s="1"/>
      <c r="B2291" s="1"/>
      <c r="C2291" s="1"/>
      <c r="D2291" s="1"/>
      <c r="E2291" s="1"/>
      <c r="F2291" s="1"/>
      <c r="G2291" s="1"/>
      <c r="H2291" s="1"/>
    </row>
    <row r="2292" spans="1:8" ht="12.5">
      <c r="A2292" s="1"/>
      <c r="B2292" s="1"/>
      <c r="C2292" s="1"/>
      <c r="D2292" s="1"/>
      <c r="E2292" s="1"/>
      <c r="F2292" s="1"/>
      <c r="G2292" s="1"/>
      <c r="H2292" s="1"/>
    </row>
    <row r="2293" spans="1:8" ht="12.5">
      <c r="A2293" s="1"/>
      <c r="B2293" s="1"/>
      <c r="C2293" s="1"/>
      <c r="D2293" s="1"/>
      <c r="E2293" s="1"/>
      <c r="F2293" s="1"/>
      <c r="G2293" s="1"/>
      <c r="H2293" s="1"/>
    </row>
    <row r="2294" spans="1:8" ht="12.5">
      <c r="A2294" s="1"/>
      <c r="B2294" s="1"/>
      <c r="C2294" s="1"/>
      <c r="D2294" s="1"/>
      <c r="E2294" s="1"/>
      <c r="F2294" s="1"/>
      <c r="G2294" s="1"/>
      <c r="H2294" s="1"/>
    </row>
    <row r="2295" spans="1:8" ht="12.5">
      <c r="A2295" s="1"/>
      <c r="B2295" s="1"/>
      <c r="C2295" s="1"/>
      <c r="D2295" s="1"/>
      <c r="E2295" s="1"/>
      <c r="F2295" s="1"/>
      <c r="G2295" s="1"/>
      <c r="H2295" s="1"/>
    </row>
    <row r="2296" spans="1:8" ht="12.5">
      <c r="A2296" s="1"/>
      <c r="B2296" s="1"/>
      <c r="C2296" s="1"/>
      <c r="D2296" s="1"/>
      <c r="E2296" s="1"/>
      <c r="F2296" s="1"/>
      <c r="G2296" s="1"/>
      <c r="H2296" s="1"/>
    </row>
    <row r="2297" spans="1:8" ht="12.5">
      <c r="A2297" s="1"/>
      <c r="B2297" s="1"/>
      <c r="C2297" s="1"/>
      <c r="D2297" s="1"/>
      <c r="E2297" s="1"/>
      <c r="F2297" s="1"/>
      <c r="G2297" s="1"/>
      <c r="H2297" s="1"/>
    </row>
    <row r="2298" spans="1:8" ht="12.5">
      <c r="A2298" s="1"/>
      <c r="B2298" s="1"/>
      <c r="C2298" s="1"/>
      <c r="D2298" s="1"/>
      <c r="E2298" s="1"/>
      <c r="F2298" s="1"/>
      <c r="G2298" s="1"/>
      <c r="H2298" s="1"/>
    </row>
    <row r="2299" spans="1:8" ht="12.5">
      <c r="A2299" s="1"/>
      <c r="B2299" s="1"/>
      <c r="C2299" s="1"/>
      <c r="D2299" s="1"/>
      <c r="E2299" s="1"/>
      <c r="F2299" s="1"/>
      <c r="G2299" s="1"/>
      <c r="H2299" s="1"/>
    </row>
    <row r="2300" spans="1:8" ht="12.5">
      <c r="A2300" s="1"/>
      <c r="B2300" s="1"/>
      <c r="C2300" s="1"/>
      <c r="D2300" s="1"/>
      <c r="E2300" s="1"/>
      <c r="F2300" s="1"/>
      <c r="G2300" s="1"/>
      <c r="H2300" s="1"/>
    </row>
    <row r="2301" spans="1:8" ht="12.5">
      <c r="A2301" s="1"/>
      <c r="B2301" s="1"/>
      <c r="C2301" s="1"/>
      <c r="D2301" s="1"/>
      <c r="E2301" s="1"/>
      <c r="F2301" s="1"/>
      <c r="G2301" s="1"/>
      <c r="H2301" s="1"/>
    </row>
    <row r="2302" spans="1:8" ht="12.5">
      <c r="A2302" s="1"/>
      <c r="B2302" s="1"/>
      <c r="C2302" s="1"/>
      <c r="D2302" s="1"/>
      <c r="E2302" s="1"/>
      <c r="F2302" s="1"/>
      <c r="G2302" s="1"/>
      <c r="H2302" s="1"/>
    </row>
    <row r="2303" spans="1:8" ht="12.5">
      <c r="A2303" s="1"/>
      <c r="B2303" s="1"/>
      <c r="C2303" s="1"/>
      <c r="D2303" s="1"/>
      <c r="E2303" s="1"/>
      <c r="F2303" s="1"/>
      <c r="G2303" s="1"/>
      <c r="H2303" s="1"/>
    </row>
    <row r="2304" spans="1:8" ht="12.5">
      <c r="A2304" s="1"/>
      <c r="B2304" s="1"/>
      <c r="C2304" s="1"/>
      <c r="D2304" s="1"/>
      <c r="E2304" s="1"/>
      <c r="F2304" s="1"/>
      <c r="G2304" s="1"/>
      <c r="H2304" s="1"/>
    </row>
    <row r="2305" spans="1:8" ht="12.5">
      <c r="A2305" s="1"/>
      <c r="B2305" s="1"/>
      <c r="C2305" s="1"/>
      <c r="D2305" s="1"/>
      <c r="E2305" s="1"/>
      <c r="F2305" s="1"/>
      <c r="G2305" s="1"/>
      <c r="H2305" s="1"/>
    </row>
    <row r="2306" spans="1:8" ht="12.5">
      <c r="A2306" s="1"/>
      <c r="B2306" s="1"/>
      <c r="C2306" s="1"/>
      <c r="D2306" s="1"/>
      <c r="E2306" s="1"/>
      <c r="F2306" s="1"/>
      <c r="G2306" s="1"/>
      <c r="H2306" s="1"/>
    </row>
    <row r="2307" spans="1:8" ht="12.5">
      <c r="A2307" s="1"/>
      <c r="B2307" s="1"/>
      <c r="C2307" s="1"/>
      <c r="D2307" s="1"/>
      <c r="E2307" s="1"/>
      <c r="F2307" s="1"/>
      <c r="G2307" s="1"/>
      <c r="H2307" s="1"/>
    </row>
    <row r="2308" spans="1:8" ht="12.5">
      <c r="A2308" s="1"/>
      <c r="B2308" s="1"/>
      <c r="C2308" s="1"/>
      <c r="D2308" s="1"/>
      <c r="E2308" s="1"/>
      <c r="F2308" s="1"/>
      <c r="G2308" s="1"/>
      <c r="H2308" s="1"/>
    </row>
    <row r="2309" spans="1:8" ht="12.5">
      <c r="A2309" s="1"/>
      <c r="B2309" s="1"/>
      <c r="C2309" s="1"/>
      <c r="D2309" s="1"/>
      <c r="E2309" s="1"/>
      <c r="F2309" s="1"/>
      <c r="G2309" s="1"/>
      <c r="H2309" s="1"/>
    </row>
    <row r="2310" spans="1:8" ht="12.5">
      <c r="A2310" s="1"/>
      <c r="B2310" s="1"/>
      <c r="C2310" s="1"/>
      <c r="D2310" s="1"/>
      <c r="E2310" s="1"/>
      <c r="F2310" s="1"/>
      <c r="G2310" s="1"/>
      <c r="H2310" s="1"/>
    </row>
    <row r="2311" spans="1:8" ht="12.5">
      <c r="A2311" s="1"/>
      <c r="B2311" s="1"/>
      <c r="C2311" s="1"/>
      <c r="D2311" s="1"/>
      <c r="E2311" s="1"/>
      <c r="F2311" s="1"/>
      <c r="G2311" s="1"/>
      <c r="H2311" s="1"/>
    </row>
    <row r="2312" spans="1:8" ht="12.5">
      <c r="A2312" s="1"/>
      <c r="B2312" s="1"/>
      <c r="C2312" s="1"/>
      <c r="D2312" s="1"/>
      <c r="E2312" s="1"/>
      <c r="F2312" s="1"/>
      <c r="G2312" s="1"/>
      <c r="H2312" s="1"/>
    </row>
    <row r="2313" spans="1:8" ht="12.5">
      <c r="A2313" s="1"/>
      <c r="B2313" s="1"/>
      <c r="C2313" s="1"/>
      <c r="D2313" s="1"/>
      <c r="E2313" s="1"/>
      <c r="F2313" s="1"/>
      <c r="G2313" s="1"/>
      <c r="H2313" s="1"/>
    </row>
    <row r="2314" spans="1:8" ht="12.5">
      <c r="A2314" s="1"/>
      <c r="B2314" s="1"/>
      <c r="C2314" s="1"/>
      <c r="D2314" s="1"/>
      <c r="E2314" s="1"/>
      <c r="F2314" s="1"/>
      <c r="G2314" s="1"/>
      <c r="H2314" s="1"/>
    </row>
    <row r="2315" spans="1:8" ht="12.5">
      <c r="A2315" s="1"/>
      <c r="B2315" s="1"/>
      <c r="C2315" s="1"/>
      <c r="D2315" s="1"/>
      <c r="E2315" s="1"/>
      <c r="F2315" s="1"/>
      <c r="G2315" s="1"/>
      <c r="H2315" s="1"/>
    </row>
    <row r="2316" spans="1:8" ht="12.5">
      <c r="A2316" s="1"/>
      <c r="B2316" s="1"/>
      <c r="C2316" s="1"/>
      <c r="D2316" s="1"/>
      <c r="E2316" s="1"/>
      <c r="F2316" s="1"/>
      <c r="G2316" s="1"/>
      <c r="H2316" s="1"/>
    </row>
    <row r="2317" spans="1:8" ht="12.5">
      <c r="A2317" s="1"/>
      <c r="B2317" s="1"/>
      <c r="C2317" s="1"/>
      <c r="D2317" s="1"/>
      <c r="E2317" s="1"/>
      <c r="F2317" s="1"/>
      <c r="G2317" s="1"/>
      <c r="H2317" s="1"/>
    </row>
    <row r="2318" spans="1:8" ht="12.5">
      <c r="A2318" s="1"/>
      <c r="B2318" s="1"/>
      <c r="C2318" s="1"/>
      <c r="D2318" s="1"/>
      <c r="E2318" s="1"/>
      <c r="F2318" s="1"/>
      <c r="G2318" s="1"/>
      <c r="H2318" s="1"/>
    </row>
    <row r="2319" spans="1:8" ht="12.5">
      <c r="A2319" s="1"/>
      <c r="B2319" s="1"/>
      <c r="C2319" s="1"/>
      <c r="D2319" s="1"/>
      <c r="E2319" s="1"/>
      <c r="F2319" s="1"/>
      <c r="G2319" s="1"/>
      <c r="H2319" s="1"/>
    </row>
    <row r="2320" spans="1:8" ht="12.5">
      <c r="A2320" s="1"/>
      <c r="B2320" s="1"/>
      <c r="C2320" s="1"/>
      <c r="D2320" s="1"/>
      <c r="E2320" s="1"/>
      <c r="F2320" s="1"/>
      <c r="G2320" s="1"/>
      <c r="H2320" s="1"/>
    </row>
    <row r="2321" spans="1:8" ht="12.5">
      <c r="A2321" s="1"/>
      <c r="B2321" s="1"/>
      <c r="C2321" s="1"/>
      <c r="D2321" s="1"/>
      <c r="E2321" s="1"/>
      <c r="F2321" s="1"/>
      <c r="G2321" s="1"/>
      <c r="H2321" s="1"/>
    </row>
    <row r="2322" spans="1:8" ht="12.5">
      <c r="A2322" s="1"/>
      <c r="B2322" s="1"/>
      <c r="C2322" s="1"/>
      <c r="D2322" s="1"/>
      <c r="E2322" s="1"/>
      <c r="F2322" s="1"/>
      <c r="G2322" s="1"/>
      <c r="H2322" s="1"/>
    </row>
    <row r="2323" spans="1:8" ht="12.5">
      <c r="A2323" s="1"/>
      <c r="B2323" s="1"/>
      <c r="C2323" s="1"/>
      <c r="D2323" s="1"/>
      <c r="E2323" s="1"/>
      <c r="F2323" s="1"/>
      <c r="G2323" s="1"/>
      <c r="H2323" s="1"/>
    </row>
    <row r="2324" spans="1:8" ht="12.5">
      <c r="A2324" s="1"/>
      <c r="B2324" s="1"/>
      <c r="C2324" s="1"/>
      <c r="D2324" s="1"/>
      <c r="E2324" s="1"/>
      <c r="F2324" s="1"/>
      <c r="G2324" s="1"/>
      <c r="H2324" s="1"/>
    </row>
    <row r="2325" spans="1:8" ht="12.5">
      <c r="A2325" s="1"/>
      <c r="B2325" s="1"/>
      <c r="C2325" s="1"/>
      <c r="D2325" s="1"/>
      <c r="E2325" s="1"/>
      <c r="F2325" s="1"/>
      <c r="G2325" s="1"/>
      <c r="H2325" s="1"/>
    </row>
    <row r="2326" spans="1:8" ht="12.5">
      <c r="A2326" s="1"/>
      <c r="B2326" s="1"/>
      <c r="C2326" s="1"/>
      <c r="D2326" s="1"/>
      <c r="E2326" s="1"/>
      <c r="F2326" s="1"/>
      <c r="G2326" s="1"/>
      <c r="H2326" s="1"/>
    </row>
    <row r="2327" spans="1:8" ht="12.5">
      <c r="A2327" s="1"/>
      <c r="B2327" s="1"/>
      <c r="C2327" s="1"/>
      <c r="D2327" s="1"/>
      <c r="E2327" s="1"/>
      <c r="F2327" s="1"/>
      <c r="G2327" s="1"/>
      <c r="H2327" s="1"/>
    </row>
    <row r="2328" spans="1:8" ht="12.5">
      <c r="A2328" s="1"/>
      <c r="B2328" s="1"/>
      <c r="C2328" s="1"/>
      <c r="D2328" s="1"/>
      <c r="E2328" s="1"/>
      <c r="F2328" s="1"/>
      <c r="G2328" s="1"/>
      <c r="H2328" s="1"/>
    </row>
    <row r="2329" spans="1:8" ht="12.5">
      <c r="A2329" s="1"/>
      <c r="B2329" s="1"/>
      <c r="C2329" s="1"/>
      <c r="D2329" s="1"/>
      <c r="E2329" s="1"/>
      <c r="F2329" s="1"/>
      <c r="G2329" s="1"/>
      <c r="H2329" s="1"/>
    </row>
    <row r="2330" spans="1:8" ht="12.5">
      <c r="A2330" s="1"/>
      <c r="B2330" s="1"/>
      <c r="C2330" s="1"/>
      <c r="D2330" s="1"/>
      <c r="E2330" s="1"/>
      <c r="F2330" s="1"/>
      <c r="G2330" s="1"/>
      <c r="H2330" s="1"/>
    </row>
    <row r="2331" spans="1:8" ht="12.5">
      <c r="A2331" s="1"/>
      <c r="B2331" s="1"/>
      <c r="C2331" s="1"/>
      <c r="D2331" s="1"/>
      <c r="E2331" s="1"/>
      <c r="F2331" s="1"/>
      <c r="G2331" s="1"/>
      <c r="H2331" s="1"/>
    </row>
    <row r="2332" spans="1:8" ht="12.5">
      <c r="A2332" s="1"/>
      <c r="B2332" s="1"/>
      <c r="C2332" s="1"/>
      <c r="D2332" s="1"/>
      <c r="E2332" s="1"/>
      <c r="F2332" s="1"/>
      <c r="G2332" s="1"/>
      <c r="H2332" s="1"/>
    </row>
    <row r="2333" spans="1:8" ht="12.5">
      <c r="A2333" s="1"/>
      <c r="B2333" s="1"/>
      <c r="C2333" s="1"/>
      <c r="D2333" s="1"/>
      <c r="E2333" s="1"/>
      <c r="F2333" s="1"/>
      <c r="G2333" s="1"/>
      <c r="H2333" s="1"/>
    </row>
    <row r="2334" spans="1:8" ht="12.5">
      <c r="A2334" s="1"/>
      <c r="B2334" s="1"/>
      <c r="C2334" s="1"/>
      <c r="D2334" s="1"/>
      <c r="E2334" s="1"/>
      <c r="F2334" s="1"/>
      <c r="G2334" s="1"/>
      <c r="H2334" s="1"/>
    </row>
    <row r="2335" spans="1:8" ht="12.5">
      <c r="A2335" s="1"/>
      <c r="B2335" s="1"/>
      <c r="C2335" s="1"/>
      <c r="D2335" s="1"/>
      <c r="E2335" s="1"/>
      <c r="F2335" s="1"/>
      <c r="G2335" s="1"/>
      <c r="H2335" s="1"/>
    </row>
    <row r="2336" spans="1:8" ht="12.5">
      <c r="A2336" s="1"/>
      <c r="B2336" s="1"/>
      <c r="C2336" s="1"/>
      <c r="D2336" s="1"/>
      <c r="E2336" s="1"/>
      <c r="F2336" s="1"/>
      <c r="G2336" s="1"/>
      <c r="H2336" s="1"/>
    </row>
    <row r="2337" spans="1:8" ht="12.5">
      <c r="A2337" s="1"/>
      <c r="B2337" s="1"/>
      <c r="C2337" s="1"/>
      <c r="D2337" s="1"/>
      <c r="E2337" s="1"/>
      <c r="F2337" s="1"/>
      <c r="G2337" s="1"/>
      <c r="H2337" s="1"/>
    </row>
    <row r="2338" spans="1:8" ht="12.5">
      <c r="A2338" s="1"/>
      <c r="B2338" s="1"/>
      <c r="C2338" s="1"/>
      <c r="D2338" s="1"/>
      <c r="E2338" s="1"/>
      <c r="F2338" s="1"/>
      <c r="G2338" s="1"/>
      <c r="H2338" s="1"/>
    </row>
    <row r="2339" spans="1:8" ht="12.5">
      <c r="A2339" s="1"/>
      <c r="B2339" s="1"/>
      <c r="C2339" s="1"/>
      <c r="D2339" s="1"/>
      <c r="E2339" s="1"/>
      <c r="F2339" s="1"/>
      <c r="G2339" s="1"/>
      <c r="H2339" s="1"/>
    </row>
    <row r="2340" spans="1:8" ht="12.5">
      <c r="A2340" s="1"/>
      <c r="B2340" s="1"/>
      <c r="C2340" s="1"/>
      <c r="D2340" s="1"/>
      <c r="E2340" s="1"/>
      <c r="F2340" s="1"/>
      <c r="G2340" s="1"/>
      <c r="H2340" s="1"/>
    </row>
    <row r="2341" spans="1:8" ht="12.5">
      <c r="A2341" s="1"/>
      <c r="B2341" s="1"/>
      <c r="C2341" s="1"/>
      <c r="D2341" s="1"/>
      <c r="E2341" s="1"/>
      <c r="F2341" s="1"/>
      <c r="G2341" s="1"/>
      <c r="H2341" s="1"/>
    </row>
    <row r="2342" spans="1:8" ht="12.5">
      <c r="A2342" s="1"/>
      <c r="B2342" s="1"/>
      <c r="C2342" s="1"/>
      <c r="D2342" s="1"/>
      <c r="E2342" s="1"/>
      <c r="F2342" s="1"/>
      <c r="G2342" s="1"/>
      <c r="H2342" s="1"/>
    </row>
    <row r="2343" spans="1:8" ht="12.5">
      <c r="A2343" s="1"/>
      <c r="B2343" s="1"/>
      <c r="C2343" s="1"/>
      <c r="D2343" s="1"/>
      <c r="E2343" s="1"/>
      <c r="F2343" s="1"/>
      <c r="G2343" s="1"/>
      <c r="H2343" s="1"/>
    </row>
    <row r="2344" spans="1:8" ht="12.5">
      <c r="A2344" s="1"/>
      <c r="B2344" s="1"/>
      <c r="C2344" s="1"/>
      <c r="D2344" s="1"/>
      <c r="E2344" s="1"/>
      <c r="F2344" s="1"/>
      <c r="G2344" s="1"/>
      <c r="H2344" s="1"/>
    </row>
    <row r="2345" spans="1:8" ht="12.5">
      <c r="A2345" s="1"/>
      <c r="B2345" s="1"/>
      <c r="C2345" s="1"/>
      <c r="D2345" s="1"/>
      <c r="E2345" s="1"/>
      <c r="F2345" s="1"/>
      <c r="G2345" s="1"/>
      <c r="H2345" s="1"/>
    </row>
    <row r="2346" spans="1:8" ht="12.5">
      <c r="A2346" s="1"/>
      <c r="B2346" s="1"/>
      <c r="C2346" s="1"/>
      <c r="D2346" s="1"/>
      <c r="E2346" s="1"/>
      <c r="F2346" s="1"/>
      <c r="G2346" s="1"/>
      <c r="H2346" s="1"/>
    </row>
    <row r="2347" spans="1:8" ht="12.5">
      <c r="A2347" s="1"/>
      <c r="B2347" s="1"/>
      <c r="C2347" s="1"/>
      <c r="D2347" s="1"/>
      <c r="E2347" s="1"/>
      <c r="F2347" s="1"/>
      <c r="G2347" s="1"/>
      <c r="H2347" s="1"/>
    </row>
    <row r="2348" spans="1:8" ht="12.5">
      <c r="A2348" s="1"/>
      <c r="B2348" s="1"/>
      <c r="C2348" s="1"/>
      <c r="D2348" s="1"/>
      <c r="E2348" s="1"/>
      <c r="F2348" s="1"/>
      <c r="G2348" s="1"/>
      <c r="H2348" s="1"/>
    </row>
    <row r="2349" spans="1:8" ht="12.5">
      <c r="A2349" s="1"/>
      <c r="B2349" s="1"/>
      <c r="C2349" s="1"/>
      <c r="D2349" s="1"/>
      <c r="E2349" s="1"/>
      <c r="F2349" s="1"/>
      <c r="G2349" s="1"/>
      <c r="H2349" s="1"/>
    </row>
    <row r="2350" spans="1:8" ht="12.5">
      <c r="A2350" s="1"/>
      <c r="B2350" s="1"/>
      <c r="C2350" s="1"/>
      <c r="D2350" s="1"/>
      <c r="E2350" s="1"/>
      <c r="F2350" s="1"/>
      <c r="G2350" s="1"/>
      <c r="H2350" s="1"/>
    </row>
    <row r="2351" spans="1:8" ht="12.5">
      <c r="A2351" s="1"/>
      <c r="B2351" s="1"/>
      <c r="C2351" s="1"/>
      <c r="D2351" s="1"/>
      <c r="E2351" s="1"/>
      <c r="F2351" s="1"/>
      <c r="G2351" s="1"/>
      <c r="H2351" s="1"/>
    </row>
    <row r="2352" spans="1:8" ht="12.5">
      <c r="A2352" s="1"/>
      <c r="B2352" s="1"/>
      <c r="C2352" s="1"/>
      <c r="D2352" s="1"/>
      <c r="E2352" s="1"/>
      <c r="F2352" s="1"/>
      <c r="G2352" s="1"/>
      <c r="H2352" s="1"/>
    </row>
    <row r="2353" spans="1:8" ht="12.5">
      <c r="A2353" s="1"/>
      <c r="B2353" s="1"/>
      <c r="C2353" s="1"/>
      <c r="D2353" s="1"/>
      <c r="E2353" s="1"/>
      <c r="F2353" s="1"/>
      <c r="G2353" s="1"/>
      <c r="H2353" s="1"/>
    </row>
    <row r="2354" spans="1:8" ht="12.5">
      <c r="A2354" s="1"/>
      <c r="B2354" s="1"/>
      <c r="C2354" s="1"/>
      <c r="D2354" s="1"/>
      <c r="E2354" s="1"/>
      <c r="F2354" s="1"/>
      <c r="G2354" s="1"/>
      <c r="H2354" s="1"/>
    </row>
    <row r="2355" spans="1:8" ht="12.5">
      <c r="A2355" s="1"/>
      <c r="B2355" s="1"/>
      <c r="C2355" s="1"/>
      <c r="D2355" s="1"/>
      <c r="E2355" s="1"/>
      <c r="F2355" s="1"/>
      <c r="G2355" s="1"/>
      <c r="H2355" s="1"/>
    </row>
    <row r="2356" spans="1:8" ht="12.5">
      <c r="A2356" s="1"/>
      <c r="B2356" s="1"/>
      <c r="C2356" s="1"/>
      <c r="D2356" s="1"/>
      <c r="E2356" s="1"/>
      <c r="F2356" s="1"/>
      <c r="G2356" s="1"/>
      <c r="H2356" s="1"/>
    </row>
    <row r="2357" spans="1:8" ht="12.5">
      <c r="A2357" s="1"/>
      <c r="B2357" s="1"/>
      <c r="C2357" s="1"/>
      <c r="D2357" s="1"/>
      <c r="E2357" s="1"/>
      <c r="F2357" s="1"/>
      <c r="G2357" s="1"/>
      <c r="H2357" s="1"/>
    </row>
    <row r="2358" spans="1:8" ht="12.5">
      <c r="A2358" s="1"/>
      <c r="B2358" s="1"/>
      <c r="C2358" s="1"/>
      <c r="D2358" s="1"/>
      <c r="E2358" s="1"/>
      <c r="F2358" s="1"/>
      <c r="G2358" s="1"/>
      <c r="H2358" s="1"/>
    </row>
    <row r="2359" spans="1:8" ht="12.5">
      <c r="A2359" s="1"/>
      <c r="B2359" s="1"/>
      <c r="C2359" s="1"/>
      <c r="D2359" s="1"/>
      <c r="E2359" s="1"/>
      <c r="F2359" s="1"/>
      <c r="G2359" s="1"/>
      <c r="H2359" s="1"/>
    </row>
    <row r="2360" spans="1:8" ht="12.5">
      <c r="A2360" s="1"/>
      <c r="B2360" s="1"/>
      <c r="C2360" s="1"/>
      <c r="D2360" s="1"/>
      <c r="E2360" s="1"/>
      <c r="F2360" s="1"/>
      <c r="G2360" s="1"/>
      <c r="H2360" s="1"/>
    </row>
    <row r="2361" spans="1:8" ht="12.5">
      <c r="A2361" s="1"/>
      <c r="B2361" s="1"/>
      <c r="C2361" s="1"/>
      <c r="D2361" s="1"/>
      <c r="E2361" s="1"/>
      <c r="F2361" s="1"/>
      <c r="G2361" s="1"/>
      <c r="H2361" s="1"/>
    </row>
    <row r="2362" spans="1:8" ht="12.5">
      <c r="A2362" s="1"/>
      <c r="B2362" s="1"/>
      <c r="C2362" s="1"/>
      <c r="D2362" s="1"/>
      <c r="E2362" s="1"/>
      <c r="F2362" s="1"/>
      <c r="G2362" s="1"/>
      <c r="H2362" s="1"/>
    </row>
    <row r="2363" spans="1:8" ht="12.5">
      <c r="A2363" s="1"/>
      <c r="B2363" s="1"/>
      <c r="C2363" s="1"/>
      <c r="D2363" s="1"/>
      <c r="E2363" s="1"/>
      <c r="F2363" s="1"/>
      <c r="G2363" s="1"/>
      <c r="H2363" s="1"/>
    </row>
    <row r="2364" spans="1:8" ht="12.5">
      <c r="A2364" s="1"/>
      <c r="B2364" s="1"/>
      <c r="C2364" s="1"/>
      <c r="D2364" s="1"/>
      <c r="E2364" s="1"/>
      <c r="F2364" s="1"/>
      <c r="G2364" s="1"/>
      <c r="H2364" s="1"/>
    </row>
    <row r="2365" spans="1:8" ht="12.5">
      <c r="A2365" s="1"/>
      <c r="B2365" s="1"/>
      <c r="C2365" s="1"/>
      <c r="D2365" s="1"/>
      <c r="E2365" s="1"/>
      <c r="F2365" s="1"/>
      <c r="G2365" s="1"/>
      <c r="H2365" s="1"/>
    </row>
    <row r="2366" spans="1:8" ht="12.5">
      <c r="A2366" s="1"/>
      <c r="B2366" s="1"/>
      <c r="C2366" s="1"/>
      <c r="D2366" s="1"/>
      <c r="E2366" s="1"/>
      <c r="F2366" s="1"/>
      <c r="G2366" s="1"/>
      <c r="H2366" s="1"/>
    </row>
    <row r="2367" spans="1:8" ht="12.5">
      <c r="A2367" s="1"/>
      <c r="B2367" s="1"/>
      <c r="C2367" s="1"/>
      <c r="D2367" s="1"/>
      <c r="E2367" s="1"/>
      <c r="F2367" s="1"/>
      <c r="G2367" s="1"/>
      <c r="H2367" s="1"/>
    </row>
    <row r="2368" spans="1:8" ht="12.5">
      <c r="A2368" s="1"/>
      <c r="B2368" s="1"/>
      <c r="C2368" s="1"/>
      <c r="D2368" s="1"/>
      <c r="E2368" s="1"/>
      <c r="F2368" s="1"/>
      <c r="G2368" s="1"/>
      <c r="H2368" s="1"/>
    </row>
    <row r="2369" spans="1:8" ht="12.5">
      <c r="A2369" s="1"/>
      <c r="B2369" s="1"/>
      <c r="C2369" s="1"/>
      <c r="D2369" s="1"/>
      <c r="E2369" s="1"/>
      <c r="F2369" s="1"/>
      <c r="G2369" s="1"/>
      <c r="H2369" s="1"/>
    </row>
    <row r="2370" spans="1:8" ht="12.5">
      <c r="A2370" s="1"/>
      <c r="B2370" s="1"/>
      <c r="C2370" s="1"/>
      <c r="D2370" s="1"/>
      <c r="E2370" s="1"/>
      <c r="F2370" s="1"/>
      <c r="G2370" s="1"/>
      <c r="H2370" s="1"/>
    </row>
    <row r="2371" spans="1:8" ht="12.5">
      <c r="A2371" s="1"/>
      <c r="B2371" s="1"/>
      <c r="C2371" s="1"/>
      <c r="D2371" s="1"/>
      <c r="E2371" s="1"/>
      <c r="F2371" s="1"/>
      <c r="G2371" s="1"/>
      <c r="H2371" s="1"/>
    </row>
    <row r="2372" spans="1:8" ht="12.5">
      <c r="A2372" s="1"/>
      <c r="B2372" s="1"/>
      <c r="C2372" s="1"/>
      <c r="D2372" s="1"/>
      <c r="E2372" s="1"/>
      <c r="F2372" s="1"/>
      <c r="G2372" s="1"/>
      <c r="H2372" s="1"/>
    </row>
    <row r="2373" spans="1:8" ht="12.5">
      <c r="A2373" s="1"/>
      <c r="B2373" s="1"/>
      <c r="C2373" s="1"/>
      <c r="D2373" s="1"/>
      <c r="E2373" s="1"/>
      <c r="F2373" s="1"/>
      <c r="G2373" s="1"/>
      <c r="H2373" s="1"/>
    </row>
    <row r="2374" spans="1:8" ht="12.5">
      <c r="A2374" s="1"/>
      <c r="B2374" s="1"/>
      <c r="C2374" s="1"/>
      <c r="D2374" s="1"/>
      <c r="E2374" s="1"/>
      <c r="F2374" s="1"/>
      <c r="G2374" s="1"/>
      <c r="H2374" s="1"/>
    </row>
    <row r="2375" spans="1:8" ht="12.5">
      <c r="A2375" s="1"/>
      <c r="B2375" s="1"/>
      <c r="C2375" s="1"/>
      <c r="D2375" s="1"/>
      <c r="E2375" s="1"/>
      <c r="F2375" s="1"/>
      <c r="G2375" s="1"/>
      <c r="H2375" s="1"/>
    </row>
    <row r="2376" spans="1:8" ht="12.5">
      <c r="A2376" s="1"/>
      <c r="B2376" s="1"/>
      <c r="C2376" s="1"/>
      <c r="D2376" s="1"/>
      <c r="E2376" s="1"/>
      <c r="F2376" s="1"/>
      <c r="G2376" s="1"/>
      <c r="H2376" s="1"/>
    </row>
    <row r="2377" spans="1:8" ht="12.5">
      <c r="A2377" s="1"/>
      <c r="B2377" s="1"/>
      <c r="C2377" s="1"/>
      <c r="D2377" s="1"/>
      <c r="E2377" s="1"/>
      <c r="F2377" s="1"/>
      <c r="G2377" s="1"/>
      <c r="H2377" s="1"/>
    </row>
    <row r="2378" spans="1:8" ht="12.5">
      <c r="A2378" s="1"/>
      <c r="B2378" s="1"/>
      <c r="C2378" s="1"/>
      <c r="D2378" s="1"/>
      <c r="E2378" s="1"/>
      <c r="F2378" s="1"/>
      <c r="G2378" s="1"/>
      <c r="H2378" s="1"/>
    </row>
    <row r="2379" spans="1:8" ht="12.5">
      <c r="A2379" s="1"/>
      <c r="B2379" s="1"/>
      <c r="C2379" s="1"/>
      <c r="D2379" s="1"/>
      <c r="E2379" s="1"/>
      <c r="F2379" s="1"/>
      <c r="G2379" s="1"/>
      <c r="H2379" s="1"/>
    </row>
    <row r="2380" spans="1:8" ht="12.5">
      <c r="A2380" s="1"/>
      <c r="B2380" s="1"/>
      <c r="C2380" s="1"/>
      <c r="D2380" s="1"/>
      <c r="E2380" s="1"/>
      <c r="F2380" s="1"/>
      <c r="G2380" s="1"/>
      <c r="H2380" s="1"/>
    </row>
    <row r="2381" spans="1:8" ht="12.5">
      <c r="A2381" s="1"/>
      <c r="B2381" s="1"/>
      <c r="C2381" s="1"/>
      <c r="D2381" s="1"/>
      <c r="E2381" s="1"/>
      <c r="F2381" s="1"/>
      <c r="G2381" s="1"/>
      <c r="H2381" s="1"/>
    </row>
    <row r="2382" spans="1:8" ht="12.5">
      <c r="A2382" s="1"/>
      <c r="B2382" s="1"/>
      <c r="C2382" s="1"/>
      <c r="D2382" s="1"/>
      <c r="E2382" s="1"/>
      <c r="F2382" s="1"/>
      <c r="G2382" s="1"/>
      <c r="H2382" s="1"/>
    </row>
    <row r="2383" spans="1:8" ht="12.5">
      <c r="A2383" s="1"/>
      <c r="B2383" s="1"/>
      <c r="C2383" s="1"/>
      <c r="D2383" s="1"/>
      <c r="E2383" s="1"/>
      <c r="F2383" s="1"/>
      <c r="G2383" s="1"/>
      <c r="H2383" s="1"/>
    </row>
    <row r="2384" spans="1:8" ht="12.5">
      <c r="A2384" s="1"/>
      <c r="B2384" s="1"/>
      <c r="C2384" s="1"/>
      <c r="D2384" s="1"/>
      <c r="E2384" s="1"/>
      <c r="F2384" s="1"/>
      <c r="G2384" s="1"/>
      <c r="H2384" s="1"/>
    </row>
    <row r="2385" spans="1:8" ht="12.5">
      <c r="A2385" s="1"/>
      <c r="B2385" s="1"/>
      <c r="C2385" s="1"/>
      <c r="D2385" s="1"/>
      <c r="E2385" s="1"/>
      <c r="F2385" s="1"/>
      <c r="G2385" s="1"/>
      <c r="H2385" s="1"/>
    </row>
    <row r="2386" spans="1:8" ht="12.5">
      <c r="A2386" s="1"/>
      <c r="B2386" s="1"/>
      <c r="C2386" s="1"/>
      <c r="D2386" s="1"/>
      <c r="E2386" s="1"/>
      <c r="F2386" s="1"/>
      <c r="G2386" s="1"/>
      <c r="H2386" s="1"/>
    </row>
    <row r="2387" spans="1:8" ht="12.5">
      <c r="A2387" s="1"/>
      <c r="B2387" s="1"/>
      <c r="C2387" s="1"/>
      <c r="D2387" s="1"/>
      <c r="E2387" s="1"/>
      <c r="F2387" s="1"/>
      <c r="G2387" s="1"/>
      <c r="H2387" s="1"/>
    </row>
    <row r="2388" spans="1:8" ht="12.5">
      <c r="A2388" s="1"/>
      <c r="B2388" s="1"/>
      <c r="C2388" s="1"/>
      <c r="D2388" s="1"/>
      <c r="E2388" s="1"/>
      <c r="F2388" s="1"/>
      <c r="G2388" s="1"/>
      <c r="H2388" s="1"/>
    </row>
    <row r="2389" spans="1:8" ht="12.5">
      <c r="A2389" s="1"/>
      <c r="B2389" s="1"/>
      <c r="C2389" s="1"/>
      <c r="D2389" s="1"/>
      <c r="E2389" s="1"/>
      <c r="F2389" s="1"/>
      <c r="G2389" s="1"/>
      <c r="H2389" s="1"/>
    </row>
    <row r="2390" spans="1:8" ht="12.5">
      <c r="A2390" s="1"/>
      <c r="B2390" s="1"/>
      <c r="C2390" s="1"/>
      <c r="D2390" s="1"/>
      <c r="E2390" s="1"/>
      <c r="F2390" s="1"/>
      <c r="G2390" s="1"/>
      <c r="H2390" s="1"/>
    </row>
    <row r="2391" spans="1:8" ht="12.5">
      <c r="A2391" s="1"/>
      <c r="B2391" s="1"/>
      <c r="C2391" s="1"/>
      <c r="D2391" s="1"/>
      <c r="E2391" s="1"/>
      <c r="F2391" s="1"/>
      <c r="G2391" s="1"/>
      <c r="H2391" s="1"/>
    </row>
    <row r="2392" spans="1:8" ht="12.5">
      <c r="A2392" s="1"/>
      <c r="B2392" s="1"/>
      <c r="C2392" s="1"/>
      <c r="D2392" s="1"/>
      <c r="E2392" s="1"/>
      <c r="F2392" s="1"/>
      <c r="G2392" s="1"/>
      <c r="H2392" s="1"/>
    </row>
    <row r="2393" spans="1:8" ht="12.5">
      <c r="A2393" s="1"/>
      <c r="B2393" s="1"/>
      <c r="C2393" s="1"/>
      <c r="D2393" s="1"/>
      <c r="E2393" s="1"/>
      <c r="F2393" s="1"/>
      <c r="G2393" s="1"/>
      <c r="H2393" s="1"/>
    </row>
    <row r="2394" spans="1:8" ht="12.5">
      <c r="A2394" s="1"/>
      <c r="B2394" s="1"/>
      <c r="C2394" s="1"/>
      <c r="D2394" s="1"/>
      <c r="E2394" s="1"/>
      <c r="F2394" s="1"/>
      <c r="G2394" s="1"/>
      <c r="H2394" s="1"/>
    </row>
    <row r="2395" spans="1:8" ht="12.5">
      <c r="A2395" s="1"/>
      <c r="B2395" s="1"/>
      <c r="C2395" s="1"/>
      <c r="D2395" s="1"/>
      <c r="E2395" s="1"/>
      <c r="F2395" s="1"/>
      <c r="G2395" s="1"/>
      <c r="H2395" s="1"/>
    </row>
    <row r="2396" spans="1:8" ht="12.5">
      <c r="A2396" s="1"/>
      <c r="B2396" s="1"/>
      <c r="C2396" s="1"/>
      <c r="D2396" s="1"/>
      <c r="E2396" s="1"/>
      <c r="F2396" s="1"/>
      <c r="G2396" s="1"/>
      <c r="H2396" s="1"/>
    </row>
    <row r="2397" spans="1:8" ht="12.5">
      <c r="A2397" s="1"/>
      <c r="B2397" s="1"/>
      <c r="C2397" s="1"/>
      <c r="D2397" s="1"/>
      <c r="E2397" s="1"/>
      <c r="F2397" s="1"/>
      <c r="G2397" s="1"/>
      <c r="H2397" s="1"/>
    </row>
    <row r="2398" spans="1:8" ht="12.5">
      <c r="A2398" s="1"/>
      <c r="B2398" s="1"/>
      <c r="C2398" s="1"/>
      <c r="D2398" s="1"/>
      <c r="E2398" s="1"/>
      <c r="F2398" s="1"/>
      <c r="G2398" s="1"/>
      <c r="H2398" s="1"/>
    </row>
    <row r="2399" spans="1:8" ht="12.5">
      <c r="A2399" s="1"/>
      <c r="B2399" s="1"/>
      <c r="C2399" s="1"/>
      <c r="D2399" s="1"/>
      <c r="E2399" s="1"/>
      <c r="F2399" s="1"/>
      <c r="G2399" s="1"/>
      <c r="H2399" s="1"/>
    </row>
    <row r="2400" spans="1:8" ht="12.5">
      <c r="A2400" s="1"/>
      <c r="B2400" s="1"/>
      <c r="C2400" s="1"/>
      <c r="D2400" s="1"/>
      <c r="E2400" s="1"/>
      <c r="F2400" s="1"/>
      <c r="G2400" s="1"/>
      <c r="H2400" s="1"/>
    </row>
    <row r="2401" spans="1:8" ht="12.5">
      <c r="A2401" s="1"/>
      <c r="B2401" s="1"/>
      <c r="C2401" s="1"/>
      <c r="D2401" s="1"/>
      <c r="E2401" s="1"/>
      <c r="F2401" s="1"/>
      <c r="G2401" s="1"/>
      <c r="H2401" s="1"/>
    </row>
    <row r="2402" spans="1:8" ht="12.5">
      <c r="A2402" s="1"/>
      <c r="B2402" s="1"/>
      <c r="C2402" s="1"/>
      <c r="D2402" s="1"/>
      <c r="E2402" s="1"/>
      <c r="F2402" s="1"/>
      <c r="G2402" s="1"/>
      <c r="H2402" s="1"/>
    </row>
    <row r="2403" spans="1:8" ht="12.5">
      <c r="A2403" s="1"/>
      <c r="B2403" s="1"/>
      <c r="C2403" s="1"/>
      <c r="D2403" s="1"/>
      <c r="E2403" s="1"/>
      <c r="F2403" s="1"/>
      <c r="G2403" s="1"/>
      <c r="H2403" s="1"/>
    </row>
    <row r="2404" spans="1:8" ht="12.5">
      <c r="A2404" s="1"/>
      <c r="B2404" s="1"/>
      <c r="C2404" s="1"/>
      <c r="D2404" s="1"/>
      <c r="E2404" s="1"/>
      <c r="F2404" s="1"/>
      <c r="G2404" s="1"/>
      <c r="H2404" s="1"/>
    </row>
    <row r="2405" spans="1:8" ht="12.5">
      <c r="A2405" s="1"/>
      <c r="B2405" s="1"/>
      <c r="C2405" s="1"/>
      <c r="D2405" s="1"/>
      <c r="E2405" s="1"/>
      <c r="F2405" s="1"/>
      <c r="G2405" s="1"/>
      <c r="H2405" s="1"/>
    </row>
    <row r="2406" spans="1:8" ht="12.5">
      <c r="A2406" s="1"/>
      <c r="B2406" s="1"/>
      <c r="C2406" s="1"/>
      <c r="D2406" s="1"/>
      <c r="E2406" s="1"/>
      <c r="F2406" s="1"/>
      <c r="G2406" s="1"/>
      <c r="H2406" s="1"/>
    </row>
    <row r="2407" spans="1:8" ht="12.5">
      <c r="A2407" s="1"/>
      <c r="B2407" s="1"/>
      <c r="C2407" s="1"/>
      <c r="D2407" s="1"/>
      <c r="E2407" s="1"/>
      <c r="F2407" s="1"/>
      <c r="G2407" s="1"/>
      <c r="H2407" s="1"/>
    </row>
    <row r="2408" spans="1:8" ht="12.5">
      <c r="A2408" s="1"/>
      <c r="B2408" s="1"/>
      <c r="C2408" s="1"/>
      <c r="D2408" s="1"/>
      <c r="E2408" s="1"/>
      <c r="F2408" s="1"/>
      <c r="G2408" s="1"/>
      <c r="H2408" s="1"/>
    </row>
    <row r="2409" spans="1:8" ht="12.5">
      <c r="A2409" s="1"/>
      <c r="B2409" s="1"/>
      <c r="C2409" s="1"/>
      <c r="D2409" s="1"/>
      <c r="E2409" s="1"/>
      <c r="F2409" s="1"/>
      <c r="G2409" s="1"/>
      <c r="H2409" s="1"/>
    </row>
    <row r="2410" spans="1:8" ht="12.5">
      <c r="A2410" s="1"/>
      <c r="B2410" s="1"/>
      <c r="C2410" s="1"/>
      <c r="D2410" s="1"/>
      <c r="E2410" s="1"/>
      <c r="F2410" s="1"/>
      <c r="G2410" s="1"/>
      <c r="H2410" s="1"/>
    </row>
    <row r="2411" spans="1:8" ht="12.5">
      <c r="A2411" s="1"/>
      <c r="B2411" s="1"/>
      <c r="C2411" s="1"/>
      <c r="D2411" s="1"/>
      <c r="E2411" s="1"/>
      <c r="F2411" s="1"/>
      <c r="G2411" s="1"/>
      <c r="H2411" s="1"/>
    </row>
    <row r="2412" spans="1:8" ht="12.5">
      <c r="A2412" s="1"/>
      <c r="B2412" s="1"/>
      <c r="C2412" s="1"/>
      <c r="D2412" s="1"/>
      <c r="E2412" s="1"/>
      <c r="F2412" s="1"/>
      <c r="G2412" s="1"/>
      <c r="H2412" s="1"/>
    </row>
    <row r="2413" spans="1:8" ht="12.5">
      <c r="A2413" s="1"/>
      <c r="B2413" s="1"/>
      <c r="C2413" s="1"/>
      <c r="D2413" s="1"/>
      <c r="E2413" s="1"/>
      <c r="F2413" s="1"/>
      <c r="G2413" s="1"/>
      <c r="H2413" s="1"/>
    </row>
    <row r="2414" spans="1:8" ht="12.5">
      <c r="A2414" s="1"/>
      <c r="B2414" s="1"/>
      <c r="C2414" s="1"/>
      <c r="D2414" s="1"/>
      <c r="E2414" s="1"/>
      <c r="F2414" s="1"/>
      <c r="G2414" s="1"/>
      <c r="H2414" s="1"/>
    </row>
    <row r="2415" spans="1:8" ht="12.5">
      <c r="A2415" s="1"/>
      <c r="B2415" s="1"/>
      <c r="C2415" s="1"/>
      <c r="D2415" s="1"/>
      <c r="E2415" s="1"/>
      <c r="F2415" s="1"/>
      <c r="G2415" s="1"/>
      <c r="H2415" s="1"/>
    </row>
    <row r="2416" spans="1:8" ht="12.5">
      <c r="A2416" s="1"/>
      <c r="B2416" s="1"/>
      <c r="C2416" s="1"/>
      <c r="D2416" s="1"/>
      <c r="E2416" s="1"/>
      <c r="F2416" s="1"/>
      <c r="G2416" s="1"/>
      <c r="H2416" s="1"/>
    </row>
    <row r="2417" spans="1:8" ht="12.5">
      <c r="A2417" s="1"/>
      <c r="B2417" s="1"/>
      <c r="C2417" s="1"/>
      <c r="D2417" s="1"/>
      <c r="E2417" s="1"/>
      <c r="F2417" s="1"/>
      <c r="G2417" s="1"/>
      <c r="H2417" s="1"/>
    </row>
    <row r="2418" spans="1:8" ht="12.5">
      <c r="A2418" s="1"/>
      <c r="B2418" s="1"/>
      <c r="C2418" s="1"/>
      <c r="D2418" s="1"/>
      <c r="E2418" s="1"/>
      <c r="F2418" s="1"/>
      <c r="G2418" s="1"/>
      <c r="H2418" s="1"/>
    </row>
    <row r="2419" spans="1:8" ht="12.5">
      <c r="A2419" s="1"/>
      <c r="B2419" s="1"/>
      <c r="C2419" s="1"/>
      <c r="D2419" s="1"/>
      <c r="E2419" s="1"/>
      <c r="F2419" s="1"/>
      <c r="G2419" s="1"/>
      <c r="H2419" s="1"/>
    </row>
    <row r="2420" spans="1:8" ht="12.5">
      <c r="A2420" s="1"/>
      <c r="B2420" s="1"/>
      <c r="C2420" s="1"/>
      <c r="D2420" s="1"/>
      <c r="E2420" s="1"/>
      <c r="F2420" s="1"/>
      <c r="G2420" s="1"/>
      <c r="H2420" s="1"/>
    </row>
    <row r="2421" spans="1:8" ht="12.5">
      <c r="A2421" s="1"/>
      <c r="B2421" s="1"/>
      <c r="C2421" s="1"/>
      <c r="D2421" s="1"/>
      <c r="E2421" s="1"/>
      <c r="F2421" s="1"/>
      <c r="G2421" s="1"/>
      <c r="H2421" s="1"/>
    </row>
    <row r="2422" spans="1:8" ht="12.5">
      <c r="A2422" s="1"/>
      <c r="B2422" s="1"/>
      <c r="C2422" s="1"/>
      <c r="D2422" s="1"/>
      <c r="E2422" s="1"/>
      <c r="F2422" s="1"/>
      <c r="G2422" s="1"/>
      <c r="H2422" s="1"/>
    </row>
    <row r="2423" spans="1:8" ht="12.5">
      <c r="A2423" s="1"/>
      <c r="B2423" s="1"/>
      <c r="C2423" s="1"/>
      <c r="D2423" s="1"/>
      <c r="E2423" s="1"/>
      <c r="F2423" s="1"/>
      <c r="G2423" s="1"/>
      <c r="H2423" s="1"/>
    </row>
    <row r="2424" spans="1:8" ht="12.5">
      <c r="A2424" s="1"/>
      <c r="B2424" s="1"/>
      <c r="C2424" s="1"/>
      <c r="D2424" s="1"/>
      <c r="E2424" s="1"/>
      <c r="F2424" s="1"/>
      <c r="G2424" s="1"/>
      <c r="H2424" s="1"/>
    </row>
    <row r="2425" spans="1:8" ht="12.5">
      <c r="A2425" s="1"/>
      <c r="B2425" s="1"/>
      <c r="C2425" s="1"/>
      <c r="D2425" s="1"/>
      <c r="E2425" s="1"/>
      <c r="F2425" s="1"/>
      <c r="G2425" s="1"/>
      <c r="H2425" s="1"/>
    </row>
    <row r="2426" spans="1:8" ht="12.5">
      <c r="A2426" s="1"/>
      <c r="B2426" s="1"/>
      <c r="C2426" s="1"/>
      <c r="D2426" s="1"/>
      <c r="E2426" s="1"/>
      <c r="F2426" s="1"/>
      <c r="G2426" s="1"/>
      <c r="H2426" s="1"/>
    </row>
    <row r="2427" spans="1:8" ht="12.5">
      <c r="A2427" s="1"/>
      <c r="B2427" s="1"/>
      <c r="C2427" s="1"/>
      <c r="D2427" s="1"/>
      <c r="E2427" s="1"/>
      <c r="F2427" s="1"/>
      <c r="G2427" s="1"/>
      <c r="H2427" s="1"/>
    </row>
    <row r="2428" spans="1:8" ht="12.5">
      <c r="A2428" s="1"/>
      <c r="B2428" s="1"/>
      <c r="C2428" s="1"/>
      <c r="D2428" s="1"/>
      <c r="E2428" s="1"/>
      <c r="F2428" s="1"/>
      <c r="G2428" s="1"/>
      <c r="H2428" s="1"/>
    </row>
    <row r="2429" spans="1:8" ht="12.5">
      <c r="A2429" s="1"/>
      <c r="B2429" s="1"/>
      <c r="C2429" s="1"/>
      <c r="D2429" s="1"/>
      <c r="E2429" s="1"/>
      <c r="F2429" s="1"/>
      <c r="G2429" s="1"/>
      <c r="H2429" s="1"/>
    </row>
    <row r="2430" spans="1:8" ht="12.5">
      <c r="A2430" s="1"/>
      <c r="B2430" s="1"/>
      <c r="C2430" s="1"/>
      <c r="D2430" s="1"/>
      <c r="E2430" s="1"/>
      <c r="F2430" s="1"/>
      <c r="G2430" s="1"/>
      <c r="H2430" s="1"/>
    </row>
    <row r="2431" spans="1:8" ht="12.5">
      <c r="A2431" s="1"/>
      <c r="B2431" s="1"/>
      <c r="C2431" s="1"/>
      <c r="D2431" s="1"/>
      <c r="E2431" s="1"/>
      <c r="F2431" s="1"/>
      <c r="G2431" s="1"/>
      <c r="H2431" s="1"/>
    </row>
    <row r="2432" spans="1:8" ht="12.5">
      <c r="A2432" s="1"/>
      <c r="B2432" s="1"/>
      <c r="C2432" s="1"/>
      <c r="D2432" s="1"/>
      <c r="E2432" s="1"/>
      <c r="F2432" s="1"/>
      <c r="G2432" s="1"/>
      <c r="H2432" s="1"/>
    </row>
    <row r="2433" spans="1:8" ht="12.5">
      <c r="A2433" s="1"/>
      <c r="B2433" s="1"/>
      <c r="C2433" s="1"/>
      <c r="D2433" s="1"/>
      <c r="E2433" s="1"/>
      <c r="F2433" s="1"/>
      <c r="G2433" s="1"/>
      <c r="H2433" s="1"/>
    </row>
    <row r="2434" spans="1:8" ht="12.5">
      <c r="A2434" s="1"/>
      <c r="B2434" s="1"/>
      <c r="C2434" s="1"/>
      <c r="D2434" s="1"/>
      <c r="E2434" s="1"/>
      <c r="F2434" s="1"/>
      <c r="G2434" s="1"/>
      <c r="H2434" s="1"/>
    </row>
    <row r="2435" spans="1:8" ht="12.5">
      <c r="A2435" s="1"/>
      <c r="B2435" s="1"/>
      <c r="C2435" s="1"/>
      <c r="D2435" s="1"/>
      <c r="E2435" s="1"/>
      <c r="F2435" s="1"/>
      <c r="G2435" s="1"/>
      <c r="H2435" s="1"/>
    </row>
    <row r="2436" spans="1:8" ht="12.5">
      <c r="A2436" s="1"/>
      <c r="B2436" s="1"/>
      <c r="C2436" s="1"/>
      <c r="D2436" s="1"/>
      <c r="E2436" s="1"/>
      <c r="F2436" s="1"/>
      <c r="G2436" s="1"/>
      <c r="H2436" s="1"/>
    </row>
    <row r="2437" spans="1:8" ht="12.5">
      <c r="A2437" s="1"/>
      <c r="B2437" s="1"/>
      <c r="C2437" s="1"/>
      <c r="D2437" s="1"/>
      <c r="E2437" s="1"/>
      <c r="F2437" s="1"/>
      <c r="G2437" s="1"/>
      <c r="H2437" s="1"/>
    </row>
    <row r="2438" spans="1:8" ht="12.5">
      <c r="A2438" s="1"/>
      <c r="B2438" s="1"/>
      <c r="C2438" s="1"/>
      <c r="D2438" s="1"/>
      <c r="E2438" s="1"/>
      <c r="F2438" s="1"/>
      <c r="G2438" s="1"/>
      <c r="H2438" s="1"/>
    </row>
    <row r="2439" spans="1:8" ht="12.5">
      <c r="A2439" s="1"/>
      <c r="B2439" s="1"/>
      <c r="C2439" s="1"/>
      <c r="D2439" s="1"/>
      <c r="E2439" s="1"/>
      <c r="F2439" s="1"/>
      <c r="G2439" s="1"/>
      <c r="H2439" s="1"/>
    </row>
    <row r="2440" spans="1:8" ht="12.5">
      <c r="A2440" s="1"/>
      <c r="B2440" s="1"/>
      <c r="C2440" s="1"/>
      <c r="D2440" s="1"/>
      <c r="E2440" s="1"/>
      <c r="F2440" s="1"/>
      <c r="G2440" s="1"/>
      <c r="H2440" s="1"/>
    </row>
    <row r="2441" spans="1:8" ht="12.5">
      <c r="A2441" s="1"/>
      <c r="B2441" s="1"/>
      <c r="C2441" s="1"/>
      <c r="D2441" s="1"/>
      <c r="E2441" s="1"/>
      <c r="F2441" s="1"/>
      <c r="G2441" s="1"/>
      <c r="H2441" s="1"/>
    </row>
    <row r="2442" spans="1:8" ht="12.5">
      <c r="A2442" s="1"/>
      <c r="B2442" s="1"/>
      <c r="C2442" s="1"/>
      <c r="D2442" s="1"/>
      <c r="E2442" s="1"/>
      <c r="F2442" s="1"/>
      <c r="G2442" s="1"/>
      <c r="H2442" s="1"/>
    </row>
    <row r="2443" spans="1:8" ht="12.5">
      <c r="A2443" s="1"/>
      <c r="B2443" s="1"/>
      <c r="C2443" s="1"/>
      <c r="D2443" s="1"/>
      <c r="E2443" s="1"/>
      <c r="F2443" s="1"/>
      <c r="G2443" s="1"/>
      <c r="H2443" s="1"/>
    </row>
    <row r="2444" spans="1:8" ht="12.5">
      <c r="A2444" s="1"/>
      <c r="B2444" s="1"/>
      <c r="C2444" s="1"/>
      <c r="D2444" s="1"/>
      <c r="E2444" s="1"/>
      <c r="F2444" s="1"/>
      <c r="G2444" s="1"/>
      <c r="H2444" s="1"/>
    </row>
    <row r="2445" spans="1:8" ht="12.5">
      <c r="A2445" s="1"/>
      <c r="B2445" s="1"/>
      <c r="C2445" s="1"/>
      <c r="D2445" s="1"/>
      <c r="E2445" s="1"/>
      <c r="F2445" s="1"/>
      <c r="G2445" s="1"/>
      <c r="H2445" s="1"/>
    </row>
    <row r="2446" spans="1:8" ht="12.5">
      <c r="A2446" s="1"/>
      <c r="B2446" s="1"/>
      <c r="C2446" s="1"/>
      <c r="D2446" s="1"/>
      <c r="E2446" s="1"/>
      <c r="F2446" s="1"/>
      <c r="G2446" s="1"/>
      <c r="H2446" s="1"/>
    </row>
    <row r="2447" spans="1:8" ht="12.5">
      <c r="A2447" s="1"/>
      <c r="B2447" s="1"/>
      <c r="C2447" s="1"/>
      <c r="D2447" s="1"/>
      <c r="E2447" s="1"/>
      <c r="F2447" s="1"/>
      <c r="G2447" s="1"/>
      <c r="H2447" s="1"/>
    </row>
    <row r="2448" spans="1:8" ht="12.5">
      <c r="A2448" s="1"/>
      <c r="B2448" s="1"/>
      <c r="C2448" s="1"/>
      <c r="D2448" s="1"/>
      <c r="E2448" s="1"/>
      <c r="F2448" s="1"/>
      <c r="G2448" s="1"/>
      <c r="H2448" s="1"/>
    </row>
    <row r="2449" spans="1:8" ht="12.5">
      <c r="A2449" s="1"/>
      <c r="B2449" s="1"/>
      <c r="C2449" s="1"/>
      <c r="D2449" s="1"/>
      <c r="E2449" s="1"/>
      <c r="F2449" s="1"/>
      <c r="G2449" s="1"/>
      <c r="H2449" s="1"/>
    </row>
    <row r="2450" spans="1:8" ht="12.5">
      <c r="A2450" s="1"/>
      <c r="B2450" s="1"/>
      <c r="C2450" s="1"/>
      <c r="D2450" s="1"/>
      <c r="E2450" s="1"/>
      <c r="F2450" s="1"/>
      <c r="G2450" s="1"/>
      <c r="H2450" s="1"/>
    </row>
    <row r="2451" spans="1:8" ht="12.5">
      <c r="A2451" s="1"/>
      <c r="B2451" s="1"/>
      <c r="C2451" s="1"/>
      <c r="D2451" s="1"/>
      <c r="E2451" s="1"/>
      <c r="F2451" s="1"/>
      <c r="G2451" s="1"/>
      <c r="H2451" s="1"/>
    </row>
    <row r="2452" spans="1:8" ht="12.5">
      <c r="A2452" s="1"/>
      <c r="B2452" s="1"/>
      <c r="C2452" s="1"/>
      <c r="D2452" s="1"/>
      <c r="E2452" s="1"/>
      <c r="F2452" s="1"/>
      <c r="G2452" s="1"/>
      <c r="H2452" s="1"/>
    </row>
    <row r="2453" spans="1:8" ht="12.5">
      <c r="A2453" s="1"/>
      <c r="B2453" s="1"/>
      <c r="C2453" s="1"/>
      <c r="D2453" s="1"/>
      <c r="E2453" s="1"/>
      <c r="F2453" s="1"/>
      <c r="G2453" s="1"/>
      <c r="H2453" s="1"/>
    </row>
    <row r="2454" spans="1:8" ht="12.5">
      <c r="A2454" s="1"/>
      <c r="B2454" s="1"/>
      <c r="C2454" s="1"/>
      <c r="D2454" s="1"/>
      <c r="E2454" s="1"/>
      <c r="F2454" s="1"/>
      <c r="G2454" s="1"/>
      <c r="H2454" s="1"/>
    </row>
    <row r="2455" spans="1:8" ht="12.5">
      <c r="A2455" s="1"/>
      <c r="B2455" s="1"/>
      <c r="C2455" s="1"/>
      <c r="D2455" s="1"/>
      <c r="E2455" s="1"/>
      <c r="F2455" s="1"/>
      <c r="G2455" s="1"/>
      <c r="H2455" s="1"/>
    </row>
    <row r="2456" spans="1:8" ht="12.5">
      <c r="A2456" s="1"/>
      <c r="B2456" s="1"/>
      <c r="C2456" s="1"/>
      <c r="D2456" s="1"/>
      <c r="E2456" s="1"/>
      <c r="F2456" s="1"/>
      <c r="G2456" s="1"/>
      <c r="H2456" s="1"/>
    </row>
    <row r="2457" spans="1:8" ht="12.5">
      <c r="A2457" s="1"/>
      <c r="B2457" s="1"/>
      <c r="C2457" s="1"/>
      <c r="D2457" s="1"/>
      <c r="E2457" s="1"/>
      <c r="F2457" s="1"/>
      <c r="G2457" s="1"/>
      <c r="H2457" s="1"/>
    </row>
    <row r="2458" spans="1:8" ht="12.5">
      <c r="A2458" s="1"/>
      <c r="B2458" s="1"/>
      <c r="C2458" s="1"/>
      <c r="D2458" s="1"/>
      <c r="E2458" s="1"/>
      <c r="F2458" s="1"/>
      <c r="G2458" s="1"/>
      <c r="H2458" s="1"/>
    </row>
    <row r="2459" spans="1:8" ht="12.5">
      <c r="A2459" s="1"/>
      <c r="B2459" s="1"/>
      <c r="C2459" s="1"/>
      <c r="D2459" s="1"/>
      <c r="E2459" s="1"/>
      <c r="F2459" s="1"/>
      <c r="G2459" s="1"/>
      <c r="H2459" s="1"/>
    </row>
    <row r="2460" spans="1:8" ht="12.5">
      <c r="A2460" s="1"/>
      <c r="B2460" s="1"/>
      <c r="C2460" s="1"/>
      <c r="D2460" s="1"/>
      <c r="E2460" s="1"/>
      <c r="F2460" s="1"/>
      <c r="G2460" s="1"/>
      <c r="H2460" s="1"/>
    </row>
    <row r="2461" spans="1:8" ht="12.5">
      <c r="A2461" s="1"/>
      <c r="B2461" s="1"/>
      <c r="C2461" s="1"/>
      <c r="D2461" s="1"/>
      <c r="E2461" s="1"/>
      <c r="F2461" s="1"/>
      <c r="G2461" s="1"/>
      <c r="H2461" s="1"/>
    </row>
    <row r="2462" spans="1:8" ht="12.5">
      <c r="A2462" s="1"/>
      <c r="B2462" s="1"/>
      <c r="C2462" s="1"/>
      <c r="D2462" s="1"/>
      <c r="E2462" s="1"/>
      <c r="F2462" s="1"/>
      <c r="G2462" s="1"/>
      <c r="H2462" s="1"/>
    </row>
    <row r="2463" spans="1:8" ht="12.5">
      <c r="A2463" s="1"/>
      <c r="B2463" s="1"/>
      <c r="C2463" s="1"/>
      <c r="D2463" s="1"/>
      <c r="E2463" s="1"/>
      <c r="F2463" s="1"/>
      <c r="G2463" s="1"/>
      <c r="H2463" s="1"/>
    </row>
    <row r="2464" spans="1:8" ht="12.5">
      <c r="A2464" s="1"/>
      <c r="B2464" s="1"/>
      <c r="C2464" s="1"/>
      <c r="D2464" s="1"/>
      <c r="E2464" s="1"/>
      <c r="F2464" s="1"/>
      <c r="G2464" s="1"/>
      <c r="H2464" s="1"/>
    </row>
    <row r="2465" spans="1:8" ht="12.5">
      <c r="A2465" s="1"/>
      <c r="B2465" s="1"/>
      <c r="C2465" s="1"/>
      <c r="D2465" s="1"/>
      <c r="E2465" s="1"/>
      <c r="F2465" s="1"/>
      <c r="G2465" s="1"/>
      <c r="H2465" s="1"/>
    </row>
    <row r="2466" spans="1:8" ht="12.5">
      <c r="A2466" s="1"/>
      <c r="B2466" s="1"/>
      <c r="C2466" s="1"/>
      <c r="D2466" s="1"/>
      <c r="E2466" s="1"/>
      <c r="F2466" s="1"/>
      <c r="G2466" s="1"/>
      <c r="H2466" s="1"/>
    </row>
    <row r="2467" spans="1:8" ht="12.5">
      <c r="A2467" s="1"/>
      <c r="B2467" s="1"/>
      <c r="C2467" s="1"/>
      <c r="D2467" s="1"/>
      <c r="E2467" s="1"/>
      <c r="F2467" s="1"/>
      <c r="G2467" s="1"/>
      <c r="H2467" s="1"/>
    </row>
    <row r="2468" spans="1:8" ht="12.5">
      <c r="A2468" s="1"/>
      <c r="B2468" s="1"/>
      <c r="C2468" s="1"/>
      <c r="D2468" s="1"/>
      <c r="E2468" s="1"/>
      <c r="F2468" s="1"/>
      <c r="G2468" s="1"/>
      <c r="H2468" s="1"/>
    </row>
    <row r="2469" spans="1:8" ht="12.5">
      <c r="A2469" s="1"/>
      <c r="B2469" s="1"/>
      <c r="C2469" s="1"/>
      <c r="D2469" s="1"/>
      <c r="E2469" s="1"/>
      <c r="F2469" s="1"/>
      <c r="G2469" s="1"/>
      <c r="H2469" s="1"/>
    </row>
    <row r="2470" spans="1:8" ht="12.5">
      <c r="A2470" s="1"/>
      <c r="B2470" s="1"/>
      <c r="C2470" s="1"/>
      <c r="D2470" s="1"/>
      <c r="E2470" s="1"/>
      <c r="F2470" s="1"/>
      <c r="G2470" s="1"/>
      <c r="H2470" s="1"/>
    </row>
    <row r="2471" spans="1:8" ht="12.5">
      <c r="A2471" s="1"/>
      <c r="B2471" s="1"/>
      <c r="C2471" s="1"/>
      <c r="D2471" s="1"/>
      <c r="E2471" s="1"/>
      <c r="F2471" s="1"/>
      <c r="G2471" s="1"/>
      <c r="H2471" s="1"/>
    </row>
    <row r="2472" spans="1:8" ht="12.5">
      <c r="A2472" s="1"/>
      <c r="B2472" s="1"/>
      <c r="C2472" s="1"/>
      <c r="D2472" s="1"/>
      <c r="E2472" s="1"/>
      <c r="F2472" s="1"/>
      <c r="G2472" s="1"/>
      <c r="H2472" s="1"/>
    </row>
    <row r="2473" spans="1:8" ht="12.5">
      <c r="A2473" s="1"/>
      <c r="B2473" s="1"/>
      <c r="C2473" s="1"/>
      <c r="D2473" s="1"/>
      <c r="E2473" s="1"/>
      <c r="F2473" s="1"/>
      <c r="G2473" s="1"/>
      <c r="H2473" s="1"/>
    </row>
    <row r="2474" spans="1:8" ht="12.5">
      <c r="A2474" s="1"/>
      <c r="B2474" s="1"/>
      <c r="C2474" s="1"/>
      <c r="D2474" s="1"/>
      <c r="E2474" s="1"/>
      <c r="F2474" s="1"/>
      <c r="G2474" s="1"/>
      <c r="H2474" s="1"/>
    </row>
    <row r="2475" spans="1:8" ht="12.5">
      <c r="A2475" s="1"/>
      <c r="B2475" s="1"/>
      <c r="C2475" s="1"/>
      <c r="D2475" s="1"/>
      <c r="E2475" s="1"/>
      <c r="F2475" s="1"/>
      <c r="G2475" s="1"/>
      <c r="H2475" s="1"/>
    </row>
    <row r="2476" spans="1:8" ht="12.5">
      <c r="A2476" s="1"/>
      <c r="B2476" s="1"/>
      <c r="C2476" s="1"/>
      <c r="D2476" s="1"/>
      <c r="E2476" s="1"/>
      <c r="F2476" s="1"/>
      <c r="G2476" s="1"/>
      <c r="H2476" s="1"/>
    </row>
    <row r="2477" spans="1:8" ht="12.5">
      <c r="A2477" s="1"/>
      <c r="B2477" s="1"/>
      <c r="C2477" s="1"/>
      <c r="D2477" s="1"/>
      <c r="E2477" s="1"/>
      <c r="F2477" s="1"/>
      <c r="G2477" s="1"/>
      <c r="H2477" s="1"/>
    </row>
    <row r="2478" spans="1:8" ht="12.5">
      <c r="A2478" s="1"/>
      <c r="B2478" s="1"/>
      <c r="C2478" s="1"/>
      <c r="D2478" s="1"/>
      <c r="E2478" s="1"/>
      <c r="F2478" s="1"/>
      <c r="G2478" s="1"/>
      <c r="H2478" s="1"/>
    </row>
    <row r="2479" spans="1:8" ht="12.5">
      <c r="A2479" s="1"/>
      <c r="B2479" s="1"/>
      <c r="C2479" s="1"/>
      <c r="D2479" s="1"/>
      <c r="E2479" s="1"/>
      <c r="F2479" s="1"/>
      <c r="G2479" s="1"/>
      <c r="H2479" s="1"/>
    </row>
    <row r="2480" spans="1:8" ht="12.5">
      <c r="A2480" s="1"/>
      <c r="B2480" s="1"/>
      <c r="C2480" s="1"/>
      <c r="D2480" s="1"/>
      <c r="E2480" s="1"/>
      <c r="F2480" s="1"/>
      <c r="G2480" s="1"/>
      <c r="H2480" s="1"/>
    </row>
    <row r="2481" spans="1:8" ht="12.5">
      <c r="A2481" s="1"/>
      <c r="B2481" s="1"/>
      <c r="C2481" s="1"/>
      <c r="D2481" s="1"/>
      <c r="E2481" s="1"/>
      <c r="F2481" s="1"/>
      <c r="G2481" s="1"/>
      <c r="H2481" s="1"/>
    </row>
    <row r="2482" spans="1:8" ht="12.5">
      <c r="A2482" s="1"/>
      <c r="B2482" s="1"/>
      <c r="C2482" s="1"/>
      <c r="D2482" s="1"/>
      <c r="E2482" s="1"/>
      <c r="F2482" s="1"/>
      <c r="G2482" s="1"/>
      <c r="H2482" s="1"/>
    </row>
    <row r="2483" spans="1:8" ht="12.5">
      <c r="A2483" s="1"/>
      <c r="B2483" s="1"/>
      <c r="C2483" s="1"/>
      <c r="D2483" s="1"/>
      <c r="E2483" s="1"/>
      <c r="F2483" s="1"/>
      <c r="G2483" s="1"/>
      <c r="H2483" s="1"/>
    </row>
    <row r="2484" spans="1:8" ht="12.5">
      <c r="A2484" s="1"/>
      <c r="B2484" s="1"/>
      <c r="C2484" s="1"/>
      <c r="D2484" s="1"/>
      <c r="E2484" s="1"/>
      <c r="F2484" s="1"/>
      <c r="G2484" s="1"/>
      <c r="H2484" s="1"/>
    </row>
    <row r="2485" spans="1:8" ht="12.5">
      <c r="A2485" s="1"/>
      <c r="B2485" s="1"/>
      <c r="C2485" s="1"/>
      <c r="D2485" s="1"/>
      <c r="E2485" s="1"/>
      <c r="F2485" s="1"/>
      <c r="G2485" s="1"/>
      <c r="H2485" s="1"/>
    </row>
    <row r="2486" spans="1:8" ht="12.5">
      <c r="A2486" s="1"/>
      <c r="B2486" s="1"/>
      <c r="C2486" s="1"/>
      <c r="D2486" s="1"/>
      <c r="E2486" s="1"/>
      <c r="F2486" s="1"/>
      <c r="G2486" s="1"/>
      <c r="H2486" s="1"/>
    </row>
    <row r="2487" spans="1:8" ht="12.5">
      <c r="A2487" s="1"/>
      <c r="B2487" s="1"/>
      <c r="C2487" s="1"/>
      <c r="D2487" s="1"/>
      <c r="E2487" s="1"/>
      <c r="F2487" s="1"/>
      <c r="G2487" s="1"/>
      <c r="H2487" s="1"/>
    </row>
    <row r="2488" spans="1:8" ht="12.5">
      <c r="A2488" s="1"/>
      <c r="B2488" s="1"/>
      <c r="C2488" s="1"/>
      <c r="D2488" s="1"/>
      <c r="E2488" s="1"/>
      <c r="F2488" s="1"/>
      <c r="G2488" s="1"/>
      <c r="H2488" s="1"/>
    </row>
    <row r="2489" spans="1:8" ht="12.5">
      <c r="A2489" s="1"/>
      <c r="B2489" s="1"/>
      <c r="C2489" s="1"/>
      <c r="D2489" s="1"/>
      <c r="E2489" s="1"/>
      <c r="F2489" s="1"/>
      <c r="G2489" s="1"/>
      <c r="H2489" s="1"/>
    </row>
    <row r="2490" spans="1:8" ht="12.5">
      <c r="A2490" s="1"/>
      <c r="B2490" s="1"/>
      <c r="C2490" s="1"/>
      <c r="D2490" s="1"/>
      <c r="E2490" s="1"/>
      <c r="F2490" s="1"/>
      <c r="G2490" s="1"/>
      <c r="H2490" s="1"/>
    </row>
    <row r="2491" spans="1:8" ht="12.5">
      <c r="A2491" s="1"/>
      <c r="B2491" s="1"/>
      <c r="C2491" s="1"/>
      <c r="D2491" s="1"/>
      <c r="E2491" s="1"/>
      <c r="F2491" s="1"/>
      <c r="G2491" s="1"/>
      <c r="H2491" s="1"/>
    </row>
    <row r="2492" spans="1:8" ht="12.5">
      <c r="A2492" s="1"/>
      <c r="B2492" s="1"/>
      <c r="C2492" s="1"/>
      <c r="D2492" s="1"/>
      <c r="E2492" s="1"/>
      <c r="F2492" s="1"/>
      <c r="G2492" s="1"/>
      <c r="H2492" s="1"/>
    </row>
    <row r="2493" spans="1:8" ht="12.5">
      <c r="A2493" s="1"/>
      <c r="B2493" s="1"/>
      <c r="C2493" s="1"/>
      <c r="D2493" s="1"/>
      <c r="E2493" s="1"/>
      <c r="F2493" s="1"/>
      <c r="G2493" s="1"/>
      <c r="H2493" s="1"/>
    </row>
    <row r="2494" spans="1:8" ht="12.5">
      <c r="A2494" s="1"/>
      <c r="B2494" s="1"/>
      <c r="C2494" s="1"/>
      <c r="D2494" s="1"/>
      <c r="E2494" s="1"/>
      <c r="F2494" s="1"/>
      <c r="G2494" s="1"/>
      <c r="H2494" s="1"/>
    </row>
    <row r="2495" spans="1:8" ht="12.5">
      <c r="A2495" s="1"/>
      <c r="B2495" s="1"/>
      <c r="C2495" s="1"/>
      <c r="D2495" s="1"/>
      <c r="E2495" s="1"/>
      <c r="F2495" s="1"/>
      <c r="G2495" s="1"/>
      <c r="H2495" s="1"/>
    </row>
    <row r="2496" spans="1:8" ht="12.5">
      <c r="A2496" s="1"/>
      <c r="B2496" s="1"/>
      <c r="C2496" s="1"/>
      <c r="D2496" s="1"/>
      <c r="E2496" s="1"/>
      <c r="F2496" s="1"/>
      <c r="G2496" s="1"/>
      <c r="H2496" s="1"/>
    </row>
    <row r="2497" spans="1:8" ht="12.5">
      <c r="A2497" s="1"/>
      <c r="B2497" s="1"/>
      <c r="C2497" s="1"/>
      <c r="D2497" s="1"/>
      <c r="E2497" s="1"/>
      <c r="F2497" s="1"/>
      <c r="G2497" s="1"/>
      <c r="H2497" s="1"/>
    </row>
    <row r="2498" spans="1:8" ht="12.5">
      <c r="A2498" s="1"/>
      <c r="B2498" s="1"/>
      <c r="C2498" s="1"/>
      <c r="D2498" s="1"/>
      <c r="E2498" s="1"/>
      <c r="F2498" s="1"/>
      <c r="G2498" s="1"/>
      <c r="H2498" s="1"/>
    </row>
    <row r="2499" spans="1:8" ht="12.5">
      <c r="A2499" s="1"/>
      <c r="B2499" s="1"/>
      <c r="C2499" s="1"/>
      <c r="D2499" s="1"/>
      <c r="E2499" s="1"/>
      <c r="F2499" s="1"/>
      <c r="G2499" s="1"/>
      <c r="H2499" s="1"/>
    </row>
    <row r="2500" spans="1:8" ht="12.5">
      <c r="A2500" s="1"/>
      <c r="B2500" s="1"/>
      <c r="C2500" s="1"/>
      <c r="D2500" s="1"/>
      <c r="E2500" s="1"/>
      <c r="F2500" s="1"/>
      <c r="G2500" s="1"/>
      <c r="H2500" s="1"/>
    </row>
    <row r="2501" spans="1:8" ht="12.5">
      <c r="A2501" s="1"/>
      <c r="B2501" s="1"/>
      <c r="C2501" s="1"/>
      <c r="D2501" s="1"/>
      <c r="E2501" s="1"/>
      <c r="F2501" s="1"/>
      <c r="G2501" s="1"/>
      <c r="H2501" s="1"/>
    </row>
    <row r="2502" spans="1:8" ht="12.5">
      <c r="A2502" s="1"/>
      <c r="B2502" s="1"/>
      <c r="C2502" s="1"/>
      <c r="D2502" s="1"/>
      <c r="E2502" s="1"/>
      <c r="F2502" s="1"/>
      <c r="G2502" s="1"/>
      <c r="H2502" s="1"/>
    </row>
    <row r="2503" spans="1:8" ht="12.5">
      <c r="A2503" s="1"/>
      <c r="B2503" s="1"/>
      <c r="C2503" s="1"/>
      <c r="D2503" s="1"/>
      <c r="E2503" s="1"/>
      <c r="F2503" s="1"/>
      <c r="G2503" s="1"/>
      <c r="H2503" s="1"/>
    </row>
    <row r="2504" spans="1:8" ht="12.5">
      <c r="A2504" s="1"/>
      <c r="B2504" s="1"/>
      <c r="C2504" s="1"/>
      <c r="D2504" s="1"/>
      <c r="E2504" s="1"/>
      <c r="F2504" s="1"/>
      <c r="G2504" s="1"/>
      <c r="H2504" s="1"/>
    </row>
    <row r="2505" spans="1:8" ht="12.5">
      <c r="A2505" s="1"/>
      <c r="B2505" s="1"/>
      <c r="C2505" s="1"/>
      <c r="D2505" s="1"/>
      <c r="E2505" s="1"/>
      <c r="F2505" s="1"/>
      <c r="G2505" s="1"/>
      <c r="H2505" s="1"/>
    </row>
    <row r="2506" spans="1:8" ht="12.5">
      <c r="A2506" s="1"/>
      <c r="B2506" s="1"/>
      <c r="C2506" s="1"/>
      <c r="D2506" s="1"/>
      <c r="E2506" s="1"/>
      <c r="F2506" s="1"/>
      <c r="G2506" s="1"/>
      <c r="H2506" s="1"/>
    </row>
    <row r="2507" spans="1:8" ht="12.5">
      <c r="A2507" s="1"/>
      <c r="B2507" s="1"/>
      <c r="C2507" s="1"/>
      <c r="D2507" s="1"/>
      <c r="E2507" s="1"/>
      <c r="F2507" s="1"/>
      <c r="G2507" s="1"/>
      <c r="H2507" s="1"/>
    </row>
    <row r="2508" spans="1:8" ht="12.5">
      <c r="A2508" s="1"/>
      <c r="B2508" s="1"/>
      <c r="C2508" s="1"/>
      <c r="D2508" s="1"/>
      <c r="E2508" s="1"/>
      <c r="F2508" s="1"/>
      <c r="G2508" s="1"/>
      <c r="H2508" s="1"/>
    </row>
    <row r="2509" spans="1:8" ht="12.5">
      <c r="A2509" s="1"/>
      <c r="B2509" s="1"/>
      <c r="C2509" s="1"/>
      <c r="D2509" s="1"/>
      <c r="E2509" s="1"/>
      <c r="F2509" s="1"/>
      <c r="G2509" s="1"/>
      <c r="H2509" s="1"/>
    </row>
    <row r="2510" spans="1:8" ht="12.5">
      <c r="A2510" s="1"/>
      <c r="B2510" s="1"/>
      <c r="C2510" s="1"/>
      <c r="D2510" s="1"/>
      <c r="E2510" s="1"/>
      <c r="F2510" s="1"/>
      <c r="G2510" s="1"/>
      <c r="H2510" s="1"/>
    </row>
    <row r="2511" spans="1:8" ht="12.5">
      <c r="A2511" s="1"/>
      <c r="B2511" s="1"/>
      <c r="C2511" s="1"/>
      <c r="D2511" s="1"/>
      <c r="E2511" s="1"/>
      <c r="F2511" s="1"/>
      <c r="G2511" s="1"/>
      <c r="H2511" s="1"/>
    </row>
    <row r="2512" spans="1:8" ht="12.5">
      <c r="A2512" s="1"/>
      <c r="B2512" s="1"/>
      <c r="C2512" s="1"/>
      <c r="D2512" s="1"/>
      <c r="E2512" s="1"/>
      <c r="F2512" s="1"/>
      <c r="G2512" s="1"/>
      <c r="H2512" s="1"/>
    </row>
    <row r="2513" spans="1:8" ht="12.5">
      <c r="A2513" s="1"/>
      <c r="B2513" s="1"/>
      <c r="C2513" s="1"/>
      <c r="D2513" s="1"/>
      <c r="E2513" s="1"/>
      <c r="F2513" s="1"/>
      <c r="G2513" s="1"/>
      <c r="H2513" s="1"/>
    </row>
    <row r="2514" spans="1:8" ht="12.5">
      <c r="A2514" s="1"/>
      <c r="B2514" s="1"/>
      <c r="C2514" s="1"/>
      <c r="D2514" s="1"/>
      <c r="E2514" s="1"/>
      <c r="F2514" s="1"/>
      <c r="G2514" s="1"/>
      <c r="H2514" s="1"/>
    </row>
    <row r="2515" spans="1:8" ht="12.5">
      <c r="A2515" s="1"/>
      <c r="B2515" s="1"/>
      <c r="C2515" s="1"/>
      <c r="D2515" s="1"/>
      <c r="E2515" s="1"/>
      <c r="F2515" s="1"/>
      <c r="G2515" s="1"/>
      <c r="H2515" s="1"/>
    </row>
    <row r="2516" spans="1:8" ht="12.5">
      <c r="A2516" s="1"/>
      <c r="B2516" s="1"/>
      <c r="C2516" s="1"/>
      <c r="D2516" s="1"/>
      <c r="E2516" s="1"/>
      <c r="F2516" s="1"/>
      <c r="G2516" s="1"/>
      <c r="H2516" s="1"/>
    </row>
    <row r="2517" spans="1:8" ht="12.5">
      <c r="A2517" s="1"/>
      <c r="B2517" s="1"/>
      <c r="C2517" s="1"/>
      <c r="D2517" s="1"/>
      <c r="E2517" s="1"/>
      <c r="F2517" s="1"/>
      <c r="G2517" s="1"/>
      <c r="H2517" s="1"/>
    </row>
    <row r="2518" spans="1:8" ht="12.5">
      <c r="A2518" s="1"/>
      <c r="B2518" s="1"/>
      <c r="C2518" s="1"/>
      <c r="D2518" s="1"/>
      <c r="E2518" s="1"/>
      <c r="F2518" s="1"/>
      <c r="G2518" s="1"/>
      <c r="H2518" s="1"/>
    </row>
    <row r="2519" spans="1:8" ht="12.5">
      <c r="A2519" s="1"/>
      <c r="B2519" s="1"/>
      <c r="C2519" s="1"/>
      <c r="D2519" s="1"/>
      <c r="E2519" s="1"/>
      <c r="F2519" s="1"/>
      <c r="G2519" s="1"/>
      <c r="H2519" s="1"/>
    </row>
    <row r="2520" spans="1:8" ht="12.5">
      <c r="A2520" s="1"/>
      <c r="B2520" s="1"/>
      <c r="C2520" s="1"/>
      <c r="D2520" s="1"/>
      <c r="E2520" s="1"/>
      <c r="F2520" s="1"/>
      <c r="G2520" s="1"/>
      <c r="H2520" s="1"/>
    </row>
    <row r="2521" spans="1:8" ht="12.5">
      <c r="A2521" s="1"/>
      <c r="B2521" s="1"/>
      <c r="C2521" s="1"/>
      <c r="D2521" s="1"/>
      <c r="E2521" s="1"/>
      <c r="F2521" s="1"/>
      <c r="G2521" s="1"/>
      <c r="H2521" s="1"/>
    </row>
    <row r="2522" spans="1:8" ht="12.5">
      <c r="A2522" s="1"/>
      <c r="B2522" s="1"/>
      <c r="C2522" s="1"/>
      <c r="D2522" s="1"/>
      <c r="E2522" s="1"/>
      <c r="F2522" s="1"/>
      <c r="G2522" s="1"/>
      <c r="H2522" s="1"/>
    </row>
    <row r="2523" spans="1:8" ht="12.5">
      <c r="A2523" s="1"/>
      <c r="B2523" s="1"/>
      <c r="C2523" s="1"/>
      <c r="D2523" s="1"/>
      <c r="E2523" s="1"/>
      <c r="F2523" s="1"/>
      <c r="G2523" s="1"/>
      <c r="H2523" s="1"/>
    </row>
    <row r="2524" spans="1:8" ht="12.5">
      <c r="A2524" s="1"/>
      <c r="B2524" s="1"/>
      <c r="C2524" s="1"/>
      <c r="D2524" s="1"/>
      <c r="E2524" s="1"/>
      <c r="F2524" s="1"/>
      <c r="G2524" s="1"/>
      <c r="H2524" s="1"/>
    </row>
    <row r="2525" spans="1:8" ht="12.5">
      <c r="A2525" s="1"/>
      <c r="B2525" s="1"/>
      <c r="C2525" s="1"/>
      <c r="D2525" s="1"/>
      <c r="E2525" s="1"/>
      <c r="F2525" s="1"/>
      <c r="G2525" s="1"/>
      <c r="H2525" s="1"/>
    </row>
    <row r="2526" spans="1:8" ht="12.5">
      <c r="A2526" s="1"/>
      <c r="B2526" s="1"/>
      <c r="C2526" s="1"/>
      <c r="D2526" s="1"/>
      <c r="E2526" s="1"/>
      <c r="F2526" s="1"/>
      <c r="G2526" s="1"/>
      <c r="H2526" s="1"/>
    </row>
    <row r="2527" spans="1:8" ht="12.5">
      <c r="A2527" s="1"/>
      <c r="B2527" s="1"/>
      <c r="C2527" s="1"/>
      <c r="D2527" s="1"/>
      <c r="E2527" s="1"/>
      <c r="F2527" s="1"/>
      <c r="G2527" s="1"/>
      <c r="H2527" s="1"/>
    </row>
    <row r="2528" spans="1:8" ht="12.5">
      <c r="A2528" s="1"/>
      <c r="B2528" s="1"/>
      <c r="C2528" s="1"/>
      <c r="D2528" s="1"/>
      <c r="E2528" s="1"/>
      <c r="F2528" s="1"/>
      <c r="G2528" s="1"/>
      <c r="H2528" s="1"/>
    </row>
    <row r="2529" spans="1:8" ht="12.5">
      <c r="A2529" s="1"/>
      <c r="B2529" s="1"/>
      <c r="C2529" s="1"/>
      <c r="D2529" s="1"/>
      <c r="E2529" s="1"/>
      <c r="F2529" s="1"/>
      <c r="G2529" s="1"/>
      <c r="H2529" s="1"/>
    </row>
    <row r="2530" spans="1:8" ht="12.5">
      <c r="A2530" s="1"/>
      <c r="B2530" s="1"/>
      <c r="C2530" s="1"/>
      <c r="D2530" s="1"/>
      <c r="E2530" s="1"/>
      <c r="F2530" s="1"/>
      <c r="G2530" s="1"/>
      <c r="H2530" s="1"/>
    </row>
    <row r="2531" spans="1:8" ht="12.5">
      <c r="A2531" s="1"/>
      <c r="B2531" s="1"/>
      <c r="C2531" s="1"/>
      <c r="D2531" s="1"/>
      <c r="E2531" s="1"/>
      <c r="F2531" s="1"/>
      <c r="G2531" s="1"/>
      <c r="H2531" s="1"/>
    </row>
    <row r="2532" spans="1:8" ht="12.5">
      <c r="A2532" s="1"/>
      <c r="B2532" s="1"/>
      <c r="C2532" s="1"/>
      <c r="D2532" s="1"/>
      <c r="E2532" s="1"/>
      <c r="F2532" s="1"/>
      <c r="G2532" s="1"/>
      <c r="H2532" s="1"/>
    </row>
    <row r="2533" spans="1:8" ht="12.5">
      <c r="A2533" s="1"/>
      <c r="B2533" s="1"/>
      <c r="C2533" s="1"/>
      <c r="D2533" s="1"/>
      <c r="E2533" s="1"/>
      <c r="F2533" s="1"/>
      <c r="G2533" s="1"/>
      <c r="H2533" s="1"/>
    </row>
    <row r="2534" spans="1:8" ht="12.5">
      <c r="A2534" s="1"/>
      <c r="B2534" s="1"/>
      <c r="C2534" s="1"/>
      <c r="D2534" s="1"/>
      <c r="E2534" s="1"/>
      <c r="F2534" s="1"/>
      <c r="G2534" s="1"/>
      <c r="H2534" s="1"/>
    </row>
    <row r="2535" spans="1:8" ht="12.5">
      <c r="A2535" s="1"/>
      <c r="B2535" s="1"/>
      <c r="C2535" s="1"/>
      <c r="D2535" s="1"/>
      <c r="E2535" s="1"/>
      <c r="F2535" s="1"/>
      <c r="G2535" s="1"/>
      <c r="H2535" s="1"/>
    </row>
    <row r="2536" spans="1:8" ht="12.5">
      <c r="A2536" s="1"/>
      <c r="B2536" s="1"/>
      <c r="C2536" s="1"/>
      <c r="D2536" s="1"/>
      <c r="E2536" s="1"/>
      <c r="F2536" s="1"/>
      <c r="G2536" s="1"/>
      <c r="H2536" s="1"/>
    </row>
    <row r="2537" spans="1:8" ht="12.5">
      <c r="A2537" s="1"/>
      <c r="B2537" s="1"/>
      <c r="C2537" s="1"/>
      <c r="D2537" s="1"/>
      <c r="E2537" s="1"/>
      <c r="F2537" s="1"/>
      <c r="G2537" s="1"/>
      <c r="H2537" s="1"/>
    </row>
    <row r="2538" spans="1:8" ht="12.5">
      <c r="A2538" s="1"/>
      <c r="B2538" s="1"/>
      <c r="C2538" s="1"/>
      <c r="D2538" s="1"/>
      <c r="E2538" s="1"/>
      <c r="F2538" s="1"/>
      <c r="G2538" s="1"/>
      <c r="H2538" s="1"/>
    </row>
    <row r="2539" spans="1:8" ht="12.5">
      <c r="A2539" s="1"/>
      <c r="B2539" s="1"/>
      <c r="C2539" s="1"/>
      <c r="D2539" s="1"/>
      <c r="E2539" s="1"/>
      <c r="F2539" s="1"/>
      <c r="G2539" s="1"/>
      <c r="H2539" s="1"/>
    </row>
    <row r="2540" spans="1:8" ht="12.5">
      <c r="A2540" s="1"/>
      <c r="B2540" s="1"/>
      <c r="C2540" s="1"/>
      <c r="D2540" s="1"/>
      <c r="E2540" s="1"/>
      <c r="F2540" s="1"/>
      <c r="G2540" s="1"/>
      <c r="H2540" s="1"/>
    </row>
    <row r="2541" spans="1:8" ht="12.5">
      <c r="A2541" s="1"/>
      <c r="B2541" s="1"/>
      <c r="C2541" s="1"/>
      <c r="D2541" s="1"/>
      <c r="E2541" s="1"/>
      <c r="F2541" s="1"/>
      <c r="G2541" s="1"/>
      <c r="H2541" s="1"/>
    </row>
    <row r="2542" spans="1:8" ht="12.5">
      <c r="A2542" s="1"/>
      <c r="B2542" s="1"/>
      <c r="C2542" s="1"/>
      <c r="D2542" s="1"/>
      <c r="E2542" s="1"/>
      <c r="F2542" s="1"/>
      <c r="G2542" s="1"/>
      <c r="H2542" s="1"/>
    </row>
    <row r="2543" spans="1:8" ht="12.5">
      <c r="A2543" s="1"/>
      <c r="B2543" s="1"/>
      <c r="C2543" s="1"/>
      <c r="D2543" s="1"/>
      <c r="E2543" s="1"/>
      <c r="F2543" s="1"/>
      <c r="G2543" s="1"/>
      <c r="H2543" s="1"/>
    </row>
    <row r="2544" spans="1:8" ht="12.5">
      <c r="A2544" s="1"/>
      <c r="B2544" s="1"/>
      <c r="C2544" s="1"/>
      <c r="D2544" s="1"/>
      <c r="E2544" s="1"/>
      <c r="F2544" s="1"/>
      <c r="G2544" s="1"/>
      <c r="H2544" s="1"/>
    </row>
    <row r="2545" spans="1:8" ht="12.5">
      <c r="A2545" s="1"/>
      <c r="B2545" s="1"/>
      <c r="C2545" s="1"/>
      <c r="D2545" s="1"/>
      <c r="E2545" s="1"/>
      <c r="F2545" s="1"/>
      <c r="G2545" s="1"/>
      <c r="H2545" s="1"/>
    </row>
    <row r="2546" spans="1:8" ht="12.5">
      <c r="A2546" s="1"/>
      <c r="B2546" s="1"/>
      <c r="C2546" s="1"/>
      <c r="D2546" s="1"/>
      <c r="E2546" s="1"/>
      <c r="F2546" s="1"/>
      <c r="G2546" s="1"/>
      <c r="H2546" s="1"/>
    </row>
    <row r="2547" spans="1:8" ht="12.5">
      <c r="A2547" s="1"/>
      <c r="B2547" s="1"/>
      <c r="C2547" s="1"/>
      <c r="D2547" s="1"/>
      <c r="E2547" s="1"/>
      <c r="F2547" s="1"/>
      <c r="G2547" s="1"/>
      <c r="H2547" s="1"/>
    </row>
    <row r="2548" spans="1:8" ht="12.5">
      <c r="A2548" s="1"/>
      <c r="B2548" s="1"/>
      <c r="C2548" s="1"/>
      <c r="D2548" s="1"/>
      <c r="E2548" s="1"/>
      <c r="F2548" s="1"/>
      <c r="G2548" s="1"/>
      <c r="H2548" s="1"/>
    </row>
    <row r="2549" spans="1:8" ht="12.5">
      <c r="A2549" s="1"/>
      <c r="B2549" s="1"/>
      <c r="C2549" s="1"/>
      <c r="D2549" s="1"/>
      <c r="E2549" s="1"/>
      <c r="F2549" s="1"/>
      <c r="G2549" s="1"/>
      <c r="H2549" s="1"/>
    </row>
    <row r="2550" spans="1:8" ht="12.5">
      <c r="A2550" s="1"/>
      <c r="B2550" s="1"/>
      <c r="C2550" s="1"/>
      <c r="D2550" s="1"/>
      <c r="E2550" s="1"/>
      <c r="F2550" s="1"/>
      <c r="G2550" s="1"/>
      <c r="H2550" s="1"/>
    </row>
    <row r="2551" spans="1:8" ht="12.5">
      <c r="A2551" s="1"/>
      <c r="B2551" s="1"/>
      <c r="C2551" s="1"/>
      <c r="D2551" s="1"/>
      <c r="E2551" s="1"/>
      <c r="F2551" s="1"/>
      <c r="G2551" s="1"/>
      <c r="H2551" s="1"/>
    </row>
    <row r="2552" spans="1:8" ht="12.5">
      <c r="A2552" s="1"/>
      <c r="B2552" s="1"/>
      <c r="C2552" s="1"/>
      <c r="D2552" s="1"/>
      <c r="E2552" s="1"/>
      <c r="F2552" s="1"/>
      <c r="G2552" s="1"/>
      <c r="H2552" s="1"/>
    </row>
    <row r="2553" spans="1:8" ht="12.5">
      <c r="A2553" s="1"/>
      <c r="B2553" s="1"/>
      <c r="C2553" s="1"/>
      <c r="D2553" s="1"/>
      <c r="E2553" s="1"/>
      <c r="F2553" s="1"/>
      <c r="G2553" s="1"/>
      <c r="H2553" s="1"/>
    </row>
    <row r="2554" spans="1:8" ht="12.5">
      <c r="A2554" s="1"/>
      <c r="B2554" s="1"/>
      <c r="C2554" s="1"/>
      <c r="D2554" s="1"/>
      <c r="E2554" s="1"/>
      <c r="F2554" s="1"/>
      <c r="G2554" s="1"/>
      <c r="H2554" s="1"/>
    </row>
    <row r="2555" spans="1:8" ht="12.5">
      <c r="A2555" s="1"/>
      <c r="B2555" s="1"/>
      <c r="C2555" s="1"/>
      <c r="D2555" s="1"/>
      <c r="E2555" s="1"/>
      <c r="F2555" s="1"/>
      <c r="G2555" s="1"/>
      <c r="H2555" s="1"/>
    </row>
    <row r="2556" spans="1:8" ht="12.5">
      <c r="A2556" s="1"/>
      <c r="B2556" s="1"/>
      <c r="C2556" s="1"/>
      <c r="D2556" s="1"/>
      <c r="E2556" s="1"/>
      <c r="F2556" s="1"/>
      <c r="G2556" s="1"/>
      <c r="H2556" s="1"/>
    </row>
    <row r="2557" spans="1:8" ht="12.5">
      <c r="A2557" s="1"/>
      <c r="B2557" s="1"/>
      <c r="C2557" s="1"/>
      <c r="D2557" s="1"/>
      <c r="E2557" s="1"/>
      <c r="F2557" s="1"/>
      <c r="G2557" s="1"/>
      <c r="H2557" s="1"/>
    </row>
    <row r="2558" spans="1:8" ht="12.5">
      <c r="A2558" s="1"/>
      <c r="B2558" s="1"/>
      <c r="C2558" s="1"/>
      <c r="D2558" s="1"/>
      <c r="E2558" s="1"/>
      <c r="F2558" s="1"/>
      <c r="G2558" s="1"/>
      <c r="H2558" s="1"/>
    </row>
    <row r="2559" spans="1:8" ht="12.5">
      <c r="A2559" s="1"/>
      <c r="B2559" s="1"/>
      <c r="C2559" s="1"/>
      <c r="D2559" s="1"/>
      <c r="E2559" s="1"/>
      <c r="F2559" s="1"/>
      <c r="G2559" s="1"/>
      <c r="H2559" s="1"/>
    </row>
    <row r="2560" spans="1:8" ht="12.5">
      <c r="A2560" s="1"/>
      <c r="B2560" s="1"/>
      <c r="C2560" s="1"/>
      <c r="D2560" s="1"/>
      <c r="E2560" s="1"/>
      <c r="F2560" s="1"/>
      <c r="G2560" s="1"/>
      <c r="H2560" s="1"/>
    </row>
    <row r="2561" spans="1:8" ht="12.5">
      <c r="A2561" s="1"/>
      <c r="B2561" s="1"/>
      <c r="C2561" s="1"/>
      <c r="D2561" s="1"/>
      <c r="E2561" s="1"/>
      <c r="F2561" s="1"/>
      <c r="G2561" s="1"/>
      <c r="H2561" s="1"/>
    </row>
    <row r="2562" spans="1:8" ht="12.5">
      <c r="A2562" s="1"/>
      <c r="B2562" s="1"/>
      <c r="C2562" s="1"/>
      <c r="D2562" s="1"/>
      <c r="E2562" s="1"/>
      <c r="F2562" s="1"/>
      <c r="G2562" s="1"/>
      <c r="H2562" s="1"/>
    </row>
    <row r="2563" spans="1:8" ht="12.5">
      <c r="A2563" s="1"/>
      <c r="B2563" s="1"/>
      <c r="C2563" s="1"/>
      <c r="D2563" s="1"/>
      <c r="E2563" s="1"/>
      <c r="F2563" s="1"/>
      <c r="G2563" s="1"/>
      <c r="H2563" s="1"/>
    </row>
    <row r="2564" spans="1:8" ht="12.5">
      <c r="A2564" s="1"/>
      <c r="B2564" s="1"/>
      <c r="C2564" s="1"/>
      <c r="D2564" s="1"/>
      <c r="E2564" s="1"/>
      <c r="F2564" s="1"/>
      <c r="G2564" s="1"/>
      <c r="H2564" s="1"/>
    </row>
    <row r="2565" spans="1:8" ht="12.5">
      <c r="A2565" s="1"/>
      <c r="B2565" s="1"/>
      <c r="C2565" s="1"/>
      <c r="D2565" s="1"/>
      <c r="E2565" s="1"/>
      <c r="F2565" s="1"/>
      <c r="G2565" s="1"/>
      <c r="H2565" s="1"/>
    </row>
    <row r="2566" spans="1:8" ht="12.5">
      <c r="A2566" s="1"/>
      <c r="B2566" s="1"/>
      <c r="C2566" s="1"/>
      <c r="D2566" s="1"/>
      <c r="E2566" s="1"/>
      <c r="F2566" s="1"/>
      <c r="G2566" s="1"/>
      <c r="H2566" s="1"/>
    </row>
    <row r="2567" spans="1:8" ht="12.5">
      <c r="A2567" s="1"/>
      <c r="B2567" s="1"/>
      <c r="C2567" s="1"/>
      <c r="D2567" s="1"/>
      <c r="E2567" s="1"/>
      <c r="F2567" s="1"/>
      <c r="G2567" s="1"/>
      <c r="H2567" s="1"/>
    </row>
    <row r="2568" spans="1:8" ht="12.5">
      <c r="A2568" s="1"/>
      <c r="B2568" s="1"/>
      <c r="C2568" s="1"/>
      <c r="D2568" s="1"/>
      <c r="E2568" s="1"/>
      <c r="F2568" s="1"/>
      <c r="G2568" s="1"/>
      <c r="H2568" s="1"/>
    </row>
    <row r="2569" spans="1:8" ht="12.5">
      <c r="A2569" s="1"/>
      <c r="B2569" s="1"/>
      <c r="C2569" s="1"/>
      <c r="D2569" s="1"/>
      <c r="E2569" s="1"/>
      <c r="F2569" s="1"/>
      <c r="G2569" s="1"/>
      <c r="H2569" s="1"/>
    </row>
    <row r="2570" spans="1:8" ht="12.5">
      <c r="A2570" s="1"/>
      <c r="B2570" s="1"/>
      <c r="C2570" s="1"/>
      <c r="D2570" s="1"/>
      <c r="E2570" s="1"/>
      <c r="F2570" s="1"/>
      <c r="G2570" s="1"/>
      <c r="H2570" s="1"/>
    </row>
    <row r="2571" spans="1:8" ht="12.5">
      <c r="A2571" s="1"/>
      <c r="B2571" s="1"/>
      <c r="C2571" s="1"/>
      <c r="D2571" s="1"/>
      <c r="E2571" s="1"/>
      <c r="F2571" s="1"/>
      <c r="G2571" s="1"/>
      <c r="H2571" s="1"/>
    </row>
    <row r="2572" spans="1:8" ht="12.5">
      <c r="A2572" s="1"/>
      <c r="B2572" s="1"/>
      <c r="C2572" s="1"/>
      <c r="D2572" s="1"/>
      <c r="E2572" s="1"/>
      <c r="F2572" s="1"/>
      <c r="G2572" s="1"/>
      <c r="H2572" s="1"/>
    </row>
    <row r="2573" spans="1:8" ht="12.5">
      <c r="A2573" s="1"/>
      <c r="B2573" s="1"/>
      <c r="C2573" s="1"/>
      <c r="D2573" s="1"/>
      <c r="E2573" s="1"/>
      <c r="F2573" s="1"/>
      <c r="G2573" s="1"/>
      <c r="H2573" s="1"/>
    </row>
    <row r="2574" spans="1:8" ht="12.5">
      <c r="A2574" s="1"/>
      <c r="B2574" s="1"/>
      <c r="C2574" s="1"/>
      <c r="D2574" s="1"/>
      <c r="E2574" s="1"/>
      <c r="F2574" s="1"/>
      <c r="G2574" s="1"/>
      <c r="H2574" s="1"/>
    </row>
    <row r="2575" spans="1:8" ht="12.5">
      <c r="A2575" s="1"/>
      <c r="B2575" s="1"/>
      <c r="C2575" s="1"/>
      <c r="D2575" s="1"/>
      <c r="E2575" s="1"/>
      <c r="F2575" s="1"/>
      <c r="G2575" s="1"/>
      <c r="H2575" s="1"/>
    </row>
    <row r="2576" spans="1:8" ht="12.5">
      <c r="A2576" s="1"/>
      <c r="B2576" s="1"/>
      <c r="C2576" s="1"/>
      <c r="D2576" s="1"/>
      <c r="E2576" s="1"/>
      <c r="F2576" s="1"/>
      <c r="G2576" s="1"/>
      <c r="H2576" s="1"/>
    </row>
    <row r="2577" spans="1:8" ht="12.5">
      <c r="A2577" s="1"/>
      <c r="B2577" s="1"/>
      <c r="C2577" s="1"/>
      <c r="D2577" s="1"/>
      <c r="E2577" s="1"/>
      <c r="F2577" s="1"/>
      <c r="G2577" s="1"/>
      <c r="H2577" s="1"/>
    </row>
    <row r="2578" spans="1:8" ht="12.5">
      <c r="A2578" s="1"/>
      <c r="B2578" s="1"/>
      <c r="C2578" s="1"/>
      <c r="D2578" s="1"/>
      <c r="E2578" s="1"/>
      <c r="F2578" s="1"/>
      <c r="G2578" s="1"/>
      <c r="H2578" s="1"/>
    </row>
    <row r="2579" spans="1:8" ht="12.5">
      <c r="A2579" s="1"/>
      <c r="B2579" s="1"/>
      <c r="C2579" s="1"/>
      <c r="D2579" s="1"/>
      <c r="E2579" s="1"/>
      <c r="F2579" s="1"/>
      <c r="G2579" s="1"/>
      <c r="H2579" s="1"/>
    </row>
    <row r="2580" spans="1:8" ht="12.5">
      <c r="A2580" s="1"/>
      <c r="B2580" s="1"/>
      <c r="C2580" s="1"/>
      <c r="D2580" s="1"/>
      <c r="E2580" s="1"/>
      <c r="F2580" s="1"/>
      <c r="G2580" s="1"/>
      <c r="H2580" s="1"/>
    </row>
    <row r="2581" spans="1:8" ht="12.5">
      <c r="A2581" s="1"/>
      <c r="B2581" s="1"/>
      <c r="C2581" s="1"/>
      <c r="D2581" s="1"/>
      <c r="E2581" s="1"/>
      <c r="F2581" s="1"/>
      <c r="G2581" s="1"/>
      <c r="H2581" s="1"/>
    </row>
    <row r="2582" spans="1:8" ht="12.5">
      <c r="A2582" s="1"/>
      <c r="B2582" s="1"/>
      <c r="C2582" s="1"/>
      <c r="D2582" s="1"/>
      <c r="E2582" s="1"/>
      <c r="F2582" s="1"/>
      <c r="G2582" s="1"/>
      <c r="H2582" s="1"/>
    </row>
    <row r="2583" spans="1:8" ht="12.5">
      <c r="A2583" s="1"/>
      <c r="B2583" s="1"/>
      <c r="C2583" s="1"/>
      <c r="D2583" s="1"/>
      <c r="E2583" s="1"/>
      <c r="F2583" s="1"/>
      <c r="G2583" s="1"/>
      <c r="H2583" s="1"/>
    </row>
    <row r="2584" spans="1:8" ht="12.5">
      <c r="A2584" s="1"/>
      <c r="B2584" s="1"/>
      <c r="C2584" s="1"/>
      <c r="D2584" s="1"/>
      <c r="E2584" s="1"/>
      <c r="F2584" s="1"/>
      <c r="G2584" s="1"/>
      <c r="H2584" s="1"/>
    </row>
    <row r="2585" spans="1:8" ht="12.5">
      <c r="A2585" s="1"/>
      <c r="B2585" s="1"/>
      <c r="C2585" s="1"/>
      <c r="D2585" s="1"/>
      <c r="E2585" s="1"/>
      <c r="F2585" s="1"/>
      <c r="G2585" s="1"/>
      <c r="H2585" s="1"/>
    </row>
    <row r="2586" spans="1:8" ht="12.5">
      <c r="A2586" s="1"/>
      <c r="B2586" s="1"/>
      <c r="C2586" s="1"/>
      <c r="D2586" s="1"/>
      <c r="E2586" s="1"/>
      <c r="F2586" s="1"/>
      <c r="G2586" s="1"/>
      <c r="H2586" s="1"/>
    </row>
    <row r="2587" spans="1:8" ht="12.5">
      <c r="A2587" s="1"/>
      <c r="B2587" s="1"/>
      <c r="C2587" s="1"/>
      <c r="D2587" s="1"/>
      <c r="E2587" s="1"/>
      <c r="F2587" s="1"/>
      <c r="G2587" s="1"/>
      <c r="H2587" s="1"/>
    </row>
    <row r="2588" spans="1:8" ht="12.5">
      <c r="A2588" s="1"/>
      <c r="B2588" s="1"/>
      <c r="C2588" s="1"/>
      <c r="D2588" s="1"/>
      <c r="E2588" s="1"/>
      <c r="F2588" s="1"/>
      <c r="G2588" s="1"/>
      <c r="H2588" s="1"/>
    </row>
    <row r="2589" spans="1:8" ht="12.5">
      <c r="A2589" s="1"/>
      <c r="B2589" s="1"/>
      <c r="C2589" s="1"/>
      <c r="D2589" s="1"/>
      <c r="E2589" s="1"/>
      <c r="F2589" s="1"/>
      <c r="G2589" s="1"/>
      <c r="H2589" s="1"/>
    </row>
    <row r="2590" spans="1:8" ht="12.5">
      <c r="A2590" s="1"/>
      <c r="B2590" s="1"/>
      <c r="C2590" s="1"/>
      <c r="D2590" s="1"/>
      <c r="E2590" s="1"/>
      <c r="F2590" s="1"/>
      <c r="G2590" s="1"/>
      <c r="H2590" s="1"/>
    </row>
    <row r="2591" spans="1:8" ht="12.5">
      <c r="A2591" s="1"/>
      <c r="B2591" s="1"/>
      <c r="C2591" s="1"/>
      <c r="D2591" s="1"/>
      <c r="E2591" s="1"/>
      <c r="F2591" s="1"/>
      <c r="G2591" s="1"/>
      <c r="H2591" s="1"/>
    </row>
    <row r="2592" spans="1:8" ht="12.5">
      <c r="A2592" s="1"/>
      <c r="B2592" s="1"/>
      <c r="C2592" s="1"/>
      <c r="D2592" s="1"/>
      <c r="E2592" s="1"/>
      <c r="F2592" s="1"/>
      <c r="G2592" s="1"/>
      <c r="H2592" s="1"/>
    </row>
    <row r="2593" spans="1:8" ht="12.5">
      <c r="A2593" s="1"/>
      <c r="B2593" s="1"/>
      <c r="C2593" s="1"/>
      <c r="D2593" s="1"/>
      <c r="E2593" s="1"/>
      <c r="F2593" s="1"/>
      <c r="G2593" s="1"/>
      <c r="H2593" s="1"/>
    </row>
    <row r="2594" spans="1:8" ht="12.5">
      <c r="A2594" s="1"/>
      <c r="B2594" s="1"/>
      <c r="C2594" s="1"/>
      <c r="D2594" s="1"/>
      <c r="E2594" s="1"/>
      <c r="F2594" s="1"/>
      <c r="G2594" s="1"/>
      <c r="H2594" s="1"/>
    </row>
    <row r="2595" spans="1:8" ht="12.5">
      <c r="A2595" s="1"/>
      <c r="B2595" s="1"/>
      <c r="C2595" s="1"/>
      <c r="D2595" s="1"/>
      <c r="E2595" s="1"/>
      <c r="F2595" s="1"/>
      <c r="G2595" s="1"/>
      <c r="H2595" s="1"/>
    </row>
    <row r="2596" spans="1:8" ht="12.5">
      <c r="A2596" s="1"/>
      <c r="B2596" s="1"/>
      <c r="C2596" s="1"/>
      <c r="D2596" s="1"/>
      <c r="E2596" s="1"/>
      <c r="F2596" s="1"/>
      <c r="G2596" s="1"/>
      <c r="H2596" s="1"/>
    </row>
    <row r="2597" spans="1:8" ht="12.5">
      <c r="A2597" s="1"/>
      <c r="B2597" s="1"/>
      <c r="C2597" s="1"/>
      <c r="D2597" s="1"/>
      <c r="E2597" s="1"/>
      <c r="F2597" s="1"/>
      <c r="G2597" s="1"/>
      <c r="H2597" s="1"/>
    </row>
    <row r="2598" spans="1:8" ht="12.5">
      <c r="A2598" s="1"/>
      <c r="B2598" s="1"/>
      <c r="C2598" s="1"/>
      <c r="D2598" s="1"/>
      <c r="E2598" s="1"/>
      <c r="F2598" s="1"/>
      <c r="G2598" s="1"/>
      <c r="H2598" s="1"/>
    </row>
    <row r="2599" spans="1:8" ht="12.5">
      <c r="A2599" s="1"/>
      <c r="B2599" s="1"/>
      <c r="C2599" s="1"/>
      <c r="D2599" s="1"/>
      <c r="E2599" s="1"/>
      <c r="F2599" s="1"/>
      <c r="G2599" s="1"/>
      <c r="H2599" s="1"/>
    </row>
    <row r="2600" spans="1:8" ht="12.5">
      <c r="A2600" s="1"/>
      <c r="B2600" s="1"/>
      <c r="C2600" s="1"/>
      <c r="D2600" s="1"/>
      <c r="E2600" s="1"/>
      <c r="F2600" s="1"/>
      <c r="G2600" s="1"/>
      <c r="H2600" s="1"/>
    </row>
    <row r="2601" spans="1:8" ht="12.5">
      <c r="A2601" s="1"/>
      <c r="B2601" s="1"/>
      <c r="C2601" s="1"/>
      <c r="D2601" s="1"/>
      <c r="E2601" s="1"/>
      <c r="F2601" s="1"/>
      <c r="G2601" s="1"/>
      <c r="H2601" s="1"/>
    </row>
    <row r="2602" spans="1:8" ht="12.5">
      <c r="A2602" s="1"/>
      <c r="B2602" s="1"/>
      <c r="C2602" s="1"/>
      <c r="D2602" s="1"/>
      <c r="E2602" s="1"/>
      <c r="F2602" s="1"/>
      <c r="G2602" s="1"/>
      <c r="H2602" s="1"/>
    </row>
    <row r="2603" spans="1:8" ht="12.5">
      <c r="A2603" s="1"/>
      <c r="B2603" s="1"/>
      <c r="C2603" s="1"/>
      <c r="D2603" s="1"/>
      <c r="E2603" s="1"/>
      <c r="F2603" s="1"/>
      <c r="G2603" s="1"/>
      <c r="H2603" s="1"/>
    </row>
    <row r="2604" spans="1:8" ht="12.5">
      <c r="A2604" s="1"/>
      <c r="B2604" s="1"/>
      <c r="C2604" s="1"/>
      <c r="D2604" s="1"/>
      <c r="E2604" s="1"/>
      <c r="F2604" s="1"/>
      <c r="G2604" s="1"/>
      <c r="H2604" s="1"/>
    </row>
    <row r="2605" spans="1:8" ht="12.5">
      <c r="A2605" s="1"/>
      <c r="B2605" s="1"/>
      <c r="C2605" s="1"/>
      <c r="D2605" s="1"/>
      <c r="E2605" s="1"/>
      <c r="F2605" s="1"/>
      <c r="G2605" s="1"/>
      <c r="H2605" s="1"/>
    </row>
    <row r="2606" spans="1:8" ht="12.5">
      <c r="A2606" s="1"/>
      <c r="B2606" s="1"/>
      <c r="C2606" s="1"/>
      <c r="D2606" s="1"/>
      <c r="E2606" s="1"/>
      <c r="F2606" s="1"/>
      <c r="G2606" s="1"/>
      <c r="H2606" s="1"/>
    </row>
    <row r="2607" spans="1:8" ht="12.5">
      <c r="A2607" s="1"/>
      <c r="B2607" s="1"/>
      <c r="C2607" s="1"/>
      <c r="D2607" s="1"/>
      <c r="E2607" s="1"/>
      <c r="F2607" s="1"/>
      <c r="G2607" s="1"/>
      <c r="H2607" s="1"/>
    </row>
    <row r="2608" spans="1:8" ht="12.5">
      <c r="A2608" s="1"/>
      <c r="B2608" s="1"/>
      <c r="C2608" s="1"/>
      <c r="D2608" s="1"/>
      <c r="E2608" s="1"/>
      <c r="F2608" s="1"/>
      <c r="G2608" s="1"/>
      <c r="H2608" s="1"/>
    </row>
    <row r="2609" spans="1:8" ht="12.5">
      <c r="A2609" s="1"/>
      <c r="B2609" s="1"/>
      <c r="C2609" s="1"/>
      <c r="D2609" s="1"/>
      <c r="E2609" s="1"/>
      <c r="F2609" s="1"/>
      <c r="G2609" s="1"/>
      <c r="H2609" s="1"/>
    </row>
    <row r="2610" spans="1:8" ht="12.5">
      <c r="A2610" s="1"/>
      <c r="B2610" s="1"/>
      <c r="C2610" s="1"/>
      <c r="D2610" s="1"/>
      <c r="E2610" s="1"/>
      <c r="F2610" s="1"/>
      <c r="G2610" s="1"/>
      <c r="H2610" s="1"/>
    </row>
    <row r="2611" spans="1:8" ht="12.5">
      <c r="A2611" s="1"/>
      <c r="B2611" s="1"/>
      <c r="C2611" s="1"/>
      <c r="D2611" s="1"/>
      <c r="E2611" s="1"/>
      <c r="F2611" s="1"/>
      <c r="G2611" s="1"/>
      <c r="H2611" s="1"/>
    </row>
    <row r="2612" spans="1:8" ht="12.5">
      <c r="A2612" s="1"/>
      <c r="B2612" s="1"/>
      <c r="C2612" s="1"/>
      <c r="D2612" s="1"/>
      <c r="E2612" s="1"/>
      <c r="F2612" s="1"/>
      <c r="G2612" s="1"/>
      <c r="H2612" s="1"/>
    </row>
    <row r="2613" spans="1:8" ht="12.5">
      <c r="A2613" s="1"/>
      <c r="B2613" s="1"/>
      <c r="C2613" s="1"/>
      <c r="D2613" s="1"/>
      <c r="E2613" s="1"/>
      <c r="F2613" s="1"/>
      <c r="G2613" s="1"/>
      <c r="H2613" s="1"/>
    </row>
    <row r="2614" spans="1:8" ht="12.5">
      <c r="A2614" s="1"/>
      <c r="B2614" s="1"/>
      <c r="C2614" s="1"/>
      <c r="D2614" s="1"/>
      <c r="E2614" s="1"/>
      <c r="F2614" s="1"/>
      <c r="G2614" s="1"/>
      <c r="H2614" s="1"/>
    </row>
    <row r="2615" spans="1:8" ht="12.5">
      <c r="A2615" s="1"/>
      <c r="B2615" s="1"/>
      <c r="C2615" s="1"/>
      <c r="D2615" s="1"/>
      <c r="E2615" s="1"/>
      <c r="F2615" s="1"/>
      <c r="G2615" s="1"/>
      <c r="H2615" s="1"/>
    </row>
    <row r="2616" spans="1:8" ht="12.5">
      <c r="A2616" s="1"/>
      <c r="B2616" s="1"/>
      <c r="C2616" s="1"/>
      <c r="D2616" s="1"/>
      <c r="E2616" s="1"/>
      <c r="F2616" s="1"/>
      <c r="G2616" s="1"/>
      <c r="H2616" s="1"/>
    </row>
    <row r="2617" spans="1:8" ht="12.5">
      <c r="A2617" s="1"/>
      <c r="B2617" s="1"/>
      <c r="C2617" s="1"/>
      <c r="D2617" s="1"/>
      <c r="E2617" s="1"/>
      <c r="F2617" s="1"/>
      <c r="G2617" s="1"/>
      <c r="H2617" s="1"/>
    </row>
    <row r="2618" spans="1:8" ht="12.5">
      <c r="A2618" s="1"/>
      <c r="B2618" s="1"/>
      <c r="C2618" s="1"/>
      <c r="D2618" s="1"/>
      <c r="E2618" s="1"/>
      <c r="F2618" s="1"/>
      <c r="G2618" s="1"/>
      <c r="H2618" s="1"/>
    </row>
    <row r="2619" spans="1:8" ht="12.5">
      <c r="A2619" s="1"/>
      <c r="B2619" s="1"/>
      <c r="C2619" s="1"/>
      <c r="D2619" s="1"/>
      <c r="E2619" s="1"/>
      <c r="F2619" s="1"/>
      <c r="G2619" s="1"/>
      <c r="H2619" s="1"/>
    </row>
    <row r="2620" spans="1:8" ht="12.5">
      <c r="A2620" s="1"/>
      <c r="B2620" s="1"/>
      <c r="C2620" s="1"/>
      <c r="D2620" s="1"/>
      <c r="E2620" s="1"/>
      <c r="F2620" s="1"/>
      <c r="G2620" s="1"/>
      <c r="H2620" s="1"/>
    </row>
    <row r="2621" spans="1:8" ht="12.5">
      <c r="A2621" s="1"/>
      <c r="B2621" s="1"/>
      <c r="C2621" s="1"/>
      <c r="D2621" s="1"/>
      <c r="E2621" s="1"/>
      <c r="F2621" s="1"/>
      <c r="G2621" s="1"/>
      <c r="H2621" s="1"/>
    </row>
    <row r="2622" spans="1:8" ht="12.5">
      <c r="A2622" s="1"/>
      <c r="B2622" s="1"/>
      <c r="C2622" s="1"/>
      <c r="D2622" s="1"/>
      <c r="E2622" s="1"/>
      <c r="F2622" s="1"/>
      <c r="G2622" s="1"/>
      <c r="H2622" s="1"/>
    </row>
    <row r="2623" spans="1:8" ht="12.5">
      <c r="A2623" s="1"/>
      <c r="B2623" s="1"/>
      <c r="C2623" s="1"/>
      <c r="D2623" s="1"/>
      <c r="E2623" s="1"/>
      <c r="F2623" s="1"/>
      <c r="G2623" s="1"/>
      <c r="H2623" s="1"/>
    </row>
    <row r="2624" spans="1:8" ht="12.5">
      <c r="A2624" s="1"/>
      <c r="B2624" s="1"/>
      <c r="C2624" s="1"/>
      <c r="D2624" s="1"/>
      <c r="E2624" s="1"/>
      <c r="F2624" s="1"/>
      <c r="G2624" s="1"/>
      <c r="H2624" s="1"/>
    </row>
    <row r="2625" spans="1:8" ht="12.5">
      <c r="A2625" s="1"/>
      <c r="B2625" s="1"/>
      <c r="C2625" s="1"/>
      <c r="D2625" s="1"/>
      <c r="E2625" s="1"/>
      <c r="F2625" s="1"/>
      <c r="G2625" s="1"/>
      <c r="H2625" s="1"/>
    </row>
    <row r="2626" spans="1:8" ht="12.5">
      <c r="A2626" s="1"/>
      <c r="B2626" s="1"/>
      <c r="C2626" s="1"/>
      <c r="D2626" s="1"/>
      <c r="E2626" s="1"/>
      <c r="F2626" s="1"/>
      <c r="G2626" s="1"/>
      <c r="H2626" s="1"/>
    </row>
    <row r="2627" spans="1:8" ht="12.5">
      <c r="A2627" s="1"/>
      <c r="B2627" s="1"/>
      <c r="C2627" s="1"/>
      <c r="D2627" s="1"/>
      <c r="E2627" s="1"/>
      <c r="F2627" s="1"/>
      <c r="G2627" s="1"/>
      <c r="H2627" s="1"/>
    </row>
    <row r="2628" spans="1:8" ht="12.5">
      <c r="A2628" s="1"/>
      <c r="B2628" s="1"/>
      <c r="C2628" s="1"/>
      <c r="D2628" s="1"/>
      <c r="E2628" s="1"/>
      <c r="F2628" s="1"/>
      <c r="G2628" s="1"/>
      <c r="H2628" s="1"/>
    </row>
    <row r="2629" spans="1:8" ht="12.5">
      <c r="A2629" s="1"/>
      <c r="B2629" s="1"/>
      <c r="C2629" s="1"/>
      <c r="D2629" s="1"/>
      <c r="E2629" s="1"/>
      <c r="F2629" s="1"/>
      <c r="G2629" s="1"/>
      <c r="H2629" s="1"/>
    </row>
    <row r="2630" spans="1:8" ht="12.5">
      <c r="A2630" s="1"/>
      <c r="B2630" s="1"/>
      <c r="C2630" s="1"/>
      <c r="D2630" s="1"/>
      <c r="E2630" s="1"/>
      <c r="F2630" s="1"/>
      <c r="G2630" s="1"/>
      <c r="H2630" s="1"/>
    </row>
    <row r="2631" spans="1:8" ht="12.5">
      <c r="A2631" s="1"/>
      <c r="B2631" s="1"/>
      <c r="C2631" s="1"/>
      <c r="D2631" s="1"/>
      <c r="E2631" s="1"/>
      <c r="F2631" s="1"/>
      <c r="G2631" s="1"/>
      <c r="H2631" s="1"/>
    </row>
    <row r="2632" spans="1:8" ht="12.5">
      <c r="A2632" s="1"/>
      <c r="B2632" s="1"/>
      <c r="C2632" s="1"/>
      <c r="D2632" s="1"/>
      <c r="E2632" s="1"/>
      <c r="F2632" s="1"/>
      <c r="G2632" s="1"/>
      <c r="H2632" s="1"/>
    </row>
    <row r="2633" spans="1:8" ht="12.5">
      <c r="A2633" s="1"/>
      <c r="B2633" s="1"/>
      <c r="C2633" s="1"/>
      <c r="D2633" s="1"/>
      <c r="E2633" s="1"/>
      <c r="F2633" s="1"/>
      <c r="G2633" s="1"/>
      <c r="H2633" s="1"/>
    </row>
    <row r="2634" spans="1:8" ht="12.5">
      <c r="A2634" s="1"/>
      <c r="B2634" s="1"/>
      <c r="C2634" s="1"/>
      <c r="D2634" s="1"/>
      <c r="E2634" s="1"/>
      <c r="F2634" s="1"/>
      <c r="G2634" s="1"/>
      <c r="H2634" s="1"/>
    </row>
    <row r="2635" spans="1:8" ht="12.5">
      <c r="A2635" s="1"/>
      <c r="B2635" s="1"/>
      <c r="C2635" s="1"/>
      <c r="D2635" s="1"/>
      <c r="E2635" s="1"/>
      <c r="F2635" s="1"/>
      <c r="G2635" s="1"/>
      <c r="H2635" s="1"/>
    </row>
    <row r="2636" spans="1:8" ht="12.5">
      <c r="A2636" s="1"/>
      <c r="B2636" s="1"/>
      <c r="C2636" s="1"/>
      <c r="D2636" s="1"/>
      <c r="E2636" s="1"/>
      <c r="F2636" s="1"/>
      <c r="G2636" s="1"/>
      <c r="H2636" s="1"/>
    </row>
    <row r="2637" spans="1:8" ht="12.5">
      <c r="A2637" s="1"/>
      <c r="B2637" s="1"/>
      <c r="C2637" s="1"/>
      <c r="D2637" s="1"/>
      <c r="E2637" s="1"/>
      <c r="F2637" s="1"/>
      <c r="G2637" s="1"/>
      <c r="H2637" s="1"/>
    </row>
    <row r="2638" spans="1:8" ht="12.5">
      <c r="A2638" s="1"/>
      <c r="B2638" s="1"/>
      <c r="C2638" s="1"/>
      <c r="D2638" s="1"/>
      <c r="E2638" s="1"/>
      <c r="F2638" s="1"/>
      <c r="G2638" s="1"/>
      <c r="H2638" s="1"/>
    </row>
    <row r="2639" spans="1:8" ht="12.5">
      <c r="A2639" s="1"/>
      <c r="B2639" s="1"/>
      <c r="C2639" s="1"/>
      <c r="D2639" s="1"/>
      <c r="E2639" s="1"/>
      <c r="F2639" s="1"/>
      <c r="G2639" s="1"/>
      <c r="H2639" s="1"/>
    </row>
    <row r="2640" spans="1:8" ht="12.5">
      <c r="A2640" s="1"/>
      <c r="B2640" s="1"/>
      <c r="C2640" s="1"/>
      <c r="D2640" s="1"/>
      <c r="E2640" s="1"/>
      <c r="F2640" s="1"/>
      <c r="G2640" s="1"/>
      <c r="H2640" s="1"/>
    </row>
    <row r="2641" spans="1:8" ht="12.5">
      <c r="A2641" s="1"/>
      <c r="B2641" s="1"/>
      <c r="C2641" s="1"/>
      <c r="D2641" s="1"/>
      <c r="E2641" s="1"/>
      <c r="F2641" s="1"/>
      <c r="G2641" s="1"/>
      <c r="H2641" s="1"/>
    </row>
    <row r="2642" spans="1:8" ht="12.5">
      <c r="A2642" s="1"/>
      <c r="B2642" s="1"/>
      <c r="C2642" s="1"/>
      <c r="D2642" s="1"/>
      <c r="E2642" s="1"/>
      <c r="F2642" s="1"/>
      <c r="G2642" s="1"/>
      <c r="H2642" s="1"/>
    </row>
    <row r="2643" spans="1:8" ht="12.5">
      <c r="A2643" s="1"/>
      <c r="B2643" s="1"/>
      <c r="C2643" s="1"/>
      <c r="D2643" s="1"/>
      <c r="E2643" s="1"/>
      <c r="F2643" s="1"/>
      <c r="G2643" s="1"/>
      <c r="H2643" s="1"/>
    </row>
    <row r="2644" spans="1:8" ht="12.5">
      <c r="A2644" s="1"/>
      <c r="B2644" s="1"/>
      <c r="C2644" s="1"/>
      <c r="D2644" s="1"/>
      <c r="E2644" s="1"/>
      <c r="F2644" s="1"/>
      <c r="G2644" s="1"/>
      <c r="H2644" s="1"/>
    </row>
    <row r="2645" spans="1:8" ht="12.5">
      <c r="A2645" s="1"/>
      <c r="B2645" s="1"/>
      <c r="C2645" s="1"/>
      <c r="D2645" s="1"/>
      <c r="E2645" s="1"/>
      <c r="F2645" s="1"/>
      <c r="G2645" s="1"/>
      <c r="H2645" s="1"/>
    </row>
    <row r="2646" spans="1:8" ht="12.5">
      <c r="A2646" s="1"/>
      <c r="B2646" s="1"/>
      <c r="C2646" s="1"/>
      <c r="D2646" s="1"/>
      <c r="E2646" s="1"/>
      <c r="F2646" s="1"/>
      <c r="G2646" s="1"/>
      <c r="H2646" s="1"/>
    </row>
    <row r="2647" spans="1:8" ht="12.5">
      <c r="A2647" s="1"/>
      <c r="B2647" s="1"/>
      <c r="C2647" s="1"/>
      <c r="D2647" s="1"/>
      <c r="E2647" s="1"/>
      <c r="F2647" s="1"/>
      <c r="G2647" s="1"/>
      <c r="H2647" s="1"/>
    </row>
    <row r="2648" spans="1:8" ht="12.5">
      <c r="A2648" s="1"/>
      <c r="B2648" s="1"/>
      <c r="C2648" s="1"/>
      <c r="D2648" s="1"/>
      <c r="E2648" s="1"/>
      <c r="F2648" s="1"/>
      <c r="G2648" s="1"/>
      <c r="H2648" s="1"/>
    </row>
    <row r="2649" spans="1:8" ht="12.5">
      <c r="A2649" s="1"/>
      <c r="B2649" s="1"/>
      <c r="C2649" s="1"/>
      <c r="D2649" s="1"/>
      <c r="E2649" s="1"/>
      <c r="F2649" s="1"/>
      <c r="G2649" s="1"/>
      <c r="H2649" s="1"/>
    </row>
    <row r="2650" spans="1:8" ht="12.5">
      <c r="A2650" s="1"/>
      <c r="B2650" s="1"/>
      <c r="C2650" s="1"/>
      <c r="D2650" s="1"/>
      <c r="E2650" s="1"/>
      <c r="F2650" s="1"/>
      <c r="G2650" s="1"/>
      <c r="H2650" s="1"/>
    </row>
    <row r="2651" spans="1:8" ht="12.5">
      <c r="A2651" s="1"/>
      <c r="B2651" s="1"/>
      <c r="C2651" s="1"/>
      <c r="D2651" s="1"/>
      <c r="E2651" s="1"/>
      <c r="F2651" s="1"/>
      <c r="G2651" s="1"/>
      <c r="H2651" s="1"/>
    </row>
    <row r="2652" spans="1:8" ht="12.5">
      <c r="A2652" s="1"/>
      <c r="B2652" s="1"/>
      <c r="C2652" s="1"/>
      <c r="D2652" s="1"/>
      <c r="E2652" s="1"/>
      <c r="F2652" s="1"/>
      <c r="G2652" s="1"/>
      <c r="H2652" s="1"/>
    </row>
    <row r="2653" spans="1:8" ht="12.5">
      <c r="A2653" s="1"/>
      <c r="B2653" s="1"/>
      <c r="C2653" s="1"/>
      <c r="D2653" s="1"/>
      <c r="E2653" s="1"/>
      <c r="F2653" s="1"/>
      <c r="G2653" s="1"/>
      <c r="H2653" s="1"/>
    </row>
    <row r="2654" spans="1:8" ht="12.5">
      <c r="A2654" s="1"/>
      <c r="B2654" s="1"/>
      <c r="C2654" s="1"/>
      <c r="D2654" s="1"/>
      <c r="E2654" s="1"/>
      <c r="F2654" s="1"/>
      <c r="G2654" s="1"/>
      <c r="H2654" s="1"/>
    </row>
    <row r="2655" spans="1:8" ht="12.5">
      <c r="A2655" s="1"/>
      <c r="B2655" s="1"/>
      <c r="C2655" s="1"/>
      <c r="D2655" s="1"/>
      <c r="E2655" s="1"/>
      <c r="F2655" s="1"/>
      <c r="G2655" s="1"/>
      <c r="H2655" s="1"/>
    </row>
    <row r="2656" spans="1:8" ht="12.5">
      <c r="A2656" s="1"/>
      <c r="B2656" s="1"/>
      <c r="C2656" s="1"/>
      <c r="D2656" s="1"/>
      <c r="E2656" s="1"/>
      <c r="F2656" s="1"/>
      <c r="G2656" s="1"/>
      <c r="H2656" s="1"/>
    </row>
    <row r="2657" spans="1:8" ht="12.5">
      <c r="A2657" s="1"/>
      <c r="B2657" s="1"/>
      <c r="C2657" s="1"/>
      <c r="D2657" s="1"/>
      <c r="E2657" s="1"/>
      <c r="F2657" s="1"/>
      <c r="G2657" s="1"/>
      <c r="H2657" s="1"/>
    </row>
    <row r="2658" spans="1:8" ht="12.5">
      <c r="A2658" s="1"/>
      <c r="B2658" s="1"/>
      <c r="C2658" s="1"/>
      <c r="D2658" s="1"/>
      <c r="E2658" s="1"/>
      <c r="F2658" s="1"/>
      <c r="G2658" s="1"/>
      <c r="H2658" s="1"/>
    </row>
    <row r="2659" spans="1:8" ht="12.5">
      <c r="A2659" s="1"/>
      <c r="B2659" s="1"/>
      <c r="C2659" s="1"/>
      <c r="D2659" s="1"/>
      <c r="E2659" s="1"/>
      <c r="F2659" s="1"/>
      <c r="G2659" s="1"/>
      <c r="H2659" s="1"/>
    </row>
    <row r="2660" spans="1:8" ht="12.5">
      <c r="A2660" s="1"/>
      <c r="B2660" s="1"/>
      <c r="C2660" s="1"/>
      <c r="D2660" s="1"/>
      <c r="E2660" s="1"/>
      <c r="F2660" s="1"/>
      <c r="G2660" s="1"/>
      <c r="H2660" s="1"/>
    </row>
    <row r="2661" spans="1:8" ht="12.5">
      <c r="A2661" s="1"/>
      <c r="B2661" s="1"/>
      <c r="C2661" s="1"/>
      <c r="D2661" s="1"/>
      <c r="E2661" s="1"/>
      <c r="F2661" s="1"/>
      <c r="G2661" s="1"/>
      <c r="H2661" s="1"/>
    </row>
    <row r="2662" spans="1:8" ht="12.5">
      <c r="A2662" s="1"/>
      <c r="B2662" s="1"/>
      <c r="C2662" s="1"/>
      <c r="D2662" s="1"/>
      <c r="E2662" s="1"/>
      <c r="F2662" s="1"/>
      <c r="G2662" s="1"/>
      <c r="H2662" s="1"/>
    </row>
    <row r="2663" spans="1:8" ht="12.5">
      <c r="A2663" s="1"/>
      <c r="B2663" s="1"/>
      <c r="C2663" s="1"/>
      <c r="D2663" s="1"/>
      <c r="E2663" s="1"/>
      <c r="F2663" s="1"/>
      <c r="G2663" s="1"/>
      <c r="H2663" s="1"/>
    </row>
    <row r="2664" spans="1:8" ht="12.5">
      <c r="A2664" s="1"/>
      <c r="B2664" s="1"/>
      <c r="C2664" s="1"/>
      <c r="D2664" s="1"/>
      <c r="E2664" s="1"/>
      <c r="F2664" s="1"/>
      <c r="G2664" s="1"/>
      <c r="H2664" s="1"/>
    </row>
    <row r="2665" spans="1:8" ht="12.5">
      <c r="A2665" s="1"/>
      <c r="B2665" s="1"/>
      <c r="C2665" s="1"/>
      <c r="D2665" s="1"/>
      <c r="E2665" s="1"/>
      <c r="F2665" s="1"/>
      <c r="G2665" s="1"/>
      <c r="H2665" s="1"/>
    </row>
    <row r="2666" spans="1:8" ht="12.5">
      <c r="A2666" s="1"/>
      <c r="B2666" s="1"/>
      <c r="C2666" s="1"/>
      <c r="D2666" s="1"/>
      <c r="E2666" s="1"/>
      <c r="F2666" s="1"/>
      <c r="G2666" s="1"/>
      <c r="H2666" s="1"/>
    </row>
    <row r="2667" spans="1:8" ht="12.5">
      <c r="A2667" s="1"/>
      <c r="B2667" s="1"/>
      <c r="C2667" s="1"/>
      <c r="D2667" s="1"/>
      <c r="E2667" s="1"/>
      <c r="F2667" s="1"/>
      <c r="G2667" s="1"/>
      <c r="H2667" s="1"/>
    </row>
    <row r="2668" spans="1:8" ht="12.5">
      <c r="A2668" s="1"/>
      <c r="B2668" s="1"/>
      <c r="C2668" s="1"/>
      <c r="D2668" s="1"/>
      <c r="E2668" s="1"/>
      <c r="F2668" s="1"/>
      <c r="G2668" s="1"/>
      <c r="H2668" s="1"/>
    </row>
    <row r="2669" spans="1:8" ht="12.5">
      <c r="A2669" s="1"/>
      <c r="B2669" s="1"/>
      <c r="C2669" s="1"/>
      <c r="D2669" s="1"/>
      <c r="E2669" s="1"/>
      <c r="F2669" s="1"/>
      <c r="G2669" s="1"/>
      <c r="H2669" s="1"/>
    </row>
    <row r="2670" spans="1:8" ht="12.5">
      <c r="A2670" s="1"/>
      <c r="B2670" s="1"/>
      <c r="C2670" s="1"/>
      <c r="D2670" s="1"/>
      <c r="E2670" s="1"/>
      <c r="F2670" s="1"/>
      <c r="G2670" s="1"/>
      <c r="H2670" s="1"/>
    </row>
    <row r="2671" spans="1:8" ht="12.5">
      <c r="A2671" s="1"/>
      <c r="B2671" s="1"/>
      <c r="C2671" s="1"/>
      <c r="D2671" s="1"/>
      <c r="E2671" s="1"/>
      <c r="F2671" s="1"/>
      <c r="G2671" s="1"/>
      <c r="H2671" s="1"/>
    </row>
    <row r="2672" spans="1:8" ht="12.5">
      <c r="A2672" s="1"/>
      <c r="B2672" s="1"/>
      <c r="C2672" s="1"/>
      <c r="D2672" s="1"/>
      <c r="E2672" s="1"/>
      <c r="F2672" s="1"/>
      <c r="G2672" s="1"/>
      <c r="H2672" s="1"/>
    </row>
    <row r="2673" spans="1:8" ht="12.5">
      <c r="A2673" s="1"/>
      <c r="B2673" s="1"/>
      <c r="C2673" s="1"/>
      <c r="D2673" s="1"/>
      <c r="E2673" s="1"/>
      <c r="F2673" s="1"/>
      <c r="G2673" s="1"/>
      <c r="H2673" s="1"/>
    </row>
    <row r="2674" spans="1:8" ht="12.5">
      <c r="A2674" s="1"/>
      <c r="B2674" s="1"/>
      <c r="C2674" s="1"/>
      <c r="D2674" s="1"/>
      <c r="E2674" s="1"/>
      <c r="F2674" s="1"/>
      <c r="G2674" s="1"/>
      <c r="H2674" s="1"/>
    </row>
    <row r="2675" spans="1:8" ht="12.5">
      <c r="A2675" s="1"/>
      <c r="B2675" s="1"/>
      <c r="C2675" s="1"/>
      <c r="D2675" s="1"/>
      <c r="E2675" s="1"/>
      <c r="F2675" s="1"/>
      <c r="G2675" s="1"/>
      <c r="H2675" s="1"/>
    </row>
    <row r="2676" spans="1:8" ht="12.5">
      <c r="A2676" s="1"/>
      <c r="B2676" s="1"/>
      <c r="C2676" s="1"/>
      <c r="D2676" s="1"/>
      <c r="E2676" s="1"/>
      <c r="F2676" s="1"/>
      <c r="G2676" s="1"/>
      <c r="H2676" s="1"/>
    </row>
    <row r="2677" spans="1:8" ht="12.5">
      <c r="A2677" s="1"/>
      <c r="B2677" s="1"/>
      <c r="C2677" s="1"/>
      <c r="D2677" s="1"/>
      <c r="E2677" s="1"/>
      <c r="F2677" s="1"/>
      <c r="G2677" s="1"/>
      <c r="H2677" s="1"/>
    </row>
    <row r="2678" spans="1:8" ht="12.5">
      <c r="A2678" s="1"/>
      <c r="B2678" s="1"/>
      <c r="C2678" s="1"/>
      <c r="D2678" s="1"/>
      <c r="E2678" s="1"/>
      <c r="F2678" s="1"/>
      <c r="G2678" s="1"/>
      <c r="H2678" s="1"/>
    </row>
    <row r="2679" spans="1:8" ht="12.5">
      <c r="A2679" s="1"/>
      <c r="B2679" s="1"/>
      <c r="C2679" s="1"/>
      <c r="D2679" s="1"/>
      <c r="E2679" s="1"/>
      <c r="F2679" s="1"/>
      <c r="G2679" s="1"/>
      <c r="H2679" s="1"/>
    </row>
    <row r="2680" spans="1:8" ht="12.5">
      <c r="A2680" s="1"/>
      <c r="B2680" s="1"/>
      <c r="C2680" s="1"/>
      <c r="D2680" s="1"/>
      <c r="E2680" s="1"/>
      <c r="F2680" s="1"/>
      <c r="G2680" s="1"/>
      <c r="H2680" s="1"/>
    </row>
    <row r="2681" spans="1:8" ht="12.5">
      <c r="A2681" s="1"/>
      <c r="B2681" s="1"/>
      <c r="C2681" s="1"/>
      <c r="D2681" s="1"/>
      <c r="E2681" s="1"/>
      <c r="F2681" s="1"/>
      <c r="G2681" s="1"/>
      <c r="H2681" s="1"/>
    </row>
    <row r="2682" spans="1:8" ht="12.5">
      <c r="A2682" s="1"/>
      <c r="B2682" s="1"/>
      <c r="C2682" s="1"/>
      <c r="D2682" s="1"/>
      <c r="E2682" s="1"/>
      <c r="F2682" s="1"/>
      <c r="G2682" s="1"/>
      <c r="H2682" s="1"/>
    </row>
    <row r="2683" spans="1:8" ht="12.5">
      <c r="A2683" s="1"/>
      <c r="B2683" s="1"/>
      <c r="C2683" s="1"/>
      <c r="D2683" s="1"/>
      <c r="E2683" s="1"/>
      <c r="F2683" s="1"/>
      <c r="G2683" s="1"/>
      <c r="H2683" s="1"/>
    </row>
    <row r="2684" spans="1:8" ht="12.5">
      <c r="A2684" s="1"/>
      <c r="B2684" s="1"/>
      <c r="C2684" s="1"/>
      <c r="D2684" s="1"/>
      <c r="E2684" s="1"/>
      <c r="F2684" s="1"/>
      <c r="G2684" s="1"/>
      <c r="H2684" s="1"/>
    </row>
    <row r="2685" spans="1:8" ht="12.5">
      <c r="A2685" s="1"/>
      <c r="B2685" s="1"/>
      <c r="C2685" s="1"/>
      <c r="D2685" s="1"/>
      <c r="E2685" s="1"/>
      <c r="F2685" s="1"/>
      <c r="G2685" s="1"/>
      <c r="H2685" s="1"/>
    </row>
    <row r="2686" spans="1:8" ht="12.5">
      <c r="A2686" s="1"/>
      <c r="B2686" s="1"/>
      <c r="C2686" s="1"/>
      <c r="D2686" s="1"/>
      <c r="E2686" s="1"/>
      <c r="F2686" s="1"/>
      <c r="G2686" s="1"/>
      <c r="H2686" s="1"/>
    </row>
    <row r="2687" spans="1:8" ht="12.5">
      <c r="A2687" s="1"/>
      <c r="B2687" s="1"/>
      <c r="C2687" s="1"/>
      <c r="D2687" s="1"/>
      <c r="E2687" s="1"/>
      <c r="F2687" s="1"/>
      <c r="G2687" s="1"/>
      <c r="H2687" s="1"/>
    </row>
    <row r="2688" spans="1:8" ht="12.5">
      <c r="A2688" s="1"/>
      <c r="B2688" s="1"/>
      <c r="C2688" s="1"/>
      <c r="D2688" s="1"/>
      <c r="E2688" s="1"/>
      <c r="F2688" s="1"/>
      <c r="G2688" s="1"/>
      <c r="H2688" s="1"/>
    </row>
    <row r="2689" spans="1:8" ht="12.5">
      <c r="A2689" s="1"/>
      <c r="B2689" s="1"/>
      <c r="C2689" s="1"/>
      <c r="D2689" s="1"/>
      <c r="E2689" s="1"/>
      <c r="F2689" s="1"/>
      <c r="G2689" s="1"/>
      <c r="H2689" s="1"/>
    </row>
    <row r="2690" spans="1:8" ht="12.5">
      <c r="A2690" s="1"/>
      <c r="B2690" s="1"/>
      <c r="C2690" s="1"/>
      <c r="D2690" s="1"/>
      <c r="E2690" s="1"/>
      <c r="F2690" s="1"/>
      <c r="G2690" s="1"/>
      <c r="H2690" s="1"/>
    </row>
    <row r="2691" spans="1:8" ht="12.5">
      <c r="A2691" s="1"/>
      <c r="B2691" s="1"/>
      <c r="C2691" s="1"/>
      <c r="D2691" s="1"/>
      <c r="E2691" s="1"/>
      <c r="F2691" s="1"/>
      <c r="G2691" s="1"/>
      <c r="H2691" s="1"/>
    </row>
    <row r="2692" spans="1:8" ht="12.5">
      <c r="A2692" s="1"/>
      <c r="B2692" s="1"/>
      <c r="C2692" s="1"/>
      <c r="D2692" s="1"/>
      <c r="E2692" s="1"/>
      <c r="F2692" s="1"/>
      <c r="G2692" s="1"/>
      <c r="H2692" s="1"/>
    </row>
    <row r="2693" spans="1:8" ht="12.5">
      <c r="A2693" s="1"/>
      <c r="B2693" s="1"/>
      <c r="C2693" s="1"/>
      <c r="D2693" s="1"/>
      <c r="E2693" s="1"/>
      <c r="F2693" s="1"/>
      <c r="G2693" s="1"/>
      <c r="H2693" s="1"/>
    </row>
    <row r="2694" spans="1:8" ht="12.5">
      <c r="A2694" s="1"/>
      <c r="B2694" s="1"/>
      <c r="C2694" s="1"/>
      <c r="D2694" s="1"/>
      <c r="E2694" s="1"/>
      <c r="F2694" s="1"/>
      <c r="G2694" s="1"/>
      <c r="H2694" s="1"/>
    </row>
    <row r="2695" spans="1:8" ht="12.5">
      <c r="A2695" s="1"/>
      <c r="B2695" s="1"/>
      <c r="C2695" s="1"/>
      <c r="D2695" s="1"/>
      <c r="E2695" s="1"/>
      <c r="F2695" s="1"/>
      <c r="G2695" s="1"/>
      <c r="H2695" s="1"/>
    </row>
    <row r="2696" spans="1:8" ht="12.5">
      <c r="A2696" s="1"/>
      <c r="B2696" s="1"/>
      <c r="C2696" s="1"/>
      <c r="D2696" s="1"/>
      <c r="E2696" s="1"/>
      <c r="F2696" s="1"/>
      <c r="G2696" s="1"/>
      <c r="H2696" s="1"/>
    </row>
    <row r="2697" spans="1:8" ht="12.5">
      <c r="A2697" s="1"/>
      <c r="B2697" s="1"/>
      <c r="C2697" s="1"/>
      <c r="D2697" s="1"/>
      <c r="E2697" s="1"/>
      <c r="F2697" s="1"/>
      <c r="G2697" s="1"/>
      <c r="H2697" s="1"/>
    </row>
    <row r="2698" spans="1:8" ht="12.5">
      <c r="A2698" s="1"/>
      <c r="B2698" s="1"/>
      <c r="C2698" s="1"/>
      <c r="D2698" s="1"/>
      <c r="E2698" s="1"/>
      <c r="F2698" s="1"/>
      <c r="G2698" s="1"/>
      <c r="H2698" s="1"/>
    </row>
    <row r="2699" spans="1:8" ht="12.5">
      <c r="A2699" s="1"/>
      <c r="B2699" s="1"/>
      <c r="C2699" s="1"/>
      <c r="D2699" s="1"/>
      <c r="E2699" s="1"/>
      <c r="F2699" s="1"/>
      <c r="G2699" s="1"/>
      <c r="H2699" s="1"/>
    </row>
    <row r="2700" spans="1:8" ht="12.5">
      <c r="A2700" s="1"/>
      <c r="B2700" s="1"/>
      <c r="C2700" s="1"/>
      <c r="D2700" s="1"/>
      <c r="E2700" s="1"/>
      <c r="F2700" s="1"/>
      <c r="G2700" s="1"/>
      <c r="H2700" s="1"/>
    </row>
    <row r="2701" spans="1:8" ht="12.5">
      <c r="A2701" s="1"/>
      <c r="B2701" s="1"/>
      <c r="C2701" s="1"/>
      <c r="D2701" s="1"/>
      <c r="E2701" s="1"/>
      <c r="F2701" s="1"/>
      <c r="G2701" s="1"/>
      <c r="H2701" s="1"/>
    </row>
    <row r="2702" spans="1:8" ht="12.5">
      <c r="A2702" s="1"/>
      <c r="B2702" s="1"/>
      <c r="C2702" s="1"/>
      <c r="D2702" s="1"/>
      <c r="E2702" s="1"/>
      <c r="F2702" s="1"/>
      <c r="G2702" s="1"/>
      <c r="H2702" s="1"/>
    </row>
    <row r="2703" spans="1:8" ht="12.5">
      <c r="A2703" s="1"/>
      <c r="B2703" s="1"/>
      <c r="C2703" s="1"/>
      <c r="D2703" s="1"/>
      <c r="E2703" s="1"/>
      <c r="F2703" s="1"/>
      <c r="G2703" s="1"/>
      <c r="H2703" s="1"/>
    </row>
    <row r="2704" spans="1:8" ht="12.5">
      <c r="A2704" s="1"/>
      <c r="B2704" s="1"/>
      <c r="C2704" s="1"/>
      <c r="D2704" s="1"/>
      <c r="E2704" s="1"/>
      <c r="F2704" s="1"/>
      <c r="G2704" s="1"/>
      <c r="H2704" s="1"/>
    </row>
    <row r="2705" spans="1:8" ht="12.5">
      <c r="A2705" s="1"/>
      <c r="B2705" s="1"/>
      <c r="C2705" s="1"/>
      <c r="D2705" s="1"/>
      <c r="E2705" s="1"/>
      <c r="F2705" s="1"/>
      <c r="G2705" s="1"/>
      <c r="H2705" s="1"/>
    </row>
    <row r="2706" spans="1:8" ht="12.5">
      <c r="A2706" s="1"/>
      <c r="B2706" s="1"/>
      <c r="C2706" s="1"/>
      <c r="D2706" s="1"/>
      <c r="E2706" s="1"/>
      <c r="F2706" s="1"/>
      <c r="G2706" s="1"/>
      <c r="H2706" s="1"/>
    </row>
    <row r="2707" spans="1:8" ht="12.5">
      <c r="A2707" s="1"/>
      <c r="B2707" s="1"/>
      <c r="C2707" s="1"/>
      <c r="D2707" s="1"/>
      <c r="E2707" s="1"/>
      <c r="F2707" s="1"/>
      <c r="G2707" s="1"/>
      <c r="H2707" s="1"/>
    </row>
    <row r="2708" spans="1:8" ht="12.5">
      <c r="A2708" s="1"/>
      <c r="B2708" s="1"/>
      <c r="C2708" s="1"/>
      <c r="D2708" s="1"/>
      <c r="E2708" s="1"/>
      <c r="F2708" s="1"/>
      <c r="G2708" s="1"/>
      <c r="H2708" s="1"/>
    </row>
    <row r="2709" spans="1:8" ht="12.5">
      <c r="A2709" s="1"/>
      <c r="B2709" s="1"/>
      <c r="C2709" s="1"/>
      <c r="D2709" s="1"/>
      <c r="E2709" s="1"/>
      <c r="F2709" s="1"/>
      <c r="G2709" s="1"/>
      <c r="H2709" s="1"/>
    </row>
    <row r="2710" spans="1:8" ht="12.5">
      <c r="A2710" s="1"/>
      <c r="B2710" s="1"/>
      <c r="C2710" s="1"/>
      <c r="D2710" s="1"/>
      <c r="E2710" s="1"/>
      <c r="F2710" s="1"/>
      <c r="G2710" s="1"/>
      <c r="H2710" s="1"/>
    </row>
    <row r="2711" spans="1:8" ht="12.5">
      <c r="A2711" s="1"/>
      <c r="B2711" s="1"/>
      <c r="C2711" s="1"/>
      <c r="D2711" s="1"/>
      <c r="E2711" s="1"/>
      <c r="F2711" s="1"/>
      <c r="G2711" s="1"/>
      <c r="H2711" s="1"/>
    </row>
    <row r="2712" spans="1:8" ht="12.5">
      <c r="A2712" s="1"/>
      <c r="B2712" s="1"/>
      <c r="C2712" s="1"/>
      <c r="D2712" s="1"/>
      <c r="E2712" s="1"/>
      <c r="F2712" s="1"/>
      <c r="G2712" s="1"/>
      <c r="H2712" s="1"/>
    </row>
    <row r="2713" spans="1:8" ht="12.5">
      <c r="A2713" s="1"/>
      <c r="B2713" s="1"/>
      <c r="C2713" s="1"/>
      <c r="D2713" s="1"/>
      <c r="E2713" s="1"/>
      <c r="F2713" s="1"/>
      <c r="G2713" s="1"/>
      <c r="H2713" s="1"/>
    </row>
    <row r="2714" spans="1:8" ht="12.5">
      <c r="A2714" s="1"/>
      <c r="B2714" s="1"/>
      <c r="C2714" s="1"/>
      <c r="D2714" s="1"/>
      <c r="E2714" s="1"/>
      <c r="F2714" s="1"/>
      <c r="G2714" s="1"/>
      <c r="H2714" s="1"/>
    </row>
    <row r="2715" spans="1:8" ht="12.5">
      <c r="A2715" s="1"/>
      <c r="B2715" s="1"/>
      <c r="C2715" s="1"/>
      <c r="D2715" s="1"/>
      <c r="E2715" s="1"/>
      <c r="F2715" s="1"/>
      <c r="G2715" s="1"/>
      <c r="H2715" s="1"/>
    </row>
    <row r="2716" spans="1:8" ht="12.5">
      <c r="A2716" s="1"/>
      <c r="B2716" s="1"/>
      <c r="C2716" s="1"/>
      <c r="D2716" s="1"/>
      <c r="E2716" s="1"/>
      <c r="F2716" s="1"/>
      <c r="G2716" s="1"/>
      <c r="H2716" s="1"/>
    </row>
    <row r="2717" spans="1:8" ht="12.5">
      <c r="A2717" s="1"/>
      <c r="B2717" s="1"/>
      <c r="C2717" s="1"/>
      <c r="D2717" s="1"/>
      <c r="E2717" s="1"/>
      <c r="F2717" s="1"/>
      <c r="G2717" s="1"/>
      <c r="H2717" s="1"/>
    </row>
    <row r="2718" spans="1:8" ht="12.5">
      <c r="A2718" s="1"/>
      <c r="B2718" s="1"/>
      <c r="C2718" s="1"/>
      <c r="D2718" s="1"/>
      <c r="E2718" s="1"/>
      <c r="F2718" s="1"/>
      <c r="G2718" s="1"/>
      <c r="H2718" s="1"/>
    </row>
    <row r="2719" spans="1:8" ht="12.5">
      <c r="A2719" s="1"/>
      <c r="B2719" s="1"/>
      <c r="C2719" s="1"/>
      <c r="D2719" s="1"/>
      <c r="E2719" s="1"/>
      <c r="F2719" s="1"/>
      <c r="G2719" s="1"/>
      <c r="H2719" s="1"/>
    </row>
    <row r="2720" spans="1:8" ht="12.5">
      <c r="A2720" s="1"/>
      <c r="B2720" s="1"/>
      <c r="C2720" s="1"/>
      <c r="D2720" s="1"/>
      <c r="E2720" s="1"/>
      <c r="F2720" s="1"/>
      <c r="G2720" s="1"/>
      <c r="H2720" s="1"/>
    </row>
    <row r="2721" spans="1:8" ht="12.5">
      <c r="A2721" s="1"/>
      <c r="B2721" s="1"/>
      <c r="C2721" s="1"/>
      <c r="D2721" s="1"/>
      <c r="E2721" s="1"/>
      <c r="F2721" s="1"/>
      <c r="G2721" s="1"/>
      <c r="H2721" s="1"/>
    </row>
    <row r="2722" spans="1:8" ht="12.5">
      <c r="A2722" s="1"/>
      <c r="B2722" s="1"/>
      <c r="C2722" s="1"/>
      <c r="D2722" s="1"/>
      <c r="E2722" s="1"/>
      <c r="F2722" s="1"/>
      <c r="G2722" s="1"/>
      <c r="H2722" s="1"/>
    </row>
    <row r="2723" spans="1:8" ht="12.5">
      <c r="A2723" s="1"/>
      <c r="B2723" s="1"/>
      <c r="C2723" s="1"/>
      <c r="D2723" s="1"/>
      <c r="E2723" s="1"/>
      <c r="F2723" s="1"/>
      <c r="G2723" s="1"/>
      <c r="H2723" s="1"/>
    </row>
    <row r="2724" spans="1:8" ht="12.5">
      <c r="A2724" s="1"/>
      <c r="B2724" s="1"/>
      <c r="C2724" s="1"/>
      <c r="D2724" s="1"/>
      <c r="E2724" s="1"/>
      <c r="F2724" s="1"/>
      <c r="G2724" s="1"/>
      <c r="H2724" s="1"/>
    </row>
    <row r="2725" spans="1:8" ht="12.5">
      <c r="A2725" s="1"/>
      <c r="B2725" s="1"/>
      <c r="C2725" s="1"/>
      <c r="D2725" s="1"/>
      <c r="E2725" s="1"/>
      <c r="F2725" s="1"/>
      <c r="G2725" s="1"/>
      <c r="H2725" s="1"/>
    </row>
    <row r="2726" spans="1:8" ht="12.5">
      <c r="A2726" s="1"/>
      <c r="B2726" s="1"/>
      <c r="C2726" s="1"/>
      <c r="D2726" s="1"/>
      <c r="E2726" s="1"/>
      <c r="F2726" s="1"/>
      <c r="G2726" s="1"/>
      <c r="H2726" s="1"/>
    </row>
    <row r="2727" spans="1:8" ht="12.5">
      <c r="A2727" s="1"/>
      <c r="B2727" s="1"/>
      <c r="C2727" s="1"/>
      <c r="D2727" s="1"/>
      <c r="E2727" s="1"/>
      <c r="F2727" s="1"/>
      <c r="G2727" s="1"/>
      <c r="H2727" s="1"/>
    </row>
    <row r="2728" spans="1:8" ht="12.5">
      <c r="A2728" s="1"/>
      <c r="B2728" s="1"/>
      <c r="C2728" s="1"/>
      <c r="D2728" s="1"/>
      <c r="E2728" s="1"/>
      <c r="F2728" s="1"/>
      <c r="G2728" s="1"/>
      <c r="H2728" s="1"/>
    </row>
    <row r="2729" spans="1:8" ht="12.5">
      <c r="A2729" s="1"/>
      <c r="B2729" s="1"/>
      <c r="C2729" s="1"/>
      <c r="D2729" s="1"/>
      <c r="E2729" s="1"/>
      <c r="F2729" s="1"/>
      <c r="G2729" s="1"/>
      <c r="H2729" s="1"/>
    </row>
    <row r="2730" spans="1:8" ht="12.5">
      <c r="A2730" s="1"/>
      <c r="B2730" s="1"/>
      <c r="C2730" s="1"/>
      <c r="D2730" s="1"/>
      <c r="E2730" s="1"/>
      <c r="F2730" s="1"/>
      <c r="G2730" s="1"/>
      <c r="H2730" s="1"/>
    </row>
    <row r="2731" spans="1:8" ht="12.5">
      <c r="A2731" s="1"/>
      <c r="B2731" s="1"/>
      <c r="C2731" s="1"/>
      <c r="D2731" s="1"/>
      <c r="E2731" s="1"/>
      <c r="F2731" s="1"/>
      <c r="G2731" s="1"/>
      <c r="H2731" s="1"/>
    </row>
    <row r="2732" spans="1:8" ht="12.5">
      <c r="A2732" s="1"/>
      <c r="B2732" s="1"/>
      <c r="C2732" s="1"/>
      <c r="D2732" s="1"/>
      <c r="E2732" s="1"/>
      <c r="F2732" s="1"/>
      <c r="G2732" s="1"/>
      <c r="H2732" s="1"/>
    </row>
    <row r="2733" spans="1:8" ht="12.5">
      <c r="A2733" s="1"/>
      <c r="B2733" s="1"/>
      <c r="C2733" s="1"/>
      <c r="D2733" s="1"/>
      <c r="E2733" s="1"/>
      <c r="F2733" s="1"/>
      <c r="G2733" s="1"/>
      <c r="H2733" s="1"/>
    </row>
    <row r="2734" spans="1:8" ht="12.5">
      <c r="A2734" s="1"/>
      <c r="B2734" s="1"/>
      <c r="C2734" s="1"/>
      <c r="D2734" s="1"/>
      <c r="E2734" s="1"/>
      <c r="F2734" s="1"/>
      <c r="G2734" s="1"/>
      <c r="H2734" s="1"/>
    </row>
    <row r="2735" spans="1:8" ht="12.5">
      <c r="A2735" s="1"/>
      <c r="B2735" s="1"/>
      <c r="C2735" s="1"/>
      <c r="D2735" s="1"/>
      <c r="E2735" s="1"/>
      <c r="F2735" s="1"/>
      <c r="G2735" s="1"/>
      <c r="H2735" s="1"/>
    </row>
    <row r="2736" spans="1:8" ht="12.5">
      <c r="A2736" s="1"/>
      <c r="B2736" s="1"/>
      <c r="C2736" s="1"/>
      <c r="D2736" s="1"/>
      <c r="E2736" s="1"/>
      <c r="F2736" s="1"/>
      <c r="G2736" s="1"/>
      <c r="H2736" s="1"/>
    </row>
    <row r="2737" spans="1:8" ht="12.5">
      <c r="A2737" s="1"/>
      <c r="B2737" s="1"/>
      <c r="C2737" s="1"/>
      <c r="D2737" s="1"/>
      <c r="E2737" s="1"/>
      <c r="F2737" s="1"/>
      <c r="G2737" s="1"/>
      <c r="H2737" s="1"/>
    </row>
    <row r="2738" spans="1:8" ht="12.5">
      <c r="A2738" s="1"/>
      <c r="B2738" s="1"/>
      <c r="C2738" s="1"/>
      <c r="D2738" s="1"/>
      <c r="E2738" s="1"/>
      <c r="F2738" s="1"/>
      <c r="G2738" s="1"/>
      <c r="H2738" s="1"/>
    </row>
    <row r="2739" spans="1:8" ht="12.5">
      <c r="A2739" s="1"/>
      <c r="B2739" s="1"/>
      <c r="C2739" s="1"/>
      <c r="D2739" s="1"/>
      <c r="E2739" s="1"/>
      <c r="F2739" s="1"/>
      <c r="G2739" s="1"/>
      <c r="H2739" s="1"/>
    </row>
    <row r="2740" spans="1:8" ht="12.5">
      <c r="A2740" s="1"/>
      <c r="B2740" s="1"/>
      <c r="C2740" s="1"/>
      <c r="D2740" s="1"/>
      <c r="E2740" s="1"/>
      <c r="F2740" s="1"/>
      <c r="G2740" s="1"/>
      <c r="H2740" s="1"/>
    </row>
    <row r="2741" spans="1:8" ht="12.5">
      <c r="A2741" s="1"/>
      <c r="B2741" s="1"/>
      <c r="C2741" s="1"/>
      <c r="D2741" s="1"/>
      <c r="E2741" s="1"/>
      <c r="F2741" s="1"/>
      <c r="G2741" s="1"/>
      <c r="H2741" s="1"/>
    </row>
    <row r="2742" spans="1:8" ht="12.5">
      <c r="A2742" s="1"/>
      <c r="B2742" s="1"/>
      <c r="C2742" s="1"/>
      <c r="D2742" s="1"/>
      <c r="E2742" s="1"/>
      <c r="F2742" s="1"/>
      <c r="G2742" s="1"/>
      <c r="H2742" s="1"/>
    </row>
    <row r="2743" spans="1:8" ht="12.5">
      <c r="A2743" s="1"/>
      <c r="B2743" s="1"/>
      <c r="C2743" s="1"/>
      <c r="D2743" s="1"/>
      <c r="E2743" s="1"/>
      <c r="F2743" s="1"/>
      <c r="G2743" s="1"/>
      <c r="H2743" s="1"/>
    </row>
    <row r="2744" spans="1:8" ht="12.5">
      <c r="A2744" s="1"/>
      <c r="B2744" s="1"/>
      <c r="C2744" s="1"/>
      <c r="D2744" s="1"/>
      <c r="E2744" s="1"/>
      <c r="F2744" s="1"/>
      <c r="G2744" s="1"/>
      <c r="H2744" s="1"/>
    </row>
    <row r="2745" spans="1:8" ht="12.5">
      <c r="A2745" s="1"/>
      <c r="B2745" s="1"/>
      <c r="C2745" s="1"/>
      <c r="D2745" s="1"/>
      <c r="E2745" s="1"/>
      <c r="F2745" s="1"/>
      <c r="G2745" s="1"/>
      <c r="H2745" s="1"/>
    </row>
    <row r="2746" spans="1:8" ht="12.5">
      <c r="A2746" s="1"/>
      <c r="B2746" s="1"/>
      <c r="C2746" s="1"/>
      <c r="D2746" s="1"/>
      <c r="E2746" s="1"/>
      <c r="F2746" s="1"/>
      <c r="G2746" s="1"/>
      <c r="H2746" s="1"/>
    </row>
    <row r="2747" spans="1:8" ht="12.5">
      <c r="A2747" s="1"/>
      <c r="B2747" s="1"/>
      <c r="C2747" s="1"/>
      <c r="D2747" s="1"/>
      <c r="E2747" s="1"/>
      <c r="F2747" s="1"/>
      <c r="G2747" s="1"/>
      <c r="H2747" s="1"/>
    </row>
    <row r="2748" spans="1:8" ht="12.5">
      <c r="A2748" s="1"/>
      <c r="B2748" s="1"/>
      <c r="C2748" s="1"/>
      <c r="D2748" s="1"/>
      <c r="E2748" s="1"/>
      <c r="F2748" s="1"/>
      <c r="G2748" s="1"/>
      <c r="H2748" s="1"/>
    </row>
    <row r="2749" spans="1:8" ht="12.5">
      <c r="A2749" s="1"/>
      <c r="B2749" s="1"/>
      <c r="C2749" s="1"/>
      <c r="D2749" s="1"/>
      <c r="E2749" s="1"/>
      <c r="F2749" s="1"/>
      <c r="G2749" s="1"/>
      <c r="H2749" s="1"/>
    </row>
    <row r="2750" spans="1:8" ht="12.5">
      <c r="A2750" s="1"/>
      <c r="B2750" s="1"/>
      <c r="C2750" s="1"/>
      <c r="D2750" s="1"/>
      <c r="E2750" s="1"/>
      <c r="F2750" s="1"/>
      <c r="G2750" s="1"/>
      <c r="H2750" s="1"/>
    </row>
    <row r="2751" spans="1:8" ht="12.5">
      <c r="A2751" s="1"/>
      <c r="B2751" s="1"/>
      <c r="C2751" s="1"/>
      <c r="D2751" s="1"/>
      <c r="E2751" s="1"/>
      <c r="F2751" s="1"/>
      <c r="G2751" s="1"/>
      <c r="H2751" s="1"/>
    </row>
    <row r="2752" spans="1:8" ht="12.5">
      <c r="A2752" s="1"/>
      <c r="B2752" s="1"/>
      <c r="C2752" s="1"/>
      <c r="D2752" s="1"/>
      <c r="E2752" s="1"/>
      <c r="F2752" s="1"/>
      <c r="G2752" s="1"/>
      <c r="H2752" s="1"/>
    </row>
    <row r="2753" spans="1:8" ht="12.5">
      <c r="A2753" s="1"/>
      <c r="B2753" s="1"/>
      <c r="C2753" s="1"/>
      <c r="D2753" s="1"/>
      <c r="E2753" s="1"/>
      <c r="F2753" s="1"/>
      <c r="G2753" s="1"/>
      <c r="H2753" s="1"/>
    </row>
    <row r="2754" spans="1:8" ht="12.5">
      <c r="A2754" s="1"/>
      <c r="B2754" s="1"/>
      <c r="C2754" s="1"/>
      <c r="D2754" s="1"/>
      <c r="E2754" s="1"/>
      <c r="F2754" s="1"/>
      <c r="G2754" s="1"/>
      <c r="H2754" s="1"/>
    </row>
    <row r="2755" spans="1:8" ht="12.5">
      <c r="A2755" s="1"/>
      <c r="B2755" s="1"/>
      <c r="C2755" s="1"/>
      <c r="D2755" s="1"/>
      <c r="E2755" s="1"/>
      <c r="F2755" s="1"/>
      <c r="G2755" s="1"/>
      <c r="H2755" s="1"/>
    </row>
    <row r="2756" spans="1:8" ht="12.5">
      <c r="A2756" s="1"/>
      <c r="B2756" s="1"/>
      <c r="C2756" s="1"/>
      <c r="D2756" s="1"/>
      <c r="E2756" s="1"/>
      <c r="F2756" s="1"/>
      <c r="G2756" s="1"/>
      <c r="H2756" s="1"/>
    </row>
    <row r="2757" spans="1:8" ht="12.5">
      <c r="A2757" s="1"/>
      <c r="B2757" s="1"/>
      <c r="C2757" s="1"/>
      <c r="D2757" s="1"/>
      <c r="E2757" s="1"/>
      <c r="F2757" s="1"/>
      <c r="G2757" s="1"/>
      <c r="H2757" s="1"/>
    </row>
    <row r="2758" spans="1:8" ht="12.5">
      <c r="A2758" s="1"/>
      <c r="B2758" s="1"/>
      <c r="C2758" s="1"/>
      <c r="D2758" s="1"/>
      <c r="E2758" s="1"/>
      <c r="F2758" s="1"/>
      <c r="G2758" s="1"/>
      <c r="H2758" s="1"/>
    </row>
    <row r="2759" spans="1:8" ht="12.5">
      <c r="A2759" s="1"/>
      <c r="B2759" s="1"/>
      <c r="C2759" s="1"/>
      <c r="D2759" s="1"/>
      <c r="E2759" s="1"/>
      <c r="F2759" s="1"/>
      <c r="G2759" s="1"/>
      <c r="H2759" s="1"/>
    </row>
    <row r="2760" spans="1:8" ht="12.5">
      <c r="A2760" s="1"/>
      <c r="B2760" s="1"/>
      <c r="C2760" s="1"/>
      <c r="D2760" s="1"/>
      <c r="E2760" s="1"/>
      <c r="F2760" s="1"/>
      <c r="G2760" s="1"/>
      <c r="H2760" s="1"/>
    </row>
    <row r="2761" spans="1:8" ht="12.5">
      <c r="A2761" s="1"/>
      <c r="B2761" s="1"/>
      <c r="C2761" s="1"/>
      <c r="D2761" s="1"/>
      <c r="E2761" s="1"/>
      <c r="F2761" s="1"/>
      <c r="G2761" s="1"/>
      <c r="H2761" s="1"/>
    </row>
    <row r="2762" spans="1:8" ht="12.5">
      <c r="A2762" s="1"/>
      <c r="B2762" s="1"/>
      <c r="C2762" s="1"/>
      <c r="D2762" s="1"/>
      <c r="E2762" s="1"/>
      <c r="F2762" s="1"/>
      <c r="G2762" s="1"/>
      <c r="H2762" s="1"/>
    </row>
    <row r="2763" spans="1:8" ht="12.5">
      <c r="A2763" s="1"/>
      <c r="B2763" s="1"/>
      <c r="C2763" s="1"/>
      <c r="D2763" s="1"/>
      <c r="E2763" s="1"/>
      <c r="F2763" s="1"/>
      <c r="G2763" s="1"/>
      <c r="H2763" s="1"/>
    </row>
    <row r="2764" spans="1:8" ht="12.5">
      <c r="A2764" s="1"/>
      <c r="B2764" s="1"/>
      <c r="C2764" s="1"/>
      <c r="D2764" s="1"/>
      <c r="E2764" s="1"/>
      <c r="F2764" s="1"/>
      <c r="G2764" s="1"/>
      <c r="H2764" s="1"/>
    </row>
    <row r="2765" spans="1:8" ht="12.5">
      <c r="A2765" s="1"/>
      <c r="B2765" s="1"/>
      <c r="C2765" s="1"/>
      <c r="D2765" s="1"/>
      <c r="E2765" s="1"/>
      <c r="F2765" s="1"/>
      <c r="G2765" s="1"/>
      <c r="H2765" s="1"/>
    </row>
    <row r="2766" spans="1:8" ht="12.5">
      <c r="A2766" s="1"/>
      <c r="B2766" s="1"/>
      <c r="C2766" s="1"/>
      <c r="D2766" s="1"/>
      <c r="E2766" s="1"/>
      <c r="F2766" s="1"/>
      <c r="G2766" s="1"/>
      <c r="H2766" s="1"/>
    </row>
    <row r="2767" spans="1:8" ht="12.5">
      <c r="A2767" s="1"/>
      <c r="B2767" s="1"/>
      <c r="C2767" s="1"/>
      <c r="D2767" s="1"/>
      <c r="E2767" s="1"/>
      <c r="F2767" s="1"/>
      <c r="G2767" s="1"/>
      <c r="H2767" s="1"/>
    </row>
    <row r="2768" spans="1:8" ht="12.5">
      <c r="A2768" s="1"/>
      <c r="B2768" s="1"/>
      <c r="C2768" s="1"/>
      <c r="D2768" s="1"/>
      <c r="E2768" s="1"/>
      <c r="F2768" s="1"/>
      <c r="G2768" s="1"/>
      <c r="H2768" s="1"/>
    </row>
    <row r="2769" spans="1:8" ht="12.5">
      <c r="A2769" s="1"/>
      <c r="B2769" s="1"/>
      <c r="C2769" s="1"/>
      <c r="D2769" s="1"/>
      <c r="E2769" s="1"/>
      <c r="F2769" s="1"/>
      <c r="G2769" s="1"/>
      <c r="H2769" s="1"/>
    </row>
    <row r="2770" spans="1:8" ht="12.5">
      <c r="A2770" s="1"/>
      <c r="B2770" s="1"/>
      <c r="C2770" s="1"/>
      <c r="D2770" s="1"/>
      <c r="E2770" s="1"/>
      <c r="F2770" s="1"/>
      <c r="G2770" s="1"/>
      <c r="H2770" s="1"/>
    </row>
    <row r="2771" spans="1:8" ht="12.5">
      <c r="A2771" s="1"/>
      <c r="B2771" s="1"/>
      <c r="C2771" s="1"/>
      <c r="D2771" s="1"/>
      <c r="E2771" s="1"/>
      <c r="F2771" s="1"/>
      <c r="G2771" s="1"/>
      <c r="H2771" s="1"/>
    </row>
    <row r="2772" spans="1:8" ht="12.5">
      <c r="A2772" s="1"/>
      <c r="B2772" s="1"/>
      <c r="C2772" s="1"/>
      <c r="D2772" s="1"/>
      <c r="E2772" s="1"/>
      <c r="F2772" s="1"/>
      <c r="G2772" s="1"/>
      <c r="H2772" s="1"/>
    </row>
    <row r="2773" spans="1:8" ht="12.5">
      <c r="A2773" s="1"/>
      <c r="B2773" s="1"/>
      <c r="C2773" s="1"/>
      <c r="D2773" s="1"/>
      <c r="E2773" s="1"/>
      <c r="F2773" s="1"/>
      <c r="G2773" s="1"/>
      <c r="H2773" s="1"/>
    </row>
    <row r="2774" spans="1:8" ht="12.5">
      <c r="A2774" s="1"/>
      <c r="B2774" s="1"/>
      <c r="C2774" s="1"/>
      <c r="D2774" s="1"/>
      <c r="E2774" s="1"/>
      <c r="F2774" s="1"/>
      <c r="G2774" s="1"/>
      <c r="H2774" s="1"/>
    </row>
    <row r="2775" spans="1:8" ht="12.5">
      <c r="A2775" s="1"/>
      <c r="B2775" s="1"/>
      <c r="C2775" s="1"/>
      <c r="D2775" s="1"/>
      <c r="E2775" s="1"/>
      <c r="F2775" s="1"/>
      <c r="G2775" s="1"/>
      <c r="H2775" s="1"/>
    </row>
    <row r="2776" spans="1:8" ht="12.5">
      <c r="A2776" s="1"/>
      <c r="B2776" s="1"/>
      <c r="C2776" s="1"/>
      <c r="D2776" s="1"/>
      <c r="E2776" s="1"/>
      <c r="F2776" s="1"/>
      <c r="G2776" s="1"/>
      <c r="H2776" s="1"/>
    </row>
    <row r="2777" spans="1:8" ht="12.5">
      <c r="A2777" s="1"/>
      <c r="B2777" s="1"/>
      <c r="C2777" s="1"/>
      <c r="D2777" s="1"/>
      <c r="E2777" s="1"/>
      <c r="F2777" s="1"/>
      <c r="G2777" s="1"/>
      <c r="H2777" s="1"/>
    </row>
    <row r="2778" spans="1:8" ht="12.5">
      <c r="A2778" s="1"/>
      <c r="B2778" s="1"/>
      <c r="C2778" s="1"/>
      <c r="D2778" s="1"/>
      <c r="E2778" s="1"/>
      <c r="F2778" s="1"/>
      <c r="G2778" s="1"/>
      <c r="H2778" s="1"/>
    </row>
    <row r="2779" spans="1:8" ht="12.5">
      <c r="A2779" s="1"/>
      <c r="B2779" s="1"/>
      <c r="C2779" s="1"/>
      <c r="D2779" s="1"/>
      <c r="E2779" s="1"/>
      <c r="F2779" s="1"/>
      <c r="G2779" s="1"/>
      <c r="H2779" s="1"/>
    </row>
    <row r="2780" spans="1:8" ht="12.5">
      <c r="A2780" s="1"/>
      <c r="B2780" s="1"/>
      <c r="C2780" s="1"/>
      <c r="D2780" s="1"/>
      <c r="E2780" s="1"/>
      <c r="F2780" s="1"/>
      <c r="G2780" s="1"/>
      <c r="H2780" s="1"/>
    </row>
    <row r="2781" spans="1:8" ht="12.5">
      <c r="A2781" s="1"/>
      <c r="B2781" s="1"/>
      <c r="C2781" s="1"/>
      <c r="D2781" s="1"/>
      <c r="E2781" s="1"/>
      <c r="F2781" s="1"/>
      <c r="G2781" s="1"/>
      <c r="H2781" s="1"/>
    </row>
    <row r="2782" spans="1:8" ht="12.5">
      <c r="A2782" s="1"/>
      <c r="B2782" s="1"/>
      <c r="C2782" s="1"/>
      <c r="D2782" s="1"/>
      <c r="E2782" s="1"/>
      <c r="F2782" s="1"/>
      <c r="G2782" s="1"/>
      <c r="H2782" s="1"/>
    </row>
    <row r="2783" spans="1:8" ht="12.5">
      <c r="A2783" s="1"/>
      <c r="B2783" s="1"/>
      <c r="C2783" s="1"/>
      <c r="D2783" s="1"/>
      <c r="E2783" s="1"/>
      <c r="F2783" s="1"/>
      <c r="G2783" s="1"/>
      <c r="H2783" s="1"/>
    </row>
    <row r="2784" spans="1:8" ht="12.5">
      <c r="A2784" s="1"/>
      <c r="B2784" s="1"/>
      <c r="C2784" s="1"/>
      <c r="D2784" s="1"/>
      <c r="E2784" s="1"/>
      <c r="F2784" s="1"/>
      <c r="G2784" s="1"/>
      <c r="H2784" s="1"/>
    </row>
    <row r="2785" spans="1:8" ht="12.5">
      <c r="A2785" s="1"/>
      <c r="B2785" s="1"/>
      <c r="C2785" s="1"/>
      <c r="D2785" s="1"/>
      <c r="E2785" s="1"/>
      <c r="F2785" s="1"/>
      <c r="G2785" s="1"/>
      <c r="H2785" s="1"/>
    </row>
    <row r="2786" spans="1:8" ht="12.5">
      <c r="A2786" s="1"/>
      <c r="B2786" s="1"/>
      <c r="C2786" s="1"/>
      <c r="D2786" s="1"/>
      <c r="E2786" s="1"/>
      <c r="F2786" s="1"/>
      <c r="G2786" s="1"/>
      <c r="H2786" s="1"/>
    </row>
    <row r="2787" spans="1:8" ht="12.5">
      <c r="A2787" s="1"/>
      <c r="B2787" s="1"/>
      <c r="C2787" s="1"/>
      <c r="D2787" s="1"/>
      <c r="E2787" s="1"/>
      <c r="F2787" s="1"/>
      <c r="G2787" s="1"/>
      <c r="H2787" s="1"/>
    </row>
    <row r="2788" spans="1:8" ht="12.5">
      <c r="A2788" s="1"/>
      <c r="B2788" s="1"/>
      <c r="C2788" s="1"/>
      <c r="D2788" s="1"/>
      <c r="E2788" s="1"/>
      <c r="F2788" s="1"/>
      <c r="G2788" s="1"/>
      <c r="H2788" s="1"/>
    </row>
    <row r="2789" spans="1:8" ht="12.5">
      <c r="A2789" s="1"/>
      <c r="B2789" s="1"/>
      <c r="C2789" s="1"/>
      <c r="D2789" s="1"/>
      <c r="E2789" s="1"/>
      <c r="F2789" s="1"/>
      <c r="G2789" s="1"/>
      <c r="H2789" s="1"/>
    </row>
    <row r="2790" spans="1:8" ht="12.5">
      <c r="A2790" s="1"/>
      <c r="B2790" s="1"/>
      <c r="C2790" s="1"/>
      <c r="D2790" s="1"/>
      <c r="E2790" s="1"/>
      <c r="F2790" s="1"/>
      <c r="G2790" s="1"/>
      <c r="H2790" s="1"/>
    </row>
    <row r="2791" spans="1:8" ht="12.5">
      <c r="A2791" s="1"/>
      <c r="B2791" s="1"/>
      <c r="C2791" s="1"/>
      <c r="D2791" s="1"/>
      <c r="E2791" s="1"/>
      <c r="F2791" s="1"/>
      <c r="G2791" s="1"/>
      <c r="H2791" s="1"/>
    </row>
    <row r="2792" spans="1:8" ht="12.5">
      <c r="A2792" s="1"/>
      <c r="B2792" s="1"/>
      <c r="C2792" s="1"/>
      <c r="D2792" s="1"/>
      <c r="E2792" s="1"/>
      <c r="F2792" s="1"/>
      <c r="G2792" s="1"/>
      <c r="H2792" s="1"/>
    </row>
    <row r="2793" spans="1:8" ht="12.5">
      <c r="A2793" s="1"/>
      <c r="B2793" s="1"/>
      <c r="C2793" s="1"/>
      <c r="D2793" s="1"/>
      <c r="E2793" s="1"/>
      <c r="F2793" s="1"/>
      <c r="G2793" s="1"/>
      <c r="H2793" s="1"/>
    </row>
    <row r="2794" spans="1:8" ht="12.5">
      <c r="A2794" s="1"/>
      <c r="B2794" s="1"/>
      <c r="C2794" s="1"/>
      <c r="D2794" s="1"/>
      <c r="E2794" s="1"/>
      <c r="F2794" s="1"/>
      <c r="G2794" s="1"/>
      <c r="H2794" s="1"/>
    </row>
    <row r="2795" spans="1:8" ht="12.5">
      <c r="A2795" s="1"/>
      <c r="B2795" s="1"/>
      <c r="C2795" s="1"/>
      <c r="D2795" s="1"/>
      <c r="E2795" s="1"/>
      <c r="F2795" s="1"/>
      <c r="G2795" s="1"/>
      <c r="H2795" s="1"/>
    </row>
    <row r="2796" spans="1:8" ht="12.5">
      <c r="A2796" s="1"/>
      <c r="B2796" s="1"/>
      <c r="C2796" s="1"/>
      <c r="D2796" s="1"/>
      <c r="E2796" s="1"/>
      <c r="F2796" s="1"/>
      <c r="G2796" s="1"/>
      <c r="H2796" s="1"/>
    </row>
    <row r="2797" spans="1:8" ht="12.5">
      <c r="A2797" s="1"/>
      <c r="B2797" s="1"/>
      <c r="C2797" s="1"/>
      <c r="D2797" s="1"/>
      <c r="E2797" s="1"/>
      <c r="F2797" s="1"/>
      <c r="G2797" s="1"/>
      <c r="H2797" s="1"/>
    </row>
    <row r="2798" spans="1:8" ht="12.5">
      <c r="A2798" s="1"/>
      <c r="B2798" s="1"/>
      <c r="C2798" s="1"/>
      <c r="D2798" s="1"/>
      <c r="E2798" s="1"/>
      <c r="F2798" s="1"/>
      <c r="G2798" s="1"/>
      <c r="H2798" s="1"/>
    </row>
    <row r="2799" spans="1:8" ht="12.5">
      <c r="A2799" s="1"/>
      <c r="B2799" s="1"/>
      <c r="C2799" s="1"/>
      <c r="D2799" s="1"/>
      <c r="E2799" s="1"/>
      <c r="F2799" s="1"/>
      <c r="G2799" s="1"/>
      <c r="H2799" s="1"/>
    </row>
    <row r="2800" spans="1:8" ht="12.5">
      <c r="A2800" s="1"/>
      <c r="B2800" s="1"/>
      <c r="C2800" s="1"/>
      <c r="D2800" s="1"/>
      <c r="E2800" s="1"/>
      <c r="F2800" s="1"/>
      <c r="G2800" s="1"/>
      <c r="H2800" s="1"/>
    </row>
    <row r="2801" spans="1:8" ht="12.5">
      <c r="A2801" s="1"/>
      <c r="B2801" s="1"/>
      <c r="C2801" s="1"/>
      <c r="D2801" s="1"/>
      <c r="E2801" s="1"/>
      <c r="F2801" s="1"/>
      <c r="G2801" s="1"/>
      <c r="H2801" s="1"/>
    </row>
    <row r="2802" spans="1:8" ht="12.5">
      <c r="A2802" s="1"/>
      <c r="B2802" s="1"/>
      <c r="C2802" s="1"/>
      <c r="D2802" s="1"/>
      <c r="E2802" s="1"/>
      <c r="F2802" s="1"/>
      <c r="G2802" s="1"/>
      <c r="H2802" s="1"/>
    </row>
    <row r="2803" spans="1:8" ht="12.5">
      <c r="A2803" s="1"/>
      <c r="B2803" s="1"/>
      <c r="C2803" s="1"/>
      <c r="D2803" s="1"/>
      <c r="E2803" s="1"/>
      <c r="F2803" s="1"/>
      <c r="G2803" s="1"/>
      <c r="H2803" s="1"/>
    </row>
    <row r="2804" spans="1:8" ht="12.5">
      <c r="A2804" s="1"/>
      <c r="B2804" s="1"/>
      <c r="C2804" s="1"/>
      <c r="D2804" s="1"/>
      <c r="E2804" s="1"/>
      <c r="F2804" s="1"/>
      <c r="G2804" s="1"/>
      <c r="H2804" s="1"/>
    </row>
    <row r="2805" spans="1:8" ht="12.5">
      <c r="A2805" s="1"/>
      <c r="B2805" s="1"/>
      <c r="C2805" s="1"/>
      <c r="D2805" s="1"/>
      <c r="E2805" s="1"/>
      <c r="F2805" s="1"/>
      <c r="G2805" s="1"/>
      <c r="H2805" s="1"/>
    </row>
    <row r="2806" spans="1:8" ht="12.5">
      <c r="A2806" s="1"/>
      <c r="B2806" s="1"/>
      <c r="C2806" s="1"/>
      <c r="D2806" s="1"/>
      <c r="E2806" s="1"/>
      <c r="F2806" s="1"/>
      <c r="G2806" s="1"/>
      <c r="H2806" s="1"/>
    </row>
    <row r="2807" spans="1:8" ht="12.5">
      <c r="A2807" s="1"/>
      <c r="B2807" s="1"/>
      <c r="C2807" s="1"/>
      <c r="D2807" s="1"/>
      <c r="E2807" s="1"/>
      <c r="F2807" s="1"/>
      <c r="G2807" s="1"/>
      <c r="H2807" s="1"/>
    </row>
    <row r="2808" spans="1:8" ht="12.5">
      <c r="A2808" s="1"/>
      <c r="B2808" s="1"/>
      <c r="C2808" s="1"/>
      <c r="D2808" s="1"/>
      <c r="E2808" s="1"/>
      <c r="F2808" s="1"/>
      <c r="G2808" s="1"/>
      <c r="H2808" s="1"/>
    </row>
    <row r="2809" spans="1:8" ht="12.5">
      <c r="A2809" s="1"/>
      <c r="B2809" s="1"/>
      <c r="C2809" s="1"/>
      <c r="D2809" s="1"/>
      <c r="E2809" s="1"/>
      <c r="F2809" s="1"/>
      <c r="G2809" s="1"/>
      <c r="H2809" s="1"/>
    </row>
    <row r="2810" spans="1:8" ht="12.5">
      <c r="A2810" s="1"/>
      <c r="B2810" s="1"/>
      <c r="C2810" s="1"/>
      <c r="D2810" s="1"/>
      <c r="E2810" s="1"/>
      <c r="F2810" s="1"/>
      <c r="G2810" s="1"/>
      <c r="H2810" s="1"/>
    </row>
    <row r="2811" spans="1:8" ht="12.5">
      <c r="A2811" s="1"/>
      <c r="B2811" s="1"/>
      <c r="C2811" s="1"/>
      <c r="D2811" s="1"/>
      <c r="E2811" s="1"/>
      <c r="F2811" s="1"/>
      <c r="G2811" s="1"/>
      <c r="H2811" s="1"/>
    </row>
    <row r="2812" spans="1:8" ht="12.5">
      <c r="A2812" s="1"/>
      <c r="B2812" s="1"/>
      <c r="C2812" s="1"/>
      <c r="D2812" s="1"/>
      <c r="E2812" s="1"/>
      <c r="F2812" s="1"/>
      <c r="G2812" s="1"/>
      <c r="H2812" s="1"/>
    </row>
    <row r="2813" spans="1:8" ht="12.5">
      <c r="A2813" s="1"/>
      <c r="B2813" s="1"/>
      <c r="C2813" s="1"/>
      <c r="D2813" s="1"/>
      <c r="E2813" s="1"/>
      <c r="F2813" s="1"/>
      <c r="G2813" s="1"/>
      <c r="H2813" s="1"/>
    </row>
    <row r="2814" spans="1:8" ht="12.5">
      <c r="A2814" s="1"/>
      <c r="B2814" s="1"/>
      <c r="C2814" s="1"/>
      <c r="D2814" s="1"/>
      <c r="E2814" s="1"/>
      <c r="F2814" s="1"/>
      <c r="G2814" s="1"/>
      <c r="H2814" s="1"/>
    </row>
    <row r="2815" spans="1:8" ht="12.5">
      <c r="A2815" s="1"/>
      <c r="B2815" s="1"/>
      <c r="C2815" s="1"/>
      <c r="D2815" s="1"/>
      <c r="E2815" s="1"/>
      <c r="F2815" s="1"/>
      <c r="G2815" s="1"/>
      <c r="H2815" s="1"/>
    </row>
    <row r="2816" spans="1:8" ht="12.5">
      <c r="A2816" s="1"/>
      <c r="B2816" s="1"/>
      <c r="C2816" s="1"/>
      <c r="D2816" s="1"/>
      <c r="E2816" s="1"/>
      <c r="F2816" s="1"/>
      <c r="G2816" s="1"/>
      <c r="H2816" s="1"/>
    </row>
    <row r="2817" spans="1:8" ht="12.5">
      <c r="A2817" s="1"/>
      <c r="B2817" s="1"/>
      <c r="C2817" s="1"/>
      <c r="D2817" s="1"/>
      <c r="E2817" s="1"/>
      <c r="F2817" s="1"/>
      <c r="G2817" s="1"/>
      <c r="H2817" s="1"/>
    </row>
    <row r="2818" spans="1:8" ht="12.5">
      <c r="A2818" s="1"/>
      <c r="B2818" s="1"/>
      <c r="C2818" s="1"/>
      <c r="D2818" s="1"/>
      <c r="E2818" s="1"/>
      <c r="F2818" s="1"/>
      <c r="G2818" s="1"/>
      <c r="H2818" s="1"/>
    </row>
    <row r="2819" spans="1:8" ht="12.5">
      <c r="A2819" s="1"/>
      <c r="B2819" s="1"/>
      <c r="C2819" s="1"/>
      <c r="D2819" s="1"/>
      <c r="E2819" s="1"/>
      <c r="F2819" s="1"/>
      <c r="G2819" s="1"/>
      <c r="H2819" s="1"/>
    </row>
    <row r="2820" spans="1:8" ht="12.5">
      <c r="A2820" s="1"/>
      <c r="B2820" s="1"/>
      <c r="C2820" s="1"/>
      <c r="D2820" s="1"/>
      <c r="E2820" s="1"/>
      <c r="F2820" s="1"/>
      <c r="G2820" s="1"/>
      <c r="H2820" s="1"/>
    </row>
    <row r="2821" spans="1:8" ht="12.5">
      <c r="A2821" s="1"/>
      <c r="B2821" s="1"/>
      <c r="C2821" s="1"/>
      <c r="D2821" s="1"/>
      <c r="E2821" s="1"/>
      <c r="F2821" s="1"/>
      <c r="G2821" s="1"/>
      <c r="H2821" s="1"/>
    </row>
    <row r="2822" spans="1:8" ht="12.5">
      <c r="A2822" s="1"/>
      <c r="B2822" s="1"/>
      <c r="C2822" s="1"/>
      <c r="D2822" s="1"/>
      <c r="E2822" s="1"/>
      <c r="F2822" s="1"/>
      <c r="G2822" s="1"/>
      <c r="H2822" s="1"/>
    </row>
    <row r="2823" spans="1:8" ht="12.5">
      <c r="A2823" s="1"/>
      <c r="B2823" s="1"/>
      <c r="C2823" s="1"/>
      <c r="D2823" s="1"/>
      <c r="E2823" s="1"/>
      <c r="F2823" s="1"/>
      <c r="G2823" s="1"/>
      <c r="H2823" s="1"/>
    </row>
    <row r="2824" spans="1:8" ht="12.5">
      <c r="A2824" s="1"/>
      <c r="B2824" s="1"/>
      <c r="C2824" s="1"/>
      <c r="D2824" s="1"/>
      <c r="E2824" s="1"/>
      <c r="F2824" s="1"/>
      <c r="G2824" s="1"/>
      <c r="H2824" s="1"/>
    </row>
    <row r="2825" spans="1:8" ht="12.5">
      <c r="A2825" s="1"/>
      <c r="B2825" s="1"/>
      <c r="C2825" s="1"/>
      <c r="D2825" s="1"/>
      <c r="E2825" s="1"/>
      <c r="F2825" s="1"/>
      <c r="G2825" s="1"/>
      <c r="H2825" s="1"/>
    </row>
    <row r="2826" spans="1:8" ht="12.5">
      <c r="A2826" s="1"/>
      <c r="B2826" s="1"/>
      <c r="C2826" s="1"/>
      <c r="D2826" s="1"/>
      <c r="E2826" s="1"/>
      <c r="F2826" s="1"/>
      <c r="G2826" s="1"/>
      <c r="H2826" s="1"/>
    </row>
    <row r="2827" spans="1:8" ht="12.5">
      <c r="A2827" s="1"/>
      <c r="B2827" s="1"/>
      <c r="C2827" s="1"/>
      <c r="D2827" s="1"/>
      <c r="E2827" s="1"/>
      <c r="F2827" s="1"/>
      <c r="G2827" s="1"/>
      <c r="H2827" s="1"/>
    </row>
    <row r="2828" spans="1:8" ht="12.5">
      <c r="A2828" s="1"/>
      <c r="B2828" s="1"/>
      <c r="C2828" s="1"/>
      <c r="D2828" s="1"/>
      <c r="E2828" s="1"/>
      <c r="F2828" s="1"/>
      <c r="G2828" s="1"/>
      <c r="H2828" s="1"/>
    </row>
    <row r="2829" spans="1:8" ht="12.5">
      <c r="A2829" s="1"/>
      <c r="B2829" s="1"/>
      <c r="C2829" s="1"/>
      <c r="D2829" s="1"/>
      <c r="E2829" s="1"/>
      <c r="F2829" s="1"/>
      <c r="G2829" s="1"/>
      <c r="H2829" s="1"/>
    </row>
    <row r="2830" spans="1:8" ht="12.5">
      <c r="A2830" s="1"/>
      <c r="B2830" s="1"/>
      <c r="C2830" s="1"/>
      <c r="D2830" s="1"/>
      <c r="E2830" s="1"/>
      <c r="F2830" s="1"/>
      <c r="G2830" s="1"/>
      <c r="H2830" s="1"/>
    </row>
    <row r="2831" spans="1:8" ht="12.5">
      <c r="A2831" s="1"/>
      <c r="B2831" s="1"/>
      <c r="C2831" s="1"/>
      <c r="D2831" s="1"/>
      <c r="E2831" s="1"/>
      <c r="F2831" s="1"/>
      <c r="G2831" s="1"/>
      <c r="H2831" s="1"/>
    </row>
    <row r="2832" spans="1:8" ht="12.5">
      <c r="A2832" s="1"/>
      <c r="B2832" s="1"/>
      <c r="C2832" s="1"/>
      <c r="D2832" s="1"/>
      <c r="E2832" s="1"/>
      <c r="F2832" s="1"/>
      <c r="G2832" s="1"/>
      <c r="H2832" s="1"/>
    </row>
    <row r="2833" spans="1:8" ht="12.5">
      <c r="A2833" s="1"/>
      <c r="B2833" s="1"/>
      <c r="C2833" s="1"/>
      <c r="D2833" s="1"/>
      <c r="E2833" s="1"/>
      <c r="F2833" s="1"/>
      <c r="G2833" s="1"/>
      <c r="H2833" s="1"/>
    </row>
    <row r="2834" spans="1:8" ht="12.5">
      <c r="A2834" s="1"/>
      <c r="B2834" s="1"/>
      <c r="C2834" s="1"/>
      <c r="D2834" s="1"/>
      <c r="E2834" s="1"/>
      <c r="F2834" s="1"/>
      <c r="G2834" s="1"/>
      <c r="H2834" s="1"/>
    </row>
    <row r="2835" spans="1:8" ht="12.5">
      <c r="A2835" s="1"/>
      <c r="B2835" s="1"/>
      <c r="C2835" s="1"/>
      <c r="D2835" s="1"/>
      <c r="E2835" s="1"/>
      <c r="F2835" s="1"/>
      <c r="G2835" s="1"/>
      <c r="H2835" s="1"/>
    </row>
    <row r="2836" spans="1:8" ht="12.5">
      <c r="A2836" s="1"/>
      <c r="B2836" s="1"/>
      <c r="C2836" s="1"/>
      <c r="D2836" s="1"/>
      <c r="E2836" s="1"/>
      <c r="F2836" s="1"/>
      <c r="G2836" s="1"/>
      <c r="H2836" s="1"/>
    </row>
    <row r="2837" spans="1:8" ht="12.5">
      <c r="A2837" s="1"/>
      <c r="B2837" s="1"/>
      <c r="C2837" s="1"/>
      <c r="D2837" s="1"/>
      <c r="E2837" s="1"/>
      <c r="F2837" s="1"/>
      <c r="G2837" s="1"/>
      <c r="H2837" s="1"/>
    </row>
    <row r="2838" spans="1:8" ht="12.5">
      <c r="A2838" s="1"/>
      <c r="B2838" s="1"/>
      <c r="C2838" s="1"/>
      <c r="D2838" s="1"/>
      <c r="E2838" s="1"/>
      <c r="F2838" s="1"/>
      <c r="G2838" s="1"/>
      <c r="H2838" s="1"/>
    </row>
    <row r="2839" spans="1:8" ht="12.5">
      <c r="A2839" s="1"/>
      <c r="B2839" s="1"/>
      <c r="C2839" s="1"/>
      <c r="D2839" s="1"/>
      <c r="E2839" s="1"/>
      <c r="F2839" s="1"/>
      <c r="G2839" s="1"/>
      <c r="H2839" s="1"/>
    </row>
    <row r="2840" spans="1:8" ht="12.5">
      <c r="A2840" s="1"/>
      <c r="B2840" s="1"/>
      <c r="C2840" s="1"/>
      <c r="D2840" s="1"/>
      <c r="E2840" s="1"/>
      <c r="F2840" s="1"/>
      <c r="G2840" s="1"/>
      <c r="H2840" s="1"/>
    </row>
    <row r="2841" spans="1:8" ht="12.5">
      <c r="A2841" s="1"/>
      <c r="B2841" s="1"/>
      <c r="C2841" s="1"/>
      <c r="D2841" s="1"/>
      <c r="E2841" s="1"/>
      <c r="F2841" s="1"/>
      <c r="G2841" s="1"/>
      <c r="H2841" s="1"/>
    </row>
    <row r="2842" spans="1:8" ht="12.5">
      <c r="A2842" s="1"/>
      <c r="B2842" s="1"/>
      <c r="C2842" s="1"/>
      <c r="D2842" s="1"/>
      <c r="E2842" s="1"/>
      <c r="F2842" s="1"/>
      <c r="G2842" s="1"/>
      <c r="H2842" s="1"/>
    </row>
    <row r="2843" spans="1:8" ht="12.5">
      <c r="A2843" s="1"/>
      <c r="B2843" s="1"/>
      <c r="C2843" s="1"/>
      <c r="D2843" s="1"/>
      <c r="E2843" s="1"/>
      <c r="F2843" s="1"/>
      <c r="G2843" s="1"/>
      <c r="H2843" s="1"/>
    </row>
    <row r="2844" spans="1:8" ht="12.5">
      <c r="A2844" s="1"/>
      <c r="B2844" s="1"/>
      <c r="C2844" s="1"/>
      <c r="D2844" s="1"/>
      <c r="E2844" s="1"/>
      <c r="F2844" s="1"/>
      <c r="G2844" s="1"/>
      <c r="H2844" s="1"/>
    </row>
    <row r="2845" spans="1:8" ht="12.5">
      <c r="A2845" s="1"/>
      <c r="B2845" s="1"/>
      <c r="C2845" s="1"/>
      <c r="D2845" s="1"/>
      <c r="E2845" s="1"/>
      <c r="F2845" s="1"/>
      <c r="G2845" s="1"/>
      <c r="H2845" s="1"/>
    </row>
    <row r="2846" spans="1:8" ht="12.5">
      <c r="A2846" s="1"/>
      <c r="B2846" s="1"/>
      <c r="C2846" s="1"/>
      <c r="D2846" s="1"/>
      <c r="E2846" s="1"/>
      <c r="F2846" s="1"/>
      <c r="G2846" s="1"/>
      <c r="H2846" s="1"/>
    </row>
    <row r="2847" spans="1:8" ht="12.5">
      <c r="A2847" s="1"/>
      <c r="B2847" s="1"/>
      <c r="C2847" s="1"/>
      <c r="D2847" s="1"/>
      <c r="E2847" s="1"/>
      <c r="F2847" s="1"/>
      <c r="G2847" s="1"/>
      <c r="H2847" s="1"/>
    </row>
    <row r="2848" spans="1:8" ht="12.5">
      <c r="A2848" s="1"/>
      <c r="B2848" s="1"/>
      <c r="C2848" s="1"/>
      <c r="D2848" s="1"/>
      <c r="E2848" s="1"/>
      <c r="F2848" s="1"/>
      <c r="G2848" s="1"/>
      <c r="H2848" s="1"/>
    </row>
    <row r="2849" spans="1:8" ht="12.5">
      <c r="A2849" s="1"/>
      <c r="B2849" s="1"/>
      <c r="C2849" s="1"/>
      <c r="D2849" s="1"/>
      <c r="E2849" s="1"/>
      <c r="F2849" s="1"/>
      <c r="G2849" s="1"/>
      <c r="H2849" s="1"/>
    </row>
    <row r="2850" spans="1:8" ht="12.5">
      <c r="A2850" s="1"/>
      <c r="B2850" s="1"/>
      <c r="C2850" s="1"/>
      <c r="D2850" s="1"/>
      <c r="E2850" s="1"/>
      <c r="F2850" s="1"/>
      <c r="G2850" s="1"/>
      <c r="H2850" s="1"/>
    </row>
    <row r="2851" spans="1:8" ht="12.5">
      <c r="A2851" s="1"/>
      <c r="B2851" s="1"/>
      <c r="C2851" s="1"/>
      <c r="D2851" s="1"/>
      <c r="E2851" s="1"/>
      <c r="F2851" s="1"/>
      <c r="G2851" s="1"/>
      <c r="H2851" s="1"/>
    </row>
    <row r="2852" spans="1:8" ht="12.5">
      <c r="A2852" s="1"/>
      <c r="B2852" s="1"/>
      <c r="C2852" s="1"/>
      <c r="D2852" s="1"/>
      <c r="E2852" s="1"/>
      <c r="F2852" s="1"/>
      <c r="G2852" s="1"/>
      <c r="H2852" s="1"/>
    </row>
    <row r="2853" spans="1:8" ht="12.5">
      <c r="A2853" s="1"/>
      <c r="B2853" s="1"/>
      <c r="C2853" s="1"/>
      <c r="D2853" s="1"/>
      <c r="E2853" s="1"/>
      <c r="F2853" s="1"/>
      <c r="G2853" s="1"/>
      <c r="H2853" s="1"/>
    </row>
    <row r="2854" spans="1:8" ht="12.5">
      <c r="A2854" s="1"/>
      <c r="B2854" s="1"/>
      <c r="C2854" s="1"/>
      <c r="D2854" s="1"/>
      <c r="E2854" s="1"/>
      <c r="F2854" s="1"/>
      <c r="G2854" s="1"/>
      <c r="H2854" s="1"/>
    </row>
    <row r="2855" spans="1:8" ht="12.5">
      <c r="A2855" s="1"/>
      <c r="B2855" s="1"/>
      <c r="C2855" s="1"/>
      <c r="D2855" s="1"/>
      <c r="E2855" s="1"/>
      <c r="F2855" s="1"/>
      <c r="G2855" s="1"/>
      <c r="H2855" s="1"/>
    </row>
    <row r="2856" spans="1:8" ht="12.5">
      <c r="A2856" s="1"/>
      <c r="B2856" s="1"/>
      <c r="C2856" s="1"/>
      <c r="D2856" s="1"/>
      <c r="E2856" s="1"/>
      <c r="F2856" s="1"/>
      <c r="G2856" s="1"/>
      <c r="H2856" s="1"/>
    </row>
    <row r="2857" spans="1:8" ht="12.5">
      <c r="A2857" s="1"/>
      <c r="B2857" s="1"/>
      <c r="C2857" s="1"/>
      <c r="D2857" s="1"/>
      <c r="E2857" s="1"/>
      <c r="F2857" s="1"/>
      <c r="G2857" s="1"/>
      <c r="H2857" s="1"/>
    </row>
    <row r="2858" spans="1:8" ht="12.5">
      <c r="A2858" s="1"/>
      <c r="B2858" s="1"/>
      <c r="C2858" s="1"/>
      <c r="D2858" s="1"/>
      <c r="E2858" s="1"/>
      <c r="F2858" s="1"/>
      <c r="G2858" s="1"/>
      <c r="H2858" s="1"/>
    </row>
    <row r="2859" spans="1:8" ht="12.5">
      <c r="A2859" s="1"/>
      <c r="B2859" s="1"/>
      <c r="C2859" s="1"/>
      <c r="D2859" s="1"/>
      <c r="E2859" s="1"/>
      <c r="F2859" s="1"/>
      <c r="G2859" s="1"/>
      <c r="H2859" s="1"/>
    </row>
    <row r="2860" spans="1:8" ht="12.5">
      <c r="A2860" s="1"/>
      <c r="B2860" s="1"/>
      <c r="C2860" s="1"/>
      <c r="D2860" s="1"/>
      <c r="E2860" s="1"/>
      <c r="F2860" s="1"/>
      <c r="G2860" s="1"/>
      <c r="H2860" s="1"/>
    </row>
    <row r="2861" spans="1:8" ht="12.5">
      <c r="A2861" s="1"/>
      <c r="B2861" s="1"/>
      <c r="C2861" s="1"/>
      <c r="D2861" s="1"/>
      <c r="E2861" s="1"/>
      <c r="F2861" s="1"/>
      <c r="G2861" s="1"/>
      <c r="H2861" s="1"/>
    </row>
    <row r="2862" spans="1:8" ht="12.5">
      <c r="A2862" s="1"/>
      <c r="B2862" s="1"/>
      <c r="C2862" s="1"/>
      <c r="D2862" s="1"/>
      <c r="E2862" s="1"/>
      <c r="F2862" s="1"/>
      <c r="G2862" s="1"/>
      <c r="H2862" s="1"/>
    </row>
    <row r="2863" spans="1:8" ht="12.5">
      <c r="A2863" s="1"/>
      <c r="B2863" s="1"/>
      <c r="C2863" s="1"/>
      <c r="D2863" s="1"/>
      <c r="E2863" s="1"/>
      <c r="F2863" s="1"/>
      <c r="G2863" s="1"/>
      <c r="H2863" s="1"/>
    </row>
    <row r="2864" spans="1:8" ht="12.5">
      <c r="A2864" s="1"/>
      <c r="B2864" s="1"/>
      <c r="C2864" s="1"/>
      <c r="D2864" s="1"/>
      <c r="E2864" s="1"/>
      <c r="F2864" s="1"/>
      <c r="G2864" s="1"/>
      <c r="H2864" s="1"/>
    </row>
    <row r="2865" spans="1:8" ht="12.5">
      <c r="A2865" s="1"/>
      <c r="B2865" s="1"/>
      <c r="C2865" s="1"/>
      <c r="D2865" s="1"/>
      <c r="E2865" s="1"/>
      <c r="F2865" s="1"/>
      <c r="G2865" s="1"/>
      <c r="H2865" s="1"/>
    </row>
    <row r="2866" spans="1:8" ht="12.5">
      <c r="A2866" s="1"/>
      <c r="B2866" s="1"/>
      <c r="C2866" s="1"/>
      <c r="D2866" s="1"/>
      <c r="E2866" s="1"/>
      <c r="F2866" s="1"/>
      <c r="G2866" s="1"/>
      <c r="H2866" s="1"/>
    </row>
    <row r="2867" spans="1:8" ht="12.5">
      <c r="A2867" s="1"/>
      <c r="B2867" s="1"/>
      <c r="C2867" s="1"/>
      <c r="D2867" s="1"/>
      <c r="E2867" s="1"/>
      <c r="F2867" s="1"/>
      <c r="G2867" s="1"/>
      <c r="H2867" s="1"/>
    </row>
    <row r="2868" spans="1:8" ht="12.5">
      <c r="A2868" s="1"/>
      <c r="B2868" s="1"/>
      <c r="C2868" s="1"/>
      <c r="D2868" s="1"/>
      <c r="E2868" s="1"/>
      <c r="F2868" s="1"/>
      <c r="G2868" s="1"/>
      <c r="H2868" s="1"/>
    </row>
    <row r="2869" spans="1:8" ht="12.5">
      <c r="A2869" s="1"/>
      <c r="B2869" s="1"/>
      <c r="C2869" s="1"/>
      <c r="D2869" s="1"/>
      <c r="E2869" s="1"/>
      <c r="F2869" s="1"/>
      <c r="G2869" s="1"/>
      <c r="H2869" s="1"/>
    </row>
    <row r="2870" spans="1:8" ht="12.5">
      <c r="A2870" s="1"/>
      <c r="B2870" s="1"/>
      <c r="C2870" s="1"/>
      <c r="D2870" s="1"/>
      <c r="E2870" s="1"/>
      <c r="F2870" s="1"/>
      <c r="G2870" s="1"/>
      <c r="H2870" s="1"/>
    </row>
    <row r="2871" spans="1:8" ht="12.5">
      <c r="A2871" s="1"/>
      <c r="B2871" s="1"/>
      <c r="C2871" s="1"/>
      <c r="D2871" s="1"/>
      <c r="E2871" s="1"/>
      <c r="F2871" s="1"/>
      <c r="G2871" s="1"/>
      <c r="H2871" s="1"/>
    </row>
    <row r="2872" spans="1:8" ht="12.5">
      <c r="A2872" s="1"/>
      <c r="B2872" s="1"/>
      <c r="C2872" s="1"/>
      <c r="D2872" s="1"/>
      <c r="E2872" s="1"/>
      <c r="F2872" s="1"/>
      <c r="G2872" s="1"/>
      <c r="H2872" s="1"/>
    </row>
    <row r="2873" spans="1:8" ht="12.5">
      <c r="A2873" s="1"/>
      <c r="B2873" s="1"/>
      <c r="C2873" s="1"/>
      <c r="D2873" s="1"/>
      <c r="E2873" s="1"/>
      <c r="F2873" s="1"/>
      <c r="G2873" s="1"/>
      <c r="H2873" s="1"/>
    </row>
    <row r="2874" spans="1:8" ht="12.5">
      <c r="A2874" s="1"/>
      <c r="B2874" s="1"/>
      <c r="C2874" s="1"/>
      <c r="D2874" s="1"/>
      <c r="E2874" s="1"/>
      <c r="F2874" s="1"/>
      <c r="G2874" s="1"/>
      <c r="H2874" s="1"/>
    </row>
    <row r="2875" spans="1:8" ht="12.5">
      <c r="A2875" s="1"/>
      <c r="B2875" s="1"/>
      <c r="C2875" s="1"/>
      <c r="D2875" s="1"/>
      <c r="E2875" s="1"/>
      <c r="F2875" s="1"/>
      <c r="G2875" s="1"/>
      <c r="H2875" s="1"/>
    </row>
    <row r="2876" spans="1:8" ht="12.5">
      <c r="A2876" s="1"/>
      <c r="B2876" s="1"/>
      <c r="C2876" s="1"/>
      <c r="D2876" s="1"/>
      <c r="E2876" s="1"/>
      <c r="F2876" s="1"/>
      <c r="G2876" s="1"/>
      <c r="H2876" s="1"/>
    </row>
    <row r="2877" spans="1:8" ht="12.5">
      <c r="A2877" s="1"/>
      <c r="B2877" s="1"/>
      <c r="C2877" s="1"/>
      <c r="D2877" s="1"/>
      <c r="E2877" s="1"/>
      <c r="F2877" s="1"/>
      <c r="G2877" s="1"/>
      <c r="H2877" s="1"/>
    </row>
    <row r="2878" spans="1:8" ht="12.5">
      <c r="A2878" s="1"/>
      <c r="B2878" s="1"/>
      <c r="C2878" s="1"/>
      <c r="D2878" s="1"/>
      <c r="E2878" s="1"/>
      <c r="F2878" s="1"/>
      <c r="G2878" s="1"/>
      <c r="H2878" s="1"/>
    </row>
    <row r="2879" spans="1:8" ht="12.5">
      <c r="A2879" s="1"/>
      <c r="B2879" s="1"/>
      <c r="C2879" s="1"/>
      <c r="D2879" s="1"/>
      <c r="E2879" s="1"/>
      <c r="F2879" s="1"/>
      <c r="G2879" s="1"/>
      <c r="H2879" s="1"/>
    </row>
    <row r="2880" spans="1:8" ht="12.5">
      <c r="A2880" s="1"/>
      <c r="B2880" s="1"/>
      <c r="C2880" s="1"/>
      <c r="D2880" s="1"/>
      <c r="E2880" s="1"/>
      <c r="F2880" s="1"/>
      <c r="G2880" s="1"/>
      <c r="H2880" s="1"/>
    </row>
    <row r="2881" spans="1:8" ht="12.5">
      <c r="A2881" s="1"/>
      <c r="B2881" s="1"/>
      <c r="C2881" s="1"/>
      <c r="D2881" s="1"/>
      <c r="E2881" s="1"/>
      <c r="F2881" s="1"/>
      <c r="G2881" s="1"/>
      <c r="H2881" s="1"/>
    </row>
    <row r="2882" spans="1:8" ht="12.5">
      <c r="A2882" s="1"/>
      <c r="B2882" s="1"/>
      <c r="C2882" s="1"/>
      <c r="D2882" s="1"/>
      <c r="E2882" s="1"/>
      <c r="F2882" s="1"/>
      <c r="G2882" s="1"/>
      <c r="H2882" s="1"/>
    </row>
    <row r="2883" spans="1:8" ht="12.5">
      <c r="A2883" s="1"/>
      <c r="B2883" s="1"/>
      <c r="C2883" s="1"/>
      <c r="D2883" s="1"/>
      <c r="E2883" s="1"/>
      <c r="F2883" s="1"/>
      <c r="G2883" s="1"/>
      <c r="H2883" s="1"/>
    </row>
    <row r="2884" spans="1:8" ht="12.5">
      <c r="A2884" s="1"/>
      <c r="B2884" s="1"/>
      <c r="C2884" s="1"/>
      <c r="D2884" s="1"/>
      <c r="E2884" s="1"/>
      <c r="F2884" s="1"/>
      <c r="G2884" s="1"/>
      <c r="H2884" s="1"/>
    </row>
    <row r="2885" spans="1:8" ht="12.5">
      <c r="A2885" s="1"/>
      <c r="B2885" s="1"/>
      <c r="C2885" s="1"/>
      <c r="D2885" s="1"/>
      <c r="E2885" s="1"/>
      <c r="F2885" s="1"/>
      <c r="G2885" s="1"/>
      <c r="H2885" s="1"/>
    </row>
    <row r="2886" spans="1:8" ht="12.5">
      <c r="A2886" s="1"/>
      <c r="B2886" s="1"/>
      <c r="C2886" s="1"/>
      <c r="D2886" s="1"/>
      <c r="E2886" s="1"/>
      <c r="F2886" s="1"/>
      <c r="G2886" s="1"/>
      <c r="H2886" s="1"/>
    </row>
    <row r="2887" spans="1:8" ht="12.5">
      <c r="A2887" s="1"/>
      <c r="B2887" s="1"/>
      <c r="C2887" s="1"/>
      <c r="D2887" s="1"/>
      <c r="E2887" s="1"/>
      <c r="F2887" s="1"/>
      <c r="G2887" s="1"/>
      <c r="H2887" s="1"/>
    </row>
    <row r="2888" spans="1:8" ht="12.5">
      <c r="A2888" s="1"/>
      <c r="B2888" s="1"/>
      <c r="C2888" s="1"/>
      <c r="D2888" s="1"/>
      <c r="E2888" s="1"/>
      <c r="F2888" s="1"/>
      <c r="G2888" s="1"/>
      <c r="H2888" s="1"/>
    </row>
    <row r="2889" spans="1:8" ht="12.5">
      <c r="A2889" s="1"/>
      <c r="B2889" s="1"/>
      <c r="C2889" s="1"/>
      <c r="D2889" s="1"/>
      <c r="E2889" s="1"/>
      <c r="F2889" s="1"/>
      <c r="G2889" s="1"/>
      <c r="H2889" s="1"/>
    </row>
    <row r="2890" spans="1:8" ht="12.5">
      <c r="A2890" s="1"/>
      <c r="B2890" s="1"/>
      <c r="C2890" s="1"/>
      <c r="D2890" s="1"/>
      <c r="E2890" s="1"/>
      <c r="F2890" s="1"/>
      <c r="G2890" s="1"/>
      <c r="H2890" s="1"/>
    </row>
    <row r="2891" spans="1:8" ht="12.5">
      <c r="A2891" s="1"/>
      <c r="B2891" s="1"/>
      <c r="C2891" s="1"/>
      <c r="D2891" s="1"/>
      <c r="E2891" s="1"/>
      <c r="F2891" s="1"/>
      <c r="G2891" s="1"/>
      <c r="H2891" s="1"/>
    </row>
    <row r="2892" spans="1:8" ht="12.5">
      <c r="A2892" s="1"/>
      <c r="B2892" s="1"/>
      <c r="C2892" s="1"/>
      <c r="D2892" s="1"/>
      <c r="E2892" s="1"/>
      <c r="F2892" s="1"/>
      <c r="G2892" s="1"/>
      <c r="H2892" s="1"/>
    </row>
    <row r="2893" spans="1:8" ht="12.5">
      <c r="A2893" s="1"/>
      <c r="B2893" s="1"/>
      <c r="C2893" s="1"/>
      <c r="D2893" s="1"/>
      <c r="E2893" s="1"/>
      <c r="F2893" s="1"/>
      <c r="G2893" s="1"/>
      <c r="H2893" s="1"/>
    </row>
    <row r="2894" spans="1:8" ht="12.5">
      <c r="A2894" s="1"/>
      <c r="B2894" s="1"/>
      <c r="C2894" s="1"/>
      <c r="D2894" s="1"/>
      <c r="E2894" s="1"/>
      <c r="F2894" s="1"/>
      <c r="G2894" s="1"/>
      <c r="H2894" s="1"/>
    </row>
    <row r="2895" spans="1:8" ht="12.5">
      <c r="A2895" s="1"/>
      <c r="B2895" s="1"/>
      <c r="C2895" s="1"/>
      <c r="D2895" s="1"/>
      <c r="E2895" s="1"/>
      <c r="F2895" s="1"/>
      <c r="G2895" s="1"/>
      <c r="H2895" s="1"/>
    </row>
    <row r="2896" spans="1:8" ht="12.5">
      <c r="A2896" s="1"/>
      <c r="B2896" s="1"/>
      <c r="C2896" s="1"/>
      <c r="D2896" s="1"/>
      <c r="E2896" s="1"/>
      <c r="F2896" s="1"/>
      <c r="G2896" s="1"/>
      <c r="H2896" s="1"/>
    </row>
    <row r="2897" spans="1:8" ht="12.5">
      <c r="A2897" s="1"/>
      <c r="B2897" s="1"/>
      <c r="C2897" s="1"/>
      <c r="D2897" s="1"/>
      <c r="E2897" s="1"/>
      <c r="F2897" s="1"/>
      <c r="G2897" s="1"/>
      <c r="H2897" s="1"/>
    </row>
    <row r="2898" spans="1:8" ht="12.5">
      <c r="A2898" s="1"/>
      <c r="B2898" s="1"/>
      <c r="C2898" s="1"/>
      <c r="D2898" s="1"/>
      <c r="E2898" s="1"/>
      <c r="F2898" s="1"/>
      <c r="G2898" s="1"/>
      <c r="H2898" s="1"/>
    </row>
    <row r="2899" spans="1:8" ht="12.5">
      <c r="A2899" s="1"/>
      <c r="B2899" s="1"/>
      <c r="C2899" s="1"/>
      <c r="D2899" s="1"/>
      <c r="E2899" s="1"/>
      <c r="F2899" s="1"/>
      <c r="G2899" s="1"/>
      <c r="H2899" s="1"/>
    </row>
    <row r="2900" spans="1:8" ht="12.5">
      <c r="A2900" s="1"/>
      <c r="B2900" s="1"/>
      <c r="C2900" s="1"/>
      <c r="D2900" s="1"/>
      <c r="E2900" s="1"/>
      <c r="F2900" s="1"/>
      <c r="G2900" s="1"/>
      <c r="H2900" s="1"/>
    </row>
    <row r="2901" spans="1:8" ht="12.5">
      <c r="A2901" s="1"/>
      <c r="B2901" s="1"/>
      <c r="C2901" s="1"/>
      <c r="D2901" s="1"/>
      <c r="E2901" s="1"/>
      <c r="F2901" s="1"/>
      <c r="G2901" s="1"/>
      <c r="H2901" s="1"/>
    </row>
    <row r="2902" spans="1:8" ht="12.5">
      <c r="A2902" s="1"/>
      <c r="B2902" s="1"/>
      <c r="C2902" s="1"/>
      <c r="D2902" s="1"/>
      <c r="E2902" s="1"/>
      <c r="F2902" s="1"/>
      <c r="G2902" s="1"/>
      <c r="H2902" s="1"/>
    </row>
    <row r="2903" spans="1:8" ht="12.5">
      <c r="A2903" s="1"/>
      <c r="B2903" s="1"/>
      <c r="C2903" s="1"/>
      <c r="D2903" s="1"/>
      <c r="E2903" s="1"/>
      <c r="F2903" s="1"/>
      <c r="G2903" s="1"/>
      <c r="H2903" s="1"/>
    </row>
    <row r="2904" spans="1:8" ht="12.5">
      <c r="A2904" s="1"/>
      <c r="B2904" s="1"/>
      <c r="C2904" s="1"/>
      <c r="D2904" s="1"/>
      <c r="E2904" s="1"/>
      <c r="F2904" s="1"/>
      <c r="G2904" s="1"/>
      <c r="H2904" s="1"/>
    </row>
    <row r="2905" spans="1:8" ht="12.5">
      <c r="A2905" s="1"/>
      <c r="B2905" s="1"/>
      <c r="C2905" s="1"/>
      <c r="D2905" s="1"/>
      <c r="E2905" s="1"/>
      <c r="F2905" s="1"/>
      <c r="G2905" s="1"/>
      <c r="H2905" s="1"/>
    </row>
    <row r="2906" spans="1:8" ht="12.5">
      <c r="A2906" s="1"/>
      <c r="B2906" s="1"/>
      <c r="C2906" s="1"/>
      <c r="D2906" s="1"/>
      <c r="E2906" s="1"/>
      <c r="F2906" s="1"/>
      <c r="G2906" s="1"/>
      <c r="H2906" s="1"/>
    </row>
    <row r="2907" spans="1:8" ht="12.5">
      <c r="A2907" s="1"/>
      <c r="B2907" s="1"/>
      <c r="C2907" s="1"/>
      <c r="D2907" s="1"/>
      <c r="E2907" s="1"/>
      <c r="F2907" s="1"/>
      <c r="G2907" s="1"/>
      <c r="H2907" s="1"/>
    </row>
    <row r="2908" spans="1:8" ht="12.5">
      <c r="A2908" s="1"/>
      <c r="B2908" s="1"/>
      <c r="C2908" s="1"/>
      <c r="D2908" s="1"/>
      <c r="E2908" s="1"/>
      <c r="F2908" s="1"/>
      <c r="G2908" s="1"/>
      <c r="H2908" s="1"/>
    </row>
    <row r="2909" spans="1:8" ht="12.5">
      <c r="A2909" s="1"/>
      <c r="B2909" s="1"/>
      <c r="C2909" s="1"/>
      <c r="D2909" s="1"/>
      <c r="E2909" s="1"/>
      <c r="F2909" s="1"/>
      <c r="G2909" s="1"/>
      <c r="H2909" s="1"/>
    </row>
    <row r="2910" spans="1:8" ht="12.5">
      <c r="A2910" s="1"/>
      <c r="B2910" s="1"/>
      <c r="C2910" s="1"/>
      <c r="D2910" s="1"/>
      <c r="E2910" s="1"/>
      <c r="F2910" s="1"/>
      <c r="G2910" s="1"/>
      <c r="H2910" s="1"/>
    </row>
    <row r="2911" spans="1:8" ht="12.5">
      <c r="A2911" s="1"/>
      <c r="B2911" s="1"/>
      <c r="C2911" s="1"/>
      <c r="D2911" s="1"/>
      <c r="E2911" s="1"/>
      <c r="F2911" s="1"/>
      <c r="G2911" s="1"/>
      <c r="H2911" s="1"/>
    </row>
    <row r="2912" spans="1:8" ht="12.5">
      <c r="A2912" s="1"/>
      <c r="B2912" s="1"/>
      <c r="C2912" s="1"/>
      <c r="D2912" s="1"/>
      <c r="E2912" s="1"/>
      <c r="F2912" s="1"/>
      <c r="G2912" s="1"/>
      <c r="H2912" s="1"/>
    </row>
    <row r="2913" spans="1:8" ht="12.5">
      <c r="A2913" s="1"/>
      <c r="B2913" s="1"/>
      <c r="C2913" s="1"/>
      <c r="D2913" s="1"/>
      <c r="E2913" s="1"/>
      <c r="F2913" s="1"/>
      <c r="G2913" s="1"/>
      <c r="H2913" s="1"/>
    </row>
    <row r="2914" spans="1:8" ht="12.5">
      <c r="A2914" s="1"/>
      <c r="B2914" s="1"/>
      <c r="C2914" s="1"/>
      <c r="D2914" s="1"/>
      <c r="E2914" s="1"/>
      <c r="F2914" s="1"/>
      <c r="G2914" s="1"/>
      <c r="H2914" s="1"/>
    </row>
    <row r="2915" spans="1:8" ht="12.5">
      <c r="A2915" s="1"/>
      <c r="B2915" s="1"/>
      <c r="C2915" s="1"/>
      <c r="D2915" s="1"/>
      <c r="E2915" s="1"/>
      <c r="F2915" s="1"/>
      <c r="G2915" s="1"/>
      <c r="H2915" s="1"/>
    </row>
    <row r="2916" spans="1:8" ht="12.5">
      <c r="A2916" s="1"/>
      <c r="B2916" s="1"/>
      <c r="C2916" s="1"/>
      <c r="D2916" s="1"/>
      <c r="E2916" s="1"/>
      <c r="F2916" s="1"/>
      <c r="G2916" s="1"/>
      <c r="H2916" s="1"/>
    </row>
    <row r="2917" spans="1:8" ht="12.5">
      <c r="A2917" s="1"/>
      <c r="B2917" s="1"/>
      <c r="C2917" s="1"/>
      <c r="D2917" s="1"/>
      <c r="E2917" s="1"/>
      <c r="F2917" s="1"/>
      <c r="G2917" s="1"/>
      <c r="H2917" s="1"/>
    </row>
    <row r="2918" spans="1:8" ht="12.5">
      <c r="A2918" s="1"/>
      <c r="B2918" s="1"/>
      <c r="C2918" s="1"/>
      <c r="D2918" s="1"/>
      <c r="E2918" s="1"/>
      <c r="F2918" s="1"/>
      <c r="G2918" s="1"/>
      <c r="H2918" s="1"/>
    </row>
    <row r="2919" spans="1:8" ht="12.5">
      <c r="A2919" s="1"/>
      <c r="B2919" s="1"/>
      <c r="C2919" s="1"/>
      <c r="D2919" s="1"/>
      <c r="E2919" s="1"/>
      <c r="F2919" s="1"/>
      <c r="G2919" s="1"/>
      <c r="H2919" s="1"/>
    </row>
    <row r="2920" spans="1:8" ht="12.5">
      <c r="A2920" s="1"/>
      <c r="B2920" s="1"/>
      <c r="C2920" s="1"/>
      <c r="D2920" s="1"/>
      <c r="E2920" s="1"/>
      <c r="F2920" s="1"/>
      <c r="G2920" s="1"/>
      <c r="H2920" s="1"/>
    </row>
    <row r="2921" spans="1:8" ht="12.5">
      <c r="A2921" s="1"/>
      <c r="B2921" s="1"/>
      <c r="C2921" s="1"/>
      <c r="D2921" s="1"/>
      <c r="E2921" s="1"/>
      <c r="F2921" s="1"/>
      <c r="G2921" s="1"/>
      <c r="H2921" s="1"/>
    </row>
    <row r="2922" spans="1:8" ht="12.5">
      <c r="A2922" s="1"/>
      <c r="B2922" s="1"/>
      <c r="C2922" s="1"/>
      <c r="D2922" s="1"/>
      <c r="E2922" s="1"/>
      <c r="F2922" s="1"/>
      <c r="G2922" s="1"/>
      <c r="H2922" s="1"/>
    </row>
    <row r="2923" spans="1:8" ht="12.5">
      <c r="A2923" s="1"/>
      <c r="B2923" s="1"/>
      <c r="C2923" s="1"/>
      <c r="D2923" s="1"/>
      <c r="E2923" s="1"/>
      <c r="F2923" s="1"/>
      <c r="G2923" s="1"/>
      <c r="H2923" s="1"/>
    </row>
    <row r="2924" spans="1:8" ht="12.5">
      <c r="A2924" s="1"/>
      <c r="B2924" s="1"/>
      <c r="C2924" s="1"/>
      <c r="D2924" s="1"/>
      <c r="E2924" s="1"/>
      <c r="F2924" s="1"/>
      <c r="G2924" s="1"/>
      <c r="H2924" s="1"/>
    </row>
    <row r="2925" spans="1:8" ht="12.5">
      <c r="A2925" s="1"/>
      <c r="B2925" s="1"/>
      <c r="C2925" s="1"/>
      <c r="D2925" s="1"/>
      <c r="E2925" s="1"/>
      <c r="F2925" s="1"/>
      <c r="G2925" s="1"/>
      <c r="H2925" s="1"/>
    </row>
    <row r="2926" spans="1:8" ht="12.5">
      <c r="A2926" s="1"/>
      <c r="B2926" s="1"/>
      <c r="C2926" s="1"/>
      <c r="D2926" s="1"/>
      <c r="E2926" s="1"/>
      <c r="F2926" s="1"/>
      <c r="G2926" s="1"/>
      <c r="H2926" s="1"/>
    </row>
    <row r="2927" spans="1:8" ht="12.5">
      <c r="A2927" s="1"/>
      <c r="B2927" s="1"/>
      <c r="C2927" s="1"/>
      <c r="D2927" s="1"/>
      <c r="E2927" s="1"/>
      <c r="F2927" s="1"/>
      <c r="G2927" s="1"/>
      <c r="H2927" s="1"/>
    </row>
    <row r="2928" spans="1:8" ht="12.5">
      <c r="A2928" s="1"/>
      <c r="B2928" s="1"/>
      <c r="C2928" s="1"/>
      <c r="D2928" s="1"/>
      <c r="E2928" s="1"/>
      <c r="F2928" s="1"/>
      <c r="G2928" s="1"/>
      <c r="H2928" s="1"/>
    </row>
    <row r="2929" spans="1:8" ht="12.5">
      <c r="A2929" s="1"/>
      <c r="B2929" s="1"/>
      <c r="C2929" s="1"/>
      <c r="D2929" s="1"/>
      <c r="E2929" s="1"/>
      <c r="F2929" s="1"/>
      <c r="G2929" s="1"/>
      <c r="H2929" s="1"/>
    </row>
    <row r="2930" spans="1:8" ht="12.5">
      <c r="A2930" s="1"/>
      <c r="B2930" s="1"/>
      <c r="C2930" s="1"/>
      <c r="D2930" s="1"/>
      <c r="E2930" s="1"/>
      <c r="F2930" s="1"/>
      <c r="G2930" s="1"/>
      <c r="H2930" s="1"/>
    </row>
    <row r="2931" spans="1:8" ht="12.5">
      <c r="A2931" s="1"/>
      <c r="B2931" s="1"/>
      <c r="C2931" s="1"/>
      <c r="D2931" s="1"/>
      <c r="E2931" s="1"/>
      <c r="F2931" s="1"/>
      <c r="G2931" s="1"/>
      <c r="H2931" s="1"/>
    </row>
    <row r="2932" spans="1:8" ht="12.5">
      <c r="A2932" s="1"/>
      <c r="B2932" s="1"/>
      <c r="C2932" s="1"/>
      <c r="D2932" s="1"/>
      <c r="E2932" s="1"/>
      <c r="F2932" s="1"/>
      <c r="G2932" s="1"/>
      <c r="H2932" s="1"/>
    </row>
    <row r="2933" spans="1:8" ht="12.5">
      <c r="A2933" s="1"/>
      <c r="B2933" s="1"/>
      <c r="C2933" s="1"/>
      <c r="D2933" s="1"/>
      <c r="E2933" s="1"/>
      <c r="F2933" s="1"/>
      <c r="G2933" s="1"/>
      <c r="H2933" s="1"/>
    </row>
    <row r="2934" spans="1:8" ht="12.5">
      <c r="A2934" s="1"/>
      <c r="B2934" s="1"/>
      <c r="C2934" s="1"/>
      <c r="D2934" s="1"/>
      <c r="E2934" s="1"/>
      <c r="F2934" s="1"/>
      <c r="G2934" s="1"/>
      <c r="H2934" s="1"/>
    </row>
    <row r="2935" spans="1:8" ht="12.5">
      <c r="A2935" s="1"/>
      <c r="B2935" s="1"/>
      <c r="C2935" s="1"/>
      <c r="D2935" s="1"/>
      <c r="E2935" s="1"/>
      <c r="F2935" s="1"/>
      <c r="G2935" s="1"/>
      <c r="H2935" s="1"/>
    </row>
    <row r="2936" spans="1:8" ht="12.5">
      <c r="A2936" s="1"/>
      <c r="B2936" s="1"/>
      <c r="C2936" s="1"/>
      <c r="D2936" s="1"/>
      <c r="E2936" s="1"/>
      <c r="F2936" s="1"/>
      <c r="G2936" s="1"/>
      <c r="H2936" s="1"/>
    </row>
    <row r="2937" spans="1:8" ht="12.5">
      <c r="A2937" s="1"/>
      <c r="B2937" s="1"/>
      <c r="C2937" s="1"/>
      <c r="D2937" s="1"/>
      <c r="E2937" s="1"/>
      <c r="F2937" s="1"/>
      <c r="G2937" s="1"/>
      <c r="H2937" s="1"/>
    </row>
    <row r="2938" spans="1:8" ht="12.5">
      <c r="A2938" s="1"/>
      <c r="B2938" s="1"/>
      <c r="C2938" s="1"/>
      <c r="D2938" s="1"/>
      <c r="E2938" s="1"/>
      <c r="F2938" s="1"/>
      <c r="G2938" s="1"/>
      <c r="H2938" s="1"/>
    </row>
    <row r="2939" spans="1:8" ht="12.5">
      <c r="A2939" s="1"/>
      <c r="B2939" s="1"/>
      <c r="C2939" s="1"/>
      <c r="D2939" s="1"/>
      <c r="E2939" s="1"/>
      <c r="F2939" s="1"/>
      <c r="G2939" s="1"/>
      <c r="H2939" s="1"/>
    </row>
    <row r="2940" spans="1:8" ht="12.5">
      <c r="A2940" s="1"/>
      <c r="B2940" s="1"/>
      <c r="C2940" s="1"/>
      <c r="D2940" s="1"/>
      <c r="E2940" s="1"/>
      <c r="F2940" s="1"/>
      <c r="G2940" s="1"/>
      <c r="H2940" s="1"/>
    </row>
    <row r="2941" spans="1:8" ht="12.5">
      <c r="A2941" s="1"/>
      <c r="B2941" s="1"/>
      <c r="C2941" s="1"/>
      <c r="D2941" s="1"/>
      <c r="E2941" s="1"/>
      <c r="F2941" s="1"/>
      <c r="G2941" s="1"/>
      <c r="H2941" s="1"/>
    </row>
    <row r="2942" spans="1:8" ht="12.5">
      <c r="A2942" s="1"/>
      <c r="B2942" s="1"/>
      <c r="C2942" s="1"/>
      <c r="D2942" s="1"/>
      <c r="E2942" s="1"/>
      <c r="F2942" s="1"/>
      <c r="G2942" s="1"/>
      <c r="H2942" s="1"/>
    </row>
    <row r="2943" spans="1:8" ht="12.5">
      <c r="A2943" s="1"/>
      <c r="B2943" s="1"/>
      <c r="C2943" s="1"/>
      <c r="D2943" s="1"/>
      <c r="E2943" s="1"/>
      <c r="F2943" s="1"/>
      <c r="G2943" s="1"/>
      <c r="H2943" s="1"/>
    </row>
    <row r="2944" spans="1:8" ht="12.5">
      <c r="A2944" s="1"/>
      <c r="B2944" s="1"/>
      <c r="C2944" s="1"/>
      <c r="D2944" s="1"/>
      <c r="E2944" s="1"/>
      <c r="F2944" s="1"/>
      <c r="G2944" s="1"/>
      <c r="H2944" s="1"/>
    </row>
    <row r="2945" spans="1:8" ht="12.5">
      <c r="A2945" s="1"/>
      <c r="B2945" s="1"/>
      <c r="C2945" s="1"/>
      <c r="D2945" s="1"/>
      <c r="E2945" s="1"/>
      <c r="F2945" s="1"/>
      <c r="G2945" s="1"/>
      <c r="H2945" s="1"/>
    </row>
    <row r="2946" spans="1:8" ht="12.5">
      <c r="A2946" s="1"/>
      <c r="B2946" s="1"/>
      <c r="C2946" s="1"/>
      <c r="D2946" s="1"/>
      <c r="E2946" s="1"/>
      <c r="F2946" s="1"/>
      <c r="G2946" s="1"/>
      <c r="H2946" s="1"/>
    </row>
    <row r="2947" spans="1:8" ht="12.5">
      <c r="A2947" s="1"/>
      <c r="B2947" s="1"/>
      <c r="C2947" s="1"/>
      <c r="D2947" s="1"/>
      <c r="E2947" s="1"/>
      <c r="F2947" s="1"/>
      <c r="G2947" s="1"/>
      <c r="H2947" s="1"/>
    </row>
    <row r="2948" spans="1:8" ht="12.5">
      <c r="A2948" s="1"/>
      <c r="B2948" s="1"/>
      <c r="C2948" s="1"/>
      <c r="D2948" s="1"/>
      <c r="E2948" s="1"/>
      <c r="F2948" s="1"/>
      <c r="G2948" s="1"/>
      <c r="H2948" s="1"/>
    </row>
    <row r="2949" spans="1:8" ht="12.5">
      <c r="A2949" s="1"/>
      <c r="B2949" s="1"/>
      <c r="C2949" s="1"/>
      <c r="D2949" s="1"/>
      <c r="E2949" s="1"/>
      <c r="F2949" s="1"/>
      <c r="G2949" s="1"/>
      <c r="H2949" s="1"/>
    </row>
    <row r="2950" spans="1:8" ht="12.5">
      <c r="A2950" s="1"/>
      <c r="B2950" s="1"/>
      <c r="C2950" s="1"/>
      <c r="D2950" s="1"/>
      <c r="E2950" s="1"/>
      <c r="F2950" s="1"/>
      <c r="G2950" s="1"/>
      <c r="H2950" s="1"/>
    </row>
    <row r="2951" spans="1:8" ht="12.5">
      <c r="A2951" s="1"/>
      <c r="B2951" s="1"/>
      <c r="C2951" s="1"/>
      <c r="D2951" s="1"/>
      <c r="E2951" s="1"/>
      <c r="F2951" s="1"/>
      <c r="G2951" s="1"/>
      <c r="H2951" s="1"/>
    </row>
    <row r="2952" spans="1:8" ht="12.5">
      <c r="A2952" s="1"/>
      <c r="B2952" s="1"/>
      <c r="C2952" s="1"/>
      <c r="D2952" s="1"/>
      <c r="E2952" s="1"/>
      <c r="F2952" s="1"/>
      <c r="G2952" s="1"/>
      <c r="H2952" s="1"/>
    </row>
    <row r="2953" spans="1:8" ht="12.5">
      <c r="A2953" s="1"/>
      <c r="B2953" s="1"/>
      <c r="C2953" s="1"/>
      <c r="D2953" s="1"/>
      <c r="E2953" s="1"/>
      <c r="F2953" s="1"/>
      <c r="G2953" s="1"/>
      <c r="H2953" s="1"/>
    </row>
    <row r="2954" spans="1:8" ht="12.5">
      <c r="A2954" s="1"/>
      <c r="B2954" s="1"/>
      <c r="C2954" s="1"/>
      <c r="D2954" s="1"/>
      <c r="E2954" s="1"/>
      <c r="F2954" s="1"/>
      <c r="G2954" s="1"/>
      <c r="H2954" s="1"/>
    </row>
    <row r="2955" spans="1:8" ht="12.5">
      <c r="A2955" s="1"/>
      <c r="B2955" s="1"/>
      <c r="C2955" s="1"/>
      <c r="D2955" s="1"/>
      <c r="E2955" s="1"/>
      <c r="F2955" s="1"/>
      <c r="G2955" s="1"/>
      <c r="H2955" s="1"/>
    </row>
    <row r="2956" spans="1:8" ht="12.5">
      <c r="A2956" s="1"/>
      <c r="B2956" s="1"/>
      <c r="C2956" s="1"/>
      <c r="D2956" s="1"/>
      <c r="E2956" s="1"/>
      <c r="F2956" s="1"/>
      <c r="G2956" s="1"/>
      <c r="H2956" s="1"/>
    </row>
    <row r="2957" spans="1:8" ht="12.5">
      <c r="A2957" s="1"/>
      <c r="B2957" s="1"/>
      <c r="C2957" s="1"/>
      <c r="D2957" s="1"/>
      <c r="E2957" s="1"/>
      <c r="F2957" s="1"/>
      <c r="G2957" s="1"/>
      <c r="H2957" s="1"/>
    </row>
    <row r="2958" spans="1:8" ht="12.5">
      <c r="A2958" s="1"/>
      <c r="B2958" s="1"/>
      <c r="C2958" s="1"/>
      <c r="D2958" s="1"/>
      <c r="E2958" s="1"/>
      <c r="F2958" s="1"/>
      <c r="G2958" s="1"/>
      <c r="H2958" s="1"/>
    </row>
    <row r="2959" spans="1:8" ht="12.5">
      <c r="A2959" s="1"/>
      <c r="B2959" s="1"/>
      <c r="C2959" s="1"/>
      <c r="D2959" s="1"/>
      <c r="E2959" s="1"/>
      <c r="F2959" s="1"/>
      <c r="G2959" s="1"/>
      <c r="H2959" s="1"/>
    </row>
    <row r="2960" spans="1:8" ht="12.5">
      <c r="A2960" s="1"/>
      <c r="B2960" s="1"/>
      <c r="C2960" s="1"/>
      <c r="D2960" s="1"/>
      <c r="E2960" s="1"/>
      <c r="F2960" s="1"/>
      <c r="G2960" s="1"/>
      <c r="H2960" s="1"/>
    </row>
    <row r="2961" spans="1:8" ht="12.5">
      <c r="A2961" s="1"/>
      <c r="B2961" s="1"/>
      <c r="C2961" s="1"/>
      <c r="D2961" s="1"/>
      <c r="E2961" s="1"/>
      <c r="F2961" s="1"/>
      <c r="G2961" s="1"/>
      <c r="H2961" s="1"/>
    </row>
    <row r="2962" spans="1:8" ht="12.5">
      <c r="A2962" s="1"/>
      <c r="B2962" s="1"/>
      <c r="C2962" s="1"/>
      <c r="D2962" s="1"/>
      <c r="E2962" s="1"/>
      <c r="F2962" s="1"/>
      <c r="G2962" s="1"/>
      <c r="H2962" s="1"/>
    </row>
    <row r="2963" spans="1:8" ht="12.5">
      <c r="A2963" s="1"/>
      <c r="B2963" s="1"/>
      <c r="C2963" s="1"/>
      <c r="D2963" s="1"/>
      <c r="E2963" s="1"/>
      <c r="F2963" s="1"/>
      <c r="G2963" s="1"/>
      <c r="H2963" s="1"/>
    </row>
    <row r="2964" spans="1:8" ht="12.5">
      <c r="A2964" s="1"/>
      <c r="B2964" s="1"/>
      <c r="C2964" s="1"/>
      <c r="D2964" s="1"/>
      <c r="E2964" s="1"/>
      <c r="F2964" s="1"/>
      <c r="G2964" s="1"/>
      <c r="H2964" s="1"/>
    </row>
    <row r="2965" spans="1:8" ht="12.5">
      <c r="A2965" s="1"/>
      <c r="B2965" s="1"/>
      <c r="C2965" s="1"/>
      <c r="D2965" s="1"/>
      <c r="E2965" s="1"/>
      <c r="F2965" s="1"/>
      <c r="G2965" s="1"/>
      <c r="H2965" s="1"/>
    </row>
    <row r="2966" spans="1:8" ht="12.5">
      <c r="A2966" s="1"/>
      <c r="B2966" s="1"/>
      <c r="C2966" s="1"/>
      <c r="D2966" s="1"/>
      <c r="E2966" s="1"/>
      <c r="F2966" s="1"/>
      <c r="G2966" s="1"/>
      <c r="H2966" s="1"/>
    </row>
    <row r="2967" spans="1:8" ht="12.5">
      <c r="A2967" s="1"/>
      <c r="B2967" s="1"/>
      <c r="C2967" s="1"/>
      <c r="D2967" s="1"/>
      <c r="E2967" s="1"/>
      <c r="F2967" s="1"/>
      <c r="G2967" s="1"/>
      <c r="H2967" s="1"/>
    </row>
    <row r="2968" spans="1:8" ht="12.5">
      <c r="A2968" s="1"/>
      <c r="B2968" s="1"/>
      <c r="C2968" s="1"/>
      <c r="D2968" s="1"/>
      <c r="E2968" s="1"/>
      <c r="F2968" s="1"/>
      <c r="G2968" s="1"/>
      <c r="H2968" s="1"/>
    </row>
    <row r="2969" spans="1:8" ht="12.5">
      <c r="A2969" s="1"/>
      <c r="B2969" s="1"/>
      <c r="C2969" s="1"/>
      <c r="D2969" s="1"/>
      <c r="E2969" s="1"/>
      <c r="F2969" s="1"/>
      <c r="G2969" s="1"/>
      <c r="H2969" s="1"/>
    </row>
    <row r="2970" spans="1:8" ht="12.5">
      <c r="A2970" s="1"/>
      <c r="B2970" s="1"/>
      <c r="C2970" s="1"/>
      <c r="D2970" s="1"/>
      <c r="E2970" s="1"/>
      <c r="F2970" s="1"/>
      <c r="G2970" s="1"/>
      <c r="H2970" s="1"/>
    </row>
    <row r="2971" spans="1:8" ht="12.5">
      <c r="A2971" s="1"/>
      <c r="B2971" s="1"/>
      <c r="C2971" s="1"/>
      <c r="D2971" s="1"/>
      <c r="E2971" s="1"/>
      <c r="F2971" s="1"/>
      <c r="G2971" s="1"/>
      <c r="H2971" s="1"/>
    </row>
    <row r="2972" spans="1:8" ht="12.5">
      <c r="A2972" s="1"/>
      <c r="B2972" s="1"/>
      <c r="C2972" s="1"/>
      <c r="D2972" s="1"/>
      <c r="E2972" s="1"/>
      <c r="F2972" s="1"/>
      <c r="G2972" s="1"/>
      <c r="H2972" s="1"/>
    </row>
    <row r="2973" spans="1:8" ht="12.5">
      <c r="A2973" s="1"/>
      <c r="B2973" s="1"/>
      <c r="C2973" s="1"/>
      <c r="D2973" s="1"/>
      <c r="E2973" s="1"/>
      <c r="F2973" s="1"/>
      <c r="G2973" s="1"/>
      <c r="H2973" s="1"/>
    </row>
    <row r="2974" spans="1:8" ht="12.5">
      <c r="A2974" s="1"/>
      <c r="B2974" s="1"/>
      <c r="C2974" s="1"/>
      <c r="D2974" s="1"/>
      <c r="E2974" s="1"/>
      <c r="F2974" s="1"/>
      <c r="G2974" s="1"/>
      <c r="H2974" s="1"/>
    </row>
    <row r="2975" spans="1:8" ht="12.5">
      <c r="A2975" s="1"/>
      <c r="B2975" s="1"/>
      <c r="C2975" s="1"/>
      <c r="D2975" s="1"/>
      <c r="E2975" s="1"/>
      <c r="F2975" s="1"/>
      <c r="G2975" s="1"/>
      <c r="H2975" s="1"/>
    </row>
    <row r="2976" spans="1:8" ht="12.5">
      <c r="A2976" s="1"/>
      <c r="B2976" s="1"/>
      <c r="C2976" s="1"/>
      <c r="D2976" s="1"/>
      <c r="E2976" s="1"/>
      <c r="F2976" s="1"/>
      <c r="G2976" s="1"/>
      <c r="H2976" s="1"/>
    </row>
    <row r="2977" spans="1:8" ht="12.5">
      <c r="A2977" s="1"/>
      <c r="B2977" s="1"/>
      <c r="C2977" s="1"/>
      <c r="D2977" s="1"/>
      <c r="E2977" s="1"/>
      <c r="F2977" s="1"/>
      <c r="G2977" s="1"/>
      <c r="H2977" s="1"/>
    </row>
    <row r="2978" spans="1:8" ht="12.5">
      <c r="A2978" s="1"/>
      <c r="B2978" s="1"/>
      <c r="C2978" s="1"/>
      <c r="D2978" s="1"/>
      <c r="E2978" s="1"/>
      <c r="F2978" s="1"/>
      <c r="G2978" s="1"/>
      <c r="H2978" s="1"/>
    </row>
    <row r="2979" spans="1:8" ht="12.5">
      <c r="A2979" s="1"/>
      <c r="B2979" s="1"/>
      <c r="C2979" s="1"/>
      <c r="D2979" s="1"/>
      <c r="E2979" s="1"/>
      <c r="F2979" s="1"/>
      <c r="G2979" s="1"/>
      <c r="H2979" s="1"/>
    </row>
    <row r="2980" spans="1:8" ht="12.5">
      <c r="A2980" s="1"/>
      <c r="B2980" s="1"/>
      <c r="C2980" s="1"/>
      <c r="D2980" s="1"/>
      <c r="E2980" s="1"/>
      <c r="F2980" s="1"/>
      <c r="G2980" s="1"/>
      <c r="H2980" s="1"/>
    </row>
    <row r="2981" spans="1:8" ht="12.5">
      <c r="A2981" s="1"/>
      <c r="B2981" s="1"/>
      <c r="C2981" s="1"/>
      <c r="D2981" s="1"/>
      <c r="E2981" s="1"/>
      <c r="F2981" s="1"/>
      <c r="G2981" s="1"/>
      <c r="H2981" s="1"/>
    </row>
    <row r="2982" spans="1:8" ht="12.5">
      <c r="A2982" s="1"/>
      <c r="B2982" s="1"/>
      <c r="C2982" s="1"/>
      <c r="D2982" s="1"/>
      <c r="E2982" s="1"/>
      <c r="F2982" s="1"/>
      <c r="G2982" s="1"/>
      <c r="H2982" s="1"/>
    </row>
    <row r="2983" spans="1:8" ht="12.5">
      <c r="A2983" s="1"/>
      <c r="B2983" s="1"/>
      <c r="C2983" s="1"/>
      <c r="D2983" s="1"/>
      <c r="E2983" s="1"/>
      <c r="F2983" s="1"/>
      <c r="G2983" s="1"/>
      <c r="H2983" s="1"/>
    </row>
    <row r="2984" spans="1:8" ht="12.5">
      <c r="A2984" s="1"/>
      <c r="B2984" s="1"/>
      <c r="C2984" s="1"/>
      <c r="D2984" s="1"/>
      <c r="E2984" s="1"/>
      <c r="F2984" s="1"/>
      <c r="G2984" s="1"/>
      <c r="H2984" s="1"/>
    </row>
    <row r="2985" spans="1:8" ht="12.5">
      <c r="A2985" s="1"/>
      <c r="B2985" s="1"/>
      <c r="C2985" s="1"/>
      <c r="D2985" s="1"/>
      <c r="E2985" s="1"/>
      <c r="F2985" s="1"/>
      <c r="G2985" s="1"/>
      <c r="H2985" s="1"/>
    </row>
    <row r="2986" spans="1:8" ht="12.5">
      <c r="A2986" s="1"/>
      <c r="B2986" s="1"/>
      <c r="C2986" s="1"/>
      <c r="D2986" s="1"/>
      <c r="E2986" s="1"/>
      <c r="F2986" s="1"/>
      <c r="G2986" s="1"/>
      <c r="H2986" s="1"/>
    </row>
    <row r="2987" spans="1:8" ht="12.5">
      <c r="A2987" s="1"/>
      <c r="B2987" s="1"/>
      <c r="C2987" s="1"/>
      <c r="D2987" s="1"/>
      <c r="E2987" s="1"/>
      <c r="F2987" s="1"/>
      <c r="G2987" s="1"/>
      <c r="H2987" s="1"/>
    </row>
    <row r="2988" spans="1:8" ht="12.5">
      <c r="A2988" s="1"/>
      <c r="B2988" s="1"/>
      <c r="C2988" s="1"/>
      <c r="D2988" s="1"/>
      <c r="E2988" s="1"/>
      <c r="F2988" s="1"/>
      <c r="G2988" s="1"/>
      <c r="H2988" s="1"/>
    </row>
    <row r="2989" spans="1:8" ht="12.5">
      <c r="A2989" s="1"/>
      <c r="B2989" s="1"/>
      <c r="C2989" s="1"/>
      <c r="D2989" s="1"/>
      <c r="E2989" s="1"/>
      <c r="F2989" s="1"/>
      <c r="G2989" s="1"/>
      <c r="H2989" s="1"/>
    </row>
    <row r="2990" spans="1:8" ht="12.5">
      <c r="A2990" s="1"/>
      <c r="B2990" s="1"/>
      <c r="C2990" s="1"/>
      <c r="D2990" s="1"/>
      <c r="E2990" s="1"/>
      <c r="F2990" s="1"/>
      <c r="G2990" s="1"/>
      <c r="H2990" s="1"/>
    </row>
    <row r="2991" spans="1:8" ht="12.5">
      <c r="A2991" s="1"/>
      <c r="B2991" s="1"/>
      <c r="C2991" s="1"/>
      <c r="D2991" s="1"/>
      <c r="E2991" s="1"/>
      <c r="F2991" s="1"/>
      <c r="G2991" s="1"/>
      <c r="H2991" s="1"/>
    </row>
    <row r="2992" spans="1:8" ht="12.5">
      <c r="A2992" s="1"/>
      <c r="B2992" s="1"/>
      <c r="C2992" s="1"/>
      <c r="D2992" s="1"/>
      <c r="E2992" s="1"/>
      <c r="F2992" s="1"/>
      <c r="G2992" s="1"/>
      <c r="H2992" s="1"/>
    </row>
    <row r="2993" spans="1:8" ht="12.5">
      <c r="A2993" s="1"/>
      <c r="B2993" s="1"/>
      <c r="C2993" s="1"/>
      <c r="D2993" s="1"/>
      <c r="E2993" s="1"/>
      <c r="F2993" s="1"/>
      <c r="G2993" s="1"/>
      <c r="H2993" s="1"/>
    </row>
    <row r="2994" spans="1:8" ht="12.5">
      <c r="A2994" s="1"/>
      <c r="B2994" s="1"/>
      <c r="C2994" s="1"/>
      <c r="D2994" s="1"/>
      <c r="E2994" s="1"/>
      <c r="F2994" s="1"/>
      <c r="G2994" s="1"/>
      <c r="H2994" s="1"/>
    </row>
    <row r="2995" spans="1:8" ht="12.5">
      <c r="A2995" s="1"/>
      <c r="B2995" s="1"/>
      <c r="C2995" s="1"/>
      <c r="D2995" s="1"/>
      <c r="E2995" s="1"/>
      <c r="F2995" s="1"/>
      <c r="G2995" s="1"/>
      <c r="H2995" s="1"/>
    </row>
    <row r="2996" spans="1:8" ht="12.5">
      <c r="A2996" s="1"/>
      <c r="B2996" s="1"/>
      <c r="C2996" s="1"/>
      <c r="D2996" s="1"/>
      <c r="E2996" s="1"/>
      <c r="F2996" s="1"/>
      <c r="G2996" s="1"/>
      <c r="H2996" s="1"/>
    </row>
    <row r="2997" spans="1:8" ht="12.5">
      <c r="A2997" s="1"/>
      <c r="B2997" s="1"/>
      <c r="C2997" s="1"/>
      <c r="D2997" s="1"/>
      <c r="E2997" s="1"/>
      <c r="F2997" s="1"/>
      <c r="G2997" s="1"/>
      <c r="H2997" s="1"/>
    </row>
    <row r="2998" spans="1:8" ht="12.5">
      <c r="A2998" s="1"/>
      <c r="B2998" s="1"/>
      <c r="C2998" s="1"/>
      <c r="D2998" s="1"/>
      <c r="E2998" s="1"/>
      <c r="F2998" s="1"/>
      <c r="G2998" s="1"/>
      <c r="H2998" s="1"/>
    </row>
    <row r="2999" spans="1:8" ht="12.5">
      <c r="A2999" s="1"/>
      <c r="B2999" s="1"/>
      <c r="C2999" s="1"/>
      <c r="D2999" s="1"/>
      <c r="E2999" s="1"/>
      <c r="F2999" s="1"/>
      <c r="G2999" s="1"/>
      <c r="H2999" s="1"/>
    </row>
    <row r="3000" spans="1:8" ht="12.5">
      <c r="A3000" s="1"/>
      <c r="B3000" s="1"/>
      <c r="C3000" s="1"/>
      <c r="D3000" s="1"/>
      <c r="E3000" s="1"/>
      <c r="F3000" s="1"/>
      <c r="G3000" s="1"/>
      <c r="H3000" s="1"/>
    </row>
    <row r="3001" spans="1:8" ht="12.5">
      <c r="A3001" s="1"/>
      <c r="B3001" s="1"/>
      <c r="C3001" s="1"/>
      <c r="D3001" s="1"/>
      <c r="E3001" s="1"/>
      <c r="F3001" s="1"/>
      <c r="G3001" s="1"/>
      <c r="H3001" s="1"/>
    </row>
    <row r="3002" spans="1:8" ht="12.5">
      <c r="A3002" s="1"/>
      <c r="B3002" s="1"/>
      <c r="C3002" s="1"/>
      <c r="D3002" s="1"/>
      <c r="E3002" s="1"/>
      <c r="F3002" s="1"/>
      <c r="G3002" s="1"/>
      <c r="H3002" s="1"/>
    </row>
    <row r="3003" spans="1:8" ht="12.5">
      <c r="A3003" s="1"/>
      <c r="B3003" s="1"/>
      <c r="C3003" s="1"/>
      <c r="D3003" s="1"/>
      <c r="E3003" s="1"/>
      <c r="F3003" s="1"/>
      <c r="G3003" s="1"/>
      <c r="H3003" s="1"/>
    </row>
    <row r="3004" spans="1:8" ht="12.5">
      <c r="A3004" s="1"/>
      <c r="B3004" s="1"/>
      <c r="C3004" s="1"/>
      <c r="D3004" s="1"/>
      <c r="E3004" s="1"/>
      <c r="F3004" s="1"/>
      <c r="G3004" s="1"/>
      <c r="H3004" s="1"/>
    </row>
    <row r="3005" spans="1:8" ht="12.5">
      <c r="A3005" s="1"/>
      <c r="B3005" s="1"/>
      <c r="C3005" s="1"/>
      <c r="D3005" s="1"/>
      <c r="E3005" s="1"/>
      <c r="F3005" s="1"/>
      <c r="G3005" s="1"/>
      <c r="H3005" s="1"/>
    </row>
    <row r="3006" spans="1:8" ht="12.5">
      <c r="A3006" s="1"/>
      <c r="B3006" s="1"/>
      <c r="C3006" s="1"/>
      <c r="D3006" s="1"/>
      <c r="E3006" s="1"/>
      <c r="F3006" s="1"/>
      <c r="G3006" s="1"/>
      <c r="H3006" s="1"/>
    </row>
    <row r="3007" spans="1:8" ht="12.5">
      <c r="A3007" s="1"/>
      <c r="B3007" s="1"/>
      <c r="C3007" s="1"/>
      <c r="D3007" s="1"/>
      <c r="E3007" s="1"/>
      <c r="F3007" s="1"/>
      <c r="G3007" s="1"/>
      <c r="H3007" s="1"/>
    </row>
    <row r="3008" spans="1:8" ht="12.5">
      <c r="A3008" s="1"/>
      <c r="B3008" s="1"/>
      <c r="C3008" s="1"/>
      <c r="D3008" s="1"/>
      <c r="E3008" s="1"/>
      <c r="F3008" s="1"/>
      <c r="G3008" s="1"/>
      <c r="H3008" s="1"/>
    </row>
    <row r="3009" spans="1:8" ht="12.5">
      <c r="A3009" s="1"/>
      <c r="B3009" s="1"/>
      <c r="C3009" s="1"/>
      <c r="D3009" s="1"/>
      <c r="E3009" s="1"/>
      <c r="F3009" s="1"/>
      <c r="G3009" s="1"/>
      <c r="H3009" s="1"/>
    </row>
    <row r="3010" spans="1:8" ht="12.5">
      <c r="A3010" s="1"/>
      <c r="B3010" s="1"/>
      <c r="C3010" s="1"/>
      <c r="D3010" s="1"/>
      <c r="E3010" s="1"/>
      <c r="F3010" s="1"/>
      <c r="G3010" s="1"/>
      <c r="H3010" s="1"/>
    </row>
    <row r="3011" spans="1:8" ht="12.5">
      <c r="A3011" s="1"/>
      <c r="B3011" s="1"/>
      <c r="C3011" s="1"/>
      <c r="D3011" s="1"/>
      <c r="E3011" s="1"/>
      <c r="F3011" s="1"/>
      <c r="G3011" s="1"/>
      <c r="H3011" s="1"/>
    </row>
    <row r="3012" spans="1:8" ht="12.5">
      <c r="A3012" s="1"/>
      <c r="B3012" s="1"/>
      <c r="C3012" s="1"/>
      <c r="D3012" s="1"/>
      <c r="E3012" s="1"/>
      <c r="F3012" s="1"/>
      <c r="G3012" s="1"/>
      <c r="H3012" s="1"/>
    </row>
    <row r="3013" spans="1:8" ht="12.5">
      <c r="A3013" s="1"/>
      <c r="B3013" s="1"/>
      <c r="C3013" s="1"/>
      <c r="D3013" s="1"/>
      <c r="E3013" s="1"/>
      <c r="F3013" s="1"/>
      <c r="G3013" s="1"/>
      <c r="H3013" s="1"/>
    </row>
    <row r="3014" spans="1:8" ht="12.5">
      <c r="A3014" s="1"/>
      <c r="B3014" s="1"/>
      <c r="C3014" s="1"/>
      <c r="D3014" s="1"/>
      <c r="E3014" s="1"/>
      <c r="F3014" s="1"/>
      <c r="G3014" s="1"/>
      <c r="H3014" s="1"/>
    </row>
    <row r="3015" spans="1:8" ht="12.5">
      <c r="A3015" s="1"/>
      <c r="B3015" s="1"/>
      <c r="C3015" s="1"/>
      <c r="D3015" s="1"/>
      <c r="E3015" s="1"/>
      <c r="F3015" s="1"/>
      <c r="G3015" s="1"/>
      <c r="H3015" s="1"/>
    </row>
    <row r="3016" spans="1:8" ht="12.5">
      <c r="A3016" s="1"/>
      <c r="B3016" s="1"/>
      <c r="C3016" s="1"/>
      <c r="D3016" s="1"/>
      <c r="E3016" s="1"/>
      <c r="F3016" s="1"/>
      <c r="G3016" s="1"/>
      <c r="H3016" s="1"/>
    </row>
    <row r="3017" spans="1:8" ht="12.5">
      <c r="A3017" s="1"/>
      <c r="B3017" s="1"/>
      <c r="C3017" s="1"/>
      <c r="D3017" s="1"/>
      <c r="E3017" s="1"/>
      <c r="F3017" s="1"/>
      <c r="G3017" s="1"/>
      <c r="H3017" s="1"/>
    </row>
    <row r="3018" spans="1:8" ht="12.5">
      <c r="A3018" s="1"/>
      <c r="B3018" s="1"/>
      <c r="C3018" s="1"/>
      <c r="D3018" s="1"/>
      <c r="E3018" s="1"/>
      <c r="F3018" s="1"/>
      <c r="G3018" s="1"/>
      <c r="H3018" s="1"/>
    </row>
    <row r="3019" spans="1:8" ht="12.5">
      <c r="A3019" s="1"/>
      <c r="B3019" s="1"/>
      <c r="C3019" s="1"/>
      <c r="D3019" s="1"/>
      <c r="E3019" s="1"/>
      <c r="F3019" s="1"/>
      <c r="G3019" s="1"/>
      <c r="H3019" s="1"/>
    </row>
    <row r="3020" spans="1:8" ht="12.5">
      <c r="A3020" s="1"/>
      <c r="B3020" s="1"/>
      <c r="C3020" s="1"/>
      <c r="D3020" s="1"/>
      <c r="E3020" s="1"/>
      <c r="F3020" s="1"/>
      <c r="G3020" s="1"/>
      <c r="H3020" s="1"/>
    </row>
    <row r="3021" spans="1:8" ht="12.5">
      <c r="A3021" s="1"/>
      <c r="B3021" s="1"/>
      <c r="C3021" s="1"/>
      <c r="D3021" s="1"/>
      <c r="E3021" s="1"/>
      <c r="F3021" s="1"/>
      <c r="G3021" s="1"/>
      <c r="H3021" s="1"/>
    </row>
    <row r="3022" spans="1:8" ht="12.5">
      <c r="A3022" s="1"/>
      <c r="B3022" s="1"/>
      <c r="C3022" s="1"/>
      <c r="D3022" s="1"/>
      <c r="E3022" s="1"/>
      <c r="F3022" s="1"/>
      <c r="G3022" s="1"/>
      <c r="H3022" s="1"/>
    </row>
    <row r="3023" spans="1:8" ht="12.5">
      <c r="A3023" s="1"/>
      <c r="B3023" s="1"/>
      <c r="C3023" s="1"/>
      <c r="D3023" s="1"/>
      <c r="E3023" s="1"/>
      <c r="F3023" s="1"/>
      <c r="G3023" s="1"/>
      <c r="H3023" s="1"/>
    </row>
    <row r="3024" spans="1:8" ht="12.5">
      <c r="A3024" s="1"/>
      <c r="B3024" s="1"/>
      <c r="C3024" s="1"/>
      <c r="D3024" s="1"/>
      <c r="E3024" s="1"/>
      <c r="F3024" s="1"/>
      <c r="G3024" s="1"/>
      <c r="H3024" s="1"/>
    </row>
    <row r="3025" spans="1:8" ht="12.5">
      <c r="A3025" s="1"/>
      <c r="B3025" s="1"/>
      <c r="C3025" s="1"/>
      <c r="D3025" s="1"/>
      <c r="E3025" s="1"/>
      <c r="F3025" s="1"/>
      <c r="G3025" s="1"/>
      <c r="H3025" s="1"/>
    </row>
    <row r="3026" spans="1:8" ht="12.5">
      <c r="A3026" s="1"/>
      <c r="B3026" s="1"/>
      <c r="C3026" s="1"/>
      <c r="D3026" s="1"/>
      <c r="E3026" s="1"/>
      <c r="F3026" s="1"/>
      <c r="G3026" s="1"/>
      <c r="H3026" s="1"/>
    </row>
    <row r="3027" spans="1:8" ht="12.5">
      <c r="A3027" s="1"/>
      <c r="B3027" s="1"/>
      <c r="C3027" s="1"/>
      <c r="D3027" s="1"/>
      <c r="E3027" s="1"/>
      <c r="F3027" s="1"/>
      <c r="G3027" s="1"/>
      <c r="H3027" s="1"/>
    </row>
    <row r="3028" spans="1:8" ht="12.5">
      <c r="A3028" s="1"/>
      <c r="B3028" s="1"/>
      <c r="C3028" s="1"/>
      <c r="D3028" s="1"/>
      <c r="E3028" s="1"/>
      <c r="F3028" s="1"/>
      <c r="G3028" s="1"/>
      <c r="H3028" s="1"/>
    </row>
    <row r="3029" spans="1:8" ht="12.5">
      <c r="A3029" s="1"/>
      <c r="B3029" s="1"/>
      <c r="C3029" s="1"/>
      <c r="D3029" s="1"/>
      <c r="E3029" s="1"/>
      <c r="F3029" s="1"/>
      <c r="G3029" s="1"/>
      <c r="H3029" s="1"/>
    </row>
    <row r="3030" spans="1:8" ht="12.5">
      <c r="A3030" s="1"/>
      <c r="B3030" s="1"/>
      <c r="C3030" s="1"/>
      <c r="D3030" s="1"/>
      <c r="E3030" s="1"/>
      <c r="F3030" s="1"/>
      <c r="G3030" s="1"/>
      <c r="H3030" s="1"/>
    </row>
    <row r="3031" spans="1:8" ht="12.5">
      <c r="A3031" s="1"/>
      <c r="B3031" s="1"/>
      <c r="C3031" s="1"/>
      <c r="D3031" s="1"/>
      <c r="E3031" s="1"/>
      <c r="F3031" s="1"/>
      <c r="G3031" s="1"/>
      <c r="H3031" s="1"/>
    </row>
    <row r="3032" spans="1:8" ht="12.5">
      <c r="A3032" s="1"/>
      <c r="B3032" s="1"/>
      <c r="C3032" s="1"/>
      <c r="D3032" s="1"/>
      <c r="E3032" s="1"/>
      <c r="F3032" s="1"/>
      <c r="G3032" s="1"/>
      <c r="H3032" s="1"/>
    </row>
    <row r="3033" spans="1:8" ht="12.5">
      <c r="A3033" s="1"/>
      <c r="B3033" s="1"/>
      <c r="C3033" s="1"/>
      <c r="D3033" s="1"/>
      <c r="E3033" s="1"/>
      <c r="F3033" s="1"/>
      <c r="G3033" s="1"/>
      <c r="H3033" s="1"/>
    </row>
    <row r="3034" spans="1:8" ht="12.5">
      <c r="A3034" s="1"/>
      <c r="B3034" s="1"/>
      <c r="C3034" s="1"/>
      <c r="D3034" s="1"/>
      <c r="E3034" s="1"/>
      <c r="F3034" s="1"/>
      <c r="G3034" s="1"/>
      <c r="H3034" s="1"/>
    </row>
    <row r="3035" spans="1:8" ht="12.5">
      <c r="A3035" s="1"/>
      <c r="B3035" s="1"/>
      <c r="C3035" s="1"/>
      <c r="D3035" s="1"/>
      <c r="E3035" s="1"/>
      <c r="F3035" s="1"/>
      <c r="G3035" s="1"/>
      <c r="H3035" s="1"/>
    </row>
    <row r="3036" spans="1:8" ht="12.5">
      <c r="A3036" s="1"/>
      <c r="B3036" s="1"/>
      <c r="C3036" s="1"/>
      <c r="D3036" s="1"/>
      <c r="E3036" s="1"/>
      <c r="F3036" s="1"/>
      <c r="G3036" s="1"/>
      <c r="H3036" s="1"/>
    </row>
    <row r="3037" spans="1:8" ht="12.5">
      <c r="A3037" s="1"/>
      <c r="B3037" s="1"/>
      <c r="C3037" s="1"/>
      <c r="D3037" s="1"/>
      <c r="E3037" s="1"/>
      <c r="F3037" s="1"/>
      <c r="G3037" s="1"/>
      <c r="H3037" s="1"/>
    </row>
    <row r="3038" spans="1:8" ht="12.5">
      <c r="A3038" s="1"/>
      <c r="B3038" s="1"/>
      <c r="C3038" s="1"/>
      <c r="D3038" s="1"/>
      <c r="E3038" s="1"/>
      <c r="F3038" s="1"/>
      <c r="G3038" s="1"/>
      <c r="H3038" s="1"/>
    </row>
    <row r="3039" spans="1:8" ht="12.5">
      <c r="A3039" s="1"/>
      <c r="B3039" s="1"/>
      <c r="C3039" s="1"/>
      <c r="D3039" s="1"/>
      <c r="E3039" s="1"/>
      <c r="F3039" s="1"/>
      <c r="G3039" s="1"/>
      <c r="H3039" s="1"/>
    </row>
    <row r="3040" spans="1:8" ht="12.5">
      <c r="A3040" s="1"/>
      <c r="B3040" s="1"/>
      <c r="C3040" s="1"/>
      <c r="D3040" s="1"/>
      <c r="E3040" s="1"/>
      <c r="F3040" s="1"/>
      <c r="G3040" s="1"/>
      <c r="H3040" s="1"/>
    </row>
    <row r="3041" spans="1:8" ht="12.5">
      <c r="A3041" s="1"/>
      <c r="B3041" s="1"/>
      <c r="C3041" s="1"/>
      <c r="D3041" s="1"/>
      <c r="E3041" s="1"/>
      <c r="F3041" s="1"/>
      <c r="G3041" s="1"/>
      <c r="H3041" s="1"/>
    </row>
    <row r="3042" spans="1:8" ht="12.5">
      <c r="A3042" s="1"/>
      <c r="B3042" s="1"/>
      <c r="C3042" s="1"/>
      <c r="D3042" s="1"/>
      <c r="E3042" s="1"/>
      <c r="F3042" s="1"/>
      <c r="G3042" s="1"/>
      <c r="H3042" s="1"/>
    </row>
    <row r="3043" spans="1:8" ht="12.5">
      <c r="A3043" s="1"/>
      <c r="B3043" s="1"/>
      <c r="C3043" s="1"/>
      <c r="D3043" s="1"/>
      <c r="E3043" s="1"/>
      <c r="F3043" s="1"/>
      <c r="G3043" s="1"/>
      <c r="H3043" s="1"/>
    </row>
    <row r="3044" spans="1:8" ht="12.5">
      <c r="A3044" s="1"/>
      <c r="B3044" s="1"/>
      <c r="C3044" s="1"/>
      <c r="D3044" s="1"/>
      <c r="E3044" s="1"/>
      <c r="F3044" s="1"/>
      <c r="G3044" s="1"/>
      <c r="H3044" s="1"/>
    </row>
    <row r="3045" spans="1:8" ht="12.5">
      <c r="A3045" s="1"/>
      <c r="B3045" s="1"/>
      <c r="C3045" s="1"/>
      <c r="D3045" s="1"/>
      <c r="E3045" s="1"/>
      <c r="F3045" s="1"/>
      <c r="G3045" s="1"/>
      <c r="H3045" s="1"/>
    </row>
    <row r="3046" spans="1:8" ht="12.5">
      <c r="A3046" s="1"/>
      <c r="B3046" s="1"/>
      <c r="C3046" s="1"/>
      <c r="D3046" s="1"/>
      <c r="E3046" s="1"/>
      <c r="F3046" s="1"/>
      <c r="G3046" s="1"/>
      <c r="H3046" s="1"/>
    </row>
    <row r="3047" spans="1:8" ht="12.5">
      <c r="A3047" s="1"/>
      <c r="B3047" s="1"/>
      <c r="C3047" s="1"/>
      <c r="D3047" s="1"/>
      <c r="E3047" s="1"/>
      <c r="F3047" s="1"/>
      <c r="G3047" s="1"/>
      <c r="H3047" s="1"/>
    </row>
    <row r="3048" spans="1:8" ht="12.5">
      <c r="A3048" s="1"/>
      <c r="B3048" s="1"/>
      <c r="C3048" s="1"/>
      <c r="D3048" s="1"/>
      <c r="E3048" s="1"/>
      <c r="F3048" s="1"/>
      <c r="G3048" s="1"/>
      <c r="H3048" s="1"/>
    </row>
    <row r="3049" spans="1:8" ht="12.5">
      <c r="A3049" s="1"/>
      <c r="B3049" s="1"/>
      <c r="C3049" s="1"/>
      <c r="D3049" s="1"/>
      <c r="E3049" s="1"/>
      <c r="F3049" s="1"/>
      <c r="G3049" s="1"/>
      <c r="H3049" s="1"/>
    </row>
    <row r="3050" spans="1:8" ht="12.5">
      <c r="A3050" s="1"/>
      <c r="B3050" s="1"/>
      <c r="C3050" s="1"/>
      <c r="D3050" s="1"/>
      <c r="E3050" s="1"/>
      <c r="F3050" s="1"/>
      <c r="G3050" s="1"/>
      <c r="H3050" s="1"/>
    </row>
    <row r="3051" spans="1:8" ht="12.5">
      <c r="A3051" s="1"/>
      <c r="B3051" s="1"/>
      <c r="C3051" s="1"/>
      <c r="D3051" s="1"/>
      <c r="E3051" s="1"/>
      <c r="F3051" s="1"/>
      <c r="G3051" s="1"/>
      <c r="H3051" s="1"/>
    </row>
    <row r="3052" spans="1:8" ht="12.5">
      <c r="A3052" s="1"/>
      <c r="B3052" s="1"/>
      <c r="C3052" s="1"/>
      <c r="D3052" s="1"/>
      <c r="E3052" s="1"/>
      <c r="F3052" s="1"/>
      <c r="G3052" s="1"/>
      <c r="H3052" s="1"/>
    </row>
    <row r="3053" spans="1:8" ht="12.5">
      <c r="A3053" s="1"/>
      <c r="B3053" s="1"/>
      <c r="C3053" s="1"/>
      <c r="D3053" s="1"/>
      <c r="E3053" s="1"/>
      <c r="F3053" s="1"/>
      <c r="G3053" s="1"/>
      <c r="H3053" s="1"/>
    </row>
    <row r="3054" spans="1:8" ht="12.5">
      <c r="A3054" s="1"/>
      <c r="B3054" s="1"/>
      <c r="C3054" s="1"/>
      <c r="D3054" s="1"/>
      <c r="E3054" s="1"/>
      <c r="F3054" s="1"/>
      <c r="G3054" s="1"/>
      <c r="H3054" s="1"/>
    </row>
    <row r="3055" spans="1:8" ht="12.5">
      <c r="A3055" s="1"/>
      <c r="B3055" s="1"/>
      <c r="C3055" s="1"/>
      <c r="D3055" s="1"/>
      <c r="E3055" s="1"/>
      <c r="F3055" s="1"/>
      <c r="G3055" s="1"/>
      <c r="H3055" s="1"/>
    </row>
    <row r="3056" spans="1:8" ht="12.5">
      <c r="A3056" s="1"/>
      <c r="B3056" s="1"/>
      <c r="C3056" s="1"/>
      <c r="D3056" s="1"/>
      <c r="E3056" s="1"/>
      <c r="F3056" s="1"/>
      <c r="G3056" s="1"/>
      <c r="H3056" s="1"/>
    </row>
    <row r="3057" spans="1:8" ht="12.5">
      <c r="A3057" s="1"/>
      <c r="B3057" s="1"/>
      <c r="C3057" s="1"/>
      <c r="D3057" s="1"/>
      <c r="E3057" s="1"/>
      <c r="F3057" s="1"/>
      <c r="G3057" s="1"/>
      <c r="H3057" s="1"/>
    </row>
    <row r="3058" spans="1:8" ht="12.5">
      <c r="A3058" s="1"/>
      <c r="B3058" s="1"/>
      <c r="C3058" s="1"/>
      <c r="D3058" s="1"/>
      <c r="E3058" s="1"/>
      <c r="F3058" s="1"/>
      <c r="G3058" s="1"/>
      <c r="H3058" s="1"/>
    </row>
    <row r="3059" spans="1:8" ht="12.5">
      <c r="A3059" s="1"/>
      <c r="B3059" s="1"/>
      <c r="C3059" s="1"/>
      <c r="D3059" s="1"/>
      <c r="E3059" s="1"/>
      <c r="F3059" s="1"/>
      <c r="G3059" s="1"/>
      <c r="H3059" s="1"/>
    </row>
    <row r="3060" spans="1:8" ht="12.5">
      <c r="A3060" s="1"/>
      <c r="B3060" s="1"/>
      <c r="C3060" s="1"/>
      <c r="D3060" s="1"/>
      <c r="E3060" s="1"/>
      <c r="F3060" s="1"/>
      <c r="G3060" s="1"/>
      <c r="H3060" s="1"/>
    </row>
    <row r="3061" spans="1:8" ht="12.5">
      <c r="A3061" s="1"/>
      <c r="B3061" s="1"/>
      <c r="C3061" s="1"/>
      <c r="D3061" s="1"/>
      <c r="E3061" s="1"/>
      <c r="F3061" s="1"/>
      <c r="G3061" s="1"/>
      <c r="H3061" s="1"/>
    </row>
    <row r="3062" spans="1:8" ht="12.5">
      <c r="A3062" s="1"/>
      <c r="B3062" s="1"/>
      <c r="C3062" s="1"/>
      <c r="D3062" s="1"/>
      <c r="E3062" s="1"/>
      <c r="F3062" s="1"/>
      <c r="G3062" s="1"/>
      <c r="H3062" s="1"/>
    </row>
    <row r="3063" spans="1:8" ht="12.5">
      <c r="A3063" s="1"/>
      <c r="B3063" s="1"/>
      <c r="C3063" s="1"/>
      <c r="D3063" s="1"/>
      <c r="E3063" s="1"/>
      <c r="F3063" s="1"/>
      <c r="G3063" s="1"/>
      <c r="H3063" s="1"/>
    </row>
    <row r="3064" spans="1:8" ht="12.5">
      <c r="A3064" s="1"/>
      <c r="B3064" s="1"/>
      <c r="C3064" s="1"/>
      <c r="D3064" s="1"/>
      <c r="E3064" s="1"/>
      <c r="F3064" s="1"/>
      <c r="G3064" s="1"/>
      <c r="H3064" s="1"/>
    </row>
    <row r="3065" spans="1:8" ht="12.5">
      <c r="A3065" s="1"/>
      <c r="B3065" s="1"/>
      <c r="C3065" s="1"/>
      <c r="D3065" s="1"/>
      <c r="E3065" s="1"/>
      <c r="F3065" s="1"/>
      <c r="G3065" s="1"/>
      <c r="H3065" s="1"/>
    </row>
    <row r="3066" spans="1:8" ht="12.5">
      <c r="A3066" s="1"/>
      <c r="B3066" s="1"/>
      <c r="C3066" s="1"/>
      <c r="D3066" s="1"/>
      <c r="E3066" s="1"/>
      <c r="F3066" s="1"/>
      <c r="G3066" s="1"/>
      <c r="H3066" s="1"/>
    </row>
    <row r="3067" spans="1:8" ht="12.5">
      <c r="A3067" s="1"/>
      <c r="B3067" s="1"/>
      <c r="C3067" s="1"/>
      <c r="D3067" s="1"/>
      <c r="E3067" s="1"/>
      <c r="F3067" s="1"/>
      <c r="G3067" s="1"/>
      <c r="H3067" s="1"/>
    </row>
    <row r="3068" spans="1:8" ht="12.5">
      <c r="A3068" s="1"/>
      <c r="B3068" s="1"/>
      <c r="C3068" s="1"/>
      <c r="D3068" s="1"/>
      <c r="E3068" s="1"/>
      <c r="F3068" s="1"/>
      <c r="G3068" s="1"/>
      <c r="H3068" s="1"/>
    </row>
    <row r="3069" spans="1:8" ht="12.5">
      <c r="A3069" s="1"/>
      <c r="B3069" s="1"/>
      <c r="C3069" s="1"/>
      <c r="D3069" s="1"/>
      <c r="E3069" s="1"/>
      <c r="F3069" s="1"/>
      <c r="G3069" s="1"/>
      <c r="H3069" s="1"/>
    </row>
    <row r="3070" spans="1:8" ht="12.5">
      <c r="A3070" s="1"/>
      <c r="B3070" s="1"/>
      <c r="C3070" s="1"/>
      <c r="D3070" s="1"/>
      <c r="E3070" s="1"/>
      <c r="F3070" s="1"/>
      <c r="G3070" s="1"/>
      <c r="H3070" s="1"/>
    </row>
    <row r="3071" spans="1:8" ht="12.5">
      <c r="A3071" s="1"/>
      <c r="B3071" s="1"/>
      <c r="C3071" s="1"/>
      <c r="D3071" s="1"/>
      <c r="E3071" s="1"/>
      <c r="F3071" s="1"/>
      <c r="G3071" s="1"/>
      <c r="H3071" s="1"/>
    </row>
    <row r="3072" spans="1:8" ht="12.5">
      <c r="A3072" s="1"/>
      <c r="B3072" s="1"/>
      <c r="C3072" s="1"/>
      <c r="D3072" s="1"/>
      <c r="E3072" s="1"/>
      <c r="F3072" s="1"/>
      <c r="G3072" s="1"/>
      <c r="H3072" s="1"/>
    </row>
    <row r="3073" spans="1:8" ht="12.5">
      <c r="A3073" s="1"/>
      <c r="B3073" s="1"/>
      <c r="C3073" s="1"/>
      <c r="D3073" s="1"/>
      <c r="E3073" s="1"/>
      <c r="F3073" s="1"/>
      <c r="G3073" s="1"/>
      <c r="H3073" s="1"/>
    </row>
    <row r="3074" spans="1:8" ht="12.5">
      <c r="A3074" s="1"/>
      <c r="B3074" s="1"/>
      <c r="C3074" s="1"/>
      <c r="D3074" s="1"/>
      <c r="E3074" s="1"/>
      <c r="F3074" s="1"/>
      <c r="G3074" s="1"/>
      <c r="H3074" s="1"/>
    </row>
    <row r="3075" spans="1:8" ht="12.5">
      <c r="A3075" s="1"/>
      <c r="B3075" s="1"/>
      <c r="C3075" s="1"/>
      <c r="D3075" s="1"/>
      <c r="E3075" s="1"/>
      <c r="F3075" s="1"/>
      <c r="G3075" s="1"/>
      <c r="H3075" s="1"/>
    </row>
    <row r="3076" spans="1:8" ht="12.5">
      <c r="A3076" s="1"/>
      <c r="B3076" s="1"/>
      <c r="C3076" s="1"/>
      <c r="D3076" s="1"/>
      <c r="E3076" s="1"/>
      <c r="F3076" s="1"/>
      <c r="G3076" s="1"/>
      <c r="H3076" s="1"/>
    </row>
    <row r="3077" spans="1:8" ht="12.5">
      <c r="A3077" s="1"/>
      <c r="B3077" s="1"/>
      <c r="C3077" s="1"/>
      <c r="D3077" s="1"/>
      <c r="E3077" s="1"/>
      <c r="F3077" s="1"/>
      <c r="G3077" s="1"/>
      <c r="H3077" s="1"/>
    </row>
    <row r="3078" spans="1:8" ht="12.5">
      <c r="A3078" s="1"/>
      <c r="B3078" s="1"/>
      <c r="C3078" s="1"/>
      <c r="D3078" s="1"/>
      <c r="E3078" s="1"/>
      <c r="F3078" s="1"/>
      <c r="G3078" s="1"/>
      <c r="H3078" s="1"/>
    </row>
    <row r="3079" spans="1:8" ht="12.5">
      <c r="A3079" s="1"/>
      <c r="B3079" s="1"/>
      <c r="C3079" s="1"/>
      <c r="D3079" s="1"/>
      <c r="E3079" s="1"/>
      <c r="F3079" s="1"/>
      <c r="G3079" s="1"/>
      <c r="H3079" s="1"/>
    </row>
    <row r="3080" spans="1:8" ht="12.5">
      <c r="A3080" s="1"/>
      <c r="B3080" s="1"/>
      <c r="C3080" s="1"/>
      <c r="D3080" s="1"/>
      <c r="E3080" s="1"/>
      <c r="F3080" s="1"/>
      <c r="G3080" s="1"/>
      <c r="H3080" s="1"/>
    </row>
    <row r="3081" spans="1:8" ht="12.5">
      <c r="A3081" s="1"/>
      <c r="B3081" s="1"/>
      <c r="C3081" s="1"/>
      <c r="D3081" s="1"/>
      <c r="E3081" s="1"/>
      <c r="F3081" s="1"/>
      <c r="G3081" s="1"/>
      <c r="H3081" s="1"/>
    </row>
    <row r="3082" spans="1:8" ht="12.5">
      <c r="A3082" s="1"/>
      <c r="B3082" s="1"/>
      <c r="C3082" s="1"/>
      <c r="D3082" s="1"/>
      <c r="E3082" s="1"/>
      <c r="F3082" s="1"/>
      <c r="G3082" s="1"/>
      <c r="H3082" s="1"/>
    </row>
    <row r="3083" spans="1:8" ht="12.5">
      <c r="A3083" s="1"/>
      <c r="B3083" s="1"/>
      <c r="C3083" s="1"/>
      <c r="D3083" s="1"/>
      <c r="E3083" s="1"/>
      <c r="F3083" s="1"/>
      <c r="G3083" s="1"/>
      <c r="H308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716"/>
  <sheetViews>
    <sheetView topLeftCell="A1376" workbookViewId="0">
      <selection activeCell="A1392" sqref="A1392:F3649"/>
    </sheetView>
  </sheetViews>
  <sheetFormatPr baseColWidth="10" defaultColWidth="12.6328125" defaultRowHeight="15.75" customHeight="1"/>
  <sheetData>
    <row r="1" spans="1:6" ht="15.75" customHeight="1">
      <c r="A1" s="7" t="str">
        <f ca="1">IFERROR(__xludf.DUMMYFUNCTION("IMPORTRANGE(""https://docs.google.com/spreadsheets/d/13by1rx0kMN24Sm2nKqqR6GsRtIyhgOO8U6IyuCHwhEU/edit#gid=1519919770"", ""Victim!A1:F5000"")"),"Incident_ID")</f>
        <v>Incident_ID</v>
      </c>
      <c r="B1" s="1" t="str">
        <f ca="1">IFERROR(__xludf.DUMMYFUNCTION("""COMPUTED_VALUE"""),"Injury")</f>
        <v>Injury</v>
      </c>
      <c r="C1" s="1" t="str">
        <f ca="1">IFERROR(__xludf.DUMMYFUNCTION("""COMPUTED_VALUE"""),"Gender")</f>
        <v>Gender</v>
      </c>
      <c r="D1" s="1" t="str">
        <f ca="1">IFERROR(__xludf.DUMMYFUNCTION("""COMPUTED_VALUE"""),"School_Affiliation")</f>
        <v>School_Affiliation</v>
      </c>
      <c r="E1" s="1" t="str">
        <f ca="1">IFERROR(__xludf.DUMMYFUNCTION("""COMPUTED_VALUE"""),"Age")</f>
        <v>Age</v>
      </c>
      <c r="F1" s="1" t="str">
        <f ca="1">IFERROR(__xludf.DUMMYFUNCTION("""COMPUTED_VALUE"""),"Race")</f>
        <v>Race</v>
      </c>
    </row>
    <row r="2" spans="1:6" ht="15.75" customHeight="1">
      <c r="A2" s="1" t="str">
        <f ca="1">IFERROR(__xludf.DUMMYFUNCTION("""COMPUTED_VALUE"""),"20240326NJWEN")</f>
        <v>20240326NJWEN</v>
      </c>
      <c r="B2" s="1" t="str">
        <f ca="1">IFERROR(__xludf.DUMMYFUNCTION("""COMPUTED_VALUE"""),"Wounded")</f>
        <v>Wounded</v>
      </c>
      <c r="C2" s="1" t="str">
        <f ca="1">IFERROR(__xludf.DUMMYFUNCTION("""COMPUTED_VALUE"""),"Male")</f>
        <v>Male</v>
      </c>
      <c r="D2" s="1" t="str">
        <f ca="1">IFERROR(__xludf.DUMMYFUNCTION("""COMPUTED_VALUE"""),"Student")</f>
        <v>Student</v>
      </c>
      <c r="E2" s="1">
        <f ca="1">IFERROR(__xludf.DUMMYFUNCTION("""COMPUTED_VALUE"""),17)</f>
        <v>17</v>
      </c>
      <c r="F2" s="1"/>
    </row>
    <row r="3" spans="1:6" ht="15.75" customHeight="1">
      <c r="A3" s="1" t="str">
        <f ca="1">IFERROR(__xludf.DUMMYFUNCTION("""COMPUTED_VALUE"""),"20240326NJWEN")</f>
        <v>20240326NJWEN</v>
      </c>
      <c r="B3" s="1" t="str">
        <f ca="1">IFERROR(__xludf.DUMMYFUNCTION("""COMPUTED_VALUE"""),"Wounded")</f>
        <v>Wounded</v>
      </c>
      <c r="C3" s="1" t="str">
        <f ca="1">IFERROR(__xludf.DUMMYFUNCTION("""COMPUTED_VALUE"""),"Male")</f>
        <v>Male</v>
      </c>
      <c r="D3" s="1" t="str">
        <f ca="1">IFERROR(__xludf.DUMMYFUNCTION("""COMPUTED_VALUE"""),"Student")</f>
        <v>Student</v>
      </c>
      <c r="E3" s="1">
        <f ca="1">IFERROR(__xludf.DUMMYFUNCTION("""COMPUTED_VALUE"""),15)</f>
        <v>15</v>
      </c>
      <c r="F3" s="1"/>
    </row>
    <row r="4" spans="1:6" ht="15.75" customHeight="1">
      <c r="A4" s="1" t="str">
        <f ca="1">IFERROR(__xludf.DUMMYFUNCTION("""COMPUTED_VALUE"""),"20240326NJWEN")</f>
        <v>20240326NJWEN</v>
      </c>
      <c r="B4" s="1" t="str">
        <f ca="1">IFERROR(__xludf.DUMMYFUNCTION("""COMPUTED_VALUE"""),"Non-gunshot Injury")</f>
        <v>Non-gunshot Injury</v>
      </c>
      <c r="C4" s="1"/>
      <c r="D4" s="1" t="str">
        <f ca="1">IFERROR(__xludf.DUMMYFUNCTION("""COMPUTED_VALUE"""),"Student")</f>
        <v>Student</v>
      </c>
      <c r="E4" s="1" t="str">
        <f ca="1">IFERROR(__xludf.DUMMYFUNCTION("""COMPUTED_VALUE"""),"Teen")</f>
        <v>Teen</v>
      </c>
      <c r="F4" s="1"/>
    </row>
    <row r="5" spans="1:6" ht="15.75" customHeight="1">
      <c r="A5" s="1" t="str">
        <f ca="1">IFERROR(__xludf.DUMMYFUNCTION("""COMPUTED_VALUE"""),"20240325HIWAW")</f>
        <v>20240325HIWAW</v>
      </c>
      <c r="B5" s="1" t="str">
        <f ca="1">IFERROR(__xludf.DUMMYFUNCTION("""COMPUTED_VALUE"""),"Wounded")</f>
        <v>Wounded</v>
      </c>
      <c r="C5" s="1" t="str">
        <f ca="1">IFERROR(__xludf.DUMMYFUNCTION("""COMPUTED_VALUE"""),"Female")</f>
        <v>Female</v>
      </c>
      <c r="D5" s="1" t="str">
        <f ca="1">IFERROR(__xludf.DUMMYFUNCTION("""COMPUTED_VALUE"""),"No Relation")</f>
        <v>No Relation</v>
      </c>
      <c r="E5" s="1">
        <f ca="1">IFERROR(__xludf.DUMMYFUNCTION("""COMPUTED_VALUE"""),21)</f>
        <v>21</v>
      </c>
      <c r="F5" s="1"/>
    </row>
    <row r="6" spans="1:6" ht="15.75" customHeight="1">
      <c r="A6" s="1" t="str">
        <f ca="1">IFERROR(__xludf.DUMMYFUNCTION("""COMPUTED_VALUE"""),"20240321NJMAN")</f>
        <v>20240321NJMAN</v>
      </c>
      <c r="B6" s="1" t="str">
        <f ca="1">IFERROR(__xludf.DUMMYFUNCTION("""COMPUTED_VALUE"""),"Fatal")</f>
        <v>Fatal</v>
      </c>
      <c r="C6" s="1" t="str">
        <f ca="1">IFERROR(__xludf.DUMMYFUNCTION("""COMPUTED_VALUE"""),"Male")</f>
        <v>Male</v>
      </c>
      <c r="D6" s="1" t="str">
        <f ca="1">IFERROR(__xludf.DUMMYFUNCTION("""COMPUTED_VALUE"""),"No Relation")</f>
        <v>No Relation</v>
      </c>
      <c r="E6" s="1" t="str">
        <f ca="1">IFERROR(__xludf.DUMMYFUNCTION("""COMPUTED_VALUE"""),"Adult")</f>
        <v>Adult</v>
      </c>
      <c r="F6" s="1"/>
    </row>
    <row r="7" spans="1:6" ht="15.75" customHeight="1">
      <c r="A7" s="1" t="str">
        <f ca="1">IFERROR(__xludf.DUMMYFUNCTION("""COMPUTED_VALUE"""),"20240320OHBOC")</f>
        <v>20240320OHBOC</v>
      </c>
      <c r="B7" s="1" t="str">
        <f ca="1">IFERROR(__xludf.DUMMYFUNCTION("""COMPUTED_VALUE"""),"Wounded")</f>
        <v>Wounded</v>
      </c>
      <c r="C7" s="1" t="str">
        <f ca="1">IFERROR(__xludf.DUMMYFUNCTION("""COMPUTED_VALUE"""),"Male")</f>
        <v>Male</v>
      </c>
      <c r="D7" s="1" t="str">
        <f ca="1">IFERROR(__xludf.DUMMYFUNCTION("""COMPUTED_VALUE"""),"No Relation")</f>
        <v>No Relation</v>
      </c>
      <c r="E7" s="1">
        <f ca="1">IFERROR(__xludf.DUMMYFUNCTION("""COMPUTED_VALUE"""),18)</f>
        <v>18</v>
      </c>
      <c r="F7" s="1"/>
    </row>
    <row r="8" spans="1:6" ht="15.75" customHeight="1">
      <c r="A8" s="1" t="str">
        <f ca="1">IFERROR(__xludf.DUMMYFUNCTION("""COMPUTED_VALUE"""),"20240320ILBUC")</f>
        <v>20240320ILBUC</v>
      </c>
      <c r="B8" s="1" t="str">
        <f ca="1">IFERROR(__xludf.DUMMYFUNCTION("""COMPUTED_VALUE"""),"Fatal")</f>
        <v>Fatal</v>
      </c>
      <c r="C8" s="1" t="str">
        <f ca="1">IFERROR(__xludf.DUMMYFUNCTION("""COMPUTED_VALUE"""),"Male")</f>
        <v>Male</v>
      </c>
      <c r="D8" s="1"/>
      <c r="E8" s="1">
        <f ca="1">IFERROR(__xludf.DUMMYFUNCTION("""COMPUTED_VALUE"""),14)</f>
        <v>14</v>
      </c>
      <c r="F8" s="1"/>
    </row>
    <row r="9" spans="1:6" ht="15.75" customHeight="1">
      <c r="A9" s="1" t="str">
        <f ca="1">IFERROR(__xludf.DUMMYFUNCTION("""COMPUTED_VALUE"""),"20240319DETHW")</f>
        <v>20240319DETHW</v>
      </c>
      <c r="B9" s="1" t="str">
        <f ca="1">IFERROR(__xludf.DUMMYFUNCTION("""COMPUTED_VALUE"""),"Wounded")</f>
        <v>Wounded</v>
      </c>
      <c r="C9" s="1" t="str">
        <f ca="1">IFERROR(__xludf.DUMMYFUNCTION("""COMPUTED_VALUE"""),"Male")</f>
        <v>Male</v>
      </c>
      <c r="D9" s="1"/>
      <c r="E9" s="1">
        <f ca="1">IFERROR(__xludf.DUMMYFUNCTION("""COMPUTED_VALUE"""),17)</f>
        <v>17</v>
      </c>
      <c r="F9" s="1"/>
    </row>
    <row r="10" spans="1:6" ht="15.75" customHeight="1">
      <c r="A10" s="1" t="str">
        <f ca="1">IFERROR(__xludf.DUMMYFUNCTION("""COMPUTED_VALUE"""),"20240316TNKEC")</f>
        <v>20240316TNKEC</v>
      </c>
      <c r="B10" s="1" t="str">
        <f ca="1">IFERROR(__xludf.DUMMYFUNCTION("""COMPUTED_VALUE"""),"Wounded")</f>
        <v>Wounded</v>
      </c>
      <c r="C10" s="1" t="str">
        <f ca="1">IFERROR(__xludf.DUMMYFUNCTION("""COMPUTED_VALUE"""),"Female")</f>
        <v>Female</v>
      </c>
      <c r="D10" s="1" t="str">
        <f ca="1">IFERROR(__xludf.DUMMYFUNCTION("""COMPUTED_VALUE"""),"Nonstudent Using Athletic Facilities/Attending Game")</f>
        <v>Nonstudent Using Athletic Facilities/Attending Game</v>
      </c>
      <c r="E10" s="1" t="str">
        <f ca="1">IFERROR(__xludf.DUMMYFUNCTION("""COMPUTED_VALUE"""),"Adult")</f>
        <v>Adult</v>
      </c>
      <c r="F10" s="1"/>
    </row>
    <row r="11" spans="1:6" ht="15.75" customHeight="1">
      <c r="A11" s="1" t="str">
        <f ca="1">IFERROR(__xludf.DUMMYFUNCTION("""COMPUTED_VALUE"""),"20240314OHLOD")</f>
        <v>20240314OHLOD</v>
      </c>
      <c r="B11" s="1" t="str">
        <f ca="1">IFERROR(__xludf.DUMMYFUNCTION("""COMPUTED_VALUE"""),"Fatal")</f>
        <v>Fatal</v>
      </c>
      <c r="C11" s="1" t="str">
        <f ca="1">IFERROR(__xludf.DUMMYFUNCTION("""COMPUTED_VALUE"""),"Male")</f>
        <v>Male</v>
      </c>
      <c r="D11" s="1" t="str">
        <f ca="1">IFERROR(__xludf.DUMMYFUNCTION("""COMPUTED_VALUE"""),"No Relation")</f>
        <v>No Relation</v>
      </c>
      <c r="E11" s="1">
        <f ca="1">IFERROR(__xludf.DUMMYFUNCTION("""COMPUTED_VALUE"""),16)</f>
        <v>16</v>
      </c>
      <c r="F11" s="1"/>
    </row>
    <row r="12" spans="1:6" ht="15.75" customHeight="1">
      <c r="A12" s="1" t="str">
        <f ca="1">IFERROR(__xludf.DUMMYFUNCTION("""COMPUTED_VALUE"""),"20240314OHLOD")</f>
        <v>20240314OHLOD</v>
      </c>
      <c r="B12" s="1" t="str">
        <f ca="1">IFERROR(__xludf.DUMMYFUNCTION("""COMPUTED_VALUE"""),"Fatal")</f>
        <v>Fatal</v>
      </c>
      <c r="C12" s="1" t="str">
        <f ca="1">IFERROR(__xludf.DUMMYFUNCTION("""COMPUTED_VALUE"""),"Male")</f>
        <v>Male</v>
      </c>
      <c r="D12" s="1" t="str">
        <f ca="1">IFERROR(__xludf.DUMMYFUNCTION("""COMPUTED_VALUE"""),"No Relation")</f>
        <v>No Relation</v>
      </c>
      <c r="E12" s="1">
        <f ca="1">IFERROR(__xludf.DUMMYFUNCTION("""COMPUTED_VALUE"""),14)</f>
        <v>14</v>
      </c>
      <c r="F12" s="1"/>
    </row>
    <row r="13" spans="1:6" ht="15.75" customHeight="1">
      <c r="A13" s="1" t="str">
        <f ca="1">IFERROR(__xludf.DUMMYFUNCTION("""COMPUTED_VALUE"""),"20240313WAGAS")</f>
        <v>20240313WAGAS</v>
      </c>
      <c r="B13" s="1" t="str">
        <f ca="1">IFERROR(__xludf.DUMMYFUNCTION("""COMPUTED_VALUE"""),"Wounded")</f>
        <v>Wounded</v>
      </c>
      <c r="C13" s="1" t="str">
        <f ca="1">IFERROR(__xludf.DUMMYFUNCTION("""COMPUTED_VALUE"""),"Female")</f>
        <v>Female</v>
      </c>
      <c r="D13" s="1" t="str">
        <f ca="1">IFERROR(__xludf.DUMMYFUNCTION("""COMPUTED_VALUE"""),"Student")</f>
        <v>Student</v>
      </c>
      <c r="E13" s="1">
        <f ca="1">IFERROR(__xludf.DUMMYFUNCTION("""COMPUTED_VALUE"""),17)</f>
        <v>17</v>
      </c>
      <c r="F13" s="1"/>
    </row>
    <row r="14" spans="1:6" ht="15.75" customHeight="1">
      <c r="A14" s="1" t="str">
        <f ca="1">IFERROR(__xludf.DUMMYFUNCTION("""COMPUTED_VALUE"""),"20240313MDWIB")</f>
        <v>20240313MDWIB</v>
      </c>
      <c r="B14" s="1" t="str">
        <f ca="1">IFERROR(__xludf.DUMMYFUNCTION("""COMPUTED_VALUE"""),"Fatal")</f>
        <v>Fatal</v>
      </c>
      <c r="C14" s="1" t="str">
        <f ca="1">IFERROR(__xludf.DUMMYFUNCTION("""COMPUTED_VALUE"""),"Female")</f>
        <v>Female</v>
      </c>
      <c r="D14" s="1" t="str">
        <f ca="1">IFERROR(__xludf.DUMMYFUNCTION("""COMPUTED_VALUE"""),"No Relation")</f>
        <v>No Relation</v>
      </c>
      <c r="E14" s="1">
        <f ca="1">IFERROR(__xludf.DUMMYFUNCTION("""COMPUTED_VALUE"""),49)</f>
        <v>49</v>
      </c>
      <c r="F14" s="1"/>
    </row>
    <row r="15" spans="1:6" ht="15.75" customHeight="1">
      <c r="A15" s="1" t="str">
        <f ca="1">IFERROR(__xludf.DUMMYFUNCTION("""COMPUTED_VALUE"""),"20240311TXCHT")</f>
        <v>20240311TXCHT</v>
      </c>
      <c r="B15" s="1" t="str">
        <f ca="1">IFERROR(__xludf.DUMMYFUNCTION("""COMPUTED_VALUE"""),"Fatal")</f>
        <v>Fatal</v>
      </c>
      <c r="C15" s="1"/>
      <c r="D15" s="1" t="str">
        <f ca="1">IFERROR(__xludf.DUMMYFUNCTION("""COMPUTED_VALUE"""),"Nonstudent Using Athletic Facilities/Attending Game")</f>
        <v>Nonstudent Using Athletic Facilities/Attending Game</v>
      </c>
      <c r="E15" s="1">
        <f ca="1">IFERROR(__xludf.DUMMYFUNCTION("""COMPUTED_VALUE"""),1)</f>
        <v>1</v>
      </c>
      <c r="F15" s="1"/>
    </row>
    <row r="16" spans="1:6" ht="15.75" customHeight="1">
      <c r="A16" s="1" t="str">
        <f ca="1">IFERROR(__xludf.DUMMYFUNCTION("""COMPUTED_VALUE"""),"20240307NYPSB")</f>
        <v>20240307NYPSB</v>
      </c>
      <c r="B16" s="1" t="str">
        <f ca="1">IFERROR(__xludf.DUMMYFUNCTION("""COMPUTED_VALUE"""),"Fatal")</f>
        <v>Fatal</v>
      </c>
      <c r="C16" s="1" t="str">
        <f ca="1">IFERROR(__xludf.DUMMYFUNCTION("""COMPUTED_VALUE"""),"Male")</f>
        <v>Male</v>
      </c>
      <c r="D16" s="1"/>
      <c r="E16" s="1">
        <f ca="1">IFERROR(__xludf.DUMMYFUNCTION("""COMPUTED_VALUE"""),17)</f>
        <v>17</v>
      </c>
      <c r="F16" s="1"/>
    </row>
    <row r="17" spans="1:6" ht="15.75" customHeight="1">
      <c r="A17" s="1" t="str">
        <f ca="1">IFERROR(__xludf.DUMMYFUNCTION("""COMPUTED_VALUE"""),"20240305INHAL")</f>
        <v>20240305INHAL</v>
      </c>
      <c r="B17" s="1" t="str">
        <f ca="1">IFERROR(__xludf.DUMMYFUNCTION("""COMPUTED_VALUE"""),"Wounded")</f>
        <v>Wounded</v>
      </c>
      <c r="C17" s="1" t="str">
        <f ca="1">IFERROR(__xludf.DUMMYFUNCTION("""COMPUTED_VALUE"""),"Male")</f>
        <v>Male</v>
      </c>
      <c r="D17" s="1" t="str">
        <f ca="1">IFERROR(__xludf.DUMMYFUNCTION("""COMPUTED_VALUE"""),"No Relation")</f>
        <v>No Relation</v>
      </c>
      <c r="E17" s="1">
        <f ca="1">IFERROR(__xludf.DUMMYFUNCTION("""COMPUTED_VALUE"""),14)</f>
        <v>14</v>
      </c>
      <c r="F17" s="1"/>
    </row>
    <row r="18" spans="1:6" ht="15.75" customHeight="1">
      <c r="A18" s="1" t="str">
        <f ca="1">IFERROR(__xludf.DUMMYFUNCTION("""COMPUTED_VALUE"""),"20240304TNBRB")</f>
        <v>20240304TNBRB</v>
      </c>
      <c r="B18" s="1" t="str">
        <f ca="1">IFERROR(__xludf.DUMMYFUNCTION("""COMPUTED_VALUE"""),"Non-gunshot Injury")</f>
        <v>Non-gunshot Injury</v>
      </c>
      <c r="C18" s="1" t="str">
        <f ca="1">IFERROR(__xludf.DUMMYFUNCTION("""COMPUTED_VALUE"""),"Female")</f>
        <v>Female</v>
      </c>
      <c r="D18" s="1" t="str">
        <f ca="1">IFERROR(__xludf.DUMMYFUNCTION("""COMPUTED_VALUE"""),"Student")</f>
        <v>Student</v>
      </c>
      <c r="E18" s="1" t="str">
        <f ca="1">IFERROR(__xludf.DUMMYFUNCTION("""COMPUTED_VALUE"""),"Teen")</f>
        <v>Teen</v>
      </c>
      <c r="F18" s="1"/>
    </row>
    <row r="19" spans="1:6" ht="15.75" customHeight="1">
      <c r="A19" s="1" t="str">
        <f ca="1">IFERROR(__xludf.DUMMYFUNCTION("""COMPUTED_VALUE"""),"20240302MONOK")</f>
        <v>20240302MONOK</v>
      </c>
      <c r="B19" s="1" t="str">
        <f ca="1">IFERROR(__xludf.DUMMYFUNCTION("""COMPUTED_VALUE"""),"Wounded")</f>
        <v>Wounded</v>
      </c>
      <c r="C19" s="1"/>
      <c r="D19" s="1" t="str">
        <f ca="1">IFERROR(__xludf.DUMMYFUNCTION("""COMPUTED_VALUE"""),"Student")</f>
        <v>Student</v>
      </c>
      <c r="E19" s="1" t="str">
        <f ca="1">IFERROR(__xludf.DUMMYFUNCTION("""COMPUTED_VALUE"""),"Teen")</f>
        <v>Teen</v>
      </c>
      <c r="F19" s="1"/>
    </row>
    <row r="20" spans="1:6" ht="15.75" customHeight="1">
      <c r="A20" s="1" t="str">
        <f ca="1">IFERROR(__xludf.DUMMYFUNCTION("""COMPUTED_VALUE"""),"20240302MONOK")</f>
        <v>20240302MONOK</v>
      </c>
      <c r="B20" s="1" t="str">
        <f ca="1">IFERROR(__xludf.DUMMYFUNCTION("""COMPUTED_VALUE"""),"Wounded")</f>
        <v>Wounded</v>
      </c>
      <c r="C20" s="1"/>
      <c r="D20" s="1" t="str">
        <f ca="1">IFERROR(__xludf.DUMMYFUNCTION("""COMPUTED_VALUE"""),"Nonstudent Using Athletic Facilities/Attending Game")</f>
        <v>Nonstudent Using Athletic Facilities/Attending Game</v>
      </c>
      <c r="E20" s="1" t="str">
        <f ca="1">IFERROR(__xludf.DUMMYFUNCTION("""COMPUTED_VALUE"""),"Adult")</f>
        <v>Adult</v>
      </c>
      <c r="F20" s="1"/>
    </row>
    <row r="21" spans="1:6" ht="15.75" customHeight="1">
      <c r="A21" s="1" t="str">
        <f ca="1">IFERROR(__xludf.DUMMYFUNCTION("""COMPUTED_VALUE"""),"20240301LACAC")</f>
        <v>20240301LACAC</v>
      </c>
      <c r="B21" s="1" t="str">
        <f ca="1">IFERROR(__xludf.DUMMYFUNCTION("""COMPUTED_VALUE"""),"Fatal")</f>
        <v>Fatal</v>
      </c>
      <c r="C21" s="1" t="str">
        <f ca="1">IFERROR(__xludf.DUMMYFUNCTION("""COMPUTED_VALUE"""),"Male")</f>
        <v>Male</v>
      </c>
      <c r="D21" s="1" t="str">
        <f ca="1">IFERROR(__xludf.DUMMYFUNCTION("""COMPUTED_VALUE"""),"Student")</f>
        <v>Student</v>
      </c>
      <c r="E21" s="1">
        <f ca="1">IFERROR(__xludf.DUMMYFUNCTION("""COMPUTED_VALUE"""),18)</f>
        <v>18</v>
      </c>
      <c r="F21" s="1"/>
    </row>
    <row r="22" spans="1:6" ht="12.5">
      <c r="A22" s="1" t="str">
        <f ca="1">IFERROR(__xludf.DUMMYFUNCTION("""COMPUTED_VALUE"""),"20240228NCWAG")</f>
        <v>20240228NCWAG</v>
      </c>
      <c r="B22" s="1" t="str">
        <f ca="1">IFERROR(__xludf.DUMMYFUNCTION("""COMPUTED_VALUE"""),"Wounded")</f>
        <v>Wounded</v>
      </c>
      <c r="C22" s="1" t="str">
        <f ca="1">IFERROR(__xludf.DUMMYFUNCTION("""COMPUTED_VALUE"""),"Male")</f>
        <v>Male</v>
      </c>
      <c r="D22" s="1" t="str">
        <f ca="1">IFERROR(__xludf.DUMMYFUNCTION("""COMPUTED_VALUE"""),"No Relation")</f>
        <v>No Relation</v>
      </c>
      <c r="E22" s="1">
        <f ca="1">IFERROR(__xludf.DUMMYFUNCTION("""COMPUTED_VALUE"""),27)</f>
        <v>27</v>
      </c>
      <c r="F22" s="1"/>
    </row>
    <row r="23" spans="1:6" ht="12.5">
      <c r="A23" s="1" t="str">
        <f ca="1">IFERROR(__xludf.DUMMYFUNCTION("""COMPUTED_VALUE"""),"20240226TXODO")</f>
        <v>20240226TXODO</v>
      </c>
      <c r="B23" s="1" t="str">
        <f ca="1">IFERROR(__xludf.DUMMYFUNCTION("""COMPUTED_VALUE"""),"Wounded")</f>
        <v>Wounded</v>
      </c>
      <c r="C23" s="1" t="str">
        <f ca="1">IFERROR(__xludf.DUMMYFUNCTION("""COMPUTED_VALUE"""),"Female")</f>
        <v>Female</v>
      </c>
      <c r="D23" s="1" t="str">
        <f ca="1">IFERROR(__xludf.DUMMYFUNCTION("""COMPUTED_VALUE"""),"Student")</f>
        <v>Student</v>
      </c>
      <c r="E23" s="1" t="str">
        <f ca="1">IFERROR(__xludf.DUMMYFUNCTION("""COMPUTED_VALUE"""),"Teen")</f>
        <v>Teen</v>
      </c>
      <c r="F23" s="1"/>
    </row>
    <row r="24" spans="1:6" ht="12.5">
      <c r="A24" s="1" t="str">
        <f ca="1">IFERROR(__xludf.DUMMYFUNCTION("""COMPUTED_VALUE"""),"20240221AZCAT")</f>
        <v>20240221AZCAT</v>
      </c>
      <c r="B24" s="1" t="str">
        <f ca="1">IFERROR(__xludf.DUMMYFUNCTION("""COMPUTED_VALUE"""),"Wounded")</f>
        <v>Wounded</v>
      </c>
      <c r="C24" s="1" t="str">
        <f ca="1">IFERROR(__xludf.DUMMYFUNCTION("""COMPUTED_VALUE"""),"Female")</f>
        <v>Female</v>
      </c>
      <c r="D24" s="1" t="str">
        <f ca="1">IFERROR(__xludf.DUMMYFUNCTION("""COMPUTED_VALUE"""),"No Relation")</f>
        <v>No Relation</v>
      </c>
      <c r="E24" s="1" t="str">
        <f ca="1">IFERROR(__xludf.DUMMYFUNCTION("""COMPUTED_VALUE"""),"Adult")</f>
        <v>Adult</v>
      </c>
      <c r="F24" s="1"/>
    </row>
    <row r="25" spans="1:6" ht="12.5">
      <c r="A25" s="1" t="str">
        <f ca="1">IFERROR(__xludf.DUMMYFUNCTION("""COMPUTED_VALUE"""),"20240220ALPEP")</f>
        <v>20240220ALPEP</v>
      </c>
      <c r="B25" s="1" t="str">
        <f ca="1">IFERROR(__xludf.DUMMYFUNCTION("""COMPUTED_VALUE"""),"Non-gunshot Injury")</f>
        <v>Non-gunshot Injury</v>
      </c>
      <c r="C25" s="1" t="str">
        <f ca="1">IFERROR(__xludf.DUMMYFUNCTION("""COMPUTED_VALUE"""),"Male")</f>
        <v>Male</v>
      </c>
      <c r="D25" s="1" t="str">
        <f ca="1">IFERROR(__xludf.DUMMYFUNCTION("""COMPUTED_VALUE"""),"Student")</f>
        <v>Student</v>
      </c>
      <c r="E25" s="1" t="str">
        <f ca="1">IFERROR(__xludf.DUMMYFUNCTION("""COMPUTED_VALUE"""),"Teen")</f>
        <v>Teen</v>
      </c>
      <c r="F25" s="1"/>
    </row>
    <row r="26" spans="1:6" ht="12.5">
      <c r="A26" s="1" t="str">
        <f ca="1">IFERROR(__xludf.DUMMYFUNCTION("""COMPUTED_VALUE"""),"20240215FLSHC")</f>
        <v>20240215FLSHC</v>
      </c>
      <c r="B26" s="1" t="str">
        <f ca="1">IFERROR(__xludf.DUMMYFUNCTION("""COMPUTED_VALUE"""),"Non-gunshot Injury")</f>
        <v>Non-gunshot Injury</v>
      </c>
      <c r="C26" s="1"/>
      <c r="D26" s="1" t="str">
        <f ca="1">IFERROR(__xludf.DUMMYFUNCTION("""COMPUTED_VALUE"""),"Student")</f>
        <v>Student</v>
      </c>
      <c r="E26" s="1" t="str">
        <f ca="1">IFERROR(__xludf.DUMMYFUNCTION("""COMPUTED_VALUE"""),"Child")</f>
        <v>Child</v>
      </c>
      <c r="F26" s="1"/>
    </row>
    <row r="27" spans="1:6" ht="12.5">
      <c r="A27" s="1" t="str">
        <f ca="1">IFERROR(__xludf.DUMMYFUNCTION("""COMPUTED_VALUE"""),"20240214GABEA")</f>
        <v>20240214GABEA</v>
      </c>
      <c r="B27" s="1" t="str">
        <f ca="1">IFERROR(__xludf.DUMMYFUNCTION("""COMPUTED_VALUE"""),"Wounded")</f>
        <v>Wounded</v>
      </c>
      <c r="C27" s="1"/>
      <c r="D27" s="1" t="str">
        <f ca="1">IFERROR(__xludf.DUMMYFUNCTION("""COMPUTED_VALUE"""),"Student")</f>
        <v>Student</v>
      </c>
      <c r="E27" s="1">
        <f ca="1">IFERROR(__xludf.DUMMYFUNCTION("""COMPUTED_VALUE"""),17)</f>
        <v>17</v>
      </c>
      <c r="F27" s="1"/>
    </row>
    <row r="28" spans="1:6" ht="12.5">
      <c r="A28" s="1" t="str">
        <f ca="1">IFERROR(__xludf.DUMMYFUNCTION("""COMPUTED_VALUE"""),"20240214GABEA")</f>
        <v>20240214GABEA</v>
      </c>
      <c r="B28" s="1" t="str">
        <f ca="1">IFERROR(__xludf.DUMMYFUNCTION("""COMPUTED_VALUE"""),"Wounded")</f>
        <v>Wounded</v>
      </c>
      <c r="C28" s="1"/>
      <c r="D28" s="1" t="str">
        <f ca="1">IFERROR(__xludf.DUMMYFUNCTION("""COMPUTED_VALUE"""),"Student")</f>
        <v>Student</v>
      </c>
      <c r="E28" s="1">
        <f ca="1">IFERROR(__xludf.DUMMYFUNCTION("""COMPUTED_VALUE"""),18)</f>
        <v>18</v>
      </c>
      <c r="F28" s="1"/>
    </row>
    <row r="29" spans="1:6" ht="12.5">
      <c r="A29" s="1" t="str">
        <f ca="1">IFERROR(__xludf.DUMMYFUNCTION("""COMPUTED_VALUE"""),"20240214GABEA")</f>
        <v>20240214GABEA</v>
      </c>
      <c r="B29" s="1" t="str">
        <f ca="1">IFERROR(__xludf.DUMMYFUNCTION("""COMPUTED_VALUE"""),"Wounded")</f>
        <v>Wounded</v>
      </c>
      <c r="C29" s="1"/>
      <c r="D29" s="1" t="str">
        <f ca="1">IFERROR(__xludf.DUMMYFUNCTION("""COMPUTED_VALUE"""),"Student")</f>
        <v>Student</v>
      </c>
      <c r="E29" s="1">
        <f ca="1">IFERROR(__xludf.DUMMYFUNCTION("""COMPUTED_VALUE"""),17)</f>
        <v>17</v>
      </c>
      <c r="F29" s="1"/>
    </row>
    <row r="30" spans="1:6" ht="12.5">
      <c r="A30" s="1" t="str">
        <f ca="1">IFERROR(__xludf.DUMMYFUNCTION("""COMPUTED_VALUE"""),"20240214GABEA")</f>
        <v>20240214GABEA</v>
      </c>
      <c r="B30" s="1" t="str">
        <f ca="1">IFERROR(__xludf.DUMMYFUNCTION("""COMPUTED_VALUE"""),"Wounded")</f>
        <v>Wounded</v>
      </c>
      <c r="C30" s="1"/>
      <c r="D30" s="1" t="str">
        <f ca="1">IFERROR(__xludf.DUMMYFUNCTION("""COMPUTED_VALUE"""),"Student")</f>
        <v>Student</v>
      </c>
      <c r="E30" s="1">
        <f ca="1">IFERROR(__xludf.DUMMYFUNCTION("""COMPUTED_VALUE"""),18)</f>
        <v>18</v>
      </c>
      <c r="F30" s="1"/>
    </row>
    <row r="31" spans="1:6" ht="12.5">
      <c r="A31" s="1" t="str">
        <f ca="1">IFERROR(__xludf.DUMMYFUNCTION("""COMPUTED_VALUE"""),"20240213TNRAM")</f>
        <v>20240213TNRAM</v>
      </c>
      <c r="B31" s="1" t="str">
        <f ca="1">IFERROR(__xludf.DUMMYFUNCTION("""COMPUTED_VALUE"""),"Non-gunshot Injury")</f>
        <v>Non-gunshot Injury</v>
      </c>
      <c r="C31" s="1" t="str">
        <f ca="1">IFERROR(__xludf.DUMMYFUNCTION("""COMPUTED_VALUE"""),"Female")</f>
        <v>Female</v>
      </c>
      <c r="D31" s="1" t="str">
        <f ca="1">IFERROR(__xludf.DUMMYFUNCTION("""COMPUTED_VALUE"""),"Student")</f>
        <v>Student</v>
      </c>
      <c r="E31" s="1" t="str">
        <f ca="1">IFERROR(__xludf.DUMMYFUNCTION("""COMPUTED_VALUE"""),"Teen")</f>
        <v>Teen</v>
      </c>
      <c r="F31" s="1"/>
    </row>
    <row r="32" spans="1:6" ht="12.5">
      <c r="A32" s="1" t="str">
        <f ca="1">IFERROR(__xludf.DUMMYFUNCTION("""COMPUTED_VALUE"""),"20240212OHBEB")</f>
        <v>20240212OHBEB</v>
      </c>
      <c r="B32" s="1" t="str">
        <f ca="1">IFERROR(__xludf.DUMMYFUNCTION("""COMPUTED_VALUE"""),"Non-gunshot Injury")</f>
        <v>Non-gunshot Injury</v>
      </c>
      <c r="C32" s="1" t="str">
        <f ca="1">IFERROR(__xludf.DUMMYFUNCTION("""COMPUTED_VALUE"""),"Male")</f>
        <v>Male</v>
      </c>
      <c r="D32" s="1" t="str">
        <f ca="1">IFERROR(__xludf.DUMMYFUNCTION("""COMPUTED_VALUE"""),"Student")</f>
        <v>Student</v>
      </c>
      <c r="E32" s="1" t="str">
        <f ca="1">IFERROR(__xludf.DUMMYFUNCTION("""COMPUTED_VALUE"""),"Teen")</f>
        <v>Teen</v>
      </c>
      <c r="F32" s="1"/>
    </row>
    <row r="33" spans="1:6" ht="12.5">
      <c r="A33" s="1" t="str">
        <f ca="1">IFERROR(__xludf.DUMMYFUNCTION("""COMPUTED_VALUE"""),"20240212IDCOI")</f>
        <v>20240212IDCOI</v>
      </c>
      <c r="B33" s="1" t="str">
        <f ca="1">IFERROR(__xludf.DUMMYFUNCTION("""COMPUTED_VALUE"""),"Fatal")</f>
        <v>Fatal</v>
      </c>
      <c r="C33" s="1"/>
      <c r="D33" s="1" t="str">
        <f ca="1">IFERROR(__xludf.DUMMYFUNCTION("""COMPUTED_VALUE"""),"No Relation")</f>
        <v>No Relation</v>
      </c>
      <c r="E33" s="1"/>
      <c r="F33" s="1"/>
    </row>
    <row r="34" spans="1:6" ht="12.5">
      <c r="A34" s="1" t="str">
        <f ca="1">IFERROR(__xludf.DUMMYFUNCTION("""COMPUTED_VALUE"""),"20240212IDCOI")</f>
        <v>20240212IDCOI</v>
      </c>
      <c r="B34" s="1" t="str">
        <f ca="1">IFERROR(__xludf.DUMMYFUNCTION("""COMPUTED_VALUE"""),"Wounded")</f>
        <v>Wounded</v>
      </c>
      <c r="C34" s="1"/>
      <c r="D34" s="1" t="str">
        <f ca="1">IFERROR(__xludf.DUMMYFUNCTION("""COMPUTED_VALUE"""),"No Relation")</f>
        <v>No Relation</v>
      </c>
      <c r="E34" s="1"/>
      <c r="F34" s="1"/>
    </row>
    <row r="35" spans="1:6" ht="12.5">
      <c r="A35" s="1" t="str">
        <f ca="1">IFERROR(__xludf.DUMMYFUNCTION("""COMPUTED_VALUE"""),"20240212IDCOI")</f>
        <v>20240212IDCOI</v>
      </c>
      <c r="B35" s="1" t="str">
        <f ca="1">IFERROR(__xludf.DUMMYFUNCTION("""COMPUTED_VALUE"""),"Wounded")</f>
        <v>Wounded</v>
      </c>
      <c r="C35" s="1"/>
      <c r="D35" s="1" t="str">
        <f ca="1">IFERROR(__xludf.DUMMYFUNCTION("""COMPUTED_VALUE"""),"No Relation")</f>
        <v>No Relation</v>
      </c>
      <c r="E35" s="1"/>
      <c r="F35" s="1"/>
    </row>
    <row r="36" spans="1:6" ht="12.5">
      <c r="A36" s="1" t="str">
        <f ca="1">IFERROR(__xludf.DUMMYFUNCTION("""COMPUTED_VALUE"""),"20240212IDCOI")</f>
        <v>20240212IDCOI</v>
      </c>
      <c r="B36" s="1" t="str">
        <f ca="1">IFERROR(__xludf.DUMMYFUNCTION("""COMPUTED_VALUE"""),"Non-gunshot Injury")</f>
        <v>Non-gunshot Injury</v>
      </c>
      <c r="C36" s="1"/>
      <c r="D36" s="1" t="str">
        <f ca="1">IFERROR(__xludf.DUMMYFUNCTION("""COMPUTED_VALUE"""),"No Relation")</f>
        <v>No Relation</v>
      </c>
      <c r="E36" s="1"/>
      <c r="F36" s="1"/>
    </row>
    <row r="37" spans="1:6" ht="12.5">
      <c r="A37" s="1" t="str">
        <f ca="1">IFERROR(__xludf.DUMMYFUNCTION("""COMPUTED_VALUE"""),"20240212CAELC")</f>
        <v>20240212CAELC</v>
      </c>
      <c r="B37" s="1" t="str">
        <f ca="1">IFERROR(__xludf.DUMMYFUNCTION("""COMPUTED_VALUE"""),"Fatal")</f>
        <v>Fatal</v>
      </c>
      <c r="C37" s="1" t="str">
        <f ca="1">IFERROR(__xludf.DUMMYFUNCTION("""COMPUTED_VALUE"""),"Male")</f>
        <v>Male</v>
      </c>
      <c r="D37" s="1" t="str">
        <f ca="1">IFERROR(__xludf.DUMMYFUNCTION("""COMPUTED_VALUE"""),"No Relation")</f>
        <v>No Relation</v>
      </c>
      <c r="E37" s="1">
        <f ca="1">IFERROR(__xludf.DUMMYFUNCTION("""COMPUTED_VALUE"""),14)</f>
        <v>14</v>
      </c>
      <c r="F37" s="1"/>
    </row>
    <row r="38" spans="1:6" ht="12.5">
      <c r="A38" s="1" t="str">
        <f ca="1">IFERROR(__xludf.DUMMYFUNCTION("""COMPUTED_VALUE"""),"20240212CAELC")</f>
        <v>20240212CAELC</v>
      </c>
      <c r="B38" s="1" t="str">
        <f ca="1">IFERROR(__xludf.DUMMYFUNCTION("""COMPUTED_VALUE"""),"Wounded")</f>
        <v>Wounded</v>
      </c>
      <c r="C38" s="1" t="str">
        <f ca="1">IFERROR(__xludf.DUMMYFUNCTION("""COMPUTED_VALUE"""),"Male")</f>
        <v>Male</v>
      </c>
      <c r="D38" s="1" t="str">
        <f ca="1">IFERROR(__xludf.DUMMYFUNCTION("""COMPUTED_VALUE"""),"No Relation")</f>
        <v>No Relation</v>
      </c>
      <c r="E38" s="1" t="str">
        <f ca="1">IFERROR(__xludf.DUMMYFUNCTION("""COMPUTED_VALUE"""),"Teen")</f>
        <v>Teen</v>
      </c>
      <c r="F38" s="1"/>
    </row>
    <row r="39" spans="1:6" ht="12.5">
      <c r="A39" s="1" t="str">
        <f ca="1">IFERROR(__xludf.DUMMYFUNCTION("""COMPUTED_VALUE"""),"20240211CAMAB")</f>
        <v>20240211CAMAB</v>
      </c>
      <c r="B39" s="1" t="str">
        <f ca="1">IFERROR(__xludf.DUMMYFUNCTION("""COMPUTED_VALUE"""),"Fatal")</f>
        <v>Fatal</v>
      </c>
      <c r="C39" s="1" t="str">
        <f ca="1">IFERROR(__xludf.DUMMYFUNCTION("""COMPUTED_VALUE"""),"Male")</f>
        <v>Male</v>
      </c>
      <c r="D39" s="1" t="str">
        <f ca="1">IFERROR(__xludf.DUMMYFUNCTION("""COMPUTED_VALUE"""),"No Relation")</f>
        <v>No Relation</v>
      </c>
      <c r="E39" s="1" t="str">
        <f ca="1">IFERROR(__xludf.DUMMYFUNCTION("""COMPUTED_VALUE"""),"Adult")</f>
        <v>Adult</v>
      </c>
      <c r="F39" s="1"/>
    </row>
    <row r="40" spans="1:6" ht="12.5">
      <c r="A40" s="1" t="str">
        <f ca="1">IFERROR(__xludf.DUMMYFUNCTION("""COMPUTED_VALUE"""),"20240209GATRE")</f>
        <v>20240209GATRE</v>
      </c>
      <c r="B40" s="1" t="str">
        <f ca="1">IFERROR(__xludf.DUMMYFUNCTION("""COMPUTED_VALUE"""),"Fatal")</f>
        <v>Fatal</v>
      </c>
      <c r="C40" s="1" t="str">
        <f ca="1">IFERROR(__xludf.DUMMYFUNCTION("""COMPUTED_VALUE"""),"Male")</f>
        <v>Male</v>
      </c>
      <c r="D40" s="1" t="str">
        <f ca="1">IFERROR(__xludf.DUMMYFUNCTION("""COMPUTED_VALUE"""),"Student")</f>
        <v>Student</v>
      </c>
      <c r="E40" s="1">
        <f ca="1">IFERROR(__xludf.DUMMYFUNCTION("""COMPUTED_VALUE"""),15)</f>
        <v>15</v>
      </c>
      <c r="F40" s="1"/>
    </row>
    <row r="41" spans="1:6" ht="12.5">
      <c r="A41" s="1" t="str">
        <f ca="1">IFERROR(__xludf.DUMMYFUNCTION("""COMPUTED_VALUE"""),"20240209GATRE")</f>
        <v>20240209GATRE</v>
      </c>
      <c r="B41" s="1" t="str">
        <f ca="1">IFERROR(__xludf.DUMMYFUNCTION("""COMPUTED_VALUE"""),"Non-gunshot Injury")</f>
        <v>Non-gunshot Injury</v>
      </c>
      <c r="C41" s="1" t="str">
        <f ca="1">IFERROR(__xludf.DUMMYFUNCTION("""COMPUTED_VALUE"""),"Male")</f>
        <v>Male</v>
      </c>
      <c r="D41" s="1" t="str">
        <f ca="1">IFERROR(__xludf.DUMMYFUNCTION("""COMPUTED_VALUE"""),"Student")</f>
        <v>Student</v>
      </c>
      <c r="E41" s="1" t="str">
        <f ca="1">IFERROR(__xludf.DUMMYFUNCTION("""COMPUTED_VALUE"""),"Teen")</f>
        <v>Teen</v>
      </c>
      <c r="F41" s="1"/>
    </row>
    <row r="42" spans="1:6" ht="12.5">
      <c r="A42" s="1" t="str">
        <f ca="1">IFERROR(__xludf.DUMMYFUNCTION("""COMPUTED_VALUE"""),"20240208MDBEB")</f>
        <v>20240208MDBEB</v>
      </c>
      <c r="B42" s="1" t="str">
        <f ca="1">IFERROR(__xludf.DUMMYFUNCTION("""COMPUTED_VALUE"""),"None")</f>
        <v>None</v>
      </c>
      <c r="C42" s="1" t="str">
        <f ca="1">IFERROR(__xludf.DUMMYFUNCTION("""COMPUTED_VALUE"""),"Male")</f>
        <v>Male</v>
      </c>
      <c r="D42" s="1" t="str">
        <f ca="1">IFERROR(__xludf.DUMMYFUNCTION("""COMPUTED_VALUE"""),"Student")</f>
        <v>Student</v>
      </c>
      <c r="E42" s="1" t="str">
        <f ca="1">IFERROR(__xludf.DUMMYFUNCTION("""COMPUTED_VALUE"""),"Teen")</f>
        <v>Teen</v>
      </c>
      <c r="F42" s="1"/>
    </row>
    <row r="43" spans="1:6" ht="12.5">
      <c r="A43" s="1" t="str">
        <f ca="1">IFERROR(__xludf.DUMMYFUNCTION("""COMPUTED_VALUE"""),"20240208TNMEN")</f>
        <v>20240208TNMEN</v>
      </c>
      <c r="B43" s="1" t="str">
        <f ca="1">IFERROR(__xludf.DUMMYFUNCTION("""COMPUTED_VALUE"""),"Fatal")</f>
        <v>Fatal</v>
      </c>
      <c r="C43" s="1" t="str">
        <f ca="1">IFERROR(__xludf.DUMMYFUNCTION("""COMPUTED_VALUE"""),"Male")</f>
        <v>Male</v>
      </c>
      <c r="D43" s="1" t="str">
        <f ca="1">IFERROR(__xludf.DUMMYFUNCTION("""COMPUTED_VALUE"""),"No Relation")</f>
        <v>No Relation</v>
      </c>
      <c r="E43" s="1">
        <f ca="1">IFERROR(__xludf.DUMMYFUNCTION("""COMPUTED_VALUE"""),16)</f>
        <v>16</v>
      </c>
      <c r="F43" s="1"/>
    </row>
    <row r="44" spans="1:6" ht="12.5">
      <c r="A44" s="1" t="str">
        <f ca="1">IFERROR(__xludf.DUMMYFUNCTION("""COMPUTED_VALUE"""),"20240208TNMEN")</f>
        <v>20240208TNMEN</v>
      </c>
      <c r="B44" s="1" t="str">
        <f ca="1">IFERROR(__xludf.DUMMYFUNCTION("""COMPUTED_VALUE"""),"Fatal")</f>
        <v>Fatal</v>
      </c>
      <c r="C44" s="1" t="str">
        <f ca="1">IFERROR(__xludf.DUMMYFUNCTION("""COMPUTED_VALUE"""),"Male")</f>
        <v>Male</v>
      </c>
      <c r="D44" s="1" t="str">
        <f ca="1">IFERROR(__xludf.DUMMYFUNCTION("""COMPUTED_VALUE"""),"No Relation")</f>
        <v>No Relation</v>
      </c>
      <c r="E44" s="1">
        <f ca="1">IFERROR(__xludf.DUMMYFUNCTION("""COMPUTED_VALUE"""),17)</f>
        <v>17</v>
      </c>
      <c r="F44" s="1"/>
    </row>
    <row r="45" spans="1:6" ht="12.5">
      <c r="A45" s="1" t="str">
        <f ca="1">IFERROR(__xludf.DUMMYFUNCTION("""COMPUTED_VALUE"""),"2024207TXKUH")</f>
        <v>2024207TXKUH</v>
      </c>
      <c r="B45" s="1" t="str">
        <f ca="1">IFERROR(__xludf.DUMMYFUNCTION("""COMPUTED_VALUE"""),"Fatal")</f>
        <v>Fatal</v>
      </c>
      <c r="C45" s="1" t="str">
        <f ca="1">IFERROR(__xludf.DUMMYFUNCTION("""COMPUTED_VALUE"""),"Male")</f>
        <v>Male</v>
      </c>
      <c r="D45" s="1" t="str">
        <f ca="1">IFERROR(__xludf.DUMMYFUNCTION("""COMPUTED_VALUE"""),"No Relation")</f>
        <v>No Relation</v>
      </c>
      <c r="E45" s="1" t="str">
        <f ca="1">IFERROR(__xludf.DUMMYFUNCTION("""COMPUTED_VALUE"""),"Adult")</f>
        <v>Adult</v>
      </c>
      <c r="F45" s="1"/>
    </row>
    <row r="46" spans="1:6" ht="12.5">
      <c r="A46" s="1" t="str">
        <f ca="1">IFERROR(__xludf.DUMMYFUNCTION("""COMPUTED_VALUE"""),"20240206TNNOC")</f>
        <v>20240206TNNOC</v>
      </c>
      <c r="B46" s="1" t="str">
        <f ca="1">IFERROR(__xludf.DUMMYFUNCTION("""COMPUTED_VALUE"""),"Wounded")</f>
        <v>Wounded</v>
      </c>
      <c r="C46" s="1"/>
      <c r="D46" s="1"/>
      <c r="E46" s="1"/>
      <c r="F46" s="1"/>
    </row>
    <row r="47" spans="1:6" ht="12.5">
      <c r="A47" s="1" t="str">
        <f ca="1">IFERROR(__xludf.DUMMYFUNCTION("""COMPUTED_VALUE"""),"20240201TNHAN")</f>
        <v>20240201TNHAN</v>
      </c>
      <c r="B47" s="1" t="str">
        <f ca="1">IFERROR(__xludf.DUMMYFUNCTION("""COMPUTED_VALUE"""),"None")</f>
        <v>None</v>
      </c>
      <c r="C47" s="1" t="str">
        <f ca="1">IFERROR(__xludf.DUMMYFUNCTION("""COMPUTED_VALUE"""),"Male")</f>
        <v>Male</v>
      </c>
      <c r="D47" s="1" t="str">
        <f ca="1">IFERROR(__xludf.DUMMYFUNCTION("""COMPUTED_VALUE"""),"Student")</f>
        <v>Student</v>
      </c>
      <c r="E47" s="1">
        <f ca="1">IFERROR(__xludf.DUMMYFUNCTION("""COMPUTED_VALUE"""),14)</f>
        <v>14</v>
      </c>
      <c r="F47" s="1"/>
    </row>
    <row r="48" spans="1:6" ht="12.5">
      <c r="A48" s="1" t="str">
        <f ca="1">IFERROR(__xludf.DUMMYFUNCTION("""COMPUTED_VALUE"""),"20240201GAMCP")</f>
        <v>20240201GAMCP</v>
      </c>
      <c r="B48" s="1" t="str">
        <f ca="1">IFERROR(__xludf.DUMMYFUNCTION("""COMPUTED_VALUE"""),"Wounded")</f>
        <v>Wounded</v>
      </c>
      <c r="C48" s="1" t="str">
        <f ca="1">IFERROR(__xludf.DUMMYFUNCTION("""COMPUTED_VALUE"""),"Male")</f>
        <v>Male</v>
      </c>
      <c r="D48" s="1" t="str">
        <f ca="1">IFERROR(__xludf.DUMMYFUNCTION("""COMPUTED_VALUE"""),"Nonstudent")</f>
        <v>Nonstudent</v>
      </c>
      <c r="E48" s="1">
        <f ca="1">IFERROR(__xludf.DUMMYFUNCTION("""COMPUTED_VALUE"""),21)</f>
        <v>21</v>
      </c>
      <c r="F48" s="1"/>
    </row>
    <row r="49" spans="1:6" ht="12.5">
      <c r="A49" s="1" t="str">
        <f ca="1">IFERROR(__xludf.DUMMYFUNCTION("""COMPUTED_VALUE"""),"20240201GAMCP")</f>
        <v>20240201GAMCP</v>
      </c>
      <c r="B49" s="1" t="str">
        <f ca="1">IFERROR(__xludf.DUMMYFUNCTION("""COMPUTED_VALUE"""),"Wounded")</f>
        <v>Wounded</v>
      </c>
      <c r="C49" s="1"/>
      <c r="D49" s="1" t="str">
        <f ca="1">IFERROR(__xludf.DUMMYFUNCTION("""COMPUTED_VALUE"""),"Nonstudent")</f>
        <v>Nonstudent</v>
      </c>
      <c r="E49" s="1" t="str">
        <f ca="1">IFERROR(__xludf.DUMMYFUNCTION("""COMPUTED_VALUE"""),"Teen")</f>
        <v>Teen</v>
      </c>
      <c r="F49" s="1"/>
    </row>
    <row r="50" spans="1:6" ht="12.5">
      <c r="A50" s="1" t="str">
        <f ca="1">IFERROR(__xludf.DUMMYFUNCTION("""COMPUTED_VALUE"""),"20240131CADUD")</f>
        <v>20240131CADUD</v>
      </c>
      <c r="B50" s="1" t="str">
        <f ca="1">IFERROR(__xludf.DUMMYFUNCTION("""COMPUTED_VALUE"""),"Wounded")</f>
        <v>Wounded</v>
      </c>
      <c r="C50" s="1" t="str">
        <f ca="1">IFERROR(__xludf.DUMMYFUNCTION("""COMPUTED_VALUE"""),"Female")</f>
        <v>Female</v>
      </c>
      <c r="D50" s="1" t="str">
        <f ca="1">IFERROR(__xludf.DUMMYFUNCTION("""COMPUTED_VALUE"""),"Student")</f>
        <v>Student</v>
      </c>
      <c r="E50" s="1" t="str">
        <f ca="1">IFERROR(__xludf.DUMMYFUNCTION("""COMPUTED_VALUE"""),"Teen")</f>
        <v>Teen</v>
      </c>
      <c r="F50" s="1"/>
    </row>
    <row r="51" spans="1:6" ht="12.5">
      <c r="A51" s="1" t="str">
        <f ca="1">IFERROR(__xludf.DUMMYFUNCTION("""COMPUTED_VALUE"""),"20240131ILCHC")</f>
        <v>20240131ILCHC</v>
      </c>
      <c r="B51" s="1" t="str">
        <f ca="1">IFERROR(__xludf.DUMMYFUNCTION("""COMPUTED_VALUE"""),"Fatal")</f>
        <v>Fatal</v>
      </c>
      <c r="C51" s="1" t="str">
        <f ca="1">IFERROR(__xludf.DUMMYFUNCTION("""COMPUTED_VALUE"""),"Male")</f>
        <v>Male</v>
      </c>
      <c r="D51" s="1" t="str">
        <f ca="1">IFERROR(__xludf.DUMMYFUNCTION("""COMPUTED_VALUE"""),"Student")</f>
        <v>Student</v>
      </c>
      <c r="E51" s="1">
        <f ca="1">IFERROR(__xludf.DUMMYFUNCTION("""COMPUTED_VALUE"""),16)</f>
        <v>16</v>
      </c>
      <c r="F51" s="1"/>
    </row>
    <row r="52" spans="1:6" ht="12.5">
      <c r="A52" s="1" t="str">
        <f ca="1">IFERROR(__xludf.DUMMYFUNCTION("""COMPUTED_VALUE"""),"20240131ILCHC")</f>
        <v>20240131ILCHC</v>
      </c>
      <c r="B52" s="1" t="str">
        <f ca="1">IFERROR(__xludf.DUMMYFUNCTION("""COMPUTED_VALUE"""),"Wounded")</f>
        <v>Wounded</v>
      </c>
      <c r="C52" s="1" t="str">
        <f ca="1">IFERROR(__xludf.DUMMYFUNCTION("""COMPUTED_VALUE"""),"Male")</f>
        <v>Male</v>
      </c>
      <c r="D52" s="1" t="str">
        <f ca="1">IFERROR(__xludf.DUMMYFUNCTION("""COMPUTED_VALUE"""),"Student")</f>
        <v>Student</v>
      </c>
      <c r="E52" s="1">
        <f ca="1">IFERROR(__xludf.DUMMYFUNCTION("""COMPUTED_VALUE"""),16)</f>
        <v>16</v>
      </c>
      <c r="F52" s="1"/>
    </row>
    <row r="53" spans="1:6" ht="12.5">
      <c r="A53" s="1" t="str">
        <f ca="1">IFERROR(__xludf.DUMMYFUNCTION("""COMPUTED_VALUE"""),"20240131ILCHC")</f>
        <v>20240131ILCHC</v>
      </c>
      <c r="B53" s="1" t="str">
        <f ca="1">IFERROR(__xludf.DUMMYFUNCTION("""COMPUTED_VALUE"""),"Wounded")</f>
        <v>Wounded</v>
      </c>
      <c r="C53" s="1" t="str">
        <f ca="1">IFERROR(__xludf.DUMMYFUNCTION("""COMPUTED_VALUE"""),"Male")</f>
        <v>Male</v>
      </c>
      <c r="D53" s="1" t="str">
        <f ca="1">IFERROR(__xludf.DUMMYFUNCTION("""COMPUTED_VALUE"""),"Student")</f>
        <v>Student</v>
      </c>
      <c r="E53" s="1">
        <f ca="1">IFERROR(__xludf.DUMMYFUNCTION("""COMPUTED_VALUE"""),15)</f>
        <v>15</v>
      </c>
      <c r="F53" s="1"/>
    </row>
    <row r="54" spans="1:6" ht="12.5">
      <c r="A54" s="1" t="str">
        <f ca="1">IFERROR(__xludf.DUMMYFUNCTION("""COMPUTED_VALUE"""),"20240130CAGRS")</f>
        <v>20240130CAGRS</v>
      </c>
      <c r="B54" s="1" t="str">
        <f ca="1">IFERROR(__xludf.DUMMYFUNCTION("""COMPUTED_VALUE"""),"Wounded")</f>
        <v>Wounded</v>
      </c>
      <c r="C54" s="1" t="str">
        <f ca="1">IFERROR(__xludf.DUMMYFUNCTION("""COMPUTED_VALUE"""),"Male")</f>
        <v>Male</v>
      </c>
      <c r="D54" s="1" t="str">
        <f ca="1">IFERROR(__xludf.DUMMYFUNCTION("""COMPUTED_VALUE"""),"Student")</f>
        <v>Student</v>
      </c>
      <c r="E54" s="1">
        <f ca="1">IFERROR(__xludf.DUMMYFUNCTION("""COMPUTED_VALUE"""),17)</f>
        <v>17</v>
      </c>
      <c r="F54" s="1"/>
    </row>
    <row r="55" spans="1:6" ht="12.5">
      <c r="A55" s="1" t="str">
        <f ca="1">IFERROR(__xludf.DUMMYFUNCTION("""COMPUTED_VALUE"""),"20240130ALLEM")</f>
        <v>20240130ALLEM</v>
      </c>
      <c r="B55" s="1" t="str">
        <f ca="1">IFERROR(__xludf.DUMMYFUNCTION("""COMPUTED_VALUE"""),"Wounded")</f>
        <v>Wounded</v>
      </c>
      <c r="C55" s="1" t="str">
        <f ca="1">IFERROR(__xludf.DUMMYFUNCTION("""COMPUTED_VALUE"""),"Male")</f>
        <v>Male</v>
      </c>
      <c r="D55" s="1" t="str">
        <f ca="1">IFERROR(__xludf.DUMMYFUNCTION("""COMPUTED_VALUE"""),"Student")</f>
        <v>Student</v>
      </c>
      <c r="E55" s="1">
        <f ca="1">IFERROR(__xludf.DUMMYFUNCTION("""COMPUTED_VALUE"""),15)</f>
        <v>15</v>
      </c>
      <c r="F55" s="1"/>
    </row>
    <row r="56" spans="1:6" ht="12.5">
      <c r="A56" s="1" t="str">
        <f ca="1">IFERROR(__xludf.DUMMYFUNCTION("""COMPUTED_VALUE"""),"20240130ALLEM")</f>
        <v>20240130ALLEM</v>
      </c>
      <c r="B56" s="1" t="str">
        <f ca="1">IFERROR(__xludf.DUMMYFUNCTION("""COMPUTED_VALUE"""),"Wounded")</f>
        <v>Wounded</v>
      </c>
      <c r="C56" s="1" t="str">
        <f ca="1">IFERROR(__xludf.DUMMYFUNCTION("""COMPUTED_VALUE"""),"Male")</f>
        <v>Male</v>
      </c>
      <c r="D56" s="1" t="str">
        <f ca="1">IFERROR(__xludf.DUMMYFUNCTION("""COMPUTED_VALUE"""),"Student")</f>
        <v>Student</v>
      </c>
      <c r="E56" s="1">
        <f ca="1">IFERROR(__xludf.DUMMYFUNCTION("""COMPUTED_VALUE"""),17)</f>
        <v>17</v>
      </c>
      <c r="F56" s="1"/>
    </row>
    <row r="57" spans="1:6" ht="12.5">
      <c r="A57" s="1" t="str">
        <f ca="1">IFERROR(__xludf.DUMMYFUNCTION("""COMPUTED_VALUE"""),"20240129TXCOA")</f>
        <v>20240129TXCOA</v>
      </c>
      <c r="B57" s="1" t="str">
        <f ca="1">IFERROR(__xludf.DUMMYFUNCTION("""COMPUTED_VALUE"""),"Wounded")</f>
        <v>Wounded</v>
      </c>
      <c r="C57" s="1" t="str">
        <f ca="1">IFERROR(__xludf.DUMMYFUNCTION("""COMPUTED_VALUE"""),"Male")</f>
        <v>Male</v>
      </c>
      <c r="D57" s="1" t="str">
        <f ca="1">IFERROR(__xludf.DUMMYFUNCTION("""COMPUTED_VALUE"""),"Student")</f>
        <v>Student</v>
      </c>
      <c r="E57" s="1" t="str">
        <f ca="1">IFERROR(__xludf.DUMMYFUNCTION("""COMPUTED_VALUE"""),"Teen")</f>
        <v>Teen</v>
      </c>
      <c r="F57" s="1"/>
    </row>
    <row r="58" spans="1:6" ht="12.5">
      <c r="A58" s="1" t="str">
        <f ca="1">IFERROR(__xludf.DUMMYFUNCTION("""COMPUTED_VALUE"""),"20240126ILINC")</f>
        <v>20240126ILINC</v>
      </c>
      <c r="B58" s="1" t="str">
        <f ca="1">IFERROR(__xludf.DUMMYFUNCTION("""COMPUTED_VALUE"""),"Fatal")</f>
        <v>Fatal</v>
      </c>
      <c r="C58" s="1" t="str">
        <f ca="1">IFERROR(__xludf.DUMMYFUNCTION("""COMPUTED_VALUE"""),"Male")</f>
        <v>Male</v>
      </c>
      <c r="D58" s="1" t="str">
        <f ca="1">IFERROR(__xludf.DUMMYFUNCTION("""COMPUTED_VALUE"""),"Student")</f>
        <v>Student</v>
      </c>
      <c r="E58" s="1">
        <f ca="1">IFERROR(__xludf.DUMMYFUNCTION("""COMPUTED_VALUE"""),16)</f>
        <v>16</v>
      </c>
      <c r="F58" s="1" t="str">
        <f ca="1">IFERROR(__xludf.DUMMYFUNCTION("""COMPUTED_VALUE"""),"Black")</f>
        <v>Black</v>
      </c>
    </row>
    <row r="59" spans="1:6" ht="12.5">
      <c r="A59" s="1" t="str">
        <f ca="1">IFERROR(__xludf.DUMMYFUNCTION("""COMPUTED_VALUE"""),"20240126ILINC")</f>
        <v>20240126ILINC</v>
      </c>
      <c r="B59" s="1" t="str">
        <f ca="1">IFERROR(__xludf.DUMMYFUNCTION("""COMPUTED_VALUE"""),"Fatal")</f>
        <v>Fatal</v>
      </c>
      <c r="C59" s="1" t="str">
        <f ca="1">IFERROR(__xludf.DUMMYFUNCTION("""COMPUTED_VALUE"""),"Male")</f>
        <v>Male</v>
      </c>
      <c r="D59" s="1" t="str">
        <f ca="1">IFERROR(__xludf.DUMMYFUNCTION("""COMPUTED_VALUE"""),"Student")</f>
        <v>Student</v>
      </c>
      <c r="E59" s="1">
        <f ca="1">IFERROR(__xludf.DUMMYFUNCTION("""COMPUTED_VALUE"""),17)</f>
        <v>17</v>
      </c>
      <c r="F59" s="1" t="str">
        <f ca="1">IFERROR(__xludf.DUMMYFUNCTION("""COMPUTED_VALUE"""),"Black")</f>
        <v>Black</v>
      </c>
    </row>
    <row r="60" spans="1:6" ht="12.5">
      <c r="A60" s="1" t="str">
        <f ca="1">IFERROR(__xludf.DUMMYFUNCTION("""COMPUTED_VALUE"""),"20240124TNWEM")</f>
        <v>20240124TNWEM</v>
      </c>
      <c r="B60" s="1" t="str">
        <f ca="1">IFERROR(__xludf.DUMMYFUNCTION("""COMPUTED_VALUE"""),"Fatal")</f>
        <v>Fatal</v>
      </c>
      <c r="C60" s="1" t="str">
        <f ca="1">IFERROR(__xludf.DUMMYFUNCTION("""COMPUTED_VALUE"""),"Male")</f>
        <v>Male</v>
      </c>
      <c r="D60" s="1" t="str">
        <f ca="1">IFERROR(__xludf.DUMMYFUNCTION("""COMPUTED_VALUE"""),"Parent")</f>
        <v>Parent</v>
      </c>
      <c r="E60" s="1">
        <f ca="1">IFERROR(__xludf.DUMMYFUNCTION("""COMPUTED_VALUE"""),24)</f>
        <v>24</v>
      </c>
      <c r="F60" s="1"/>
    </row>
    <row r="61" spans="1:6" ht="12.5">
      <c r="A61" s="1" t="str">
        <f ca="1">IFERROR(__xludf.DUMMYFUNCTION("""COMPUTED_VALUE"""),"20240122ILCIC")</f>
        <v>20240122ILCIC</v>
      </c>
      <c r="B61" s="1" t="str">
        <f ca="1">IFERROR(__xludf.DUMMYFUNCTION("""COMPUTED_VALUE"""),"Fatal")</f>
        <v>Fatal</v>
      </c>
      <c r="C61" s="1" t="str">
        <f ca="1">IFERROR(__xludf.DUMMYFUNCTION("""COMPUTED_VALUE"""),"Male")</f>
        <v>Male</v>
      </c>
      <c r="D61" s="1" t="str">
        <f ca="1">IFERROR(__xludf.DUMMYFUNCTION("""COMPUTED_VALUE"""),"Student")</f>
        <v>Student</v>
      </c>
      <c r="E61" s="1">
        <f ca="1">IFERROR(__xludf.DUMMYFUNCTION("""COMPUTED_VALUE"""),18)</f>
        <v>18</v>
      </c>
      <c r="F61" s="1" t="str">
        <f ca="1">IFERROR(__xludf.DUMMYFUNCTION("""COMPUTED_VALUE"""),"Black")</f>
        <v>Black</v>
      </c>
    </row>
    <row r="62" spans="1:6" ht="12.5">
      <c r="A62" s="1" t="str">
        <f ca="1">IFERROR(__xludf.DUMMYFUNCTION("""COMPUTED_VALUE"""),"20240122ILCIC")</f>
        <v>20240122ILCIC</v>
      </c>
      <c r="B62" s="1" t="str">
        <f ca="1">IFERROR(__xludf.DUMMYFUNCTION("""COMPUTED_VALUE"""),"Wounded")</f>
        <v>Wounded</v>
      </c>
      <c r="C62" s="1" t="str">
        <f ca="1">IFERROR(__xludf.DUMMYFUNCTION("""COMPUTED_VALUE"""),"Male")</f>
        <v>Male</v>
      </c>
      <c r="D62" s="1" t="str">
        <f ca="1">IFERROR(__xludf.DUMMYFUNCTION("""COMPUTED_VALUE"""),"Relative")</f>
        <v>Relative</v>
      </c>
      <c r="E62" s="1">
        <f ca="1">IFERROR(__xludf.DUMMYFUNCTION("""COMPUTED_VALUE"""),27)</f>
        <v>27</v>
      </c>
      <c r="F62" s="1" t="str">
        <f ca="1">IFERROR(__xludf.DUMMYFUNCTION("""COMPUTED_VALUE"""),"Black")</f>
        <v>Black</v>
      </c>
    </row>
    <row r="63" spans="1:6" ht="12.5">
      <c r="A63" s="1" t="str">
        <f ca="1">IFERROR(__xludf.DUMMYFUNCTION("""COMPUTED_VALUE"""),"20240117MDCHE")</f>
        <v>20240117MDCHE</v>
      </c>
      <c r="B63" s="1" t="str">
        <f ca="1">IFERROR(__xludf.DUMMYFUNCTION("""COMPUTED_VALUE"""),"Fatal")</f>
        <v>Fatal</v>
      </c>
      <c r="C63" s="1" t="str">
        <f ca="1">IFERROR(__xludf.DUMMYFUNCTION("""COMPUTED_VALUE"""),"Male")</f>
        <v>Male</v>
      </c>
      <c r="D63" s="1" t="str">
        <f ca="1">IFERROR(__xludf.DUMMYFUNCTION("""COMPUTED_VALUE"""),"Other Staff")</f>
        <v>Other Staff</v>
      </c>
      <c r="E63" s="1">
        <f ca="1">IFERROR(__xludf.DUMMYFUNCTION("""COMPUTED_VALUE"""),37)</f>
        <v>37</v>
      </c>
      <c r="F63" s="1" t="str">
        <f ca="1">IFERROR(__xludf.DUMMYFUNCTION("""COMPUTED_VALUE"""),"Hispanic")</f>
        <v>Hispanic</v>
      </c>
    </row>
    <row r="64" spans="1:6" ht="12.5">
      <c r="A64" s="1" t="str">
        <f ca="1">IFERROR(__xludf.DUMMYFUNCTION("""COMPUTED_VALUE"""),"20240113INLAF")</f>
        <v>20240113INLAF</v>
      </c>
      <c r="B64" s="1" t="str">
        <f ca="1">IFERROR(__xludf.DUMMYFUNCTION("""COMPUTED_VALUE"""),"Fatal")</f>
        <v>Fatal</v>
      </c>
      <c r="C64" s="1" t="str">
        <f ca="1">IFERROR(__xludf.DUMMYFUNCTION("""COMPUTED_VALUE"""),"Male")</f>
        <v>Male</v>
      </c>
      <c r="D64" s="1"/>
      <c r="E64" s="1" t="str">
        <f ca="1">IFERROR(__xludf.DUMMYFUNCTION("""COMPUTED_VALUE"""),"Child")</f>
        <v>Child</v>
      </c>
      <c r="F64" s="1"/>
    </row>
    <row r="65" spans="1:6" ht="12.5">
      <c r="A65" s="1" t="str">
        <f ca="1">IFERROR(__xludf.DUMMYFUNCTION("""COMPUTED_VALUE"""),"20240112OHROD")</f>
        <v>20240112OHROD</v>
      </c>
      <c r="B65" s="1" t="str">
        <f ca="1">IFERROR(__xludf.DUMMYFUNCTION("""COMPUTED_VALUE"""),"Fatal")</f>
        <v>Fatal</v>
      </c>
      <c r="C65" s="1" t="str">
        <f ca="1">IFERROR(__xludf.DUMMYFUNCTION("""COMPUTED_VALUE"""),"Male")</f>
        <v>Male</v>
      </c>
      <c r="D65" s="1" t="str">
        <f ca="1">IFERROR(__xludf.DUMMYFUNCTION("""COMPUTED_VALUE"""),"Nonstudent Using Athletic Facilities/Attending Game")</f>
        <v>Nonstudent Using Athletic Facilities/Attending Game</v>
      </c>
      <c r="E65" s="1">
        <f ca="1">IFERROR(__xludf.DUMMYFUNCTION("""COMPUTED_VALUE"""),20)</f>
        <v>20</v>
      </c>
      <c r="F65" s="1"/>
    </row>
    <row r="66" spans="1:6" ht="12.5">
      <c r="A66" s="1" t="str">
        <f ca="1">IFERROR(__xludf.DUMMYFUNCTION("""COMPUTED_VALUE"""),"20240111FLNOM")</f>
        <v>20240111FLNOM</v>
      </c>
      <c r="B66" s="1" t="str">
        <f ca="1">IFERROR(__xludf.DUMMYFUNCTION("""COMPUTED_VALUE"""),"Wounded")</f>
        <v>Wounded</v>
      </c>
      <c r="C66" s="1" t="str">
        <f ca="1">IFERROR(__xludf.DUMMYFUNCTION("""COMPUTED_VALUE"""),"Male")</f>
        <v>Male</v>
      </c>
      <c r="D66" s="1" t="str">
        <f ca="1">IFERROR(__xludf.DUMMYFUNCTION("""COMPUTED_VALUE"""),"Student")</f>
        <v>Student</v>
      </c>
      <c r="E66" s="1">
        <f ca="1">IFERROR(__xludf.DUMMYFUNCTION("""COMPUTED_VALUE"""),15)</f>
        <v>15</v>
      </c>
      <c r="F66" s="1"/>
    </row>
    <row r="67" spans="1:6" ht="12.5">
      <c r="A67" s="1" t="str">
        <f ca="1">IFERROR(__xludf.DUMMYFUNCTION("""COMPUTED_VALUE"""),"20240111LABOB")</f>
        <v>20240111LABOB</v>
      </c>
      <c r="B67" s="1" t="str">
        <f ca="1">IFERROR(__xludf.DUMMYFUNCTION("""COMPUTED_VALUE"""),"Fatal")</f>
        <v>Fatal</v>
      </c>
      <c r="C67" s="1" t="str">
        <f ca="1">IFERROR(__xludf.DUMMYFUNCTION("""COMPUTED_VALUE"""),"Male")</f>
        <v>Male</v>
      </c>
      <c r="D67" s="1" t="str">
        <f ca="1">IFERROR(__xludf.DUMMYFUNCTION("""COMPUTED_VALUE"""),"Student")</f>
        <v>Student</v>
      </c>
      <c r="E67" s="1">
        <f ca="1">IFERROR(__xludf.DUMMYFUNCTION("""COMPUTED_VALUE"""),14)</f>
        <v>14</v>
      </c>
      <c r="F67" s="1"/>
    </row>
    <row r="68" spans="1:6" ht="12.5">
      <c r="A68" s="1" t="str">
        <f ca="1">IFERROR(__xludf.DUMMYFUNCTION("""COMPUTED_VALUE"""),"20240111LABOB")</f>
        <v>20240111LABOB</v>
      </c>
      <c r="B68" s="1" t="str">
        <f ca="1">IFERROR(__xludf.DUMMYFUNCTION("""COMPUTED_VALUE"""),"Wounded")</f>
        <v>Wounded</v>
      </c>
      <c r="C68" s="1" t="str">
        <f ca="1">IFERROR(__xludf.DUMMYFUNCTION("""COMPUTED_VALUE"""),"Male")</f>
        <v>Male</v>
      </c>
      <c r="D68" s="1" t="str">
        <f ca="1">IFERROR(__xludf.DUMMYFUNCTION("""COMPUTED_VALUE"""),"Student")</f>
        <v>Student</v>
      </c>
      <c r="E68" s="1">
        <f ca="1">IFERROR(__xludf.DUMMYFUNCTION("""COMPUTED_VALUE"""),13)</f>
        <v>13</v>
      </c>
      <c r="F68" s="1"/>
    </row>
    <row r="69" spans="1:6" ht="12.5">
      <c r="A69" s="1" t="str">
        <f ca="1">IFERROR(__xludf.DUMMYFUNCTION("""COMPUTED_VALUE"""),"20240109TXACH")</f>
        <v>20240109TXACH</v>
      </c>
      <c r="B69" s="1" t="str">
        <f ca="1">IFERROR(__xludf.DUMMYFUNCTION("""COMPUTED_VALUE"""),"Fatal")</f>
        <v>Fatal</v>
      </c>
      <c r="C69" s="1" t="str">
        <f ca="1">IFERROR(__xludf.DUMMYFUNCTION("""COMPUTED_VALUE"""),"Male")</f>
        <v>Male</v>
      </c>
      <c r="D69" s="1" t="str">
        <f ca="1">IFERROR(__xludf.DUMMYFUNCTION("""COMPUTED_VALUE"""),"No Relation")</f>
        <v>No Relation</v>
      </c>
      <c r="E69" s="1" t="str">
        <f ca="1">IFERROR(__xludf.DUMMYFUNCTION("""COMPUTED_VALUE"""),"Adult")</f>
        <v>Adult</v>
      </c>
      <c r="F69" s="1"/>
    </row>
    <row r="70" spans="1:6" ht="12.5">
      <c r="A70" s="1" t="str">
        <f ca="1">IFERROR(__xludf.DUMMYFUNCTION("""COMPUTED_VALUE"""),"20240108MSSIS")</f>
        <v>20240108MSSIS</v>
      </c>
      <c r="B70" s="1" t="str">
        <f ca="1">IFERROR(__xludf.DUMMYFUNCTION("""COMPUTED_VALUE"""),"Wounded")</f>
        <v>Wounded</v>
      </c>
      <c r="C70" s="1" t="str">
        <f ca="1">IFERROR(__xludf.DUMMYFUNCTION("""COMPUTED_VALUE"""),"Male")</f>
        <v>Male</v>
      </c>
      <c r="D70" s="1" t="str">
        <f ca="1">IFERROR(__xludf.DUMMYFUNCTION("""COMPUTED_VALUE"""),"Student")</f>
        <v>Student</v>
      </c>
      <c r="E70" s="1">
        <f ca="1">IFERROR(__xludf.DUMMYFUNCTION("""COMPUTED_VALUE"""),16)</f>
        <v>16</v>
      </c>
      <c r="F70" s="1"/>
    </row>
    <row r="71" spans="1:6" ht="12.5">
      <c r="A71" s="1" t="str">
        <f ca="1">IFERROR(__xludf.DUMMYFUNCTION("""COMPUTED_VALUE"""),"20240104IAPEP")</f>
        <v>20240104IAPEP</v>
      </c>
      <c r="B71" s="1" t="str">
        <f ca="1">IFERROR(__xludf.DUMMYFUNCTION("""COMPUTED_VALUE"""),"Fatal")</f>
        <v>Fatal</v>
      </c>
      <c r="C71" s="1" t="str">
        <f ca="1">IFERROR(__xludf.DUMMYFUNCTION("""COMPUTED_VALUE"""),"Male")</f>
        <v>Male</v>
      </c>
      <c r="D71" s="1" t="str">
        <f ca="1">IFERROR(__xludf.DUMMYFUNCTION("""COMPUTED_VALUE"""),"Student")</f>
        <v>Student</v>
      </c>
      <c r="E71" s="1">
        <f ca="1">IFERROR(__xludf.DUMMYFUNCTION("""COMPUTED_VALUE"""),11)</f>
        <v>11</v>
      </c>
      <c r="F71" s="1"/>
    </row>
    <row r="72" spans="1:6" ht="12.5">
      <c r="A72" s="1" t="str">
        <f ca="1">IFERROR(__xludf.DUMMYFUNCTION("""COMPUTED_VALUE"""),"20240104IAPEP")</f>
        <v>20240104IAPEP</v>
      </c>
      <c r="B72" s="1" t="str">
        <f ca="1">IFERROR(__xludf.DUMMYFUNCTION("""COMPUTED_VALUE"""),"Wounded")</f>
        <v>Wounded</v>
      </c>
      <c r="C72" s="1"/>
      <c r="D72" s="1" t="str">
        <f ca="1">IFERROR(__xludf.DUMMYFUNCTION("""COMPUTED_VALUE"""),"Student")</f>
        <v>Student</v>
      </c>
      <c r="E72" s="1"/>
      <c r="F72" s="1"/>
    </row>
    <row r="73" spans="1:6" ht="12.5">
      <c r="A73" s="1" t="str">
        <f ca="1">IFERROR(__xludf.DUMMYFUNCTION("""COMPUTED_VALUE"""),"20240104IAPEP")</f>
        <v>20240104IAPEP</v>
      </c>
      <c r="B73" s="1" t="str">
        <f ca="1">IFERROR(__xludf.DUMMYFUNCTION("""COMPUTED_VALUE"""),"Wounded")</f>
        <v>Wounded</v>
      </c>
      <c r="C73" s="1"/>
      <c r="D73" s="1" t="str">
        <f ca="1">IFERROR(__xludf.DUMMYFUNCTION("""COMPUTED_VALUE"""),"Student")</f>
        <v>Student</v>
      </c>
      <c r="E73" s="1"/>
      <c r="F73" s="1"/>
    </row>
    <row r="74" spans="1:6" ht="12.5">
      <c r="A74" s="1" t="str">
        <f ca="1">IFERROR(__xludf.DUMMYFUNCTION("""COMPUTED_VALUE"""),"20240104IAPEP")</f>
        <v>20240104IAPEP</v>
      </c>
      <c r="B74" s="1" t="str">
        <f ca="1">IFERROR(__xludf.DUMMYFUNCTION("""COMPUTED_VALUE"""),"Wounded")</f>
        <v>Wounded</v>
      </c>
      <c r="C74" s="1"/>
      <c r="D74" s="1" t="str">
        <f ca="1">IFERROR(__xludf.DUMMYFUNCTION("""COMPUTED_VALUE"""),"Student")</f>
        <v>Student</v>
      </c>
      <c r="E74" s="1"/>
      <c r="F74" s="1"/>
    </row>
    <row r="75" spans="1:6" ht="12.5">
      <c r="A75" s="1" t="str">
        <f ca="1">IFERROR(__xludf.DUMMYFUNCTION("""COMPUTED_VALUE"""),"20240104IAPEP")</f>
        <v>20240104IAPEP</v>
      </c>
      <c r="B75" s="1" t="str">
        <f ca="1">IFERROR(__xludf.DUMMYFUNCTION("""COMPUTED_VALUE"""),"Wounded")</f>
        <v>Wounded</v>
      </c>
      <c r="C75" s="1"/>
      <c r="D75" s="1" t="str">
        <f ca="1">IFERROR(__xludf.DUMMYFUNCTION("""COMPUTED_VALUE"""),"Student")</f>
        <v>Student</v>
      </c>
      <c r="E75" s="1"/>
      <c r="F75" s="1"/>
    </row>
    <row r="76" spans="1:6" ht="12.5">
      <c r="A76" s="1" t="str">
        <f ca="1">IFERROR(__xludf.DUMMYFUNCTION("""COMPUTED_VALUE"""),"20240104IAPEP")</f>
        <v>20240104IAPEP</v>
      </c>
      <c r="B76" s="1" t="str">
        <f ca="1">IFERROR(__xludf.DUMMYFUNCTION("""COMPUTED_VALUE"""),"Fatal")</f>
        <v>Fatal</v>
      </c>
      <c r="C76" s="1" t="str">
        <f ca="1">IFERROR(__xludf.DUMMYFUNCTION("""COMPUTED_VALUE"""),"Male")</f>
        <v>Male</v>
      </c>
      <c r="D76" s="1" t="str">
        <f ca="1">IFERROR(__xludf.DUMMYFUNCTION("""COMPUTED_VALUE"""),"Other Staff")</f>
        <v>Other Staff</v>
      </c>
      <c r="E76" s="1" t="str">
        <f ca="1">IFERROR(__xludf.DUMMYFUNCTION("""COMPUTED_VALUE"""),"Adult")</f>
        <v>Adult</v>
      </c>
      <c r="F76" s="1">
        <f ca="1">IFERROR(__xludf.DUMMYFUNCTION("""COMPUTED_VALUE"""),56)</f>
        <v>56</v>
      </c>
    </row>
    <row r="77" spans="1:6" ht="12.5">
      <c r="A77" s="1" t="str">
        <f ca="1">IFERROR(__xludf.DUMMYFUNCTION("""COMPUTED_VALUE"""),"20240104IAPEP")</f>
        <v>20240104IAPEP</v>
      </c>
      <c r="B77" s="1" t="str">
        <f ca="1">IFERROR(__xludf.DUMMYFUNCTION("""COMPUTED_VALUE"""),"Wounded")</f>
        <v>Wounded</v>
      </c>
      <c r="C77" s="1"/>
      <c r="D77" s="1" t="str">
        <f ca="1">IFERROR(__xludf.DUMMYFUNCTION("""COMPUTED_VALUE"""),"Other Staff")</f>
        <v>Other Staff</v>
      </c>
      <c r="E77" s="1" t="str">
        <f ca="1">IFERROR(__xludf.DUMMYFUNCTION("""COMPUTED_VALUE"""),"Adult")</f>
        <v>Adult</v>
      </c>
      <c r="F77" s="1"/>
    </row>
    <row r="78" spans="1:6" ht="12.5">
      <c r="A78" s="1" t="str">
        <f ca="1">IFERROR(__xludf.DUMMYFUNCTION("""COMPUTED_VALUE"""),"20240104IAPEP")</f>
        <v>20240104IAPEP</v>
      </c>
      <c r="B78" s="1" t="str">
        <f ca="1">IFERROR(__xludf.DUMMYFUNCTION("""COMPUTED_VALUE"""),"Wounded")</f>
        <v>Wounded</v>
      </c>
      <c r="C78" s="1"/>
      <c r="D78" s="1" t="str">
        <f ca="1">IFERROR(__xludf.DUMMYFUNCTION("""COMPUTED_VALUE"""),"Other Staff")</f>
        <v>Other Staff</v>
      </c>
      <c r="E78" s="1" t="str">
        <f ca="1">IFERROR(__xludf.DUMMYFUNCTION("""COMPUTED_VALUE"""),"Adult")</f>
        <v>Adult</v>
      </c>
      <c r="F78" s="1"/>
    </row>
    <row r="79" spans="1:6" ht="12.5">
      <c r="A79" s="1" t="str">
        <f ca="1">IFERROR(__xludf.DUMMYFUNCTION("""COMPUTED_VALUE"""),"20240103VAMAM")</f>
        <v>20240103VAMAM</v>
      </c>
      <c r="B79" s="1" t="str">
        <f ca="1">IFERROR(__xludf.DUMMYFUNCTION("""COMPUTED_VALUE"""),"Wounded")</f>
        <v>Wounded</v>
      </c>
      <c r="C79" s="1" t="str">
        <f ca="1">IFERROR(__xludf.DUMMYFUNCTION("""COMPUTED_VALUE"""),"Female")</f>
        <v>Female</v>
      </c>
      <c r="D79" s="1" t="str">
        <f ca="1">IFERROR(__xludf.DUMMYFUNCTION("""COMPUTED_VALUE"""),"Student")</f>
        <v>Student</v>
      </c>
      <c r="E79" s="1">
        <f ca="1">IFERROR(__xludf.DUMMYFUNCTION("""COMPUTED_VALUE"""),18)</f>
        <v>18</v>
      </c>
      <c r="F79" s="1"/>
    </row>
    <row r="80" spans="1:6" ht="12.5">
      <c r="A80" s="1" t="str">
        <f ca="1">IFERROR(__xludf.DUMMYFUNCTION("""COMPUTED_VALUE"""),"20231226RIEME")</f>
        <v>20231226RIEME</v>
      </c>
      <c r="B80" s="1" t="str">
        <f ca="1">IFERROR(__xludf.DUMMYFUNCTION("""COMPUTED_VALUE"""),"Wounded")</f>
        <v>Wounded</v>
      </c>
      <c r="C80" s="1" t="str">
        <f ca="1">IFERROR(__xludf.DUMMYFUNCTION("""COMPUTED_VALUE"""),"Male")</f>
        <v>Male</v>
      </c>
      <c r="D80" s="1" t="str">
        <f ca="1">IFERROR(__xludf.DUMMYFUNCTION("""COMPUTED_VALUE"""),"Nonstudent Using Athletic Facilities/Attending Game")</f>
        <v>Nonstudent Using Athletic Facilities/Attending Game</v>
      </c>
      <c r="E80" s="1" t="str">
        <f ca="1">IFERROR(__xludf.DUMMYFUNCTION("""COMPUTED_VALUE"""),"Adult")</f>
        <v>Adult</v>
      </c>
      <c r="F80" s="1"/>
    </row>
    <row r="81" spans="1:6" ht="12.5">
      <c r="A81" s="1" t="str">
        <f ca="1">IFERROR(__xludf.DUMMYFUNCTION("""COMPUTED_VALUE"""),"20231220NJKIN")</f>
        <v>20231220NJKIN</v>
      </c>
      <c r="B81" s="1" t="str">
        <f ca="1">IFERROR(__xludf.DUMMYFUNCTION("""COMPUTED_VALUE"""),"Wounded")</f>
        <v>Wounded</v>
      </c>
      <c r="C81" s="1"/>
      <c r="D81" s="1"/>
      <c r="E81" s="1">
        <f ca="1">IFERROR(__xludf.DUMMYFUNCTION("""COMPUTED_VALUE"""),13)</f>
        <v>13</v>
      </c>
      <c r="F81" s="1"/>
    </row>
    <row r="82" spans="1:6" ht="12.5">
      <c r="A82" s="1" t="str">
        <f ca="1">IFERROR(__xludf.DUMMYFUNCTION("""COMPUTED_VALUE"""),"20231219COLEC")</f>
        <v>20231219COLEC</v>
      </c>
      <c r="B82" s="1" t="str">
        <f ca="1">IFERROR(__xludf.DUMMYFUNCTION("""COMPUTED_VALUE"""),"Wounded")</f>
        <v>Wounded</v>
      </c>
      <c r="C82" s="1"/>
      <c r="D82" s="1" t="str">
        <f ca="1">IFERROR(__xludf.DUMMYFUNCTION("""COMPUTED_VALUE"""),"No Relation")</f>
        <v>No Relation</v>
      </c>
      <c r="E82" s="1"/>
      <c r="F82" s="1"/>
    </row>
    <row r="83" spans="1:6" ht="12.5">
      <c r="A83" s="1" t="str">
        <f ca="1">IFERROR(__xludf.DUMMYFUNCTION("""COMPUTED_VALUE"""),"20231219COLEC")</f>
        <v>20231219COLEC</v>
      </c>
      <c r="B83" s="1" t="str">
        <f ca="1">IFERROR(__xludf.DUMMYFUNCTION("""COMPUTED_VALUE"""),"Wounded")</f>
        <v>Wounded</v>
      </c>
      <c r="C83" s="1"/>
      <c r="D83" s="1" t="str">
        <f ca="1">IFERROR(__xludf.DUMMYFUNCTION("""COMPUTED_VALUE"""),"No Relation")</f>
        <v>No Relation</v>
      </c>
      <c r="E83" s="1"/>
      <c r="F83" s="1"/>
    </row>
    <row r="84" spans="1:6" ht="12.5">
      <c r="A84" s="1" t="str">
        <f ca="1">IFERROR(__xludf.DUMMYFUNCTION("""COMPUTED_VALUE"""),"20231219TXCYK")</f>
        <v>20231219TXCYK</v>
      </c>
      <c r="B84" s="1" t="str">
        <f ca="1">IFERROR(__xludf.DUMMYFUNCTION("""COMPUTED_VALUE"""),"Fatal")</f>
        <v>Fatal</v>
      </c>
      <c r="C84" s="1" t="str">
        <f ca="1">IFERROR(__xludf.DUMMYFUNCTION("""COMPUTED_VALUE"""),"Male")</f>
        <v>Male</v>
      </c>
      <c r="D84" s="1" t="str">
        <f ca="1">IFERROR(__xludf.DUMMYFUNCTION("""COMPUTED_VALUE"""),"Student")</f>
        <v>Student</v>
      </c>
      <c r="E84" s="1">
        <f ca="1">IFERROR(__xludf.DUMMYFUNCTION("""COMPUTED_VALUE"""),17)</f>
        <v>17</v>
      </c>
      <c r="F84" s="1"/>
    </row>
    <row r="85" spans="1:6" ht="12.5">
      <c r="A85" s="1" t="str">
        <f ca="1">IFERROR(__xludf.DUMMYFUNCTION("""COMPUTED_VALUE"""),"20231208MONOS")</f>
        <v>20231208MONOS</v>
      </c>
      <c r="B85" s="1" t="str">
        <f ca="1">IFERROR(__xludf.DUMMYFUNCTION("""COMPUTED_VALUE"""),"Wounded")</f>
        <v>Wounded</v>
      </c>
      <c r="C85" s="1" t="str">
        <f ca="1">IFERROR(__xludf.DUMMYFUNCTION("""COMPUTED_VALUE"""),"Female")</f>
        <v>Female</v>
      </c>
      <c r="D85" s="1" t="str">
        <f ca="1">IFERROR(__xludf.DUMMYFUNCTION("""COMPUTED_VALUE"""),"No Relation")</f>
        <v>No Relation</v>
      </c>
      <c r="E85" s="1" t="str">
        <f ca="1">IFERROR(__xludf.DUMMYFUNCTION("""COMPUTED_VALUE"""),"Adult")</f>
        <v>Adult</v>
      </c>
      <c r="F85" s="1"/>
    </row>
    <row r="86" spans="1:6" ht="12.5">
      <c r="A86" s="1" t="str">
        <f ca="1">IFERROR(__xludf.DUMMYFUNCTION("""COMPUTED_VALUE"""),"20231208VAWOW")</f>
        <v>20231208VAWOW</v>
      </c>
      <c r="B86" s="1" t="str">
        <f ca="1">IFERROR(__xludf.DUMMYFUNCTION("""COMPUTED_VALUE"""),"Non-gunshot Injury")</f>
        <v>Non-gunshot Injury</v>
      </c>
      <c r="C86" s="1" t="str">
        <f ca="1">IFERROR(__xludf.DUMMYFUNCTION("""COMPUTED_VALUE"""),"Male")</f>
        <v>Male</v>
      </c>
      <c r="D86" s="1" t="str">
        <f ca="1">IFERROR(__xludf.DUMMYFUNCTION("""COMPUTED_VALUE"""),"Student")</f>
        <v>Student</v>
      </c>
      <c r="E86" s="1">
        <f ca="1">IFERROR(__xludf.DUMMYFUNCTION("""COMPUTED_VALUE"""),17)</f>
        <v>17</v>
      </c>
      <c r="F86" s="1"/>
    </row>
    <row r="87" spans="1:6" ht="12.5">
      <c r="A87" s="1" t="str">
        <f ca="1">IFERROR(__xludf.DUMMYFUNCTION("""COMPUTED_VALUE"""),"20231208VAWOW")</f>
        <v>20231208VAWOW</v>
      </c>
      <c r="B87" s="1" t="str">
        <f ca="1">IFERROR(__xludf.DUMMYFUNCTION("""COMPUTED_VALUE"""),"Non-gunshot Injury")</f>
        <v>Non-gunshot Injury</v>
      </c>
      <c r="C87" s="1" t="str">
        <f ca="1">IFERROR(__xludf.DUMMYFUNCTION("""COMPUTED_VALUE"""),"Female")</f>
        <v>Female</v>
      </c>
      <c r="D87" s="1" t="str">
        <f ca="1">IFERROR(__xludf.DUMMYFUNCTION("""COMPUTED_VALUE"""),"Student")</f>
        <v>Student</v>
      </c>
      <c r="E87" s="1">
        <f ca="1">IFERROR(__xludf.DUMMYFUNCTION("""COMPUTED_VALUE"""),17)</f>
        <v>17</v>
      </c>
      <c r="F87" s="1"/>
    </row>
    <row r="88" spans="1:6" ht="12.5">
      <c r="A88" s="1" t="str">
        <f ca="1">IFERROR(__xludf.DUMMYFUNCTION("""COMPUTED_VALUE"""),"20231208VAWOW")</f>
        <v>20231208VAWOW</v>
      </c>
      <c r="B88" s="1" t="str">
        <f ca="1">IFERROR(__xludf.DUMMYFUNCTION("""COMPUTED_VALUE"""),"Non-gunshot Injury")</f>
        <v>Non-gunshot Injury</v>
      </c>
      <c r="C88" s="1"/>
      <c r="D88" s="1" t="str">
        <f ca="1">IFERROR(__xludf.DUMMYFUNCTION("""COMPUTED_VALUE"""),"Student")</f>
        <v>Student</v>
      </c>
      <c r="E88" s="1" t="str">
        <f ca="1">IFERROR(__xludf.DUMMYFUNCTION("""COMPUTED_VALUE"""),"Teen")</f>
        <v>Teen</v>
      </c>
      <c r="F88" s="1"/>
    </row>
    <row r="89" spans="1:6" ht="12.5">
      <c r="A89" s="1" t="str">
        <f ca="1">IFERROR(__xludf.DUMMYFUNCTION("""COMPUTED_VALUE"""),"20231208NMATA")</f>
        <v>20231208NMATA</v>
      </c>
      <c r="B89" s="1" t="str">
        <f ca="1">IFERROR(__xludf.DUMMYFUNCTION("""COMPUTED_VALUE"""),"Fatal")</f>
        <v>Fatal</v>
      </c>
      <c r="C89" s="1" t="str">
        <f ca="1">IFERROR(__xludf.DUMMYFUNCTION("""COMPUTED_VALUE"""),"Male")</f>
        <v>Male</v>
      </c>
      <c r="D89" s="1" t="str">
        <f ca="1">IFERROR(__xludf.DUMMYFUNCTION("""COMPUTED_VALUE"""),"Student")</f>
        <v>Student</v>
      </c>
      <c r="E89" s="1">
        <f ca="1">IFERROR(__xludf.DUMMYFUNCTION("""COMPUTED_VALUE"""),16)</f>
        <v>16</v>
      </c>
      <c r="F89" s="1"/>
    </row>
    <row r="90" spans="1:6" ht="12.5">
      <c r="A90" s="1" t="str">
        <f ca="1">IFERROR(__xludf.DUMMYFUNCTION("""COMPUTED_VALUE"""),"20231205TXNOA")</f>
        <v>20231205TXNOA</v>
      </c>
      <c r="B90" s="1" t="str">
        <f ca="1">IFERROR(__xludf.DUMMYFUNCTION("""COMPUTED_VALUE"""),"Wounded")</f>
        <v>Wounded</v>
      </c>
      <c r="C90" s="1" t="str">
        <f ca="1">IFERROR(__xludf.DUMMYFUNCTION("""COMPUTED_VALUE"""),"Male")</f>
        <v>Male</v>
      </c>
      <c r="D90" s="1" t="str">
        <f ca="1">IFERROR(__xludf.DUMMYFUNCTION("""COMPUTED_VALUE"""),"Police Officer/SRO")</f>
        <v>Police Officer/SRO</v>
      </c>
      <c r="E90" s="1" t="str">
        <f ca="1">IFERROR(__xludf.DUMMYFUNCTION("""COMPUTED_VALUE"""),"Adult")</f>
        <v>Adult</v>
      </c>
      <c r="F90" s="1"/>
    </row>
    <row r="91" spans="1:6" ht="12.5">
      <c r="A91" s="1" t="str">
        <f ca="1">IFERROR(__xludf.DUMMYFUNCTION("""COMPUTED_VALUE"""),"20231201OHNOC")</f>
        <v>20231201OHNOC</v>
      </c>
      <c r="B91" s="1" t="str">
        <f ca="1">IFERROR(__xludf.DUMMYFUNCTION("""COMPUTED_VALUE"""),"Wounded")</f>
        <v>Wounded</v>
      </c>
      <c r="C91" s="1" t="str">
        <f ca="1">IFERROR(__xludf.DUMMYFUNCTION("""COMPUTED_VALUE"""),"Male")</f>
        <v>Male</v>
      </c>
      <c r="D91" s="1" t="str">
        <f ca="1">IFERROR(__xludf.DUMMYFUNCTION("""COMPUTED_VALUE"""),"No Relation")</f>
        <v>No Relation</v>
      </c>
      <c r="E91" s="1">
        <f ca="1">IFERROR(__xludf.DUMMYFUNCTION("""COMPUTED_VALUE"""),62)</f>
        <v>62</v>
      </c>
      <c r="F91" s="1"/>
    </row>
    <row r="92" spans="1:6" ht="12.5">
      <c r="A92" s="1" t="str">
        <f ca="1">IFERROR(__xludf.DUMMYFUNCTION("""COMPUTED_VALUE"""),"20231201DCKIW")</f>
        <v>20231201DCKIW</v>
      </c>
      <c r="B92" s="1" t="str">
        <f ca="1">IFERROR(__xludf.DUMMYFUNCTION("""COMPUTED_VALUE"""),"Wounded")</f>
        <v>Wounded</v>
      </c>
      <c r="C92" s="1" t="str">
        <f ca="1">IFERROR(__xludf.DUMMYFUNCTION("""COMPUTED_VALUE"""),"Male")</f>
        <v>Male</v>
      </c>
      <c r="D92" s="1" t="str">
        <f ca="1">IFERROR(__xludf.DUMMYFUNCTION("""COMPUTED_VALUE"""),"Student")</f>
        <v>Student</v>
      </c>
      <c r="E92" s="1">
        <f ca="1">IFERROR(__xludf.DUMMYFUNCTION("""COMPUTED_VALUE"""),17)</f>
        <v>17</v>
      </c>
      <c r="F92" s="1"/>
    </row>
    <row r="93" spans="1:6" ht="12.5">
      <c r="A93" s="1" t="str">
        <f ca="1">IFERROR(__xludf.DUMMYFUNCTION("""COMPUTED_VALUE"""),"20231128TXNOH")</f>
        <v>20231128TXNOH</v>
      </c>
      <c r="B93" s="1" t="str">
        <f ca="1">IFERROR(__xludf.DUMMYFUNCTION("""COMPUTED_VALUE"""),"Wounded")</f>
        <v>Wounded</v>
      </c>
      <c r="C93" s="1" t="str">
        <f ca="1">IFERROR(__xludf.DUMMYFUNCTION("""COMPUTED_VALUE"""),"Male")</f>
        <v>Male</v>
      </c>
      <c r="D93" s="1" t="str">
        <f ca="1">IFERROR(__xludf.DUMMYFUNCTION("""COMPUTED_VALUE"""),"Student")</f>
        <v>Student</v>
      </c>
      <c r="E93" s="1">
        <f ca="1">IFERROR(__xludf.DUMMYFUNCTION("""COMPUTED_VALUE"""),16)</f>
        <v>16</v>
      </c>
      <c r="F93" s="1"/>
    </row>
    <row r="94" spans="1:6" ht="12.5">
      <c r="A94" s="1" t="str">
        <f ca="1">IFERROR(__xludf.DUMMYFUNCTION("""COMPUTED_VALUE"""),"20231126OHEDD")</f>
        <v>20231126OHEDD</v>
      </c>
      <c r="B94" s="1" t="str">
        <f ca="1">IFERROR(__xludf.DUMMYFUNCTION("""COMPUTED_VALUE"""),"Wounded")</f>
        <v>Wounded</v>
      </c>
      <c r="C94" s="1" t="str">
        <f ca="1">IFERROR(__xludf.DUMMYFUNCTION("""COMPUTED_VALUE"""),"Male")</f>
        <v>Male</v>
      </c>
      <c r="D94" s="1"/>
      <c r="E94" s="1">
        <f ca="1">IFERROR(__xludf.DUMMYFUNCTION("""COMPUTED_VALUE"""),15)</f>
        <v>15</v>
      </c>
      <c r="F94" s="1"/>
    </row>
    <row r="95" spans="1:6" ht="12.5">
      <c r="A95" s="1" t="str">
        <f ca="1">IFERROR(__xludf.DUMMYFUNCTION("""COMPUTED_VALUE"""),"20231123OHSOC")</f>
        <v>20231123OHSOC</v>
      </c>
      <c r="B95" s="1" t="str">
        <f ca="1">IFERROR(__xludf.DUMMYFUNCTION("""COMPUTED_VALUE"""),"Wounded")</f>
        <v>Wounded</v>
      </c>
      <c r="C95" s="1" t="str">
        <f ca="1">IFERROR(__xludf.DUMMYFUNCTION("""COMPUTED_VALUE"""),"Male")</f>
        <v>Male</v>
      </c>
      <c r="D95" s="1" t="str">
        <f ca="1">IFERROR(__xludf.DUMMYFUNCTION("""COMPUTED_VALUE"""),"Nonstudent Using Athletic Facilities/Attending Game")</f>
        <v>Nonstudent Using Athletic Facilities/Attending Game</v>
      </c>
      <c r="E95" s="1">
        <f ca="1">IFERROR(__xludf.DUMMYFUNCTION("""COMPUTED_VALUE"""),30)</f>
        <v>30</v>
      </c>
      <c r="F95" s="1"/>
    </row>
    <row r="96" spans="1:6" ht="12.5">
      <c r="A96" s="1" t="str">
        <f ca="1">IFERROR(__xludf.DUMMYFUNCTION("""COMPUTED_VALUE"""),"20231119ILURU")</f>
        <v>20231119ILURU</v>
      </c>
      <c r="B96" s="1" t="str">
        <f ca="1">IFERROR(__xludf.DUMMYFUNCTION("""COMPUTED_VALUE"""),"Wounded")</f>
        <v>Wounded</v>
      </c>
      <c r="C96" s="1" t="str">
        <f ca="1">IFERROR(__xludf.DUMMYFUNCTION("""COMPUTED_VALUE"""),"Male")</f>
        <v>Male</v>
      </c>
      <c r="D96" s="1" t="str">
        <f ca="1">IFERROR(__xludf.DUMMYFUNCTION("""COMPUTED_VALUE"""),"No Relation")</f>
        <v>No Relation</v>
      </c>
      <c r="E96" s="1">
        <f ca="1">IFERROR(__xludf.DUMMYFUNCTION("""COMPUTED_VALUE"""),21)</f>
        <v>21</v>
      </c>
      <c r="F96" s="1"/>
    </row>
    <row r="97" spans="1:6" ht="12.5">
      <c r="A97" s="1" t="str">
        <f ca="1">IFERROR(__xludf.DUMMYFUNCTION("""COMPUTED_VALUE"""),"20231116OHSTC")</f>
        <v>20231116OHSTC</v>
      </c>
      <c r="B97" s="1" t="str">
        <f ca="1">IFERROR(__xludf.DUMMYFUNCTION("""COMPUTED_VALUE"""),"Fatal")</f>
        <v>Fatal</v>
      </c>
      <c r="C97" s="1" t="str">
        <f ca="1">IFERROR(__xludf.DUMMYFUNCTION("""COMPUTED_VALUE"""),"Male")</f>
        <v>Male</v>
      </c>
      <c r="D97" s="1" t="str">
        <f ca="1">IFERROR(__xludf.DUMMYFUNCTION("""COMPUTED_VALUE"""),"No Relation")</f>
        <v>No Relation</v>
      </c>
      <c r="E97" s="1">
        <f ca="1">IFERROR(__xludf.DUMMYFUNCTION("""COMPUTED_VALUE"""),25)</f>
        <v>25</v>
      </c>
      <c r="F97" s="1"/>
    </row>
    <row r="98" spans="1:6" ht="12.5">
      <c r="A98" s="1" t="str">
        <f ca="1">IFERROR(__xludf.DUMMYFUNCTION("""COMPUTED_VALUE"""),"2023113KYJEL")</f>
        <v>2023113KYJEL</v>
      </c>
      <c r="B98" s="1" t="str">
        <f ca="1">IFERROR(__xludf.DUMMYFUNCTION("""COMPUTED_VALUE"""),"Non-gunshot Injury")</f>
        <v>Non-gunshot Injury</v>
      </c>
      <c r="C98" s="1" t="str">
        <f ca="1">IFERROR(__xludf.DUMMYFUNCTION("""COMPUTED_VALUE"""),"Female")</f>
        <v>Female</v>
      </c>
      <c r="D98" s="1" t="str">
        <f ca="1">IFERROR(__xludf.DUMMYFUNCTION("""COMPUTED_VALUE"""),"Other Staff")</f>
        <v>Other Staff</v>
      </c>
      <c r="E98" s="1" t="str">
        <f ca="1">IFERROR(__xludf.DUMMYFUNCTION("""COMPUTED_VALUE"""),"Adult")</f>
        <v>Adult</v>
      </c>
      <c r="F98" s="1"/>
    </row>
    <row r="99" spans="1:6" ht="12.5">
      <c r="A99" s="1" t="str">
        <f ca="1">IFERROR(__xludf.DUMMYFUNCTION("""COMPUTED_VALUE"""),"20231113NJCEN")</f>
        <v>20231113NJCEN</v>
      </c>
      <c r="B99" s="1" t="str">
        <f ca="1">IFERROR(__xludf.DUMMYFUNCTION("""COMPUTED_VALUE"""),"Wounded")</f>
        <v>Wounded</v>
      </c>
      <c r="C99" s="1" t="str">
        <f ca="1">IFERROR(__xludf.DUMMYFUNCTION("""COMPUTED_VALUE"""),"Male")</f>
        <v>Male</v>
      </c>
      <c r="D99" s="1" t="str">
        <f ca="1">IFERROR(__xludf.DUMMYFUNCTION("""COMPUTED_VALUE"""),"Student")</f>
        <v>Student</v>
      </c>
      <c r="E99" s="1">
        <f ca="1">IFERROR(__xludf.DUMMYFUNCTION("""COMPUTED_VALUE"""),15)</f>
        <v>15</v>
      </c>
      <c r="F99" s="1"/>
    </row>
    <row r="100" spans="1:6" ht="12.5">
      <c r="A100" s="1" t="str">
        <f ca="1">IFERROR(__xludf.DUMMYFUNCTION("""COMPUTED_VALUE"""),"20231110CAVAV")</f>
        <v>20231110CAVAV</v>
      </c>
      <c r="B100" s="1" t="str">
        <f ca="1">IFERROR(__xludf.DUMMYFUNCTION("""COMPUTED_VALUE"""),"Wounded")</f>
        <v>Wounded</v>
      </c>
      <c r="C100" s="1" t="str">
        <f ca="1">IFERROR(__xludf.DUMMYFUNCTION("""COMPUTED_VALUE"""),"Male")</f>
        <v>Male</v>
      </c>
      <c r="D100" s="1" t="str">
        <f ca="1">IFERROR(__xludf.DUMMYFUNCTION("""COMPUTED_VALUE"""),"Student")</f>
        <v>Student</v>
      </c>
      <c r="E100" s="1" t="str">
        <f ca="1">IFERROR(__xludf.DUMMYFUNCTION("""COMPUTED_VALUE"""),"Teen")</f>
        <v>Teen</v>
      </c>
      <c r="F100" s="1"/>
    </row>
    <row r="101" spans="1:6" ht="12.5">
      <c r="A101" s="1" t="str">
        <f ca="1">IFERROR(__xludf.DUMMYFUNCTION("""COMPUTED_VALUE"""),"20231109NVLAL")</f>
        <v>20231109NVLAL</v>
      </c>
      <c r="B101" s="1" t="str">
        <f ca="1">IFERROR(__xludf.DUMMYFUNCTION("""COMPUTED_VALUE"""),"Fatal")</f>
        <v>Fatal</v>
      </c>
      <c r="C101" s="1" t="str">
        <f ca="1">IFERROR(__xludf.DUMMYFUNCTION("""COMPUTED_VALUE"""),"Male")</f>
        <v>Male</v>
      </c>
      <c r="D101" s="1" t="str">
        <f ca="1">IFERROR(__xludf.DUMMYFUNCTION("""COMPUTED_VALUE"""),"No Relation")</f>
        <v>No Relation</v>
      </c>
      <c r="E101" s="1" t="str">
        <f ca="1">IFERROR(__xludf.DUMMYFUNCTION("""COMPUTED_VALUE"""),"Adult")</f>
        <v>Adult</v>
      </c>
      <c r="F101" s="1"/>
    </row>
    <row r="102" spans="1:6" ht="12.5">
      <c r="A102" s="1" t="str">
        <f ca="1">IFERROR(__xludf.DUMMYFUNCTION("""COMPUTED_VALUE"""),"20231109ALESA")</f>
        <v>20231109ALESA</v>
      </c>
      <c r="B102" s="1" t="str">
        <f ca="1">IFERROR(__xludf.DUMMYFUNCTION("""COMPUTED_VALUE"""),"Wounded")</f>
        <v>Wounded</v>
      </c>
      <c r="C102" s="1" t="str">
        <f ca="1">IFERROR(__xludf.DUMMYFUNCTION("""COMPUTED_VALUE"""),"Male")</f>
        <v>Male</v>
      </c>
      <c r="D102" s="1" t="str">
        <f ca="1">IFERROR(__xludf.DUMMYFUNCTION("""COMPUTED_VALUE"""),"Nonstudent Using Athletic Facilities/Attending Game")</f>
        <v>Nonstudent Using Athletic Facilities/Attending Game</v>
      </c>
      <c r="E102" s="1" t="str">
        <f ca="1">IFERROR(__xludf.DUMMYFUNCTION("""COMPUTED_VALUE"""),"Teen")</f>
        <v>Teen</v>
      </c>
      <c r="F102" s="1"/>
    </row>
    <row r="103" spans="1:6" ht="12.5">
      <c r="A103" s="1" t="str">
        <f ca="1">IFERROR(__xludf.DUMMYFUNCTION("""COMPUTED_VALUE"""),"20231109ALESA")</f>
        <v>20231109ALESA</v>
      </c>
      <c r="B103" s="1" t="str">
        <f ca="1">IFERROR(__xludf.DUMMYFUNCTION("""COMPUTED_VALUE"""),"Wounded")</f>
        <v>Wounded</v>
      </c>
      <c r="C103" s="1" t="str">
        <f ca="1">IFERROR(__xludf.DUMMYFUNCTION("""COMPUTED_VALUE"""),"Male")</f>
        <v>Male</v>
      </c>
      <c r="D103" s="1" t="str">
        <f ca="1">IFERROR(__xludf.DUMMYFUNCTION("""COMPUTED_VALUE"""),"Nonstudent Using Athletic Facilities/Attending Game")</f>
        <v>Nonstudent Using Athletic Facilities/Attending Game</v>
      </c>
      <c r="E103" s="1" t="str">
        <f ca="1">IFERROR(__xludf.DUMMYFUNCTION("""COMPUTED_VALUE"""),"Teen")</f>
        <v>Teen</v>
      </c>
      <c r="F103" s="1"/>
    </row>
    <row r="104" spans="1:6" ht="12.5">
      <c r="A104" s="1" t="str">
        <f ca="1">IFERROR(__xludf.DUMMYFUNCTION("""COMPUTED_VALUE"""),"20231103INKII")</f>
        <v>20231103INKII</v>
      </c>
      <c r="B104" s="1" t="str">
        <f ca="1">IFERROR(__xludf.DUMMYFUNCTION("""COMPUTED_VALUE"""),"Fatal")</f>
        <v>Fatal</v>
      </c>
      <c r="C104" s="1" t="str">
        <f ca="1">IFERROR(__xludf.DUMMYFUNCTION("""COMPUTED_VALUE"""),"Male")</f>
        <v>Male</v>
      </c>
      <c r="D104" s="1" t="str">
        <f ca="1">IFERROR(__xludf.DUMMYFUNCTION("""COMPUTED_VALUE"""),"Student")</f>
        <v>Student</v>
      </c>
      <c r="E104" s="1">
        <f ca="1">IFERROR(__xludf.DUMMYFUNCTION("""COMPUTED_VALUE"""),15)</f>
        <v>15</v>
      </c>
      <c r="F104" s="1"/>
    </row>
    <row r="105" spans="1:6" ht="12.5">
      <c r="A105" s="1" t="str">
        <f ca="1">IFERROR(__xludf.DUMMYFUNCTION("""COMPUTED_VALUE"""),"20231102ALSMS")</f>
        <v>20231102ALSMS</v>
      </c>
      <c r="B105" s="1" t="str">
        <f ca="1">IFERROR(__xludf.DUMMYFUNCTION("""COMPUTED_VALUE"""),"None")</f>
        <v>None</v>
      </c>
      <c r="C105" s="1" t="str">
        <f ca="1">IFERROR(__xludf.DUMMYFUNCTION("""COMPUTED_VALUE"""),"Male")</f>
        <v>Male</v>
      </c>
      <c r="D105" s="1" t="str">
        <f ca="1">IFERROR(__xludf.DUMMYFUNCTION("""COMPUTED_VALUE"""),"Student")</f>
        <v>Student</v>
      </c>
      <c r="E105" s="1" t="str">
        <f ca="1">IFERROR(__xludf.DUMMYFUNCTION("""COMPUTED_VALUE"""),"Teen")</f>
        <v>Teen</v>
      </c>
      <c r="F105" s="1"/>
    </row>
    <row r="106" spans="1:6" ht="12.5">
      <c r="A106" s="1" t="str">
        <f ca="1">IFERROR(__xludf.DUMMYFUNCTION("""COMPUTED_VALUE"""),"20231102ALSMS")</f>
        <v>20231102ALSMS</v>
      </c>
      <c r="B106" s="1" t="str">
        <f ca="1">IFERROR(__xludf.DUMMYFUNCTION("""COMPUTED_VALUE"""),"None")</f>
        <v>None</v>
      </c>
      <c r="C106" s="1" t="str">
        <f ca="1">IFERROR(__xludf.DUMMYFUNCTION("""COMPUTED_VALUE"""),"Female")</f>
        <v>Female</v>
      </c>
      <c r="D106" s="1" t="str">
        <f ca="1">IFERROR(__xludf.DUMMYFUNCTION("""COMPUTED_VALUE"""),"Other Staff")</f>
        <v>Other Staff</v>
      </c>
      <c r="E106" s="1" t="str">
        <f ca="1">IFERROR(__xludf.DUMMYFUNCTION("""COMPUTED_VALUE"""),"Adult")</f>
        <v>Adult</v>
      </c>
      <c r="F106" s="1"/>
    </row>
    <row r="107" spans="1:6" ht="12.5">
      <c r="A107" s="1" t="str">
        <f ca="1">IFERROR(__xludf.DUMMYFUNCTION("""COMPUTED_VALUE"""),"20231030NCRAR")</f>
        <v>20231030NCRAR</v>
      </c>
      <c r="B107" s="1" t="str">
        <f ca="1">IFERROR(__xludf.DUMMYFUNCTION("""COMPUTED_VALUE"""),"Non-gunshot Injury")</f>
        <v>Non-gunshot Injury</v>
      </c>
      <c r="C107" s="1"/>
      <c r="D107" s="1" t="str">
        <f ca="1">IFERROR(__xludf.DUMMYFUNCTION("""COMPUTED_VALUE"""),"Other Staff")</f>
        <v>Other Staff</v>
      </c>
      <c r="E107" s="1" t="str">
        <f ca="1">IFERROR(__xludf.DUMMYFUNCTION("""COMPUTED_VALUE"""),"Adult")</f>
        <v>Adult</v>
      </c>
      <c r="F107" s="1"/>
    </row>
    <row r="108" spans="1:6" ht="12.5">
      <c r="A108" s="1" t="str">
        <f ca="1">IFERROR(__xludf.DUMMYFUNCTION("""COMPUTED_VALUE"""),"20231030NCRAR")</f>
        <v>20231030NCRAR</v>
      </c>
      <c r="B108" s="1" t="str">
        <f ca="1">IFERROR(__xludf.DUMMYFUNCTION("""COMPUTED_VALUE"""),"Non-gunshot Injury")</f>
        <v>Non-gunshot Injury</v>
      </c>
      <c r="C108" s="1"/>
      <c r="D108" s="1" t="str">
        <f ca="1">IFERROR(__xludf.DUMMYFUNCTION("""COMPUTED_VALUE"""),"Student")</f>
        <v>Student</v>
      </c>
      <c r="E108" s="1" t="str">
        <f ca="1">IFERROR(__xludf.DUMMYFUNCTION("""COMPUTED_VALUE"""),"Teen")</f>
        <v>Teen</v>
      </c>
      <c r="F108" s="1"/>
    </row>
    <row r="109" spans="1:6" ht="12.5">
      <c r="A109" s="1" t="str">
        <f ca="1">IFERROR(__xludf.DUMMYFUNCTION("""COMPUTED_VALUE"""),"20231027TXDUS")</f>
        <v>20231027TXDUS</v>
      </c>
      <c r="B109" s="1" t="str">
        <f ca="1">IFERROR(__xludf.DUMMYFUNCTION("""COMPUTED_VALUE"""),"Wounded")</f>
        <v>Wounded</v>
      </c>
      <c r="C109" s="1" t="str">
        <f ca="1">IFERROR(__xludf.DUMMYFUNCTION("""COMPUTED_VALUE"""),"Female")</f>
        <v>Female</v>
      </c>
      <c r="D109" s="1" t="str">
        <f ca="1">IFERROR(__xludf.DUMMYFUNCTION("""COMPUTED_VALUE"""),"Nonstudent Using Athletic Facilities/Attending Game")</f>
        <v>Nonstudent Using Athletic Facilities/Attending Game</v>
      </c>
      <c r="E109" s="1" t="str">
        <f ca="1">IFERROR(__xludf.DUMMYFUNCTION("""COMPUTED_VALUE"""),"Adult")</f>
        <v>Adult</v>
      </c>
      <c r="F109" s="1"/>
    </row>
    <row r="110" spans="1:6" ht="12.5">
      <c r="A110" s="1" t="str">
        <f ca="1">IFERROR(__xludf.DUMMYFUNCTION("""COMPUTED_VALUE"""),"20231027LADOD")</f>
        <v>20231027LADOD</v>
      </c>
      <c r="B110" s="1" t="str">
        <f ca="1">IFERROR(__xludf.DUMMYFUNCTION("""COMPUTED_VALUE"""),"Fatal")</f>
        <v>Fatal</v>
      </c>
      <c r="C110" s="1" t="str">
        <f ca="1">IFERROR(__xludf.DUMMYFUNCTION("""COMPUTED_VALUE"""),"Male")</f>
        <v>Male</v>
      </c>
      <c r="D110" s="1" t="str">
        <f ca="1">IFERROR(__xludf.DUMMYFUNCTION("""COMPUTED_VALUE"""),"Nonstudent Using Athletic Facilities/Attending Game")</f>
        <v>Nonstudent Using Athletic Facilities/Attending Game</v>
      </c>
      <c r="E110" s="1" t="str">
        <f ca="1">IFERROR(__xludf.DUMMYFUNCTION("""COMPUTED_VALUE"""),"Adult")</f>
        <v>Adult</v>
      </c>
      <c r="F110" s="1"/>
    </row>
    <row r="111" spans="1:6" ht="12.5">
      <c r="A111" s="1" t="str">
        <f ca="1">IFERROR(__xludf.DUMMYFUNCTION("""COMPUTED_VALUE"""),"20231027LADOD")</f>
        <v>20231027LADOD</v>
      </c>
      <c r="B111" s="1" t="str">
        <f ca="1">IFERROR(__xludf.DUMMYFUNCTION("""COMPUTED_VALUE"""),"Wounded")</f>
        <v>Wounded</v>
      </c>
      <c r="C111" s="1" t="str">
        <f ca="1">IFERROR(__xludf.DUMMYFUNCTION("""COMPUTED_VALUE"""),"Male")</f>
        <v>Male</v>
      </c>
      <c r="D111" s="1" t="str">
        <f ca="1">IFERROR(__xludf.DUMMYFUNCTION("""COMPUTED_VALUE"""),"Nonstudent Using Athletic Facilities/Attending Game")</f>
        <v>Nonstudent Using Athletic Facilities/Attending Game</v>
      </c>
      <c r="E111" s="1" t="str">
        <f ca="1">IFERROR(__xludf.DUMMYFUNCTION("""COMPUTED_VALUE"""),"Adult")</f>
        <v>Adult</v>
      </c>
      <c r="F111" s="1"/>
    </row>
    <row r="112" spans="1:6" ht="12.5">
      <c r="A112" s="1" t="str">
        <f ca="1">IFERROR(__xludf.DUMMYFUNCTION("""COMPUTED_VALUE"""),"20231027MDCAB")</f>
        <v>20231027MDCAB</v>
      </c>
      <c r="B112" s="1" t="str">
        <f ca="1">IFERROR(__xludf.DUMMYFUNCTION("""COMPUTED_VALUE"""),"Wounded")</f>
        <v>Wounded</v>
      </c>
      <c r="C112" s="1" t="str">
        <f ca="1">IFERROR(__xludf.DUMMYFUNCTION("""COMPUTED_VALUE"""),"Male")</f>
        <v>Male</v>
      </c>
      <c r="D112" s="1" t="str">
        <f ca="1">IFERROR(__xludf.DUMMYFUNCTION("""COMPUTED_VALUE"""),"Student")</f>
        <v>Student</v>
      </c>
      <c r="E112" s="1" t="str">
        <f ca="1">IFERROR(__xludf.DUMMYFUNCTION("""COMPUTED_VALUE"""),"Teen")</f>
        <v>Teen</v>
      </c>
      <c r="F112" s="1"/>
    </row>
    <row r="113" spans="1:6" ht="12.5">
      <c r="A113" s="1" t="str">
        <f ca="1">IFERROR(__xludf.DUMMYFUNCTION("""COMPUTED_VALUE"""),"20231027MIDED")</f>
        <v>20231027MIDED</v>
      </c>
      <c r="B113" s="1" t="str">
        <f ca="1">IFERROR(__xludf.DUMMYFUNCTION("""COMPUTED_VALUE"""),"Wounded")</f>
        <v>Wounded</v>
      </c>
      <c r="C113" s="1" t="str">
        <f ca="1">IFERROR(__xludf.DUMMYFUNCTION("""COMPUTED_VALUE"""),"Male")</f>
        <v>Male</v>
      </c>
      <c r="D113" s="1" t="str">
        <f ca="1">IFERROR(__xludf.DUMMYFUNCTION("""COMPUTED_VALUE"""),"Student")</f>
        <v>Student</v>
      </c>
      <c r="E113" s="1">
        <f ca="1">IFERROR(__xludf.DUMMYFUNCTION("""COMPUTED_VALUE"""),15)</f>
        <v>15</v>
      </c>
      <c r="F113" s="1"/>
    </row>
    <row r="114" spans="1:6" ht="12.5">
      <c r="A114" s="1" t="str">
        <f ca="1">IFERROR(__xludf.DUMMYFUNCTION("""COMPUTED_VALUE"""),"20231026CALEL")</f>
        <v>20231026CALEL</v>
      </c>
      <c r="B114" s="1" t="str">
        <f ca="1">IFERROR(__xludf.DUMMYFUNCTION("""COMPUTED_VALUE"""),"Wounded")</f>
        <v>Wounded</v>
      </c>
      <c r="C114" s="1" t="str">
        <f ca="1">IFERROR(__xludf.DUMMYFUNCTION("""COMPUTED_VALUE"""),"Male")</f>
        <v>Male</v>
      </c>
      <c r="D114" s="1" t="str">
        <f ca="1">IFERROR(__xludf.DUMMYFUNCTION("""COMPUTED_VALUE"""),"Nonstudent Using Athletic Facilities/Attending Game")</f>
        <v>Nonstudent Using Athletic Facilities/Attending Game</v>
      </c>
      <c r="E114" s="1" t="str">
        <f ca="1">IFERROR(__xludf.DUMMYFUNCTION("""COMPUTED_VALUE"""),"Adult")</f>
        <v>Adult</v>
      </c>
      <c r="F114" s="1"/>
    </row>
    <row r="115" spans="1:6" ht="12.5">
      <c r="A115" s="1" t="str">
        <f ca="1">IFERROR(__xludf.DUMMYFUNCTION("""COMPUTED_VALUE"""),"20231024MDEDW")</f>
        <v>20231024MDEDW</v>
      </c>
      <c r="B115" s="1" t="str">
        <f ca="1">IFERROR(__xludf.DUMMYFUNCTION("""COMPUTED_VALUE"""),"Wounded")</f>
        <v>Wounded</v>
      </c>
      <c r="C115" s="1" t="str">
        <f ca="1">IFERROR(__xludf.DUMMYFUNCTION("""COMPUTED_VALUE"""),"Male")</f>
        <v>Male</v>
      </c>
      <c r="D115" s="1" t="str">
        <f ca="1">IFERROR(__xludf.DUMMYFUNCTION("""COMPUTED_VALUE"""),"Nonstudent Using Athletic Facilities/Attending Game")</f>
        <v>Nonstudent Using Athletic Facilities/Attending Game</v>
      </c>
      <c r="E115" s="1" t="str">
        <f ca="1">IFERROR(__xludf.DUMMYFUNCTION("""COMPUTED_VALUE"""),"Teen")</f>
        <v>Teen</v>
      </c>
      <c r="F115" s="1"/>
    </row>
    <row r="116" spans="1:6" ht="12.5">
      <c r="A116" s="1" t="str">
        <f ca="1">IFERROR(__xludf.DUMMYFUNCTION("""COMPUTED_VALUE"""),"20231026FLNFJ")</f>
        <v>20231026FLNFJ</v>
      </c>
      <c r="B116" s="1" t="str">
        <f ca="1">IFERROR(__xludf.DUMMYFUNCTION("""COMPUTED_VALUE"""),"Wounded")</f>
        <v>Wounded</v>
      </c>
      <c r="C116" s="1" t="str">
        <f ca="1">IFERROR(__xludf.DUMMYFUNCTION("""COMPUTED_VALUE"""),"Female")</f>
        <v>Female</v>
      </c>
      <c r="D116" s="1" t="str">
        <f ca="1">IFERROR(__xludf.DUMMYFUNCTION("""COMPUTED_VALUE"""),"No Relation")</f>
        <v>No Relation</v>
      </c>
      <c r="E116" s="1" t="str">
        <f ca="1">IFERROR(__xludf.DUMMYFUNCTION("""COMPUTED_VALUE"""),"Adult")</f>
        <v>Adult</v>
      </c>
      <c r="F116" s="1"/>
    </row>
    <row r="117" spans="1:6" ht="12.5">
      <c r="A117" s="1" t="str">
        <f ca="1">IFERROR(__xludf.DUMMYFUNCTION("""COMPUTED_VALUE"""),"20231020FLLIT")</f>
        <v>20231020FLLIT</v>
      </c>
      <c r="B117" s="1" t="str">
        <f ca="1">IFERROR(__xludf.DUMMYFUNCTION("""COMPUTED_VALUE"""),"Non-gunshot Injury")</f>
        <v>Non-gunshot Injury</v>
      </c>
      <c r="C117" s="1" t="str">
        <f ca="1">IFERROR(__xludf.DUMMYFUNCTION("""COMPUTED_VALUE"""),"Male")</f>
        <v>Male</v>
      </c>
      <c r="D117" s="1" t="str">
        <f ca="1">IFERROR(__xludf.DUMMYFUNCTION("""COMPUTED_VALUE"""),"Student")</f>
        <v>Student</v>
      </c>
      <c r="E117" s="1" t="str">
        <f ca="1">IFERROR(__xludf.DUMMYFUNCTION("""COMPUTED_VALUE"""),"Teen")</f>
        <v>Teen</v>
      </c>
      <c r="F117" s="1"/>
    </row>
    <row r="118" spans="1:6" ht="12.5">
      <c r="A118" s="1" t="str">
        <f ca="1">IFERROR(__xludf.DUMMYFUNCTION("""COMPUTED_VALUE"""),"20231019TXNAA")</f>
        <v>20231019TXNAA</v>
      </c>
      <c r="B118" s="1" t="str">
        <f ca="1">IFERROR(__xludf.DUMMYFUNCTION("""COMPUTED_VALUE"""),"Wounded")</f>
        <v>Wounded</v>
      </c>
      <c r="C118" s="1" t="str">
        <f ca="1">IFERROR(__xludf.DUMMYFUNCTION("""COMPUTED_VALUE"""),"Male")</f>
        <v>Male</v>
      </c>
      <c r="D118" s="1" t="str">
        <f ca="1">IFERROR(__xludf.DUMMYFUNCTION("""COMPUTED_VALUE"""),"Student")</f>
        <v>Student</v>
      </c>
      <c r="E118" s="1" t="str">
        <f ca="1">IFERROR(__xludf.DUMMYFUNCTION("""COMPUTED_VALUE"""),"Teen")</f>
        <v>Teen</v>
      </c>
      <c r="F118" s="1"/>
    </row>
    <row r="119" spans="1:6" ht="12.5">
      <c r="A119" s="1" t="str">
        <f ca="1">IFERROR(__xludf.DUMMYFUNCTION("""COMPUTED_VALUE"""),"20231019CAGRF")</f>
        <v>20231019CAGRF</v>
      </c>
      <c r="B119" s="1" t="str">
        <f ca="1">IFERROR(__xludf.DUMMYFUNCTION("""COMPUTED_VALUE"""),"Wounded")</f>
        <v>Wounded</v>
      </c>
      <c r="C119" s="1" t="str">
        <f ca="1">IFERROR(__xludf.DUMMYFUNCTION("""COMPUTED_VALUE"""),"Male")</f>
        <v>Male</v>
      </c>
      <c r="D119" s="1" t="str">
        <f ca="1">IFERROR(__xludf.DUMMYFUNCTION("""COMPUTED_VALUE"""),"No Relation")</f>
        <v>No Relation</v>
      </c>
      <c r="E119" s="1">
        <f ca="1">IFERROR(__xludf.DUMMYFUNCTION("""COMPUTED_VALUE"""),15)</f>
        <v>15</v>
      </c>
      <c r="F119" s="1"/>
    </row>
    <row r="120" spans="1:6" ht="12.5">
      <c r="A120" s="1" t="str">
        <f ca="1">IFERROR(__xludf.DUMMYFUNCTION("""COMPUTED_VALUE"""),"20231015OHEAT")</f>
        <v>20231015OHEAT</v>
      </c>
      <c r="B120" s="1" t="str">
        <f ca="1">IFERROR(__xludf.DUMMYFUNCTION("""COMPUTED_VALUE"""),"Wounded")</f>
        <v>Wounded</v>
      </c>
      <c r="C120" s="1" t="str">
        <f ca="1">IFERROR(__xludf.DUMMYFUNCTION("""COMPUTED_VALUE"""),"Male")</f>
        <v>Male</v>
      </c>
      <c r="D120" s="1" t="str">
        <f ca="1">IFERROR(__xludf.DUMMYFUNCTION("""COMPUTED_VALUE"""),"Nonstudent Using Athletic Facilities/Attending Game")</f>
        <v>Nonstudent Using Athletic Facilities/Attending Game</v>
      </c>
      <c r="E120" s="1">
        <f ca="1">IFERROR(__xludf.DUMMYFUNCTION("""COMPUTED_VALUE"""),26)</f>
        <v>26</v>
      </c>
      <c r="F120" s="1"/>
    </row>
    <row r="121" spans="1:6" ht="12.5">
      <c r="A121" s="1" t="str">
        <f ca="1">IFERROR(__xludf.DUMMYFUNCTION("""COMPUTED_VALUE"""),"20231015TXFRD")</f>
        <v>20231015TXFRD</v>
      </c>
      <c r="B121" s="1" t="str">
        <f ca="1">IFERROR(__xludf.DUMMYFUNCTION("""COMPUTED_VALUE"""),"Fatal")</f>
        <v>Fatal</v>
      </c>
      <c r="C121" s="1" t="str">
        <f ca="1">IFERROR(__xludf.DUMMYFUNCTION("""COMPUTED_VALUE"""),"Male")</f>
        <v>Male</v>
      </c>
      <c r="D121" s="1" t="str">
        <f ca="1">IFERROR(__xludf.DUMMYFUNCTION("""COMPUTED_VALUE"""),"No Relation")</f>
        <v>No Relation</v>
      </c>
      <c r="E121" s="1">
        <f ca="1">IFERROR(__xludf.DUMMYFUNCTION("""COMPUTED_VALUE"""),30)</f>
        <v>30</v>
      </c>
      <c r="F121" s="1"/>
    </row>
    <row r="122" spans="1:6" ht="12.5">
      <c r="A122" s="1" t="str">
        <f ca="1">IFERROR(__xludf.DUMMYFUNCTION("""COMPUTED_VALUE"""),"20231015TXFRD")</f>
        <v>20231015TXFRD</v>
      </c>
      <c r="B122" s="1" t="str">
        <f ca="1">IFERROR(__xludf.DUMMYFUNCTION("""COMPUTED_VALUE"""),"Wounded")</f>
        <v>Wounded</v>
      </c>
      <c r="C122" s="1" t="str">
        <f ca="1">IFERROR(__xludf.DUMMYFUNCTION("""COMPUTED_VALUE"""),"Male")</f>
        <v>Male</v>
      </c>
      <c r="D122" s="1" t="str">
        <f ca="1">IFERROR(__xludf.DUMMYFUNCTION("""COMPUTED_VALUE"""),"No Relation")</f>
        <v>No Relation</v>
      </c>
      <c r="E122" s="1">
        <f ca="1">IFERROR(__xludf.DUMMYFUNCTION("""COMPUTED_VALUE"""),24)</f>
        <v>24</v>
      </c>
      <c r="F122" s="1"/>
    </row>
    <row r="123" spans="1:6" ht="12.5">
      <c r="A123" s="1" t="str">
        <f ca="1">IFERROR(__xludf.DUMMYFUNCTION("""COMPUTED_VALUE"""),"20231013OHCLC")</f>
        <v>20231013OHCLC</v>
      </c>
      <c r="B123" s="1" t="str">
        <f ca="1">IFERROR(__xludf.DUMMYFUNCTION("""COMPUTED_VALUE"""),"Wounded")</f>
        <v>Wounded</v>
      </c>
      <c r="C123" s="1" t="str">
        <f ca="1">IFERROR(__xludf.DUMMYFUNCTION("""COMPUTED_VALUE"""),"Male")</f>
        <v>Male</v>
      </c>
      <c r="D123" s="1" t="str">
        <f ca="1">IFERROR(__xludf.DUMMYFUNCTION("""COMPUTED_VALUE"""),"Student")</f>
        <v>Student</v>
      </c>
      <c r="E123" s="1">
        <f ca="1">IFERROR(__xludf.DUMMYFUNCTION("""COMPUTED_VALUE"""),15)</f>
        <v>15</v>
      </c>
      <c r="F123" s="1"/>
    </row>
    <row r="124" spans="1:6" ht="12.5">
      <c r="A124" s="1" t="str">
        <f ca="1">IFERROR(__xludf.DUMMYFUNCTION("""COMPUTED_VALUE"""),"20231011CAMAL")</f>
        <v>20231011CAMAL</v>
      </c>
      <c r="B124" s="1" t="str">
        <f ca="1">IFERROR(__xludf.DUMMYFUNCTION("""COMPUTED_VALUE"""),"Wounded")</f>
        <v>Wounded</v>
      </c>
      <c r="C124" s="1" t="str">
        <f ca="1">IFERROR(__xludf.DUMMYFUNCTION("""COMPUTED_VALUE"""),"Male")</f>
        <v>Male</v>
      </c>
      <c r="D124" s="1" t="str">
        <f ca="1">IFERROR(__xludf.DUMMYFUNCTION("""COMPUTED_VALUE"""),"No Relation")</f>
        <v>No Relation</v>
      </c>
      <c r="E124" s="1" t="str">
        <f ca="1">IFERROR(__xludf.DUMMYFUNCTION("""COMPUTED_VALUE"""),"Adult")</f>
        <v>Adult</v>
      </c>
      <c r="F124" s="1" t="str">
        <f ca="1">IFERROR(__xludf.DUMMYFUNCTION("""COMPUTED_VALUE"""),"Latino")</f>
        <v>Latino</v>
      </c>
    </row>
    <row r="125" spans="1:6" ht="12.5">
      <c r="A125" s="1" t="str">
        <f ca="1">IFERROR(__xludf.DUMMYFUNCTION("""COMPUTED_VALUE"""),"20231011FLMIM")</f>
        <v>20231011FLMIM</v>
      </c>
      <c r="B125" s="1" t="str">
        <f ca="1">IFERROR(__xludf.DUMMYFUNCTION("""COMPUTED_VALUE"""),"Fatal")</f>
        <v>Fatal</v>
      </c>
      <c r="C125" s="1" t="str">
        <f ca="1">IFERROR(__xludf.DUMMYFUNCTION("""COMPUTED_VALUE"""),"Male")</f>
        <v>Male</v>
      </c>
      <c r="D125" s="1" t="str">
        <f ca="1">IFERROR(__xludf.DUMMYFUNCTION("""COMPUTED_VALUE"""),"No Relation")</f>
        <v>No Relation</v>
      </c>
      <c r="E125" s="1" t="str">
        <f ca="1">IFERROR(__xludf.DUMMYFUNCTION("""COMPUTED_VALUE"""),"Adult")</f>
        <v>Adult</v>
      </c>
      <c r="F125" s="1"/>
    </row>
    <row r="126" spans="1:6" ht="12.5">
      <c r="A126" s="1" t="str">
        <f ca="1">IFERROR(__xludf.DUMMYFUNCTION("""COMPUTED_VALUE"""),"20231011TXSEF")</f>
        <v>20231011TXSEF</v>
      </c>
      <c r="B126" s="1" t="str">
        <f ca="1">IFERROR(__xludf.DUMMYFUNCTION("""COMPUTED_VALUE"""),"Fatal")</f>
        <v>Fatal</v>
      </c>
      <c r="C126" s="1" t="str">
        <f ca="1">IFERROR(__xludf.DUMMYFUNCTION("""COMPUTED_VALUE"""),"Female")</f>
        <v>Female</v>
      </c>
      <c r="D126" s="1" t="str">
        <f ca="1">IFERROR(__xludf.DUMMYFUNCTION("""COMPUTED_VALUE"""),"Other Staff")</f>
        <v>Other Staff</v>
      </c>
      <c r="E126" s="1">
        <f ca="1">IFERROR(__xludf.DUMMYFUNCTION("""COMPUTED_VALUE"""),56)</f>
        <v>56</v>
      </c>
      <c r="F126" s="1"/>
    </row>
    <row r="127" spans="1:6" ht="12.5">
      <c r="A127" s="1" t="str">
        <f ca="1">IFERROR(__xludf.DUMMYFUNCTION("""COMPUTED_VALUE"""),"20231010SCDAD")</f>
        <v>20231010SCDAD</v>
      </c>
      <c r="B127" s="1" t="str">
        <f ca="1">IFERROR(__xludf.DUMMYFUNCTION("""COMPUTED_VALUE"""),"Fatal")</f>
        <v>Fatal</v>
      </c>
      <c r="C127" s="1" t="str">
        <f ca="1">IFERROR(__xludf.DUMMYFUNCTION("""COMPUTED_VALUE"""),"Male")</f>
        <v>Male</v>
      </c>
      <c r="D127" s="1" t="str">
        <f ca="1">IFERROR(__xludf.DUMMYFUNCTION("""COMPUTED_VALUE"""),"Student")</f>
        <v>Student</v>
      </c>
      <c r="E127" s="1">
        <f ca="1">IFERROR(__xludf.DUMMYFUNCTION("""COMPUTED_VALUE"""),16)</f>
        <v>16</v>
      </c>
      <c r="F127" s="1"/>
    </row>
    <row r="128" spans="1:6" ht="12.5">
      <c r="A128" s="1" t="str">
        <f ca="1">IFERROR(__xludf.DUMMYFUNCTION("""COMPUTED_VALUE"""),"20231006MIOAO")</f>
        <v>20231006MIOAO</v>
      </c>
      <c r="B128" s="1" t="str">
        <f ca="1">IFERROR(__xludf.DUMMYFUNCTION("""COMPUTED_VALUE"""),"Wounded")</f>
        <v>Wounded</v>
      </c>
      <c r="C128" s="1" t="str">
        <f ca="1">IFERROR(__xludf.DUMMYFUNCTION("""COMPUTED_VALUE"""),"Male")</f>
        <v>Male</v>
      </c>
      <c r="D128" s="1" t="str">
        <f ca="1">IFERROR(__xludf.DUMMYFUNCTION("""COMPUTED_VALUE"""),"Student")</f>
        <v>Student</v>
      </c>
      <c r="E128" s="1" t="str">
        <f ca="1">IFERROR(__xludf.DUMMYFUNCTION("""COMPUTED_VALUE"""),"Teen")</f>
        <v>Teen</v>
      </c>
      <c r="F128" s="1"/>
    </row>
    <row r="129" spans="1:6" ht="12.5">
      <c r="A129" s="1" t="str">
        <f ca="1">IFERROR(__xludf.DUMMYFUNCTION("""COMPUTED_VALUE"""),"20231006MIOAO")</f>
        <v>20231006MIOAO</v>
      </c>
      <c r="B129" s="1" t="str">
        <f ca="1">IFERROR(__xludf.DUMMYFUNCTION("""COMPUTED_VALUE"""),"Wounded")</f>
        <v>Wounded</v>
      </c>
      <c r="C129" s="1" t="str">
        <f ca="1">IFERROR(__xludf.DUMMYFUNCTION("""COMPUTED_VALUE"""),"Male")</f>
        <v>Male</v>
      </c>
      <c r="D129" s="1" t="str">
        <f ca="1">IFERROR(__xludf.DUMMYFUNCTION("""COMPUTED_VALUE"""),"Student")</f>
        <v>Student</v>
      </c>
      <c r="E129" s="1" t="str">
        <f ca="1">IFERROR(__xludf.DUMMYFUNCTION("""COMPUTED_VALUE"""),"Teen")</f>
        <v>Teen</v>
      </c>
      <c r="F129" s="1"/>
    </row>
    <row r="130" spans="1:6" ht="12.5">
      <c r="A130" s="1" t="str">
        <f ca="1">IFERROR(__xludf.DUMMYFUNCTION("""COMPUTED_VALUE"""),"20231004COROD")</f>
        <v>20231004COROD</v>
      </c>
      <c r="B130" s="1" t="str">
        <f ca="1">IFERROR(__xludf.DUMMYFUNCTION("""COMPUTED_VALUE"""),"Wounded")</f>
        <v>Wounded</v>
      </c>
      <c r="C130" s="1" t="str">
        <f ca="1">IFERROR(__xludf.DUMMYFUNCTION("""COMPUTED_VALUE"""),"Male")</f>
        <v>Male</v>
      </c>
      <c r="D130" s="1" t="str">
        <f ca="1">IFERROR(__xludf.DUMMYFUNCTION("""COMPUTED_VALUE"""),"Parent")</f>
        <v>Parent</v>
      </c>
      <c r="E130" s="1" t="str">
        <f ca="1">IFERROR(__xludf.DUMMYFUNCTION("""COMPUTED_VALUE"""),"Adult")</f>
        <v>Adult</v>
      </c>
      <c r="F130" s="1"/>
    </row>
    <row r="131" spans="1:6" ht="12.5">
      <c r="A131" s="1" t="str">
        <f ca="1">IFERROR(__xludf.DUMMYFUNCTION("""COMPUTED_VALUE"""),"20231004GASAS")</f>
        <v>20231004GASAS</v>
      </c>
      <c r="B131" s="1" t="str">
        <f ca="1">IFERROR(__xludf.DUMMYFUNCTION("""COMPUTED_VALUE"""),"Wounded")</f>
        <v>Wounded</v>
      </c>
      <c r="C131" s="1" t="str">
        <f ca="1">IFERROR(__xludf.DUMMYFUNCTION("""COMPUTED_VALUE"""),"Male")</f>
        <v>Male</v>
      </c>
      <c r="D131" s="1" t="str">
        <f ca="1">IFERROR(__xludf.DUMMYFUNCTION("""COMPUTED_VALUE"""),"Student")</f>
        <v>Student</v>
      </c>
      <c r="E131" s="1" t="str">
        <f ca="1">IFERROR(__xludf.DUMMYFUNCTION("""COMPUTED_VALUE"""),"Teen")</f>
        <v>Teen</v>
      </c>
      <c r="F131" s="1"/>
    </row>
    <row r="132" spans="1:6" ht="12.5">
      <c r="A132" s="1" t="str">
        <f ca="1">IFERROR(__xludf.DUMMYFUNCTION("""COMPUTED_VALUE"""),"20231002CAALL")</f>
        <v>20231002CAALL</v>
      </c>
      <c r="B132" s="1" t="str">
        <f ca="1">IFERROR(__xludf.DUMMYFUNCTION("""COMPUTED_VALUE"""),"Wounded")</f>
        <v>Wounded</v>
      </c>
      <c r="C132" s="1" t="str">
        <f ca="1">IFERROR(__xludf.DUMMYFUNCTION("""COMPUTED_VALUE"""),"Male")</f>
        <v>Male</v>
      </c>
      <c r="D132" s="1" t="str">
        <f ca="1">IFERROR(__xludf.DUMMYFUNCTION("""COMPUTED_VALUE"""),"Student")</f>
        <v>Student</v>
      </c>
      <c r="E132" s="1">
        <f ca="1">IFERROR(__xludf.DUMMYFUNCTION("""COMPUTED_VALUE"""),16)</f>
        <v>16</v>
      </c>
      <c r="F132" s="1"/>
    </row>
    <row r="133" spans="1:6" ht="12.5">
      <c r="A133" s="1" t="str">
        <f ca="1">IFERROR(__xludf.DUMMYFUNCTION("""COMPUTED_VALUE"""),"20230930GAGRG")</f>
        <v>20230930GAGRG</v>
      </c>
      <c r="B133" s="1" t="str">
        <f ca="1">IFERROR(__xludf.DUMMYFUNCTION("""COMPUTED_VALUE"""),"Fatal")</f>
        <v>Fatal</v>
      </c>
      <c r="C133" s="1" t="str">
        <f ca="1">IFERROR(__xludf.DUMMYFUNCTION("""COMPUTED_VALUE"""),"Male")</f>
        <v>Male</v>
      </c>
      <c r="D133" s="1" t="str">
        <f ca="1">IFERROR(__xludf.DUMMYFUNCTION("""COMPUTED_VALUE"""),"Student")</f>
        <v>Student</v>
      </c>
      <c r="E133" s="1">
        <f ca="1">IFERROR(__xludf.DUMMYFUNCTION("""COMPUTED_VALUE"""),14)</f>
        <v>14</v>
      </c>
      <c r="F133" s="1"/>
    </row>
    <row r="134" spans="1:6" ht="12.5">
      <c r="A134" s="1" t="str">
        <f ca="1">IFERROR(__xludf.DUMMYFUNCTION("""COMPUTED_VALUE"""),"20230929NCDUG")</f>
        <v>20230929NCDUG</v>
      </c>
      <c r="B134" s="1" t="str">
        <f ca="1">IFERROR(__xludf.DUMMYFUNCTION("""COMPUTED_VALUE"""),"Non-gunshot Injury")</f>
        <v>Non-gunshot Injury</v>
      </c>
      <c r="C134" s="1"/>
      <c r="D134" s="1"/>
      <c r="E134" s="1"/>
      <c r="F134" s="1"/>
    </row>
    <row r="135" spans="1:6" ht="12.5">
      <c r="A135" s="1" t="str">
        <f ca="1">IFERROR(__xludf.DUMMYFUNCTION("""COMPUTED_VALUE"""),"20230929NCDUG")</f>
        <v>20230929NCDUG</v>
      </c>
      <c r="B135" s="1" t="str">
        <f ca="1">IFERROR(__xludf.DUMMYFUNCTION("""COMPUTED_VALUE"""),"Non-gunshot Injury")</f>
        <v>Non-gunshot Injury</v>
      </c>
      <c r="C135" s="1"/>
      <c r="D135" s="1"/>
      <c r="E135" s="1"/>
      <c r="F135" s="1"/>
    </row>
    <row r="136" spans="1:6" ht="12.5">
      <c r="A136" s="1" t="str">
        <f ca="1">IFERROR(__xludf.DUMMYFUNCTION("""COMPUTED_VALUE"""),"20230929NCDUG")</f>
        <v>20230929NCDUG</v>
      </c>
      <c r="B136" s="1" t="str">
        <f ca="1">IFERROR(__xludf.DUMMYFUNCTION("""COMPUTED_VALUE"""),"Wounded")</f>
        <v>Wounded</v>
      </c>
      <c r="C136" s="1" t="str">
        <f ca="1">IFERROR(__xludf.DUMMYFUNCTION("""COMPUTED_VALUE"""),"Female")</f>
        <v>Female</v>
      </c>
      <c r="D136" s="1" t="str">
        <f ca="1">IFERROR(__xludf.DUMMYFUNCTION("""COMPUTED_VALUE"""),"Student")</f>
        <v>Student</v>
      </c>
      <c r="E136" s="1" t="str">
        <f ca="1">IFERROR(__xludf.DUMMYFUNCTION("""COMPUTED_VALUE"""),"Teen")</f>
        <v>Teen</v>
      </c>
      <c r="F136" s="1"/>
    </row>
    <row r="137" spans="1:6" ht="12.5">
      <c r="A137" s="1" t="str">
        <f ca="1">IFERROR(__xludf.DUMMYFUNCTION("""COMPUTED_VALUE"""),"20230929NCDUG")</f>
        <v>20230929NCDUG</v>
      </c>
      <c r="B137" s="1" t="str">
        <f ca="1">IFERROR(__xludf.DUMMYFUNCTION("""COMPUTED_VALUE"""),"Wounded")</f>
        <v>Wounded</v>
      </c>
      <c r="C137" s="1" t="str">
        <f ca="1">IFERROR(__xludf.DUMMYFUNCTION("""COMPUTED_VALUE"""),"Male")</f>
        <v>Male</v>
      </c>
      <c r="D137" s="1" t="str">
        <f ca="1">IFERROR(__xludf.DUMMYFUNCTION("""COMPUTED_VALUE"""),"Nonstudent Using Athletic Facilities/Attending Game")</f>
        <v>Nonstudent Using Athletic Facilities/Attending Game</v>
      </c>
      <c r="E137" s="1" t="str">
        <f ca="1">IFERROR(__xludf.DUMMYFUNCTION("""COMPUTED_VALUE"""),"Adult")</f>
        <v>Adult</v>
      </c>
      <c r="F137" s="1"/>
    </row>
    <row r="138" spans="1:6" ht="12.5">
      <c r="A138" s="1" t="str">
        <f ca="1">IFERROR(__xludf.DUMMYFUNCTION("""COMPUTED_VALUE"""),"20230925MDGIB")</f>
        <v>20230925MDGIB</v>
      </c>
      <c r="B138" s="1" t="str">
        <f ca="1">IFERROR(__xludf.DUMMYFUNCTION("""COMPUTED_VALUE"""),"Fatal")</f>
        <v>Fatal</v>
      </c>
      <c r="C138" s="1" t="str">
        <f ca="1">IFERROR(__xludf.DUMMYFUNCTION("""COMPUTED_VALUE"""),"Male")</f>
        <v>Male</v>
      </c>
      <c r="D138" s="1" t="str">
        <f ca="1">IFERROR(__xludf.DUMMYFUNCTION("""COMPUTED_VALUE"""),"No Relation")</f>
        <v>No Relation</v>
      </c>
      <c r="E138" s="1">
        <f ca="1">IFERROR(__xludf.DUMMYFUNCTION("""COMPUTED_VALUE"""),15)</f>
        <v>15</v>
      </c>
      <c r="F138" s="1"/>
    </row>
    <row r="139" spans="1:6" ht="12.5">
      <c r="A139" s="1" t="str">
        <f ca="1">IFERROR(__xludf.DUMMYFUNCTION("""COMPUTED_VALUE"""),"20230923OHMAC")</f>
        <v>20230923OHMAC</v>
      </c>
      <c r="B139" s="1" t="str">
        <f ca="1">IFERROR(__xludf.DUMMYFUNCTION("""COMPUTED_VALUE"""),"None")</f>
        <v>None</v>
      </c>
      <c r="C139" s="1" t="str">
        <f ca="1">IFERROR(__xludf.DUMMYFUNCTION("""COMPUTED_VALUE"""),"Female")</f>
        <v>Female</v>
      </c>
      <c r="D139" s="1"/>
      <c r="E139" s="1" t="str">
        <f ca="1">IFERROR(__xludf.DUMMYFUNCTION("""COMPUTED_VALUE"""),"Adult")</f>
        <v>Adult</v>
      </c>
      <c r="F139" s="1"/>
    </row>
    <row r="140" spans="1:6" ht="12.5">
      <c r="A140" s="1" t="str">
        <f ca="1">IFERROR(__xludf.DUMMYFUNCTION("""COMPUTED_VALUE"""),"20230922TNWEM")</f>
        <v>20230922TNWEM</v>
      </c>
      <c r="B140" s="1" t="str">
        <f ca="1">IFERROR(__xludf.DUMMYFUNCTION("""COMPUTED_VALUE"""),"Wounded")</f>
        <v>Wounded</v>
      </c>
      <c r="C140" s="1" t="str">
        <f ca="1">IFERROR(__xludf.DUMMYFUNCTION("""COMPUTED_VALUE"""),"Male")</f>
        <v>Male</v>
      </c>
      <c r="D140" s="1" t="str">
        <f ca="1">IFERROR(__xludf.DUMMYFUNCTION("""COMPUTED_VALUE"""),"Student")</f>
        <v>Student</v>
      </c>
      <c r="E140" s="1">
        <f ca="1">IFERROR(__xludf.DUMMYFUNCTION("""COMPUTED_VALUE"""),13)</f>
        <v>13</v>
      </c>
      <c r="F140" s="1"/>
    </row>
    <row r="141" spans="1:6" ht="12.5">
      <c r="A141" s="1" t="str">
        <f ca="1">IFERROR(__xludf.DUMMYFUNCTION("""COMPUTED_VALUE"""),"20230920ILVOC")</f>
        <v>20230920ILVOC</v>
      </c>
      <c r="B141" s="1" t="str">
        <f ca="1">IFERROR(__xludf.DUMMYFUNCTION("""COMPUTED_VALUE"""),"Wounded")</f>
        <v>Wounded</v>
      </c>
      <c r="C141" s="1" t="str">
        <f ca="1">IFERROR(__xludf.DUMMYFUNCTION("""COMPUTED_VALUE"""),"Male")</f>
        <v>Male</v>
      </c>
      <c r="D141" s="1" t="str">
        <f ca="1">IFERROR(__xludf.DUMMYFUNCTION("""COMPUTED_VALUE"""),"No Relation")</f>
        <v>No Relation</v>
      </c>
      <c r="E141" s="1">
        <f ca="1">IFERROR(__xludf.DUMMYFUNCTION("""COMPUTED_VALUE"""),15)</f>
        <v>15</v>
      </c>
      <c r="F141" s="1"/>
    </row>
    <row r="142" spans="1:6" ht="12.5">
      <c r="A142" s="1" t="str">
        <f ca="1">IFERROR(__xludf.DUMMYFUNCTION("""COMPUTED_VALUE"""),"20230919TXKEB")</f>
        <v>20230919TXKEB</v>
      </c>
      <c r="B142" s="1" t="str">
        <f ca="1">IFERROR(__xludf.DUMMYFUNCTION("""COMPUTED_VALUE"""),"Non-gunshot Injury")</f>
        <v>Non-gunshot Injury</v>
      </c>
      <c r="C142" s="1" t="str">
        <f ca="1">IFERROR(__xludf.DUMMYFUNCTION("""COMPUTED_VALUE"""),"Male")</f>
        <v>Male</v>
      </c>
      <c r="D142" s="1" t="str">
        <f ca="1">IFERROR(__xludf.DUMMYFUNCTION("""COMPUTED_VALUE"""),"Student")</f>
        <v>Student</v>
      </c>
      <c r="E142" s="1">
        <f ca="1">IFERROR(__xludf.DUMMYFUNCTION("""COMPUTED_VALUE"""),10)</f>
        <v>10</v>
      </c>
      <c r="F142" s="1"/>
    </row>
    <row r="143" spans="1:6" ht="12.5">
      <c r="A143" s="1" t="str">
        <f ca="1">IFERROR(__xludf.DUMMYFUNCTION("""COMPUTED_VALUE"""),"20230919FLWOP")</f>
        <v>20230919FLWOP</v>
      </c>
      <c r="B143" s="1" t="str">
        <f ca="1">IFERROR(__xludf.DUMMYFUNCTION("""COMPUTED_VALUE"""),"Wounded")</f>
        <v>Wounded</v>
      </c>
      <c r="C143" s="1" t="str">
        <f ca="1">IFERROR(__xludf.DUMMYFUNCTION("""COMPUTED_VALUE"""),"Male")</f>
        <v>Male</v>
      </c>
      <c r="D143" s="1"/>
      <c r="E143" s="1" t="str">
        <f ca="1">IFERROR(__xludf.DUMMYFUNCTION("""COMPUTED_VALUE"""),"Adult")</f>
        <v>Adult</v>
      </c>
      <c r="F143" s="1"/>
    </row>
    <row r="144" spans="1:6" ht="12.5">
      <c r="A144" s="1" t="str">
        <f ca="1">IFERROR(__xludf.DUMMYFUNCTION("""COMPUTED_VALUE"""),"20230916OHEAC")</f>
        <v>20230916OHEAC</v>
      </c>
      <c r="B144" s="1" t="str">
        <f ca="1">IFERROR(__xludf.DUMMYFUNCTION("""COMPUTED_VALUE"""),"Wounded")</f>
        <v>Wounded</v>
      </c>
      <c r="C144" s="1" t="str">
        <f ca="1">IFERROR(__xludf.DUMMYFUNCTION("""COMPUTED_VALUE"""),"Male")</f>
        <v>Male</v>
      </c>
      <c r="D144" s="1" t="str">
        <f ca="1">IFERROR(__xludf.DUMMYFUNCTION("""COMPUTED_VALUE"""),"No Relation")</f>
        <v>No Relation</v>
      </c>
      <c r="E144" s="1">
        <f ca="1">IFERROR(__xludf.DUMMYFUNCTION("""COMPUTED_VALUE"""),21)</f>
        <v>21</v>
      </c>
      <c r="F144" s="1"/>
    </row>
    <row r="145" spans="1:6" ht="12.5">
      <c r="A145" s="1" t="str">
        <f ca="1">IFERROR(__xludf.DUMMYFUNCTION("""COMPUTED_VALUE"""),"20230915ILHIC")</f>
        <v>20230915ILHIC</v>
      </c>
      <c r="B145" s="1" t="str">
        <f ca="1">IFERROR(__xludf.DUMMYFUNCTION("""COMPUTED_VALUE"""),"Fatal")</f>
        <v>Fatal</v>
      </c>
      <c r="C145" s="1" t="str">
        <f ca="1">IFERROR(__xludf.DUMMYFUNCTION("""COMPUTED_VALUE"""),"Male")</f>
        <v>Male</v>
      </c>
      <c r="D145" s="1" t="str">
        <f ca="1">IFERROR(__xludf.DUMMYFUNCTION("""COMPUTED_VALUE"""),"Student")</f>
        <v>Student</v>
      </c>
      <c r="E145" s="1">
        <f ca="1">IFERROR(__xludf.DUMMYFUNCTION("""COMPUTED_VALUE"""),14)</f>
        <v>14</v>
      </c>
      <c r="F145" s="1"/>
    </row>
    <row r="146" spans="1:6" ht="12.5">
      <c r="A146" s="1" t="str">
        <f ca="1">IFERROR(__xludf.DUMMYFUNCTION("""COMPUTED_VALUE"""),"20230915MDJAB")</f>
        <v>20230915MDJAB</v>
      </c>
      <c r="B146" s="1" t="str">
        <f ca="1">IFERROR(__xludf.DUMMYFUNCTION("""COMPUTED_VALUE"""),"Wounded")</f>
        <v>Wounded</v>
      </c>
      <c r="C146" s="1" t="str">
        <f ca="1">IFERROR(__xludf.DUMMYFUNCTION("""COMPUTED_VALUE"""),"Female")</f>
        <v>Female</v>
      </c>
      <c r="D146" s="1" t="str">
        <f ca="1">IFERROR(__xludf.DUMMYFUNCTION("""COMPUTED_VALUE"""),"No Relation")</f>
        <v>No Relation</v>
      </c>
      <c r="E146" s="1">
        <f ca="1">IFERROR(__xludf.DUMMYFUNCTION("""COMPUTED_VALUE"""),14)</f>
        <v>14</v>
      </c>
      <c r="F146" s="1"/>
    </row>
    <row r="147" spans="1:6" ht="12.5">
      <c r="A147" s="1" t="str">
        <f ca="1">IFERROR(__xludf.DUMMYFUNCTION("""COMPUTED_VALUE"""),"20230915MDJAB")</f>
        <v>20230915MDJAB</v>
      </c>
      <c r="B147" s="1" t="str">
        <f ca="1">IFERROR(__xludf.DUMMYFUNCTION("""COMPUTED_VALUE"""),"Wounded")</f>
        <v>Wounded</v>
      </c>
      <c r="C147" s="1" t="str">
        <f ca="1">IFERROR(__xludf.DUMMYFUNCTION("""COMPUTED_VALUE"""),"Male")</f>
        <v>Male</v>
      </c>
      <c r="D147" s="1" t="str">
        <f ca="1">IFERROR(__xludf.DUMMYFUNCTION("""COMPUTED_VALUE"""),"No Relation")</f>
        <v>No Relation</v>
      </c>
      <c r="E147" s="1">
        <f ca="1">IFERROR(__xludf.DUMMYFUNCTION("""COMPUTED_VALUE"""),17)</f>
        <v>17</v>
      </c>
      <c r="F147" s="1"/>
    </row>
    <row r="148" spans="1:6" ht="12.5">
      <c r="A148" s="1" t="str">
        <f ca="1">IFERROR(__xludf.DUMMYFUNCTION("""COMPUTED_VALUE"""),"20230913GALAA")</f>
        <v>20230913GALAA</v>
      </c>
      <c r="B148" s="1" t="str">
        <f ca="1">IFERROR(__xludf.DUMMYFUNCTION("""COMPUTED_VALUE"""),"Wounded")</f>
        <v>Wounded</v>
      </c>
      <c r="C148" s="1" t="str">
        <f ca="1">IFERROR(__xludf.DUMMYFUNCTION("""COMPUTED_VALUE"""),"Female")</f>
        <v>Female</v>
      </c>
      <c r="D148" s="1" t="str">
        <f ca="1">IFERROR(__xludf.DUMMYFUNCTION("""COMPUTED_VALUE"""),"Parent")</f>
        <v>Parent</v>
      </c>
      <c r="E148" s="1" t="str">
        <f ca="1">IFERROR(__xludf.DUMMYFUNCTION("""COMPUTED_VALUE"""),"Adult")</f>
        <v>Adult</v>
      </c>
      <c r="F148" s="1"/>
    </row>
    <row r="149" spans="1:6" ht="12.5">
      <c r="A149" s="1" t="str">
        <f ca="1">IFERROR(__xludf.DUMMYFUNCTION("""COMPUTED_VALUE"""),"20230913DCLIW")</f>
        <v>20230913DCLIW</v>
      </c>
      <c r="B149" s="1" t="str">
        <f ca="1">IFERROR(__xludf.DUMMYFUNCTION("""COMPUTED_VALUE"""),"Wounded")</f>
        <v>Wounded</v>
      </c>
      <c r="C149" s="1" t="str">
        <f ca="1">IFERROR(__xludf.DUMMYFUNCTION("""COMPUTED_VALUE"""),"Male")</f>
        <v>Male</v>
      </c>
      <c r="D149" s="1"/>
      <c r="E149" s="1" t="str">
        <f ca="1">IFERROR(__xludf.DUMMYFUNCTION("""COMPUTED_VALUE"""),"Adult")</f>
        <v>Adult</v>
      </c>
      <c r="F149" s="1"/>
    </row>
    <row r="150" spans="1:6" ht="12.5">
      <c r="A150" s="1" t="str">
        <f ca="1">IFERROR(__xludf.DUMMYFUNCTION("""COMPUTED_VALUE"""),"20230912WAEIY")</f>
        <v>20230912WAEIY</v>
      </c>
      <c r="B150" s="1" t="str">
        <f ca="1">IFERROR(__xludf.DUMMYFUNCTION("""COMPUTED_VALUE"""),"Wounded")</f>
        <v>Wounded</v>
      </c>
      <c r="C150" s="1" t="str">
        <f ca="1">IFERROR(__xludf.DUMMYFUNCTION("""COMPUTED_VALUE"""),"Male")</f>
        <v>Male</v>
      </c>
      <c r="D150" s="1" t="str">
        <f ca="1">IFERROR(__xludf.DUMMYFUNCTION("""COMPUTED_VALUE"""),"Student")</f>
        <v>Student</v>
      </c>
      <c r="E150" s="1">
        <f ca="1">IFERROR(__xludf.DUMMYFUNCTION("""COMPUTED_VALUE"""),14)</f>
        <v>14</v>
      </c>
      <c r="F150" s="1"/>
    </row>
    <row r="151" spans="1:6" ht="12.5">
      <c r="A151" s="1" t="str">
        <f ca="1">IFERROR(__xludf.DUMMYFUNCTION("""COMPUTED_VALUE"""),"20230912LASTG")</f>
        <v>20230912LASTG</v>
      </c>
      <c r="B151" s="1" t="str">
        <f ca="1">IFERROR(__xludf.DUMMYFUNCTION("""COMPUTED_VALUE"""),"Fatal")</f>
        <v>Fatal</v>
      </c>
      <c r="C151" s="1" t="str">
        <f ca="1">IFERROR(__xludf.DUMMYFUNCTION("""COMPUTED_VALUE"""),"Male")</f>
        <v>Male</v>
      </c>
      <c r="D151" s="1" t="str">
        <f ca="1">IFERROR(__xludf.DUMMYFUNCTION("""COMPUTED_VALUE"""),"Student")</f>
        <v>Student</v>
      </c>
      <c r="E151" s="1">
        <f ca="1">IFERROR(__xludf.DUMMYFUNCTION("""COMPUTED_VALUE"""),16)</f>
        <v>16</v>
      </c>
      <c r="F151" s="1"/>
    </row>
    <row r="152" spans="1:6" ht="12.5">
      <c r="A152" s="1" t="str">
        <f ca="1">IFERROR(__xludf.DUMMYFUNCTION("""COMPUTED_VALUE"""),"20230912LASTG")</f>
        <v>20230912LASTG</v>
      </c>
      <c r="B152" s="1" t="str">
        <f ca="1">IFERROR(__xludf.DUMMYFUNCTION("""COMPUTED_VALUE"""),"Wounded")</f>
        <v>Wounded</v>
      </c>
      <c r="C152" s="1"/>
      <c r="D152" s="1" t="str">
        <f ca="1">IFERROR(__xludf.DUMMYFUNCTION("""COMPUTED_VALUE"""),"Student")</f>
        <v>Student</v>
      </c>
      <c r="E152" s="1" t="str">
        <f ca="1">IFERROR(__xludf.DUMMYFUNCTION("""COMPUTED_VALUE"""),"Teen")</f>
        <v>Teen</v>
      </c>
      <c r="F152" s="1"/>
    </row>
    <row r="153" spans="1:6" ht="12.5">
      <c r="A153" s="1" t="str">
        <f ca="1">IFERROR(__xludf.DUMMYFUNCTION("""COMPUTED_VALUE"""),"20230912LASTG")</f>
        <v>20230912LASTG</v>
      </c>
      <c r="B153" s="1" t="str">
        <f ca="1">IFERROR(__xludf.DUMMYFUNCTION("""COMPUTED_VALUE"""),"Wounded")</f>
        <v>Wounded</v>
      </c>
      <c r="C153" s="1"/>
      <c r="D153" s="1" t="str">
        <f ca="1">IFERROR(__xludf.DUMMYFUNCTION("""COMPUTED_VALUE"""),"Student")</f>
        <v>Student</v>
      </c>
      <c r="E153" s="1" t="str">
        <f ca="1">IFERROR(__xludf.DUMMYFUNCTION("""COMPUTED_VALUE"""),"Teen")</f>
        <v>Teen</v>
      </c>
      <c r="F153" s="1"/>
    </row>
    <row r="154" spans="1:6" ht="12.5">
      <c r="A154" s="1" t="str">
        <f ca="1">IFERROR(__xludf.DUMMYFUNCTION("""COMPUTED_VALUE"""),"20230911MDDUL")</f>
        <v>20230911MDDUL</v>
      </c>
      <c r="B154" s="1" t="str">
        <f ca="1">IFERROR(__xludf.DUMMYFUNCTION("""COMPUTED_VALUE"""),"Fatal")</f>
        <v>Fatal</v>
      </c>
      <c r="C154" s="1" t="str">
        <f ca="1">IFERROR(__xludf.DUMMYFUNCTION("""COMPUTED_VALUE"""),"Female")</f>
        <v>Female</v>
      </c>
      <c r="D154" s="1" t="str">
        <f ca="1">IFERROR(__xludf.DUMMYFUNCTION("""COMPUTED_VALUE"""),"Student")</f>
        <v>Student</v>
      </c>
      <c r="E154" s="1">
        <f ca="1">IFERROR(__xludf.DUMMYFUNCTION("""COMPUTED_VALUE"""),16)</f>
        <v>16</v>
      </c>
      <c r="F154" s="1"/>
    </row>
    <row r="155" spans="1:6" ht="12.5">
      <c r="A155" s="1" t="str">
        <f ca="1">IFERROR(__xludf.DUMMYFUNCTION("""COMPUTED_VALUE"""),"20230909NYPRU")</f>
        <v>20230909NYPRU</v>
      </c>
      <c r="B155" s="1" t="str">
        <f ca="1">IFERROR(__xludf.DUMMYFUNCTION("""COMPUTED_VALUE"""),"Wounded")</f>
        <v>Wounded</v>
      </c>
      <c r="C155" s="1" t="str">
        <f ca="1">IFERROR(__xludf.DUMMYFUNCTION("""COMPUTED_VALUE"""),"Male")</f>
        <v>Male</v>
      </c>
      <c r="D155" s="1" t="str">
        <f ca="1">IFERROR(__xludf.DUMMYFUNCTION("""COMPUTED_VALUE"""),"Security Guard")</f>
        <v>Security Guard</v>
      </c>
      <c r="E155" s="1" t="str">
        <f ca="1">IFERROR(__xludf.DUMMYFUNCTION("""COMPUTED_VALUE"""),"Adult")</f>
        <v>Adult</v>
      </c>
      <c r="F155" s="1"/>
    </row>
    <row r="156" spans="1:6" ht="12.5">
      <c r="A156" s="1" t="str">
        <f ca="1">IFERROR(__xludf.DUMMYFUNCTION("""COMPUTED_VALUE"""),"20230901MDDUB")</f>
        <v>20230901MDDUB</v>
      </c>
      <c r="B156" s="1" t="str">
        <f ca="1">IFERROR(__xludf.DUMMYFUNCTION("""COMPUTED_VALUE"""),"Wounded")</f>
        <v>Wounded</v>
      </c>
      <c r="C156" s="1" t="str">
        <f ca="1">IFERROR(__xludf.DUMMYFUNCTION("""COMPUTED_VALUE"""),"Male")</f>
        <v>Male</v>
      </c>
      <c r="D156" s="1" t="str">
        <f ca="1">IFERROR(__xludf.DUMMYFUNCTION("""COMPUTED_VALUE"""),"Student")</f>
        <v>Student</v>
      </c>
      <c r="E156" s="1">
        <f ca="1">IFERROR(__xludf.DUMMYFUNCTION("""COMPUTED_VALUE"""),12)</f>
        <v>12</v>
      </c>
      <c r="F156" s="1"/>
    </row>
    <row r="157" spans="1:6" ht="12.5">
      <c r="A157" s="1" t="str">
        <f ca="1">IFERROR(__xludf.DUMMYFUNCTION("""COMPUTED_VALUE"""),"20230901ILMOC")</f>
        <v>20230901ILMOC</v>
      </c>
      <c r="B157" s="1" t="str">
        <f ca="1">IFERROR(__xludf.DUMMYFUNCTION("""COMPUTED_VALUE"""),"Wounded")</f>
        <v>Wounded</v>
      </c>
      <c r="C157" s="1" t="str">
        <f ca="1">IFERROR(__xludf.DUMMYFUNCTION("""COMPUTED_VALUE"""),"Male")</f>
        <v>Male</v>
      </c>
      <c r="D157" s="1" t="str">
        <f ca="1">IFERROR(__xludf.DUMMYFUNCTION("""COMPUTED_VALUE"""),"Student")</f>
        <v>Student</v>
      </c>
      <c r="E157" s="1">
        <f ca="1">IFERROR(__xludf.DUMMYFUNCTION("""COMPUTED_VALUE"""),15)</f>
        <v>15</v>
      </c>
      <c r="F157" s="1"/>
    </row>
    <row r="158" spans="1:6" ht="12.5">
      <c r="A158" s="1" t="str">
        <f ca="1">IFERROR(__xludf.DUMMYFUNCTION("""COMPUTED_VALUE"""),"20230901ILMOC")</f>
        <v>20230901ILMOC</v>
      </c>
      <c r="B158" s="1" t="str">
        <f ca="1">IFERROR(__xludf.DUMMYFUNCTION("""COMPUTED_VALUE"""),"Wounded")</f>
        <v>Wounded</v>
      </c>
      <c r="C158" s="1" t="str">
        <f ca="1">IFERROR(__xludf.DUMMYFUNCTION("""COMPUTED_VALUE"""),"Female")</f>
        <v>Female</v>
      </c>
      <c r="D158" s="1" t="str">
        <f ca="1">IFERROR(__xludf.DUMMYFUNCTION("""COMPUTED_VALUE"""),"Student")</f>
        <v>Student</v>
      </c>
      <c r="E158" s="1">
        <f ca="1">IFERROR(__xludf.DUMMYFUNCTION("""COMPUTED_VALUE"""),16)</f>
        <v>16</v>
      </c>
      <c r="F158" s="1"/>
    </row>
    <row r="159" spans="1:6" ht="12.5">
      <c r="A159" s="1" t="str">
        <f ca="1">IFERROR(__xludf.DUMMYFUNCTION("""COMPUTED_VALUE"""),"20230901LAPOP")</f>
        <v>20230901LAPOP</v>
      </c>
      <c r="B159" s="1" t="str">
        <f ca="1">IFERROR(__xludf.DUMMYFUNCTION("""COMPUTED_VALUE"""),"Fatal")</f>
        <v>Fatal</v>
      </c>
      <c r="C159" s="1" t="str">
        <f ca="1">IFERROR(__xludf.DUMMYFUNCTION("""COMPUTED_VALUE"""),"Male")</f>
        <v>Male</v>
      </c>
      <c r="D159" s="1" t="str">
        <f ca="1">IFERROR(__xludf.DUMMYFUNCTION("""COMPUTED_VALUE"""),"Student")</f>
        <v>Student</v>
      </c>
      <c r="E159" s="1">
        <f ca="1">IFERROR(__xludf.DUMMYFUNCTION("""COMPUTED_VALUE"""),16)</f>
        <v>16</v>
      </c>
      <c r="F159" s="1"/>
    </row>
    <row r="160" spans="1:6" ht="12.5">
      <c r="A160" s="1" t="str">
        <f ca="1">IFERROR(__xludf.DUMMYFUNCTION("""COMPUTED_VALUE"""),"20230901LAPOP")</f>
        <v>20230901LAPOP</v>
      </c>
      <c r="B160" s="1" t="str">
        <f ca="1">IFERROR(__xludf.DUMMYFUNCTION("""COMPUTED_VALUE"""),"Wounded")</f>
        <v>Wounded</v>
      </c>
      <c r="C160" s="1" t="str">
        <f ca="1">IFERROR(__xludf.DUMMYFUNCTION("""COMPUTED_VALUE"""),"Female")</f>
        <v>Female</v>
      </c>
      <c r="D160" s="1" t="str">
        <f ca="1">IFERROR(__xludf.DUMMYFUNCTION("""COMPUTED_VALUE"""),"Nonstudent Using Athletic Facilities/Attending Game")</f>
        <v>Nonstudent Using Athletic Facilities/Attending Game</v>
      </c>
      <c r="E160" s="1">
        <f ca="1">IFERROR(__xludf.DUMMYFUNCTION("""COMPUTED_VALUE"""),28)</f>
        <v>28</v>
      </c>
      <c r="F160" s="1"/>
    </row>
    <row r="161" spans="1:6" ht="12.5">
      <c r="A161" s="1" t="str">
        <f ca="1">IFERROR(__xludf.DUMMYFUNCTION("""COMPUTED_VALUE"""),"20230831KSWEW")</f>
        <v>20230831KSWEW</v>
      </c>
      <c r="B161" s="1" t="str">
        <f ca="1">IFERROR(__xludf.DUMMYFUNCTION("""COMPUTED_VALUE"""),"Non-gunshot Injury")</f>
        <v>Non-gunshot Injury</v>
      </c>
      <c r="C161" s="1"/>
      <c r="D161" s="1" t="str">
        <f ca="1">IFERROR(__xludf.DUMMYFUNCTION("""COMPUTED_VALUE"""),"Student")</f>
        <v>Student</v>
      </c>
      <c r="E161" s="1" t="str">
        <f ca="1">IFERROR(__xludf.DUMMYFUNCTION("""COMPUTED_VALUE"""),"Teen")</f>
        <v>Teen</v>
      </c>
      <c r="F161" s="1"/>
    </row>
    <row r="162" spans="1:6" ht="12.5">
      <c r="A162" s="1" t="str">
        <f ca="1">IFERROR(__xludf.DUMMYFUNCTION("""COMPUTED_VALUE"""),"20230831KSWEW")</f>
        <v>20230831KSWEW</v>
      </c>
      <c r="B162" s="1" t="str">
        <f ca="1">IFERROR(__xludf.DUMMYFUNCTION("""COMPUTED_VALUE"""),"Non-gunshot Injury")</f>
        <v>Non-gunshot Injury</v>
      </c>
      <c r="C162" s="1"/>
      <c r="D162" s="1" t="str">
        <f ca="1">IFERROR(__xludf.DUMMYFUNCTION("""COMPUTED_VALUE"""),"Student")</f>
        <v>Student</v>
      </c>
      <c r="E162" s="1" t="str">
        <f ca="1">IFERROR(__xludf.DUMMYFUNCTION("""COMPUTED_VALUE"""),"Teen")</f>
        <v>Teen</v>
      </c>
      <c r="F162" s="1"/>
    </row>
    <row r="163" spans="1:6" ht="12.5">
      <c r="A163" s="1" t="str">
        <f ca="1">IFERROR(__xludf.DUMMYFUNCTION("""COMPUTED_VALUE"""),"20230831KSWEW")</f>
        <v>20230831KSWEW</v>
      </c>
      <c r="B163" s="1" t="str">
        <f ca="1">IFERROR(__xludf.DUMMYFUNCTION("""COMPUTED_VALUE"""),"Non-gunshot Injury")</f>
        <v>Non-gunshot Injury</v>
      </c>
      <c r="C163" s="1"/>
      <c r="D163" s="1" t="str">
        <f ca="1">IFERROR(__xludf.DUMMYFUNCTION("""COMPUTED_VALUE"""),"Student")</f>
        <v>Student</v>
      </c>
      <c r="E163" s="1" t="str">
        <f ca="1">IFERROR(__xludf.DUMMYFUNCTION("""COMPUTED_VALUE"""),"Teen")</f>
        <v>Teen</v>
      </c>
      <c r="F163" s="1"/>
    </row>
    <row r="164" spans="1:6" ht="12.5">
      <c r="A164" s="1" t="str">
        <f ca="1">IFERROR(__xludf.DUMMYFUNCTION("""COMPUTED_VALUE"""),"20230831MSBRB")</f>
        <v>20230831MSBRB</v>
      </c>
      <c r="B164" s="1" t="str">
        <f ca="1">IFERROR(__xludf.DUMMYFUNCTION("""COMPUTED_VALUE"""),"None")</f>
        <v>None</v>
      </c>
      <c r="C164" s="1" t="str">
        <f ca="1">IFERROR(__xludf.DUMMYFUNCTION("""COMPUTED_VALUE"""),"Male")</f>
        <v>Male</v>
      </c>
      <c r="D164" s="1" t="str">
        <f ca="1">IFERROR(__xludf.DUMMYFUNCTION("""COMPUTED_VALUE"""),"Student")</f>
        <v>Student</v>
      </c>
      <c r="E164" s="1" t="str">
        <f ca="1">IFERROR(__xludf.DUMMYFUNCTION("""COMPUTED_VALUE"""),"Child")</f>
        <v>Child</v>
      </c>
      <c r="F164" s="1"/>
    </row>
    <row r="165" spans="1:6" ht="12.5">
      <c r="A165" s="1" t="str">
        <f ca="1">IFERROR(__xludf.DUMMYFUNCTION("""COMPUTED_VALUE"""),"20230825CADRL")</f>
        <v>20230825CADRL</v>
      </c>
      <c r="B165" s="1" t="str">
        <f ca="1">IFERROR(__xludf.DUMMYFUNCTION("""COMPUTED_VALUE"""),"Wounded")</f>
        <v>Wounded</v>
      </c>
      <c r="C165" s="1" t="str">
        <f ca="1">IFERROR(__xludf.DUMMYFUNCTION("""COMPUTED_VALUE"""),"Female")</f>
        <v>Female</v>
      </c>
      <c r="D165" s="1" t="str">
        <f ca="1">IFERROR(__xludf.DUMMYFUNCTION("""COMPUTED_VALUE"""),"Other Staff")</f>
        <v>Other Staff</v>
      </c>
      <c r="E165" s="1" t="str">
        <f ca="1">IFERROR(__xludf.DUMMYFUNCTION("""COMPUTED_VALUE"""),"Adult")</f>
        <v>Adult</v>
      </c>
      <c r="F165" s="1"/>
    </row>
    <row r="166" spans="1:6" ht="12.5">
      <c r="A166" s="1" t="str">
        <f ca="1">IFERROR(__xludf.DUMMYFUNCTION("""COMPUTED_VALUE"""),"20230825OKCHC")</f>
        <v>20230825OKCHC</v>
      </c>
      <c r="B166" s="1" t="str">
        <f ca="1">IFERROR(__xludf.DUMMYFUNCTION("""COMPUTED_VALUE"""),"Wounded")</f>
        <v>Wounded</v>
      </c>
      <c r="C166" s="1" t="str">
        <f ca="1">IFERROR(__xludf.DUMMYFUNCTION("""COMPUTED_VALUE"""),"Female")</f>
        <v>Female</v>
      </c>
      <c r="D166" s="1" t="str">
        <f ca="1">IFERROR(__xludf.DUMMYFUNCTION("""COMPUTED_VALUE"""),"Student")</f>
        <v>Student</v>
      </c>
      <c r="E166" s="1" t="str">
        <f ca="1">IFERROR(__xludf.DUMMYFUNCTION("""COMPUTED_VALUE"""),"Teen")</f>
        <v>Teen</v>
      </c>
      <c r="F166" s="1"/>
    </row>
    <row r="167" spans="1:6" ht="12.5">
      <c r="A167" s="1" t="str">
        <f ca="1">IFERROR(__xludf.DUMMYFUNCTION("""COMPUTED_VALUE"""),"20230825OKCHC")</f>
        <v>20230825OKCHC</v>
      </c>
      <c r="B167" s="1" t="str">
        <f ca="1">IFERROR(__xludf.DUMMYFUNCTION("""COMPUTED_VALUE"""),"Fatal")</f>
        <v>Fatal</v>
      </c>
      <c r="C167" s="1" t="str">
        <f ca="1">IFERROR(__xludf.DUMMYFUNCTION("""COMPUTED_VALUE"""),"Male")</f>
        <v>Male</v>
      </c>
      <c r="D167" s="1" t="str">
        <f ca="1">IFERROR(__xludf.DUMMYFUNCTION("""COMPUTED_VALUE"""),"Student")</f>
        <v>Student</v>
      </c>
      <c r="E167" s="1">
        <f ca="1">IFERROR(__xludf.DUMMYFUNCTION("""COMPUTED_VALUE"""),16)</f>
        <v>16</v>
      </c>
      <c r="F167" s="1"/>
    </row>
    <row r="168" spans="1:6" ht="12.5">
      <c r="A168" s="1" t="str">
        <f ca="1">IFERROR(__xludf.DUMMYFUNCTION("""COMPUTED_VALUE"""),"20230825OKCHC")</f>
        <v>20230825OKCHC</v>
      </c>
      <c r="B168" s="1" t="str">
        <f ca="1">IFERROR(__xludf.DUMMYFUNCTION("""COMPUTED_VALUE"""),"Wounded")</f>
        <v>Wounded</v>
      </c>
      <c r="C168" s="1" t="str">
        <f ca="1">IFERROR(__xludf.DUMMYFUNCTION("""COMPUTED_VALUE"""),"Male")</f>
        <v>Male</v>
      </c>
      <c r="D168" s="1" t="str">
        <f ca="1">IFERROR(__xludf.DUMMYFUNCTION("""COMPUTED_VALUE"""),"Nonstudent Using Athletic Facilities/Attending Game")</f>
        <v>Nonstudent Using Athletic Facilities/Attending Game</v>
      </c>
      <c r="E168" s="1">
        <f ca="1">IFERROR(__xludf.DUMMYFUNCTION("""COMPUTED_VALUE"""),42)</f>
        <v>42</v>
      </c>
      <c r="F168" s="1"/>
    </row>
    <row r="169" spans="1:6" ht="12.5">
      <c r="A169" s="1" t="str">
        <f ca="1">IFERROR(__xludf.DUMMYFUNCTION("""COMPUTED_VALUE"""),"20230825OKCHC")</f>
        <v>20230825OKCHC</v>
      </c>
      <c r="B169" s="1" t="str">
        <f ca="1">IFERROR(__xludf.DUMMYFUNCTION("""COMPUTED_VALUE"""),"Non-gunshot Injury")</f>
        <v>Non-gunshot Injury</v>
      </c>
      <c r="C169" s="1" t="str">
        <f ca="1">IFERROR(__xludf.DUMMYFUNCTION("""COMPUTED_VALUE"""),"Female")</f>
        <v>Female</v>
      </c>
      <c r="D169" s="1" t="str">
        <f ca="1">IFERROR(__xludf.DUMMYFUNCTION("""COMPUTED_VALUE"""),"Student")</f>
        <v>Student</v>
      </c>
      <c r="E169" s="1"/>
      <c r="F169" s="1"/>
    </row>
    <row r="170" spans="1:6" ht="12.5">
      <c r="A170" s="1" t="str">
        <f ca="1">IFERROR(__xludf.DUMMYFUNCTION("""COMPUTED_VALUE"""),"20230825OKCHC")</f>
        <v>20230825OKCHC</v>
      </c>
      <c r="B170" s="1" t="str">
        <f ca="1">IFERROR(__xludf.DUMMYFUNCTION("""COMPUTED_VALUE"""),"Non-gunshot Injury")</f>
        <v>Non-gunshot Injury</v>
      </c>
      <c r="C170" s="1" t="str">
        <f ca="1">IFERROR(__xludf.DUMMYFUNCTION("""COMPUTED_VALUE"""),"Female")</f>
        <v>Female</v>
      </c>
      <c r="D170" s="1" t="str">
        <f ca="1">IFERROR(__xludf.DUMMYFUNCTION("""COMPUTED_VALUE"""),"Student")</f>
        <v>Student</v>
      </c>
      <c r="E170" s="1"/>
      <c r="F170" s="1"/>
    </row>
    <row r="171" spans="1:6" ht="12.5">
      <c r="A171" s="1" t="str">
        <f ca="1">IFERROR(__xludf.DUMMYFUNCTION("""COMPUTED_VALUE"""),"20230824NMRAT")</f>
        <v>20230824NMRAT</v>
      </c>
      <c r="B171" s="1" t="str">
        <f ca="1">IFERROR(__xludf.DUMMYFUNCTION("""COMPUTED_VALUE"""),"Fatal")</f>
        <v>Fatal</v>
      </c>
      <c r="C171" s="1" t="str">
        <f ca="1">IFERROR(__xludf.DUMMYFUNCTION("""COMPUTED_VALUE"""),"Male")</f>
        <v>Male</v>
      </c>
      <c r="D171" s="1"/>
      <c r="E171" s="1" t="str">
        <f ca="1">IFERROR(__xludf.DUMMYFUNCTION("""COMPUTED_VALUE"""),"Adult")</f>
        <v>Adult</v>
      </c>
      <c r="F171" s="1"/>
    </row>
    <row r="172" spans="1:6" ht="12.5">
      <c r="A172" s="1" t="str">
        <f ca="1">IFERROR(__xludf.DUMMYFUNCTION("""COMPUTED_VALUE"""),"20230824VAWAP")</f>
        <v>20230824VAWAP</v>
      </c>
      <c r="B172" s="1" t="str">
        <f ca="1">IFERROR(__xludf.DUMMYFUNCTION("""COMPUTED_VALUE"""),"Fatal")</f>
        <v>Fatal</v>
      </c>
      <c r="C172" s="1" t="str">
        <f ca="1">IFERROR(__xludf.DUMMYFUNCTION("""COMPUTED_VALUE"""),"Male")</f>
        <v>Male</v>
      </c>
      <c r="D172" s="1" t="str">
        <f ca="1">IFERROR(__xludf.DUMMYFUNCTION("""COMPUTED_VALUE"""),"No Relation")</f>
        <v>No Relation</v>
      </c>
      <c r="E172" s="1">
        <f ca="1">IFERROR(__xludf.DUMMYFUNCTION("""COMPUTED_VALUE"""),19)</f>
        <v>19</v>
      </c>
      <c r="F172" s="1"/>
    </row>
    <row r="173" spans="1:6" ht="12.5">
      <c r="A173" s="1" t="str">
        <f ca="1">IFERROR(__xludf.DUMMYFUNCTION("""COMPUTED_VALUE"""),"20230824AZPHP")</f>
        <v>20230824AZPHP</v>
      </c>
      <c r="B173" s="1" t="str">
        <f ca="1">IFERROR(__xludf.DUMMYFUNCTION("""COMPUTED_VALUE"""),"Non-gunshot Injury")</f>
        <v>Non-gunshot Injury</v>
      </c>
      <c r="C173" s="1"/>
      <c r="D173" s="1" t="str">
        <f ca="1">IFERROR(__xludf.DUMMYFUNCTION("""COMPUTED_VALUE"""),"Student")</f>
        <v>Student</v>
      </c>
      <c r="E173" s="1" t="str">
        <f ca="1">IFERROR(__xludf.DUMMYFUNCTION("""COMPUTED_VALUE"""),"Child")</f>
        <v>Child</v>
      </c>
      <c r="F173" s="1"/>
    </row>
    <row r="174" spans="1:6" ht="12.5">
      <c r="A174" s="1" t="str">
        <f ca="1">IFERROR(__xludf.DUMMYFUNCTION("""COMPUTED_VALUE"""),"20230824VAKEV")</f>
        <v>20230824VAKEV</v>
      </c>
      <c r="B174" s="1" t="str">
        <f ca="1">IFERROR(__xludf.DUMMYFUNCTION("""COMPUTED_VALUE"""),"Wounded")</f>
        <v>Wounded</v>
      </c>
      <c r="C174" s="1" t="str">
        <f ca="1">IFERROR(__xludf.DUMMYFUNCTION("""COMPUTED_VALUE"""),"Male")</f>
        <v>Male</v>
      </c>
      <c r="D174" s="1"/>
      <c r="E174" s="1">
        <f ca="1">IFERROR(__xludf.DUMMYFUNCTION("""COMPUTED_VALUE"""),16)</f>
        <v>16</v>
      </c>
      <c r="F174" s="1"/>
    </row>
    <row r="175" spans="1:6" ht="12.5">
      <c r="A175" s="1" t="str">
        <f ca="1">IFERROR(__xludf.DUMMYFUNCTION("""COMPUTED_VALUE"""),"20230824VAKEV")</f>
        <v>20230824VAKEV</v>
      </c>
      <c r="B175" s="1" t="str">
        <f ca="1">IFERROR(__xludf.DUMMYFUNCTION("""COMPUTED_VALUE"""),"Wounded")</f>
        <v>Wounded</v>
      </c>
      <c r="C175" s="1" t="str">
        <f ca="1">IFERROR(__xludf.DUMMYFUNCTION("""COMPUTED_VALUE"""),"Male")</f>
        <v>Male</v>
      </c>
      <c r="D175" s="1"/>
      <c r="E175" s="1">
        <f ca="1">IFERROR(__xludf.DUMMYFUNCTION("""COMPUTED_VALUE"""),19)</f>
        <v>19</v>
      </c>
      <c r="F175" s="1"/>
    </row>
    <row r="176" spans="1:6" ht="12.5">
      <c r="A176" s="1" t="str">
        <f ca="1">IFERROR(__xludf.DUMMYFUNCTION("""COMPUTED_VALUE"""),"20230823MDTOT")</f>
        <v>20230823MDTOT</v>
      </c>
      <c r="B176" s="1" t="str">
        <f ca="1">IFERROR(__xludf.DUMMYFUNCTION("""COMPUTED_VALUE"""),"Wounded")</f>
        <v>Wounded</v>
      </c>
      <c r="C176" s="1" t="str">
        <f ca="1">IFERROR(__xludf.DUMMYFUNCTION("""COMPUTED_VALUE"""),"Male")</f>
        <v>Male</v>
      </c>
      <c r="D176" s="1" t="str">
        <f ca="1">IFERROR(__xludf.DUMMYFUNCTION("""COMPUTED_VALUE"""),"Student")</f>
        <v>Student</v>
      </c>
      <c r="E176" s="1" t="str">
        <f ca="1">IFERROR(__xludf.DUMMYFUNCTION("""COMPUTED_VALUE"""),"Teen")</f>
        <v>Teen</v>
      </c>
      <c r="F176" s="1"/>
    </row>
    <row r="177" spans="1:6" ht="12.5">
      <c r="A177" s="1" t="str">
        <f ca="1">IFERROR(__xludf.DUMMYFUNCTION("""COMPUTED_VALUE"""),"20230818GANOK")</f>
        <v>20230818GANOK</v>
      </c>
      <c r="B177" s="1" t="str">
        <f ca="1">IFERROR(__xludf.DUMMYFUNCTION("""COMPUTED_VALUE"""),"Wounded")</f>
        <v>Wounded</v>
      </c>
      <c r="C177" s="1" t="str">
        <f ca="1">IFERROR(__xludf.DUMMYFUNCTION("""COMPUTED_VALUE"""),"Male")</f>
        <v>Male</v>
      </c>
      <c r="D177" s="1" t="str">
        <f ca="1">IFERROR(__xludf.DUMMYFUNCTION("""COMPUTED_VALUE"""),"Student")</f>
        <v>Student</v>
      </c>
      <c r="E177" s="1">
        <f ca="1">IFERROR(__xludf.DUMMYFUNCTION("""COMPUTED_VALUE"""),17)</f>
        <v>17</v>
      </c>
      <c r="F177" s="1"/>
    </row>
    <row r="178" spans="1:6" ht="12.5">
      <c r="A178" s="1" t="str">
        <f ca="1">IFERROR(__xludf.DUMMYFUNCTION("""COMPUTED_VALUE"""),"20230818CAETR")</f>
        <v>20230818CAETR</v>
      </c>
      <c r="B178" s="1" t="str">
        <f ca="1">IFERROR(__xludf.DUMMYFUNCTION("""COMPUTED_VALUE"""),"Wounded")</f>
        <v>Wounded</v>
      </c>
      <c r="C178" s="1" t="str">
        <f ca="1">IFERROR(__xludf.DUMMYFUNCTION("""COMPUTED_VALUE"""),"Male")</f>
        <v>Male</v>
      </c>
      <c r="D178" s="1" t="str">
        <f ca="1">IFERROR(__xludf.DUMMYFUNCTION("""COMPUTED_VALUE"""),"Student")</f>
        <v>Student</v>
      </c>
      <c r="E178" s="1">
        <f ca="1">IFERROR(__xludf.DUMMYFUNCTION("""COMPUTED_VALUE"""),16)</f>
        <v>16</v>
      </c>
      <c r="F178" s="1"/>
    </row>
    <row r="179" spans="1:6" ht="12.5">
      <c r="A179" s="1" t="str">
        <f ca="1">IFERROR(__xludf.DUMMYFUNCTION("""COMPUTED_VALUE"""),"20230818GAJOJ")</f>
        <v>20230818GAJOJ</v>
      </c>
      <c r="B179" s="1" t="str">
        <f ca="1">IFERROR(__xludf.DUMMYFUNCTION("""COMPUTED_VALUE"""),"Wounded")</f>
        <v>Wounded</v>
      </c>
      <c r="C179" s="1" t="str">
        <f ca="1">IFERROR(__xludf.DUMMYFUNCTION("""COMPUTED_VALUE"""),"Male")</f>
        <v>Male</v>
      </c>
      <c r="D179" s="1" t="str">
        <f ca="1">IFERROR(__xludf.DUMMYFUNCTION("""COMPUTED_VALUE"""),"Student")</f>
        <v>Student</v>
      </c>
      <c r="E179" s="1">
        <f ca="1">IFERROR(__xludf.DUMMYFUNCTION("""COMPUTED_VALUE"""),18)</f>
        <v>18</v>
      </c>
      <c r="F179" s="1"/>
    </row>
    <row r="180" spans="1:6" ht="12.5">
      <c r="A180" s="1" t="str">
        <f ca="1">IFERROR(__xludf.DUMMYFUNCTION("""COMPUTED_VALUE"""),"20230818MSPAP")</f>
        <v>20230818MSPAP</v>
      </c>
      <c r="B180" s="1" t="str">
        <f ca="1">IFERROR(__xludf.DUMMYFUNCTION("""COMPUTED_VALUE"""),"Wounded")</f>
        <v>Wounded</v>
      </c>
      <c r="C180" s="1" t="str">
        <f ca="1">IFERROR(__xludf.DUMMYFUNCTION("""COMPUTED_VALUE"""),"Male")</f>
        <v>Male</v>
      </c>
      <c r="D180" s="1" t="str">
        <f ca="1">IFERROR(__xludf.DUMMYFUNCTION("""COMPUTED_VALUE"""),"Student")</f>
        <v>Student</v>
      </c>
      <c r="E180" s="1">
        <f ca="1">IFERROR(__xludf.DUMMYFUNCTION("""COMPUTED_VALUE"""),16)</f>
        <v>16</v>
      </c>
      <c r="F180" s="1"/>
    </row>
    <row r="181" spans="1:6" ht="12.5">
      <c r="A181" s="1" t="str">
        <f ca="1">IFERROR(__xludf.DUMMYFUNCTION("""COMPUTED_VALUE"""),"20230816GAJOA")</f>
        <v>20230816GAJOA</v>
      </c>
      <c r="B181" s="1" t="str">
        <f ca="1">IFERROR(__xludf.DUMMYFUNCTION("""COMPUTED_VALUE"""),"Wounded")</f>
        <v>Wounded</v>
      </c>
      <c r="C181" s="1" t="str">
        <f ca="1">IFERROR(__xludf.DUMMYFUNCTION("""COMPUTED_VALUE"""),"Male")</f>
        <v>Male</v>
      </c>
      <c r="D181" s="1" t="str">
        <f ca="1">IFERROR(__xludf.DUMMYFUNCTION("""COMPUTED_VALUE"""),"Student")</f>
        <v>Student</v>
      </c>
      <c r="E181" s="1" t="str">
        <f ca="1">IFERROR(__xludf.DUMMYFUNCTION("""COMPUTED_VALUE"""),"Teen")</f>
        <v>Teen</v>
      </c>
      <c r="F181" s="1"/>
    </row>
    <row r="182" spans="1:6" ht="12.5">
      <c r="A182" s="1" t="str">
        <f ca="1">IFERROR(__xludf.DUMMYFUNCTION("""COMPUTED_VALUE"""),"20230731TNMAM")</f>
        <v>20230731TNMAM</v>
      </c>
      <c r="B182" s="1" t="str">
        <f ca="1">IFERROR(__xludf.DUMMYFUNCTION("""COMPUTED_VALUE"""),"None")</f>
        <v>None</v>
      </c>
      <c r="C182" s="1" t="str">
        <f ca="1">IFERROR(__xludf.DUMMYFUNCTION("""COMPUTED_VALUE"""),"Male")</f>
        <v>Male</v>
      </c>
      <c r="D182" s="1" t="str">
        <f ca="1">IFERROR(__xludf.DUMMYFUNCTION("""COMPUTED_VALUE"""),"Other Staff")</f>
        <v>Other Staff</v>
      </c>
      <c r="E182" s="1" t="str">
        <f ca="1">IFERROR(__xludf.DUMMYFUNCTION("""COMPUTED_VALUE"""),"Adult")</f>
        <v>Adult</v>
      </c>
      <c r="F182" s="1"/>
    </row>
    <row r="183" spans="1:6" ht="12.5">
      <c r="A183" s="1" t="str">
        <f ca="1">IFERROR(__xludf.DUMMYFUNCTION("""COMPUTED_VALUE"""),"20230726DCMAW")</f>
        <v>20230726DCMAW</v>
      </c>
      <c r="B183" s="1" t="str">
        <f ca="1">IFERROR(__xludf.DUMMYFUNCTION("""COMPUTED_VALUE"""),"Fatal")</f>
        <v>Fatal</v>
      </c>
      <c r="C183" s="1" t="str">
        <f ca="1">IFERROR(__xludf.DUMMYFUNCTION("""COMPUTED_VALUE"""),"Male")</f>
        <v>Male</v>
      </c>
      <c r="D183" s="1" t="str">
        <f ca="1">IFERROR(__xludf.DUMMYFUNCTION("""COMPUTED_VALUE"""),"Nonstudent Using Athletic Facilities/Attending Game")</f>
        <v>Nonstudent Using Athletic Facilities/Attending Game</v>
      </c>
      <c r="E183" s="1"/>
      <c r="F183" s="1"/>
    </row>
    <row r="184" spans="1:6" ht="12.5">
      <c r="A184" s="1" t="str">
        <f ca="1">IFERROR(__xludf.DUMMYFUNCTION("""COMPUTED_VALUE"""),"20230725TNFRM")</f>
        <v>20230725TNFRM</v>
      </c>
      <c r="B184" s="1" t="str">
        <f ca="1">IFERROR(__xludf.DUMMYFUNCTION("""COMPUTED_VALUE"""),"Wounded")</f>
        <v>Wounded</v>
      </c>
      <c r="C184" s="1" t="str">
        <f ca="1">IFERROR(__xludf.DUMMYFUNCTION("""COMPUTED_VALUE"""),"Male")</f>
        <v>Male</v>
      </c>
      <c r="D184" s="1" t="str">
        <f ca="1">IFERROR(__xludf.DUMMYFUNCTION("""COMPUTED_VALUE"""),"Security Guard")</f>
        <v>Security Guard</v>
      </c>
      <c r="E184" s="1" t="str">
        <f ca="1">IFERROR(__xludf.DUMMYFUNCTION("""COMPUTED_VALUE"""),"Adult")</f>
        <v>Adult</v>
      </c>
      <c r="F184" s="1"/>
    </row>
    <row r="185" spans="1:6" ht="12.5">
      <c r="A185" s="1" t="str">
        <f ca="1">IFERROR(__xludf.DUMMYFUNCTION("""COMPUTED_VALUE"""),"20230725NCJUC")</f>
        <v>20230725NCJUC</v>
      </c>
      <c r="B185" s="1" t="str">
        <f ca="1">IFERROR(__xludf.DUMMYFUNCTION("""COMPUTED_VALUE"""),"Wounded")</f>
        <v>Wounded</v>
      </c>
      <c r="C185" s="1" t="str">
        <f ca="1">IFERROR(__xludf.DUMMYFUNCTION("""COMPUTED_VALUE"""),"Male")</f>
        <v>Male</v>
      </c>
      <c r="D185" s="1" t="str">
        <f ca="1">IFERROR(__xludf.DUMMYFUNCTION("""COMPUTED_VALUE"""),"No Relation")</f>
        <v>No Relation</v>
      </c>
      <c r="E185" s="1" t="str">
        <f ca="1">IFERROR(__xludf.DUMMYFUNCTION("""COMPUTED_VALUE"""),"Adult")</f>
        <v>Adult</v>
      </c>
      <c r="F185" s="1"/>
    </row>
    <row r="186" spans="1:6" ht="12.5">
      <c r="A186" s="1" t="str">
        <f ca="1">IFERROR(__xludf.DUMMYFUNCTION("""COMPUTED_VALUE"""),"20230724PAJOH")</f>
        <v>20230724PAJOH</v>
      </c>
      <c r="B186" s="1" t="str">
        <f ca="1">IFERROR(__xludf.DUMMYFUNCTION("""COMPUTED_VALUE"""),"Fatal")</f>
        <v>Fatal</v>
      </c>
      <c r="C186" s="1" t="str">
        <f ca="1">IFERROR(__xludf.DUMMYFUNCTION("""COMPUTED_VALUE"""),"Male")</f>
        <v>Male</v>
      </c>
      <c r="D186" s="1" t="str">
        <f ca="1">IFERROR(__xludf.DUMMYFUNCTION("""COMPUTED_VALUE"""),"No Relation")</f>
        <v>No Relation</v>
      </c>
      <c r="E186" s="1">
        <f ca="1">IFERROR(__xludf.DUMMYFUNCTION("""COMPUTED_VALUE"""),26)</f>
        <v>26</v>
      </c>
      <c r="F186" s="1"/>
    </row>
    <row r="187" spans="1:6" ht="12.5">
      <c r="A187" s="1" t="str">
        <f ca="1">IFERROR(__xludf.DUMMYFUNCTION("""COMPUTED_VALUE"""),"20230718NYFRB")</f>
        <v>20230718NYFRB</v>
      </c>
      <c r="B187" s="1" t="str">
        <f ca="1">IFERROR(__xludf.DUMMYFUNCTION("""COMPUTED_VALUE"""),"Fatal")</f>
        <v>Fatal</v>
      </c>
      <c r="C187" s="1" t="str">
        <f ca="1">IFERROR(__xludf.DUMMYFUNCTION("""COMPUTED_VALUE"""),"Male")</f>
        <v>Male</v>
      </c>
      <c r="D187" s="1" t="str">
        <f ca="1">IFERROR(__xludf.DUMMYFUNCTION("""COMPUTED_VALUE"""),"Student")</f>
        <v>Student</v>
      </c>
      <c r="E187" s="1">
        <f ca="1">IFERROR(__xludf.DUMMYFUNCTION("""COMPUTED_VALUE"""),15)</f>
        <v>15</v>
      </c>
      <c r="F187" s="1"/>
    </row>
    <row r="188" spans="1:6" ht="12.5">
      <c r="A188" s="1" t="str">
        <f ca="1">IFERROR(__xludf.DUMMYFUNCTION("""COMPUTED_VALUE"""),"20230716GALOH")</f>
        <v>20230716GALOH</v>
      </c>
      <c r="B188" s="1" t="str">
        <f ca="1">IFERROR(__xludf.DUMMYFUNCTION("""COMPUTED_VALUE"""),"Fatal")</f>
        <v>Fatal</v>
      </c>
      <c r="C188" s="1" t="str">
        <f ca="1">IFERROR(__xludf.DUMMYFUNCTION("""COMPUTED_VALUE"""),"Female")</f>
        <v>Female</v>
      </c>
      <c r="D188" s="1" t="str">
        <f ca="1">IFERROR(__xludf.DUMMYFUNCTION("""COMPUTED_VALUE"""),"No Relation")</f>
        <v>No Relation</v>
      </c>
      <c r="E188" s="1">
        <f ca="1">IFERROR(__xludf.DUMMYFUNCTION("""COMPUTED_VALUE"""),19)</f>
        <v>19</v>
      </c>
      <c r="F188" s="1"/>
    </row>
    <row r="189" spans="1:6" ht="12.5">
      <c r="A189" s="1" t="str">
        <f ca="1">IFERROR(__xludf.DUMMYFUNCTION("""COMPUTED_VALUE"""),"20230714NYKIT")</f>
        <v>20230714NYKIT</v>
      </c>
      <c r="B189" s="1" t="str">
        <f ca="1">IFERROR(__xludf.DUMMYFUNCTION("""COMPUTED_VALUE"""),"Wounded")</f>
        <v>Wounded</v>
      </c>
      <c r="C189" s="1" t="str">
        <f ca="1">IFERROR(__xludf.DUMMYFUNCTION("""COMPUTED_VALUE"""),"Male")</f>
        <v>Male</v>
      </c>
      <c r="D189" s="1" t="str">
        <f ca="1">IFERROR(__xludf.DUMMYFUNCTION("""COMPUTED_VALUE"""),"No Relation")</f>
        <v>No Relation</v>
      </c>
      <c r="E189" s="1">
        <f ca="1">IFERROR(__xludf.DUMMYFUNCTION("""COMPUTED_VALUE"""),16)</f>
        <v>16</v>
      </c>
      <c r="F189" s="1"/>
    </row>
    <row r="190" spans="1:6" ht="12.5">
      <c r="A190" s="1" t="str">
        <f ca="1">IFERROR(__xludf.DUMMYFUNCTION("""COMPUTED_VALUE"""),"20230714TXJAS")</f>
        <v>20230714TXJAS</v>
      </c>
      <c r="B190" s="1" t="str">
        <f ca="1">IFERROR(__xludf.DUMMYFUNCTION("""COMPUTED_VALUE"""),"None")</f>
        <v>None</v>
      </c>
      <c r="C190" s="1" t="str">
        <f ca="1">IFERROR(__xludf.DUMMYFUNCTION("""COMPUTED_VALUE"""),"Male")</f>
        <v>Male</v>
      </c>
      <c r="D190" s="1" t="str">
        <f ca="1">IFERROR(__xludf.DUMMYFUNCTION("""COMPUTED_VALUE"""),"No Relation")</f>
        <v>No Relation</v>
      </c>
      <c r="E190" s="1">
        <f ca="1">IFERROR(__xludf.DUMMYFUNCTION("""COMPUTED_VALUE"""),28)</f>
        <v>28</v>
      </c>
      <c r="F190" s="1"/>
    </row>
    <row r="191" spans="1:6" ht="12.5">
      <c r="A191" s="1" t="str">
        <f ca="1">IFERROR(__xludf.DUMMYFUNCTION("""COMPUTED_VALUE"""),"20230708ALWOB")</f>
        <v>20230708ALWOB</v>
      </c>
      <c r="B191" s="1" t="str">
        <f ca="1">IFERROR(__xludf.DUMMYFUNCTION("""COMPUTED_VALUE"""),"Fatal")</f>
        <v>Fatal</v>
      </c>
      <c r="C191" s="1" t="str">
        <f ca="1">IFERROR(__xludf.DUMMYFUNCTION("""COMPUTED_VALUE"""),"Female")</f>
        <v>Female</v>
      </c>
      <c r="D191" s="1" t="str">
        <f ca="1">IFERROR(__xludf.DUMMYFUNCTION("""COMPUTED_VALUE"""),"No Relation")</f>
        <v>No Relation</v>
      </c>
      <c r="E191" s="1">
        <f ca="1">IFERROR(__xludf.DUMMYFUNCTION("""COMPUTED_VALUE"""),20)</f>
        <v>20</v>
      </c>
      <c r="F191" s="1"/>
    </row>
    <row r="192" spans="1:6" ht="12.5">
      <c r="A192" s="1" t="str">
        <f ca="1">IFERROR(__xludf.DUMMYFUNCTION("""COMPUTED_VALUE"""),"20230708ALWOB")</f>
        <v>20230708ALWOB</v>
      </c>
      <c r="B192" s="1" t="str">
        <f ca="1">IFERROR(__xludf.DUMMYFUNCTION("""COMPUTED_VALUE"""),"Wounded")</f>
        <v>Wounded</v>
      </c>
      <c r="C192" s="1" t="str">
        <f ca="1">IFERROR(__xludf.DUMMYFUNCTION("""COMPUTED_VALUE"""),"Female")</f>
        <v>Female</v>
      </c>
      <c r="D192" s="1" t="str">
        <f ca="1">IFERROR(__xludf.DUMMYFUNCTION("""COMPUTED_VALUE"""),"No Relation")</f>
        <v>No Relation</v>
      </c>
      <c r="E192" s="1" t="str">
        <f ca="1">IFERROR(__xludf.DUMMYFUNCTION("""COMPUTED_VALUE"""),"Adult")</f>
        <v>Adult</v>
      </c>
      <c r="F192" s="1"/>
    </row>
    <row r="193" spans="1:6" ht="12.5">
      <c r="A193" s="1" t="str">
        <f ca="1">IFERROR(__xludf.DUMMYFUNCTION("""COMPUTED_VALUE"""),"20230707MDPIP")</f>
        <v>20230707MDPIP</v>
      </c>
      <c r="B193" s="1" t="str">
        <f ca="1">IFERROR(__xludf.DUMMYFUNCTION("""COMPUTED_VALUE"""),"Fatal")</f>
        <v>Fatal</v>
      </c>
      <c r="C193" s="1" t="str">
        <f ca="1">IFERROR(__xludf.DUMMYFUNCTION("""COMPUTED_VALUE"""),"Female")</f>
        <v>Female</v>
      </c>
      <c r="D193" s="1" t="str">
        <f ca="1">IFERROR(__xludf.DUMMYFUNCTION("""COMPUTED_VALUE"""),"No Relation")</f>
        <v>No Relation</v>
      </c>
      <c r="E193" s="1">
        <f ca="1">IFERROR(__xludf.DUMMYFUNCTION("""COMPUTED_VALUE"""),45)</f>
        <v>45</v>
      </c>
      <c r="F193" s="1"/>
    </row>
    <row r="194" spans="1:6" ht="12.5">
      <c r="A194" s="1" t="str">
        <f ca="1">IFERROR(__xludf.DUMMYFUNCTION("""COMPUTED_VALUE"""),"20230706OHHUC")</f>
        <v>20230706OHHUC</v>
      </c>
      <c r="B194" s="1" t="str">
        <f ca="1">IFERROR(__xludf.DUMMYFUNCTION("""COMPUTED_VALUE"""),"Wounded")</f>
        <v>Wounded</v>
      </c>
      <c r="C194" s="1" t="str">
        <f ca="1">IFERROR(__xludf.DUMMYFUNCTION("""COMPUTED_VALUE"""),"Male")</f>
        <v>Male</v>
      </c>
      <c r="D194" s="1" t="str">
        <f ca="1">IFERROR(__xludf.DUMMYFUNCTION("""COMPUTED_VALUE"""),"No Relation")</f>
        <v>No Relation</v>
      </c>
      <c r="E194" s="1" t="str">
        <f ca="1">IFERROR(__xludf.DUMMYFUNCTION("""COMPUTED_VALUE"""),"Adult")</f>
        <v>Adult</v>
      </c>
      <c r="F194" s="1"/>
    </row>
    <row r="195" spans="1:6" ht="12.5">
      <c r="A195" s="1" t="str">
        <f ca="1">IFERROR(__xludf.DUMMYFUNCTION("""COMPUTED_VALUE"""),"20230702MNUNF")</f>
        <v>20230702MNUNF</v>
      </c>
      <c r="B195" s="1" t="str">
        <f ca="1">IFERROR(__xludf.DUMMYFUNCTION("""COMPUTED_VALUE"""),"Non-gunshot Injury")</f>
        <v>Non-gunshot Injury</v>
      </c>
      <c r="C195" s="1" t="str">
        <f ca="1">IFERROR(__xludf.DUMMYFUNCTION("""COMPUTED_VALUE"""),"Male")</f>
        <v>Male</v>
      </c>
      <c r="D195" s="1" t="str">
        <f ca="1">IFERROR(__xludf.DUMMYFUNCTION("""COMPUTED_VALUE"""),"Student")</f>
        <v>Student</v>
      </c>
      <c r="E195" s="1" t="str">
        <f ca="1">IFERROR(__xludf.DUMMYFUNCTION("""COMPUTED_VALUE"""),"Child")</f>
        <v>Child</v>
      </c>
      <c r="F195" s="1"/>
    </row>
    <row r="196" spans="1:6" ht="12.5">
      <c r="A196" s="1" t="str">
        <f ca="1">IFERROR(__xludf.DUMMYFUNCTION("""COMPUTED_VALUE"""),"20230623NMKEA")</f>
        <v>20230623NMKEA</v>
      </c>
      <c r="B196" s="1" t="str">
        <f ca="1">IFERROR(__xludf.DUMMYFUNCTION("""COMPUTED_VALUE"""),"Wounded")</f>
        <v>Wounded</v>
      </c>
      <c r="C196" s="1" t="str">
        <f ca="1">IFERROR(__xludf.DUMMYFUNCTION("""COMPUTED_VALUE"""),"Male")</f>
        <v>Male</v>
      </c>
      <c r="D196" s="1" t="str">
        <f ca="1">IFERROR(__xludf.DUMMYFUNCTION("""COMPUTED_VALUE"""),"Other Staff")</f>
        <v>Other Staff</v>
      </c>
      <c r="E196" s="1" t="str">
        <f ca="1">IFERROR(__xludf.DUMMYFUNCTION("""COMPUTED_VALUE"""),"Adult")</f>
        <v>Adult</v>
      </c>
      <c r="F196" s="1"/>
    </row>
    <row r="197" spans="1:6" ht="12.5">
      <c r="A197" s="1" t="str">
        <f ca="1">IFERROR(__xludf.DUMMYFUNCTION("""COMPUTED_VALUE"""),"20230613PAJUP")</f>
        <v>20230613PAJUP</v>
      </c>
      <c r="B197" s="1" t="str">
        <f ca="1">IFERROR(__xludf.DUMMYFUNCTION("""COMPUTED_VALUE"""),"Wounded")</f>
        <v>Wounded</v>
      </c>
      <c r="C197" s="1" t="str">
        <f ca="1">IFERROR(__xludf.DUMMYFUNCTION("""COMPUTED_VALUE"""),"Male")</f>
        <v>Male</v>
      </c>
      <c r="D197" s="1" t="str">
        <f ca="1">IFERROR(__xludf.DUMMYFUNCTION("""COMPUTED_VALUE"""),"No Relation")</f>
        <v>No Relation</v>
      </c>
      <c r="E197" s="1">
        <f ca="1">IFERROR(__xludf.DUMMYFUNCTION("""COMPUTED_VALUE"""),24)</f>
        <v>24</v>
      </c>
      <c r="F197" s="1"/>
    </row>
    <row r="198" spans="1:6" ht="12.5">
      <c r="A198" s="1" t="str">
        <f ca="1">IFERROR(__xludf.DUMMYFUNCTION("""COMPUTED_VALUE"""),"20230612NJRIM")</f>
        <v>20230612NJRIM</v>
      </c>
      <c r="B198" s="1" t="str">
        <f ca="1">IFERROR(__xludf.DUMMYFUNCTION("""COMPUTED_VALUE"""),"Fatal")</f>
        <v>Fatal</v>
      </c>
      <c r="C198" s="1" t="str">
        <f ca="1">IFERROR(__xludf.DUMMYFUNCTION("""COMPUTED_VALUE"""),"Male")</f>
        <v>Male</v>
      </c>
      <c r="D198" s="1" t="str">
        <f ca="1">IFERROR(__xludf.DUMMYFUNCTION("""COMPUTED_VALUE"""),"No Relation")</f>
        <v>No Relation</v>
      </c>
      <c r="E198" s="1">
        <f ca="1">IFERROR(__xludf.DUMMYFUNCTION("""COMPUTED_VALUE"""),20)</f>
        <v>20</v>
      </c>
      <c r="F198" s="1"/>
    </row>
    <row r="199" spans="1:6" ht="12.5">
      <c r="A199" s="1" t="str">
        <f ca="1">IFERROR(__xludf.DUMMYFUNCTION("""COMPUTED_VALUE"""),"20230612GAKEC")</f>
        <v>20230612GAKEC</v>
      </c>
      <c r="B199" s="1" t="str">
        <f ca="1">IFERROR(__xludf.DUMMYFUNCTION("""COMPUTED_VALUE"""),"Wounded")</f>
        <v>Wounded</v>
      </c>
      <c r="C199" s="1" t="str">
        <f ca="1">IFERROR(__xludf.DUMMYFUNCTION("""COMPUTED_VALUE"""),"Male")</f>
        <v>Male</v>
      </c>
      <c r="D199" s="1"/>
      <c r="E199" s="1"/>
      <c r="F199" s="1"/>
    </row>
    <row r="200" spans="1:6" ht="12.5">
      <c r="A200" s="1" t="str">
        <f ca="1">IFERROR(__xludf.DUMMYFUNCTION("""COMPUTED_VALUE"""),"20230609DCTUW")</f>
        <v>20230609DCTUW</v>
      </c>
      <c r="B200" s="1" t="str">
        <f ca="1">IFERROR(__xludf.DUMMYFUNCTION("""COMPUTED_VALUE"""),"Wounded")</f>
        <v>Wounded</v>
      </c>
      <c r="C200" s="1" t="str">
        <f ca="1">IFERROR(__xludf.DUMMYFUNCTION("""COMPUTED_VALUE"""),"Male")</f>
        <v>Male</v>
      </c>
      <c r="D200" s="1" t="str">
        <f ca="1">IFERROR(__xludf.DUMMYFUNCTION("""COMPUTED_VALUE"""),"No Relation")</f>
        <v>No Relation</v>
      </c>
      <c r="E200" s="1" t="str">
        <f ca="1">IFERROR(__xludf.DUMMYFUNCTION("""COMPUTED_VALUE"""),"Adult")</f>
        <v>Adult</v>
      </c>
      <c r="F200" s="1"/>
    </row>
    <row r="201" spans="1:6" ht="12.5">
      <c r="A201" s="1" t="str">
        <f ca="1">IFERROR(__xludf.DUMMYFUNCTION("""COMPUTED_VALUE"""),"20230606VAHUR")</f>
        <v>20230606VAHUR</v>
      </c>
      <c r="B201" s="1" t="str">
        <f ca="1">IFERROR(__xludf.DUMMYFUNCTION("""COMPUTED_VALUE"""),"Fatal")</f>
        <v>Fatal</v>
      </c>
      <c r="C201" s="1" t="str">
        <f ca="1">IFERROR(__xludf.DUMMYFUNCTION("""COMPUTED_VALUE"""),"Male")</f>
        <v>Male</v>
      </c>
      <c r="D201" s="1" t="str">
        <f ca="1">IFERROR(__xludf.DUMMYFUNCTION("""COMPUTED_VALUE"""),"Student")</f>
        <v>Student</v>
      </c>
      <c r="E201" s="1">
        <f ca="1">IFERROR(__xludf.DUMMYFUNCTION("""COMPUTED_VALUE"""),18)</f>
        <v>18</v>
      </c>
      <c r="F201" s="1"/>
    </row>
    <row r="202" spans="1:6" ht="12.5">
      <c r="A202" s="1" t="str">
        <f ca="1">IFERROR(__xludf.DUMMYFUNCTION("""COMPUTED_VALUE"""),"20230606VAHUR")</f>
        <v>20230606VAHUR</v>
      </c>
      <c r="B202" s="1" t="str">
        <f ca="1">IFERROR(__xludf.DUMMYFUNCTION("""COMPUTED_VALUE"""),"Fatal")</f>
        <v>Fatal</v>
      </c>
      <c r="C202" s="1" t="str">
        <f ca="1">IFERROR(__xludf.DUMMYFUNCTION("""COMPUTED_VALUE"""),"Male")</f>
        <v>Male</v>
      </c>
      <c r="D202" s="1" t="str">
        <f ca="1">IFERROR(__xludf.DUMMYFUNCTION("""COMPUTED_VALUE"""),"Relative")</f>
        <v>Relative</v>
      </c>
      <c r="E202" s="1">
        <f ca="1">IFERROR(__xludf.DUMMYFUNCTION("""COMPUTED_VALUE"""),31)</f>
        <v>31</v>
      </c>
      <c r="F202" s="1"/>
    </row>
    <row r="203" spans="1:6" ht="12.5">
      <c r="A203" s="1" t="str">
        <f ca="1">IFERROR(__xludf.DUMMYFUNCTION("""COMPUTED_VALUE"""),"20230606VAHUR")</f>
        <v>20230606VAHUR</v>
      </c>
      <c r="B203" s="1" t="str">
        <f ca="1">IFERROR(__xludf.DUMMYFUNCTION("""COMPUTED_VALUE"""),"Wounded")</f>
        <v>Wounded</v>
      </c>
      <c r="C203" s="1" t="str">
        <f ca="1">IFERROR(__xludf.DUMMYFUNCTION("""COMPUTED_VALUE"""),"Male")</f>
        <v>Male</v>
      </c>
      <c r="D203" s="1" t="str">
        <f ca="1">IFERROR(__xludf.DUMMYFUNCTION("""COMPUTED_VALUE"""),"Relative")</f>
        <v>Relative</v>
      </c>
      <c r="E203" s="1">
        <f ca="1">IFERROR(__xludf.DUMMYFUNCTION("""COMPUTED_VALUE"""),14)</f>
        <v>14</v>
      </c>
      <c r="F203" s="1"/>
    </row>
    <row r="204" spans="1:6" ht="12.5">
      <c r="A204" s="1" t="str">
        <f ca="1">IFERROR(__xludf.DUMMYFUNCTION("""COMPUTED_VALUE"""),"20230606VAHUR")</f>
        <v>20230606VAHUR</v>
      </c>
      <c r="B204" s="1" t="str">
        <f ca="1">IFERROR(__xludf.DUMMYFUNCTION("""COMPUTED_VALUE"""),"Wounded")</f>
        <v>Wounded</v>
      </c>
      <c r="C204" s="1" t="str">
        <f ca="1">IFERROR(__xludf.DUMMYFUNCTION("""COMPUTED_VALUE"""),"Male")</f>
        <v>Male</v>
      </c>
      <c r="D204" s="1" t="str">
        <f ca="1">IFERROR(__xludf.DUMMYFUNCTION("""COMPUTED_VALUE"""),"Relative")</f>
        <v>Relative</v>
      </c>
      <c r="E204" s="1">
        <f ca="1">IFERROR(__xludf.DUMMYFUNCTION("""COMPUTED_VALUE"""),42)</f>
        <v>42</v>
      </c>
      <c r="F204" s="1"/>
    </row>
    <row r="205" spans="1:6" ht="12.5">
      <c r="A205" s="1" t="str">
        <f ca="1">IFERROR(__xludf.DUMMYFUNCTION("""COMPUTED_VALUE"""),"20230606VAHUR")</f>
        <v>20230606VAHUR</v>
      </c>
      <c r="B205" s="1" t="str">
        <f ca="1">IFERROR(__xludf.DUMMYFUNCTION("""COMPUTED_VALUE"""),"Wounded")</f>
        <v>Wounded</v>
      </c>
      <c r="C205" s="1" t="str">
        <f ca="1">IFERROR(__xludf.DUMMYFUNCTION("""COMPUTED_VALUE"""),"Male")</f>
        <v>Male</v>
      </c>
      <c r="D205" s="1" t="str">
        <f ca="1">IFERROR(__xludf.DUMMYFUNCTION("""COMPUTED_VALUE"""),"Relative")</f>
        <v>Relative</v>
      </c>
      <c r="E205" s="1">
        <f ca="1">IFERROR(__xludf.DUMMYFUNCTION("""COMPUTED_VALUE"""),55)</f>
        <v>55</v>
      </c>
      <c r="F205" s="1"/>
    </row>
    <row r="206" spans="1:6" ht="12.5">
      <c r="A206" s="1" t="str">
        <f ca="1">IFERROR(__xludf.DUMMYFUNCTION("""COMPUTED_VALUE"""),"20230606VAHUR")</f>
        <v>20230606VAHUR</v>
      </c>
      <c r="B206" s="1" t="str">
        <f ca="1">IFERROR(__xludf.DUMMYFUNCTION("""COMPUTED_VALUE"""),"Wounded")</f>
        <v>Wounded</v>
      </c>
      <c r="C206" s="1" t="str">
        <f ca="1">IFERROR(__xludf.DUMMYFUNCTION("""COMPUTED_VALUE"""),"Male")</f>
        <v>Male</v>
      </c>
      <c r="D206" s="1" t="str">
        <f ca="1">IFERROR(__xludf.DUMMYFUNCTION("""COMPUTED_VALUE"""),"Relative")</f>
        <v>Relative</v>
      </c>
      <c r="E206" s="1">
        <f ca="1">IFERROR(__xludf.DUMMYFUNCTION("""COMPUTED_VALUE"""),58)</f>
        <v>58</v>
      </c>
      <c r="F206" s="1"/>
    </row>
    <row r="207" spans="1:6" ht="12.5">
      <c r="A207" s="1" t="str">
        <f ca="1">IFERROR(__xludf.DUMMYFUNCTION("""COMPUTED_VALUE"""),"20230606VAHUR")</f>
        <v>20230606VAHUR</v>
      </c>
      <c r="B207" s="1" t="str">
        <f ca="1">IFERROR(__xludf.DUMMYFUNCTION("""COMPUTED_VALUE"""),"Wounded")</f>
        <v>Wounded</v>
      </c>
      <c r="C207" s="1"/>
      <c r="D207" s="1" t="str">
        <f ca="1">IFERROR(__xludf.DUMMYFUNCTION("""COMPUTED_VALUE"""),"Relative")</f>
        <v>Relative</v>
      </c>
      <c r="E207" s="1">
        <f ca="1">IFERROR(__xludf.DUMMYFUNCTION("""COMPUTED_VALUE"""),31)</f>
        <v>31</v>
      </c>
      <c r="F207" s="1"/>
    </row>
    <row r="208" spans="1:6" ht="12.5">
      <c r="A208" s="1" t="str">
        <f ca="1">IFERROR(__xludf.DUMMYFUNCTION("""COMPUTED_VALUE"""),"20230606VAHUR")</f>
        <v>20230606VAHUR</v>
      </c>
      <c r="B208" s="1" t="str">
        <f ca="1">IFERROR(__xludf.DUMMYFUNCTION("""COMPUTED_VALUE"""),"Non-gunshot Injury")</f>
        <v>Non-gunshot Injury</v>
      </c>
      <c r="C208" s="1" t="str">
        <f ca="1">IFERROR(__xludf.DUMMYFUNCTION("""COMPUTED_VALUE"""),"Female")</f>
        <v>Female</v>
      </c>
      <c r="D208" s="1" t="str">
        <f ca="1">IFERROR(__xludf.DUMMYFUNCTION("""COMPUTED_VALUE"""),"Relative")</f>
        <v>Relative</v>
      </c>
      <c r="E208" s="1">
        <f ca="1">IFERROR(__xludf.DUMMYFUNCTION("""COMPUTED_VALUE"""),7)</f>
        <v>7</v>
      </c>
      <c r="F208" s="1"/>
    </row>
    <row r="209" spans="1:6" ht="12.5">
      <c r="A209" s="1" t="str">
        <f ca="1">IFERROR(__xludf.DUMMYFUNCTION("""COMPUTED_VALUE"""),"20230602MAWOW")</f>
        <v>20230602MAWOW</v>
      </c>
      <c r="B209" s="1" t="str">
        <f ca="1">IFERROR(__xludf.DUMMYFUNCTION("""COMPUTED_VALUE"""),"Wounded")</f>
        <v>Wounded</v>
      </c>
      <c r="C209" s="1" t="str">
        <f ca="1">IFERROR(__xludf.DUMMYFUNCTION("""COMPUTED_VALUE"""),"Male")</f>
        <v>Male</v>
      </c>
      <c r="D209" s="1" t="str">
        <f ca="1">IFERROR(__xludf.DUMMYFUNCTION("""COMPUTED_VALUE"""),"No Relation")</f>
        <v>No Relation</v>
      </c>
      <c r="E209" s="1">
        <f ca="1">IFERROR(__xludf.DUMMYFUNCTION("""COMPUTED_VALUE"""),22)</f>
        <v>22</v>
      </c>
      <c r="F209" s="1"/>
    </row>
    <row r="210" spans="1:6" ht="12.5">
      <c r="A210" s="1" t="str">
        <f ca="1">IFERROR(__xludf.DUMMYFUNCTION("""COMPUTED_VALUE"""),"20230601TXCAF")</f>
        <v>20230601TXCAF</v>
      </c>
      <c r="B210" s="1" t="str">
        <f ca="1">IFERROR(__xludf.DUMMYFUNCTION("""COMPUTED_VALUE"""),"Wounded")</f>
        <v>Wounded</v>
      </c>
      <c r="C210" s="1" t="str">
        <f ca="1">IFERROR(__xludf.DUMMYFUNCTION("""COMPUTED_VALUE"""),"Male")</f>
        <v>Male</v>
      </c>
      <c r="D210" s="1" t="str">
        <f ca="1">IFERROR(__xludf.DUMMYFUNCTION("""COMPUTED_VALUE"""),"No Relation")</f>
        <v>No Relation</v>
      </c>
      <c r="E210" s="1" t="str">
        <f ca="1">IFERROR(__xludf.DUMMYFUNCTION("""COMPUTED_VALUE"""),"Adult")</f>
        <v>Adult</v>
      </c>
      <c r="F210" s="1"/>
    </row>
    <row r="211" spans="1:6" ht="12.5">
      <c r="A211" s="1" t="str">
        <f ca="1">IFERROR(__xludf.DUMMYFUNCTION("""COMPUTED_VALUE"""),"20230531CABAB")</f>
        <v>20230531CABAB</v>
      </c>
      <c r="B211" s="1" t="str">
        <f ca="1">IFERROR(__xludf.DUMMYFUNCTION("""COMPUTED_VALUE"""),"Fatal")</f>
        <v>Fatal</v>
      </c>
      <c r="C211" s="1" t="str">
        <f ca="1">IFERROR(__xludf.DUMMYFUNCTION("""COMPUTED_VALUE"""),"Male")</f>
        <v>Male</v>
      </c>
      <c r="D211" s="1"/>
      <c r="E211" s="1">
        <f ca="1">IFERROR(__xludf.DUMMYFUNCTION("""COMPUTED_VALUE"""),20)</f>
        <v>20</v>
      </c>
      <c r="F211" s="1" t="str">
        <f ca="1">IFERROR(__xludf.DUMMYFUNCTION("""COMPUTED_VALUE"""),"Black")</f>
        <v>Black</v>
      </c>
    </row>
    <row r="212" spans="1:6" ht="12.5">
      <c r="A212" s="1" t="str">
        <f ca="1">IFERROR(__xludf.DUMMYFUNCTION("""COMPUTED_VALUE"""),"20230528GABEA")</f>
        <v>20230528GABEA</v>
      </c>
      <c r="B212" s="1" t="str">
        <f ca="1">IFERROR(__xludf.DUMMYFUNCTION("""COMPUTED_VALUE"""),"Fatal")</f>
        <v>Fatal</v>
      </c>
      <c r="C212" s="1" t="str">
        <f ca="1">IFERROR(__xludf.DUMMYFUNCTION("""COMPUTED_VALUE"""),"Female")</f>
        <v>Female</v>
      </c>
      <c r="D212" s="1" t="str">
        <f ca="1">IFERROR(__xludf.DUMMYFUNCTION("""COMPUTED_VALUE"""),"Student")</f>
        <v>Student</v>
      </c>
      <c r="E212" s="1">
        <f ca="1">IFERROR(__xludf.DUMMYFUNCTION("""COMPUTED_VALUE"""),16)</f>
        <v>16</v>
      </c>
      <c r="F212" s="1"/>
    </row>
    <row r="213" spans="1:6" ht="12.5">
      <c r="A213" s="1" t="str">
        <f ca="1">IFERROR(__xludf.DUMMYFUNCTION("""COMPUTED_VALUE"""),"20230528GABEA")</f>
        <v>20230528GABEA</v>
      </c>
      <c r="B213" s="1" t="str">
        <f ca="1">IFERROR(__xludf.DUMMYFUNCTION("""COMPUTED_VALUE"""),"Wounded")</f>
        <v>Wounded</v>
      </c>
      <c r="C213" s="1" t="str">
        <f ca="1">IFERROR(__xludf.DUMMYFUNCTION("""COMPUTED_VALUE"""),"Male")</f>
        <v>Male</v>
      </c>
      <c r="D213" s="1" t="str">
        <f ca="1">IFERROR(__xludf.DUMMYFUNCTION("""COMPUTED_VALUE"""),"Student")</f>
        <v>Student</v>
      </c>
      <c r="E213" s="1">
        <f ca="1">IFERROR(__xludf.DUMMYFUNCTION("""COMPUTED_VALUE"""),16)</f>
        <v>16</v>
      </c>
      <c r="F213" s="1"/>
    </row>
    <row r="214" spans="1:6" ht="12.5">
      <c r="A214" s="1" t="str">
        <f ca="1">IFERROR(__xludf.DUMMYFUNCTION("""COMPUTED_VALUE"""),"20230525OHBEC")</f>
        <v>20230525OHBEC</v>
      </c>
      <c r="B214" s="1" t="str">
        <f ca="1">IFERROR(__xludf.DUMMYFUNCTION("""COMPUTED_VALUE"""),"Wounded")</f>
        <v>Wounded</v>
      </c>
      <c r="C214" s="1" t="str">
        <f ca="1">IFERROR(__xludf.DUMMYFUNCTION("""COMPUTED_VALUE"""),"Male")</f>
        <v>Male</v>
      </c>
      <c r="D214" s="1" t="str">
        <f ca="1">IFERROR(__xludf.DUMMYFUNCTION("""COMPUTED_VALUE"""),"Nonstudent Using Athletic Facilities/Attending Game")</f>
        <v>Nonstudent Using Athletic Facilities/Attending Game</v>
      </c>
      <c r="E214" s="1" t="str">
        <f ca="1">IFERROR(__xludf.DUMMYFUNCTION("""COMPUTED_VALUE"""),"Adult")</f>
        <v>Adult</v>
      </c>
      <c r="F214" s="1"/>
    </row>
    <row r="215" spans="1:6" ht="12.5">
      <c r="A215" s="1" t="str">
        <f ca="1">IFERROR(__xludf.DUMMYFUNCTION("""COMPUTED_VALUE"""),"20230525MNWAM")</f>
        <v>20230525MNWAM</v>
      </c>
      <c r="B215" s="1" t="str">
        <f ca="1">IFERROR(__xludf.DUMMYFUNCTION("""COMPUTED_VALUE"""),"Non-gunshot Injury")</f>
        <v>Non-gunshot Injury</v>
      </c>
      <c r="C215" s="1" t="str">
        <f ca="1">IFERROR(__xludf.DUMMYFUNCTION("""COMPUTED_VALUE"""),"Male")</f>
        <v>Male</v>
      </c>
      <c r="D215" s="1" t="str">
        <f ca="1">IFERROR(__xludf.DUMMYFUNCTION("""COMPUTED_VALUE"""),"Student")</f>
        <v>Student</v>
      </c>
      <c r="E215" s="1">
        <f ca="1">IFERROR(__xludf.DUMMYFUNCTION("""COMPUTED_VALUE"""),15)</f>
        <v>15</v>
      </c>
      <c r="F215" s="1"/>
    </row>
    <row r="216" spans="1:6" ht="12.5">
      <c r="A216" s="1" t="str">
        <f ca="1">IFERROR(__xludf.DUMMYFUNCTION("""COMPUTED_VALUE"""),"20230525MNWAM")</f>
        <v>20230525MNWAM</v>
      </c>
      <c r="B216" s="1" t="str">
        <f ca="1">IFERROR(__xludf.DUMMYFUNCTION("""COMPUTED_VALUE"""),"Non-gunshot Injury")</f>
        <v>Non-gunshot Injury</v>
      </c>
      <c r="C216" s="1" t="str">
        <f ca="1">IFERROR(__xludf.DUMMYFUNCTION("""COMPUTED_VALUE"""),"Male")</f>
        <v>Male</v>
      </c>
      <c r="D216" s="1" t="str">
        <f ca="1">IFERROR(__xludf.DUMMYFUNCTION("""COMPUTED_VALUE"""),"Student")</f>
        <v>Student</v>
      </c>
      <c r="E216" s="1">
        <f ca="1">IFERROR(__xludf.DUMMYFUNCTION("""COMPUTED_VALUE"""),16)</f>
        <v>16</v>
      </c>
      <c r="F216" s="1"/>
    </row>
    <row r="217" spans="1:6" ht="12.5">
      <c r="A217" s="1" t="str">
        <f ca="1">IFERROR(__xludf.DUMMYFUNCTION("""COMPUTED_VALUE"""),"20230524NCJHG")</f>
        <v>20230524NCJHG</v>
      </c>
      <c r="B217" s="1" t="str">
        <f ca="1">IFERROR(__xludf.DUMMYFUNCTION("""COMPUTED_VALUE"""),"Wounded")</f>
        <v>Wounded</v>
      </c>
      <c r="C217" s="1" t="str">
        <f ca="1">IFERROR(__xludf.DUMMYFUNCTION("""COMPUTED_VALUE"""),"Male")</f>
        <v>Male</v>
      </c>
      <c r="D217" s="1" t="str">
        <f ca="1">IFERROR(__xludf.DUMMYFUNCTION("""COMPUTED_VALUE"""),"Nonstudent Using Athletic Facilities/Attending Game")</f>
        <v>Nonstudent Using Athletic Facilities/Attending Game</v>
      </c>
      <c r="E217" s="1">
        <f ca="1">IFERROR(__xludf.DUMMYFUNCTION("""COMPUTED_VALUE"""),18)</f>
        <v>18</v>
      </c>
      <c r="F217" s="1"/>
    </row>
    <row r="218" spans="1:6" ht="12.5">
      <c r="A218" s="1" t="str">
        <f ca="1">IFERROR(__xludf.DUMMYFUNCTION("""COMPUTED_VALUE"""),"20230524PAOLP")</f>
        <v>20230524PAOLP</v>
      </c>
      <c r="B218" s="1" t="str">
        <f ca="1">IFERROR(__xludf.DUMMYFUNCTION("""COMPUTED_VALUE"""),"Fatal")</f>
        <v>Fatal</v>
      </c>
      <c r="C218" s="1" t="str">
        <f ca="1">IFERROR(__xludf.DUMMYFUNCTION("""COMPUTED_VALUE"""),"Male")</f>
        <v>Male</v>
      </c>
      <c r="D218" s="1" t="str">
        <f ca="1">IFERROR(__xludf.DUMMYFUNCTION("""COMPUTED_VALUE"""),"Student")</f>
        <v>Student</v>
      </c>
      <c r="E218" s="1">
        <f ca="1">IFERROR(__xludf.DUMMYFUNCTION("""COMPUTED_VALUE"""),15)</f>
        <v>15</v>
      </c>
      <c r="F218" s="1"/>
    </row>
    <row r="219" spans="1:6" ht="12.5">
      <c r="A219" s="1" t="str">
        <f ca="1">IFERROR(__xludf.DUMMYFUNCTION("""COMPUTED_VALUE"""),"20230522DCKID")</f>
        <v>20230522DCKID</v>
      </c>
      <c r="B219" s="1" t="str">
        <f ca="1">IFERROR(__xludf.DUMMYFUNCTION("""COMPUTED_VALUE"""),"Wounded")</f>
        <v>Wounded</v>
      </c>
      <c r="C219" s="1" t="str">
        <f ca="1">IFERROR(__xludf.DUMMYFUNCTION("""COMPUTED_VALUE"""),"Male")</f>
        <v>Male</v>
      </c>
      <c r="D219" s="1" t="str">
        <f ca="1">IFERROR(__xludf.DUMMYFUNCTION("""COMPUTED_VALUE"""),"Student")</f>
        <v>Student</v>
      </c>
      <c r="E219" s="1">
        <f ca="1">IFERROR(__xludf.DUMMYFUNCTION("""COMPUTED_VALUE"""),18)</f>
        <v>18</v>
      </c>
      <c r="F219" s="1"/>
    </row>
    <row r="220" spans="1:6" ht="12.5">
      <c r="A220" s="1" t="str">
        <f ca="1">IFERROR(__xludf.DUMMYFUNCTION("""COMPUTED_VALUE"""),"20230521NJCEN")</f>
        <v>20230521NJCEN</v>
      </c>
      <c r="B220" s="1" t="str">
        <f ca="1">IFERROR(__xludf.DUMMYFUNCTION("""COMPUTED_VALUE"""),"Wounded")</f>
        <v>Wounded</v>
      </c>
      <c r="C220" s="1" t="str">
        <f ca="1">IFERROR(__xludf.DUMMYFUNCTION("""COMPUTED_VALUE"""),"Male")</f>
        <v>Male</v>
      </c>
      <c r="D220" s="1"/>
      <c r="E220" s="1">
        <f ca="1">IFERROR(__xludf.DUMMYFUNCTION("""COMPUTED_VALUE"""),13)</f>
        <v>13</v>
      </c>
      <c r="F220" s="1"/>
    </row>
    <row r="221" spans="1:6" ht="12.5">
      <c r="A221" s="1" t="str">
        <f ca="1">IFERROR(__xludf.DUMMYFUNCTION("""COMPUTED_VALUE"""),"20230519NYPSS")</f>
        <v>20230519NYPSS</v>
      </c>
      <c r="B221" s="1" t="str">
        <f ca="1">IFERROR(__xludf.DUMMYFUNCTION("""COMPUTED_VALUE"""),"Wounded")</f>
        <v>Wounded</v>
      </c>
      <c r="C221" s="1" t="str">
        <f ca="1">IFERROR(__xludf.DUMMYFUNCTION("""COMPUTED_VALUE"""),"Male")</f>
        <v>Male</v>
      </c>
      <c r="D221" s="1" t="str">
        <f ca="1">IFERROR(__xludf.DUMMYFUNCTION("""COMPUTED_VALUE"""),"Student")</f>
        <v>Student</v>
      </c>
      <c r="E221" s="1">
        <f ca="1">IFERROR(__xludf.DUMMYFUNCTION("""COMPUTED_VALUE"""),13)</f>
        <v>13</v>
      </c>
      <c r="F221" s="1"/>
    </row>
    <row r="222" spans="1:6" ht="12.5">
      <c r="A222" s="1" t="str">
        <f ca="1">IFERROR(__xludf.DUMMYFUNCTION("""COMPUTED_VALUE"""),"20230518WAGAS")</f>
        <v>20230518WAGAS</v>
      </c>
      <c r="B222" s="1" t="str">
        <f ca="1">IFERROR(__xludf.DUMMYFUNCTION("""COMPUTED_VALUE"""),"Wounded")</f>
        <v>Wounded</v>
      </c>
      <c r="C222" s="1" t="str">
        <f ca="1">IFERROR(__xludf.DUMMYFUNCTION("""COMPUTED_VALUE"""),"Male")</f>
        <v>Male</v>
      </c>
      <c r="D222" s="1" t="str">
        <f ca="1">IFERROR(__xludf.DUMMYFUNCTION("""COMPUTED_VALUE"""),"Student")</f>
        <v>Student</v>
      </c>
      <c r="E222" s="1">
        <f ca="1">IFERROR(__xludf.DUMMYFUNCTION("""COMPUTED_VALUE"""),19)</f>
        <v>19</v>
      </c>
      <c r="F222" s="1"/>
    </row>
    <row r="223" spans="1:6" ht="12.5">
      <c r="A223" s="1" t="str">
        <f ca="1">IFERROR(__xludf.DUMMYFUNCTION("""COMPUTED_VALUE"""),"20230517DCTHW")</f>
        <v>20230517DCTHW</v>
      </c>
      <c r="B223" s="1" t="str">
        <f ca="1">IFERROR(__xludf.DUMMYFUNCTION("""COMPUTED_VALUE"""),"Fatal")</f>
        <v>Fatal</v>
      </c>
      <c r="C223" s="1" t="str">
        <f ca="1">IFERROR(__xludf.DUMMYFUNCTION("""COMPUTED_VALUE"""),"Male")</f>
        <v>Male</v>
      </c>
      <c r="D223" s="1" t="str">
        <f ca="1">IFERROR(__xludf.DUMMYFUNCTION("""COMPUTED_VALUE"""),"Student")</f>
        <v>Student</v>
      </c>
      <c r="E223" s="1">
        <f ca="1">IFERROR(__xludf.DUMMYFUNCTION("""COMPUTED_VALUE"""),17)</f>
        <v>17</v>
      </c>
      <c r="F223" s="1"/>
    </row>
    <row r="224" spans="1:6" ht="12.5">
      <c r="A224" s="1" t="str">
        <f ca="1">IFERROR(__xludf.DUMMYFUNCTION("""COMPUTED_VALUE"""),"20230516NJSCP")</f>
        <v>20230516NJSCP</v>
      </c>
      <c r="B224" s="1" t="str">
        <f ca="1">IFERROR(__xludf.DUMMYFUNCTION("""COMPUTED_VALUE"""),"None")</f>
        <v>None</v>
      </c>
      <c r="C224" s="1" t="str">
        <f ca="1">IFERROR(__xludf.DUMMYFUNCTION("""COMPUTED_VALUE"""),"Male")</f>
        <v>Male</v>
      </c>
      <c r="D224" s="1" t="str">
        <f ca="1">IFERROR(__xludf.DUMMYFUNCTION("""COMPUTED_VALUE"""),"Security Guard")</f>
        <v>Security Guard</v>
      </c>
      <c r="E224" s="1" t="str">
        <f ca="1">IFERROR(__xludf.DUMMYFUNCTION("""COMPUTED_VALUE"""),"Adult")</f>
        <v>Adult</v>
      </c>
      <c r="F224" s="1"/>
    </row>
    <row r="225" spans="1:6" ht="12.5">
      <c r="A225" s="1" t="str">
        <f ca="1">IFERROR(__xludf.DUMMYFUNCTION("""COMPUTED_VALUE"""),"20230516OHEAC")</f>
        <v>20230516OHEAC</v>
      </c>
      <c r="B225" s="1" t="str">
        <f ca="1">IFERROR(__xludf.DUMMYFUNCTION("""COMPUTED_VALUE"""),"Wounded")</f>
        <v>Wounded</v>
      </c>
      <c r="C225" s="1" t="str">
        <f ca="1">IFERROR(__xludf.DUMMYFUNCTION("""COMPUTED_VALUE"""),"Male")</f>
        <v>Male</v>
      </c>
      <c r="D225" s="1" t="str">
        <f ca="1">IFERROR(__xludf.DUMMYFUNCTION("""COMPUTED_VALUE"""),"Student")</f>
        <v>Student</v>
      </c>
      <c r="E225" s="1">
        <f ca="1">IFERROR(__xludf.DUMMYFUNCTION("""COMPUTED_VALUE"""),12)</f>
        <v>12</v>
      </c>
      <c r="F225" s="1"/>
    </row>
    <row r="226" spans="1:6" ht="12.5">
      <c r="A226" s="1" t="str">
        <f ca="1">IFERROR(__xludf.DUMMYFUNCTION("""COMPUTED_VALUE"""),"20230512DCKEW")</f>
        <v>20230512DCKEW</v>
      </c>
      <c r="B226" s="1" t="str">
        <f ca="1">IFERROR(__xludf.DUMMYFUNCTION("""COMPUTED_VALUE"""),"Wounded")</f>
        <v>Wounded</v>
      </c>
      <c r="C226" s="1" t="str">
        <f ca="1">IFERROR(__xludf.DUMMYFUNCTION("""COMPUTED_VALUE"""),"Male")</f>
        <v>Male</v>
      </c>
      <c r="D226" s="1" t="str">
        <f ca="1">IFERROR(__xludf.DUMMYFUNCTION("""COMPUTED_VALUE"""),"No Relation")</f>
        <v>No Relation</v>
      </c>
      <c r="E226" s="1" t="str">
        <f ca="1">IFERROR(__xludf.DUMMYFUNCTION("""COMPUTED_VALUE"""),"Adult")</f>
        <v>Adult</v>
      </c>
      <c r="F226" s="1"/>
    </row>
    <row r="227" spans="1:6" ht="12.5">
      <c r="A227" s="1" t="str">
        <f ca="1">IFERROR(__xludf.DUMMYFUNCTION("""COMPUTED_VALUE"""),"20230511MDNOF")</f>
        <v>20230511MDNOF</v>
      </c>
      <c r="B227" s="1" t="str">
        <f ca="1">IFERROR(__xludf.DUMMYFUNCTION("""COMPUTED_VALUE"""),"Fatal")</f>
        <v>Fatal</v>
      </c>
      <c r="C227" s="1" t="str">
        <f ca="1">IFERROR(__xludf.DUMMYFUNCTION("""COMPUTED_VALUE"""),"Male")</f>
        <v>Male</v>
      </c>
      <c r="D227" s="1" t="str">
        <f ca="1">IFERROR(__xludf.DUMMYFUNCTION("""COMPUTED_VALUE"""),"No Relation")</f>
        <v>No Relation</v>
      </c>
      <c r="E227" s="1">
        <f ca="1">IFERROR(__xludf.DUMMYFUNCTION("""COMPUTED_VALUE"""),18)</f>
        <v>18</v>
      </c>
      <c r="F227" s="1"/>
    </row>
    <row r="228" spans="1:6" ht="12.5">
      <c r="A228" s="1" t="str">
        <f ca="1">IFERROR(__xludf.DUMMYFUNCTION("""COMPUTED_VALUE"""),"20230510NYPSQ")</f>
        <v>20230510NYPSQ</v>
      </c>
      <c r="B228" s="1" t="str">
        <f ca="1">IFERROR(__xludf.DUMMYFUNCTION("""COMPUTED_VALUE"""),"Wounded")</f>
        <v>Wounded</v>
      </c>
      <c r="C228" s="1" t="str">
        <f ca="1">IFERROR(__xludf.DUMMYFUNCTION("""COMPUTED_VALUE"""),"Female")</f>
        <v>Female</v>
      </c>
      <c r="D228" s="1" t="str">
        <f ca="1">IFERROR(__xludf.DUMMYFUNCTION("""COMPUTED_VALUE"""),"Nonstudent Using Athletic Facilities/Attending Game")</f>
        <v>Nonstudent Using Athletic Facilities/Attending Game</v>
      </c>
      <c r="E228" s="1">
        <f ca="1">IFERROR(__xludf.DUMMYFUNCTION("""COMPUTED_VALUE"""),16)</f>
        <v>16</v>
      </c>
      <c r="F228" s="1"/>
    </row>
    <row r="229" spans="1:6" ht="12.5">
      <c r="A229" s="1" t="str">
        <f ca="1">IFERROR(__xludf.DUMMYFUNCTION("""COMPUTED_VALUE"""),"20230509CACAO")</f>
        <v>20230509CACAO</v>
      </c>
      <c r="B229" s="1" t="str">
        <f ca="1">IFERROR(__xludf.DUMMYFUNCTION("""COMPUTED_VALUE"""),"Wounded")</f>
        <v>Wounded</v>
      </c>
      <c r="C229" s="1" t="str">
        <f ca="1">IFERROR(__xludf.DUMMYFUNCTION("""COMPUTED_VALUE"""),"Male")</f>
        <v>Male</v>
      </c>
      <c r="D229" s="1"/>
      <c r="E229" s="1" t="str">
        <f ca="1">IFERROR(__xludf.DUMMYFUNCTION("""COMPUTED_VALUE"""),"Teen")</f>
        <v>Teen</v>
      </c>
      <c r="F229" s="1"/>
    </row>
    <row r="230" spans="1:6" ht="12.5">
      <c r="A230" s="1" t="str">
        <f ca="1">IFERROR(__xludf.DUMMYFUNCTION("""COMPUTED_VALUE"""),"20230509CACAO")</f>
        <v>20230509CACAO</v>
      </c>
      <c r="B230" s="1" t="str">
        <f ca="1">IFERROR(__xludf.DUMMYFUNCTION("""COMPUTED_VALUE"""),"Wounded")</f>
        <v>Wounded</v>
      </c>
      <c r="C230" s="1" t="str">
        <f ca="1">IFERROR(__xludf.DUMMYFUNCTION("""COMPUTED_VALUE"""),"Female")</f>
        <v>Female</v>
      </c>
      <c r="D230" s="1"/>
      <c r="E230" s="1" t="str">
        <f ca="1">IFERROR(__xludf.DUMMYFUNCTION("""COMPUTED_VALUE"""),"Adult")</f>
        <v>Adult</v>
      </c>
      <c r="F230" s="1"/>
    </row>
    <row r="231" spans="1:6" ht="12.5">
      <c r="A231" s="1" t="str">
        <f ca="1">IFERROR(__xludf.DUMMYFUNCTION("""COMPUTED_VALUE"""),"20230508SCSUS")</f>
        <v>20230508SCSUS</v>
      </c>
      <c r="B231" s="1" t="str">
        <f ca="1">IFERROR(__xludf.DUMMYFUNCTION("""COMPUTED_VALUE"""),"None")</f>
        <v>None</v>
      </c>
      <c r="C231" s="1" t="str">
        <f ca="1">IFERROR(__xludf.DUMMYFUNCTION("""COMPUTED_VALUE"""),"Female")</f>
        <v>Female</v>
      </c>
      <c r="D231" s="1" t="str">
        <f ca="1">IFERROR(__xludf.DUMMYFUNCTION("""COMPUTED_VALUE"""),"Student")</f>
        <v>Student</v>
      </c>
      <c r="E231" s="1" t="str">
        <f ca="1">IFERROR(__xludf.DUMMYFUNCTION("""COMPUTED_VALUE"""),"Teen")</f>
        <v>Teen</v>
      </c>
      <c r="F231" s="1"/>
    </row>
    <row r="232" spans="1:6" ht="12.5">
      <c r="A232" s="1" t="str">
        <f ca="1">IFERROR(__xludf.DUMMYFUNCTION("""COMPUTED_VALUE"""),"20230508NVVOL")</f>
        <v>20230508NVVOL</v>
      </c>
      <c r="B232" s="1" t="str">
        <f ca="1">IFERROR(__xludf.DUMMYFUNCTION("""COMPUTED_VALUE"""),"Wounded")</f>
        <v>Wounded</v>
      </c>
      <c r="C232" s="1" t="str">
        <f ca="1">IFERROR(__xludf.DUMMYFUNCTION("""COMPUTED_VALUE"""),"Male")</f>
        <v>Male</v>
      </c>
      <c r="D232" s="1" t="str">
        <f ca="1">IFERROR(__xludf.DUMMYFUNCTION("""COMPUTED_VALUE"""),"Other Staff")</f>
        <v>Other Staff</v>
      </c>
      <c r="E232" s="1" t="str">
        <f ca="1">IFERROR(__xludf.DUMMYFUNCTION("""COMPUTED_VALUE"""),"Adult")</f>
        <v>Adult</v>
      </c>
      <c r="F232" s="1"/>
    </row>
    <row r="233" spans="1:6" ht="12.5">
      <c r="A233" s="1" t="str">
        <f ca="1">IFERROR(__xludf.DUMMYFUNCTION("""COMPUTED_VALUE"""),"20230506SCCOL")</f>
        <v>20230506SCCOL</v>
      </c>
      <c r="B233" s="1" t="str">
        <f ca="1">IFERROR(__xludf.DUMMYFUNCTION("""COMPUTED_VALUE"""),"Wounded")</f>
        <v>Wounded</v>
      </c>
      <c r="C233" s="1" t="str">
        <f ca="1">IFERROR(__xludf.DUMMYFUNCTION("""COMPUTED_VALUE"""),"Female")</f>
        <v>Female</v>
      </c>
      <c r="D233" s="1" t="str">
        <f ca="1">IFERROR(__xludf.DUMMYFUNCTION("""COMPUTED_VALUE"""),"Student")</f>
        <v>Student</v>
      </c>
      <c r="E233" s="1">
        <f ca="1">IFERROR(__xludf.DUMMYFUNCTION("""COMPUTED_VALUE"""),14)</f>
        <v>14</v>
      </c>
      <c r="F233" s="1"/>
    </row>
    <row r="234" spans="1:6" ht="12.5">
      <c r="A234" s="1" t="str">
        <f ca="1">IFERROR(__xludf.DUMMYFUNCTION("""COMPUTED_VALUE"""),"20230505INLIE")</f>
        <v>20230505INLIE</v>
      </c>
      <c r="B234" s="1" t="str">
        <f ca="1">IFERROR(__xludf.DUMMYFUNCTION("""COMPUTED_VALUE"""),"Wounded")</f>
        <v>Wounded</v>
      </c>
      <c r="C234" s="1" t="str">
        <f ca="1">IFERROR(__xludf.DUMMYFUNCTION("""COMPUTED_VALUE"""),"Male")</f>
        <v>Male</v>
      </c>
      <c r="D234" s="1" t="str">
        <f ca="1">IFERROR(__xludf.DUMMYFUNCTION("""COMPUTED_VALUE"""),"No Relation")</f>
        <v>No Relation</v>
      </c>
      <c r="E234" s="1" t="str">
        <f ca="1">IFERROR(__xludf.DUMMYFUNCTION("""COMPUTED_VALUE"""),"Adult")</f>
        <v>Adult</v>
      </c>
      <c r="F234" s="1"/>
    </row>
    <row r="235" spans="1:6" ht="12.5">
      <c r="A235" s="1" t="str">
        <f ca="1">IFERROR(__xludf.DUMMYFUNCTION("""COMPUTED_VALUE"""),"20230502AZRAM")</f>
        <v>20230502AZRAM</v>
      </c>
      <c r="B235" s="1" t="str">
        <f ca="1">IFERROR(__xludf.DUMMYFUNCTION("""COMPUTED_VALUE"""),"Wounded")</f>
        <v>Wounded</v>
      </c>
      <c r="C235" s="1" t="str">
        <f ca="1">IFERROR(__xludf.DUMMYFUNCTION("""COMPUTED_VALUE"""),"Male")</f>
        <v>Male</v>
      </c>
      <c r="D235" s="1" t="str">
        <f ca="1">IFERROR(__xludf.DUMMYFUNCTION("""COMPUTED_VALUE"""),"No Relation")</f>
        <v>No Relation</v>
      </c>
      <c r="E235" s="1" t="str">
        <f ca="1">IFERROR(__xludf.DUMMYFUNCTION("""COMPUTED_VALUE"""),"Adult")</f>
        <v>Adult</v>
      </c>
      <c r="F235" s="1"/>
    </row>
    <row r="236" spans="1:6" ht="12.5">
      <c r="A236" s="1" t="str">
        <f ca="1">IFERROR(__xludf.DUMMYFUNCTION("""COMPUTED_VALUE"""),"20230501MDPRS")</f>
        <v>20230501MDPRS</v>
      </c>
      <c r="B236" s="1" t="str">
        <f ca="1">IFERROR(__xludf.DUMMYFUNCTION("""COMPUTED_VALUE"""),"Non-gunshot Injury")</f>
        <v>Non-gunshot Injury</v>
      </c>
      <c r="C236" s="1" t="str">
        <f ca="1">IFERROR(__xludf.DUMMYFUNCTION("""COMPUTED_VALUE"""),"Male")</f>
        <v>Male</v>
      </c>
      <c r="D236" s="1" t="str">
        <f ca="1">IFERROR(__xludf.DUMMYFUNCTION("""COMPUTED_VALUE"""),"Student")</f>
        <v>Student</v>
      </c>
      <c r="E236" s="1">
        <f ca="1">IFERROR(__xludf.DUMMYFUNCTION("""COMPUTED_VALUE"""),14)</f>
        <v>14</v>
      </c>
      <c r="F236" s="1"/>
    </row>
    <row r="237" spans="1:6" ht="12.5">
      <c r="A237" s="1" t="str">
        <f ca="1">IFERROR(__xludf.DUMMYFUNCTION("""COMPUTED_VALUE"""),"20230501MIINF")</f>
        <v>20230501MIINF</v>
      </c>
      <c r="B237" s="1" t="str">
        <f ca="1">IFERROR(__xludf.DUMMYFUNCTION("""COMPUTED_VALUE"""),"Wounded")</f>
        <v>Wounded</v>
      </c>
      <c r="C237" s="1" t="str">
        <f ca="1">IFERROR(__xludf.DUMMYFUNCTION("""COMPUTED_VALUE"""),"Female")</f>
        <v>Female</v>
      </c>
      <c r="D237" s="1" t="str">
        <f ca="1">IFERROR(__xludf.DUMMYFUNCTION("""COMPUTED_VALUE"""),"Parent")</f>
        <v>Parent</v>
      </c>
      <c r="E237" s="1">
        <f ca="1">IFERROR(__xludf.DUMMYFUNCTION("""COMPUTED_VALUE"""),27)</f>
        <v>27</v>
      </c>
      <c r="F237" s="1"/>
    </row>
    <row r="238" spans="1:6" ht="12.5">
      <c r="A238" s="1" t="str">
        <f ca="1">IFERROR(__xludf.DUMMYFUNCTION("""COMPUTED_VALUE"""),"20230430KYPAP")</f>
        <v>20230430KYPAP</v>
      </c>
      <c r="B238" s="1" t="str">
        <f ca="1">IFERROR(__xludf.DUMMYFUNCTION("""COMPUTED_VALUE"""),"Wounded")</f>
        <v>Wounded</v>
      </c>
      <c r="C238" s="1" t="str">
        <f ca="1">IFERROR(__xludf.DUMMYFUNCTION("""COMPUTED_VALUE"""),"Male")</f>
        <v>Male</v>
      </c>
      <c r="D238" s="1" t="str">
        <f ca="1">IFERROR(__xludf.DUMMYFUNCTION("""COMPUTED_VALUE"""),"Nonstudent")</f>
        <v>Nonstudent</v>
      </c>
      <c r="E238" s="1">
        <f ca="1">IFERROR(__xludf.DUMMYFUNCTION("""COMPUTED_VALUE"""),20)</f>
        <v>20</v>
      </c>
      <c r="F238" s="1"/>
    </row>
    <row r="239" spans="1:6" ht="12.5">
      <c r="A239" s="1" t="str">
        <f ca="1">IFERROR(__xludf.DUMMYFUNCTION("""COMPUTED_VALUE"""),"20230430KYPAP")</f>
        <v>20230430KYPAP</v>
      </c>
      <c r="B239" s="1" t="str">
        <f ca="1">IFERROR(__xludf.DUMMYFUNCTION("""COMPUTED_VALUE"""),"Wounded")</f>
        <v>Wounded</v>
      </c>
      <c r="C239" s="1" t="str">
        <f ca="1">IFERROR(__xludf.DUMMYFUNCTION("""COMPUTED_VALUE"""),"Female")</f>
        <v>Female</v>
      </c>
      <c r="D239" s="1" t="str">
        <f ca="1">IFERROR(__xludf.DUMMYFUNCTION("""COMPUTED_VALUE"""),"Student")</f>
        <v>Student</v>
      </c>
      <c r="E239" s="1">
        <f ca="1">IFERROR(__xludf.DUMMYFUNCTION("""COMPUTED_VALUE"""),18)</f>
        <v>18</v>
      </c>
      <c r="F239" s="1"/>
    </row>
    <row r="240" spans="1:6" ht="12.5">
      <c r="A240" s="1" t="str">
        <f ca="1">IFERROR(__xludf.DUMMYFUNCTION("""COMPUTED_VALUE"""),"20230430KYPAP")</f>
        <v>20230430KYPAP</v>
      </c>
      <c r="B240" s="1" t="str">
        <f ca="1">IFERROR(__xludf.DUMMYFUNCTION("""COMPUTED_VALUE"""),"Wounded")</f>
        <v>Wounded</v>
      </c>
      <c r="C240" s="1" t="str">
        <f ca="1">IFERROR(__xludf.DUMMYFUNCTION("""COMPUTED_VALUE"""),"Female")</f>
        <v>Female</v>
      </c>
      <c r="D240" s="1" t="str">
        <f ca="1">IFERROR(__xludf.DUMMYFUNCTION("""COMPUTED_VALUE"""),"Student")</f>
        <v>Student</v>
      </c>
      <c r="E240" s="1">
        <f ca="1">IFERROR(__xludf.DUMMYFUNCTION("""COMPUTED_VALUE"""),14)</f>
        <v>14</v>
      </c>
      <c r="F240" s="1"/>
    </row>
    <row r="241" spans="1:6" ht="12.5">
      <c r="A241" s="1" t="str">
        <f ca="1">IFERROR(__xludf.DUMMYFUNCTION("""COMPUTED_VALUE"""),"20230430KYPAP")</f>
        <v>20230430KYPAP</v>
      </c>
      <c r="B241" s="1" t="str">
        <f ca="1">IFERROR(__xludf.DUMMYFUNCTION("""COMPUTED_VALUE"""),"Wounded")</f>
        <v>Wounded</v>
      </c>
      <c r="C241" s="1" t="str">
        <f ca="1">IFERROR(__xludf.DUMMYFUNCTION("""COMPUTED_VALUE"""),"Male")</f>
        <v>Male</v>
      </c>
      <c r="D241" s="1" t="str">
        <f ca="1">IFERROR(__xludf.DUMMYFUNCTION("""COMPUTED_VALUE"""),"Student")</f>
        <v>Student</v>
      </c>
      <c r="E241" s="1">
        <f ca="1">IFERROR(__xludf.DUMMYFUNCTION("""COMPUTED_VALUE"""),17)</f>
        <v>17</v>
      </c>
      <c r="F241" s="1"/>
    </row>
    <row r="242" spans="1:6" ht="12.5">
      <c r="A242" s="1" t="str">
        <f ca="1">IFERROR(__xludf.DUMMYFUNCTION("""COMPUTED_VALUE"""),"20230428TNWEK")</f>
        <v>20230428TNWEK</v>
      </c>
      <c r="B242" s="1" t="str">
        <f ca="1">IFERROR(__xludf.DUMMYFUNCTION("""COMPUTED_VALUE"""),"Wounded")</f>
        <v>Wounded</v>
      </c>
      <c r="C242" s="1"/>
      <c r="D242" s="1" t="str">
        <f ca="1">IFERROR(__xludf.DUMMYFUNCTION("""COMPUTED_VALUE"""),"Teacher")</f>
        <v>Teacher</v>
      </c>
      <c r="E242" s="1" t="str">
        <f ca="1">IFERROR(__xludf.DUMMYFUNCTION("""COMPUTED_VALUE"""),"Adult")</f>
        <v>Adult</v>
      </c>
      <c r="F242" s="1"/>
    </row>
    <row r="243" spans="1:6" ht="12.5">
      <c r="A243" s="1" t="str">
        <f ca="1">IFERROR(__xludf.DUMMYFUNCTION("""COMPUTED_VALUE"""),"20230427VAGER")</f>
        <v>20230427VAGER</v>
      </c>
      <c r="B243" s="1" t="str">
        <f ca="1">IFERROR(__xludf.DUMMYFUNCTION("""COMPUTED_VALUE"""),"Wounded")</f>
        <v>Wounded</v>
      </c>
      <c r="C243" s="1" t="str">
        <f ca="1">IFERROR(__xludf.DUMMYFUNCTION("""COMPUTED_VALUE"""),"Male")</f>
        <v>Male</v>
      </c>
      <c r="D243" s="1" t="str">
        <f ca="1">IFERROR(__xludf.DUMMYFUNCTION("""COMPUTED_VALUE"""),"Student")</f>
        <v>Student</v>
      </c>
      <c r="E243" s="1" t="str">
        <f ca="1">IFERROR(__xludf.DUMMYFUNCTION("""COMPUTED_VALUE"""),"Teen")</f>
        <v>Teen</v>
      </c>
      <c r="F243" s="1"/>
    </row>
    <row r="244" spans="1:6" ht="12.5">
      <c r="A244" s="1" t="str">
        <f ca="1">IFERROR(__xludf.DUMMYFUNCTION("""COMPUTED_VALUE"""),"20230427VAGER")</f>
        <v>20230427VAGER</v>
      </c>
      <c r="B244" s="1" t="str">
        <f ca="1">IFERROR(__xludf.DUMMYFUNCTION("""COMPUTED_VALUE"""),"Wounded")</f>
        <v>Wounded</v>
      </c>
      <c r="C244" s="1" t="str">
        <f ca="1">IFERROR(__xludf.DUMMYFUNCTION("""COMPUTED_VALUE"""),"Male")</f>
        <v>Male</v>
      </c>
      <c r="D244" s="1" t="str">
        <f ca="1">IFERROR(__xludf.DUMMYFUNCTION("""COMPUTED_VALUE"""),"Student")</f>
        <v>Student</v>
      </c>
      <c r="E244" s="1" t="str">
        <f ca="1">IFERROR(__xludf.DUMMYFUNCTION("""COMPUTED_VALUE"""),"Teen")</f>
        <v>Teen</v>
      </c>
      <c r="F244" s="1"/>
    </row>
    <row r="245" spans="1:6" ht="12.5">
      <c r="A245" s="1" t="str">
        <f ca="1">IFERROR(__xludf.DUMMYFUNCTION("""COMPUTED_VALUE"""),"20230425CAKIL")</f>
        <v>20230425CAKIL</v>
      </c>
      <c r="B245" s="1" t="str">
        <f ca="1">IFERROR(__xludf.DUMMYFUNCTION("""COMPUTED_VALUE"""),"Fatal")</f>
        <v>Fatal</v>
      </c>
      <c r="C245" s="1" t="str">
        <f ca="1">IFERROR(__xludf.DUMMYFUNCTION("""COMPUTED_VALUE"""),"Male")</f>
        <v>Male</v>
      </c>
      <c r="D245" s="1" t="str">
        <f ca="1">IFERROR(__xludf.DUMMYFUNCTION("""COMPUTED_VALUE"""),"No Relation")</f>
        <v>No Relation</v>
      </c>
      <c r="E245" s="1" t="str">
        <f ca="1">IFERROR(__xludf.DUMMYFUNCTION("""COMPUTED_VALUE"""),"Adult")</f>
        <v>Adult</v>
      </c>
      <c r="F245" s="1"/>
    </row>
    <row r="246" spans="1:6" ht="12.5">
      <c r="A246" s="1" t="str">
        <f ca="1">IFERROR(__xludf.DUMMYFUNCTION("""COMPUTED_VALUE"""),"20230418TXRIH")</f>
        <v>20230418TXRIH</v>
      </c>
      <c r="B246" s="1" t="str">
        <f ca="1">IFERROR(__xludf.DUMMYFUNCTION("""COMPUTED_VALUE"""),"Fatal")</f>
        <v>Fatal</v>
      </c>
      <c r="C246" s="1" t="str">
        <f ca="1">IFERROR(__xludf.DUMMYFUNCTION("""COMPUTED_VALUE"""),"Male")</f>
        <v>Male</v>
      </c>
      <c r="D246" s="1" t="str">
        <f ca="1">IFERROR(__xludf.DUMMYFUNCTION("""COMPUTED_VALUE"""),"No Relation")</f>
        <v>No Relation</v>
      </c>
      <c r="E246" s="1" t="str">
        <f ca="1">IFERROR(__xludf.DUMMYFUNCTION("""COMPUTED_VALUE"""),"Adult")</f>
        <v>Adult</v>
      </c>
      <c r="F246" s="1"/>
    </row>
    <row r="247" spans="1:6" ht="12.5">
      <c r="A247" s="1" t="str">
        <f ca="1">IFERROR(__xludf.DUMMYFUNCTION("""COMPUTED_VALUE"""),"20230418TXRIH")</f>
        <v>20230418TXRIH</v>
      </c>
      <c r="B247" s="1" t="str">
        <f ca="1">IFERROR(__xludf.DUMMYFUNCTION("""COMPUTED_VALUE"""),"Wounded")</f>
        <v>Wounded</v>
      </c>
      <c r="C247" s="1" t="str">
        <f ca="1">IFERROR(__xludf.DUMMYFUNCTION("""COMPUTED_VALUE"""),"Female")</f>
        <v>Female</v>
      </c>
      <c r="D247" s="1" t="str">
        <f ca="1">IFERROR(__xludf.DUMMYFUNCTION("""COMPUTED_VALUE"""),"No Relation")</f>
        <v>No Relation</v>
      </c>
      <c r="E247" s="1" t="str">
        <f ca="1">IFERROR(__xludf.DUMMYFUNCTION("""COMPUTED_VALUE"""),"Adult")</f>
        <v>Adult</v>
      </c>
      <c r="F247" s="1"/>
    </row>
    <row r="248" spans="1:6" ht="12.5">
      <c r="A248" s="1" t="str">
        <f ca="1">IFERROR(__xludf.DUMMYFUNCTION("""COMPUTED_VALUE"""),"20230414AZDEP")</f>
        <v>20230414AZDEP</v>
      </c>
      <c r="B248" s="1" t="str">
        <f ca="1">IFERROR(__xludf.DUMMYFUNCTION("""COMPUTED_VALUE"""),"Fatal")</f>
        <v>Fatal</v>
      </c>
      <c r="C248" s="1" t="str">
        <f ca="1">IFERROR(__xludf.DUMMYFUNCTION("""COMPUTED_VALUE"""),"Male")</f>
        <v>Male</v>
      </c>
      <c r="D248" s="1" t="str">
        <f ca="1">IFERROR(__xludf.DUMMYFUNCTION("""COMPUTED_VALUE"""),"No Relation")</f>
        <v>No Relation</v>
      </c>
      <c r="E248" s="1" t="str">
        <f ca="1">IFERROR(__xludf.DUMMYFUNCTION("""COMPUTED_VALUE"""),"Adult")</f>
        <v>Adult</v>
      </c>
      <c r="F248" s="1"/>
    </row>
    <row r="249" spans="1:6" ht="12.5">
      <c r="A249" s="1" t="str">
        <f ca="1">IFERROR(__xludf.DUMMYFUNCTION("""COMPUTED_VALUE"""),"20230412TXLOH")</f>
        <v>20230412TXLOH</v>
      </c>
      <c r="B249" s="1" t="str">
        <f ca="1">IFERROR(__xludf.DUMMYFUNCTION("""COMPUTED_VALUE"""),"Wounded")</f>
        <v>Wounded</v>
      </c>
      <c r="C249" s="1" t="str">
        <f ca="1">IFERROR(__xludf.DUMMYFUNCTION("""COMPUTED_VALUE"""),"Male")</f>
        <v>Male</v>
      </c>
      <c r="D249" s="1" t="str">
        <f ca="1">IFERROR(__xludf.DUMMYFUNCTION("""COMPUTED_VALUE"""),"Student")</f>
        <v>Student</v>
      </c>
      <c r="E249" s="1">
        <f ca="1">IFERROR(__xludf.DUMMYFUNCTION("""COMPUTED_VALUE"""),14)</f>
        <v>14</v>
      </c>
      <c r="F249" s="1"/>
    </row>
    <row r="250" spans="1:6" ht="12.5">
      <c r="A250" s="1" t="str">
        <f ca="1">IFERROR(__xludf.DUMMYFUNCTION("""COMPUTED_VALUE"""),"20230412CACES")</f>
        <v>20230412CACES</v>
      </c>
      <c r="B250" s="1" t="str">
        <f ca="1">IFERROR(__xludf.DUMMYFUNCTION("""COMPUTED_VALUE"""),"Fatal")</f>
        <v>Fatal</v>
      </c>
      <c r="C250" s="1" t="str">
        <f ca="1">IFERROR(__xludf.DUMMYFUNCTION("""COMPUTED_VALUE"""),"Male")</f>
        <v>Male</v>
      </c>
      <c r="D250" s="1" t="str">
        <f ca="1">IFERROR(__xludf.DUMMYFUNCTION("""COMPUTED_VALUE"""),"Student")</f>
        <v>Student</v>
      </c>
      <c r="E250" s="1">
        <f ca="1">IFERROR(__xludf.DUMMYFUNCTION("""COMPUTED_VALUE"""),17)</f>
        <v>17</v>
      </c>
      <c r="F250" s="1"/>
    </row>
    <row r="251" spans="1:6" ht="12.5">
      <c r="A251" s="1" t="str">
        <f ca="1">IFERROR(__xludf.DUMMYFUNCTION("""COMPUTED_VALUE"""),"20230412CACES")</f>
        <v>20230412CACES</v>
      </c>
      <c r="B251" s="1" t="str">
        <f ca="1">IFERROR(__xludf.DUMMYFUNCTION("""COMPUTED_VALUE"""),"Non-gunshot Injury")</f>
        <v>Non-gunshot Injury</v>
      </c>
      <c r="C251" s="1" t="str">
        <f ca="1">IFERROR(__xludf.DUMMYFUNCTION("""COMPUTED_VALUE"""),"Male")</f>
        <v>Male</v>
      </c>
      <c r="D251" s="1" t="str">
        <f ca="1">IFERROR(__xludf.DUMMYFUNCTION("""COMPUTED_VALUE"""),"Student")</f>
        <v>Student</v>
      </c>
      <c r="E251" s="1">
        <f ca="1">IFERROR(__xludf.DUMMYFUNCTION("""COMPUTED_VALUE"""),16)</f>
        <v>16</v>
      </c>
      <c r="F251" s="1"/>
    </row>
    <row r="252" spans="1:6" ht="12.5">
      <c r="A252" s="1" t="str">
        <f ca="1">IFERROR(__xludf.DUMMYFUNCTION("""COMPUTED_VALUE"""),"20230407WACHS")</f>
        <v>20230407WACHS</v>
      </c>
      <c r="B252" s="1" t="str">
        <f ca="1">IFERROR(__xludf.DUMMYFUNCTION("""COMPUTED_VALUE"""),"Fatal")</f>
        <v>Fatal</v>
      </c>
      <c r="C252" s="1" t="str">
        <f ca="1">IFERROR(__xludf.DUMMYFUNCTION("""COMPUTED_VALUE"""),"Male")</f>
        <v>Male</v>
      </c>
      <c r="D252" s="1" t="str">
        <f ca="1">IFERROR(__xludf.DUMMYFUNCTION("""COMPUTED_VALUE"""),"No Relation")</f>
        <v>No Relation</v>
      </c>
      <c r="E252" s="1" t="str">
        <f ca="1">IFERROR(__xludf.DUMMYFUNCTION("""COMPUTED_VALUE"""),"Adult")</f>
        <v>Adult</v>
      </c>
      <c r="F252" s="1"/>
    </row>
    <row r="253" spans="1:6" ht="12.5">
      <c r="A253" s="1" t="str">
        <f ca="1">IFERROR(__xludf.DUMMYFUNCTION("""COMPUTED_VALUE"""),"20230406NCSOW")</f>
        <v>20230406NCSOW</v>
      </c>
      <c r="B253" s="1" t="str">
        <f ca="1">IFERROR(__xludf.DUMMYFUNCTION("""COMPUTED_VALUE"""),"Wounded")</f>
        <v>Wounded</v>
      </c>
      <c r="C253" s="1" t="str">
        <f ca="1">IFERROR(__xludf.DUMMYFUNCTION("""COMPUTED_VALUE"""),"Male")</f>
        <v>Male</v>
      </c>
      <c r="D253" s="1" t="str">
        <f ca="1">IFERROR(__xludf.DUMMYFUNCTION("""COMPUTED_VALUE"""),"Student")</f>
        <v>Student</v>
      </c>
      <c r="E253" s="1">
        <f ca="1">IFERROR(__xludf.DUMMYFUNCTION("""COMPUTED_VALUE"""),16)</f>
        <v>16</v>
      </c>
      <c r="F253" s="1"/>
    </row>
    <row r="254" spans="1:6" ht="12.5">
      <c r="A254" s="1" t="str">
        <f ca="1">IFERROR(__xludf.DUMMYFUNCTION("""COMPUTED_VALUE"""),"20230405SCHOG")</f>
        <v>20230405SCHOG</v>
      </c>
      <c r="B254" s="1" t="str">
        <f ca="1">IFERROR(__xludf.DUMMYFUNCTION("""COMPUTED_VALUE"""),"None")</f>
        <v>None</v>
      </c>
      <c r="C254" s="1" t="str">
        <f ca="1">IFERROR(__xludf.DUMMYFUNCTION("""COMPUTED_VALUE"""),"Male")</f>
        <v>Male</v>
      </c>
      <c r="D254" s="1" t="str">
        <f ca="1">IFERROR(__xludf.DUMMYFUNCTION("""COMPUTED_VALUE"""),"Nonstudent Using Athletic Facilities/Attending Game")</f>
        <v>Nonstudent Using Athletic Facilities/Attending Game</v>
      </c>
      <c r="E254" s="1" t="str">
        <f ca="1">IFERROR(__xludf.DUMMYFUNCTION("""COMPUTED_VALUE"""),"Teen")</f>
        <v>Teen</v>
      </c>
      <c r="F254" s="1"/>
    </row>
    <row r="255" spans="1:6" ht="12.5">
      <c r="A255" s="1" t="str">
        <f ca="1">IFERROR(__xludf.DUMMYFUNCTION("""COMPUTED_VALUE"""),"20230404OHWOC")</f>
        <v>20230404OHWOC</v>
      </c>
      <c r="B255" s="1" t="str">
        <f ca="1">IFERROR(__xludf.DUMMYFUNCTION("""COMPUTED_VALUE"""),"Wounded")</f>
        <v>Wounded</v>
      </c>
      <c r="C255" s="1" t="str">
        <f ca="1">IFERROR(__xludf.DUMMYFUNCTION("""COMPUTED_VALUE"""),"Male")</f>
        <v>Male</v>
      </c>
      <c r="D255" s="1" t="str">
        <f ca="1">IFERROR(__xludf.DUMMYFUNCTION("""COMPUTED_VALUE"""),"Student")</f>
        <v>Student</v>
      </c>
      <c r="E255" s="1">
        <f ca="1">IFERROR(__xludf.DUMMYFUNCTION("""COMPUTED_VALUE"""),17)</f>
        <v>17</v>
      </c>
      <c r="F255" s="1"/>
    </row>
    <row r="256" spans="1:6" ht="12.5">
      <c r="A256" s="1" t="str">
        <f ca="1">IFERROR(__xludf.DUMMYFUNCTION("""COMPUTED_VALUE"""),"20230404OHWOC")</f>
        <v>20230404OHWOC</v>
      </c>
      <c r="B256" s="1" t="str">
        <f ca="1">IFERROR(__xludf.DUMMYFUNCTION("""COMPUTED_VALUE"""),"Wounded")</f>
        <v>Wounded</v>
      </c>
      <c r="C256" s="1" t="str">
        <f ca="1">IFERROR(__xludf.DUMMYFUNCTION("""COMPUTED_VALUE"""),"Male")</f>
        <v>Male</v>
      </c>
      <c r="D256" s="1" t="str">
        <f ca="1">IFERROR(__xludf.DUMMYFUNCTION("""COMPUTED_VALUE"""),"Student")</f>
        <v>Student</v>
      </c>
      <c r="E256" s="1" t="str">
        <f ca="1">IFERROR(__xludf.DUMMYFUNCTION("""COMPUTED_VALUE"""),"Teen")</f>
        <v>Teen</v>
      </c>
      <c r="F256" s="1"/>
    </row>
    <row r="257" spans="1:6" ht="12.5">
      <c r="A257" s="1" t="str">
        <f ca="1">IFERROR(__xludf.DUMMYFUNCTION("""COMPUTED_VALUE"""),"20230403PAFAP")</f>
        <v>20230403PAFAP</v>
      </c>
      <c r="B257" s="1" t="str">
        <f ca="1">IFERROR(__xludf.DUMMYFUNCTION("""COMPUTED_VALUE"""),"Wounded")</f>
        <v>Wounded</v>
      </c>
      <c r="C257" s="1" t="str">
        <f ca="1">IFERROR(__xludf.DUMMYFUNCTION("""COMPUTED_VALUE"""),"Male")</f>
        <v>Male</v>
      </c>
      <c r="D257" s="1" t="str">
        <f ca="1">IFERROR(__xludf.DUMMYFUNCTION("""COMPUTED_VALUE"""),"Nonstudent")</f>
        <v>Nonstudent</v>
      </c>
      <c r="E257" s="1">
        <f ca="1">IFERROR(__xludf.DUMMYFUNCTION("""COMPUTED_VALUE"""),16)</f>
        <v>16</v>
      </c>
      <c r="F257" s="1"/>
    </row>
    <row r="258" spans="1:6" ht="12.5">
      <c r="A258" s="1" t="str">
        <f ca="1">IFERROR(__xludf.DUMMYFUNCTION("""COMPUTED_VALUE"""),"20230403PAFAP")</f>
        <v>20230403PAFAP</v>
      </c>
      <c r="B258" s="1" t="str">
        <f ca="1">IFERROR(__xludf.DUMMYFUNCTION("""COMPUTED_VALUE"""),"Wounded")</f>
        <v>Wounded</v>
      </c>
      <c r="C258" s="1" t="str">
        <f ca="1">IFERROR(__xludf.DUMMYFUNCTION("""COMPUTED_VALUE"""),"Male")</f>
        <v>Male</v>
      </c>
      <c r="D258" s="1" t="str">
        <f ca="1">IFERROR(__xludf.DUMMYFUNCTION("""COMPUTED_VALUE"""),"Nonstudent")</f>
        <v>Nonstudent</v>
      </c>
      <c r="E258" s="1">
        <f ca="1">IFERROR(__xludf.DUMMYFUNCTION("""COMPUTED_VALUE"""),17)</f>
        <v>17</v>
      </c>
      <c r="F258" s="1"/>
    </row>
    <row r="259" spans="1:6" ht="12.5">
      <c r="A259" s="1" t="str">
        <f ca="1">IFERROR(__xludf.DUMMYFUNCTION("""COMPUTED_VALUE"""),"20230331MSGNJ")</f>
        <v>20230331MSGNJ</v>
      </c>
      <c r="B259" s="1" t="str">
        <f ca="1">IFERROR(__xludf.DUMMYFUNCTION("""COMPUTED_VALUE"""),"Wounded")</f>
        <v>Wounded</v>
      </c>
      <c r="C259" s="1"/>
      <c r="D259" s="1"/>
      <c r="E259" s="1" t="str">
        <f ca="1">IFERROR(__xludf.DUMMYFUNCTION("""COMPUTED_VALUE"""),"Adult")</f>
        <v>Adult</v>
      </c>
      <c r="F259" s="1"/>
    </row>
    <row r="260" spans="1:6" ht="12.5">
      <c r="A260" s="1" t="str">
        <f ca="1">IFERROR(__xludf.DUMMYFUNCTION("""COMPUTED_VALUE"""),"20230331MSGNJ")</f>
        <v>20230331MSGNJ</v>
      </c>
      <c r="B260" s="1" t="str">
        <f ca="1">IFERROR(__xludf.DUMMYFUNCTION("""COMPUTED_VALUE"""),"Wounded")</f>
        <v>Wounded</v>
      </c>
      <c r="C260" s="1"/>
      <c r="D260" s="1"/>
      <c r="E260" s="1" t="str">
        <f ca="1">IFERROR(__xludf.DUMMYFUNCTION("""COMPUTED_VALUE"""),"Adult")</f>
        <v>Adult</v>
      </c>
      <c r="F260" s="1"/>
    </row>
    <row r="261" spans="1:6" ht="12.5">
      <c r="A261" s="1" t="str">
        <f ca="1">IFERROR(__xludf.DUMMYFUNCTION("""COMPUTED_VALUE"""),"20230331CAWOC")</f>
        <v>20230331CAWOC</v>
      </c>
      <c r="B261" s="1" t="str">
        <f ca="1">IFERROR(__xludf.DUMMYFUNCTION("""COMPUTED_VALUE"""),"Wounded")</f>
        <v>Wounded</v>
      </c>
      <c r="C261" s="1"/>
      <c r="D261" s="1"/>
      <c r="E261" s="1" t="str">
        <f ca="1">IFERROR(__xludf.DUMMYFUNCTION("""COMPUTED_VALUE"""),"Child")</f>
        <v>Child</v>
      </c>
      <c r="F261" s="1"/>
    </row>
    <row r="262" spans="1:6" ht="12.5">
      <c r="A262" s="1" t="str">
        <f ca="1">IFERROR(__xludf.DUMMYFUNCTION("""COMPUTED_VALUE"""),"20230331DCCAD")</f>
        <v>20230331DCCAD</v>
      </c>
      <c r="B262" s="1" t="str">
        <f ca="1">IFERROR(__xludf.DUMMYFUNCTION("""COMPUTED_VALUE"""),"Wounded")</f>
        <v>Wounded</v>
      </c>
      <c r="C262" s="1" t="str">
        <f ca="1">IFERROR(__xludf.DUMMYFUNCTION("""COMPUTED_VALUE"""),"Male")</f>
        <v>Male</v>
      </c>
      <c r="D262" s="1" t="str">
        <f ca="1">IFERROR(__xludf.DUMMYFUNCTION("""COMPUTED_VALUE"""),"Student")</f>
        <v>Student</v>
      </c>
      <c r="E262" s="1" t="str">
        <f ca="1">IFERROR(__xludf.DUMMYFUNCTION("""COMPUTED_VALUE"""),"Teen")</f>
        <v>Teen</v>
      </c>
      <c r="F262" s="1"/>
    </row>
    <row r="263" spans="1:6" ht="12.5">
      <c r="A263" s="1" t="str">
        <f ca="1">IFERROR(__xludf.DUMMYFUNCTION("""COMPUTED_VALUE"""),"20230327TNCON")</f>
        <v>20230327TNCON</v>
      </c>
      <c r="B263" s="1" t="str">
        <f ca="1">IFERROR(__xludf.DUMMYFUNCTION("""COMPUTED_VALUE"""),"Fatal")</f>
        <v>Fatal</v>
      </c>
      <c r="C263" s="1" t="str">
        <f ca="1">IFERROR(__xludf.DUMMYFUNCTION("""COMPUTED_VALUE"""),"Female")</f>
        <v>Female</v>
      </c>
      <c r="D263" s="1" t="str">
        <f ca="1">IFERROR(__xludf.DUMMYFUNCTION("""COMPUTED_VALUE"""),"Student")</f>
        <v>Student</v>
      </c>
      <c r="E263" s="1">
        <f ca="1">IFERROR(__xludf.DUMMYFUNCTION("""COMPUTED_VALUE"""),9)</f>
        <v>9</v>
      </c>
      <c r="F263" s="1"/>
    </row>
    <row r="264" spans="1:6" ht="12.5">
      <c r="A264" s="1" t="str">
        <f ca="1">IFERROR(__xludf.DUMMYFUNCTION("""COMPUTED_VALUE"""),"20230327TNCON")</f>
        <v>20230327TNCON</v>
      </c>
      <c r="B264" s="1" t="str">
        <f ca="1">IFERROR(__xludf.DUMMYFUNCTION("""COMPUTED_VALUE"""),"Fatal")</f>
        <v>Fatal</v>
      </c>
      <c r="C264" s="1" t="str">
        <f ca="1">IFERROR(__xludf.DUMMYFUNCTION("""COMPUTED_VALUE"""),"Male")</f>
        <v>Male</v>
      </c>
      <c r="D264" s="1" t="str">
        <f ca="1">IFERROR(__xludf.DUMMYFUNCTION("""COMPUTED_VALUE"""),"Student")</f>
        <v>Student</v>
      </c>
      <c r="E264" s="1">
        <f ca="1">IFERROR(__xludf.DUMMYFUNCTION("""COMPUTED_VALUE"""),9)</f>
        <v>9</v>
      </c>
      <c r="F264" s="1"/>
    </row>
    <row r="265" spans="1:6" ht="12.5">
      <c r="A265" s="1" t="str">
        <f ca="1">IFERROR(__xludf.DUMMYFUNCTION("""COMPUTED_VALUE"""),"20230327TNCON")</f>
        <v>20230327TNCON</v>
      </c>
      <c r="B265" s="1" t="str">
        <f ca="1">IFERROR(__xludf.DUMMYFUNCTION("""COMPUTED_VALUE"""),"Fatal")</f>
        <v>Fatal</v>
      </c>
      <c r="C265" s="1" t="str">
        <f ca="1">IFERROR(__xludf.DUMMYFUNCTION("""COMPUTED_VALUE"""),"Female")</f>
        <v>Female</v>
      </c>
      <c r="D265" s="1" t="str">
        <f ca="1">IFERROR(__xludf.DUMMYFUNCTION("""COMPUTED_VALUE"""),"Student")</f>
        <v>Student</v>
      </c>
      <c r="E265" s="1">
        <f ca="1">IFERROR(__xludf.DUMMYFUNCTION("""COMPUTED_VALUE"""),9)</f>
        <v>9</v>
      </c>
      <c r="F265" s="1"/>
    </row>
    <row r="266" spans="1:6" ht="12.5">
      <c r="A266" s="1" t="str">
        <f ca="1">IFERROR(__xludf.DUMMYFUNCTION("""COMPUTED_VALUE"""),"20230327TNCON")</f>
        <v>20230327TNCON</v>
      </c>
      <c r="B266" s="1" t="str">
        <f ca="1">IFERROR(__xludf.DUMMYFUNCTION("""COMPUTED_VALUE"""),"Fatal")</f>
        <v>Fatal</v>
      </c>
      <c r="C266" s="1" t="str">
        <f ca="1">IFERROR(__xludf.DUMMYFUNCTION("""COMPUTED_VALUE"""),"Male")</f>
        <v>Male</v>
      </c>
      <c r="D266" s="1" t="str">
        <f ca="1">IFERROR(__xludf.DUMMYFUNCTION("""COMPUTED_VALUE"""),"Teacher")</f>
        <v>Teacher</v>
      </c>
      <c r="E266" s="1">
        <f ca="1">IFERROR(__xludf.DUMMYFUNCTION("""COMPUTED_VALUE"""),61)</f>
        <v>61</v>
      </c>
      <c r="F266" s="1"/>
    </row>
    <row r="267" spans="1:6" ht="12.5">
      <c r="A267" s="1" t="str">
        <f ca="1">IFERROR(__xludf.DUMMYFUNCTION("""COMPUTED_VALUE"""),"20230327TNCON")</f>
        <v>20230327TNCON</v>
      </c>
      <c r="B267" s="1" t="str">
        <f ca="1">IFERROR(__xludf.DUMMYFUNCTION("""COMPUTED_VALUE"""),"Fatal")</f>
        <v>Fatal</v>
      </c>
      <c r="C267" s="1" t="str">
        <f ca="1">IFERROR(__xludf.DUMMYFUNCTION("""COMPUTED_VALUE"""),"Female")</f>
        <v>Female</v>
      </c>
      <c r="D267" s="1" t="str">
        <f ca="1">IFERROR(__xludf.DUMMYFUNCTION("""COMPUTED_VALUE"""),"Teacher")</f>
        <v>Teacher</v>
      </c>
      <c r="E267" s="1">
        <f ca="1">IFERROR(__xludf.DUMMYFUNCTION("""COMPUTED_VALUE"""),61)</f>
        <v>61</v>
      </c>
      <c r="F267" s="1"/>
    </row>
    <row r="268" spans="1:6" ht="12.5">
      <c r="A268" s="1" t="str">
        <f ca="1">IFERROR(__xludf.DUMMYFUNCTION("""COMPUTED_VALUE"""),"20230327TNCON")</f>
        <v>20230327TNCON</v>
      </c>
      <c r="B268" s="1" t="str">
        <f ca="1">IFERROR(__xludf.DUMMYFUNCTION("""COMPUTED_VALUE"""),"Fatal")</f>
        <v>Fatal</v>
      </c>
      <c r="C268" s="1" t="str">
        <f ca="1">IFERROR(__xludf.DUMMYFUNCTION("""COMPUTED_VALUE"""),"Female")</f>
        <v>Female</v>
      </c>
      <c r="D268" s="1" t="str">
        <f ca="1">IFERROR(__xludf.DUMMYFUNCTION("""COMPUTED_VALUE"""),"Other Staff")</f>
        <v>Other Staff</v>
      </c>
      <c r="E268" s="1">
        <f ca="1">IFERROR(__xludf.DUMMYFUNCTION("""COMPUTED_VALUE"""),60)</f>
        <v>60</v>
      </c>
      <c r="F268" s="1"/>
    </row>
    <row r="269" spans="1:6" ht="12.5">
      <c r="A269" s="1" t="str">
        <f ca="1">IFERROR(__xludf.DUMMYFUNCTION("""COMPUTED_VALUE"""),"20230327TNCON")</f>
        <v>20230327TNCON</v>
      </c>
      <c r="B269" s="1" t="str">
        <f ca="1">IFERROR(__xludf.DUMMYFUNCTION("""COMPUTED_VALUE"""),"Wounded")</f>
        <v>Wounded</v>
      </c>
      <c r="C269" s="1"/>
      <c r="D269" s="1" t="str">
        <f ca="1">IFERROR(__xludf.DUMMYFUNCTION("""COMPUTED_VALUE"""),"Police Officer/SRO")</f>
        <v>Police Officer/SRO</v>
      </c>
      <c r="E269" s="1" t="str">
        <f ca="1">IFERROR(__xludf.DUMMYFUNCTION("""COMPUTED_VALUE"""),"Adult")</f>
        <v>Adult</v>
      </c>
      <c r="F269" s="1"/>
    </row>
    <row r="270" spans="1:6" ht="12.5">
      <c r="A270" s="1" t="str">
        <f ca="1">IFERROR(__xludf.DUMMYFUNCTION("""COMPUTED_VALUE"""),"20230322ALANA")</f>
        <v>20230322ALANA</v>
      </c>
      <c r="B270" s="1" t="str">
        <f ca="1">IFERROR(__xludf.DUMMYFUNCTION("""COMPUTED_VALUE"""),"Wounded")</f>
        <v>Wounded</v>
      </c>
      <c r="C270" s="1" t="str">
        <f ca="1">IFERROR(__xludf.DUMMYFUNCTION("""COMPUTED_VALUE"""),"Male")</f>
        <v>Male</v>
      </c>
      <c r="D270" s="1" t="str">
        <f ca="1">IFERROR(__xludf.DUMMYFUNCTION("""COMPUTED_VALUE"""),"Student")</f>
        <v>Student</v>
      </c>
      <c r="E270" s="1">
        <f ca="1">IFERROR(__xludf.DUMMYFUNCTION("""COMPUTED_VALUE"""),18)</f>
        <v>18</v>
      </c>
      <c r="F270" s="1"/>
    </row>
    <row r="271" spans="1:6" ht="12.5">
      <c r="A271" s="1" t="str">
        <f ca="1">IFERROR(__xludf.DUMMYFUNCTION("""COMPUTED_VALUE"""),"20230322COEAD")</f>
        <v>20230322COEAD</v>
      </c>
      <c r="B271" s="1" t="str">
        <f ca="1">IFERROR(__xludf.DUMMYFUNCTION("""COMPUTED_VALUE"""),"Wounded")</f>
        <v>Wounded</v>
      </c>
      <c r="C271" s="1" t="str">
        <f ca="1">IFERROR(__xludf.DUMMYFUNCTION("""COMPUTED_VALUE"""),"Male")</f>
        <v>Male</v>
      </c>
      <c r="D271" s="1" t="str">
        <f ca="1">IFERROR(__xludf.DUMMYFUNCTION("""COMPUTED_VALUE"""),"Other Staff")</f>
        <v>Other Staff</v>
      </c>
      <c r="E271" s="1" t="str">
        <f ca="1">IFERROR(__xludf.DUMMYFUNCTION("""COMPUTED_VALUE"""),"Adult")</f>
        <v>Adult</v>
      </c>
      <c r="F271" s="1"/>
    </row>
    <row r="272" spans="1:6" ht="12.5">
      <c r="A272" s="1" t="str">
        <f ca="1">IFERROR(__xludf.DUMMYFUNCTION("""COMPUTED_VALUE"""),"20230322COEAD")</f>
        <v>20230322COEAD</v>
      </c>
      <c r="B272" s="1" t="str">
        <f ca="1">IFERROR(__xludf.DUMMYFUNCTION("""COMPUTED_VALUE"""),"Wounded")</f>
        <v>Wounded</v>
      </c>
      <c r="C272" s="1" t="str">
        <f ca="1">IFERROR(__xludf.DUMMYFUNCTION("""COMPUTED_VALUE"""),"Male")</f>
        <v>Male</v>
      </c>
      <c r="D272" s="1" t="str">
        <f ca="1">IFERROR(__xludf.DUMMYFUNCTION("""COMPUTED_VALUE"""),"Other Staff")</f>
        <v>Other Staff</v>
      </c>
      <c r="E272" s="1" t="str">
        <f ca="1">IFERROR(__xludf.DUMMYFUNCTION("""COMPUTED_VALUE"""),"Adult")</f>
        <v>Adult</v>
      </c>
      <c r="F272" s="1"/>
    </row>
    <row r="273" spans="1:6" ht="12.5">
      <c r="A273" s="1" t="str">
        <f ca="1">IFERROR(__xludf.DUMMYFUNCTION("""COMPUTED_VALUE"""),"20230321TXTHD")</f>
        <v>20230321TXTHD</v>
      </c>
      <c r="B273" s="1" t="str">
        <f ca="1">IFERROR(__xludf.DUMMYFUNCTION("""COMPUTED_VALUE"""),"Wounded")</f>
        <v>Wounded</v>
      </c>
      <c r="C273" s="1" t="str">
        <f ca="1">IFERROR(__xludf.DUMMYFUNCTION("""COMPUTED_VALUE"""),"Male")</f>
        <v>Male</v>
      </c>
      <c r="D273" s="1" t="str">
        <f ca="1">IFERROR(__xludf.DUMMYFUNCTION("""COMPUTED_VALUE"""),"Student")</f>
        <v>Student</v>
      </c>
      <c r="E273" s="1" t="str">
        <f ca="1">IFERROR(__xludf.DUMMYFUNCTION("""COMPUTED_VALUE"""),"Teen")</f>
        <v>Teen</v>
      </c>
      <c r="F273" s="1"/>
    </row>
    <row r="274" spans="1:6" ht="12.5">
      <c r="A274" s="1" t="str">
        <f ca="1">IFERROR(__xludf.DUMMYFUNCTION("""COMPUTED_VALUE"""),"20230320TXLAA")</f>
        <v>20230320TXLAA</v>
      </c>
      <c r="B274" s="1" t="str">
        <f ca="1">IFERROR(__xludf.DUMMYFUNCTION("""COMPUTED_VALUE"""),"Fatal")</f>
        <v>Fatal</v>
      </c>
      <c r="C274" s="1" t="str">
        <f ca="1">IFERROR(__xludf.DUMMYFUNCTION("""COMPUTED_VALUE"""),"Male")</f>
        <v>Male</v>
      </c>
      <c r="D274" s="1" t="str">
        <f ca="1">IFERROR(__xludf.DUMMYFUNCTION("""COMPUTED_VALUE"""),"Student")</f>
        <v>Student</v>
      </c>
      <c r="E274" s="1">
        <f ca="1">IFERROR(__xludf.DUMMYFUNCTION("""COMPUTED_VALUE"""),16)</f>
        <v>16</v>
      </c>
      <c r="F274" s="1"/>
    </row>
    <row r="275" spans="1:6" ht="12.5">
      <c r="A275" s="1" t="str">
        <f ca="1">IFERROR(__xludf.DUMMYFUNCTION("""COMPUTED_VALUE"""),"20230320TXLAA")</f>
        <v>20230320TXLAA</v>
      </c>
      <c r="B275" s="1" t="str">
        <f ca="1">IFERROR(__xludf.DUMMYFUNCTION("""COMPUTED_VALUE"""),"Wounded")</f>
        <v>Wounded</v>
      </c>
      <c r="C275" s="1" t="str">
        <f ca="1">IFERROR(__xludf.DUMMYFUNCTION("""COMPUTED_VALUE"""),"Female")</f>
        <v>Female</v>
      </c>
      <c r="D275" s="1" t="str">
        <f ca="1">IFERROR(__xludf.DUMMYFUNCTION("""COMPUTED_VALUE"""),"Student")</f>
        <v>Student</v>
      </c>
      <c r="E275" s="1">
        <f ca="1">IFERROR(__xludf.DUMMYFUNCTION("""COMPUTED_VALUE"""),16)</f>
        <v>16</v>
      </c>
      <c r="F275" s="1"/>
    </row>
    <row r="276" spans="1:6" ht="12.5">
      <c r="A276" s="1" t="str">
        <f ca="1">IFERROR(__xludf.DUMMYFUNCTION("""COMPUTED_VALUE"""),"20230316NCLOD")</f>
        <v>20230316NCLOD</v>
      </c>
      <c r="B276" s="1" t="str">
        <f ca="1">IFERROR(__xludf.DUMMYFUNCTION("""COMPUTED_VALUE"""),"None")</f>
        <v>None</v>
      </c>
      <c r="C276" s="1" t="str">
        <f ca="1">IFERROR(__xludf.DUMMYFUNCTION("""COMPUTED_VALUE"""),"Male")</f>
        <v>Male</v>
      </c>
      <c r="D276" s="1" t="str">
        <f ca="1">IFERROR(__xludf.DUMMYFUNCTION("""COMPUTED_VALUE"""),"Student")</f>
        <v>Student</v>
      </c>
      <c r="E276" s="1" t="str">
        <f ca="1">IFERROR(__xludf.DUMMYFUNCTION("""COMPUTED_VALUE"""),"Teen")</f>
        <v>Teen</v>
      </c>
      <c r="F276" s="1"/>
    </row>
    <row r="277" spans="1:6" ht="12.5">
      <c r="A277" s="1" t="str">
        <f ca="1">IFERROR(__xludf.DUMMYFUNCTION("""COMPUTED_VALUE"""),"20230316NYPSB")</f>
        <v>20230316NYPSB</v>
      </c>
      <c r="B277" s="1" t="str">
        <f ca="1">IFERROR(__xludf.DUMMYFUNCTION("""COMPUTED_VALUE"""),"Wounded")</f>
        <v>Wounded</v>
      </c>
      <c r="C277" s="1" t="str">
        <f ca="1">IFERROR(__xludf.DUMMYFUNCTION("""COMPUTED_VALUE"""),"Male")</f>
        <v>Male</v>
      </c>
      <c r="D277" s="1" t="str">
        <f ca="1">IFERROR(__xludf.DUMMYFUNCTION("""COMPUTED_VALUE"""),"No Relation")</f>
        <v>No Relation</v>
      </c>
      <c r="E277" s="1">
        <f ca="1">IFERROR(__xludf.DUMMYFUNCTION("""COMPUTED_VALUE"""),16)</f>
        <v>16</v>
      </c>
      <c r="F277" s="1"/>
    </row>
    <row r="278" spans="1:6" ht="12.5">
      <c r="A278" s="1" t="str">
        <f ca="1">IFERROR(__xludf.DUMMYFUNCTION("""COMPUTED_VALUE"""),"20230315COINB")</f>
        <v>20230315COINB</v>
      </c>
      <c r="B278" s="1" t="str">
        <f ca="1">IFERROR(__xludf.DUMMYFUNCTION("""COMPUTED_VALUE"""),"Wounded")</f>
        <v>Wounded</v>
      </c>
      <c r="C278" s="1" t="str">
        <f ca="1">IFERROR(__xludf.DUMMYFUNCTION("""COMPUTED_VALUE"""),"Male")</f>
        <v>Male</v>
      </c>
      <c r="D278" s="1" t="str">
        <f ca="1">IFERROR(__xludf.DUMMYFUNCTION("""COMPUTED_VALUE"""),"Student")</f>
        <v>Student</v>
      </c>
      <c r="E278" s="1" t="str">
        <f ca="1">IFERROR(__xludf.DUMMYFUNCTION("""COMPUTED_VALUE"""),"Teen")</f>
        <v>Teen</v>
      </c>
      <c r="F278" s="1"/>
    </row>
    <row r="279" spans="1:6" ht="12.5">
      <c r="A279" s="1" t="str">
        <f ca="1">IFERROR(__xludf.DUMMYFUNCTION("""COMPUTED_VALUE"""),"20230315CALIG")</f>
        <v>20230315CALIG</v>
      </c>
      <c r="B279" s="1" t="str">
        <f ca="1">IFERROR(__xludf.DUMMYFUNCTION("""COMPUTED_VALUE"""),"Wounded")</f>
        <v>Wounded</v>
      </c>
      <c r="C279" s="1" t="str">
        <f ca="1">IFERROR(__xludf.DUMMYFUNCTION("""COMPUTED_VALUE"""),"Male")</f>
        <v>Male</v>
      </c>
      <c r="D279" s="1" t="str">
        <f ca="1">IFERROR(__xludf.DUMMYFUNCTION("""COMPUTED_VALUE"""),"Student")</f>
        <v>Student</v>
      </c>
      <c r="E279" s="1">
        <f ca="1">IFERROR(__xludf.DUMMYFUNCTION("""COMPUTED_VALUE"""),15)</f>
        <v>15</v>
      </c>
      <c r="F279" s="1"/>
    </row>
    <row r="280" spans="1:6" ht="12.5">
      <c r="A280" s="1" t="str">
        <f ca="1">IFERROR(__xludf.DUMMYFUNCTION("""COMPUTED_VALUE"""),"20230315CALIG")</f>
        <v>20230315CALIG</v>
      </c>
      <c r="B280" s="1" t="str">
        <f ca="1">IFERROR(__xludf.DUMMYFUNCTION("""COMPUTED_VALUE"""),"Wounded")</f>
        <v>Wounded</v>
      </c>
      <c r="C280" s="1" t="str">
        <f ca="1">IFERROR(__xludf.DUMMYFUNCTION("""COMPUTED_VALUE"""),"Male")</f>
        <v>Male</v>
      </c>
      <c r="D280" s="1" t="str">
        <f ca="1">IFERROR(__xludf.DUMMYFUNCTION("""COMPUTED_VALUE"""),"Student")</f>
        <v>Student</v>
      </c>
      <c r="E280" s="1">
        <f ca="1">IFERROR(__xludf.DUMMYFUNCTION("""COMPUTED_VALUE"""),17)</f>
        <v>17</v>
      </c>
      <c r="F280" s="1"/>
    </row>
    <row r="281" spans="1:6" ht="12.5">
      <c r="A281" s="1" t="str">
        <f ca="1">IFERROR(__xludf.DUMMYFUNCTION("""COMPUTED_VALUE"""),"20230314NYHAN")</f>
        <v>20230314NYHAN</v>
      </c>
      <c r="B281" s="1" t="str">
        <f ca="1">IFERROR(__xludf.DUMMYFUNCTION("""COMPUTED_VALUE"""),"Wounded")</f>
        <v>Wounded</v>
      </c>
      <c r="C281" s="1" t="str">
        <f ca="1">IFERROR(__xludf.DUMMYFUNCTION("""COMPUTED_VALUE"""),"Male")</f>
        <v>Male</v>
      </c>
      <c r="D281" s="1" t="str">
        <f ca="1">IFERROR(__xludf.DUMMYFUNCTION("""COMPUTED_VALUE"""),"Student")</f>
        <v>Student</v>
      </c>
      <c r="E281" s="1">
        <f ca="1">IFERROR(__xludf.DUMMYFUNCTION("""COMPUTED_VALUE"""),16)</f>
        <v>16</v>
      </c>
      <c r="F281" s="1"/>
    </row>
    <row r="282" spans="1:6" ht="12.5">
      <c r="A282" s="1" t="str">
        <f ca="1">IFERROR(__xludf.DUMMYFUNCTION("""COMPUTED_VALUE"""),"20230314NYHAN")</f>
        <v>20230314NYHAN</v>
      </c>
      <c r="B282" s="1" t="str">
        <f ca="1">IFERROR(__xludf.DUMMYFUNCTION("""COMPUTED_VALUE"""),"Wounded")</f>
        <v>Wounded</v>
      </c>
      <c r="C282" s="1" t="str">
        <f ca="1">IFERROR(__xludf.DUMMYFUNCTION("""COMPUTED_VALUE"""),"Male")</f>
        <v>Male</v>
      </c>
      <c r="D282" s="1" t="str">
        <f ca="1">IFERROR(__xludf.DUMMYFUNCTION("""COMPUTED_VALUE"""),"No Relation")</f>
        <v>No Relation</v>
      </c>
      <c r="E282" s="1">
        <f ca="1">IFERROR(__xludf.DUMMYFUNCTION("""COMPUTED_VALUE"""),27)</f>
        <v>27</v>
      </c>
      <c r="F282" s="1"/>
    </row>
    <row r="283" spans="1:6" ht="12.5">
      <c r="A283" s="1" t="str">
        <f ca="1">IFERROR(__xludf.DUMMYFUNCTION("""COMPUTED_VALUE"""),"20230314NYMAM")</f>
        <v>20230314NYMAM</v>
      </c>
      <c r="B283" s="1" t="str">
        <f ca="1">IFERROR(__xludf.DUMMYFUNCTION("""COMPUTED_VALUE"""),"Wounded")</f>
        <v>Wounded</v>
      </c>
      <c r="C283" s="1" t="str">
        <f ca="1">IFERROR(__xludf.DUMMYFUNCTION("""COMPUTED_VALUE"""),"Male")</f>
        <v>Male</v>
      </c>
      <c r="D283" s="1" t="str">
        <f ca="1">IFERROR(__xludf.DUMMYFUNCTION("""COMPUTED_VALUE"""),"Student")</f>
        <v>Student</v>
      </c>
      <c r="E283" s="1">
        <f ca="1">IFERROR(__xludf.DUMMYFUNCTION("""COMPUTED_VALUE"""),17)</f>
        <v>17</v>
      </c>
      <c r="F283" s="1"/>
    </row>
    <row r="284" spans="1:6" ht="12.5">
      <c r="A284" s="1" t="str">
        <f ca="1">IFERROR(__xludf.DUMMYFUNCTION("""COMPUTED_VALUE"""),"20230309OHMAM")</f>
        <v>20230309OHMAM</v>
      </c>
      <c r="B284" s="1" t="str">
        <f ca="1">IFERROR(__xludf.DUMMYFUNCTION("""COMPUTED_VALUE"""),"Wounded")</f>
        <v>Wounded</v>
      </c>
      <c r="C284" s="1" t="str">
        <f ca="1">IFERROR(__xludf.DUMMYFUNCTION("""COMPUTED_VALUE"""),"Male")</f>
        <v>Male</v>
      </c>
      <c r="D284" s="1"/>
      <c r="E284" s="1">
        <f ca="1">IFERROR(__xludf.DUMMYFUNCTION("""COMPUTED_VALUE"""),17)</f>
        <v>17</v>
      </c>
      <c r="F284" s="1"/>
    </row>
    <row r="285" spans="1:6" ht="12.5">
      <c r="A285" s="1" t="str">
        <f ca="1">IFERROR(__xludf.DUMMYFUNCTION("""COMPUTED_VALUE"""),"20230308PAHEP")</f>
        <v>20230308PAHEP</v>
      </c>
      <c r="B285" s="1" t="str">
        <f ca="1">IFERROR(__xludf.DUMMYFUNCTION("""COMPUTED_VALUE"""),"Wounded")</f>
        <v>Wounded</v>
      </c>
      <c r="C285" s="1" t="str">
        <f ca="1">IFERROR(__xludf.DUMMYFUNCTION("""COMPUTED_VALUE"""),"Male")</f>
        <v>Male</v>
      </c>
      <c r="D285" s="1" t="str">
        <f ca="1">IFERROR(__xludf.DUMMYFUNCTION("""COMPUTED_VALUE"""),"No Relation")</f>
        <v>No Relation</v>
      </c>
      <c r="E285" s="1">
        <f ca="1">IFERROR(__xludf.DUMMYFUNCTION("""COMPUTED_VALUE"""),21)</f>
        <v>21</v>
      </c>
      <c r="F285" s="1"/>
    </row>
    <row r="286" spans="1:6" ht="12.5">
      <c r="A286" s="1" t="str">
        <f ca="1">IFERROR(__xludf.DUMMYFUNCTION("""COMPUTED_VALUE"""),"20230307INTHI")</f>
        <v>20230307INTHI</v>
      </c>
      <c r="B286" s="1" t="str">
        <f ca="1">IFERROR(__xludf.DUMMYFUNCTION("""COMPUTED_VALUE"""),"Fatal")</f>
        <v>Fatal</v>
      </c>
      <c r="C286" s="1" t="str">
        <f ca="1">IFERROR(__xludf.DUMMYFUNCTION("""COMPUTED_VALUE"""),"Male")</f>
        <v>Male</v>
      </c>
      <c r="D286" s="1" t="str">
        <f ca="1">IFERROR(__xludf.DUMMYFUNCTION("""COMPUTED_VALUE"""),"Nonstudent Using Athletic Facilities/Attending Game")</f>
        <v>Nonstudent Using Athletic Facilities/Attending Game</v>
      </c>
      <c r="E286" s="1">
        <f ca="1">IFERROR(__xludf.DUMMYFUNCTION("""COMPUTED_VALUE"""),19)</f>
        <v>19</v>
      </c>
      <c r="F286" s="1"/>
    </row>
    <row r="287" spans="1:6" ht="12.5">
      <c r="A287" s="1" t="str">
        <f ca="1">IFERROR(__xludf.DUMMYFUNCTION("""COMPUTED_VALUE"""),"20230306NYPAN")</f>
        <v>20230306NYPAN</v>
      </c>
      <c r="B287" s="1" t="str">
        <f ca="1">IFERROR(__xludf.DUMMYFUNCTION("""COMPUTED_VALUE"""),"Wounded")</f>
        <v>Wounded</v>
      </c>
      <c r="C287" s="1" t="str">
        <f ca="1">IFERROR(__xludf.DUMMYFUNCTION("""COMPUTED_VALUE"""),"Male")</f>
        <v>Male</v>
      </c>
      <c r="D287" s="1" t="str">
        <f ca="1">IFERROR(__xludf.DUMMYFUNCTION("""COMPUTED_VALUE"""),"Student")</f>
        <v>Student</v>
      </c>
      <c r="E287" s="1">
        <f ca="1">IFERROR(__xludf.DUMMYFUNCTION("""COMPUTED_VALUE"""),15)</f>
        <v>15</v>
      </c>
      <c r="F287" s="1"/>
    </row>
    <row r="288" spans="1:6" ht="12.5">
      <c r="A288" s="1" t="str">
        <f ca="1">IFERROR(__xludf.DUMMYFUNCTION("""COMPUTED_VALUE"""),"20230306TXPAA")</f>
        <v>20230306TXPAA</v>
      </c>
      <c r="B288" s="1" t="str">
        <f ca="1">IFERROR(__xludf.DUMMYFUNCTION("""COMPUTED_VALUE"""),"Wounded")</f>
        <v>Wounded</v>
      </c>
      <c r="C288" s="1" t="str">
        <f ca="1">IFERROR(__xludf.DUMMYFUNCTION("""COMPUTED_VALUE"""),"Male")</f>
        <v>Male</v>
      </c>
      <c r="D288" s="1" t="str">
        <f ca="1">IFERROR(__xludf.DUMMYFUNCTION("""COMPUTED_VALUE"""),"Student")</f>
        <v>Student</v>
      </c>
      <c r="E288" s="1" t="str">
        <f ca="1">IFERROR(__xludf.DUMMYFUNCTION("""COMPUTED_VALUE"""),"Teen")</f>
        <v>Teen</v>
      </c>
      <c r="F288" s="1"/>
    </row>
    <row r="289" spans="1:6" ht="12.5">
      <c r="A289" s="1" t="str">
        <f ca="1">IFERROR(__xludf.DUMMYFUNCTION("""COMPUTED_VALUE"""),"20230306MISTR")</f>
        <v>20230306MISTR</v>
      </c>
      <c r="B289" s="1" t="str">
        <f ca="1">IFERROR(__xludf.DUMMYFUNCTION("""COMPUTED_VALUE"""),"Wounded")</f>
        <v>Wounded</v>
      </c>
      <c r="C289" s="1" t="str">
        <f ca="1">IFERROR(__xludf.DUMMYFUNCTION("""COMPUTED_VALUE"""),"Male")</f>
        <v>Male</v>
      </c>
      <c r="D289" s="1" t="str">
        <f ca="1">IFERROR(__xludf.DUMMYFUNCTION("""COMPUTED_VALUE"""),"Parent")</f>
        <v>Parent</v>
      </c>
      <c r="E289" s="1">
        <f ca="1">IFERROR(__xludf.DUMMYFUNCTION("""COMPUTED_VALUE"""),40)</f>
        <v>40</v>
      </c>
      <c r="F289" s="1"/>
    </row>
    <row r="290" spans="1:6" ht="12.5">
      <c r="A290" s="1" t="str">
        <f ca="1">IFERROR(__xludf.DUMMYFUNCTION("""COMPUTED_VALUE"""),"20230306MDPAB")</f>
        <v>20230306MDPAB</v>
      </c>
      <c r="B290" s="1" t="str">
        <f ca="1">IFERROR(__xludf.DUMMYFUNCTION("""COMPUTED_VALUE"""),"Fatal")</f>
        <v>Fatal</v>
      </c>
      <c r="C290" s="1" t="str">
        <f ca="1">IFERROR(__xludf.DUMMYFUNCTION("""COMPUTED_VALUE"""),"Male")</f>
        <v>Male</v>
      </c>
      <c r="D290" s="1" t="str">
        <f ca="1">IFERROR(__xludf.DUMMYFUNCTION("""COMPUTED_VALUE"""),"Student")</f>
        <v>Student</v>
      </c>
      <c r="E290" s="1">
        <f ca="1">IFERROR(__xludf.DUMMYFUNCTION("""COMPUTED_VALUE"""),16)</f>
        <v>16</v>
      </c>
      <c r="F290" s="1"/>
    </row>
    <row r="291" spans="1:6" ht="12.5">
      <c r="A291" s="1" t="str">
        <f ca="1">IFERROR(__xludf.DUMMYFUNCTION("""COMPUTED_VALUE"""),"20230303MTGAL")</f>
        <v>20230303MTGAL</v>
      </c>
      <c r="B291" s="1" t="str">
        <f ca="1">IFERROR(__xludf.DUMMYFUNCTION("""COMPUTED_VALUE"""),"Non-gunshot Injury")</f>
        <v>Non-gunshot Injury</v>
      </c>
      <c r="C291" s="1"/>
      <c r="D291" s="1" t="str">
        <f ca="1">IFERROR(__xludf.DUMMYFUNCTION("""COMPUTED_VALUE"""),"Other Staff")</f>
        <v>Other Staff</v>
      </c>
      <c r="E291" s="1" t="str">
        <f ca="1">IFERROR(__xludf.DUMMYFUNCTION("""COMPUTED_VALUE"""),"Adult")</f>
        <v>Adult</v>
      </c>
      <c r="F291" s="1"/>
    </row>
    <row r="292" spans="1:6" ht="12.5">
      <c r="A292" s="1" t="str">
        <f ca="1">IFERROR(__xludf.DUMMYFUNCTION("""COMPUTED_VALUE"""),"20230301GASAS")</f>
        <v>20230301GASAS</v>
      </c>
      <c r="B292" s="1" t="str">
        <f ca="1">IFERROR(__xludf.DUMMYFUNCTION("""COMPUTED_VALUE"""),"Wounded")</f>
        <v>Wounded</v>
      </c>
      <c r="C292" s="1" t="str">
        <f ca="1">IFERROR(__xludf.DUMMYFUNCTION("""COMPUTED_VALUE"""),"Male")</f>
        <v>Male</v>
      </c>
      <c r="D292" s="1" t="str">
        <f ca="1">IFERROR(__xludf.DUMMYFUNCTION("""COMPUTED_VALUE"""),"Student")</f>
        <v>Student</v>
      </c>
      <c r="E292" s="1">
        <f ca="1">IFERROR(__xludf.DUMMYFUNCTION("""COMPUTED_VALUE"""),15)</f>
        <v>15</v>
      </c>
      <c r="F292" s="1"/>
    </row>
    <row r="293" spans="1:6" ht="12.5">
      <c r="A293" s="1" t="str">
        <f ca="1">IFERROR(__xludf.DUMMYFUNCTION("""COMPUTED_VALUE"""),"20230301ILSAC")</f>
        <v>20230301ILSAC</v>
      </c>
      <c r="B293" s="1" t="str">
        <f ca="1">IFERROR(__xludf.DUMMYFUNCTION("""COMPUTED_VALUE"""),"Fatal")</f>
        <v>Fatal</v>
      </c>
      <c r="C293" s="1" t="str">
        <f ca="1">IFERROR(__xludf.DUMMYFUNCTION("""COMPUTED_VALUE"""),"Male")</f>
        <v>Male</v>
      </c>
      <c r="D293" s="1" t="str">
        <f ca="1">IFERROR(__xludf.DUMMYFUNCTION("""COMPUTED_VALUE"""),"Police Officer/SRO")</f>
        <v>Police Officer/SRO</v>
      </c>
      <c r="E293" s="1">
        <f ca="1">IFERROR(__xludf.DUMMYFUNCTION("""COMPUTED_VALUE"""),32)</f>
        <v>32</v>
      </c>
      <c r="F293" s="1"/>
    </row>
    <row r="294" spans="1:6" ht="12.5">
      <c r="A294" s="1" t="str">
        <f ca="1">IFERROR(__xludf.DUMMYFUNCTION("""COMPUTED_VALUE"""),"20230227CAGAC")</f>
        <v>20230227CAGAC</v>
      </c>
      <c r="B294" s="1" t="str">
        <f ca="1">IFERROR(__xludf.DUMMYFUNCTION("""COMPUTED_VALUE"""),"Fatal")</f>
        <v>Fatal</v>
      </c>
      <c r="C294" s="1" t="str">
        <f ca="1">IFERROR(__xludf.DUMMYFUNCTION("""COMPUTED_VALUE"""),"Male")</f>
        <v>Male</v>
      </c>
      <c r="D294" s="1" t="str">
        <f ca="1">IFERROR(__xludf.DUMMYFUNCTION("""COMPUTED_VALUE"""),"No Relation")</f>
        <v>No Relation</v>
      </c>
      <c r="E294" s="1" t="str">
        <f ca="1">IFERROR(__xludf.DUMMYFUNCTION("""COMPUTED_VALUE"""),"Adult")</f>
        <v>Adult</v>
      </c>
      <c r="F294" s="1"/>
    </row>
    <row r="295" spans="1:6" ht="12.5">
      <c r="A295" s="1" t="str">
        <f ca="1">IFERROR(__xludf.DUMMYFUNCTION("""COMPUTED_VALUE"""),"20230223OHWOC")</f>
        <v>20230223OHWOC</v>
      </c>
      <c r="B295" s="1" t="str">
        <f ca="1">IFERROR(__xludf.DUMMYFUNCTION("""COMPUTED_VALUE"""),"Wounded")</f>
        <v>Wounded</v>
      </c>
      <c r="C295" s="1" t="str">
        <f ca="1">IFERROR(__xludf.DUMMYFUNCTION("""COMPUTED_VALUE"""),"Male")</f>
        <v>Male</v>
      </c>
      <c r="D295" s="1" t="str">
        <f ca="1">IFERROR(__xludf.DUMMYFUNCTION("""COMPUTED_VALUE"""),"Student")</f>
        <v>Student</v>
      </c>
      <c r="E295" s="1">
        <f ca="1">IFERROR(__xludf.DUMMYFUNCTION("""COMPUTED_VALUE"""),17)</f>
        <v>17</v>
      </c>
      <c r="F295" s="1"/>
    </row>
    <row r="296" spans="1:6" ht="12.5">
      <c r="A296" s="1" t="str">
        <f ca="1">IFERROR(__xludf.DUMMYFUNCTION("""COMPUTED_VALUE"""),"20230217NCERE")</f>
        <v>20230217NCERE</v>
      </c>
      <c r="B296" s="1" t="str">
        <f ca="1">IFERROR(__xludf.DUMMYFUNCTION("""COMPUTED_VALUE"""),"None")</f>
        <v>None</v>
      </c>
      <c r="C296" s="1" t="str">
        <f ca="1">IFERROR(__xludf.DUMMYFUNCTION("""COMPUTED_VALUE"""),"Male")</f>
        <v>Male</v>
      </c>
      <c r="D296" s="1" t="str">
        <f ca="1">IFERROR(__xludf.DUMMYFUNCTION("""COMPUTED_VALUE"""),"Student")</f>
        <v>Student</v>
      </c>
      <c r="E296" s="1">
        <f ca="1">IFERROR(__xludf.DUMMYFUNCTION("""COMPUTED_VALUE"""),9)</f>
        <v>9</v>
      </c>
      <c r="F296" s="1"/>
    </row>
    <row r="297" spans="1:6" ht="12.5">
      <c r="A297" s="1" t="str">
        <f ca="1">IFERROR(__xludf.DUMMYFUNCTION("""COMPUTED_VALUE"""),"20230217ILCAC")</f>
        <v>20230217ILCAC</v>
      </c>
      <c r="B297" s="1" t="str">
        <f ca="1">IFERROR(__xludf.DUMMYFUNCTION("""COMPUTED_VALUE"""),"Wounded")</f>
        <v>Wounded</v>
      </c>
      <c r="C297" s="1" t="str">
        <f ca="1">IFERROR(__xludf.DUMMYFUNCTION("""COMPUTED_VALUE"""),"Female")</f>
        <v>Female</v>
      </c>
      <c r="D297" s="1" t="str">
        <f ca="1">IFERROR(__xludf.DUMMYFUNCTION("""COMPUTED_VALUE"""),"Student")</f>
        <v>Student</v>
      </c>
      <c r="E297" s="1">
        <f ca="1">IFERROR(__xludf.DUMMYFUNCTION("""COMPUTED_VALUE"""),17)</f>
        <v>17</v>
      </c>
      <c r="F297" s="1"/>
    </row>
    <row r="298" spans="1:6" ht="12.5">
      <c r="A298" s="1" t="str">
        <f ca="1">IFERROR(__xludf.DUMMYFUNCTION("""COMPUTED_VALUE"""),"20230216TXGAG")</f>
        <v>20230216TXGAG</v>
      </c>
      <c r="B298" s="1" t="str">
        <f ca="1">IFERROR(__xludf.DUMMYFUNCTION("""COMPUTED_VALUE"""),"Fatal")</f>
        <v>Fatal</v>
      </c>
      <c r="C298" s="1" t="str">
        <f ca="1">IFERROR(__xludf.DUMMYFUNCTION("""COMPUTED_VALUE"""),"Male")</f>
        <v>Male</v>
      </c>
      <c r="D298" s="1" t="str">
        <f ca="1">IFERROR(__xludf.DUMMYFUNCTION("""COMPUTED_VALUE"""),"Student")</f>
        <v>Student</v>
      </c>
      <c r="E298" s="1">
        <f ca="1">IFERROR(__xludf.DUMMYFUNCTION("""COMPUTED_VALUE"""),17)</f>
        <v>17</v>
      </c>
      <c r="F298" s="1"/>
    </row>
    <row r="299" spans="1:6" ht="12.5">
      <c r="A299" s="1" t="str">
        <f ca="1">IFERROR(__xludf.DUMMYFUNCTION("""COMPUTED_VALUE"""),"20230215OHCOC")</f>
        <v>20230215OHCOC</v>
      </c>
      <c r="B299" s="1" t="str">
        <f ca="1">IFERROR(__xludf.DUMMYFUNCTION("""COMPUTED_VALUE"""),"None")</f>
        <v>None</v>
      </c>
      <c r="C299" s="1" t="str">
        <f ca="1">IFERROR(__xludf.DUMMYFUNCTION("""COMPUTED_VALUE"""),"Male")</f>
        <v>Male</v>
      </c>
      <c r="D299" s="1" t="str">
        <f ca="1">IFERROR(__xludf.DUMMYFUNCTION("""COMPUTED_VALUE"""),"Student")</f>
        <v>Student</v>
      </c>
      <c r="E299" s="1" t="str">
        <f ca="1">IFERROR(__xludf.DUMMYFUNCTION("""COMPUTED_VALUE"""),"Teen")</f>
        <v>Teen</v>
      </c>
      <c r="F299" s="1"/>
    </row>
    <row r="300" spans="1:6" ht="12.5">
      <c r="A300" s="1" t="str">
        <f ca="1">IFERROR(__xludf.DUMMYFUNCTION("""COMPUTED_VALUE"""),"20230215MDWAB")</f>
        <v>20230215MDWAB</v>
      </c>
      <c r="B300" s="1" t="str">
        <f ca="1">IFERROR(__xludf.DUMMYFUNCTION("""COMPUTED_VALUE"""),"Wounded")</f>
        <v>Wounded</v>
      </c>
      <c r="C300" s="1" t="str">
        <f ca="1">IFERROR(__xludf.DUMMYFUNCTION("""COMPUTED_VALUE"""),"Female")</f>
        <v>Female</v>
      </c>
      <c r="D300" s="1" t="str">
        <f ca="1">IFERROR(__xludf.DUMMYFUNCTION("""COMPUTED_VALUE"""),"Student")</f>
        <v>Student</v>
      </c>
      <c r="E300" s="1">
        <f ca="1">IFERROR(__xludf.DUMMYFUNCTION("""COMPUTED_VALUE"""),15)</f>
        <v>15</v>
      </c>
      <c r="F300" s="1"/>
    </row>
    <row r="301" spans="1:6" ht="12.5">
      <c r="A301" s="1" t="str">
        <f ca="1">IFERROR(__xludf.DUMMYFUNCTION("""COMPUTED_VALUE"""),"20230213COEMD")</f>
        <v>20230213COEMD</v>
      </c>
      <c r="B301" s="1" t="str">
        <f ca="1">IFERROR(__xludf.DUMMYFUNCTION("""COMPUTED_VALUE"""),"Wounded")</f>
        <v>Wounded</v>
      </c>
      <c r="C301" s="1" t="str">
        <f ca="1">IFERROR(__xludf.DUMMYFUNCTION("""COMPUTED_VALUE"""),"Male")</f>
        <v>Male</v>
      </c>
      <c r="D301" s="1" t="str">
        <f ca="1">IFERROR(__xludf.DUMMYFUNCTION("""COMPUTED_VALUE"""),"Student")</f>
        <v>Student</v>
      </c>
      <c r="E301" s="1">
        <f ca="1">IFERROR(__xludf.DUMMYFUNCTION("""COMPUTED_VALUE"""),17)</f>
        <v>17</v>
      </c>
      <c r="F301" s="1"/>
    </row>
    <row r="302" spans="1:6" ht="12.5">
      <c r="A302" s="1" t="str">
        <f ca="1">IFERROR(__xludf.DUMMYFUNCTION("""COMPUTED_VALUE"""),"20230213COEMD")</f>
        <v>20230213COEMD</v>
      </c>
      <c r="B302" s="1" t="str">
        <f ca="1">IFERROR(__xludf.DUMMYFUNCTION("""COMPUTED_VALUE"""),"Wounded")</f>
        <v>Wounded</v>
      </c>
      <c r="C302" s="1" t="str">
        <f ca="1">IFERROR(__xludf.DUMMYFUNCTION("""COMPUTED_VALUE"""),"Male")</f>
        <v>Male</v>
      </c>
      <c r="D302" s="1"/>
      <c r="E302" s="1" t="str">
        <f ca="1">IFERROR(__xludf.DUMMYFUNCTION("""COMPUTED_VALUE"""),"Adult")</f>
        <v>Adult</v>
      </c>
      <c r="F302" s="1"/>
    </row>
    <row r="303" spans="1:6" ht="12.5">
      <c r="A303" s="1" t="str">
        <f ca="1">IFERROR(__xludf.DUMMYFUNCTION("""COMPUTED_VALUE"""),"20230214PAWEP")</f>
        <v>20230214PAWEP</v>
      </c>
      <c r="B303" s="1" t="str">
        <f ca="1">IFERROR(__xludf.DUMMYFUNCTION("""COMPUTED_VALUE"""),"Wounded")</f>
        <v>Wounded</v>
      </c>
      <c r="C303" s="1" t="str">
        <f ca="1">IFERROR(__xludf.DUMMYFUNCTION("""COMPUTED_VALUE"""),"Female")</f>
        <v>Female</v>
      </c>
      <c r="D303" s="1" t="str">
        <f ca="1">IFERROR(__xludf.DUMMYFUNCTION("""COMPUTED_VALUE"""),"Student")</f>
        <v>Student</v>
      </c>
      <c r="E303" s="1">
        <f ca="1">IFERROR(__xludf.DUMMYFUNCTION("""COMPUTED_VALUE"""),15)</f>
        <v>15</v>
      </c>
      <c r="F303" s="1"/>
    </row>
    <row r="304" spans="1:6" ht="12.5">
      <c r="A304" s="1" t="str">
        <f ca="1">IFERROR(__xludf.DUMMYFUNCTION("""COMPUTED_VALUE"""),"20230214PAWEP")</f>
        <v>20230214PAWEP</v>
      </c>
      <c r="B304" s="1" t="str">
        <f ca="1">IFERROR(__xludf.DUMMYFUNCTION("""COMPUTED_VALUE"""),"Wounded")</f>
        <v>Wounded</v>
      </c>
      <c r="C304" s="1" t="str">
        <f ca="1">IFERROR(__xludf.DUMMYFUNCTION("""COMPUTED_VALUE"""),"Male")</f>
        <v>Male</v>
      </c>
      <c r="D304" s="1" t="str">
        <f ca="1">IFERROR(__xludf.DUMMYFUNCTION("""COMPUTED_VALUE"""),"Student")</f>
        <v>Student</v>
      </c>
      <c r="E304" s="1">
        <f ca="1">IFERROR(__xludf.DUMMYFUNCTION("""COMPUTED_VALUE"""),15)</f>
        <v>15</v>
      </c>
      <c r="F304" s="1"/>
    </row>
    <row r="305" spans="1:6" ht="12.5">
      <c r="A305" s="1" t="str">
        <f ca="1">IFERROR(__xludf.DUMMYFUNCTION("""COMPUTED_VALUE"""),"20230214PAWEP")</f>
        <v>20230214PAWEP</v>
      </c>
      <c r="B305" s="1" t="str">
        <f ca="1">IFERROR(__xludf.DUMMYFUNCTION("""COMPUTED_VALUE"""),"Wounded")</f>
        <v>Wounded</v>
      </c>
      <c r="C305" s="1" t="str">
        <f ca="1">IFERROR(__xludf.DUMMYFUNCTION("""COMPUTED_VALUE"""),"Male")</f>
        <v>Male</v>
      </c>
      <c r="D305" s="1" t="str">
        <f ca="1">IFERROR(__xludf.DUMMYFUNCTION("""COMPUTED_VALUE"""),"Student")</f>
        <v>Student</v>
      </c>
      <c r="E305" s="1">
        <f ca="1">IFERROR(__xludf.DUMMYFUNCTION("""COMPUTED_VALUE"""),15)</f>
        <v>15</v>
      </c>
      <c r="F305" s="1"/>
    </row>
    <row r="306" spans="1:6" ht="12.5">
      <c r="A306" s="1" t="str">
        <f ca="1">IFERROR(__xludf.DUMMYFUNCTION("""COMPUTED_VALUE"""),"20230214PAWEP")</f>
        <v>20230214PAWEP</v>
      </c>
      <c r="B306" s="1" t="str">
        <f ca="1">IFERROR(__xludf.DUMMYFUNCTION("""COMPUTED_VALUE"""),"Wounded")</f>
        <v>Wounded</v>
      </c>
      <c r="C306" s="1" t="str">
        <f ca="1">IFERROR(__xludf.DUMMYFUNCTION("""COMPUTED_VALUE"""),"Male")</f>
        <v>Male</v>
      </c>
      <c r="D306" s="1" t="str">
        <f ca="1">IFERROR(__xludf.DUMMYFUNCTION("""COMPUTED_VALUE"""),"Student")</f>
        <v>Student</v>
      </c>
      <c r="E306" s="1">
        <f ca="1">IFERROR(__xludf.DUMMYFUNCTION("""COMPUTED_VALUE"""),17)</f>
        <v>17</v>
      </c>
      <c r="F306" s="1"/>
    </row>
    <row r="307" spans="1:6" ht="12.5">
      <c r="A307" s="1" t="str">
        <f ca="1">IFERROR(__xludf.DUMMYFUNCTION("""COMPUTED_VALUE"""),"20230213COEAD")</f>
        <v>20230213COEAD</v>
      </c>
      <c r="B307" s="1" t="str">
        <f ca="1">IFERROR(__xludf.DUMMYFUNCTION("""COMPUTED_VALUE"""),"Fatal")</f>
        <v>Fatal</v>
      </c>
      <c r="C307" s="1" t="str">
        <f ca="1">IFERROR(__xludf.DUMMYFUNCTION("""COMPUTED_VALUE"""),"Male")</f>
        <v>Male</v>
      </c>
      <c r="D307" s="1" t="str">
        <f ca="1">IFERROR(__xludf.DUMMYFUNCTION("""COMPUTED_VALUE"""),"Student")</f>
        <v>Student</v>
      </c>
      <c r="E307" s="1">
        <f ca="1">IFERROR(__xludf.DUMMYFUNCTION("""COMPUTED_VALUE"""),16)</f>
        <v>16</v>
      </c>
      <c r="F307" s="1"/>
    </row>
    <row r="308" spans="1:6" ht="12.5">
      <c r="A308" s="1" t="str">
        <f ca="1">IFERROR(__xludf.DUMMYFUNCTION("""COMPUTED_VALUE"""),"20230213TXDAD")</f>
        <v>20230213TXDAD</v>
      </c>
      <c r="B308" s="1" t="str">
        <f ca="1">IFERROR(__xludf.DUMMYFUNCTION("""COMPUTED_VALUE"""),"Fatal")</f>
        <v>Fatal</v>
      </c>
      <c r="C308" s="1" t="str">
        <f ca="1">IFERROR(__xludf.DUMMYFUNCTION("""COMPUTED_VALUE"""),"Male")</f>
        <v>Male</v>
      </c>
      <c r="D308" s="1" t="str">
        <f ca="1">IFERROR(__xludf.DUMMYFUNCTION("""COMPUTED_VALUE"""),"Student")</f>
        <v>Student</v>
      </c>
      <c r="E308" s="1">
        <f ca="1">IFERROR(__xludf.DUMMYFUNCTION("""COMPUTED_VALUE"""),15)</f>
        <v>15</v>
      </c>
      <c r="F308" s="1"/>
    </row>
    <row r="309" spans="1:6" ht="12.5">
      <c r="A309" s="1" t="str">
        <f ca="1">IFERROR(__xludf.DUMMYFUNCTION("""COMPUTED_VALUE"""),"20230210CAHEF")</f>
        <v>20230210CAHEF</v>
      </c>
      <c r="B309" s="1" t="str">
        <f ca="1">IFERROR(__xludf.DUMMYFUNCTION("""COMPUTED_VALUE"""),"Wounded")</f>
        <v>Wounded</v>
      </c>
      <c r="C309" s="1" t="str">
        <f ca="1">IFERROR(__xludf.DUMMYFUNCTION("""COMPUTED_VALUE"""),"Female")</f>
        <v>Female</v>
      </c>
      <c r="D309" s="1" t="str">
        <f ca="1">IFERROR(__xludf.DUMMYFUNCTION("""COMPUTED_VALUE"""),"Other Staff")</f>
        <v>Other Staff</v>
      </c>
      <c r="E309" s="1" t="str">
        <f ca="1">IFERROR(__xludf.DUMMYFUNCTION("""COMPUTED_VALUE"""),"Adult")</f>
        <v>Adult</v>
      </c>
      <c r="F309" s="1"/>
    </row>
    <row r="310" spans="1:6" ht="12.5">
      <c r="A310" s="1" t="str">
        <f ca="1">IFERROR(__xludf.DUMMYFUNCTION("""COMPUTED_VALUE"""),"20230208NYWIB")</f>
        <v>20230208NYWIB</v>
      </c>
      <c r="B310" s="1" t="str">
        <f ca="1">IFERROR(__xludf.DUMMYFUNCTION("""COMPUTED_VALUE"""),"Wounded")</f>
        <v>Wounded</v>
      </c>
      <c r="C310" s="1" t="str">
        <f ca="1">IFERROR(__xludf.DUMMYFUNCTION("""COMPUTED_VALUE"""),"Male")</f>
        <v>Male</v>
      </c>
      <c r="D310" s="1" t="str">
        <f ca="1">IFERROR(__xludf.DUMMYFUNCTION("""COMPUTED_VALUE"""),"Student")</f>
        <v>Student</v>
      </c>
      <c r="E310" s="1">
        <f ca="1">IFERROR(__xludf.DUMMYFUNCTION("""COMPUTED_VALUE"""),17)</f>
        <v>17</v>
      </c>
      <c r="F310" s="1"/>
    </row>
    <row r="311" spans="1:6" ht="12.5">
      <c r="A311" s="1" t="str">
        <f ca="1">IFERROR(__xludf.DUMMYFUNCTION("""COMPUTED_VALUE"""),"20230208NYWIB")</f>
        <v>20230208NYWIB</v>
      </c>
      <c r="B311" s="1" t="str">
        <f ca="1">IFERROR(__xludf.DUMMYFUNCTION("""COMPUTED_VALUE"""),"Wounded")</f>
        <v>Wounded</v>
      </c>
      <c r="C311" s="1" t="str">
        <f ca="1">IFERROR(__xludf.DUMMYFUNCTION("""COMPUTED_VALUE"""),"Female")</f>
        <v>Female</v>
      </c>
      <c r="D311" s="1" t="str">
        <f ca="1">IFERROR(__xludf.DUMMYFUNCTION("""COMPUTED_VALUE"""),"Student")</f>
        <v>Student</v>
      </c>
      <c r="E311" s="1">
        <f ca="1">IFERROR(__xludf.DUMMYFUNCTION("""COMPUTED_VALUE"""),15)</f>
        <v>15</v>
      </c>
      <c r="F311" s="1"/>
    </row>
    <row r="312" spans="1:6" ht="12.5">
      <c r="A312" s="1" t="str">
        <f ca="1">IFERROR(__xludf.DUMMYFUNCTION("""COMPUTED_VALUE"""),"20230208NYWIB")</f>
        <v>20230208NYWIB</v>
      </c>
      <c r="B312" s="1" t="str">
        <f ca="1">IFERROR(__xludf.DUMMYFUNCTION("""COMPUTED_VALUE"""),"Wounded")</f>
        <v>Wounded</v>
      </c>
      <c r="C312" s="1" t="str">
        <f ca="1">IFERROR(__xludf.DUMMYFUNCTION("""COMPUTED_VALUE"""),"Male")</f>
        <v>Male</v>
      </c>
      <c r="D312" s="1" t="str">
        <f ca="1">IFERROR(__xludf.DUMMYFUNCTION("""COMPUTED_VALUE"""),"Security Guard")</f>
        <v>Security Guard</v>
      </c>
      <c r="E312" s="1">
        <f ca="1">IFERROR(__xludf.DUMMYFUNCTION("""COMPUTED_VALUE"""),37)</f>
        <v>37</v>
      </c>
      <c r="F312" s="1"/>
    </row>
    <row r="313" spans="1:6" ht="12.5">
      <c r="A313" s="1" t="str">
        <f ca="1">IFERROR(__xludf.DUMMYFUNCTION("""COMPUTED_VALUE"""),"20230206FLMIM")</f>
        <v>20230206FLMIM</v>
      </c>
      <c r="B313" s="1" t="str">
        <f ca="1">IFERROR(__xludf.DUMMYFUNCTION("""COMPUTED_VALUE"""),"Wounded")</f>
        <v>Wounded</v>
      </c>
      <c r="C313" s="1" t="str">
        <f ca="1">IFERROR(__xludf.DUMMYFUNCTION("""COMPUTED_VALUE"""),"Male")</f>
        <v>Male</v>
      </c>
      <c r="D313" s="1" t="str">
        <f ca="1">IFERROR(__xludf.DUMMYFUNCTION("""COMPUTED_VALUE"""),"Student")</f>
        <v>Student</v>
      </c>
      <c r="E313" s="1">
        <f ca="1">IFERROR(__xludf.DUMMYFUNCTION("""COMPUTED_VALUE"""),18)</f>
        <v>18</v>
      </c>
      <c r="F313" s="1"/>
    </row>
    <row r="314" spans="1:6" ht="12.5">
      <c r="A314" s="1" t="str">
        <f ca="1">IFERROR(__xludf.DUMMYFUNCTION("""COMPUTED_VALUE"""),"20230130DCCOW")</f>
        <v>20230130DCCOW</v>
      </c>
      <c r="B314" s="1" t="str">
        <f ca="1">IFERROR(__xludf.DUMMYFUNCTION("""COMPUTED_VALUE"""),"Fatal")</f>
        <v>Fatal</v>
      </c>
      <c r="C314" s="1" t="str">
        <f ca="1">IFERROR(__xludf.DUMMYFUNCTION("""COMPUTED_VALUE"""),"Male")</f>
        <v>Male</v>
      </c>
      <c r="D314" s="1" t="str">
        <f ca="1">IFERROR(__xludf.DUMMYFUNCTION("""COMPUTED_VALUE"""),"Other Staff")</f>
        <v>Other Staff</v>
      </c>
      <c r="E314" s="1" t="str">
        <f ca="1">IFERROR(__xludf.DUMMYFUNCTION("""COMPUTED_VALUE"""),"Adult")</f>
        <v>Adult</v>
      </c>
      <c r="F314" s="1"/>
    </row>
    <row r="315" spans="1:6" ht="12.5">
      <c r="A315" s="1" t="str">
        <f ca="1">IFERROR(__xludf.DUMMYFUNCTION("""COMPUTED_VALUE"""),"20230130AZGIY")</f>
        <v>20230130AZGIY</v>
      </c>
      <c r="B315" s="1" t="str">
        <f ca="1">IFERROR(__xludf.DUMMYFUNCTION("""COMPUTED_VALUE"""),"Non-gunshot Injury")</f>
        <v>Non-gunshot Injury</v>
      </c>
      <c r="C315" s="1" t="str">
        <f ca="1">IFERROR(__xludf.DUMMYFUNCTION("""COMPUTED_VALUE"""),"Male")</f>
        <v>Male</v>
      </c>
      <c r="D315" s="1" t="str">
        <f ca="1">IFERROR(__xludf.DUMMYFUNCTION("""COMPUTED_VALUE"""),"Student")</f>
        <v>Student</v>
      </c>
      <c r="E315" s="1" t="str">
        <f ca="1">IFERROR(__xludf.DUMMYFUNCTION("""COMPUTED_VALUE"""),"Teen")</f>
        <v>Teen</v>
      </c>
      <c r="F315" s="1"/>
    </row>
    <row r="316" spans="1:6" ht="12.5">
      <c r="A316" s="1" t="str">
        <f ca="1">IFERROR(__xludf.DUMMYFUNCTION("""COMPUTED_VALUE"""),"20230130AZGIY")</f>
        <v>20230130AZGIY</v>
      </c>
      <c r="B316" s="1" t="str">
        <f ca="1">IFERROR(__xludf.DUMMYFUNCTION("""COMPUTED_VALUE"""),"Non-gunshot Injury")</f>
        <v>Non-gunshot Injury</v>
      </c>
      <c r="C316" s="1" t="str">
        <f ca="1">IFERROR(__xludf.DUMMYFUNCTION("""COMPUTED_VALUE"""),"Male")</f>
        <v>Male</v>
      </c>
      <c r="D316" s="1" t="str">
        <f ca="1">IFERROR(__xludf.DUMMYFUNCTION("""COMPUTED_VALUE"""),"Student")</f>
        <v>Student</v>
      </c>
      <c r="E316" s="1" t="str">
        <f ca="1">IFERROR(__xludf.DUMMYFUNCTION("""COMPUTED_VALUE"""),"Teen")</f>
        <v>Teen</v>
      </c>
      <c r="F316" s="1"/>
    </row>
    <row r="317" spans="1:6" ht="12.5">
      <c r="A317" s="1" t="str">
        <f ca="1">IFERROR(__xludf.DUMMYFUNCTION("""COMPUTED_VALUE"""),"20230128MOGLS")</f>
        <v>20230128MOGLS</v>
      </c>
      <c r="B317" s="1" t="str">
        <f ca="1">IFERROR(__xludf.DUMMYFUNCTION("""COMPUTED_VALUE"""),"Wounded")</f>
        <v>Wounded</v>
      </c>
      <c r="C317" s="1" t="str">
        <f ca="1">IFERROR(__xludf.DUMMYFUNCTION("""COMPUTED_VALUE"""),"Male")</f>
        <v>Male</v>
      </c>
      <c r="D317" s="1" t="str">
        <f ca="1">IFERROR(__xludf.DUMMYFUNCTION("""COMPUTED_VALUE"""),"No Relation")</f>
        <v>No Relation</v>
      </c>
      <c r="E317" s="1" t="str">
        <f ca="1">IFERROR(__xludf.DUMMYFUNCTION("""COMPUTED_VALUE"""),"Adult")</f>
        <v>Adult</v>
      </c>
      <c r="F317" s="1"/>
    </row>
    <row r="318" spans="1:6" ht="12.5">
      <c r="A318" s="1" t="str">
        <f ca="1">IFERROR(__xludf.DUMMYFUNCTION("""COMPUTED_VALUE"""),"20230127NJHOW")</f>
        <v>20230127NJHOW</v>
      </c>
      <c r="B318" s="1" t="str">
        <f ca="1">IFERROR(__xludf.DUMMYFUNCTION("""COMPUTED_VALUE"""),"None")</f>
        <v>None</v>
      </c>
      <c r="C318" s="1"/>
      <c r="D318" s="1" t="str">
        <f ca="1">IFERROR(__xludf.DUMMYFUNCTION("""COMPUTED_VALUE"""),"Nonstudent")</f>
        <v>Nonstudent</v>
      </c>
      <c r="E318" s="1" t="str">
        <f ca="1">IFERROR(__xludf.DUMMYFUNCTION("""COMPUTED_VALUE"""),"Teen")</f>
        <v>Teen</v>
      </c>
      <c r="F318" s="1"/>
    </row>
    <row r="319" spans="1:6" ht="12.5">
      <c r="A319" s="1" t="str">
        <f ca="1">IFERROR(__xludf.DUMMYFUNCTION("""COMPUTED_VALUE"""),"20230124MOTHK")</f>
        <v>20230124MOTHK</v>
      </c>
      <c r="B319" s="1" t="str">
        <f ca="1">IFERROR(__xludf.DUMMYFUNCTION("""COMPUTED_VALUE"""),"Wounded")</f>
        <v>Wounded</v>
      </c>
      <c r="C319" s="1"/>
      <c r="D319" s="1" t="str">
        <f ca="1">IFERROR(__xludf.DUMMYFUNCTION("""COMPUTED_VALUE"""),"Other Staff")</f>
        <v>Other Staff</v>
      </c>
      <c r="E319" s="1" t="str">
        <f ca="1">IFERROR(__xludf.DUMMYFUNCTION("""COMPUTED_VALUE"""),"Adult")</f>
        <v>Adult</v>
      </c>
      <c r="F319" s="1"/>
    </row>
    <row r="320" spans="1:6" ht="12.5">
      <c r="A320" s="1" t="str">
        <f ca="1">IFERROR(__xludf.DUMMYFUNCTION("""COMPUTED_VALUE"""),"20230123TXABA")</f>
        <v>20230123TXABA</v>
      </c>
      <c r="B320" s="1" t="str">
        <f ca="1">IFERROR(__xludf.DUMMYFUNCTION("""COMPUTED_VALUE"""),"Non-gunshot Injury")</f>
        <v>Non-gunshot Injury</v>
      </c>
      <c r="C320" s="1"/>
      <c r="D320" s="1" t="str">
        <f ca="1">IFERROR(__xludf.DUMMYFUNCTION("""COMPUTED_VALUE"""),"Student")</f>
        <v>Student</v>
      </c>
      <c r="E320" s="1" t="str">
        <f ca="1">IFERROR(__xludf.DUMMYFUNCTION("""COMPUTED_VALUE"""),"Child")</f>
        <v>Child</v>
      </c>
      <c r="F320" s="1"/>
    </row>
    <row r="321" spans="1:6" ht="12.5">
      <c r="A321" s="1" t="str">
        <f ca="1">IFERROR(__xludf.DUMMYFUNCTION("""COMPUTED_VALUE"""),"20230123TXABA")</f>
        <v>20230123TXABA</v>
      </c>
      <c r="B321" s="1" t="str">
        <f ca="1">IFERROR(__xludf.DUMMYFUNCTION("""COMPUTED_VALUE"""),"Non-gunshot Injury")</f>
        <v>Non-gunshot Injury</v>
      </c>
      <c r="C321" s="1"/>
      <c r="D321" s="1" t="str">
        <f ca="1">IFERROR(__xludf.DUMMYFUNCTION("""COMPUTED_VALUE"""),"Student")</f>
        <v>Student</v>
      </c>
      <c r="E321" s="1" t="str">
        <f ca="1">IFERROR(__xludf.DUMMYFUNCTION("""COMPUTED_VALUE"""),"Child")</f>
        <v>Child</v>
      </c>
      <c r="F321" s="1"/>
    </row>
    <row r="322" spans="1:6" ht="12.5">
      <c r="A322" s="1" t="str">
        <f ca="1">IFERROR(__xludf.DUMMYFUNCTION("""COMPUTED_VALUE"""),"20230123IASTD")</f>
        <v>20230123IASTD</v>
      </c>
      <c r="B322" s="1" t="str">
        <f ca="1">IFERROR(__xludf.DUMMYFUNCTION("""COMPUTED_VALUE"""),"Fatal")</f>
        <v>Fatal</v>
      </c>
      <c r="C322" s="1"/>
      <c r="D322" s="1" t="str">
        <f ca="1">IFERROR(__xludf.DUMMYFUNCTION("""COMPUTED_VALUE"""),"Student")</f>
        <v>Student</v>
      </c>
      <c r="E322" s="1">
        <f ca="1">IFERROR(__xludf.DUMMYFUNCTION("""COMPUTED_VALUE"""),18)</f>
        <v>18</v>
      </c>
      <c r="F322" s="1" t="str">
        <f ca="1">IFERROR(__xludf.DUMMYFUNCTION("""COMPUTED_VALUE"""),"Black")</f>
        <v>Black</v>
      </c>
    </row>
    <row r="323" spans="1:6" ht="12.5">
      <c r="A323" s="1" t="str">
        <f ca="1">IFERROR(__xludf.DUMMYFUNCTION("""COMPUTED_VALUE"""),"20230123IASTD")</f>
        <v>20230123IASTD</v>
      </c>
      <c r="B323" s="1" t="str">
        <f ca="1">IFERROR(__xludf.DUMMYFUNCTION("""COMPUTED_VALUE"""),"Fatal")</f>
        <v>Fatal</v>
      </c>
      <c r="C323" s="1"/>
      <c r="D323" s="1" t="str">
        <f ca="1">IFERROR(__xludf.DUMMYFUNCTION("""COMPUTED_VALUE"""),"Student")</f>
        <v>Student</v>
      </c>
      <c r="E323" s="1">
        <f ca="1">IFERROR(__xludf.DUMMYFUNCTION("""COMPUTED_VALUE"""),16)</f>
        <v>16</v>
      </c>
      <c r="F323" s="1" t="str">
        <f ca="1">IFERROR(__xludf.DUMMYFUNCTION("""COMPUTED_VALUE"""),"Black")</f>
        <v>Black</v>
      </c>
    </row>
    <row r="324" spans="1:6" ht="12.5">
      <c r="A324" s="1" t="str">
        <f ca="1">IFERROR(__xludf.DUMMYFUNCTION("""COMPUTED_VALUE"""),"20230123IASTD")</f>
        <v>20230123IASTD</v>
      </c>
      <c r="B324" s="1" t="str">
        <f ca="1">IFERROR(__xludf.DUMMYFUNCTION("""COMPUTED_VALUE"""),"Wounded")</f>
        <v>Wounded</v>
      </c>
      <c r="C324" s="1"/>
      <c r="D324" s="1" t="str">
        <f ca="1">IFERROR(__xludf.DUMMYFUNCTION("""COMPUTED_VALUE"""),"Other Staff")</f>
        <v>Other Staff</v>
      </c>
      <c r="E324" s="1" t="str">
        <f ca="1">IFERROR(__xludf.DUMMYFUNCTION("""COMPUTED_VALUE"""),"Will Holmes")</f>
        <v>Will Holmes</v>
      </c>
      <c r="F324" s="1" t="str">
        <f ca="1">IFERROR(__xludf.DUMMYFUNCTION("""COMPUTED_VALUE"""),"Black")</f>
        <v>Black</v>
      </c>
    </row>
    <row r="325" spans="1:6" ht="12.5">
      <c r="A325" s="1" t="str">
        <f ca="1">IFERROR(__xludf.DUMMYFUNCTION("""COMPUTED_VALUE"""),"20230122WAMOT")</f>
        <v>20230122WAMOT</v>
      </c>
      <c r="B325" s="1" t="str">
        <f ca="1">IFERROR(__xludf.DUMMYFUNCTION("""COMPUTED_VALUE"""),"Wounded")</f>
        <v>Wounded</v>
      </c>
      <c r="C325" s="1"/>
      <c r="D325" s="1" t="str">
        <f ca="1">IFERROR(__xludf.DUMMYFUNCTION("""COMPUTED_VALUE"""),"No Relation")</f>
        <v>No Relation</v>
      </c>
      <c r="E325" s="1" t="str">
        <f ca="1">IFERROR(__xludf.DUMMYFUNCTION("""COMPUTED_VALUE"""),"Adult")</f>
        <v>Adult</v>
      </c>
      <c r="F325" s="1"/>
    </row>
    <row r="326" spans="1:6" ht="12.5">
      <c r="A326" s="1" t="str">
        <f ca="1">IFERROR(__xludf.DUMMYFUNCTION("""COMPUTED_VALUE"""),"20230122WAMOT")</f>
        <v>20230122WAMOT</v>
      </c>
      <c r="B326" s="1" t="str">
        <f ca="1">IFERROR(__xludf.DUMMYFUNCTION("""COMPUTED_VALUE"""),"Wounded")</f>
        <v>Wounded</v>
      </c>
      <c r="C326" s="1"/>
      <c r="D326" s="1" t="str">
        <f ca="1">IFERROR(__xludf.DUMMYFUNCTION("""COMPUTED_VALUE"""),"No Relation")</f>
        <v>No Relation</v>
      </c>
      <c r="E326" s="1" t="str">
        <f ca="1">IFERROR(__xludf.DUMMYFUNCTION("""COMPUTED_VALUE"""),"Adult")</f>
        <v>Adult</v>
      </c>
      <c r="F326" s="1"/>
    </row>
    <row r="327" spans="1:6" ht="12.5">
      <c r="A327" s="1" t="str">
        <f ca="1">IFERROR(__xludf.DUMMYFUNCTION("""COMPUTED_VALUE"""),"20230120MNWAS")</f>
        <v>20230120MNWAS</v>
      </c>
      <c r="B327" s="1" t="str">
        <f ca="1">IFERROR(__xludf.DUMMYFUNCTION("""COMPUTED_VALUE"""),"Wounded")</f>
        <v>Wounded</v>
      </c>
      <c r="C327" s="1" t="str">
        <f ca="1">IFERROR(__xludf.DUMMYFUNCTION("""COMPUTED_VALUE"""),"Female")</f>
        <v>Female</v>
      </c>
      <c r="D327" s="1" t="str">
        <f ca="1">IFERROR(__xludf.DUMMYFUNCTION("""COMPUTED_VALUE"""),"Other Staff")</f>
        <v>Other Staff</v>
      </c>
      <c r="E327" s="1" t="str">
        <f ca="1">IFERROR(__xludf.DUMMYFUNCTION("""COMPUTED_VALUE"""),"Adult")</f>
        <v>Adult</v>
      </c>
      <c r="F327" s="1"/>
    </row>
    <row r="328" spans="1:6" ht="12.5">
      <c r="A328" s="1" t="str">
        <f ca="1">IFERROR(__xludf.DUMMYFUNCTION("""COMPUTED_VALUE"""),"20230119NYEAB")</f>
        <v>20230119NYEAB</v>
      </c>
      <c r="B328" s="1" t="str">
        <f ca="1">IFERROR(__xludf.DUMMYFUNCTION("""COMPUTED_VALUE"""),"Wounded")</f>
        <v>Wounded</v>
      </c>
      <c r="C328" s="1" t="str">
        <f ca="1">IFERROR(__xludf.DUMMYFUNCTION("""COMPUTED_VALUE"""),"Male")</f>
        <v>Male</v>
      </c>
      <c r="D328" s="1" t="str">
        <f ca="1">IFERROR(__xludf.DUMMYFUNCTION("""COMPUTED_VALUE"""),"Student")</f>
        <v>Student</v>
      </c>
      <c r="E328" s="1">
        <f ca="1">IFERROR(__xludf.DUMMYFUNCTION("""COMPUTED_VALUE"""),15)</f>
        <v>15</v>
      </c>
      <c r="F328" s="1"/>
    </row>
    <row r="329" spans="1:6" ht="12.5">
      <c r="A329" s="1" t="str">
        <f ca="1">IFERROR(__xludf.DUMMYFUNCTION("""COMPUTED_VALUE"""),"20230118NYCAQ")</f>
        <v>20230118NYCAQ</v>
      </c>
      <c r="B329" s="1" t="str">
        <f ca="1">IFERROR(__xludf.DUMMYFUNCTION("""COMPUTED_VALUE"""),"Wounded")</f>
        <v>Wounded</v>
      </c>
      <c r="C329" s="1" t="str">
        <f ca="1">IFERROR(__xludf.DUMMYFUNCTION("""COMPUTED_VALUE"""),"Female")</f>
        <v>Female</v>
      </c>
      <c r="D329" s="1" t="str">
        <f ca="1">IFERROR(__xludf.DUMMYFUNCTION("""COMPUTED_VALUE"""),"Student")</f>
        <v>Student</v>
      </c>
      <c r="E329" s="1">
        <f ca="1">IFERROR(__xludf.DUMMYFUNCTION("""COMPUTED_VALUE"""),16)</f>
        <v>16</v>
      </c>
      <c r="F329" s="1"/>
    </row>
    <row r="330" spans="1:6" ht="12.5">
      <c r="A330" s="1" t="str">
        <f ca="1">IFERROR(__xludf.DUMMYFUNCTION("""COMPUTED_VALUE"""),"20230118NYCAQ")</f>
        <v>20230118NYCAQ</v>
      </c>
      <c r="B330" s="1" t="str">
        <f ca="1">IFERROR(__xludf.DUMMYFUNCTION("""COMPUTED_VALUE"""),"Wounded")</f>
        <v>Wounded</v>
      </c>
      <c r="C330" s="1" t="str">
        <f ca="1">IFERROR(__xludf.DUMMYFUNCTION("""COMPUTED_VALUE"""),"Male")</f>
        <v>Male</v>
      </c>
      <c r="D330" s="1" t="str">
        <f ca="1">IFERROR(__xludf.DUMMYFUNCTION("""COMPUTED_VALUE"""),"Student")</f>
        <v>Student</v>
      </c>
      <c r="E330" s="1">
        <f ca="1">IFERROR(__xludf.DUMMYFUNCTION("""COMPUTED_VALUE"""),14)</f>
        <v>14</v>
      </c>
      <c r="F330" s="1"/>
    </row>
    <row r="331" spans="1:6" ht="12.5">
      <c r="A331" s="1" t="str">
        <f ca="1">IFERROR(__xludf.DUMMYFUNCTION("""COMPUTED_VALUE"""),"20230118OKDED")</f>
        <v>20230118OKDED</v>
      </c>
      <c r="B331" s="1" t="str">
        <f ca="1">IFERROR(__xludf.DUMMYFUNCTION("""COMPUTED_VALUE"""),"Wounded")</f>
        <v>Wounded</v>
      </c>
      <c r="C331" s="1" t="str">
        <f ca="1">IFERROR(__xludf.DUMMYFUNCTION("""COMPUTED_VALUE"""),"Male")</f>
        <v>Male</v>
      </c>
      <c r="D331" s="1" t="str">
        <f ca="1">IFERROR(__xludf.DUMMYFUNCTION("""COMPUTED_VALUE"""),"Nonstudent Using Athletic Facilities/Attending Game")</f>
        <v>Nonstudent Using Athletic Facilities/Attending Game</v>
      </c>
      <c r="E331" s="1" t="str">
        <f ca="1">IFERROR(__xludf.DUMMYFUNCTION("""COMPUTED_VALUE"""),"Teen")</f>
        <v>Teen</v>
      </c>
      <c r="F331" s="1"/>
    </row>
    <row r="332" spans="1:6" ht="12.5">
      <c r="A332" s="1" t="str">
        <f ca="1">IFERROR(__xludf.DUMMYFUNCTION("""COMPUTED_VALUE"""),"20230111VTSPV")</f>
        <v>20230111VTSPV</v>
      </c>
      <c r="B332" s="1" t="str">
        <f ca="1">IFERROR(__xludf.DUMMYFUNCTION("""COMPUTED_VALUE"""),"Non-gunshot Injury")</f>
        <v>Non-gunshot Injury</v>
      </c>
      <c r="C332" s="1"/>
      <c r="D332" s="1" t="str">
        <f ca="1">IFERROR(__xludf.DUMMYFUNCTION("""COMPUTED_VALUE"""),"Teacher")</f>
        <v>Teacher</v>
      </c>
      <c r="E332" s="1" t="str">
        <f ca="1">IFERROR(__xludf.DUMMYFUNCTION("""COMPUTED_VALUE"""),"Adult")</f>
        <v>Adult</v>
      </c>
      <c r="F332" s="1"/>
    </row>
    <row r="333" spans="1:6" ht="12.5">
      <c r="A333" s="1" t="str">
        <f ca="1">IFERROR(__xludf.DUMMYFUNCTION("""COMPUTED_VALUE"""),"20230110UTWES")</f>
        <v>20230110UTWES</v>
      </c>
      <c r="B333" s="1" t="str">
        <f ca="1">IFERROR(__xludf.DUMMYFUNCTION("""COMPUTED_VALUE"""),"Wounded")</f>
        <v>Wounded</v>
      </c>
      <c r="C333" s="1"/>
      <c r="D333" s="1" t="str">
        <f ca="1">IFERROR(__xludf.DUMMYFUNCTION("""COMPUTED_VALUE"""),"Student")</f>
        <v>Student</v>
      </c>
      <c r="E333" s="1" t="str">
        <f ca="1">IFERROR(__xludf.DUMMYFUNCTION("""COMPUTED_VALUE"""),"Teen")</f>
        <v>Teen</v>
      </c>
      <c r="F333" s="1"/>
    </row>
    <row r="334" spans="1:6" ht="12.5">
      <c r="A334" s="1" t="str">
        <f ca="1">IFERROR(__xludf.DUMMYFUNCTION("""COMPUTED_VALUE"""),"20230110LABON")</f>
        <v>20230110LABON</v>
      </c>
      <c r="B334" s="1" t="str">
        <f ca="1">IFERROR(__xludf.DUMMYFUNCTION("""COMPUTED_VALUE"""),"Wounded")</f>
        <v>Wounded</v>
      </c>
      <c r="C334" s="1" t="str">
        <f ca="1">IFERROR(__xludf.DUMMYFUNCTION("""COMPUTED_VALUE"""),"Male")</f>
        <v>Male</v>
      </c>
      <c r="D334" s="1" t="str">
        <f ca="1">IFERROR(__xludf.DUMMYFUNCTION("""COMPUTED_VALUE"""),"Student")</f>
        <v>Student</v>
      </c>
      <c r="E334" s="1">
        <f ca="1">IFERROR(__xludf.DUMMYFUNCTION("""COMPUTED_VALUE"""),16)</f>
        <v>16</v>
      </c>
      <c r="F334" s="1"/>
    </row>
    <row r="335" spans="1:6" ht="12.5">
      <c r="A335" s="1" t="str">
        <f ca="1">IFERROR(__xludf.DUMMYFUNCTION("""COMPUTED_VALUE"""),"20230110OHJOC")</f>
        <v>20230110OHJOC</v>
      </c>
      <c r="B335" s="1" t="str">
        <f ca="1">IFERROR(__xludf.DUMMYFUNCTION("""COMPUTED_VALUE"""),"Fatal")</f>
        <v>Fatal</v>
      </c>
      <c r="C335" s="1" t="str">
        <f ca="1">IFERROR(__xludf.DUMMYFUNCTION("""COMPUTED_VALUE"""),"Male")</f>
        <v>Male</v>
      </c>
      <c r="D335" s="1" t="str">
        <f ca="1">IFERROR(__xludf.DUMMYFUNCTION("""COMPUTED_VALUE"""),"Student")</f>
        <v>Student</v>
      </c>
      <c r="E335" s="1">
        <f ca="1">IFERROR(__xludf.DUMMYFUNCTION("""COMPUTED_VALUE"""),18)</f>
        <v>18</v>
      </c>
      <c r="F335" s="1"/>
    </row>
    <row r="336" spans="1:6" ht="12.5">
      <c r="A336" s="1" t="str">
        <f ca="1">IFERROR(__xludf.DUMMYFUNCTION("""COMPUTED_VALUE"""),"20230107ORFRP")</f>
        <v>20230107ORFRP</v>
      </c>
      <c r="B336" s="1" t="str">
        <f ca="1">IFERROR(__xludf.DUMMYFUNCTION("""COMPUTED_VALUE"""),"Wounded")</f>
        <v>Wounded</v>
      </c>
      <c r="C336" s="1" t="str">
        <f ca="1">IFERROR(__xludf.DUMMYFUNCTION("""COMPUTED_VALUE"""),"Male")</f>
        <v>Male</v>
      </c>
      <c r="D336" s="1" t="str">
        <f ca="1">IFERROR(__xludf.DUMMYFUNCTION("""COMPUTED_VALUE"""),"Student")</f>
        <v>Student</v>
      </c>
      <c r="E336" s="1" t="str">
        <f ca="1">IFERROR(__xludf.DUMMYFUNCTION("""COMPUTED_VALUE"""),"Teen")</f>
        <v>Teen</v>
      </c>
      <c r="F336" s="1"/>
    </row>
    <row r="337" spans="1:6" ht="12.5">
      <c r="A337" s="1" t="str">
        <f ca="1">IFERROR(__xludf.DUMMYFUNCTION("""COMPUTED_VALUE"""),"20230106MDBEB")</f>
        <v>20230106MDBEB</v>
      </c>
      <c r="B337" s="1" t="str">
        <f ca="1">IFERROR(__xludf.DUMMYFUNCTION("""COMPUTED_VALUE"""),"Wounded")</f>
        <v>Wounded</v>
      </c>
      <c r="C337" s="1" t="str">
        <f ca="1">IFERROR(__xludf.DUMMYFUNCTION("""COMPUTED_VALUE"""),"Male")</f>
        <v>Male</v>
      </c>
      <c r="D337" s="1" t="str">
        <f ca="1">IFERROR(__xludf.DUMMYFUNCTION("""COMPUTED_VALUE"""),"Student")</f>
        <v>Student</v>
      </c>
      <c r="E337" s="1">
        <f ca="1">IFERROR(__xludf.DUMMYFUNCTION("""COMPUTED_VALUE"""),16)</f>
        <v>16</v>
      </c>
      <c r="F337" s="1"/>
    </row>
    <row r="338" spans="1:6" ht="12.5">
      <c r="A338" s="1" t="str">
        <f ca="1">IFERROR(__xludf.DUMMYFUNCTION("""COMPUTED_VALUE"""),"20230106MDBEB")</f>
        <v>20230106MDBEB</v>
      </c>
      <c r="B338" s="1" t="str">
        <f ca="1">IFERROR(__xludf.DUMMYFUNCTION("""COMPUTED_VALUE"""),"Wounded")</f>
        <v>Wounded</v>
      </c>
      <c r="C338" s="1" t="str">
        <f ca="1">IFERROR(__xludf.DUMMYFUNCTION("""COMPUTED_VALUE"""),"Female")</f>
        <v>Female</v>
      </c>
      <c r="D338" s="1" t="str">
        <f ca="1">IFERROR(__xludf.DUMMYFUNCTION("""COMPUTED_VALUE"""),"Student")</f>
        <v>Student</v>
      </c>
      <c r="E338" s="1">
        <f ca="1">IFERROR(__xludf.DUMMYFUNCTION("""COMPUTED_VALUE"""),17)</f>
        <v>17</v>
      </c>
      <c r="F338" s="1"/>
    </row>
    <row r="339" spans="1:6" ht="12.5">
      <c r="A339" s="1" t="str">
        <f ca="1">IFERROR(__xludf.DUMMYFUNCTION("""COMPUTED_VALUE"""),"20230106MIOAD")</f>
        <v>20230106MIOAD</v>
      </c>
      <c r="B339" s="1" t="str">
        <f ca="1">IFERROR(__xludf.DUMMYFUNCTION("""COMPUTED_VALUE"""),"Wounded")</f>
        <v>Wounded</v>
      </c>
      <c r="C339" s="1" t="str">
        <f ca="1">IFERROR(__xludf.DUMMYFUNCTION("""COMPUTED_VALUE"""),"Male")</f>
        <v>Male</v>
      </c>
      <c r="D339" s="1" t="str">
        <f ca="1">IFERROR(__xludf.DUMMYFUNCTION("""COMPUTED_VALUE"""),"Student")</f>
        <v>Student</v>
      </c>
      <c r="E339" s="1" t="str">
        <f ca="1">IFERROR(__xludf.DUMMYFUNCTION("""COMPUTED_VALUE"""),"Teen")</f>
        <v>Teen</v>
      </c>
      <c r="F339" s="1"/>
    </row>
    <row r="340" spans="1:6" ht="12.5">
      <c r="A340" s="1" t="str">
        <f ca="1">IFERROR(__xludf.DUMMYFUNCTION("""COMPUTED_VALUE"""),"20230106FLWEA")</f>
        <v>20230106FLWEA</v>
      </c>
      <c r="B340" s="1" t="str">
        <f ca="1">IFERROR(__xludf.DUMMYFUNCTION("""COMPUTED_VALUE"""),"Wounded")</f>
        <v>Wounded</v>
      </c>
      <c r="C340" s="1" t="str">
        <f ca="1">IFERROR(__xludf.DUMMYFUNCTION("""COMPUTED_VALUE"""),"Male")</f>
        <v>Male</v>
      </c>
      <c r="D340" s="1" t="str">
        <f ca="1">IFERROR(__xludf.DUMMYFUNCTION("""COMPUTED_VALUE"""),"Student")</f>
        <v>Student</v>
      </c>
      <c r="E340" s="1" t="str">
        <f ca="1">IFERROR(__xludf.DUMMYFUNCTION("""COMPUTED_VALUE"""),"Teen")</f>
        <v>Teen</v>
      </c>
      <c r="F340" s="1"/>
    </row>
    <row r="341" spans="1:6" ht="12.5">
      <c r="A341" s="1" t="str">
        <f ca="1">IFERROR(__xludf.DUMMYFUNCTION("""COMPUTED_VALUE"""),"20230106VARIN")</f>
        <v>20230106VARIN</v>
      </c>
      <c r="B341" s="1" t="str">
        <f ca="1">IFERROR(__xludf.DUMMYFUNCTION("""COMPUTED_VALUE"""),"Wounded")</f>
        <v>Wounded</v>
      </c>
      <c r="C341" s="1" t="str">
        <f ca="1">IFERROR(__xludf.DUMMYFUNCTION("""COMPUTED_VALUE"""),"Female")</f>
        <v>Female</v>
      </c>
      <c r="D341" s="1" t="str">
        <f ca="1">IFERROR(__xludf.DUMMYFUNCTION("""COMPUTED_VALUE"""),"Teacher")</f>
        <v>Teacher</v>
      </c>
      <c r="E341" s="1" t="str">
        <f ca="1">IFERROR(__xludf.DUMMYFUNCTION("""COMPUTED_VALUE"""),"Adult")</f>
        <v>Adult</v>
      </c>
      <c r="F341" s="1"/>
    </row>
    <row r="342" spans="1:6" ht="12.5">
      <c r="A342" s="1" t="str">
        <f ca="1">IFERROR(__xludf.DUMMYFUNCTION("""COMPUTED_VALUE"""),"20230105NYFRR")</f>
        <v>20230105NYFRR</v>
      </c>
      <c r="B342" s="1" t="str">
        <f ca="1">IFERROR(__xludf.DUMMYFUNCTION("""COMPUTED_VALUE"""),"None")</f>
        <v>None</v>
      </c>
      <c r="C342" s="1" t="str">
        <f ca="1">IFERROR(__xludf.DUMMYFUNCTION("""COMPUTED_VALUE"""),"Male")</f>
        <v>Male</v>
      </c>
      <c r="D342" s="1" t="str">
        <f ca="1">IFERROR(__xludf.DUMMYFUNCTION("""COMPUTED_VALUE"""),"Student")</f>
        <v>Student</v>
      </c>
      <c r="E342" s="1">
        <f ca="1">IFERROR(__xludf.DUMMYFUNCTION("""COMPUTED_VALUE"""),16)</f>
        <v>16</v>
      </c>
      <c r="F342" s="1"/>
    </row>
    <row r="343" spans="1:6" ht="12.5">
      <c r="A343" s="1" t="str">
        <f ca="1">IFERROR(__xludf.DUMMYFUNCTION("""COMPUTED_VALUE"""),"20230104MITRD")</f>
        <v>20230104MITRD</v>
      </c>
      <c r="B343" s="1" t="str">
        <f ca="1">IFERROR(__xludf.DUMMYFUNCTION("""COMPUTED_VALUE"""),"Fatal")</f>
        <v>Fatal</v>
      </c>
      <c r="C343" s="1" t="str">
        <f ca="1">IFERROR(__xludf.DUMMYFUNCTION("""COMPUTED_VALUE"""),"Male")</f>
        <v>Male</v>
      </c>
      <c r="D343" s="1" t="str">
        <f ca="1">IFERROR(__xludf.DUMMYFUNCTION("""COMPUTED_VALUE"""),"No Relation")</f>
        <v>No Relation</v>
      </c>
      <c r="E343" s="1" t="str">
        <f ca="1">IFERROR(__xludf.DUMMYFUNCTION("""COMPUTED_VALUE"""),"Adult")</f>
        <v>Adult</v>
      </c>
      <c r="F343" s="1"/>
    </row>
    <row r="344" spans="1:6" ht="12.5">
      <c r="A344" s="1" t="str">
        <f ca="1">IFERROR(__xludf.DUMMYFUNCTION("""COMPUTED_VALUE"""),"20221216ILBEC")</f>
        <v>20221216ILBEC</v>
      </c>
      <c r="B344" s="1" t="str">
        <f ca="1">IFERROR(__xludf.DUMMYFUNCTION("""COMPUTED_VALUE"""),"Fatal")</f>
        <v>Fatal</v>
      </c>
      <c r="C344" s="1" t="str">
        <f ca="1">IFERROR(__xludf.DUMMYFUNCTION("""COMPUTED_VALUE"""),"Male")</f>
        <v>Male</v>
      </c>
      <c r="D344" s="1" t="str">
        <f ca="1">IFERROR(__xludf.DUMMYFUNCTION("""COMPUTED_VALUE"""),"Student")</f>
        <v>Student</v>
      </c>
      <c r="E344" s="1">
        <f ca="1">IFERROR(__xludf.DUMMYFUNCTION("""COMPUTED_VALUE"""),14)</f>
        <v>14</v>
      </c>
      <c r="F344" s="1"/>
    </row>
    <row r="345" spans="1:6" ht="12.5">
      <c r="A345" s="1" t="str">
        <f ca="1">IFERROR(__xludf.DUMMYFUNCTION("""COMPUTED_VALUE"""),"20221216ILBEC")</f>
        <v>20221216ILBEC</v>
      </c>
      <c r="B345" s="1" t="str">
        <f ca="1">IFERROR(__xludf.DUMMYFUNCTION("""COMPUTED_VALUE"""),"Fatal")</f>
        <v>Fatal</v>
      </c>
      <c r="C345" s="1" t="str">
        <f ca="1">IFERROR(__xludf.DUMMYFUNCTION("""COMPUTED_VALUE"""),"Male")</f>
        <v>Male</v>
      </c>
      <c r="D345" s="1" t="str">
        <f ca="1">IFERROR(__xludf.DUMMYFUNCTION("""COMPUTED_VALUE"""),"Student")</f>
        <v>Student</v>
      </c>
      <c r="E345" s="1">
        <f ca="1">IFERROR(__xludf.DUMMYFUNCTION("""COMPUTED_VALUE"""),15)</f>
        <v>15</v>
      </c>
      <c r="F345" s="1"/>
    </row>
    <row r="346" spans="1:6" ht="12.5">
      <c r="A346" s="1" t="str">
        <f ca="1">IFERROR(__xludf.DUMMYFUNCTION("""COMPUTED_VALUE"""),"20221216ILBEC")</f>
        <v>20221216ILBEC</v>
      </c>
      <c r="B346" s="1" t="str">
        <f ca="1">IFERROR(__xludf.DUMMYFUNCTION("""COMPUTED_VALUE"""),"Wounded")</f>
        <v>Wounded</v>
      </c>
      <c r="C346" s="1" t="str">
        <f ca="1">IFERROR(__xludf.DUMMYFUNCTION("""COMPUTED_VALUE"""),"Male")</f>
        <v>Male</v>
      </c>
      <c r="D346" s="1" t="str">
        <f ca="1">IFERROR(__xludf.DUMMYFUNCTION("""COMPUTED_VALUE"""),"Student")</f>
        <v>Student</v>
      </c>
      <c r="E346" s="1">
        <f ca="1">IFERROR(__xludf.DUMMYFUNCTION("""COMPUTED_VALUE"""),15)</f>
        <v>15</v>
      </c>
      <c r="F346" s="1"/>
    </row>
    <row r="347" spans="1:6" ht="12.5">
      <c r="A347" s="1" t="str">
        <f ca="1">IFERROR(__xludf.DUMMYFUNCTION("""COMPUTED_VALUE"""),"20221216ILBEC")</f>
        <v>20221216ILBEC</v>
      </c>
      <c r="B347" s="1" t="str">
        <f ca="1">IFERROR(__xludf.DUMMYFUNCTION("""COMPUTED_VALUE"""),"Wounded")</f>
        <v>Wounded</v>
      </c>
      <c r="C347" s="1" t="str">
        <f ca="1">IFERROR(__xludf.DUMMYFUNCTION("""COMPUTED_VALUE"""),"Female")</f>
        <v>Female</v>
      </c>
      <c r="D347" s="1" t="str">
        <f ca="1">IFERROR(__xludf.DUMMYFUNCTION("""COMPUTED_VALUE"""),"Student")</f>
        <v>Student</v>
      </c>
      <c r="E347" s="1">
        <f ca="1">IFERROR(__xludf.DUMMYFUNCTION("""COMPUTED_VALUE"""),15)</f>
        <v>15</v>
      </c>
      <c r="F347" s="1"/>
    </row>
    <row r="348" spans="1:6" ht="12.5">
      <c r="A348" s="1" t="str">
        <f ca="1">IFERROR(__xludf.DUMMYFUNCTION("""COMPUTED_VALUE"""),"20221212ORGRP")</f>
        <v>20221212ORGRP</v>
      </c>
      <c r="B348" s="1" t="str">
        <f ca="1">IFERROR(__xludf.DUMMYFUNCTION("""COMPUTED_VALUE"""),"Wounded")</f>
        <v>Wounded</v>
      </c>
      <c r="C348" s="1" t="str">
        <f ca="1">IFERROR(__xludf.DUMMYFUNCTION("""COMPUTED_VALUE"""),"Male")</f>
        <v>Male</v>
      </c>
      <c r="D348" s="1" t="str">
        <f ca="1">IFERROR(__xludf.DUMMYFUNCTION("""COMPUTED_VALUE"""),"Student")</f>
        <v>Student</v>
      </c>
      <c r="E348" s="1">
        <f ca="1">IFERROR(__xludf.DUMMYFUNCTION("""COMPUTED_VALUE"""),16)</f>
        <v>16</v>
      </c>
      <c r="F348" s="1"/>
    </row>
    <row r="349" spans="1:6" ht="12.5">
      <c r="A349" s="1" t="str">
        <f ca="1">IFERROR(__xludf.DUMMYFUNCTION("""COMPUTED_VALUE"""),"20221209PAMEP")</f>
        <v>20221209PAMEP</v>
      </c>
      <c r="B349" s="1" t="str">
        <f ca="1">IFERROR(__xludf.DUMMYFUNCTION("""COMPUTED_VALUE"""),"Fatal")</f>
        <v>Fatal</v>
      </c>
      <c r="C349" s="1" t="str">
        <f ca="1">IFERROR(__xludf.DUMMYFUNCTION("""COMPUTED_VALUE"""),"Male")</f>
        <v>Male</v>
      </c>
      <c r="D349" s="1" t="str">
        <f ca="1">IFERROR(__xludf.DUMMYFUNCTION("""COMPUTED_VALUE"""),"No Relation")</f>
        <v>No Relation</v>
      </c>
      <c r="E349" s="1">
        <f ca="1">IFERROR(__xludf.DUMMYFUNCTION("""COMPUTED_VALUE"""),31)</f>
        <v>31</v>
      </c>
      <c r="F349" s="1"/>
    </row>
    <row r="350" spans="1:6" ht="12.5">
      <c r="A350" s="1" t="str">
        <f ca="1">IFERROR(__xludf.DUMMYFUNCTION("""COMPUTED_VALUE"""),"20221208MDSUD")</f>
        <v>20221208MDSUD</v>
      </c>
      <c r="B350" s="1" t="str">
        <f ca="1">IFERROR(__xludf.DUMMYFUNCTION("""COMPUTED_VALUE"""),"Wounded")</f>
        <v>Wounded</v>
      </c>
      <c r="C350" s="1" t="str">
        <f ca="1">IFERROR(__xludf.DUMMYFUNCTION("""COMPUTED_VALUE"""),"Male")</f>
        <v>Male</v>
      </c>
      <c r="D350" s="1" t="str">
        <f ca="1">IFERROR(__xludf.DUMMYFUNCTION("""COMPUTED_VALUE"""),"Student")</f>
        <v>Student</v>
      </c>
      <c r="E350" s="1">
        <f ca="1">IFERROR(__xludf.DUMMYFUNCTION("""COMPUTED_VALUE"""),15)</f>
        <v>15</v>
      </c>
      <c r="F350" s="1"/>
    </row>
    <row r="351" spans="1:6" ht="12.5">
      <c r="A351" s="1" t="str">
        <f ca="1">IFERROR(__xludf.DUMMYFUNCTION("""COMPUTED_VALUE"""),"20221206MOCOS")</f>
        <v>20221206MOCOS</v>
      </c>
      <c r="B351" s="1" t="str">
        <f ca="1">IFERROR(__xludf.DUMMYFUNCTION("""COMPUTED_VALUE"""),"None")</f>
        <v>None</v>
      </c>
      <c r="C351" s="1" t="str">
        <f ca="1">IFERROR(__xludf.DUMMYFUNCTION("""COMPUTED_VALUE"""),"Female")</f>
        <v>Female</v>
      </c>
      <c r="D351" s="1" t="str">
        <f ca="1">IFERROR(__xludf.DUMMYFUNCTION("""COMPUTED_VALUE"""),"Student")</f>
        <v>Student</v>
      </c>
      <c r="E351" s="1" t="str">
        <f ca="1">IFERROR(__xludf.DUMMYFUNCTION("""COMPUTED_VALUE"""),"Teen")</f>
        <v>Teen</v>
      </c>
      <c r="F351" s="1"/>
    </row>
    <row r="352" spans="1:6" ht="12.5">
      <c r="A352" s="1" t="str">
        <f ca="1">IFERROR(__xludf.DUMMYFUNCTION("""COMPUTED_VALUE"""),"20221206ILMIC")</f>
        <v>20221206ILMIC</v>
      </c>
      <c r="B352" s="1" t="str">
        <f ca="1">IFERROR(__xludf.DUMMYFUNCTION("""COMPUTED_VALUE"""),"Fatal")</f>
        <v>Fatal</v>
      </c>
      <c r="C352" s="1">
        <f ca="1">IFERROR(__xludf.DUMMYFUNCTION("""COMPUTED_VALUE"""),15)</f>
        <v>15</v>
      </c>
      <c r="D352" s="1" t="str">
        <f ca="1">IFERROR(__xludf.DUMMYFUNCTION("""COMPUTED_VALUE"""),"Student")</f>
        <v>Student</v>
      </c>
      <c r="E352" s="1">
        <f ca="1">IFERROR(__xludf.DUMMYFUNCTION("""COMPUTED_VALUE"""),15)</f>
        <v>15</v>
      </c>
      <c r="F352" s="1" t="str">
        <f ca="1">IFERROR(__xludf.DUMMYFUNCTION("""COMPUTED_VALUE"""),"Black")</f>
        <v>Black</v>
      </c>
    </row>
    <row r="353" spans="1:6" ht="12.5">
      <c r="A353" s="1" t="str">
        <f ca="1">IFERROR(__xludf.DUMMYFUNCTION("""COMPUTED_VALUE"""),"20221205TNFRM")</f>
        <v>20221205TNFRM</v>
      </c>
      <c r="B353" s="1" t="str">
        <f ca="1">IFERROR(__xludf.DUMMYFUNCTION("""COMPUTED_VALUE"""),"Wounded")</f>
        <v>Wounded</v>
      </c>
      <c r="C353" s="1" t="str">
        <f ca="1">IFERROR(__xludf.DUMMYFUNCTION("""COMPUTED_VALUE"""),"Male")</f>
        <v>Male</v>
      </c>
      <c r="D353" s="1" t="str">
        <f ca="1">IFERROR(__xludf.DUMMYFUNCTION("""COMPUTED_VALUE"""),"Student")</f>
        <v>Student</v>
      </c>
      <c r="E353" s="1">
        <f ca="1">IFERROR(__xludf.DUMMYFUNCTION("""COMPUTED_VALUE"""),15)</f>
        <v>15</v>
      </c>
      <c r="F353" s="1" t="str">
        <f ca="1">IFERROR(__xludf.DUMMYFUNCTION("""COMPUTED_VALUE"""),"Black")</f>
        <v>Black</v>
      </c>
    </row>
    <row r="354" spans="1:6" ht="12.5">
      <c r="A354" s="1" t="str">
        <f ca="1">IFERROR(__xludf.DUMMYFUNCTION("""COMPUTED_VALUE"""),"20221203WISOM")</f>
        <v>20221203WISOM</v>
      </c>
      <c r="B354" s="1" t="str">
        <f ca="1">IFERROR(__xludf.DUMMYFUNCTION("""COMPUTED_VALUE"""),"Fatal")</f>
        <v>Fatal</v>
      </c>
      <c r="C354" s="1" t="str">
        <f ca="1">IFERROR(__xludf.DUMMYFUNCTION("""COMPUTED_VALUE"""),"Male")</f>
        <v>Male</v>
      </c>
      <c r="D354" s="1" t="str">
        <f ca="1">IFERROR(__xludf.DUMMYFUNCTION("""COMPUTED_VALUE"""),"Student")</f>
        <v>Student</v>
      </c>
      <c r="E354" s="1">
        <f ca="1">IFERROR(__xludf.DUMMYFUNCTION("""COMPUTED_VALUE"""),16)</f>
        <v>16</v>
      </c>
      <c r="F354" s="1"/>
    </row>
    <row r="355" spans="1:6" ht="12.5">
      <c r="A355" s="1" t="str">
        <f ca="1">IFERROR(__xludf.DUMMYFUNCTION("""COMPUTED_VALUE"""),"20221121MIHED")</f>
        <v>20221121MIHED</v>
      </c>
      <c r="B355" s="1" t="str">
        <f ca="1">IFERROR(__xludf.DUMMYFUNCTION("""COMPUTED_VALUE"""),"Wounded")</f>
        <v>Wounded</v>
      </c>
      <c r="C355" s="1" t="str">
        <f ca="1">IFERROR(__xludf.DUMMYFUNCTION("""COMPUTED_VALUE"""),"Male")</f>
        <v>Male</v>
      </c>
      <c r="D355" s="1"/>
      <c r="E355" s="1" t="str">
        <f ca="1">IFERROR(__xludf.DUMMYFUNCTION("""COMPUTED_VALUE"""),"Teen")</f>
        <v>Teen</v>
      </c>
      <c r="F355" s="1"/>
    </row>
    <row r="356" spans="1:6" ht="12.5">
      <c r="A356" s="1" t="str">
        <f ca="1">IFERROR(__xludf.DUMMYFUNCTION("""COMPUTED_VALUE"""),"20221121MIHED")</f>
        <v>20221121MIHED</v>
      </c>
      <c r="B356" s="1" t="str">
        <f ca="1">IFERROR(__xludf.DUMMYFUNCTION("""COMPUTED_VALUE"""),"Wounded")</f>
        <v>Wounded</v>
      </c>
      <c r="C356" s="1" t="str">
        <f ca="1">IFERROR(__xludf.DUMMYFUNCTION("""COMPUTED_VALUE"""),"Male")</f>
        <v>Male</v>
      </c>
      <c r="D356" s="1"/>
      <c r="E356" s="1" t="str">
        <f ca="1">IFERROR(__xludf.DUMMYFUNCTION("""COMPUTED_VALUE"""),"Teen")</f>
        <v>Teen</v>
      </c>
      <c r="F356" s="1"/>
    </row>
    <row r="357" spans="1:6" ht="12.5">
      <c r="A357" s="1" t="str">
        <f ca="1">IFERROR(__xludf.DUMMYFUNCTION("""COMPUTED_VALUE"""),"20221117INSOC")</f>
        <v>20221117INSOC</v>
      </c>
      <c r="B357" s="1" t="str">
        <f ca="1">IFERROR(__xludf.DUMMYFUNCTION("""COMPUTED_VALUE"""),"Wounded")</f>
        <v>Wounded</v>
      </c>
      <c r="C357" s="1" t="str">
        <f ca="1">IFERROR(__xludf.DUMMYFUNCTION("""COMPUTED_VALUE"""),"Male")</f>
        <v>Male</v>
      </c>
      <c r="D357" s="1" t="str">
        <f ca="1">IFERROR(__xludf.DUMMYFUNCTION("""COMPUTED_VALUE"""),"Student")</f>
        <v>Student</v>
      </c>
      <c r="E357" s="1">
        <f ca="1">IFERROR(__xludf.DUMMYFUNCTION("""COMPUTED_VALUE"""),17)</f>
        <v>17</v>
      </c>
      <c r="F357" s="1"/>
    </row>
    <row r="358" spans="1:6" ht="12.5">
      <c r="A358" s="1" t="str">
        <f ca="1">IFERROR(__xludf.DUMMYFUNCTION("""COMPUTED_VALUE"""),"20221116NCLUL")</f>
        <v>20221116NCLUL</v>
      </c>
      <c r="B358" s="1" t="str">
        <f ca="1">IFERROR(__xludf.DUMMYFUNCTION("""COMPUTED_VALUE"""),"Wounded")</f>
        <v>Wounded</v>
      </c>
      <c r="C358" s="1" t="str">
        <f ca="1">IFERROR(__xludf.DUMMYFUNCTION("""COMPUTED_VALUE"""),"Female")</f>
        <v>Female</v>
      </c>
      <c r="D358" s="1" t="str">
        <f ca="1">IFERROR(__xludf.DUMMYFUNCTION("""COMPUTED_VALUE"""),"Nonstudent Using Athletic Facilities/Attending Game")</f>
        <v>Nonstudent Using Athletic Facilities/Attending Game</v>
      </c>
      <c r="E358" s="1">
        <f ca="1">IFERROR(__xludf.DUMMYFUNCTION("""COMPUTED_VALUE"""),43)</f>
        <v>43</v>
      </c>
      <c r="F358" s="1"/>
    </row>
    <row r="359" spans="1:6" ht="12.5">
      <c r="A359" s="1" t="str">
        <f ca="1">IFERROR(__xludf.DUMMYFUNCTION("""COMPUTED_VALUE"""),"20221115TNMAN")</f>
        <v>20221115TNMAN</v>
      </c>
      <c r="B359" s="1" t="str">
        <f ca="1">IFERROR(__xludf.DUMMYFUNCTION("""COMPUTED_VALUE"""),"Wounded")</f>
        <v>Wounded</v>
      </c>
      <c r="C359" s="1" t="str">
        <f ca="1">IFERROR(__xludf.DUMMYFUNCTION("""COMPUTED_VALUE"""),"Female")</f>
        <v>Female</v>
      </c>
      <c r="D359" s="1" t="str">
        <f ca="1">IFERROR(__xludf.DUMMYFUNCTION("""COMPUTED_VALUE"""),"No Relation")</f>
        <v>No Relation</v>
      </c>
      <c r="E359" s="1">
        <f ca="1">IFERROR(__xludf.DUMMYFUNCTION("""COMPUTED_VALUE"""),19)</f>
        <v>19</v>
      </c>
      <c r="F359" s="1" t="str">
        <f ca="1">IFERROR(__xludf.DUMMYFUNCTION("""COMPUTED_VALUE"""),"Black")</f>
        <v>Black</v>
      </c>
    </row>
    <row r="360" spans="1:6" ht="12.5">
      <c r="A360" s="1" t="str">
        <f ca="1">IFERROR(__xludf.DUMMYFUNCTION("""COMPUTED_VALUE"""),"20221112FLJOO")</f>
        <v>20221112FLJOO</v>
      </c>
      <c r="B360" s="1" t="str">
        <f ca="1">IFERROR(__xludf.DUMMYFUNCTION("""COMPUTED_VALUE"""),"Fatal")</f>
        <v>Fatal</v>
      </c>
      <c r="C360" s="1" t="str">
        <f ca="1">IFERROR(__xludf.DUMMYFUNCTION("""COMPUTED_VALUE"""),"Male")</f>
        <v>Male</v>
      </c>
      <c r="D360" s="1" t="str">
        <f ca="1">IFERROR(__xludf.DUMMYFUNCTION("""COMPUTED_VALUE"""),"Former Student")</f>
        <v>Former Student</v>
      </c>
      <c r="E360" s="1">
        <f ca="1">IFERROR(__xludf.DUMMYFUNCTION("""COMPUTED_VALUE"""),19)</f>
        <v>19</v>
      </c>
      <c r="F360" s="1"/>
    </row>
    <row r="361" spans="1:6" ht="12.5">
      <c r="A361" s="1" t="str">
        <f ca="1">IFERROR(__xludf.DUMMYFUNCTION("""COMPUTED_VALUE"""),"20221112FLJOO")</f>
        <v>20221112FLJOO</v>
      </c>
      <c r="B361" s="1" t="str">
        <f ca="1">IFERROR(__xludf.DUMMYFUNCTION("""COMPUTED_VALUE"""),"Wounded")</f>
        <v>Wounded</v>
      </c>
      <c r="C361" s="1" t="str">
        <f ca="1">IFERROR(__xludf.DUMMYFUNCTION("""COMPUTED_VALUE"""),"Male")</f>
        <v>Male</v>
      </c>
      <c r="D361" s="1" t="str">
        <f ca="1">IFERROR(__xludf.DUMMYFUNCTION("""COMPUTED_VALUE"""),"Nonstudent Using Athletic Facilities/Attending Game")</f>
        <v>Nonstudent Using Athletic Facilities/Attending Game</v>
      </c>
      <c r="E361" s="1" t="str">
        <f ca="1">IFERROR(__xludf.DUMMYFUNCTION("""COMPUTED_VALUE"""),"Adult")</f>
        <v>Adult</v>
      </c>
      <c r="F361" s="1"/>
    </row>
    <row r="362" spans="1:6" ht="12.5">
      <c r="A362" s="1" t="str">
        <f ca="1">IFERROR(__xludf.DUMMYFUNCTION("""COMPUTED_VALUE"""),"20221112FLJOO")</f>
        <v>20221112FLJOO</v>
      </c>
      <c r="B362" s="1" t="str">
        <f ca="1">IFERROR(__xludf.DUMMYFUNCTION("""COMPUTED_VALUE"""),"Wounded")</f>
        <v>Wounded</v>
      </c>
      <c r="C362" s="1" t="str">
        <f ca="1">IFERROR(__xludf.DUMMYFUNCTION("""COMPUTED_VALUE"""),"Male")</f>
        <v>Male</v>
      </c>
      <c r="D362" s="1" t="str">
        <f ca="1">IFERROR(__xludf.DUMMYFUNCTION("""COMPUTED_VALUE"""),"Nonstudent Using Athletic Facilities/Attending Game")</f>
        <v>Nonstudent Using Athletic Facilities/Attending Game</v>
      </c>
      <c r="E362" s="1" t="str">
        <f ca="1">IFERROR(__xludf.DUMMYFUNCTION("""COMPUTED_VALUE"""),"Adult")</f>
        <v>Adult</v>
      </c>
      <c r="F362" s="1"/>
    </row>
    <row r="363" spans="1:6" ht="12.5">
      <c r="A363" s="1" t="str">
        <f ca="1">IFERROR(__xludf.DUMMYFUNCTION("""COMPUTED_VALUE"""),"20221111MSRAR")</f>
        <v>20221111MSRAR</v>
      </c>
      <c r="B363" s="1" t="str">
        <f ca="1">IFERROR(__xludf.DUMMYFUNCTION("""COMPUTED_VALUE"""),"Wounded")</f>
        <v>Wounded</v>
      </c>
      <c r="C363" s="1" t="str">
        <f ca="1">IFERROR(__xludf.DUMMYFUNCTION("""COMPUTED_VALUE"""),"Female")</f>
        <v>Female</v>
      </c>
      <c r="D363" s="1" t="str">
        <f ca="1">IFERROR(__xludf.DUMMYFUNCTION("""COMPUTED_VALUE"""),"Nonstudent Using Athletic Facilities/Attending Game")</f>
        <v>Nonstudent Using Athletic Facilities/Attending Game</v>
      </c>
      <c r="E363" s="1">
        <f ca="1">IFERROR(__xludf.DUMMYFUNCTION("""COMPUTED_VALUE"""),21)</f>
        <v>21</v>
      </c>
      <c r="F363" s="1" t="str">
        <f ca="1">IFERROR(__xludf.DUMMYFUNCTION("""COMPUTED_VALUE"""),"Black")</f>
        <v>Black</v>
      </c>
    </row>
    <row r="364" spans="1:6" ht="12.5">
      <c r="A364" s="1" t="str">
        <f ca="1">IFERROR(__xludf.DUMMYFUNCTION("""COMPUTED_VALUE"""),"20221108WAINS")</f>
        <v>20221108WAINS</v>
      </c>
      <c r="B364" s="1" t="str">
        <f ca="1">IFERROR(__xludf.DUMMYFUNCTION("""COMPUTED_VALUE"""),"Fatal")</f>
        <v>Fatal</v>
      </c>
      <c r="C364" s="1" t="str">
        <f ca="1">IFERROR(__xludf.DUMMYFUNCTION("""COMPUTED_VALUE"""),"Male")</f>
        <v>Male</v>
      </c>
      <c r="D364" s="1" t="str">
        <f ca="1">IFERROR(__xludf.DUMMYFUNCTION("""COMPUTED_VALUE"""),"Student")</f>
        <v>Student</v>
      </c>
      <c r="E364" s="1">
        <f ca="1">IFERROR(__xludf.DUMMYFUNCTION("""COMPUTED_VALUE"""),17)</f>
        <v>17</v>
      </c>
      <c r="F364" s="1"/>
    </row>
    <row r="365" spans="1:6" ht="12.5">
      <c r="A365" s="1" t="str">
        <f ca="1">IFERROR(__xludf.DUMMYFUNCTION("""COMPUTED_VALUE"""),"20221105TXDAF")</f>
        <v>20221105TXDAF</v>
      </c>
      <c r="B365" s="1" t="str">
        <f ca="1">IFERROR(__xludf.DUMMYFUNCTION("""COMPUTED_VALUE"""),"Wounded")</f>
        <v>Wounded</v>
      </c>
      <c r="C365" s="1" t="str">
        <f ca="1">IFERROR(__xludf.DUMMYFUNCTION("""COMPUTED_VALUE"""),"Female")</f>
        <v>Female</v>
      </c>
      <c r="D365" s="1" t="str">
        <f ca="1">IFERROR(__xludf.DUMMYFUNCTION("""COMPUTED_VALUE"""),"Police Officer/SRO")</f>
        <v>Police Officer/SRO</v>
      </c>
      <c r="E365" s="1" t="str">
        <f ca="1">IFERROR(__xludf.DUMMYFUNCTION("""COMPUTED_VALUE"""),"Adult")</f>
        <v>Adult</v>
      </c>
      <c r="F365" s="1"/>
    </row>
    <row r="366" spans="1:6" ht="12.5">
      <c r="A366" s="1" t="str">
        <f ca="1">IFERROR(__xludf.DUMMYFUNCTION("""COMPUTED_VALUE"""),"20221103GASHS")</f>
        <v>20221103GASHS</v>
      </c>
      <c r="B366" s="1" t="str">
        <f ca="1">IFERROR(__xludf.DUMMYFUNCTION("""COMPUTED_VALUE"""),"Wounded")</f>
        <v>Wounded</v>
      </c>
      <c r="C366" s="1"/>
      <c r="D366" s="1"/>
      <c r="E366" s="1"/>
      <c r="F366" s="1"/>
    </row>
    <row r="367" spans="1:6" ht="12.5">
      <c r="A367" s="1" t="str">
        <f ca="1">IFERROR(__xludf.DUMMYFUNCTION("""COMPUTED_VALUE"""),"20221029TXAVA")</f>
        <v>20221029TXAVA</v>
      </c>
      <c r="B367" s="1" t="str">
        <f ca="1">IFERROR(__xludf.DUMMYFUNCTION("""COMPUTED_VALUE"""),"Wounded")</f>
        <v>Wounded</v>
      </c>
      <c r="C367" s="1" t="str">
        <f ca="1">IFERROR(__xludf.DUMMYFUNCTION("""COMPUTED_VALUE"""),"Male")</f>
        <v>Male</v>
      </c>
      <c r="D367" s="1" t="str">
        <f ca="1">IFERROR(__xludf.DUMMYFUNCTION("""COMPUTED_VALUE"""),"No Relation")</f>
        <v>No Relation</v>
      </c>
      <c r="E367" s="1"/>
      <c r="F367" s="1"/>
    </row>
    <row r="368" spans="1:6" ht="12.5">
      <c r="A368" s="1" t="str">
        <f ca="1">IFERROR(__xludf.DUMMYFUNCTION("""COMPUTED_VALUE"""),"20221028TXROR")</f>
        <v>20221028TXROR</v>
      </c>
      <c r="B368" s="1" t="str">
        <f ca="1">IFERROR(__xludf.DUMMYFUNCTION("""COMPUTED_VALUE"""),"Non-gunshot Injury")</f>
        <v>Non-gunshot Injury</v>
      </c>
      <c r="C368" s="1" t="str">
        <f ca="1">IFERROR(__xludf.DUMMYFUNCTION("""COMPUTED_VALUE"""),"Male")</f>
        <v>Male</v>
      </c>
      <c r="D368" s="1" t="str">
        <f ca="1">IFERROR(__xludf.DUMMYFUNCTION("""COMPUTED_VALUE"""),"Student")</f>
        <v>Student</v>
      </c>
      <c r="E368" s="1" t="str">
        <f ca="1">IFERROR(__xludf.DUMMYFUNCTION("""COMPUTED_VALUE"""),"Teen")</f>
        <v>Teen</v>
      </c>
      <c r="F368" s="1"/>
    </row>
    <row r="369" spans="1:6" ht="12.5">
      <c r="A369" s="1" t="str">
        <f ca="1">IFERROR(__xludf.DUMMYFUNCTION("""COMPUTED_VALUE"""),"20221026ILMIW")</f>
        <v>20221026ILMIW</v>
      </c>
      <c r="B369" s="1" t="str">
        <f ca="1">IFERROR(__xludf.DUMMYFUNCTION("""COMPUTED_VALUE"""),"Wounded")</f>
        <v>Wounded</v>
      </c>
      <c r="C369" s="1" t="str">
        <f ca="1">IFERROR(__xludf.DUMMYFUNCTION("""COMPUTED_VALUE"""),"Male")</f>
        <v>Male</v>
      </c>
      <c r="D369" s="1" t="str">
        <f ca="1">IFERROR(__xludf.DUMMYFUNCTION("""COMPUTED_VALUE"""),"No Relation")</f>
        <v>No Relation</v>
      </c>
      <c r="E369" s="1">
        <f ca="1">IFERROR(__xludf.DUMMYFUNCTION("""COMPUTED_VALUE"""),16)</f>
        <v>16</v>
      </c>
      <c r="F369" s="1"/>
    </row>
    <row r="370" spans="1:6" ht="12.5">
      <c r="A370" s="1" t="str">
        <f ca="1">IFERROR(__xludf.DUMMYFUNCTION("""COMPUTED_VALUE"""),"20221025NYTOS")</f>
        <v>20221025NYTOS</v>
      </c>
      <c r="B370" s="1" t="str">
        <f ca="1">IFERROR(__xludf.DUMMYFUNCTION("""COMPUTED_VALUE"""),"Wounded")</f>
        <v>Wounded</v>
      </c>
      <c r="C370" s="1" t="str">
        <f ca="1">IFERROR(__xludf.DUMMYFUNCTION("""COMPUTED_VALUE"""),"Male")</f>
        <v>Male</v>
      </c>
      <c r="D370" s="1" t="str">
        <f ca="1">IFERROR(__xludf.DUMMYFUNCTION("""COMPUTED_VALUE"""),"Student")</f>
        <v>Student</v>
      </c>
      <c r="E370" s="1" t="str">
        <f ca="1">IFERROR(__xludf.DUMMYFUNCTION("""COMPUTED_VALUE"""),"Teen")</f>
        <v>Teen</v>
      </c>
      <c r="F370" s="1"/>
    </row>
    <row r="371" spans="1:6" ht="12.5">
      <c r="A371" s="1" t="str">
        <f ca="1">IFERROR(__xludf.DUMMYFUNCTION("""COMPUTED_VALUE"""),"20221024MOCES")</f>
        <v>20221024MOCES</v>
      </c>
      <c r="B371" s="1" t="str">
        <f ca="1">IFERROR(__xludf.DUMMYFUNCTION("""COMPUTED_VALUE"""),"Fatal")</f>
        <v>Fatal</v>
      </c>
      <c r="C371" s="1" t="str">
        <f ca="1">IFERROR(__xludf.DUMMYFUNCTION("""COMPUTED_VALUE"""),"Female")</f>
        <v>Female</v>
      </c>
      <c r="D371" s="1" t="str">
        <f ca="1">IFERROR(__xludf.DUMMYFUNCTION("""COMPUTED_VALUE"""),"Student")</f>
        <v>Student</v>
      </c>
      <c r="E371" s="1" t="str">
        <f ca="1">IFERROR(__xludf.DUMMYFUNCTION("""COMPUTED_VALUE"""),"Teen")</f>
        <v>Teen</v>
      </c>
      <c r="F371" s="1"/>
    </row>
    <row r="372" spans="1:6" ht="12.5">
      <c r="A372" s="1" t="str">
        <f ca="1">IFERROR(__xludf.DUMMYFUNCTION("""COMPUTED_VALUE"""),"20221024MOCES")</f>
        <v>20221024MOCES</v>
      </c>
      <c r="B372" s="1" t="str">
        <f ca="1">IFERROR(__xludf.DUMMYFUNCTION("""COMPUTED_VALUE"""),"Fatal")</f>
        <v>Fatal</v>
      </c>
      <c r="C372" s="1" t="str">
        <f ca="1">IFERROR(__xludf.DUMMYFUNCTION("""COMPUTED_VALUE"""),"Female")</f>
        <v>Female</v>
      </c>
      <c r="D372" s="1" t="str">
        <f ca="1">IFERROR(__xludf.DUMMYFUNCTION("""COMPUTED_VALUE"""),"Teacher")</f>
        <v>Teacher</v>
      </c>
      <c r="E372" s="1">
        <f ca="1">IFERROR(__xludf.DUMMYFUNCTION("""COMPUTED_VALUE"""),61)</f>
        <v>61</v>
      </c>
      <c r="F372" s="1"/>
    </row>
    <row r="373" spans="1:6" ht="12.5">
      <c r="A373" s="1" t="str">
        <f ca="1">IFERROR(__xludf.DUMMYFUNCTION("""COMPUTED_VALUE"""),"20221024MOCES")</f>
        <v>20221024MOCES</v>
      </c>
      <c r="B373" s="1" t="str">
        <f ca="1">IFERROR(__xludf.DUMMYFUNCTION("""COMPUTED_VALUE"""),"Wounded")</f>
        <v>Wounded</v>
      </c>
      <c r="C373" s="1"/>
      <c r="D373" s="1" t="str">
        <f ca="1">IFERROR(__xludf.DUMMYFUNCTION("""COMPUTED_VALUE"""),"Student")</f>
        <v>Student</v>
      </c>
      <c r="E373" s="1" t="str">
        <f ca="1">IFERROR(__xludf.DUMMYFUNCTION("""COMPUTED_VALUE"""),"Teen")</f>
        <v>Teen</v>
      </c>
      <c r="F373" s="1"/>
    </row>
    <row r="374" spans="1:6" ht="12.5">
      <c r="A374" s="1" t="str">
        <f ca="1">IFERROR(__xludf.DUMMYFUNCTION("""COMPUTED_VALUE"""),"20221024MOCES")</f>
        <v>20221024MOCES</v>
      </c>
      <c r="B374" s="1" t="str">
        <f ca="1">IFERROR(__xludf.DUMMYFUNCTION("""COMPUTED_VALUE"""),"Wounded")</f>
        <v>Wounded</v>
      </c>
      <c r="C374" s="1"/>
      <c r="D374" s="1" t="str">
        <f ca="1">IFERROR(__xludf.DUMMYFUNCTION("""COMPUTED_VALUE"""),"Student")</f>
        <v>Student</v>
      </c>
      <c r="E374" s="1" t="str">
        <f ca="1">IFERROR(__xludf.DUMMYFUNCTION("""COMPUTED_VALUE"""),"Teen")</f>
        <v>Teen</v>
      </c>
      <c r="F374" s="1"/>
    </row>
    <row r="375" spans="1:6" ht="12.5">
      <c r="A375" s="1" t="str">
        <f ca="1">IFERROR(__xludf.DUMMYFUNCTION("""COMPUTED_VALUE"""),"20221024MOCES")</f>
        <v>20221024MOCES</v>
      </c>
      <c r="B375" s="1" t="str">
        <f ca="1">IFERROR(__xludf.DUMMYFUNCTION("""COMPUTED_VALUE"""),"Wounded")</f>
        <v>Wounded</v>
      </c>
      <c r="C375" s="1"/>
      <c r="D375" s="1" t="str">
        <f ca="1">IFERROR(__xludf.DUMMYFUNCTION("""COMPUTED_VALUE"""),"Student")</f>
        <v>Student</v>
      </c>
      <c r="E375" s="1" t="str">
        <f ca="1">IFERROR(__xludf.DUMMYFUNCTION("""COMPUTED_VALUE"""),"Teen")</f>
        <v>Teen</v>
      </c>
      <c r="F375" s="1"/>
    </row>
    <row r="376" spans="1:6" ht="12.5">
      <c r="A376" s="1" t="str">
        <f ca="1">IFERROR(__xludf.DUMMYFUNCTION("""COMPUTED_VALUE"""),"20221024MOCES")</f>
        <v>20221024MOCES</v>
      </c>
      <c r="B376" s="1" t="str">
        <f ca="1">IFERROR(__xludf.DUMMYFUNCTION("""COMPUTED_VALUE"""),"Wounded")</f>
        <v>Wounded</v>
      </c>
      <c r="C376" s="1"/>
      <c r="D376" s="1" t="str">
        <f ca="1">IFERROR(__xludf.DUMMYFUNCTION("""COMPUTED_VALUE"""),"Student")</f>
        <v>Student</v>
      </c>
      <c r="E376" s="1" t="str">
        <f ca="1">IFERROR(__xludf.DUMMYFUNCTION("""COMPUTED_VALUE"""),"Teen")</f>
        <v>Teen</v>
      </c>
      <c r="F376" s="1"/>
    </row>
    <row r="377" spans="1:6" ht="12.5">
      <c r="A377" s="1" t="str">
        <f ca="1">IFERROR(__xludf.DUMMYFUNCTION("""COMPUTED_VALUE"""),"20221024MOCES")</f>
        <v>20221024MOCES</v>
      </c>
      <c r="B377" s="1" t="str">
        <f ca="1">IFERROR(__xludf.DUMMYFUNCTION("""COMPUTED_VALUE"""),"Wounded")</f>
        <v>Wounded</v>
      </c>
      <c r="C377" s="1"/>
      <c r="D377" s="1" t="str">
        <f ca="1">IFERROR(__xludf.DUMMYFUNCTION("""COMPUTED_VALUE"""),"Student")</f>
        <v>Student</v>
      </c>
      <c r="E377" s="1" t="str">
        <f ca="1">IFERROR(__xludf.DUMMYFUNCTION("""COMPUTED_VALUE"""),"Teen")</f>
        <v>Teen</v>
      </c>
      <c r="F377" s="1"/>
    </row>
    <row r="378" spans="1:6" ht="12.5">
      <c r="A378" s="1" t="str">
        <f ca="1">IFERROR(__xludf.DUMMYFUNCTION("""COMPUTED_VALUE"""),"20221024MOCES")</f>
        <v>20221024MOCES</v>
      </c>
      <c r="B378" s="1" t="str">
        <f ca="1">IFERROR(__xludf.DUMMYFUNCTION("""COMPUTED_VALUE"""),"Wounded")</f>
        <v>Wounded</v>
      </c>
      <c r="C378" s="1"/>
      <c r="D378" s="1" t="str">
        <f ca="1">IFERROR(__xludf.DUMMYFUNCTION("""COMPUTED_VALUE"""),"Student")</f>
        <v>Student</v>
      </c>
      <c r="E378" s="1" t="str">
        <f ca="1">IFERROR(__xludf.DUMMYFUNCTION("""COMPUTED_VALUE"""),"Teen")</f>
        <v>Teen</v>
      </c>
      <c r="F378" s="1"/>
    </row>
    <row r="379" spans="1:6" ht="12.5">
      <c r="A379" s="1" t="str">
        <f ca="1">IFERROR(__xludf.DUMMYFUNCTION("""COMPUTED_VALUE"""),"20221024MOCES")</f>
        <v>20221024MOCES</v>
      </c>
      <c r="B379" s="1" t="str">
        <f ca="1">IFERROR(__xludf.DUMMYFUNCTION("""COMPUTED_VALUE"""),"Wounded")</f>
        <v>Wounded</v>
      </c>
      <c r="C379" s="1"/>
      <c r="D379" s="1" t="str">
        <f ca="1">IFERROR(__xludf.DUMMYFUNCTION("""COMPUTED_VALUE"""),"Student")</f>
        <v>Student</v>
      </c>
      <c r="E379" s="1" t="str">
        <f ca="1">IFERROR(__xludf.DUMMYFUNCTION("""COMPUTED_VALUE"""),"Teen")</f>
        <v>Teen</v>
      </c>
      <c r="F379" s="1"/>
    </row>
    <row r="380" spans="1:6" ht="12.5">
      <c r="A380" s="1" t="str">
        <f ca="1">IFERROR(__xludf.DUMMYFUNCTION("""COMPUTED_VALUE"""),"20221022OHDUC")</f>
        <v>20221022OHDUC</v>
      </c>
      <c r="B380" s="1" t="str">
        <f ca="1">IFERROR(__xludf.DUMMYFUNCTION("""COMPUTED_VALUE"""),"Wounded")</f>
        <v>Wounded</v>
      </c>
      <c r="C380" s="1" t="str">
        <f ca="1">IFERROR(__xludf.DUMMYFUNCTION("""COMPUTED_VALUE"""),"Female")</f>
        <v>Female</v>
      </c>
      <c r="D380" s="1" t="str">
        <f ca="1">IFERROR(__xludf.DUMMYFUNCTION("""COMPUTED_VALUE"""),"No Relation")</f>
        <v>No Relation</v>
      </c>
      <c r="E380" s="1">
        <f ca="1">IFERROR(__xludf.DUMMYFUNCTION("""COMPUTED_VALUE"""),17)</f>
        <v>17</v>
      </c>
      <c r="F380" s="1"/>
    </row>
    <row r="381" spans="1:6" ht="12.5">
      <c r="A381" s="1" t="str">
        <f ca="1">IFERROR(__xludf.DUMMYFUNCTION("""COMPUTED_VALUE"""),"20221022ILCHC")</f>
        <v>20221022ILCHC</v>
      </c>
      <c r="B381" s="1" t="str">
        <f ca="1">IFERROR(__xludf.DUMMYFUNCTION("""COMPUTED_VALUE"""),"Fatal")</f>
        <v>Fatal</v>
      </c>
      <c r="C381" s="1" t="str">
        <f ca="1">IFERROR(__xludf.DUMMYFUNCTION("""COMPUTED_VALUE"""),"Male")</f>
        <v>Male</v>
      </c>
      <c r="D381" s="1" t="str">
        <f ca="1">IFERROR(__xludf.DUMMYFUNCTION("""COMPUTED_VALUE"""),"No Relation")</f>
        <v>No Relation</v>
      </c>
      <c r="E381" s="1">
        <f ca="1">IFERROR(__xludf.DUMMYFUNCTION("""COMPUTED_VALUE"""),16)</f>
        <v>16</v>
      </c>
      <c r="F381" s="1"/>
    </row>
    <row r="382" spans="1:6" ht="12.5">
      <c r="A382" s="1" t="str">
        <f ca="1">IFERROR(__xludf.DUMMYFUNCTION("""COMPUTED_VALUE"""),"20221022ILCHC")</f>
        <v>20221022ILCHC</v>
      </c>
      <c r="B382" s="1" t="str">
        <f ca="1">IFERROR(__xludf.DUMMYFUNCTION("""COMPUTED_VALUE"""),"Wounded")</f>
        <v>Wounded</v>
      </c>
      <c r="C382" s="1" t="str">
        <f ca="1">IFERROR(__xludf.DUMMYFUNCTION("""COMPUTED_VALUE"""),"Female")</f>
        <v>Female</v>
      </c>
      <c r="D382" s="1" t="str">
        <f ca="1">IFERROR(__xludf.DUMMYFUNCTION("""COMPUTED_VALUE"""),"No Relation")</f>
        <v>No Relation</v>
      </c>
      <c r="E382" s="1">
        <f ca="1">IFERROR(__xludf.DUMMYFUNCTION("""COMPUTED_VALUE"""),13)</f>
        <v>13</v>
      </c>
      <c r="F382" s="1"/>
    </row>
    <row r="383" spans="1:6" ht="12.5">
      <c r="A383" s="1" t="str">
        <f ca="1">IFERROR(__xludf.DUMMYFUNCTION("""COMPUTED_VALUE"""),"20221021OHSHS")</f>
        <v>20221021OHSHS</v>
      </c>
      <c r="B383" s="1" t="str">
        <f ca="1">IFERROR(__xludf.DUMMYFUNCTION("""COMPUTED_VALUE"""),"Wounded")</f>
        <v>Wounded</v>
      </c>
      <c r="C383" s="1" t="str">
        <f ca="1">IFERROR(__xludf.DUMMYFUNCTION("""COMPUTED_VALUE"""),"Male")</f>
        <v>Male</v>
      </c>
      <c r="D383" s="1" t="str">
        <f ca="1">IFERROR(__xludf.DUMMYFUNCTION("""COMPUTED_VALUE"""),"No Relation")</f>
        <v>No Relation</v>
      </c>
      <c r="E383" s="1" t="str">
        <f ca="1">IFERROR(__xludf.DUMMYFUNCTION("""COMPUTED_VALUE"""),"Adult")</f>
        <v>Adult</v>
      </c>
      <c r="F383" s="1"/>
    </row>
    <row r="384" spans="1:6" ht="12.5">
      <c r="A384" s="1" t="str">
        <f ca="1">IFERROR(__xludf.DUMMYFUNCTION("""COMPUTED_VALUE"""),"20221021CAGRS")</f>
        <v>20221021CAGRS</v>
      </c>
      <c r="B384" s="1" t="str">
        <f ca="1">IFERROR(__xludf.DUMMYFUNCTION("""COMPUTED_VALUE"""),"Fatal")</f>
        <v>Fatal</v>
      </c>
      <c r="C384" s="1" t="str">
        <f ca="1">IFERROR(__xludf.DUMMYFUNCTION("""COMPUTED_VALUE"""),"Male")</f>
        <v>Male</v>
      </c>
      <c r="D384" s="1" t="str">
        <f ca="1">IFERROR(__xludf.DUMMYFUNCTION("""COMPUTED_VALUE"""),"Nonstudent Using Athletic Facilities/Attending Game")</f>
        <v>Nonstudent Using Athletic Facilities/Attending Game</v>
      </c>
      <c r="E384" s="1">
        <f ca="1">IFERROR(__xludf.DUMMYFUNCTION("""COMPUTED_VALUE"""),24)</f>
        <v>24</v>
      </c>
      <c r="F384" s="1"/>
    </row>
    <row r="385" spans="1:6" ht="12.5">
      <c r="A385" s="1" t="str">
        <f ca="1">IFERROR(__xludf.DUMMYFUNCTION("""COMPUTED_VALUE"""),"20221020PAPAP")</f>
        <v>20221020PAPAP</v>
      </c>
      <c r="B385" s="1" t="str">
        <f ca="1">IFERROR(__xludf.DUMMYFUNCTION("""COMPUTED_VALUE"""),"Wounded")</f>
        <v>Wounded</v>
      </c>
      <c r="C385" s="1" t="str">
        <f ca="1">IFERROR(__xludf.DUMMYFUNCTION("""COMPUTED_VALUE"""),"Male")</f>
        <v>Male</v>
      </c>
      <c r="D385" s="1" t="str">
        <f ca="1">IFERROR(__xludf.DUMMYFUNCTION("""COMPUTED_VALUE"""),"No Relation")</f>
        <v>No Relation</v>
      </c>
      <c r="E385" s="1" t="str">
        <f ca="1">IFERROR(__xludf.DUMMYFUNCTION("""COMPUTED_VALUE"""),"Adult")</f>
        <v>Adult</v>
      </c>
      <c r="F385" s="1"/>
    </row>
    <row r="386" spans="1:6" ht="12.5">
      <c r="A386" s="1" t="str">
        <f ca="1">IFERROR(__xludf.DUMMYFUNCTION("""COMPUTED_VALUE"""),"20221019TNROR")</f>
        <v>20221019TNROR</v>
      </c>
      <c r="B386" s="1" t="str">
        <f ca="1">IFERROR(__xludf.DUMMYFUNCTION("""COMPUTED_VALUE"""),"Wounded")</f>
        <v>Wounded</v>
      </c>
      <c r="C386" s="1" t="str">
        <f ca="1">IFERROR(__xludf.DUMMYFUNCTION("""COMPUTED_VALUE"""),"Female")</f>
        <v>Female</v>
      </c>
      <c r="D386" s="1"/>
      <c r="E386" s="1">
        <f ca="1">IFERROR(__xludf.DUMMYFUNCTION("""COMPUTED_VALUE"""),17)</f>
        <v>17</v>
      </c>
      <c r="F386" s="1"/>
    </row>
    <row r="387" spans="1:6" ht="12.5">
      <c r="A387" s="1" t="str">
        <f ca="1">IFERROR(__xludf.DUMMYFUNCTION("""COMPUTED_VALUE"""),"20221018NVSUL")</f>
        <v>20221018NVSUL</v>
      </c>
      <c r="B387" s="1" t="str">
        <f ca="1">IFERROR(__xludf.DUMMYFUNCTION("""COMPUTED_VALUE"""),"Fatal")</f>
        <v>Fatal</v>
      </c>
      <c r="C387" s="1" t="str">
        <f ca="1">IFERROR(__xludf.DUMMYFUNCTION("""COMPUTED_VALUE"""),"Male")</f>
        <v>Male</v>
      </c>
      <c r="D387" s="1" t="str">
        <f ca="1">IFERROR(__xludf.DUMMYFUNCTION("""COMPUTED_VALUE"""),"No Relation")</f>
        <v>No Relation</v>
      </c>
      <c r="E387" s="1" t="str">
        <f ca="1">IFERROR(__xludf.DUMMYFUNCTION("""COMPUTED_VALUE"""),"Adult")</f>
        <v>Adult</v>
      </c>
      <c r="F387" s="1"/>
    </row>
    <row r="388" spans="1:6" ht="12.5">
      <c r="A388" s="1" t="str">
        <f ca="1">IFERROR(__xludf.DUMMYFUNCTION("""COMPUTED_VALUE"""),"20221018ORJEP")</f>
        <v>20221018ORJEP</v>
      </c>
      <c r="B388" s="1" t="str">
        <f ca="1">IFERROR(__xludf.DUMMYFUNCTION("""COMPUTED_VALUE"""),"Wounded")</f>
        <v>Wounded</v>
      </c>
      <c r="C388" s="1" t="str">
        <f ca="1">IFERROR(__xludf.DUMMYFUNCTION("""COMPUTED_VALUE"""),"Male")</f>
        <v>Male</v>
      </c>
      <c r="D388" s="1" t="str">
        <f ca="1">IFERROR(__xludf.DUMMYFUNCTION("""COMPUTED_VALUE"""),"Student")</f>
        <v>Student</v>
      </c>
      <c r="E388" s="1" t="str">
        <f ca="1">IFERROR(__xludf.DUMMYFUNCTION("""COMPUTED_VALUE"""),"Teen")</f>
        <v>Teen</v>
      </c>
      <c r="F388" s="1"/>
    </row>
    <row r="389" spans="1:6" ht="12.5">
      <c r="A389" s="1" t="str">
        <f ca="1">IFERROR(__xludf.DUMMYFUNCTION("""COMPUTED_VALUE"""),"20221018ORJEP")</f>
        <v>20221018ORJEP</v>
      </c>
      <c r="B389" s="1" t="str">
        <f ca="1">IFERROR(__xludf.DUMMYFUNCTION("""COMPUTED_VALUE"""),"Wounded")</f>
        <v>Wounded</v>
      </c>
      <c r="C389" s="1" t="str">
        <f ca="1">IFERROR(__xludf.DUMMYFUNCTION("""COMPUTED_VALUE"""),"Male")</f>
        <v>Male</v>
      </c>
      <c r="D389" s="1" t="str">
        <f ca="1">IFERROR(__xludf.DUMMYFUNCTION("""COMPUTED_VALUE"""),"Student")</f>
        <v>Student</v>
      </c>
      <c r="E389" s="1" t="str">
        <f ca="1">IFERROR(__xludf.DUMMYFUNCTION("""COMPUTED_VALUE"""),"Teen")</f>
        <v>Teen</v>
      </c>
      <c r="F389" s="1"/>
    </row>
    <row r="390" spans="1:6" ht="12.5">
      <c r="A390" s="1" t="str">
        <f ca="1">IFERROR(__xludf.DUMMYFUNCTION("""COMPUTED_VALUE"""),"20221016VAFAR")</f>
        <v>20221016VAFAR</v>
      </c>
      <c r="B390" s="1" t="str">
        <f ca="1">IFERROR(__xludf.DUMMYFUNCTION("""COMPUTED_VALUE"""),"Wounded")</f>
        <v>Wounded</v>
      </c>
      <c r="C390" s="1" t="str">
        <f ca="1">IFERROR(__xludf.DUMMYFUNCTION("""COMPUTED_VALUE"""),"Male")</f>
        <v>Male</v>
      </c>
      <c r="D390" s="1" t="str">
        <f ca="1">IFERROR(__xludf.DUMMYFUNCTION("""COMPUTED_VALUE"""),"No Relation")</f>
        <v>No Relation</v>
      </c>
      <c r="E390" s="1" t="str">
        <f ca="1">IFERROR(__xludf.DUMMYFUNCTION("""COMPUTED_VALUE"""),"Adult")</f>
        <v>Adult</v>
      </c>
      <c r="F390" s="1"/>
    </row>
    <row r="391" spans="1:6" ht="12.5">
      <c r="A391" s="1" t="str">
        <f ca="1">IFERROR(__xludf.DUMMYFUNCTION("""COMPUTED_VALUE"""),"20221016VAFAR")</f>
        <v>20221016VAFAR</v>
      </c>
      <c r="B391" s="1" t="str">
        <f ca="1">IFERROR(__xludf.DUMMYFUNCTION("""COMPUTED_VALUE"""),"Wounded")</f>
        <v>Wounded</v>
      </c>
      <c r="C391" s="1" t="str">
        <f ca="1">IFERROR(__xludf.DUMMYFUNCTION("""COMPUTED_VALUE"""),"Male")</f>
        <v>Male</v>
      </c>
      <c r="D391" s="1" t="str">
        <f ca="1">IFERROR(__xludf.DUMMYFUNCTION("""COMPUTED_VALUE"""),"No Relation")</f>
        <v>No Relation</v>
      </c>
      <c r="E391" s="1" t="str">
        <f ca="1">IFERROR(__xludf.DUMMYFUNCTION("""COMPUTED_VALUE"""),"Adult")</f>
        <v>Adult</v>
      </c>
      <c r="F391" s="1"/>
    </row>
    <row r="392" spans="1:6" ht="12.5">
      <c r="A392" s="1" t="str">
        <f ca="1">IFERROR(__xludf.DUMMYFUNCTION("""COMPUTED_VALUE"""),"20221016VAFAR")</f>
        <v>20221016VAFAR</v>
      </c>
      <c r="B392" s="1" t="str">
        <f ca="1">IFERROR(__xludf.DUMMYFUNCTION("""COMPUTED_VALUE"""),"Wounded")</f>
        <v>Wounded</v>
      </c>
      <c r="C392" s="1" t="str">
        <f ca="1">IFERROR(__xludf.DUMMYFUNCTION("""COMPUTED_VALUE"""),"Male")</f>
        <v>Male</v>
      </c>
      <c r="D392" s="1" t="str">
        <f ca="1">IFERROR(__xludf.DUMMYFUNCTION("""COMPUTED_VALUE"""),"No Relation")</f>
        <v>No Relation</v>
      </c>
      <c r="E392" s="1" t="str">
        <f ca="1">IFERROR(__xludf.DUMMYFUNCTION("""COMPUTED_VALUE"""),"Adult")</f>
        <v>Adult</v>
      </c>
      <c r="F392" s="1"/>
    </row>
    <row r="393" spans="1:6" ht="12.5">
      <c r="A393" s="1" t="str">
        <f ca="1">IFERROR(__xludf.DUMMYFUNCTION("""COMPUTED_VALUE"""),"20221014NCJAG")</f>
        <v>20221014NCJAG</v>
      </c>
      <c r="B393" s="1" t="str">
        <f ca="1">IFERROR(__xludf.DUMMYFUNCTION("""COMPUTED_VALUE"""),"Wounded")</f>
        <v>Wounded</v>
      </c>
      <c r="C393" s="1" t="str">
        <f ca="1">IFERROR(__xludf.DUMMYFUNCTION("""COMPUTED_VALUE"""),"Male")</f>
        <v>Male</v>
      </c>
      <c r="D393" s="1" t="str">
        <f ca="1">IFERROR(__xludf.DUMMYFUNCTION("""COMPUTED_VALUE"""),"Nonstudent Using Athletic Facilities/Attending Game")</f>
        <v>Nonstudent Using Athletic Facilities/Attending Game</v>
      </c>
      <c r="E393" s="1" t="str">
        <f ca="1">IFERROR(__xludf.DUMMYFUNCTION("""COMPUTED_VALUE"""),"Adult")</f>
        <v>Adult</v>
      </c>
      <c r="F393" s="1"/>
    </row>
    <row r="394" spans="1:6" ht="12.5">
      <c r="A394" s="1" t="str">
        <f ca="1">IFERROR(__xludf.DUMMYFUNCTION("""COMPUTED_VALUE"""),"20221014VAWER")</f>
        <v>20221014VAWER</v>
      </c>
      <c r="B394" s="1" t="str">
        <f ca="1">IFERROR(__xludf.DUMMYFUNCTION("""COMPUTED_VALUE"""),"Fatal")</f>
        <v>Fatal</v>
      </c>
      <c r="C394" s="1" t="str">
        <f ca="1">IFERROR(__xludf.DUMMYFUNCTION("""COMPUTED_VALUE"""),"Female")</f>
        <v>Female</v>
      </c>
      <c r="D394" s="1"/>
      <c r="E394" s="1" t="str">
        <f ca="1">IFERROR(__xludf.DUMMYFUNCTION("""COMPUTED_VALUE"""),"Adult")</f>
        <v>Adult</v>
      </c>
      <c r="F394" s="1"/>
    </row>
    <row r="395" spans="1:6" ht="12.5">
      <c r="A395" s="1" t="str">
        <f ca="1">IFERROR(__xludf.DUMMYFUNCTION("""COMPUTED_VALUE"""),"20221014VAWER")</f>
        <v>20221014VAWER</v>
      </c>
      <c r="B395" s="1" t="str">
        <f ca="1">IFERROR(__xludf.DUMMYFUNCTION("""COMPUTED_VALUE"""),"Wounded")</f>
        <v>Wounded</v>
      </c>
      <c r="C395" s="1" t="str">
        <f ca="1">IFERROR(__xludf.DUMMYFUNCTION("""COMPUTED_VALUE"""),"Male")</f>
        <v>Male</v>
      </c>
      <c r="D395" s="1"/>
      <c r="E395" s="1" t="str">
        <f ca="1">IFERROR(__xludf.DUMMYFUNCTION("""COMPUTED_VALUE"""),"Adult")</f>
        <v>Adult</v>
      </c>
      <c r="F395" s="1"/>
    </row>
    <row r="396" spans="1:6" ht="12.5">
      <c r="A396" s="1" t="str">
        <f ca="1">IFERROR(__xludf.DUMMYFUNCTION("""COMPUTED_VALUE"""),"20221014LABOB")</f>
        <v>20221014LABOB</v>
      </c>
      <c r="B396" s="1" t="str">
        <f ca="1">IFERROR(__xludf.DUMMYFUNCTION("""COMPUTED_VALUE"""),"Fatal")</f>
        <v>Fatal</v>
      </c>
      <c r="C396" s="1" t="str">
        <f ca="1">IFERROR(__xludf.DUMMYFUNCTION("""COMPUTED_VALUE"""),"Male")</f>
        <v>Male</v>
      </c>
      <c r="D396" s="1" t="str">
        <f ca="1">IFERROR(__xludf.DUMMYFUNCTION("""COMPUTED_VALUE"""),"Student")</f>
        <v>Student</v>
      </c>
      <c r="E396" s="1">
        <f ca="1">IFERROR(__xludf.DUMMYFUNCTION("""COMPUTED_VALUE"""),15)</f>
        <v>15</v>
      </c>
      <c r="F396" s="1"/>
    </row>
    <row r="397" spans="1:6" ht="12.5">
      <c r="A397" s="1" t="str">
        <f ca="1">IFERROR(__xludf.DUMMYFUNCTION("""COMPUTED_VALUE"""),"20221013NYSCB")</f>
        <v>20221013NYSCB</v>
      </c>
      <c r="B397" s="1" t="str">
        <f ca="1">IFERROR(__xludf.DUMMYFUNCTION("""COMPUTED_VALUE"""),"Wounded")</f>
        <v>Wounded</v>
      </c>
      <c r="C397" s="1" t="str">
        <f ca="1">IFERROR(__xludf.DUMMYFUNCTION("""COMPUTED_VALUE"""),"Male")</f>
        <v>Male</v>
      </c>
      <c r="D397" s="1" t="str">
        <f ca="1">IFERROR(__xludf.DUMMYFUNCTION("""COMPUTED_VALUE"""),"No Relation")</f>
        <v>No Relation</v>
      </c>
      <c r="E397" s="1">
        <f ca="1">IFERROR(__xludf.DUMMYFUNCTION("""COMPUTED_VALUE"""),30)</f>
        <v>30</v>
      </c>
      <c r="F397" s="1"/>
    </row>
    <row r="398" spans="1:6" ht="12.5">
      <c r="A398" s="1" t="str">
        <f ca="1">IFERROR(__xludf.DUMMYFUNCTION("""COMPUTED_VALUE"""),"20221010WIJAM")</f>
        <v>20221010WIJAM</v>
      </c>
      <c r="B398" s="1" t="str">
        <f ca="1">IFERROR(__xludf.DUMMYFUNCTION("""COMPUTED_VALUE"""),"Wounded")</f>
        <v>Wounded</v>
      </c>
      <c r="C398" s="1" t="str">
        <f ca="1">IFERROR(__xludf.DUMMYFUNCTION("""COMPUTED_VALUE"""),"Male")</f>
        <v>Male</v>
      </c>
      <c r="D398" s="1" t="str">
        <f ca="1">IFERROR(__xludf.DUMMYFUNCTION("""COMPUTED_VALUE"""),"Nonstudent")</f>
        <v>Nonstudent</v>
      </c>
      <c r="E398" s="1" t="str">
        <f ca="1">IFERROR(__xludf.DUMMYFUNCTION("""COMPUTED_VALUE"""),"Teen")</f>
        <v>Teen</v>
      </c>
      <c r="F398" s="1"/>
    </row>
    <row r="399" spans="1:6" ht="12.5">
      <c r="A399" s="1" t="str">
        <f ca="1">IFERROR(__xludf.DUMMYFUNCTION("""COMPUTED_VALUE"""),"20221009MAWAA")</f>
        <v>20221009MAWAA</v>
      </c>
      <c r="B399" s="1" t="str">
        <f ca="1">IFERROR(__xludf.DUMMYFUNCTION("""COMPUTED_VALUE"""),"Wounded")</f>
        <v>Wounded</v>
      </c>
      <c r="C399" s="1" t="str">
        <f ca="1">IFERROR(__xludf.DUMMYFUNCTION("""COMPUTED_VALUE"""),"Male")</f>
        <v>Male</v>
      </c>
      <c r="D399" s="1" t="str">
        <f ca="1">IFERROR(__xludf.DUMMYFUNCTION("""COMPUTED_VALUE"""),"No Relation")</f>
        <v>No Relation</v>
      </c>
      <c r="E399" s="1">
        <f ca="1">IFERROR(__xludf.DUMMYFUNCTION("""COMPUTED_VALUE"""),20)</f>
        <v>20</v>
      </c>
      <c r="F399" s="1"/>
    </row>
    <row r="400" spans="1:6" ht="12.5">
      <c r="A400" s="1" t="str">
        <f ca="1">IFERROR(__xludf.DUMMYFUNCTION("""COMPUTED_VALUE"""),"20221007NCJHG")</f>
        <v>20221007NCJHG</v>
      </c>
      <c r="B400" s="1" t="str">
        <f ca="1">IFERROR(__xludf.DUMMYFUNCTION("""COMPUTED_VALUE"""),"Wounded")</f>
        <v>Wounded</v>
      </c>
      <c r="C400" s="1" t="str">
        <f ca="1">IFERROR(__xludf.DUMMYFUNCTION("""COMPUTED_VALUE"""),"Male")</f>
        <v>Male</v>
      </c>
      <c r="D400" s="1" t="str">
        <f ca="1">IFERROR(__xludf.DUMMYFUNCTION("""COMPUTED_VALUE"""),"Student")</f>
        <v>Student</v>
      </c>
      <c r="E400" s="1">
        <f ca="1">IFERROR(__xludf.DUMMYFUNCTION("""COMPUTED_VALUE"""),17)</f>
        <v>17</v>
      </c>
      <c r="F400" s="1"/>
    </row>
    <row r="401" spans="1:6" ht="12.5">
      <c r="A401" s="1" t="str">
        <f ca="1">IFERROR(__xludf.DUMMYFUNCTION("""COMPUTED_VALUE"""),"20221007OHWHT")</f>
        <v>20221007OHWHT</v>
      </c>
      <c r="B401" s="1" t="str">
        <f ca="1">IFERROR(__xludf.DUMMYFUNCTION("""COMPUTED_VALUE"""),"Wounded")</f>
        <v>Wounded</v>
      </c>
      <c r="C401" s="1" t="str">
        <f ca="1">IFERROR(__xludf.DUMMYFUNCTION("""COMPUTED_VALUE"""),"Male")</f>
        <v>Male</v>
      </c>
      <c r="D401" s="1" t="str">
        <f ca="1">IFERROR(__xludf.DUMMYFUNCTION("""COMPUTED_VALUE"""),"Student")</f>
        <v>Student</v>
      </c>
      <c r="E401" s="1" t="str">
        <f ca="1">IFERROR(__xludf.DUMMYFUNCTION("""COMPUTED_VALUE"""),"Teen")</f>
        <v>Teen</v>
      </c>
      <c r="F401" s="1"/>
    </row>
    <row r="402" spans="1:6" ht="12.5">
      <c r="A402" s="1" t="str">
        <f ca="1">IFERROR(__xludf.DUMMYFUNCTION("""COMPUTED_VALUE"""),"20221007OHWHT")</f>
        <v>20221007OHWHT</v>
      </c>
      <c r="B402" s="1" t="str">
        <f ca="1">IFERROR(__xludf.DUMMYFUNCTION("""COMPUTED_VALUE"""),"Wounded")</f>
        <v>Wounded</v>
      </c>
      <c r="C402" s="1" t="str">
        <f ca="1">IFERROR(__xludf.DUMMYFUNCTION("""COMPUTED_VALUE"""),"Female")</f>
        <v>Female</v>
      </c>
      <c r="D402" s="1" t="str">
        <f ca="1">IFERROR(__xludf.DUMMYFUNCTION("""COMPUTED_VALUE"""),"Nonstudent Using Athletic Facilities/Attending Game")</f>
        <v>Nonstudent Using Athletic Facilities/Attending Game</v>
      </c>
      <c r="E402" s="1" t="str">
        <f ca="1">IFERROR(__xludf.DUMMYFUNCTION("""COMPUTED_VALUE"""),"Adult")</f>
        <v>Adult</v>
      </c>
      <c r="F402" s="1"/>
    </row>
    <row r="403" spans="1:6" ht="12.5">
      <c r="A403" s="1" t="str">
        <f ca="1">IFERROR(__xludf.DUMMYFUNCTION("""COMPUTED_VALUE"""),"20221007OHWHT")</f>
        <v>20221007OHWHT</v>
      </c>
      <c r="B403" s="1" t="str">
        <f ca="1">IFERROR(__xludf.DUMMYFUNCTION("""COMPUTED_VALUE"""),"Wounded")</f>
        <v>Wounded</v>
      </c>
      <c r="C403" s="1" t="str">
        <f ca="1">IFERROR(__xludf.DUMMYFUNCTION("""COMPUTED_VALUE"""),"Male")</f>
        <v>Male</v>
      </c>
      <c r="D403" s="1" t="str">
        <f ca="1">IFERROR(__xludf.DUMMYFUNCTION("""COMPUTED_VALUE"""),"Nonstudent Using Athletic Facilities/Attending Game")</f>
        <v>Nonstudent Using Athletic Facilities/Attending Game</v>
      </c>
      <c r="E403" s="1" t="str">
        <f ca="1">IFERROR(__xludf.DUMMYFUNCTION("""COMPUTED_VALUE"""),"Adult")</f>
        <v>Adult</v>
      </c>
      <c r="F403" s="1"/>
    </row>
    <row r="404" spans="1:6" ht="12.5">
      <c r="A404" s="1" t="str">
        <f ca="1">IFERROR(__xludf.DUMMYFUNCTION("""COMPUTED_VALUE"""),"20221004MAJB")</f>
        <v>20221004MAJB</v>
      </c>
      <c r="B404" s="1" t="str">
        <f ca="1">IFERROR(__xludf.DUMMYFUNCTION("""COMPUTED_VALUE"""),"Wounded")</f>
        <v>Wounded</v>
      </c>
      <c r="C404" s="1" t="str">
        <f ca="1">IFERROR(__xludf.DUMMYFUNCTION("""COMPUTED_VALUE"""),"Male")</f>
        <v>Male</v>
      </c>
      <c r="D404" s="1" t="str">
        <f ca="1">IFERROR(__xludf.DUMMYFUNCTION("""COMPUTED_VALUE"""),"Student")</f>
        <v>Student</v>
      </c>
      <c r="E404" s="1">
        <f ca="1">IFERROR(__xludf.DUMMYFUNCTION("""COMPUTED_VALUE"""),17)</f>
        <v>17</v>
      </c>
      <c r="F404" s="1"/>
    </row>
    <row r="405" spans="1:6" ht="12.5">
      <c r="A405" s="1" t="str">
        <f ca="1">IFERROR(__xludf.DUMMYFUNCTION("""COMPUTED_VALUE"""),"20221001CACOO")</f>
        <v>20221001CACOO</v>
      </c>
      <c r="B405" s="1" t="str">
        <f ca="1">IFERROR(__xludf.DUMMYFUNCTION("""COMPUTED_VALUE"""),"Wounded")</f>
        <v>Wounded</v>
      </c>
      <c r="C405" s="1" t="str">
        <f ca="1">IFERROR(__xludf.DUMMYFUNCTION("""COMPUTED_VALUE"""),"Male")</f>
        <v>Male</v>
      </c>
      <c r="D405" s="1" t="str">
        <f ca="1">IFERROR(__xludf.DUMMYFUNCTION("""COMPUTED_VALUE"""),"Nonstudent Using Athletic Facilities/Attending Game")</f>
        <v>Nonstudent Using Athletic Facilities/Attending Game</v>
      </c>
      <c r="E405" s="1">
        <f ca="1">IFERROR(__xludf.DUMMYFUNCTION("""COMPUTED_VALUE"""),34)</f>
        <v>34</v>
      </c>
      <c r="F405" s="1"/>
    </row>
    <row r="406" spans="1:6" ht="12.5">
      <c r="A406" s="1" t="str">
        <f ca="1">IFERROR(__xludf.DUMMYFUNCTION("""COMPUTED_VALUE"""),"20220930OKMCT")</f>
        <v>20220930OKMCT</v>
      </c>
      <c r="B406" s="1" t="str">
        <f ca="1">IFERROR(__xludf.DUMMYFUNCTION("""COMPUTED_VALUE"""),"Fatal")</f>
        <v>Fatal</v>
      </c>
      <c r="C406" s="1" t="str">
        <f ca="1">IFERROR(__xludf.DUMMYFUNCTION("""COMPUTED_VALUE"""),"Male")</f>
        <v>Male</v>
      </c>
      <c r="D406" s="1" t="str">
        <f ca="1">IFERROR(__xludf.DUMMYFUNCTION("""COMPUTED_VALUE"""),"Student")</f>
        <v>Student</v>
      </c>
      <c r="E406" s="1">
        <f ca="1">IFERROR(__xludf.DUMMYFUNCTION("""COMPUTED_VALUE"""),17)</f>
        <v>17</v>
      </c>
      <c r="F406" s="1"/>
    </row>
    <row r="407" spans="1:6" ht="12.5">
      <c r="A407" s="1" t="str">
        <f ca="1">IFERROR(__xludf.DUMMYFUNCTION("""COMPUTED_VALUE"""),"20220930OKMCT")</f>
        <v>20220930OKMCT</v>
      </c>
      <c r="B407" s="1" t="str">
        <f ca="1">IFERROR(__xludf.DUMMYFUNCTION("""COMPUTED_VALUE"""),"Wounded")</f>
        <v>Wounded</v>
      </c>
      <c r="C407" s="1" t="str">
        <f ca="1">IFERROR(__xludf.DUMMYFUNCTION("""COMPUTED_VALUE"""),"Male")</f>
        <v>Male</v>
      </c>
      <c r="D407" s="1" t="str">
        <f ca="1">IFERROR(__xludf.DUMMYFUNCTION("""COMPUTED_VALUE"""),"Student")</f>
        <v>Student</v>
      </c>
      <c r="E407" s="1">
        <f ca="1">IFERROR(__xludf.DUMMYFUNCTION("""COMPUTED_VALUE"""),17)</f>
        <v>17</v>
      </c>
      <c r="F407" s="1"/>
    </row>
    <row r="408" spans="1:6" ht="12.5">
      <c r="A408" s="1" t="str">
        <f ca="1">IFERROR(__xludf.DUMMYFUNCTION("""COMPUTED_VALUE"""),"20220930OKMCT")</f>
        <v>20220930OKMCT</v>
      </c>
      <c r="B408" s="1" t="str">
        <f ca="1">IFERROR(__xludf.DUMMYFUNCTION("""COMPUTED_VALUE"""),"Wounded")</f>
        <v>Wounded</v>
      </c>
      <c r="C408" s="1" t="str">
        <f ca="1">IFERROR(__xludf.DUMMYFUNCTION("""COMPUTED_VALUE"""),"Female")</f>
        <v>Female</v>
      </c>
      <c r="D408" s="1" t="str">
        <f ca="1">IFERROR(__xludf.DUMMYFUNCTION("""COMPUTED_VALUE"""),"Nonstudent Using Athletic Facilities/Attending Game")</f>
        <v>Nonstudent Using Athletic Facilities/Attending Game</v>
      </c>
      <c r="E408" s="1">
        <f ca="1">IFERROR(__xludf.DUMMYFUNCTION("""COMPUTED_VALUE"""),20)</f>
        <v>20</v>
      </c>
      <c r="F408" s="1"/>
    </row>
    <row r="409" spans="1:6" ht="12.5">
      <c r="A409" s="1" t="str">
        <f ca="1">IFERROR(__xludf.DUMMYFUNCTION("""COMPUTED_VALUE"""),"20220930OKMCT")</f>
        <v>20220930OKMCT</v>
      </c>
      <c r="B409" s="1" t="str">
        <f ca="1">IFERROR(__xludf.DUMMYFUNCTION("""COMPUTED_VALUE"""),"Wounded")</f>
        <v>Wounded</v>
      </c>
      <c r="C409" s="1" t="str">
        <f ca="1">IFERROR(__xludf.DUMMYFUNCTION("""COMPUTED_VALUE"""),"Female")</f>
        <v>Female</v>
      </c>
      <c r="D409" s="1" t="str">
        <f ca="1">IFERROR(__xludf.DUMMYFUNCTION("""COMPUTED_VALUE"""),"Nonstudent Using Athletic Facilities/Attending Game")</f>
        <v>Nonstudent Using Athletic Facilities/Attending Game</v>
      </c>
      <c r="E409" s="1">
        <f ca="1">IFERROR(__xludf.DUMMYFUNCTION("""COMPUTED_VALUE"""),9)</f>
        <v>9</v>
      </c>
      <c r="F409" s="1"/>
    </row>
    <row r="410" spans="1:6" ht="12.5">
      <c r="A410" s="1" t="str">
        <f ca="1">IFERROR(__xludf.DUMMYFUNCTION("""COMPUTED_VALUE"""),"20220930NYNEN")</f>
        <v>20220930NYNEN</v>
      </c>
      <c r="B410" s="1" t="str">
        <f ca="1">IFERROR(__xludf.DUMMYFUNCTION("""COMPUTED_VALUE"""),"Wounded")</f>
        <v>Wounded</v>
      </c>
      <c r="C410" s="1" t="str">
        <f ca="1">IFERROR(__xludf.DUMMYFUNCTION("""COMPUTED_VALUE"""),"Female")</f>
        <v>Female</v>
      </c>
      <c r="D410" s="1" t="str">
        <f ca="1">IFERROR(__xludf.DUMMYFUNCTION("""COMPUTED_VALUE"""),"Nonstudent Using Athletic Facilities/Attending Game")</f>
        <v>Nonstudent Using Athletic Facilities/Attending Game</v>
      </c>
      <c r="E410" s="1">
        <f ca="1">IFERROR(__xludf.DUMMYFUNCTION("""COMPUTED_VALUE"""),43)</f>
        <v>43</v>
      </c>
      <c r="F410" s="1"/>
    </row>
    <row r="411" spans="1:6" ht="12.5">
      <c r="A411" s="1" t="str">
        <f ca="1">IFERROR(__xludf.DUMMYFUNCTION("""COMPUTED_VALUE"""),"20220930NYNEN")</f>
        <v>20220930NYNEN</v>
      </c>
      <c r="B411" s="1" t="str">
        <f ca="1">IFERROR(__xludf.DUMMYFUNCTION("""COMPUTED_VALUE"""),"Wounded")</f>
        <v>Wounded</v>
      </c>
      <c r="C411" s="1" t="str">
        <f ca="1">IFERROR(__xludf.DUMMYFUNCTION("""COMPUTED_VALUE"""),"Female")</f>
        <v>Female</v>
      </c>
      <c r="D411" s="1" t="str">
        <f ca="1">IFERROR(__xludf.DUMMYFUNCTION("""COMPUTED_VALUE"""),"Student")</f>
        <v>Student</v>
      </c>
      <c r="E411" s="1">
        <f ca="1">IFERROR(__xludf.DUMMYFUNCTION("""COMPUTED_VALUE"""),17)</f>
        <v>17</v>
      </c>
      <c r="F411" s="1"/>
    </row>
    <row r="412" spans="1:6" ht="12.5">
      <c r="A412" s="1" t="str">
        <f ca="1">IFERROR(__xludf.DUMMYFUNCTION("""COMPUTED_VALUE"""),"20220930NYNEN")</f>
        <v>20220930NYNEN</v>
      </c>
      <c r="B412" s="1" t="str">
        <f ca="1">IFERROR(__xludf.DUMMYFUNCTION("""COMPUTED_VALUE"""),"Wounded")</f>
        <v>Wounded</v>
      </c>
      <c r="C412" s="1" t="str">
        <f ca="1">IFERROR(__xludf.DUMMYFUNCTION("""COMPUTED_VALUE"""),"Male")</f>
        <v>Male</v>
      </c>
      <c r="D412" s="1" t="str">
        <f ca="1">IFERROR(__xludf.DUMMYFUNCTION("""COMPUTED_VALUE"""),"Nonstudent Using Athletic Facilities/Attending Game")</f>
        <v>Nonstudent Using Athletic Facilities/Attending Game</v>
      </c>
      <c r="E412" s="1">
        <f ca="1">IFERROR(__xludf.DUMMYFUNCTION("""COMPUTED_VALUE"""),21)</f>
        <v>21</v>
      </c>
      <c r="F412" s="1"/>
    </row>
    <row r="413" spans="1:6" ht="12.5">
      <c r="A413" s="1" t="str">
        <f ca="1">IFERROR(__xludf.DUMMYFUNCTION("""COMPUTED_VALUE"""),"20220928CARUO")</f>
        <v>20220928CARUO</v>
      </c>
      <c r="B413" s="1" t="str">
        <f ca="1">IFERROR(__xludf.DUMMYFUNCTION("""COMPUTED_VALUE"""),"Fatal")</f>
        <v>Fatal</v>
      </c>
      <c r="C413" s="1"/>
      <c r="D413" s="1" t="str">
        <f ca="1">IFERROR(__xludf.DUMMYFUNCTION("""COMPUTED_VALUE"""),"Other Staff")</f>
        <v>Other Staff</v>
      </c>
      <c r="E413" s="1" t="str">
        <f ca="1">IFERROR(__xludf.DUMMYFUNCTION("""COMPUTED_VALUE"""),"Adult")</f>
        <v>Adult</v>
      </c>
      <c r="F413" s="1"/>
    </row>
    <row r="414" spans="1:6" ht="12.5">
      <c r="A414" s="1" t="str">
        <f ca="1">IFERROR(__xludf.DUMMYFUNCTION("""COMPUTED_VALUE"""),"20220928CARUO")</f>
        <v>20220928CARUO</v>
      </c>
      <c r="B414" s="1" t="str">
        <f ca="1">IFERROR(__xludf.DUMMYFUNCTION("""COMPUTED_VALUE"""),"Wounded")</f>
        <v>Wounded</v>
      </c>
      <c r="C414" s="1"/>
      <c r="D414" s="1" t="str">
        <f ca="1">IFERROR(__xludf.DUMMYFUNCTION("""COMPUTED_VALUE"""),"Student")</f>
        <v>Student</v>
      </c>
      <c r="E414" s="1" t="str">
        <f ca="1">IFERROR(__xludf.DUMMYFUNCTION("""COMPUTED_VALUE"""),"Teen")</f>
        <v>Teen</v>
      </c>
      <c r="F414" s="1"/>
    </row>
    <row r="415" spans="1:6" ht="12.5">
      <c r="A415" s="1" t="str">
        <f ca="1">IFERROR(__xludf.DUMMYFUNCTION("""COMPUTED_VALUE"""),"20220928CARUO")</f>
        <v>20220928CARUO</v>
      </c>
      <c r="B415" s="1" t="str">
        <f ca="1">IFERROR(__xludf.DUMMYFUNCTION("""COMPUTED_VALUE"""),"Wounded")</f>
        <v>Wounded</v>
      </c>
      <c r="C415" s="1"/>
      <c r="D415" s="1" t="str">
        <f ca="1">IFERROR(__xludf.DUMMYFUNCTION("""COMPUTED_VALUE"""),"Student")</f>
        <v>Student</v>
      </c>
      <c r="E415" s="1" t="str">
        <f ca="1">IFERROR(__xludf.DUMMYFUNCTION("""COMPUTED_VALUE"""),"Teen")</f>
        <v>Teen</v>
      </c>
      <c r="F415" s="1"/>
    </row>
    <row r="416" spans="1:6" ht="12.5">
      <c r="A416" s="1" t="str">
        <f ca="1">IFERROR(__xludf.DUMMYFUNCTION("""COMPUTED_VALUE"""),"20220928CARUO")</f>
        <v>20220928CARUO</v>
      </c>
      <c r="B416" s="1" t="str">
        <f ca="1">IFERROR(__xludf.DUMMYFUNCTION("""COMPUTED_VALUE"""),"Wounded")</f>
        <v>Wounded</v>
      </c>
      <c r="C416" s="1"/>
      <c r="D416" s="1" t="str">
        <f ca="1">IFERROR(__xludf.DUMMYFUNCTION("""COMPUTED_VALUE"""),"Student")</f>
        <v>Student</v>
      </c>
      <c r="E416" s="1" t="str">
        <f ca="1">IFERROR(__xludf.DUMMYFUNCTION("""COMPUTED_VALUE"""),"Teen")</f>
        <v>Teen</v>
      </c>
      <c r="F416" s="1"/>
    </row>
    <row r="417" spans="1:6" ht="12.5">
      <c r="A417" s="1" t="str">
        <f ca="1">IFERROR(__xludf.DUMMYFUNCTION("""COMPUTED_VALUE"""),"20220928CARUO")</f>
        <v>20220928CARUO</v>
      </c>
      <c r="B417" s="1" t="str">
        <f ca="1">IFERROR(__xludf.DUMMYFUNCTION("""COMPUTED_VALUE"""),"Wounded")</f>
        <v>Wounded</v>
      </c>
      <c r="C417" s="1"/>
      <c r="D417" s="1" t="str">
        <f ca="1">IFERROR(__xludf.DUMMYFUNCTION("""COMPUTED_VALUE"""),"Teacher")</f>
        <v>Teacher</v>
      </c>
      <c r="E417" s="1" t="str">
        <f ca="1">IFERROR(__xludf.DUMMYFUNCTION("""COMPUTED_VALUE"""),"Adult")</f>
        <v>Adult</v>
      </c>
      <c r="F417" s="1"/>
    </row>
    <row r="418" spans="1:6" ht="12.5">
      <c r="A418" s="1" t="str">
        <f ca="1">IFERROR(__xludf.DUMMYFUNCTION("""COMPUTED_VALUE"""),"20220928CARUO")</f>
        <v>20220928CARUO</v>
      </c>
      <c r="B418" s="1" t="str">
        <f ca="1">IFERROR(__xludf.DUMMYFUNCTION("""COMPUTED_VALUE"""),"Wounded")</f>
        <v>Wounded</v>
      </c>
      <c r="C418" s="1"/>
      <c r="D418" s="1" t="str">
        <f ca="1">IFERROR(__xludf.DUMMYFUNCTION("""COMPUTED_VALUE"""),"Police Officer/SRO")</f>
        <v>Police Officer/SRO</v>
      </c>
      <c r="E418" s="1" t="str">
        <f ca="1">IFERROR(__xludf.DUMMYFUNCTION("""COMPUTED_VALUE"""),"Adult")</f>
        <v>Adult</v>
      </c>
      <c r="F418" s="1"/>
    </row>
    <row r="419" spans="1:6" ht="12.5">
      <c r="A419" s="1" t="str">
        <f ca="1">IFERROR(__xludf.DUMMYFUNCTION("""COMPUTED_VALUE"""),"20220927PAROP")</f>
        <v>20220927PAROP</v>
      </c>
      <c r="B419" s="1" t="str">
        <f ca="1">IFERROR(__xludf.DUMMYFUNCTION("""COMPUTED_VALUE"""),"Fatal")</f>
        <v>Fatal</v>
      </c>
      <c r="C419" s="1" t="str">
        <f ca="1">IFERROR(__xludf.DUMMYFUNCTION("""COMPUTED_VALUE"""),"Male")</f>
        <v>Male</v>
      </c>
      <c r="D419" s="1" t="str">
        <f ca="1">IFERROR(__xludf.DUMMYFUNCTION("""COMPUTED_VALUE"""),"Student")</f>
        <v>Student</v>
      </c>
      <c r="E419" s="1">
        <f ca="1">IFERROR(__xludf.DUMMYFUNCTION("""COMPUTED_VALUE"""),14)</f>
        <v>14</v>
      </c>
      <c r="F419" s="1"/>
    </row>
    <row r="420" spans="1:6" ht="12.5">
      <c r="A420" s="1" t="str">
        <f ca="1">IFERROR(__xludf.DUMMYFUNCTION("""COMPUTED_VALUE"""),"20220927PAROP")</f>
        <v>20220927PAROP</v>
      </c>
      <c r="B420" s="1" t="str">
        <f ca="1">IFERROR(__xludf.DUMMYFUNCTION("""COMPUTED_VALUE"""),"Wounded")</f>
        <v>Wounded</v>
      </c>
      <c r="C420" s="1" t="str">
        <f ca="1">IFERROR(__xludf.DUMMYFUNCTION("""COMPUTED_VALUE"""),"Male")</f>
        <v>Male</v>
      </c>
      <c r="D420" s="1" t="str">
        <f ca="1">IFERROR(__xludf.DUMMYFUNCTION("""COMPUTED_VALUE"""),"Student")</f>
        <v>Student</v>
      </c>
      <c r="E420" s="1">
        <f ca="1">IFERROR(__xludf.DUMMYFUNCTION("""COMPUTED_VALUE"""),14)</f>
        <v>14</v>
      </c>
      <c r="F420" s="1"/>
    </row>
    <row r="421" spans="1:6" ht="12.5">
      <c r="A421" s="1" t="str">
        <f ca="1">IFERROR(__xludf.DUMMYFUNCTION("""COMPUTED_VALUE"""),"20220927PAROP")</f>
        <v>20220927PAROP</v>
      </c>
      <c r="B421" s="1" t="str">
        <f ca="1">IFERROR(__xludf.DUMMYFUNCTION("""COMPUTED_VALUE"""),"Wounded")</f>
        <v>Wounded</v>
      </c>
      <c r="C421" s="1" t="str">
        <f ca="1">IFERROR(__xludf.DUMMYFUNCTION("""COMPUTED_VALUE"""),"Male")</f>
        <v>Male</v>
      </c>
      <c r="D421" s="1" t="str">
        <f ca="1">IFERROR(__xludf.DUMMYFUNCTION("""COMPUTED_VALUE"""),"Student")</f>
        <v>Student</v>
      </c>
      <c r="E421" s="1">
        <f ca="1">IFERROR(__xludf.DUMMYFUNCTION("""COMPUTED_VALUE"""),17)</f>
        <v>17</v>
      </c>
      <c r="F421" s="1"/>
    </row>
    <row r="422" spans="1:6" ht="12.5">
      <c r="A422" s="1" t="str">
        <f ca="1">IFERROR(__xludf.DUMMYFUNCTION("""COMPUTED_VALUE"""),"20220927PAROP")</f>
        <v>20220927PAROP</v>
      </c>
      <c r="B422" s="1" t="str">
        <f ca="1">IFERROR(__xludf.DUMMYFUNCTION("""COMPUTED_VALUE"""),"Wounded")</f>
        <v>Wounded</v>
      </c>
      <c r="C422" s="1" t="str">
        <f ca="1">IFERROR(__xludf.DUMMYFUNCTION("""COMPUTED_VALUE"""),"Male")</f>
        <v>Male</v>
      </c>
      <c r="D422" s="1" t="str">
        <f ca="1">IFERROR(__xludf.DUMMYFUNCTION("""COMPUTED_VALUE"""),"Student")</f>
        <v>Student</v>
      </c>
      <c r="E422" s="1" t="str">
        <f ca="1">IFERROR(__xludf.DUMMYFUNCTION("""COMPUTED_VALUE"""),"Teen")</f>
        <v>Teen</v>
      </c>
      <c r="F422" s="1"/>
    </row>
    <row r="423" spans="1:6" ht="12.5">
      <c r="A423" s="1" t="str">
        <f ca="1">IFERROR(__xludf.DUMMYFUNCTION("""COMPUTED_VALUE"""),"20220927PAROP")</f>
        <v>20220927PAROP</v>
      </c>
      <c r="B423" s="1" t="str">
        <f ca="1">IFERROR(__xludf.DUMMYFUNCTION("""COMPUTED_VALUE"""),"Wounded")</f>
        <v>Wounded</v>
      </c>
      <c r="C423" s="1" t="str">
        <f ca="1">IFERROR(__xludf.DUMMYFUNCTION("""COMPUTED_VALUE"""),"Male")</f>
        <v>Male</v>
      </c>
      <c r="D423" s="1" t="str">
        <f ca="1">IFERROR(__xludf.DUMMYFUNCTION("""COMPUTED_VALUE"""),"Student")</f>
        <v>Student</v>
      </c>
      <c r="E423" s="1" t="str">
        <f ca="1">IFERROR(__xludf.DUMMYFUNCTION("""COMPUTED_VALUE"""),"Teen")</f>
        <v>Teen</v>
      </c>
      <c r="F423" s="1"/>
    </row>
    <row r="424" spans="1:6" ht="12.5">
      <c r="A424" s="1" t="str">
        <f ca="1">IFERROR(__xludf.DUMMYFUNCTION("""COMPUTED_VALUE"""),"20220927TXHGD")</f>
        <v>20220927TXHGD</v>
      </c>
      <c r="B424" s="1" t="str">
        <f ca="1">IFERROR(__xludf.DUMMYFUNCTION("""COMPUTED_VALUE"""),"Wounded")</f>
        <v>Wounded</v>
      </c>
      <c r="C424" s="1" t="str">
        <f ca="1">IFERROR(__xludf.DUMMYFUNCTION("""COMPUTED_VALUE"""),"Male")</f>
        <v>Male</v>
      </c>
      <c r="D424" s="1" t="str">
        <f ca="1">IFERROR(__xludf.DUMMYFUNCTION("""COMPUTED_VALUE"""),"Student")</f>
        <v>Student</v>
      </c>
      <c r="E424" s="1" t="str">
        <f ca="1">IFERROR(__xludf.DUMMYFUNCTION("""COMPUTED_VALUE"""),"Teen")</f>
        <v>Teen</v>
      </c>
      <c r="F424" s="1"/>
    </row>
    <row r="425" spans="1:6" ht="12.5">
      <c r="A425" s="1" t="str">
        <f ca="1">IFERROR(__xludf.DUMMYFUNCTION("""COMPUTED_VALUE"""),"20220926GAVAV")</f>
        <v>20220926GAVAV</v>
      </c>
      <c r="B425" s="1" t="str">
        <f ca="1">IFERROR(__xludf.DUMMYFUNCTION("""COMPUTED_VALUE"""),"Wounded")</f>
        <v>Wounded</v>
      </c>
      <c r="C425" s="1" t="str">
        <f ca="1">IFERROR(__xludf.DUMMYFUNCTION("""COMPUTED_VALUE"""),"Male")</f>
        <v>Male</v>
      </c>
      <c r="D425" s="1" t="str">
        <f ca="1">IFERROR(__xludf.DUMMYFUNCTION("""COMPUTED_VALUE"""),"Student")</f>
        <v>Student</v>
      </c>
      <c r="E425" s="1">
        <f ca="1">IFERROR(__xludf.DUMMYFUNCTION("""COMPUTED_VALUE"""),17)</f>
        <v>17</v>
      </c>
      <c r="F425" s="1"/>
    </row>
    <row r="426" spans="1:6" ht="12.5">
      <c r="A426" s="1" t="str">
        <f ca="1">IFERROR(__xludf.DUMMYFUNCTION("""COMPUTED_VALUE"""),"20220923CANOC")</f>
        <v>20220923CANOC</v>
      </c>
      <c r="B426" s="1" t="str">
        <f ca="1">IFERROR(__xludf.DUMMYFUNCTION("""COMPUTED_VALUE"""),"Wounded")</f>
        <v>Wounded</v>
      </c>
      <c r="C426" s="1" t="str">
        <f ca="1">IFERROR(__xludf.DUMMYFUNCTION("""COMPUTED_VALUE"""),"Male")</f>
        <v>Male</v>
      </c>
      <c r="D426" s="1" t="str">
        <f ca="1">IFERROR(__xludf.DUMMYFUNCTION("""COMPUTED_VALUE"""),"Nonstudent Using Athletic Facilities/Attending Game")</f>
        <v>Nonstudent Using Athletic Facilities/Attending Game</v>
      </c>
      <c r="E426" s="1"/>
      <c r="F426" s="1"/>
    </row>
    <row r="427" spans="1:6" ht="12.5">
      <c r="A427" s="1" t="str">
        <f ca="1">IFERROR(__xludf.DUMMYFUNCTION("""COMPUTED_VALUE"""),"20220923WIROM")</f>
        <v>20220923WIROM</v>
      </c>
      <c r="B427" s="1" t="str">
        <f ca="1">IFERROR(__xludf.DUMMYFUNCTION("""COMPUTED_VALUE"""),"Wounded")</f>
        <v>Wounded</v>
      </c>
      <c r="C427" s="1" t="str">
        <f ca="1">IFERROR(__xludf.DUMMYFUNCTION("""COMPUTED_VALUE"""),"Male")</f>
        <v>Male</v>
      </c>
      <c r="D427" s="1" t="str">
        <f ca="1">IFERROR(__xludf.DUMMYFUNCTION("""COMPUTED_VALUE"""),"No Relation")</f>
        <v>No Relation</v>
      </c>
      <c r="E427" s="1">
        <f ca="1">IFERROR(__xludf.DUMMYFUNCTION("""COMPUTED_VALUE"""),38)</f>
        <v>38</v>
      </c>
      <c r="F427" s="1"/>
    </row>
    <row r="428" spans="1:6" ht="12.5">
      <c r="A428" s="1" t="str">
        <f ca="1">IFERROR(__xludf.DUMMYFUNCTION("""COMPUTED_VALUE"""),"20220923DEAPM")</f>
        <v>20220923DEAPM</v>
      </c>
      <c r="B428" s="1" t="str">
        <f ca="1">IFERROR(__xludf.DUMMYFUNCTION("""COMPUTED_VALUE"""),"Wounded")</f>
        <v>Wounded</v>
      </c>
      <c r="C428" s="1" t="str">
        <f ca="1">IFERROR(__xludf.DUMMYFUNCTION("""COMPUTED_VALUE"""),"Male")</f>
        <v>Male</v>
      </c>
      <c r="D428" s="1" t="str">
        <f ca="1">IFERROR(__xludf.DUMMYFUNCTION("""COMPUTED_VALUE"""),"Student")</f>
        <v>Student</v>
      </c>
      <c r="E428" s="1">
        <f ca="1">IFERROR(__xludf.DUMMYFUNCTION("""COMPUTED_VALUE"""),16)</f>
        <v>16</v>
      </c>
      <c r="F428" s="1"/>
    </row>
    <row r="429" spans="1:6" ht="12.5">
      <c r="A429" s="1" t="str">
        <f ca="1">IFERROR(__xludf.DUMMYFUNCTION("""COMPUTED_VALUE"""),"20220923DEAPM")</f>
        <v>20220923DEAPM</v>
      </c>
      <c r="B429" s="1" t="str">
        <f ca="1">IFERROR(__xludf.DUMMYFUNCTION("""COMPUTED_VALUE"""),"Wounded")</f>
        <v>Wounded</v>
      </c>
      <c r="C429" s="1" t="str">
        <f ca="1">IFERROR(__xludf.DUMMYFUNCTION("""COMPUTED_VALUE"""),"Female")</f>
        <v>Female</v>
      </c>
      <c r="D429" s="1" t="str">
        <f ca="1">IFERROR(__xludf.DUMMYFUNCTION("""COMPUTED_VALUE"""),"Student")</f>
        <v>Student</v>
      </c>
      <c r="E429" s="1">
        <f ca="1">IFERROR(__xludf.DUMMYFUNCTION("""COMPUTED_VALUE"""),17)</f>
        <v>17</v>
      </c>
      <c r="F429" s="1"/>
    </row>
    <row r="430" spans="1:6" ht="12.5">
      <c r="A430" s="1" t="str">
        <f ca="1">IFERROR(__xludf.DUMMYFUNCTION("""COMPUTED_VALUE"""),"20220923MNRIM")</f>
        <v>20220923MNRIM</v>
      </c>
      <c r="B430" s="1" t="str">
        <f ca="1">IFERROR(__xludf.DUMMYFUNCTION("""COMPUTED_VALUE"""),"Wounded")</f>
        <v>Wounded</v>
      </c>
      <c r="C430" s="1" t="str">
        <f ca="1">IFERROR(__xludf.DUMMYFUNCTION("""COMPUTED_VALUE"""),"Male")</f>
        <v>Male</v>
      </c>
      <c r="D430" s="1" t="str">
        <f ca="1">IFERROR(__xludf.DUMMYFUNCTION("""COMPUTED_VALUE"""),"Nonstudent Using Athletic Facilities/Attending Game")</f>
        <v>Nonstudent Using Athletic Facilities/Attending Game</v>
      </c>
      <c r="E430" s="1">
        <f ca="1">IFERROR(__xludf.DUMMYFUNCTION("""COMPUTED_VALUE"""),18)</f>
        <v>18</v>
      </c>
      <c r="F430" s="1"/>
    </row>
    <row r="431" spans="1:6" ht="12.5">
      <c r="A431" s="1" t="str">
        <f ca="1">IFERROR(__xludf.DUMMYFUNCTION("""COMPUTED_VALUE"""),"20220923MNRIM")</f>
        <v>20220923MNRIM</v>
      </c>
      <c r="B431" s="1" t="str">
        <f ca="1">IFERROR(__xludf.DUMMYFUNCTION("""COMPUTED_VALUE"""),"Wounded")</f>
        <v>Wounded</v>
      </c>
      <c r="C431" s="1" t="str">
        <f ca="1">IFERROR(__xludf.DUMMYFUNCTION("""COMPUTED_VALUE"""),"Male")</f>
        <v>Male</v>
      </c>
      <c r="D431" s="1" t="str">
        <f ca="1">IFERROR(__xludf.DUMMYFUNCTION("""COMPUTED_VALUE"""),"Nonstudent Using Athletic Facilities/Attending Game")</f>
        <v>Nonstudent Using Athletic Facilities/Attending Game</v>
      </c>
      <c r="E431" s="1">
        <f ca="1">IFERROR(__xludf.DUMMYFUNCTION("""COMPUTED_VALUE"""),21)</f>
        <v>21</v>
      </c>
      <c r="F431" s="1"/>
    </row>
    <row r="432" spans="1:6" ht="12.5">
      <c r="A432" s="1" t="str">
        <f ca="1">IFERROR(__xludf.DUMMYFUNCTION("""COMPUTED_VALUE"""),"20220917GAJOA")</f>
        <v>20220917GAJOA</v>
      </c>
      <c r="B432" s="1" t="str">
        <f ca="1">IFERROR(__xludf.DUMMYFUNCTION("""COMPUTED_VALUE"""),"Wounded")</f>
        <v>Wounded</v>
      </c>
      <c r="C432" s="1" t="str">
        <f ca="1">IFERROR(__xludf.DUMMYFUNCTION("""COMPUTED_VALUE"""),"Male")</f>
        <v>Male</v>
      </c>
      <c r="D432" s="1" t="str">
        <f ca="1">IFERROR(__xludf.DUMMYFUNCTION("""COMPUTED_VALUE"""),"Nonstudent Using Athletic Facilities/Attending Game")</f>
        <v>Nonstudent Using Athletic Facilities/Attending Game</v>
      </c>
      <c r="E432" s="1"/>
      <c r="F432" s="1"/>
    </row>
    <row r="433" spans="1:6" ht="12.5">
      <c r="A433" s="1" t="str">
        <f ca="1">IFERROR(__xludf.DUMMYFUNCTION("""COMPUTED_VALUE"""),"20220917GAJOA")</f>
        <v>20220917GAJOA</v>
      </c>
      <c r="B433" s="1" t="str">
        <f ca="1">IFERROR(__xludf.DUMMYFUNCTION("""COMPUTED_VALUE"""),"Wounded")</f>
        <v>Wounded</v>
      </c>
      <c r="C433" s="1"/>
      <c r="D433" s="1" t="str">
        <f ca="1">IFERROR(__xludf.DUMMYFUNCTION("""COMPUTED_VALUE"""),"Nonstudent Using Athletic Facilities/Attending Game")</f>
        <v>Nonstudent Using Athletic Facilities/Attending Game</v>
      </c>
      <c r="E433" s="1"/>
      <c r="F433" s="1"/>
    </row>
    <row r="434" spans="1:6" ht="12.5">
      <c r="A434" s="1" t="str">
        <f ca="1">IFERROR(__xludf.DUMMYFUNCTION("""COMPUTED_VALUE"""),"20220916NYPSN")</f>
        <v>20220916NYPSN</v>
      </c>
      <c r="B434" s="1" t="str">
        <f ca="1">IFERROR(__xludf.DUMMYFUNCTION("""COMPUTED_VALUE"""),"Non-gunshot Injury")</f>
        <v>Non-gunshot Injury</v>
      </c>
      <c r="C434" s="1"/>
      <c r="D434" s="1" t="str">
        <f ca="1">IFERROR(__xludf.DUMMYFUNCTION("""COMPUTED_VALUE"""),"Student")</f>
        <v>Student</v>
      </c>
      <c r="E434" s="1" t="str">
        <f ca="1">IFERROR(__xludf.DUMMYFUNCTION("""COMPUTED_VALUE"""),"Child")</f>
        <v>Child</v>
      </c>
      <c r="F434" s="1"/>
    </row>
    <row r="435" spans="1:6" ht="12.5">
      <c r="A435" s="1" t="str">
        <f ca="1">IFERROR(__xludf.DUMMYFUNCTION("""COMPUTED_VALUE"""),"20220916NYPSN")</f>
        <v>20220916NYPSN</v>
      </c>
      <c r="B435" s="1" t="str">
        <f ca="1">IFERROR(__xludf.DUMMYFUNCTION("""COMPUTED_VALUE"""),"Non-gunshot Injury")</f>
        <v>Non-gunshot Injury</v>
      </c>
      <c r="C435" s="1"/>
      <c r="D435" s="1" t="str">
        <f ca="1">IFERROR(__xludf.DUMMYFUNCTION("""COMPUTED_VALUE"""),"Student")</f>
        <v>Student</v>
      </c>
      <c r="E435" s="1" t="str">
        <f ca="1">IFERROR(__xludf.DUMMYFUNCTION("""COMPUTED_VALUE"""),"Child")</f>
        <v>Child</v>
      </c>
      <c r="F435" s="1"/>
    </row>
    <row r="436" spans="1:6" ht="12.5">
      <c r="A436" s="1" t="str">
        <f ca="1">IFERROR(__xludf.DUMMYFUNCTION("""COMPUTED_VALUE"""),"20220916NYPSN")</f>
        <v>20220916NYPSN</v>
      </c>
      <c r="B436" s="1" t="str">
        <f ca="1">IFERROR(__xludf.DUMMYFUNCTION("""COMPUTED_VALUE"""),"Non-gunshot Injury")</f>
        <v>Non-gunshot Injury</v>
      </c>
      <c r="C436" s="1"/>
      <c r="D436" s="1" t="str">
        <f ca="1">IFERROR(__xludf.DUMMYFUNCTION("""COMPUTED_VALUE"""),"Student")</f>
        <v>Student</v>
      </c>
      <c r="E436" s="1" t="str">
        <f ca="1">IFERROR(__xludf.DUMMYFUNCTION("""COMPUTED_VALUE"""),"Child")</f>
        <v>Child</v>
      </c>
      <c r="F436" s="1"/>
    </row>
    <row r="437" spans="1:6" ht="12.5">
      <c r="A437" s="1" t="str">
        <f ca="1">IFERROR(__xludf.DUMMYFUNCTION("""COMPUTED_VALUE"""),"20220916NYPSN")</f>
        <v>20220916NYPSN</v>
      </c>
      <c r="B437" s="1" t="str">
        <f ca="1">IFERROR(__xludf.DUMMYFUNCTION("""COMPUTED_VALUE"""),"Non-gunshot Injury")</f>
        <v>Non-gunshot Injury</v>
      </c>
      <c r="C437" s="1"/>
      <c r="D437" s="1" t="str">
        <f ca="1">IFERROR(__xludf.DUMMYFUNCTION("""COMPUTED_VALUE"""),"Student")</f>
        <v>Student</v>
      </c>
      <c r="E437" s="1" t="str">
        <f ca="1">IFERROR(__xludf.DUMMYFUNCTION("""COMPUTED_VALUE"""),"Child")</f>
        <v>Child</v>
      </c>
      <c r="F437" s="1"/>
    </row>
    <row r="438" spans="1:6" ht="12.5">
      <c r="A438" s="1" t="str">
        <f ca="1">IFERROR(__xludf.DUMMYFUNCTION("""COMPUTED_VALUE"""),"20220916NYPSN")</f>
        <v>20220916NYPSN</v>
      </c>
      <c r="B438" s="1" t="str">
        <f ca="1">IFERROR(__xludf.DUMMYFUNCTION("""COMPUTED_VALUE"""),"Non-gunshot Injury")</f>
        <v>Non-gunshot Injury</v>
      </c>
      <c r="C438" s="1"/>
      <c r="D438" s="1" t="str">
        <f ca="1">IFERROR(__xludf.DUMMYFUNCTION("""COMPUTED_VALUE"""),"Student")</f>
        <v>Student</v>
      </c>
      <c r="E438" s="1" t="str">
        <f ca="1">IFERROR(__xludf.DUMMYFUNCTION("""COMPUTED_VALUE"""),"Child")</f>
        <v>Child</v>
      </c>
      <c r="F438" s="1"/>
    </row>
    <row r="439" spans="1:6" ht="12.5">
      <c r="A439" s="1" t="str">
        <f ca="1">IFERROR(__xludf.DUMMYFUNCTION("""COMPUTED_VALUE"""),"20220913MDOXO")</f>
        <v>20220913MDOXO</v>
      </c>
      <c r="B439" s="1" t="str">
        <f ca="1">IFERROR(__xludf.DUMMYFUNCTION("""COMPUTED_VALUE"""),"Wounded")</f>
        <v>Wounded</v>
      </c>
      <c r="C439" s="1"/>
      <c r="D439" s="1"/>
      <c r="E439" s="1"/>
      <c r="F439" s="1"/>
    </row>
    <row r="440" spans="1:6" ht="12.5">
      <c r="A440" s="1" t="str">
        <f ca="1">IFERROR(__xludf.DUMMYFUNCTION("""COMPUTED_VALUE"""),"20220913CAVAV")</f>
        <v>20220913CAVAV</v>
      </c>
      <c r="B440" s="1" t="str">
        <f ca="1">IFERROR(__xludf.DUMMYFUNCTION("""COMPUTED_VALUE"""),"Wounded")</f>
        <v>Wounded</v>
      </c>
      <c r="C440" s="1" t="str">
        <f ca="1">IFERROR(__xludf.DUMMYFUNCTION("""COMPUTED_VALUE"""),"Male")</f>
        <v>Male</v>
      </c>
      <c r="D440" s="1" t="str">
        <f ca="1">IFERROR(__xludf.DUMMYFUNCTION("""COMPUTED_VALUE"""),"Other Staff")</f>
        <v>Other Staff</v>
      </c>
      <c r="E440" s="1" t="str">
        <f ca="1">IFERROR(__xludf.DUMMYFUNCTION("""COMPUTED_VALUE"""),"Adult")</f>
        <v>Adult</v>
      </c>
      <c r="F440" s="1"/>
    </row>
    <row r="441" spans="1:6" ht="12.5">
      <c r="A441" s="1" t="str">
        <f ca="1">IFERROR(__xludf.DUMMYFUNCTION("""COMPUTED_VALUE"""),"20220909WIWIR")</f>
        <v>20220909WIWIR</v>
      </c>
      <c r="B441" s="1" t="str">
        <f ca="1">IFERROR(__xludf.DUMMYFUNCTION("""COMPUTED_VALUE"""),"Wounded")</f>
        <v>Wounded</v>
      </c>
      <c r="C441" s="1" t="str">
        <f ca="1">IFERROR(__xludf.DUMMYFUNCTION("""COMPUTED_VALUE"""),"Female")</f>
        <v>Female</v>
      </c>
      <c r="D441" s="1" t="str">
        <f ca="1">IFERROR(__xludf.DUMMYFUNCTION("""COMPUTED_VALUE"""),"Student")</f>
        <v>Student</v>
      </c>
      <c r="E441" s="1" t="str">
        <f ca="1">IFERROR(__xludf.DUMMYFUNCTION("""COMPUTED_VALUE"""),"Teen")</f>
        <v>Teen</v>
      </c>
      <c r="F441" s="1"/>
    </row>
    <row r="442" spans="1:6" ht="12.5">
      <c r="A442" s="1" t="str">
        <f ca="1">IFERROR(__xludf.DUMMYFUNCTION("""COMPUTED_VALUE"""),"20220907MDCAB")</f>
        <v>20220907MDCAB</v>
      </c>
      <c r="B442" s="1" t="str">
        <f ca="1">IFERROR(__xludf.DUMMYFUNCTION("""COMPUTED_VALUE"""),"Wounded")</f>
        <v>Wounded</v>
      </c>
      <c r="C442" s="1" t="str">
        <f ca="1">IFERROR(__xludf.DUMMYFUNCTION("""COMPUTED_VALUE"""),"Male")</f>
        <v>Male</v>
      </c>
      <c r="D442" s="1" t="str">
        <f ca="1">IFERROR(__xludf.DUMMYFUNCTION("""COMPUTED_VALUE"""),"Student")</f>
        <v>Student</v>
      </c>
      <c r="E442" s="1">
        <f ca="1">IFERROR(__xludf.DUMMYFUNCTION("""COMPUTED_VALUE"""),15)</f>
        <v>15</v>
      </c>
      <c r="F442" s="1"/>
    </row>
    <row r="443" spans="1:6" ht="12.5">
      <c r="A443" s="1" t="str">
        <f ca="1">IFERROR(__xludf.DUMMYFUNCTION("""COMPUTED_VALUE"""),"20220906IANOS")</f>
        <v>20220906IANOS</v>
      </c>
      <c r="B443" s="1" t="str">
        <f ca="1">IFERROR(__xludf.DUMMYFUNCTION("""COMPUTED_VALUE"""),"Non-gunshot Injury")</f>
        <v>Non-gunshot Injury</v>
      </c>
      <c r="C443" s="1"/>
      <c r="D443" s="1" t="str">
        <f ca="1">IFERROR(__xludf.DUMMYFUNCTION("""COMPUTED_VALUE"""),"Student")</f>
        <v>Student</v>
      </c>
      <c r="E443" s="1" t="str">
        <f ca="1">IFERROR(__xludf.DUMMYFUNCTION("""COMPUTED_VALUE"""),"Teen")</f>
        <v>Teen</v>
      </c>
      <c r="F443" s="1"/>
    </row>
    <row r="444" spans="1:6" ht="12.5">
      <c r="A444" s="1" t="str">
        <f ca="1">IFERROR(__xludf.DUMMYFUNCTION("""COMPUTED_VALUE"""),"20220906IANOS")</f>
        <v>20220906IANOS</v>
      </c>
      <c r="B444" s="1" t="str">
        <f ca="1">IFERROR(__xludf.DUMMYFUNCTION("""COMPUTED_VALUE"""),"Non-gunshot Injury")</f>
        <v>Non-gunshot Injury</v>
      </c>
      <c r="C444" s="1"/>
      <c r="D444" s="1" t="str">
        <f ca="1">IFERROR(__xludf.DUMMYFUNCTION("""COMPUTED_VALUE"""),"Student")</f>
        <v>Student</v>
      </c>
      <c r="E444" s="1" t="str">
        <f ca="1">IFERROR(__xludf.DUMMYFUNCTION("""COMPUTED_VALUE"""),"Teen")</f>
        <v>Teen</v>
      </c>
      <c r="F444" s="1"/>
    </row>
    <row r="445" spans="1:6" ht="12.5">
      <c r="A445" s="1" t="str">
        <f ca="1">IFERROR(__xludf.DUMMYFUNCTION("""COMPUTED_VALUE"""),"20220906IANOS")</f>
        <v>20220906IANOS</v>
      </c>
      <c r="B445" s="1" t="str">
        <f ca="1">IFERROR(__xludf.DUMMYFUNCTION("""COMPUTED_VALUE"""),"Non-gunshot Injury")</f>
        <v>Non-gunshot Injury</v>
      </c>
      <c r="C445" s="1"/>
      <c r="D445" s="1" t="str">
        <f ca="1">IFERROR(__xludf.DUMMYFUNCTION("""COMPUTED_VALUE"""),"Student")</f>
        <v>Student</v>
      </c>
      <c r="E445" s="1" t="str">
        <f ca="1">IFERROR(__xludf.DUMMYFUNCTION("""COMPUTED_VALUE"""),"Teen")</f>
        <v>Teen</v>
      </c>
      <c r="F445" s="1"/>
    </row>
    <row r="446" spans="1:6" ht="12.5">
      <c r="A446" s="1" t="str">
        <f ca="1">IFERROR(__xludf.DUMMYFUNCTION("""COMPUTED_VALUE"""),"20220906IANOS")</f>
        <v>20220906IANOS</v>
      </c>
      <c r="B446" s="1" t="str">
        <f ca="1">IFERROR(__xludf.DUMMYFUNCTION("""COMPUTED_VALUE"""),"Non-gunshot Injury")</f>
        <v>Non-gunshot Injury</v>
      </c>
      <c r="C446" s="1"/>
      <c r="D446" s="1" t="str">
        <f ca="1">IFERROR(__xludf.DUMMYFUNCTION("""COMPUTED_VALUE"""),"Student")</f>
        <v>Student</v>
      </c>
      <c r="E446" s="1" t="str">
        <f ca="1">IFERROR(__xludf.DUMMYFUNCTION("""COMPUTED_VALUE"""),"Teen")</f>
        <v>Teen</v>
      </c>
      <c r="F446" s="1"/>
    </row>
    <row r="447" spans="1:6" ht="12.5">
      <c r="A447" s="1" t="str">
        <f ca="1">IFERROR(__xludf.DUMMYFUNCTION("""COMPUTED_VALUE"""),"20220906IANOS")</f>
        <v>20220906IANOS</v>
      </c>
      <c r="B447" s="1" t="str">
        <f ca="1">IFERROR(__xludf.DUMMYFUNCTION("""COMPUTED_VALUE"""),"Non-gunshot Injury")</f>
        <v>Non-gunshot Injury</v>
      </c>
      <c r="C447" s="1"/>
      <c r="D447" s="1" t="str">
        <f ca="1">IFERROR(__xludf.DUMMYFUNCTION("""COMPUTED_VALUE"""),"Other Staff")</f>
        <v>Other Staff</v>
      </c>
      <c r="E447" s="1" t="str">
        <f ca="1">IFERROR(__xludf.DUMMYFUNCTION("""COMPUTED_VALUE"""),"Adult")</f>
        <v>Adult</v>
      </c>
      <c r="F447" s="1"/>
    </row>
    <row r="448" spans="1:6" ht="12.5">
      <c r="A448" s="1" t="str">
        <f ca="1">IFERROR(__xludf.DUMMYFUNCTION("""COMPUTED_VALUE"""),"20220904FLBOL")</f>
        <v>20220904FLBOL</v>
      </c>
      <c r="B448" s="1" t="str">
        <f ca="1">IFERROR(__xludf.DUMMYFUNCTION("""COMPUTED_VALUE"""),"Wounded")</f>
        <v>Wounded</v>
      </c>
      <c r="C448" s="1"/>
      <c r="D448" s="1" t="str">
        <f ca="1">IFERROR(__xludf.DUMMYFUNCTION("""COMPUTED_VALUE"""),"Nonstudent Using Athletic Facilities/Attending Game")</f>
        <v>Nonstudent Using Athletic Facilities/Attending Game</v>
      </c>
      <c r="E448" s="1">
        <f ca="1">IFERROR(__xludf.DUMMYFUNCTION("""COMPUTED_VALUE"""),18)</f>
        <v>18</v>
      </c>
      <c r="F448" s="1"/>
    </row>
    <row r="449" spans="1:6" ht="12.5">
      <c r="A449" s="1" t="str">
        <f ca="1">IFERROR(__xludf.DUMMYFUNCTION("""COMPUTED_VALUE"""),"20220904FLBOL")</f>
        <v>20220904FLBOL</v>
      </c>
      <c r="B449" s="1" t="str">
        <f ca="1">IFERROR(__xludf.DUMMYFUNCTION("""COMPUTED_VALUE"""),"Wounded")</f>
        <v>Wounded</v>
      </c>
      <c r="C449" s="1"/>
      <c r="D449" s="1" t="str">
        <f ca="1">IFERROR(__xludf.DUMMYFUNCTION("""COMPUTED_VALUE"""),"Nonstudent Using Athletic Facilities/Attending Game")</f>
        <v>Nonstudent Using Athletic Facilities/Attending Game</v>
      </c>
      <c r="E449" s="1" t="str">
        <f ca="1">IFERROR(__xludf.DUMMYFUNCTION("""COMPUTED_VALUE"""),"Teen")</f>
        <v>Teen</v>
      </c>
      <c r="F449" s="1"/>
    </row>
    <row r="450" spans="1:6" ht="12.5">
      <c r="A450" s="1" t="str">
        <f ca="1">IFERROR(__xludf.DUMMYFUNCTION("""COMPUTED_VALUE"""),"20220904FLBOL")</f>
        <v>20220904FLBOL</v>
      </c>
      <c r="B450" s="1" t="str">
        <f ca="1">IFERROR(__xludf.DUMMYFUNCTION("""COMPUTED_VALUE"""),"Wounded")</f>
        <v>Wounded</v>
      </c>
      <c r="C450" s="1"/>
      <c r="D450" s="1" t="str">
        <f ca="1">IFERROR(__xludf.DUMMYFUNCTION("""COMPUTED_VALUE"""),"Nonstudent Using Athletic Facilities/Attending Game")</f>
        <v>Nonstudent Using Athletic Facilities/Attending Game</v>
      </c>
      <c r="E450" s="1" t="str">
        <f ca="1">IFERROR(__xludf.DUMMYFUNCTION("""COMPUTED_VALUE"""),"Teen")</f>
        <v>Teen</v>
      </c>
      <c r="F450" s="1"/>
    </row>
    <row r="451" spans="1:6" ht="12.5">
      <c r="A451" s="1" t="str">
        <f ca="1">IFERROR(__xludf.DUMMYFUNCTION("""COMPUTED_VALUE"""),"20220904FLBOL")</f>
        <v>20220904FLBOL</v>
      </c>
      <c r="B451" s="1" t="str">
        <f ca="1">IFERROR(__xludf.DUMMYFUNCTION("""COMPUTED_VALUE"""),"Wounded")</f>
        <v>Wounded</v>
      </c>
      <c r="C451" s="1"/>
      <c r="D451" s="1" t="str">
        <f ca="1">IFERROR(__xludf.DUMMYFUNCTION("""COMPUTED_VALUE"""),"Nonstudent Using Athletic Facilities/Attending Game")</f>
        <v>Nonstudent Using Athletic Facilities/Attending Game</v>
      </c>
      <c r="E451" s="1" t="str">
        <f ca="1">IFERROR(__xludf.DUMMYFUNCTION("""COMPUTED_VALUE"""),"Teen")</f>
        <v>Teen</v>
      </c>
      <c r="F451" s="1"/>
    </row>
    <row r="452" spans="1:6" ht="12.5">
      <c r="A452" s="1" t="str">
        <f ca="1">IFERROR(__xludf.DUMMYFUNCTION("""COMPUTED_VALUE"""),"20220902MDMEB")</f>
        <v>20220902MDMEB</v>
      </c>
      <c r="B452" s="1" t="str">
        <f ca="1">IFERROR(__xludf.DUMMYFUNCTION("""COMPUTED_VALUE"""),"Fatal")</f>
        <v>Fatal</v>
      </c>
      <c r="C452" s="1" t="str">
        <f ca="1">IFERROR(__xludf.DUMMYFUNCTION("""COMPUTED_VALUE"""),"Male")</f>
        <v>Male</v>
      </c>
      <c r="D452" s="1" t="str">
        <f ca="1">IFERROR(__xludf.DUMMYFUNCTION("""COMPUTED_VALUE"""),"Student")</f>
        <v>Student</v>
      </c>
      <c r="E452" s="1">
        <f ca="1">IFERROR(__xludf.DUMMYFUNCTION("""COMPUTED_VALUE"""),17)</f>
        <v>17</v>
      </c>
      <c r="F452" s="1" t="str">
        <f ca="1">IFERROR(__xludf.DUMMYFUNCTION("""COMPUTED_VALUE"""),"Black")</f>
        <v>Black</v>
      </c>
    </row>
    <row r="453" spans="1:6" ht="12.5">
      <c r="A453" s="1" t="str">
        <f ca="1">IFERROR(__xludf.DUMMYFUNCTION("""COMPUTED_VALUE"""),"20220831DCIDW")</f>
        <v>20220831DCIDW</v>
      </c>
      <c r="B453" s="1" t="str">
        <f ca="1">IFERROR(__xludf.DUMMYFUNCTION("""COMPUTED_VALUE"""),"Wounded")</f>
        <v>Wounded</v>
      </c>
      <c r="C453" s="1" t="str">
        <f ca="1">IFERROR(__xludf.DUMMYFUNCTION("""COMPUTED_VALUE"""),"Male")</f>
        <v>Male</v>
      </c>
      <c r="D453" s="1" t="str">
        <f ca="1">IFERROR(__xludf.DUMMYFUNCTION("""COMPUTED_VALUE"""),"Student")</f>
        <v>Student</v>
      </c>
      <c r="E453" s="1" t="str">
        <f ca="1">IFERROR(__xludf.DUMMYFUNCTION("""COMPUTED_VALUE"""),"Teen")</f>
        <v>Teen</v>
      </c>
      <c r="F453" s="1"/>
    </row>
    <row r="454" spans="1:6" ht="12.5">
      <c r="A454" s="1" t="str">
        <f ca="1">IFERROR(__xludf.DUMMYFUNCTION("""COMPUTED_VALUE"""),"20220831DCIDW")</f>
        <v>20220831DCIDW</v>
      </c>
      <c r="B454" s="1" t="str">
        <f ca="1">IFERROR(__xludf.DUMMYFUNCTION("""COMPUTED_VALUE"""),"Wounded")</f>
        <v>Wounded</v>
      </c>
      <c r="C454" s="1" t="str">
        <f ca="1">IFERROR(__xludf.DUMMYFUNCTION("""COMPUTED_VALUE"""),"Male")</f>
        <v>Male</v>
      </c>
      <c r="D454" s="1" t="str">
        <f ca="1">IFERROR(__xludf.DUMMYFUNCTION("""COMPUTED_VALUE"""),"Student")</f>
        <v>Student</v>
      </c>
      <c r="E454" s="1" t="str">
        <f ca="1">IFERROR(__xludf.DUMMYFUNCTION("""COMPUTED_VALUE"""),"Teen")</f>
        <v>Teen</v>
      </c>
      <c r="F454" s="1"/>
    </row>
    <row r="455" spans="1:6" ht="12.5">
      <c r="A455" s="1" t="str">
        <f ca="1">IFERROR(__xludf.DUMMYFUNCTION("""COMPUTED_VALUE"""),"20220831PAFRP")</f>
        <v>20220831PAFRP</v>
      </c>
      <c r="B455" s="1" t="str">
        <f ca="1">IFERROR(__xludf.DUMMYFUNCTION("""COMPUTED_VALUE"""),"Wounded")</f>
        <v>Wounded</v>
      </c>
      <c r="C455" s="1" t="str">
        <f ca="1">IFERROR(__xludf.DUMMYFUNCTION("""COMPUTED_VALUE"""),"Male")</f>
        <v>Male</v>
      </c>
      <c r="D455" s="1" t="str">
        <f ca="1">IFERROR(__xludf.DUMMYFUNCTION("""COMPUTED_VALUE"""),"No Relation")</f>
        <v>No Relation</v>
      </c>
      <c r="E455" s="1">
        <f ca="1">IFERROR(__xludf.DUMMYFUNCTION("""COMPUTED_VALUE"""),20)</f>
        <v>20</v>
      </c>
      <c r="F455" s="1"/>
    </row>
    <row r="456" spans="1:6" ht="12.5">
      <c r="A456" s="1" t="str">
        <f ca="1">IFERROR(__xludf.DUMMYFUNCTION("""COMPUTED_VALUE"""),"20220831PAFRP")</f>
        <v>20220831PAFRP</v>
      </c>
      <c r="B456" s="1" t="str">
        <f ca="1">IFERROR(__xludf.DUMMYFUNCTION("""COMPUTED_VALUE"""),"Wounded")</f>
        <v>Wounded</v>
      </c>
      <c r="C456" s="1" t="str">
        <f ca="1">IFERROR(__xludf.DUMMYFUNCTION("""COMPUTED_VALUE"""),"Female")</f>
        <v>Female</v>
      </c>
      <c r="D456" s="1" t="str">
        <f ca="1">IFERROR(__xludf.DUMMYFUNCTION("""COMPUTED_VALUE"""),"No Relation")</f>
        <v>No Relation</v>
      </c>
      <c r="E456" s="1">
        <f ca="1">IFERROR(__xludf.DUMMYFUNCTION("""COMPUTED_VALUE"""),20)</f>
        <v>20</v>
      </c>
      <c r="F456" s="1"/>
    </row>
    <row r="457" spans="1:6" ht="12.5">
      <c r="A457" s="1" t="str">
        <f ca="1">IFERROR(__xludf.DUMMYFUNCTION("""COMPUTED_VALUE"""),"20220831PAFRP")</f>
        <v>20220831PAFRP</v>
      </c>
      <c r="B457" s="1" t="str">
        <f ca="1">IFERROR(__xludf.DUMMYFUNCTION("""COMPUTED_VALUE"""),"Wounded")</f>
        <v>Wounded</v>
      </c>
      <c r="C457" s="1" t="str">
        <f ca="1">IFERROR(__xludf.DUMMYFUNCTION("""COMPUTED_VALUE"""),"Male")</f>
        <v>Male</v>
      </c>
      <c r="D457" s="1" t="str">
        <f ca="1">IFERROR(__xludf.DUMMYFUNCTION("""COMPUTED_VALUE"""),"No Relation")</f>
        <v>No Relation</v>
      </c>
      <c r="E457" s="1">
        <f ca="1">IFERROR(__xludf.DUMMYFUNCTION("""COMPUTED_VALUE"""),17)</f>
        <v>17</v>
      </c>
      <c r="F457" s="1"/>
    </row>
    <row r="458" spans="1:6" ht="12.5">
      <c r="A458" s="1" t="str">
        <f ca="1">IFERROR(__xludf.DUMMYFUNCTION("""COMPUTED_VALUE"""),"20220829CAMAO")</f>
        <v>20220829CAMAO</v>
      </c>
      <c r="B458" s="1" t="str">
        <f ca="1">IFERROR(__xludf.DUMMYFUNCTION("""COMPUTED_VALUE"""),"Wounded")</f>
        <v>Wounded</v>
      </c>
      <c r="C458" s="1" t="str">
        <f ca="1">IFERROR(__xludf.DUMMYFUNCTION("""COMPUTED_VALUE"""),"Male")</f>
        <v>Male</v>
      </c>
      <c r="D458" s="1" t="str">
        <f ca="1">IFERROR(__xludf.DUMMYFUNCTION("""COMPUTED_VALUE"""),"Student")</f>
        <v>Student</v>
      </c>
      <c r="E458" s="1">
        <f ca="1">IFERROR(__xludf.DUMMYFUNCTION("""COMPUTED_VALUE"""),13)</f>
        <v>13</v>
      </c>
      <c r="F458" s="1"/>
    </row>
    <row r="459" spans="1:6" ht="12.5">
      <c r="A459" s="1" t="str">
        <f ca="1">IFERROR(__xludf.DUMMYFUNCTION("""COMPUTED_VALUE"""),"20220823OHINC")</f>
        <v>20220823OHINC</v>
      </c>
      <c r="B459" s="1" t="str">
        <f ca="1">IFERROR(__xludf.DUMMYFUNCTION("""COMPUTED_VALUE"""),"Non-gunshot Injury")</f>
        <v>Non-gunshot Injury</v>
      </c>
      <c r="C459" s="1"/>
      <c r="D459" s="1" t="str">
        <f ca="1">IFERROR(__xludf.DUMMYFUNCTION("""COMPUTED_VALUE"""),"Teacher")</f>
        <v>Teacher</v>
      </c>
      <c r="E459" s="1" t="str">
        <f ca="1">IFERROR(__xludf.DUMMYFUNCTION("""COMPUTED_VALUE"""),"Adult")</f>
        <v>Adult</v>
      </c>
      <c r="F459" s="1"/>
    </row>
    <row r="460" spans="1:6" ht="12.5">
      <c r="A460" s="1" t="str">
        <f ca="1">IFERROR(__xludf.DUMMYFUNCTION("""COMPUTED_VALUE"""),"20220823OHINC")</f>
        <v>20220823OHINC</v>
      </c>
      <c r="B460" s="1" t="str">
        <f ca="1">IFERROR(__xludf.DUMMYFUNCTION("""COMPUTED_VALUE"""),"Non-gunshot Injury")</f>
        <v>Non-gunshot Injury</v>
      </c>
      <c r="C460" s="1"/>
      <c r="D460" s="1" t="str">
        <f ca="1">IFERROR(__xludf.DUMMYFUNCTION("""COMPUTED_VALUE"""),"Teacher")</f>
        <v>Teacher</v>
      </c>
      <c r="E460" s="1" t="str">
        <f ca="1">IFERROR(__xludf.DUMMYFUNCTION("""COMPUTED_VALUE"""),"Adult")</f>
        <v>Adult</v>
      </c>
      <c r="F460" s="1"/>
    </row>
    <row r="461" spans="1:6" ht="12.5">
      <c r="A461" s="1" t="str">
        <f ca="1">IFERROR(__xludf.DUMMYFUNCTION("""COMPUTED_VALUE"""),"20220823OHINC")</f>
        <v>20220823OHINC</v>
      </c>
      <c r="B461" s="1" t="str">
        <f ca="1">IFERROR(__xludf.DUMMYFUNCTION("""COMPUTED_VALUE"""),"Non-gunshot Injury")</f>
        <v>Non-gunshot Injury</v>
      </c>
      <c r="C461" s="1"/>
      <c r="D461" s="1" t="str">
        <f ca="1">IFERROR(__xludf.DUMMYFUNCTION("""COMPUTED_VALUE"""),"Teacher")</f>
        <v>Teacher</v>
      </c>
      <c r="E461" s="1" t="str">
        <f ca="1">IFERROR(__xludf.DUMMYFUNCTION("""COMPUTED_VALUE"""),"Adult")</f>
        <v>Adult</v>
      </c>
      <c r="F461" s="1"/>
    </row>
    <row r="462" spans="1:6" ht="12.5">
      <c r="A462" s="1" t="str">
        <f ca="1">IFERROR(__xludf.DUMMYFUNCTION("""COMPUTED_VALUE"""),"20220809PACHP")</f>
        <v>20220809PACHP</v>
      </c>
      <c r="B462" s="1" t="str">
        <f ca="1">IFERROR(__xludf.DUMMYFUNCTION("""COMPUTED_VALUE"""),"Fatal")</f>
        <v>Fatal</v>
      </c>
      <c r="C462" s="1" t="str">
        <f ca="1">IFERROR(__xludf.DUMMYFUNCTION("""COMPUTED_VALUE"""),"Male")</f>
        <v>Male</v>
      </c>
      <c r="D462" s="1" t="str">
        <f ca="1">IFERROR(__xludf.DUMMYFUNCTION("""COMPUTED_VALUE"""),"No Relation")</f>
        <v>No Relation</v>
      </c>
      <c r="E462" s="1">
        <f ca="1">IFERROR(__xludf.DUMMYFUNCTION("""COMPUTED_VALUE"""),28)</f>
        <v>28</v>
      </c>
      <c r="F462" s="1"/>
    </row>
    <row r="463" spans="1:6" ht="12.5">
      <c r="A463" s="1" t="str">
        <f ca="1">IFERROR(__xludf.DUMMYFUNCTION("""COMPUTED_VALUE"""),"20220809PACHP")</f>
        <v>20220809PACHP</v>
      </c>
      <c r="B463" s="1" t="str">
        <f ca="1">IFERROR(__xludf.DUMMYFUNCTION("""COMPUTED_VALUE"""),"Wounded")</f>
        <v>Wounded</v>
      </c>
      <c r="C463" s="1" t="str">
        <f ca="1">IFERROR(__xludf.DUMMYFUNCTION("""COMPUTED_VALUE"""),"Male")</f>
        <v>Male</v>
      </c>
      <c r="D463" s="1" t="str">
        <f ca="1">IFERROR(__xludf.DUMMYFUNCTION("""COMPUTED_VALUE"""),"No Relation")</f>
        <v>No Relation</v>
      </c>
      <c r="E463" s="1" t="str">
        <f ca="1">IFERROR(__xludf.DUMMYFUNCTION("""COMPUTED_VALUE"""),"Adult")</f>
        <v>Adult</v>
      </c>
      <c r="F463" s="1"/>
    </row>
    <row r="464" spans="1:6" ht="12.5">
      <c r="A464" s="1" t="str">
        <f ca="1">IFERROR(__xludf.DUMMYFUNCTION("""COMPUTED_VALUE"""),"20220803PALEP")</f>
        <v>20220803PALEP</v>
      </c>
      <c r="B464" s="1" t="str">
        <f ca="1">IFERROR(__xludf.DUMMYFUNCTION("""COMPUTED_VALUE"""),"Fatal")</f>
        <v>Fatal</v>
      </c>
      <c r="C464" s="1" t="str">
        <f ca="1">IFERROR(__xludf.DUMMYFUNCTION("""COMPUTED_VALUE"""),"Male")</f>
        <v>Male</v>
      </c>
      <c r="D464" s="1" t="str">
        <f ca="1">IFERROR(__xludf.DUMMYFUNCTION("""COMPUTED_VALUE"""),"No Relation")</f>
        <v>No Relation</v>
      </c>
      <c r="E464" s="1">
        <f ca="1">IFERROR(__xludf.DUMMYFUNCTION("""COMPUTED_VALUE"""),26)</f>
        <v>26</v>
      </c>
      <c r="F464" s="1"/>
    </row>
    <row r="465" spans="1:6" ht="12.5">
      <c r="A465" s="1" t="str">
        <f ca="1">IFERROR(__xludf.DUMMYFUNCTION("""COMPUTED_VALUE"""),"20220803PALEP")</f>
        <v>20220803PALEP</v>
      </c>
      <c r="B465" s="1" t="str">
        <f ca="1">IFERROR(__xludf.DUMMYFUNCTION("""COMPUTED_VALUE"""),"Wounded")</f>
        <v>Wounded</v>
      </c>
      <c r="C465" s="1" t="str">
        <f ca="1">IFERROR(__xludf.DUMMYFUNCTION("""COMPUTED_VALUE"""),"Male")</f>
        <v>Male</v>
      </c>
      <c r="D465" s="1" t="str">
        <f ca="1">IFERROR(__xludf.DUMMYFUNCTION("""COMPUTED_VALUE"""),"No Relation")</f>
        <v>No Relation</v>
      </c>
      <c r="E465" s="1">
        <f ca="1">IFERROR(__xludf.DUMMYFUNCTION("""COMPUTED_VALUE"""),24)</f>
        <v>24</v>
      </c>
      <c r="F465" s="1"/>
    </row>
    <row r="466" spans="1:6" ht="12.5">
      <c r="A466" s="1" t="str">
        <f ca="1">IFERROR(__xludf.DUMMYFUNCTION("""COMPUTED_VALUE"""),"20220731CAOAO")</f>
        <v>20220731CAOAO</v>
      </c>
      <c r="B466" s="1" t="str">
        <f ca="1">IFERROR(__xludf.DUMMYFUNCTION("""COMPUTED_VALUE"""),"Wounded")</f>
        <v>Wounded</v>
      </c>
      <c r="C466" s="1" t="str">
        <f ca="1">IFERROR(__xludf.DUMMYFUNCTION("""COMPUTED_VALUE"""),"Female")</f>
        <v>Female</v>
      </c>
      <c r="D466" s="1" t="str">
        <f ca="1">IFERROR(__xludf.DUMMYFUNCTION("""COMPUTED_VALUE"""),"Nonstudent Using Athletic Facilities/Attending Game")</f>
        <v>Nonstudent Using Athletic Facilities/Attending Game</v>
      </c>
      <c r="E466" s="1">
        <f ca="1">IFERROR(__xludf.DUMMYFUNCTION("""COMPUTED_VALUE"""),6)</f>
        <v>6</v>
      </c>
      <c r="F466" s="1"/>
    </row>
    <row r="467" spans="1:6" ht="12.5">
      <c r="A467" s="1" t="str">
        <f ca="1">IFERROR(__xludf.DUMMYFUNCTION("""COMPUTED_VALUE"""),"20220731CAOAO")</f>
        <v>20220731CAOAO</v>
      </c>
      <c r="B467" s="1" t="str">
        <f ca="1">IFERROR(__xludf.DUMMYFUNCTION("""COMPUTED_VALUE"""),"Wounded")</f>
        <v>Wounded</v>
      </c>
      <c r="C467" s="1" t="str">
        <f ca="1">IFERROR(__xludf.DUMMYFUNCTION("""COMPUTED_VALUE"""),"Female")</f>
        <v>Female</v>
      </c>
      <c r="D467" s="1" t="str">
        <f ca="1">IFERROR(__xludf.DUMMYFUNCTION("""COMPUTED_VALUE"""),"Nonstudent Using Athletic Facilities/Attending Game")</f>
        <v>Nonstudent Using Athletic Facilities/Attending Game</v>
      </c>
      <c r="E467" s="1" t="str">
        <f ca="1">IFERROR(__xludf.DUMMYFUNCTION("""COMPUTED_VALUE"""),"Adult")</f>
        <v>Adult</v>
      </c>
      <c r="F467" s="1"/>
    </row>
    <row r="468" spans="1:6" ht="12.5">
      <c r="A468" s="1" t="str">
        <f ca="1">IFERROR(__xludf.DUMMYFUNCTION("""COMPUTED_VALUE"""),"20220731CAOAO")</f>
        <v>20220731CAOAO</v>
      </c>
      <c r="B468" s="1" t="str">
        <f ca="1">IFERROR(__xludf.DUMMYFUNCTION("""COMPUTED_VALUE"""),"Wounded")</f>
        <v>Wounded</v>
      </c>
      <c r="C468" s="1" t="str">
        <f ca="1">IFERROR(__xludf.DUMMYFUNCTION("""COMPUTED_VALUE"""),"Male")</f>
        <v>Male</v>
      </c>
      <c r="D468" s="1" t="str">
        <f ca="1">IFERROR(__xludf.DUMMYFUNCTION("""COMPUTED_VALUE"""),"Nonstudent Using Athletic Facilities/Attending Game")</f>
        <v>Nonstudent Using Athletic Facilities/Attending Game</v>
      </c>
      <c r="E468" s="1" t="str">
        <f ca="1">IFERROR(__xludf.DUMMYFUNCTION("""COMPUTED_VALUE"""),"Adult")</f>
        <v>Adult</v>
      </c>
      <c r="F468" s="1"/>
    </row>
    <row r="469" spans="1:6" ht="12.5">
      <c r="A469" s="1" t="str">
        <f ca="1">IFERROR(__xludf.DUMMYFUNCTION("""COMPUTED_VALUE"""),"20220725NYBRB")</f>
        <v>20220725NYBRB</v>
      </c>
      <c r="B469" s="1" t="str">
        <f ca="1">IFERROR(__xludf.DUMMYFUNCTION("""COMPUTED_VALUE"""),"Wounded")</f>
        <v>Wounded</v>
      </c>
      <c r="C469" s="1" t="str">
        <f ca="1">IFERROR(__xludf.DUMMYFUNCTION("""COMPUTED_VALUE"""),"Female")</f>
        <v>Female</v>
      </c>
      <c r="D469" s="1" t="str">
        <f ca="1">IFERROR(__xludf.DUMMYFUNCTION("""COMPUTED_VALUE"""),"Nonstudent Using Athletic Facilities/Attending Game")</f>
        <v>Nonstudent Using Athletic Facilities/Attending Game</v>
      </c>
      <c r="E469" s="1">
        <f ca="1">IFERROR(__xludf.DUMMYFUNCTION("""COMPUTED_VALUE"""),12)</f>
        <v>12</v>
      </c>
      <c r="F469" s="1"/>
    </row>
    <row r="470" spans="1:6" ht="12.5">
      <c r="A470" s="1" t="str">
        <f ca="1">IFERROR(__xludf.DUMMYFUNCTION("""COMPUTED_VALUE"""),"20220725NYBRB")</f>
        <v>20220725NYBRB</v>
      </c>
      <c r="B470" s="1" t="str">
        <f ca="1">IFERROR(__xludf.DUMMYFUNCTION("""COMPUTED_VALUE"""),"Wounded")</f>
        <v>Wounded</v>
      </c>
      <c r="C470" s="1" t="str">
        <f ca="1">IFERROR(__xludf.DUMMYFUNCTION("""COMPUTED_VALUE"""),"Male")</f>
        <v>Male</v>
      </c>
      <c r="D470" s="1" t="str">
        <f ca="1">IFERROR(__xludf.DUMMYFUNCTION("""COMPUTED_VALUE"""),"Nonstudent Using Athletic Facilities/Attending Game")</f>
        <v>Nonstudent Using Athletic Facilities/Attending Game</v>
      </c>
      <c r="E470" s="1">
        <f ca="1">IFERROR(__xludf.DUMMYFUNCTION("""COMPUTED_VALUE"""),16)</f>
        <v>16</v>
      </c>
      <c r="F470" s="1"/>
    </row>
    <row r="471" spans="1:6" ht="12.5">
      <c r="A471" s="1" t="str">
        <f ca="1">IFERROR(__xludf.DUMMYFUNCTION("""COMPUTED_VALUE"""),"20220716GAAPF")</f>
        <v>20220716GAAPF</v>
      </c>
      <c r="B471" s="1" t="str">
        <f ca="1">IFERROR(__xludf.DUMMYFUNCTION("""COMPUTED_VALUE"""),"Wounded")</f>
        <v>Wounded</v>
      </c>
      <c r="C471" s="1" t="str">
        <f ca="1">IFERROR(__xludf.DUMMYFUNCTION("""COMPUTED_VALUE"""),"Male")</f>
        <v>Male</v>
      </c>
      <c r="D471" s="1" t="str">
        <f ca="1">IFERROR(__xludf.DUMMYFUNCTION("""COMPUTED_VALUE"""),"No Relation")</f>
        <v>No Relation</v>
      </c>
      <c r="E471" s="1">
        <f ca="1">IFERROR(__xludf.DUMMYFUNCTION("""COMPUTED_VALUE"""),19)</f>
        <v>19</v>
      </c>
      <c r="F471" s="1"/>
    </row>
    <row r="472" spans="1:6" ht="12.5">
      <c r="A472" s="1" t="str">
        <f ca="1">IFERROR(__xludf.DUMMYFUNCTION("""COMPUTED_VALUE"""),"20220629CABUA")</f>
        <v>20220629CABUA</v>
      </c>
      <c r="B472" s="1" t="str">
        <f ca="1">IFERROR(__xludf.DUMMYFUNCTION("""COMPUTED_VALUE"""),"Fatal")</f>
        <v>Fatal</v>
      </c>
      <c r="C472" s="1" t="str">
        <f ca="1">IFERROR(__xludf.DUMMYFUNCTION("""COMPUTED_VALUE"""),"Male")</f>
        <v>Male</v>
      </c>
      <c r="D472" s="1" t="str">
        <f ca="1">IFERROR(__xludf.DUMMYFUNCTION("""COMPUTED_VALUE"""),"No Relation")</f>
        <v>No Relation</v>
      </c>
      <c r="E472" s="1" t="str">
        <f ca="1">IFERROR(__xludf.DUMMYFUNCTION("""COMPUTED_VALUE"""),"Adult")</f>
        <v>Adult</v>
      </c>
      <c r="F472" s="1"/>
    </row>
    <row r="473" spans="1:6" ht="12.5">
      <c r="A473" s="1" t="str">
        <f ca="1">IFERROR(__xludf.DUMMYFUNCTION("""COMPUTED_VALUE"""),"20220620ILGRC")</f>
        <v>20220620ILGRC</v>
      </c>
      <c r="B473" s="1" t="str">
        <f ca="1">IFERROR(__xludf.DUMMYFUNCTION("""COMPUTED_VALUE"""),"Wounded")</f>
        <v>Wounded</v>
      </c>
      <c r="C473" s="1" t="str">
        <f ca="1">IFERROR(__xludf.DUMMYFUNCTION("""COMPUTED_VALUE"""),"Female")</f>
        <v>Female</v>
      </c>
      <c r="D473" s="1" t="str">
        <f ca="1">IFERROR(__xludf.DUMMYFUNCTION("""COMPUTED_VALUE"""),"No Relation")</f>
        <v>No Relation</v>
      </c>
      <c r="E473" s="1">
        <f ca="1">IFERROR(__xludf.DUMMYFUNCTION("""COMPUTED_VALUE"""),34)</f>
        <v>34</v>
      </c>
      <c r="F473" s="1"/>
    </row>
    <row r="474" spans="1:6" ht="12.5">
      <c r="A474" s="1" t="str">
        <f ca="1">IFERROR(__xludf.DUMMYFUNCTION("""COMPUTED_VALUE"""),"20220620ILGRC")</f>
        <v>20220620ILGRC</v>
      </c>
      <c r="B474" s="1" t="str">
        <f ca="1">IFERROR(__xludf.DUMMYFUNCTION("""COMPUTED_VALUE"""),"Wounded")</f>
        <v>Wounded</v>
      </c>
      <c r="C474" s="1" t="str">
        <f ca="1">IFERROR(__xludf.DUMMYFUNCTION("""COMPUTED_VALUE"""),"Male")</f>
        <v>Male</v>
      </c>
      <c r="D474" s="1" t="str">
        <f ca="1">IFERROR(__xludf.DUMMYFUNCTION("""COMPUTED_VALUE"""),"No Relation")</f>
        <v>No Relation</v>
      </c>
      <c r="E474" s="1">
        <f ca="1">IFERROR(__xludf.DUMMYFUNCTION("""COMPUTED_VALUE"""),16)</f>
        <v>16</v>
      </c>
      <c r="F474" s="1"/>
    </row>
    <row r="475" spans="1:6" ht="12.5">
      <c r="A475" s="1" t="str">
        <f ca="1">IFERROR(__xludf.DUMMYFUNCTION("""COMPUTED_VALUE"""),"20220620ILGRC")</f>
        <v>20220620ILGRC</v>
      </c>
      <c r="B475" s="1" t="str">
        <f ca="1">IFERROR(__xludf.DUMMYFUNCTION("""COMPUTED_VALUE"""),"Wounded")</f>
        <v>Wounded</v>
      </c>
      <c r="C475" s="1" t="str">
        <f ca="1">IFERROR(__xludf.DUMMYFUNCTION("""COMPUTED_VALUE"""),"Female")</f>
        <v>Female</v>
      </c>
      <c r="D475" s="1" t="str">
        <f ca="1">IFERROR(__xludf.DUMMYFUNCTION("""COMPUTED_VALUE"""),"No Relation")</f>
        <v>No Relation</v>
      </c>
      <c r="E475" s="1">
        <f ca="1">IFERROR(__xludf.DUMMYFUNCTION("""COMPUTED_VALUE"""),17)</f>
        <v>17</v>
      </c>
      <c r="F475" s="1"/>
    </row>
    <row r="476" spans="1:6" ht="12.5">
      <c r="A476" s="1" t="str">
        <f ca="1">IFERROR(__xludf.DUMMYFUNCTION("""COMPUTED_VALUE"""),"20220609ALWAG")</f>
        <v>20220609ALWAG</v>
      </c>
      <c r="B476" s="1" t="str">
        <f ca="1">IFERROR(__xludf.DUMMYFUNCTION("""COMPUTED_VALUE"""),"Fatal")</f>
        <v>Fatal</v>
      </c>
      <c r="C476" s="1" t="str">
        <f ca="1">IFERROR(__xludf.DUMMYFUNCTION("""COMPUTED_VALUE"""),"Male")</f>
        <v>Male</v>
      </c>
      <c r="D476" s="1" t="str">
        <f ca="1">IFERROR(__xludf.DUMMYFUNCTION("""COMPUTED_VALUE"""),"No Relation")</f>
        <v>No Relation</v>
      </c>
      <c r="E476" s="1">
        <f ca="1">IFERROR(__xludf.DUMMYFUNCTION("""COMPUTED_VALUE"""),32)</f>
        <v>32</v>
      </c>
      <c r="F476" s="1" t="str">
        <f ca="1">IFERROR(__xludf.DUMMYFUNCTION("""COMPUTED_VALUE"""),"Black")</f>
        <v>Black</v>
      </c>
    </row>
    <row r="477" spans="1:6" ht="12.5">
      <c r="A477" s="1" t="str">
        <f ca="1">IFERROR(__xludf.DUMMYFUNCTION("""COMPUTED_VALUE"""),"20220609ALWAG")</f>
        <v>20220609ALWAG</v>
      </c>
      <c r="B477" s="1" t="str">
        <f ca="1">IFERROR(__xludf.DUMMYFUNCTION("""COMPUTED_VALUE"""),"Non-gunshot Injury")</f>
        <v>Non-gunshot Injury</v>
      </c>
      <c r="C477" s="1" t="str">
        <f ca="1">IFERROR(__xludf.DUMMYFUNCTION("""COMPUTED_VALUE"""),"Male")</f>
        <v>Male</v>
      </c>
      <c r="D477" s="1" t="str">
        <f ca="1">IFERROR(__xludf.DUMMYFUNCTION("""COMPUTED_VALUE"""),"Police Officer/SRO")</f>
        <v>Police Officer/SRO</v>
      </c>
      <c r="E477" s="1" t="str">
        <f ca="1">IFERROR(__xludf.DUMMYFUNCTION("""COMPUTED_VALUE"""),"Adult")</f>
        <v>Adult</v>
      </c>
      <c r="F477" s="1"/>
    </row>
    <row r="478" spans="1:6" ht="12.5">
      <c r="A478" s="1" t="str">
        <f ca="1">IFERROR(__xludf.DUMMYFUNCTION("""COMPUTED_VALUE"""),"20220605INWEG")</f>
        <v>20220605INWEG</v>
      </c>
      <c r="B478" s="1" t="str">
        <f ca="1">IFERROR(__xludf.DUMMYFUNCTION("""COMPUTED_VALUE"""),"Wounded")</f>
        <v>Wounded</v>
      </c>
      <c r="C478" s="1" t="str">
        <f ca="1">IFERROR(__xludf.DUMMYFUNCTION("""COMPUTED_VALUE"""),"Male")</f>
        <v>Male</v>
      </c>
      <c r="D478" s="1"/>
      <c r="E478" s="1">
        <f ca="1">IFERROR(__xludf.DUMMYFUNCTION("""COMPUTED_VALUE"""),19)</f>
        <v>19</v>
      </c>
      <c r="F478" s="1"/>
    </row>
    <row r="479" spans="1:6" ht="12.5">
      <c r="A479" s="1" t="str">
        <f ca="1">IFERROR(__xludf.DUMMYFUNCTION("""COMPUTED_VALUE"""),"20220605INWEG")</f>
        <v>20220605INWEG</v>
      </c>
      <c r="B479" s="1" t="str">
        <f ca="1">IFERROR(__xludf.DUMMYFUNCTION("""COMPUTED_VALUE"""),"Wounded")</f>
        <v>Wounded</v>
      </c>
      <c r="C479" s="1" t="str">
        <f ca="1">IFERROR(__xludf.DUMMYFUNCTION("""COMPUTED_VALUE"""),"Female")</f>
        <v>Female</v>
      </c>
      <c r="D479" s="1"/>
      <c r="E479" s="1">
        <f ca="1">IFERROR(__xludf.DUMMYFUNCTION("""COMPUTED_VALUE"""),19)</f>
        <v>19</v>
      </c>
      <c r="F479" s="1"/>
    </row>
    <row r="480" spans="1:6" ht="12.5">
      <c r="A480" s="1" t="str">
        <f ca="1">IFERROR(__xludf.DUMMYFUNCTION("""COMPUTED_VALUE"""),"20220601CAULL")</f>
        <v>20220601CAULL</v>
      </c>
      <c r="B480" s="1" t="str">
        <f ca="1">IFERROR(__xludf.DUMMYFUNCTION("""COMPUTED_VALUE"""),"Wounded")</f>
        <v>Wounded</v>
      </c>
      <c r="C480" s="1" t="str">
        <f ca="1">IFERROR(__xludf.DUMMYFUNCTION("""COMPUTED_VALUE"""),"Male")</f>
        <v>Male</v>
      </c>
      <c r="D480" s="1" t="str">
        <f ca="1">IFERROR(__xludf.DUMMYFUNCTION("""COMPUTED_VALUE"""),"Student")</f>
        <v>Student</v>
      </c>
      <c r="E480" s="1">
        <f ca="1">IFERROR(__xludf.DUMMYFUNCTION("""COMPUTED_VALUE"""),16)</f>
        <v>16</v>
      </c>
      <c r="F480" s="1"/>
    </row>
    <row r="481" spans="1:6" ht="12.5">
      <c r="A481" s="1" t="str">
        <f ca="1">IFERROR(__xludf.DUMMYFUNCTION("""COMPUTED_VALUE"""),"20220531LAMON")</f>
        <v>20220531LAMON</v>
      </c>
      <c r="B481" s="1" t="str">
        <f ca="1">IFERROR(__xludf.DUMMYFUNCTION("""COMPUTED_VALUE"""),"Wounded")</f>
        <v>Wounded</v>
      </c>
      <c r="C481" s="1" t="str">
        <f ca="1">IFERROR(__xludf.DUMMYFUNCTION("""COMPUTED_VALUE"""),"Male")</f>
        <v>Male</v>
      </c>
      <c r="D481" s="1" t="str">
        <f ca="1">IFERROR(__xludf.DUMMYFUNCTION("""COMPUTED_VALUE"""),"Relative")</f>
        <v>Relative</v>
      </c>
      <c r="E481" s="1" t="str">
        <f ca="1">IFERROR(__xludf.DUMMYFUNCTION("""COMPUTED_VALUE"""),"Adult")</f>
        <v>Adult</v>
      </c>
      <c r="F481" s="1"/>
    </row>
    <row r="482" spans="1:6" ht="12.5">
      <c r="A482" s="1" t="str">
        <f ca="1">IFERROR(__xludf.DUMMYFUNCTION("""COMPUTED_VALUE"""),"20220531LAMON")</f>
        <v>20220531LAMON</v>
      </c>
      <c r="B482" s="1" t="str">
        <f ca="1">IFERROR(__xludf.DUMMYFUNCTION("""COMPUTED_VALUE"""),"Wounded")</f>
        <v>Wounded</v>
      </c>
      <c r="C482" s="1" t="str">
        <f ca="1">IFERROR(__xludf.DUMMYFUNCTION("""COMPUTED_VALUE"""),"Male")</f>
        <v>Male</v>
      </c>
      <c r="D482" s="1" t="str">
        <f ca="1">IFERROR(__xludf.DUMMYFUNCTION("""COMPUTED_VALUE"""),"Relative")</f>
        <v>Relative</v>
      </c>
      <c r="E482" s="1" t="str">
        <f ca="1">IFERROR(__xludf.DUMMYFUNCTION("""COMPUTED_VALUE"""),"Adult")</f>
        <v>Adult</v>
      </c>
      <c r="F482" s="1"/>
    </row>
    <row r="483" spans="1:6" ht="12.5">
      <c r="A483" s="1" t="str">
        <f ca="1">IFERROR(__xludf.DUMMYFUNCTION("""COMPUTED_VALUE"""),"20220531LAMON")</f>
        <v>20220531LAMON</v>
      </c>
      <c r="B483" s="1" t="str">
        <f ca="1">IFERROR(__xludf.DUMMYFUNCTION("""COMPUTED_VALUE"""),"Fatal")</f>
        <v>Fatal</v>
      </c>
      <c r="C483" s="1" t="str">
        <f ca="1">IFERROR(__xludf.DUMMYFUNCTION("""COMPUTED_VALUE"""),"Female")</f>
        <v>Female</v>
      </c>
      <c r="D483" s="1" t="str">
        <f ca="1">IFERROR(__xludf.DUMMYFUNCTION("""COMPUTED_VALUE"""),"Relative")</f>
        <v>Relative</v>
      </c>
      <c r="E483" s="1">
        <f ca="1">IFERROR(__xludf.DUMMYFUNCTION("""COMPUTED_VALUE"""),80)</f>
        <v>80</v>
      </c>
      <c r="F483" s="1" t="str">
        <f ca="1">IFERROR(__xludf.DUMMYFUNCTION("""COMPUTED_VALUE"""),"Black")</f>
        <v>Black</v>
      </c>
    </row>
    <row r="484" spans="1:6" ht="12.5">
      <c r="A484" s="1" t="str">
        <f ca="1">IFERROR(__xludf.DUMMYFUNCTION("""COMPUTED_VALUE"""),"20220530CAHEL")</f>
        <v>20220530CAHEL</v>
      </c>
      <c r="B484" s="1" t="str">
        <f ca="1">IFERROR(__xludf.DUMMYFUNCTION("""COMPUTED_VALUE"""),"Wounded")</f>
        <v>Wounded</v>
      </c>
      <c r="C484" s="1" t="str">
        <f ca="1">IFERROR(__xludf.DUMMYFUNCTION("""COMPUTED_VALUE"""),"Male")</f>
        <v>Male</v>
      </c>
      <c r="D484" s="1" t="str">
        <f ca="1">IFERROR(__xludf.DUMMYFUNCTION("""COMPUTED_VALUE"""),"No Relation")</f>
        <v>No Relation</v>
      </c>
      <c r="E484" s="1">
        <f ca="1">IFERROR(__xludf.DUMMYFUNCTION("""COMPUTED_VALUE"""),20)</f>
        <v>20</v>
      </c>
      <c r="F484" s="1"/>
    </row>
    <row r="485" spans="1:6" ht="12.5">
      <c r="A485" s="1" t="str">
        <f ca="1">IFERROR(__xludf.DUMMYFUNCTION("""COMPUTED_VALUE"""),"20220529ILDAC")</f>
        <v>20220529ILDAC</v>
      </c>
      <c r="B485" s="1" t="str">
        <f ca="1">IFERROR(__xludf.DUMMYFUNCTION("""COMPUTED_VALUE"""),"Wounded")</f>
        <v>Wounded</v>
      </c>
      <c r="C485" s="1" t="str">
        <f ca="1">IFERROR(__xludf.DUMMYFUNCTION("""COMPUTED_VALUE"""),"Male")</f>
        <v>Male</v>
      </c>
      <c r="D485" s="1"/>
      <c r="E485" s="1">
        <f ca="1">IFERROR(__xludf.DUMMYFUNCTION("""COMPUTED_VALUE"""),21)</f>
        <v>21</v>
      </c>
      <c r="F485" s="1"/>
    </row>
    <row r="486" spans="1:6" ht="12.5">
      <c r="A486" s="1" t="str">
        <f ca="1">IFERROR(__xludf.DUMMYFUNCTION("""COMPUTED_VALUE"""),"20220529ILDAC")</f>
        <v>20220529ILDAC</v>
      </c>
      <c r="B486" s="1" t="str">
        <f ca="1">IFERROR(__xludf.DUMMYFUNCTION("""COMPUTED_VALUE"""),"Wounded")</f>
        <v>Wounded</v>
      </c>
      <c r="C486" s="1" t="str">
        <f ca="1">IFERROR(__xludf.DUMMYFUNCTION("""COMPUTED_VALUE"""),"Male")</f>
        <v>Male</v>
      </c>
      <c r="D486" s="1"/>
      <c r="E486" s="1">
        <f ca="1">IFERROR(__xludf.DUMMYFUNCTION("""COMPUTED_VALUE"""),21)</f>
        <v>21</v>
      </c>
      <c r="F486" s="1"/>
    </row>
    <row r="487" spans="1:6" ht="12.5">
      <c r="A487" s="1" t="str">
        <f ca="1">IFERROR(__xludf.DUMMYFUNCTION("""COMPUTED_VALUE"""),"20220529ILDAC")</f>
        <v>20220529ILDAC</v>
      </c>
      <c r="B487" s="1" t="str">
        <f ca="1">IFERROR(__xludf.DUMMYFUNCTION("""COMPUTED_VALUE"""),"Wounded")</f>
        <v>Wounded</v>
      </c>
      <c r="C487" s="1" t="str">
        <f ca="1">IFERROR(__xludf.DUMMYFUNCTION("""COMPUTED_VALUE"""),"Female")</f>
        <v>Female</v>
      </c>
      <c r="D487" s="1"/>
      <c r="E487" s="1">
        <f ca="1">IFERROR(__xludf.DUMMYFUNCTION("""COMPUTED_VALUE"""),21)</f>
        <v>21</v>
      </c>
      <c r="F487" s="1"/>
    </row>
    <row r="488" spans="1:6" ht="12.5">
      <c r="A488" s="1" t="str">
        <f ca="1">IFERROR(__xludf.DUMMYFUNCTION("""COMPUTED_VALUE"""),"20220529ILDAC")</f>
        <v>20220529ILDAC</v>
      </c>
      <c r="B488" s="1" t="str">
        <f ca="1">IFERROR(__xludf.DUMMYFUNCTION("""COMPUTED_VALUE"""),"Wounded")</f>
        <v>Wounded</v>
      </c>
      <c r="C488" s="1" t="str">
        <f ca="1">IFERROR(__xludf.DUMMYFUNCTION("""COMPUTED_VALUE"""),"Female")</f>
        <v>Female</v>
      </c>
      <c r="D488" s="1"/>
      <c r="E488" s="1">
        <f ca="1">IFERROR(__xludf.DUMMYFUNCTION("""COMPUTED_VALUE"""),16)</f>
        <v>16</v>
      </c>
      <c r="F488" s="1"/>
    </row>
    <row r="489" spans="1:6" ht="12.5">
      <c r="A489" s="1" t="str">
        <f ca="1">IFERROR(__xludf.DUMMYFUNCTION("""COMPUTED_VALUE"""),"20220529ILDAC")</f>
        <v>20220529ILDAC</v>
      </c>
      <c r="B489" s="1" t="str">
        <f ca="1">IFERROR(__xludf.DUMMYFUNCTION("""COMPUTED_VALUE"""),"Wounded")</f>
        <v>Wounded</v>
      </c>
      <c r="C489" s="1" t="str">
        <f ca="1">IFERROR(__xludf.DUMMYFUNCTION("""COMPUTED_VALUE"""),"Male")</f>
        <v>Male</v>
      </c>
      <c r="D489" s="1"/>
      <c r="E489" s="1">
        <f ca="1">IFERROR(__xludf.DUMMYFUNCTION("""COMPUTED_VALUE"""),33)</f>
        <v>33</v>
      </c>
      <c r="F489" s="1"/>
    </row>
    <row r="490" spans="1:6" ht="12.5">
      <c r="A490" s="1" t="str">
        <f ca="1">IFERROR(__xludf.DUMMYFUNCTION("""COMPUTED_VALUE"""),"20220526SCMEG")</f>
        <v>20220526SCMEG</v>
      </c>
      <c r="B490" s="1" t="str">
        <f ca="1">IFERROR(__xludf.DUMMYFUNCTION("""COMPUTED_VALUE"""),"Fatal")</f>
        <v>Fatal</v>
      </c>
      <c r="C490" s="1" t="str">
        <f ca="1">IFERROR(__xludf.DUMMYFUNCTION("""COMPUTED_VALUE"""),"Male")</f>
        <v>Male</v>
      </c>
      <c r="D490" s="1" t="str">
        <f ca="1">IFERROR(__xludf.DUMMYFUNCTION("""COMPUTED_VALUE"""),"No Relation")</f>
        <v>No Relation</v>
      </c>
      <c r="E490" s="1">
        <f ca="1">IFERROR(__xludf.DUMMYFUNCTION("""COMPUTED_VALUE"""),31)</f>
        <v>31</v>
      </c>
      <c r="F490" s="1"/>
    </row>
    <row r="491" spans="1:6" ht="12.5">
      <c r="A491" s="1" t="str">
        <f ca="1">IFERROR(__xludf.DUMMYFUNCTION("""COMPUTED_VALUE"""),"20220524TXROU")</f>
        <v>20220524TXROU</v>
      </c>
      <c r="B491" s="1" t="str">
        <f ca="1">IFERROR(__xludf.DUMMYFUNCTION("""COMPUTED_VALUE"""),"Wounded")</f>
        <v>Wounded</v>
      </c>
      <c r="C491" s="1"/>
      <c r="D491" s="1"/>
      <c r="E491" s="1"/>
      <c r="F491" s="1"/>
    </row>
    <row r="492" spans="1:6" ht="12.5">
      <c r="A492" s="1" t="str">
        <f ca="1">IFERROR(__xludf.DUMMYFUNCTION("""COMPUTED_VALUE"""),"20220524TXROU")</f>
        <v>20220524TXROU</v>
      </c>
      <c r="B492" s="1" t="str">
        <f ca="1">IFERROR(__xludf.DUMMYFUNCTION("""COMPUTED_VALUE"""),"Fatal")</f>
        <v>Fatal</v>
      </c>
      <c r="C492" s="1"/>
      <c r="D492" s="1" t="str">
        <f ca="1">IFERROR(__xludf.DUMMYFUNCTION("""COMPUTED_VALUE"""),"Student")</f>
        <v>Student</v>
      </c>
      <c r="E492" s="1" t="str">
        <f ca="1">IFERROR(__xludf.DUMMYFUNCTION("""COMPUTED_VALUE"""),"Child")</f>
        <v>Child</v>
      </c>
      <c r="F492" s="1"/>
    </row>
    <row r="493" spans="1:6" ht="12.5">
      <c r="A493" s="1" t="str">
        <f ca="1">IFERROR(__xludf.DUMMYFUNCTION("""COMPUTED_VALUE"""),"20220524TXROU")</f>
        <v>20220524TXROU</v>
      </c>
      <c r="B493" s="1" t="str">
        <f ca="1">IFERROR(__xludf.DUMMYFUNCTION("""COMPUTED_VALUE"""),"Wounded")</f>
        <v>Wounded</v>
      </c>
      <c r="C493" s="1"/>
      <c r="D493" s="1" t="str">
        <f ca="1">IFERROR(__xludf.DUMMYFUNCTION("""COMPUTED_VALUE"""),"Student")</f>
        <v>Student</v>
      </c>
      <c r="E493" s="1" t="str">
        <f ca="1">IFERROR(__xludf.DUMMYFUNCTION("""COMPUTED_VALUE"""),"Child")</f>
        <v>Child</v>
      </c>
      <c r="F493" s="1"/>
    </row>
    <row r="494" spans="1:6" ht="12.5">
      <c r="A494" s="1" t="str">
        <f ca="1">IFERROR(__xludf.DUMMYFUNCTION("""COMPUTED_VALUE"""),"20220524TXROU")</f>
        <v>20220524TXROU</v>
      </c>
      <c r="B494" s="1" t="str">
        <f ca="1">IFERROR(__xludf.DUMMYFUNCTION("""COMPUTED_VALUE"""),"Fatal")</f>
        <v>Fatal</v>
      </c>
      <c r="C494" s="1"/>
      <c r="D494" s="1" t="str">
        <f ca="1">IFERROR(__xludf.DUMMYFUNCTION("""COMPUTED_VALUE"""),"Student")</f>
        <v>Student</v>
      </c>
      <c r="E494" s="1" t="str">
        <f ca="1">IFERROR(__xludf.DUMMYFUNCTION("""COMPUTED_VALUE"""),"Child")</f>
        <v>Child</v>
      </c>
      <c r="F494" s="1"/>
    </row>
    <row r="495" spans="1:6" ht="12.5">
      <c r="A495" s="1" t="str">
        <f ca="1">IFERROR(__xludf.DUMMYFUNCTION("""COMPUTED_VALUE"""),"20220524TXROU")</f>
        <v>20220524TXROU</v>
      </c>
      <c r="B495" s="1" t="str">
        <f ca="1">IFERROR(__xludf.DUMMYFUNCTION("""COMPUTED_VALUE"""),"Fatal")</f>
        <v>Fatal</v>
      </c>
      <c r="C495" s="1"/>
      <c r="D495" s="1" t="str">
        <f ca="1">IFERROR(__xludf.DUMMYFUNCTION("""COMPUTED_VALUE"""),"Student")</f>
        <v>Student</v>
      </c>
      <c r="E495" s="1" t="str">
        <f ca="1">IFERROR(__xludf.DUMMYFUNCTION("""COMPUTED_VALUE"""),"Child")</f>
        <v>Child</v>
      </c>
      <c r="F495" s="1"/>
    </row>
    <row r="496" spans="1:6" ht="12.5">
      <c r="A496" s="1" t="str">
        <f ca="1">IFERROR(__xludf.DUMMYFUNCTION("""COMPUTED_VALUE"""),"20220524TXROU")</f>
        <v>20220524TXROU</v>
      </c>
      <c r="B496" s="1" t="str">
        <f ca="1">IFERROR(__xludf.DUMMYFUNCTION("""COMPUTED_VALUE"""),"Wounded")</f>
        <v>Wounded</v>
      </c>
      <c r="C496" s="1"/>
      <c r="D496" s="1"/>
      <c r="E496" s="1"/>
      <c r="F496" s="1"/>
    </row>
    <row r="497" spans="1:6" ht="12.5">
      <c r="A497" s="1" t="str">
        <f ca="1">IFERROR(__xludf.DUMMYFUNCTION("""COMPUTED_VALUE"""),"20220524TXROU")</f>
        <v>20220524TXROU</v>
      </c>
      <c r="B497" s="1" t="str">
        <f ca="1">IFERROR(__xludf.DUMMYFUNCTION("""COMPUTED_VALUE"""),"Fatal")</f>
        <v>Fatal</v>
      </c>
      <c r="C497" s="1"/>
      <c r="D497" s="1" t="str">
        <f ca="1">IFERROR(__xludf.DUMMYFUNCTION("""COMPUTED_VALUE"""),"Student")</f>
        <v>Student</v>
      </c>
      <c r="E497" s="1" t="str">
        <f ca="1">IFERROR(__xludf.DUMMYFUNCTION("""COMPUTED_VALUE"""),"Child")</f>
        <v>Child</v>
      </c>
      <c r="F497" s="1"/>
    </row>
    <row r="498" spans="1:6" ht="12.5">
      <c r="A498" s="1" t="str">
        <f ca="1">IFERROR(__xludf.DUMMYFUNCTION("""COMPUTED_VALUE"""),"20220524TXROU")</f>
        <v>20220524TXROU</v>
      </c>
      <c r="B498" s="1" t="str">
        <f ca="1">IFERROR(__xludf.DUMMYFUNCTION("""COMPUTED_VALUE"""),"Wounded")</f>
        <v>Wounded</v>
      </c>
      <c r="C498" s="1"/>
      <c r="D498" s="1"/>
      <c r="E498" s="1"/>
      <c r="F498" s="1"/>
    </row>
    <row r="499" spans="1:6" ht="12.5">
      <c r="A499" s="1" t="str">
        <f ca="1">IFERROR(__xludf.DUMMYFUNCTION("""COMPUTED_VALUE"""),"20220524TXROU")</f>
        <v>20220524TXROU</v>
      </c>
      <c r="B499" s="1" t="str">
        <f ca="1">IFERROR(__xludf.DUMMYFUNCTION("""COMPUTED_VALUE"""),"Wounded")</f>
        <v>Wounded</v>
      </c>
      <c r="C499" s="1"/>
      <c r="D499" s="1" t="str">
        <f ca="1">IFERROR(__xludf.DUMMYFUNCTION("""COMPUTED_VALUE"""),"Student")</f>
        <v>Student</v>
      </c>
      <c r="E499" s="1" t="str">
        <f ca="1">IFERROR(__xludf.DUMMYFUNCTION("""COMPUTED_VALUE"""),"Child")</f>
        <v>Child</v>
      </c>
      <c r="F499" s="1"/>
    </row>
    <row r="500" spans="1:6" ht="12.5">
      <c r="A500" s="1" t="str">
        <f ca="1">IFERROR(__xludf.DUMMYFUNCTION("""COMPUTED_VALUE"""),"20220524TXROU")</f>
        <v>20220524TXROU</v>
      </c>
      <c r="B500" s="1" t="str">
        <f ca="1">IFERROR(__xludf.DUMMYFUNCTION("""COMPUTED_VALUE"""),"Wounded")</f>
        <v>Wounded</v>
      </c>
      <c r="C500" s="1"/>
      <c r="D500" s="1"/>
      <c r="E500" s="1"/>
      <c r="F500" s="1"/>
    </row>
    <row r="501" spans="1:6" ht="12.5">
      <c r="A501" s="1" t="str">
        <f ca="1">IFERROR(__xludf.DUMMYFUNCTION("""COMPUTED_VALUE"""),"20220524TXROU")</f>
        <v>20220524TXROU</v>
      </c>
      <c r="B501" s="1" t="str">
        <f ca="1">IFERROR(__xludf.DUMMYFUNCTION("""COMPUTED_VALUE"""),"Fatal")</f>
        <v>Fatal</v>
      </c>
      <c r="C501" s="1"/>
      <c r="D501" s="1" t="str">
        <f ca="1">IFERROR(__xludf.DUMMYFUNCTION("""COMPUTED_VALUE"""),"Student")</f>
        <v>Student</v>
      </c>
      <c r="E501" s="1" t="str">
        <f ca="1">IFERROR(__xludf.DUMMYFUNCTION("""COMPUTED_VALUE"""),"Child")</f>
        <v>Child</v>
      </c>
      <c r="F501" s="1"/>
    </row>
    <row r="502" spans="1:6" ht="12.5">
      <c r="A502" s="1" t="str">
        <f ca="1">IFERROR(__xludf.DUMMYFUNCTION("""COMPUTED_VALUE"""),"20220524TXROU")</f>
        <v>20220524TXROU</v>
      </c>
      <c r="B502" s="1" t="str">
        <f ca="1">IFERROR(__xludf.DUMMYFUNCTION("""COMPUTED_VALUE"""),"Fatal")</f>
        <v>Fatal</v>
      </c>
      <c r="C502" s="1"/>
      <c r="D502" s="1" t="str">
        <f ca="1">IFERROR(__xludf.DUMMYFUNCTION("""COMPUTED_VALUE"""),"Student")</f>
        <v>Student</v>
      </c>
      <c r="E502" s="1" t="str">
        <f ca="1">IFERROR(__xludf.DUMMYFUNCTION("""COMPUTED_VALUE"""),"Child")</f>
        <v>Child</v>
      </c>
      <c r="F502" s="1"/>
    </row>
    <row r="503" spans="1:6" ht="12.5">
      <c r="A503" s="1" t="str">
        <f ca="1">IFERROR(__xludf.DUMMYFUNCTION("""COMPUTED_VALUE"""),"20220524TXROU")</f>
        <v>20220524TXROU</v>
      </c>
      <c r="B503" s="1" t="str">
        <f ca="1">IFERROR(__xludf.DUMMYFUNCTION("""COMPUTED_VALUE"""),"Fatal")</f>
        <v>Fatal</v>
      </c>
      <c r="C503" s="1"/>
      <c r="D503" s="1" t="str">
        <f ca="1">IFERROR(__xludf.DUMMYFUNCTION("""COMPUTED_VALUE"""),"Student")</f>
        <v>Student</v>
      </c>
      <c r="E503" s="1" t="str">
        <f ca="1">IFERROR(__xludf.DUMMYFUNCTION("""COMPUTED_VALUE"""),"Child")</f>
        <v>Child</v>
      </c>
      <c r="F503" s="1"/>
    </row>
    <row r="504" spans="1:6" ht="12.5">
      <c r="A504" s="1" t="str">
        <f ca="1">IFERROR(__xludf.DUMMYFUNCTION("""COMPUTED_VALUE"""),"20220524TXROU")</f>
        <v>20220524TXROU</v>
      </c>
      <c r="B504" s="1" t="str">
        <f ca="1">IFERROR(__xludf.DUMMYFUNCTION("""COMPUTED_VALUE"""),"Wounded")</f>
        <v>Wounded</v>
      </c>
      <c r="C504" s="1"/>
      <c r="D504" s="1"/>
      <c r="E504" s="1"/>
      <c r="F504" s="1"/>
    </row>
    <row r="505" spans="1:6" ht="12.5">
      <c r="A505" s="1" t="str">
        <f ca="1">IFERROR(__xludf.DUMMYFUNCTION("""COMPUTED_VALUE"""),"20220524TXROU")</f>
        <v>20220524TXROU</v>
      </c>
      <c r="B505" s="1" t="str">
        <f ca="1">IFERROR(__xludf.DUMMYFUNCTION("""COMPUTED_VALUE"""),"Fatal")</f>
        <v>Fatal</v>
      </c>
      <c r="C505" s="1"/>
      <c r="D505" s="1" t="str">
        <f ca="1">IFERROR(__xludf.DUMMYFUNCTION("""COMPUTED_VALUE"""),"Student")</f>
        <v>Student</v>
      </c>
      <c r="E505" s="1" t="str">
        <f ca="1">IFERROR(__xludf.DUMMYFUNCTION("""COMPUTED_VALUE"""),"Child")</f>
        <v>Child</v>
      </c>
      <c r="F505" s="1"/>
    </row>
    <row r="506" spans="1:6" ht="12.5">
      <c r="A506" s="1" t="str">
        <f ca="1">IFERROR(__xludf.DUMMYFUNCTION("""COMPUTED_VALUE"""),"20220524TXROU")</f>
        <v>20220524TXROU</v>
      </c>
      <c r="B506" s="1" t="str">
        <f ca="1">IFERROR(__xludf.DUMMYFUNCTION("""COMPUTED_VALUE"""),"Wounded")</f>
        <v>Wounded</v>
      </c>
      <c r="C506" s="1"/>
      <c r="D506" s="1"/>
      <c r="E506" s="1"/>
      <c r="F506" s="1"/>
    </row>
    <row r="507" spans="1:6" ht="12.5">
      <c r="A507" s="1" t="str">
        <f ca="1">IFERROR(__xludf.DUMMYFUNCTION("""COMPUTED_VALUE"""),"20220524TXROU")</f>
        <v>20220524TXROU</v>
      </c>
      <c r="B507" s="1" t="str">
        <f ca="1">IFERROR(__xludf.DUMMYFUNCTION("""COMPUTED_VALUE"""),"Wounded")</f>
        <v>Wounded</v>
      </c>
      <c r="C507" s="1"/>
      <c r="D507" s="1" t="str">
        <f ca="1">IFERROR(__xludf.DUMMYFUNCTION("""COMPUTED_VALUE"""),"Student")</f>
        <v>Student</v>
      </c>
      <c r="E507" s="1" t="str">
        <f ca="1">IFERROR(__xludf.DUMMYFUNCTION("""COMPUTED_VALUE"""),"Child")</f>
        <v>Child</v>
      </c>
      <c r="F507" s="1"/>
    </row>
    <row r="508" spans="1:6" ht="12.5">
      <c r="A508" s="1" t="str">
        <f ca="1">IFERROR(__xludf.DUMMYFUNCTION("""COMPUTED_VALUE"""),"20220524TXROU")</f>
        <v>20220524TXROU</v>
      </c>
      <c r="B508" s="1" t="str">
        <f ca="1">IFERROR(__xludf.DUMMYFUNCTION("""COMPUTED_VALUE"""),"Fatal")</f>
        <v>Fatal</v>
      </c>
      <c r="C508" s="1"/>
      <c r="D508" s="1" t="str">
        <f ca="1">IFERROR(__xludf.DUMMYFUNCTION("""COMPUTED_VALUE"""),"Student")</f>
        <v>Student</v>
      </c>
      <c r="E508" s="1" t="str">
        <f ca="1">IFERROR(__xludf.DUMMYFUNCTION("""COMPUTED_VALUE"""),"Child")</f>
        <v>Child</v>
      </c>
      <c r="F508" s="1"/>
    </row>
    <row r="509" spans="1:6" ht="12.5">
      <c r="A509" s="1" t="str">
        <f ca="1">IFERROR(__xludf.DUMMYFUNCTION("""COMPUTED_VALUE"""),"20220524TXROU")</f>
        <v>20220524TXROU</v>
      </c>
      <c r="B509" s="1" t="str">
        <f ca="1">IFERROR(__xludf.DUMMYFUNCTION("""COMPUTED_VALUE"""),"Wounded")</f>
        <v>Wounded</v>
      </c>
      <c r="C509" s="1"/>
      <c r="D509" s="1"/>
      <c r="E509" s="1"/>
      <c r="F509" s="1"/>
    </row>
    <row r="510" spans="1:6" ht="12.5">
      <c r="A510" s="1" t="str">
        <f ca="1">IFERROR(__xludf.DUMMYFUNCTION("""COMPUTED_VALUE"""),"20220524TXROU")</f>
        <v>20220524TXROU</v>
      </c>
      <c r="B510" s="1" t="str">
        <f ca="1">IFERROR(__xludf.DUMMYFUNCTION("""COMPUTED_VALUE"""),"Fatal")</f>
        <v>Fatal</v>
      </c>
      <c r="C510" s="1"/>
      <c r="D510" s="1" t="str">
        <f ca="1">IFERROR(__xludf.DUMMYFUNCTION("""COMPUTED_VALUE"""),"Student")</f>
        <v>Student</v>
      </c>
      <c r="E510" s="1" t="str">
        <f ca="1">IFERROR(__xludf.DUMMYFUNCTION("""COMPUTED_VALUE"""),"Child")</f>
        <v>Child</v>
      </c>
      <c r="F510" s="1"/>
    </row>
    <row r="511" spans="1:6" ht="12.5">
      <c r="A511" s="1" t="str">
        <f ca="1">IFERROR(__xludf.DUMMYFUNCTION("""COMPUTED_VALUE"""),"20220524TXROU")</f>
        <v>20220524TXROU</v>
      </c>
      <c r="B511" s="1" t="str">
        <f ca="1">IFERROR(__xludf.DUMMYFUNCTION("""COMPUTED_VALUE"""),"Fatal")</f>
        <v>Fatal</v>
      </c>
      <c r="C511" s="1"/>
      <c r="D511" s="1" t="str">
        <f ca="1">IFERROR(__xludf.DUMMYFUNCTION("""COMPUTED_VALUE"""),"Student")</f>
        <v>Student</v>
      </c>
      <c r="E511" s="1" t="str">
        <f ca="1">IFERROR(__xludf.DUMMYFUNCTION("""COMPUTED_VALUE"""),"Child")</f>
        <v>Child</v>
      </c>
      <c r="F511" s="1"/>
    </row>
    <row r="512" spans="1:6" ht="12.5">
      <c r="A512" s="1" t="str">
        <f ca="1">IFERROR(__xludf.DUMMYFUNCTION("""COMPUTED_VALUE"""),"20220524TXROU")</f>
        <v>20220524TXROU</v>
      </c>
      <c r="B512" s="1" t="str">
        <f ca="1">IFERROR(__xludf.DUMMYFUNCTION("""COMPUTED_VALUE"""),"Fatal")</f>
        <v>Fatal</v>
      </c>
      <c r="C512" s="1"/>
      <c r="D512" s="1" t="str">
        <f ca="1">IFERROR(__xludf.DUMMYFUNCTION("""COMPUTED_VALUE"""),"Student")</f>
        <v>Student</v>
      </c>
      <c r="E512" s="1" t="str">
        <f ca="1">IFERROR(__xludf.DUMMYFUNCTION("""COMPUTED_VALUE"""),"Child")</f>
        <v>Child</v>
      </c>
      <c r="F512" s="1"/>
    </row>
    <row r="513" spans="1:6" ht="12.5">
      <c r="A513" s="1" t="str">
        <f ca="1">IFERROR(__xludf.DUMMYFUNCTION("""COMPUTED_VALUE"""),"20220524TXROU")</f>
        <v>20220524TXROU</v>
      </c>
      <c r="B513" s="1" t="str">
        <f ca="1">IFERROR(__xludf.DUMMYFUNCTION("""COMPUTED_VALUE"""),"Wounded")</f>
        <v>Wounded</v>
      </c>
      <c r="C513" s="1"/>
      <c r="D513" s="1"/>
      <c r="E513" s="1"/>
      <c r="F513" s="1"/>
    </row>
    <row r="514" spans="1:6" ht="12.5">
      <c r="A514" s="1" t="str">
        <f ca="1">IFERROR(__xludf.DUMMYFUNCTION("""COMPUTED_VALUE"""),"20220524TXROU")</f>
        <v>20220524TXROU</v>
      </c>
      <c r="B514" s="1" t="str">
        <f ca="1">IFERROR(__xludf.DUMMYFUNCTION("""COMPUTED_VALUE"""),"Wounded")</f>
        <v>Wounded</v>
      </c>
      <c r="C514" s="1"/>
      <c r="D514" s="1"/>
      <c r="E514" s="1" t="str">
        <f ca="1">IFERROR(__xludf.DUMMYFUNCTION("""COMPUTED_VALUE"""),"Adult")</f>
        <v>Adult</v>
      </c>
      <c r="F514" s="1"/>
    </row>
    <row r="515" spans="1:6" ht="12.5">
      <c r="A515" s="1" t="str">
        <f ca="1">IFERROR(__xludf.DUMMYFUNCTION("""COMPUTED_VALUE"""),"20220524TXROU")</f>
        <v>20220524TXROU</v>
      </c>
      <c r="B515" s="1" t="str">
        <f ca="1">IFERROR(__xludf.DUMMYFUNCTION("""COMPUTED_VALUE"""),"Fatal")</f>
        <v>Fatal</v>
      </c>
      <c r="C515" s="1"/>
      <c r="D515" s="1" t="str">
        <f ca="1">IFERROR(__xludf.DUMMYFUNCTION("""COMPUTED_VALUE"""),"Student")</f>
        <v>Student</v>
      </c>
      <c r="E515" s="1" t="str">
        <f ca="1">IFERROR(__xludf.DUMMYFUNCTION("""COMPUTED_VALUE"""),"Child")</f>
        <v>Child</v>
      </c>
      <c r="F515" s="1"/>
    </row>
    <row r="516" spans="1:6" ht="12.5">
      <c r="A516" s="1" t="str">
        <f ca="1">IFERROR(__xludf.DUMMYFUNCTION("""COMPUTED_VALUE"""),"20220524TXROU")</f>
        <v>20220524TXROU</v>
      </c>
      <c r="B516" s="1" t="str">
        <f ca="1">IFERROR(__xludf.DUMMYFUNCTION("""COMPUTED_VALUE"""),"Wounded")</f>
        <v>Wounded</v>
      </c>
      <c r="C516" s="1"/>
      <c r="D516" s="1"/>
      <c r="E516" s="1"/>
      <c r="F516" s="1"/>
    </row>
    <row r="517" spans="1:6" ht="12.5">
      <c r="A517" s="1" t="str">
        <f ca="1">IFERROR(__xludf.DUMMYFUNCTION("""COMPUTED_VALUE"""),"20220524TXROU")</f>
        <v>20220524TXROU</v>
      </c>
      <c r="B517" s="1" t="str">
        <f ca="1">IFERROR(__xludf.DUMMYFUNCTION("""COMPUTED_VALUE"""),"Fatal")</f>
        <v>Fatal</v>
      </c>
      <c r="C517" s="1"/>
      <c r="D517" s="1" t="str">
        <f ca="1">IFERROR(__xludf.DUMMYFUNCTION("""COMPUTED_VALUE"""),"Student")</f>
        <v>Student</v>
      </c>
      <c r="E517" s="1" t="str">
        <f ca="1">IFERROR(__xludf.DUMMYFUNCTION("""COMPUTED_VALUE"""),"Child")</f>
        <v>Child</v>
      </c>
      <c r="F517" s="1"/>
    </row>
    <row r="518" spans="1:6" ht="12.5">
      <c r="A518" s="1" t="str">
        <f ca="1">IFERROR(__xludf.DUMMYFUNCTION("""COMPUTED_VALUE"""),"20220524TXROU")</f>
        <v>20220524TXROU</v>
      </c>
      <c r="B518" s="1" t="str">
        <f ca="1">IFERROR(__xludf.DUMMYFUNCTION("""COMPUTED_VALUE"""),"Fatal")</f>
        <v>Fatal</v>
      </c>
      <c r="C518" s="1" t="str">
        <f ca="1">IFERROR(__xludf.DUMMYFUNCTION("""COMPUTED_VALUE"""),"Female")</f>
        <v>Female</v>
      </c>
      <c r="D518" s="1" t="str">
        <f ca="1">IFERROR(__xludf.DUMMYFUNCTION("""COMPUTED_VALUE"""),"Teacher")</f>
        <v>Teacher</v>
      </c>
      <c r="E518" s="1" t="str">
        <f ca="1">IFERROR(__xludf.DUMMYFUNCTION("""COMPUTED_VALUE"""),"Adult")</f>
        <v>Adult</v>
      </c>
      <c r="F518" s="1"/>
    </row>
    <row r="519" spans="1:6" ht="12.5">
      <c r="A519" s="1" t="str">
        <f ca="1">IFERROR(__xludf.DUMMYFUNCTION("""COMPUTED_VALUE"""),"20220524TXROU")</f>
        <v>20220524TXROU</v>
      </c>
      <c r="B519" s="1" t="str">
        <f ca="1">IFERROR(__xludf.DUMMYFUNCTION("""COMPUTED_VALUE"""),"Fatal")</f>
        <v>Fatal</v>
      </c>
      <c r="C519" s="1"/>
      <c r="D519" s="1" t="str">
        <f ca="1">IFERROR(__xludf.DUMMYFUNCTION("""COMPUTED_VALUE"""),"Student")</f>
        <v>Student</v>
      </c>
      <c r="E519" s="1" t="str">
        <f ca="1">IFERROR(__xludf.DUMMYFUNCTION("""COMPUTED_VALUE"""),"Child")</f>
        <v>Child</v>
      </c>
      <c r="F519" s="1"/>
    </row>
    <row r="520" spans="1:6" ht="12.5">
      <c r="A520" s="1" t="str">
        <f ca="1">IFERROR(__xludf.DUMMYFUNCTION("""COMPUTED_VALUE"""),"20220524TXROU")</f>
        <v>20220524TXROU</v>
      </c>
      <c r="B520" s="1" t="str">
        <f ca="1">IFERROR(__xludf.DUMMYFUNCTION("""COMPUTED_VALUE"""),"Wounded")</f>
        <v>Wounded</v>
      </c>
      <c r="C520" s="1"/>
      <c r="D520" s="1"/>
      <c r="E520" s="1"/>
      <c r="F520" s="1"/>
    </row>
    <row r="521" spans="1:6" ht="12.5">
      <c r="A521" s="1" t="str">
        <f ca="1">IFERROR(__xludf.DUMMYFUNCTION("""COMPUTED_VALUE"""),"20220524TXROU")</f>
        <v>20220524TXROU</v>
      </c>
      <c r="B521" s="1" t="str">
        <f ca="1">IFERROR(__xludf.DUMMYFUNCTION("""COMPUTED_VALUE"""),"Wounded")</f>
        <v>Wounded</v>
      </c>
      <c r="C521" s="1"/>
      <c r="D521" s="1"/>
      <c r="E521" s="1"/>
      <c r="F521" s="1"/>
    </row>
    <row r="522" spans="1:6" ht="12.5">
      <c r="A522" s="1" t="str">
        <f ca="1">IFERROR(__xludf.DUMMYFUNCTION("""COMPUTED_VALUE"""),"20220524TXROU")</f>
        <v>20220524TXROU</v>
      </c>
      <c r="B522" s="1" t="str">
        <f ca="1">IFERROR(__xludf.DUMMYFUNCTION("""COMPUTED_VALUE"""),"Fatal")</f>
        <v>Fatal</v>
      </c>
      <c r="C522" s="1"/>
      <c r="D522" s="1" t="str">
        <f ca="1">IFERROR(__xludf.DUMMYFUNCTION("""COMPUTED_VALUE"""),"Student")</f>
        <v>Student</v>
      </c>
      <c r="E522" s="1" t="str">
        <f ca="1">IFERROR(__xludf.DUMMYFUNCTION("""COMPUTED_VALUE"""),"Child")</f>
        <v>Child</v>
      </c>
      <c r="F522" s="1"/>
    </row>
    <row r="523" spans="1:6" ht="12.5">
      <c r="A523" s="1" t="str">
        <f ca="1">IFERROR(__xludf.DUMMYFUNCTION("""COMPUTED_VALUE"""),"20220524TXROU")</f>
        <v>20220524TXROU</v>
      </c>
      <c r="B523" s="1" t="str">
        <f ca="1">IFERROR(__xludf.DUMMYFUNCTION("""COMPUTED_VALUE"""),"Wounded")</f>
        <v>Wounded</v>
      </c>
      <c r="C523" s="1"/>
      <c r="D523" s="1"/>
      <c r="E523" s="1"/>
      <c r="F523" s="1"/>
    </row>
    <row r="524" spans="1:6" ht="12.5">
      <c r="A524" s="1" t="str">
        <f ca="1">IFERROR(__xludf.DUMMYFUNCTION("""COMPUTED_VALUE"""),"20220524TXROU")</f>
        <v>20220524TXROU</v>
      </c>
      <c r="B524" s="1" t="str">
        <f ca="1">IFERROR(__xludf.DUMMYFUNCTION("""COMPUTED_VALUE"""),"Fatal")</f>
        <v>Fatal</v>
      </c>
      <c r="C524" s="1"/>
      <c r="D524" s="1" t="str">
        <f ca="1">IFERROR(__xludf.DUMMYFUNCTION("""COMPUTED_VALUE"""),"Student")</f>
        <v>Student</v>
      </c>
      <c r="E524" s="1" t="str">
        <f ca="1">IFERROR(__xludf.DUMMYFUNCTION("""COMPUTED_VALUE"""),"Child")</f>
        <v>Child</v>
      </c>
      <c r="F524" s="1"/>
    </row>
    <row r="525" spans="1:6" ht="12.5">
      <c r="A525" s="1" t="str">
        <f ca="1">IFERROR(__xludf.DUMMYFUNCTION("""COMPUTED_VALUE"""),"20220524TXROU")</f>
        <v>20220524TXROU</v>
      </c>
      <c r="B525" s="1" t="str">
        <f ca="1">IFERROR(__xludf.DUMMYFUNCTION("""COMPUTED_VALUE"""),"Fatal")</f>
        <v>Fatal</v>
      </c>
      <c r="C525" s="1"/>
      <c r="D525" s="1" t="str">
        <f ca="1">IFERROR(__xludf.DUMMYFUNCTION("""COMPUTED_VALUE"""),"Teacher")</f>
        <v>Teacher</v>
      </c>
      <c r="E525" s="1" t="str">
        <f ca="1">IFERROR(__xludf.DUMMYFUNCTION("""COMPUTED_VALUE"""),"Adult")</f>
        <v>Adult</v>
      </c>
      <c r="F525" s="1"/>
    </row>
    <row r="526" spans="1:6" ht="12.5">
      <c r="A526" s="1" t="str">
        <f ca="1">IFERROR(__xludf.DUMMYFUNCTION("""COMPUTED_VALUE"""),"20220524TXROU")</f>
        <v>20220524TXROU</v>
      </c>
      <c r="B526" s="1" t="str">
        <f ca="1">IFERROR(__xludf.DUMMYFUNCTION("""COMPUTED_VALUE"""),"Fatal")</f>
        <v>Fatal</v>
      </c>
      <c r="C526" s="1"/>
      <c r="D526" s="1" t="str">
        <f ca="1">IFERROR(__xludf.DUMMYFUNCTION("""COMPUTED_VALUE"""),"Student")</f>
        <v>Student</v>
      </c>
      <c r="E526" s="1" t="str">
        <f ca="1">IFERROR(__xludf.DUMMYFUNCTION("""COMPUTED_VALUE"""),"Child")</f>
        <v>Child</v>
      </c>
      <c r="F526" s="1"/>
    </row>
    <row r="527" spans="1:6" ht="12.5">
      <c r="A527" s="1" t="str">
        <f ca="1">IFERROR(__xludf.DUMMYFUNCTION("""COMPUTED_VALUE"""),"20220524TXROU")</f>
        <v>20220524TXROU</v>
      </c>
      <c r="B527" s="1" t="str">
        <f ca="1">IFERROR(__xludf.DUMMYFUNCTION("""COMPUTED_VALUE"""),"Wounded")</f>
        <v>Wounded</v>
      </c>
      <c r="C527" s="1"/>
      <c r="D527" s="1"/>
      <c r="E527" s="1"/>
      <c r="F527" s="1"/>
    </row>
    <row r="528" spans="1:6" ht="12.5">
      <c r="A528" s="1" t="str">
        <f ca="1">IFERROR(__xludf.DUMMYFUNCTION("""COMPUTED_VALUE"""),"20220524TXROU")</f>
        <v>20220524TXROU</v>
      </c>
      <c r="B528" s="1" t="str">
        <f ca="1">IFERROR(__xludf.DUMMYFUNCTION("""COMPUTED_VALUE"""),"Fatal")</f>
        <v>Fatal</v>
      </c>
      <c r="C528" s="1"/>
      <c r="D528" s="1" t="str">
        <f ca="1">IFERROR(__xludf.DUMMYFUNCTION("""COMPUTED_VALUE"""),"Student")</f>
        <v>Student</v>
      </c>
      <c r="E528" s="1" t="str">
        <f ca="1">IFERROR(__xludf.DUMMYFUNCTION("""COMPUTED_VALUE"""),"Child")</f>
        <v>Child</v>
      </c>
      <c r="F528" s="1"/>
    </row>
    <row r="529" spans="1:6" ht="12.5">
      <c r="A529" s="1" t="str">
        <f ca="1">IFERROR(__xludf.DUMMYFUNCTION("""COMPUTED_VALUE"""),"20220524TXROU")</f>
        <v>20220524TXROU</v>
      </c>
      <c r="B529" s="1" t="str">
        <f ca="1">IFERROR(__xludf.DUMMYFUNCTION("""COMPUTED_VALUE"""),"Wounded")</f>
        <v>Wounded</v>
      </c>
      <c r="C529" s="1"/>
      <c r="D529" s="1"/>
      <c r="E529" s="1"/>
      <c r="F529" s="1"/>
    </row>
    <row r="530" spans="1:6" ht="12.5">
      <c r="A530" s="1" t="str">
        <f ca="1">IFERROR(__xludf.DUMMYFUNCTION("""COMPUTED_VALUE"""),"20220524DCPOW")</f>
        <v>20220524DCPOW</v>
      </c>
      <c r="B530" s="1" t="str">
        <f ca="1">IFERROR(__xludf.DUMMYFUNCTION("""COMPUTED_VALUE"""),"Wounded")</f>
        <v>Wounded</v>
      </c>
      <c r="C530" s="1" t="str">
        <f ca="1">IFERROR(__xludf.DUMMYFUNCTION("""COMPUTED_VALUE"""),"Male")</f>
        <v>Male</v>
      </c>
      <c r="D530" s="1" t="str">
        <f ca="1">IFERROR(__xludf.DUMMYFUNCTION("""COMPUTED_VALUE"""),"No Relation")</f>
        <v>No Relation</v>
      </c>
      <c r="E530" s="1">
        <f ca="1">IFERROR(__xludf.DUMMYFUNCTION("""COMPUTED_VALUE"""),19)</f>
        <v>19</v>
      </c>
      <c r="F530" s="1"/>
    </row>
    <row r="531" spans="1:6" ht="12.5">
      <c r="A531" s="1" t="str">
        <f ca="1">IFERROR(__xludf.DUMMYFUNCTION("""COMPUTED_VALUE"""),"20220523PASIP")</f>
        <v>20220523PASIP</v>
      </c>
      <c r="B531" s="1" t="str">
        <f ca="1">IFERROR(__xludf.DUMMYFUNCTION("""COMPUTED_VALUE"""),"Wounded")</f>
        <v>Wounded</v>
      </c>
      <c r="C531" s="1" t="str">
        <f ca="1">IFERROR(__xludf.DUMMYFUNCTION("""COMPUTED_VALUE"""),"Male")</f>
        <v>Male</v>
      </c>
      <c r="D531" s="1" t="str">
        <f ca="1">IFERROR(__xludf.DUMMYFUNCTION("""COMPUTED_VALUE"""),"Student")</f>
        <v>Student</v>
      </c>
      <c r="E531" s="1">
        <f ca="1">IFERROR(__xludf.DUMMYFUNCTION("""COMPUTED_VALUE"""),15)</f>
        <v>15</v>
      </c>
      <c r="F531" s="1"/>
    </row>
    <row r="532" spans="1:6" ht="12.5">
      <c r="A532" s="1" t="str">
        <f ca="1">IFERROR(__xludf.DUMMYFUNCTION("""COMPUTED_VALUE"""),"20220523PASIP")</f>
        <v>20220523PASIP</v>
      </c>
      <c r="B532" s="1" t="str">
        <f ca="1">IFERROR(__xludf.DUMMYFUNCTION("""COMPUTED_VALUE"""),"Wounded")</f>
        <v>Wounded</v>
      </c>
      <c r="C532" s="1" t="str">
        <f ca="1">IFERROR(__xludf.DUMMYFUNCTION("""COMPUTED_VALUE"""),"Male")</f>
        <v>Male</v>
      </c>
      <c r="D532" s="1" t="str">
        <f ca="1">IFERROR(__xludf.DUMMYFUNCTION("""COMPUTED_VALUE"""),"Student")</f>
        <v>Student</v>
      </c>
      <c r="E532" s="1">
        <f ca="1">IFERROR(__xludf.DUMMYFUNCTION("""COMPUTED_VALUE"""),16)</f>
        <v>16</v>
      </c>
      <c r="F532" s="1"/>
    </row>
    <row r="533" spans="1:6" ht="12.5">
      <c r="A533" s="1" t="str">
        <f ca="1">IFERROR(__xludf.DUMMYFUNCTION("""COMPUTED_VALUE"""),"20220523PASIP")</f>
        <v>20220523PASIP</v>
      </c>
      <c r="B533" s="1" t="str">
        <f ca="1">IFERROR(__xludf.DUMMYFUNCTION("""COMPUTED_VALUE"""),"Wounded")</f>
        <v>Wounded</v>
      </c>
      <c r="C533" s="1" t="str">
        <f ca="1">IFERROR(__xludf.DUMMYFUNCTION("""COMPUTED_VALUE"""),"Male")</f>
        <v>Male</v>
      </c>
      <c r="D533" s="1" t="str">
        <f ca="1">IFERROR(__xludf.DUMMYFUNCTION("""COMPUTED_VALUE"""),"Student")</f>
        <v>Student</v>
      </c>
      <c r="E533" s="1">
        <f ca="1">IFERROR(__xludf.DUMMYFUNCTION("""COMPUTED_VALUE"""),17)</f>
        <v>17</v>
      </c>
      <c r="F533" s="1"/>
    </row>
    <row r="534" spans="1:6" ht="12.5">
      <c r="A534" s="1" t="str">
        <f ca="1">IFERROR(__xludf.DUMMYFUNCTION("""COMPUTED_VALUE"""),"20220520VAPOD")</f>
        <v>20220520VAPOD</v>
      </c>
      <c r="B534" s="1" t="str">
        <f ca="1">IFERROR(__xludf.DUMMYFUNCTION("""COMPUTED_VALUE"""),"None")</f>
        <v>None</v>
      </c>
      <c r="C534" s="1" t="str">
        <f ca="1">IFERROR(__xludf.DUMMYFUNCTION("""COMPUTED_VALUE"""),"Male")</f>
        <v>Male</v>
      </c>
      <c r="D534" s="1" t="str">
        <f ca="1">IFERROR(__xludf.DUMMYFUNCTION("""COMPUTED_VALUE"""),"Student")</f>
        <v>Student</v>
      </c>
      <c r="E534" s="1" t="str">
        <f ca="1">IFERROR(__xludf.DUMMYFUNCTION("""COMPUTED_VALUE"""),"Teen")</f>
        <v>Teen</v>
      </c>
      <c r="F534" s="1"/>
    </row>
    <row r="535" spans="1:6" ht="12.5">
      <c r="A535" s="1" t="str">
        <f ca="1">IFERROR(__xludf.DUMMYFUNCTION("""COMPUTED_VALUE"""),"20220520TNEAC")</f>
        <v>20220520TNEAC</v>
      </c>
      <c r="B535" s="1" t="str">
        <f ca="1">IFERROR(__xludf.DUMMYFUNCTION("""COMPUTED_VALUE"""),"Fatal")</f>
        <v>Fatal</v>
      </c>
      <c r="C535" s="1" t="str">
        <f ca="1">IFERROR(__xludf.DUMMYFUNCTION("""COMPUTED_VALUE"""),"Male")</f>
        <v>Male</v>
      </c>
      <c r="D535" s="1" t="str">
        <f ca="1">IFERROR(__xludf.DUMMYFUNCTION("""COMPUTED_VALUE"""),"No Relation")</f>
        <v>No Relation</v>
      </c>
      <c r="E535" s="1">
        <f ca="1">IFERROR(__xludf.DUMMYFUNCTION("""COMPUTED_VALUE"""),25)</f>
        <v>25</v>
      </c>
      <c r="F535" s="1"/>
    </row>
    <row r="536" spans="1:6" ht="12.5">
      <c r="A536" s="1" t="str">
        <f ca="1">IFERROR(__xludf.DUMMYFUNCTION("""COMPUTED_VALUE"""),"20220520OHCAC")</f>
        <v>20220520OHCAC</v>
      </c>
      <c r="B536" s="1" t="str">
        <f ca="1">IFERROR(__xludf.DUMMYFUNCTION("""COMPUTED_VALUE"""),"Non-gunshot Injury")</f>
        <v>Non-gunshot Injury</v>
      </c>
      <c r="C536" s="1"/>
      <c r="D536" s="1" t="str">
        <f ca="1">IFERROR(__xludf.DUMMYFUNCTION("""COMPUTED_VALUE"""),"Bus Driver")</f>
        <v>Bus Driver</v>
      </c>
      <c r="E536" s="1" t="str">
        <f ca="1">IFERROR(__xludf.DUMMYFUNCTION("""COMPUTED_VALUE"""),"Adult")</f>
        <v>Adult</v>
      </c>
      <c r="F536" s="1"/>
    </row>
    <row r="537" spans="1:6" ht="12.5">
      <c r="A537" s="1" t="str">
        <f ca="1">IFERROR(__xludf.DUMMYFUNCTION("""COMPUTED_VALUE"""),"20220519MIEAK")</f>
        <v>20220519MIEAK</v>
      </c>
      <c r="B537" s="1" t="str">
        <f ca="1">IFERROR(__xludf.DUMMYFUNCTION("""COMPUTED_VALUE"""),"Wounded")</f>
        <v>Wounded</v>
      </c>
      <c r="C537" s="1" t="str">
        <f ca="1">IFERROR(__xludf.DUMMYFUNCTION("""COMPUTED_VALUE"""),"Female")</f>
        <v>Female</v>
      </c>
      <c r="D537" s="1" t="str">
        <f ca="1">IFERROR(__xludf.DUMMYFUNCTION("""COMPUTED_VALUE"""),"Relative")</f>
        <v>Relative</v>
      </c>
      <c r="E537" s="1">
        <f ca="1">IFERROR(__xludf.DUMMYFUNCTION("""COMPUTED_VALUE"""),40)</f>
        <v>40</v>
      </c>
      <c r="F537" s="1"/>
    </row>
    <row r="538" spans="1:6" ht="12.5">
      <c r="A538" s="1" t="str">
        <f ca="1">IFERROR(__xludf.DUMMYFUNCTION("""COMPUTED_VALUE"""),"20220519MIEAK")</f>
        <v>20220519MIEAK</v>
      </c>
      <c r="B538" s="1" t="str">
        <f ca="1">IFERROR(__xludf.DUMMYFUNCTION("""COMPUTED_VALUE"""),"Wounded")</f>
        <v>Wounded</v>
      </c>
      <c r="C538" s="1" t="str">
        <f ca="1">IFERROR(__xludf.DUMMYFUNCTION("""COMPUTED_VALUE"""),"Male")</f>
        <v>Male</v>
      </c>
      <c r="D538" s="1" t="str">
        <f ca="1">IFERROR(__xludf.DUMMYFUNCTION("""COMPUTED_VALUE"""),"Relative")</f>
        <v>Relative</v>
      </c>
      <c r="E538" s="1">
        <f ca="1">IFERROR(__xludf.DUMMYFUNCTION("""COMPUTED_VALUE"""),16)</f>
        <v>16</v>
      </c>
      <c r="F538" s="1"/>
    </row>
    <row r="539" spans="1:6" ht="12.5">
      <c r="A539" s="1" t="str">
        <f ca="1">IFERROR(__xludf.DUMMYFUNCTION("""COMPUTED_VALUE"""),"20220519LAHAH")</f>
        <v>20220519LAHAH</v>
      </c>
      <c r="B539" s="1" t="str">
        <f ca="1">IFERROR(__xludf.DUMMYFUNCTION("""COMPUTED_VALUE"""),"Wounded")</f>
        <v>Wounded</v>
      </c>
      <c r="C539" s="1"/>
      <c r="D539" s="1"/>
      <c r="E539" s="1" t="str">
        <f ca="1">IFERROR(__xludf.DUMMYFUNCTION("""COMPUTED_VALUE"""),"Adult")</f>
        <v>Adult</v>
      </c>
      <c r="F539" s="1"/>
    </row>
    <row r="540" spans="1:6" ht="12.5">
      <c r="A540" s="1" t="str">
        <f ca="1">IFERROR(__xludf.DUMMYFUNCTION("""COMPUTED_VALUE"""),"20220519LAHAH")</f>
        <v>20220519LAHAH</v>
      </c>
      <c r="B540" s="1" t="str">
        <f ca="1">IFERROR(__xludf.DUMMYFUNCTION("""COMPUTED_VALUE"""),"Wounded")</f>
        <v>Wounded</v>
      </c>
      <c r="C540" s="1"/>
      <c r="D540" s="1"/>
      <c r="E540" s="1" t="str">
        <f ca="1">IFERROR(__xludf.DUMMYFUNCTION("""COMPUTED_VALUE"""),"Adult")</f>
        <v>Adult</v>
      </c>
      <c r="F540" s="1"/>
    </row>
    <row r="541" spans="1:6" ht="12.5">
      <c r="A541" s="1" t="str">
        <f ca="1">IFERROR(__xludf.DUMMYFUNCTION("""COMPUTED_VALUE"""),"20220519LAHAH")</f>
        <v>20220519LAHAH</v>
      </c>
      <c r="B541" s="1" t="str">
        <f ca="1">IFERROR(__xludf.DUMMYFUNCTION("""COMPUTED_VALUE"""),"Non-gunshot Injury")</f>
        <v>Non-gunshot Injury</v>
      </c>
      <c r="C541" s="1"/>
      <c r="D541" s="1"/>
      <c r="E541" s="1" t="str">
        <f ca="1">IFERROR(__xludf.DUMMYFUNCTION("""COMPUTED_VALUE"""),"Adult")</f>
        <v>Adult</v>
      </c>
      <c r="F541" s="1"/>
    </row>
    <row r="542" spans="1:6" ht="12.5">
      <c r="A542" s="1" t="str">
        <f ca="1">IFERROR(__xludf.DUMMYFUNCTION("""COMPUTED_VALUE"""),"20220519LAHAH")</f>
        <v>20220519LAHAH</v>
      </c>
      <c r="B542" s="1" t="str">
        <f ca="1">IFERROR(__xludf.DUMMYFUNCTION("""COMPUTED_VALUE"""),"Wounded")</f>
        <v>Wounded</v>
      </c>
      <c r="C542" s="1"/>
      <c r="D542" s="1"/>
      <c r="E542" s="1" t="str">
        <f ca="1">IFERROR(__xludf.DUMMYFUNCTION("""COMPUTED_VALUE"""),"Adult")</f>
        <v>Adult</v>
      </c>
      <c r="F542" s="1"/>
    </row>
    <row r="543" spans="1:6" ht="12.5">
      <c r="A543" s="1" t="str">
        <f ca="1">IFERROR(__xludf.DUMMYFUNCTION("""COMPUTED_VALUE"""),"20220518TNRIM")</f>
        <v>20220518TNRIM</v>
      </c>
      <c r="B543" s="1" t="str">
        <f ca="1">IFERROR(__xludf.DUMMYFUNCTION("""COMPUTED_VALUE"""),"Fatal")</f>
        <v>Fatal</v>
      </c>
      <c r="C543" s="1" t="str">
        <f ca="1">IFERROR(__xludf.DUMMYFUNCTION("""COMPUTED_VALUE"""),"Male")</f>
        <v>Male</v>
      </c>
      <c r="D543" s="1" t="str">
        <f ca="1">IFERROR(__xludf.DUMMYFUNCTION("""COMPUTED_VALUE"""),"Student")</f>
        <v>Student</v>
      </c>
      <c r="E543" s="1">
        <f ca="1">IFERROR(__xludf.DUMMYFUNCTION("""COMPUTED_VALUE"""),18)</f>
        <v>18</v>
      </c>
      <c r="F543" s="1"/>
    </row>
    <row r="544" spans="1:6" ht="12.5">
      <c r="A544" s="1" t="str">
        <f ca="1">IFERROR(__xludf.DUMMYFUNCTION("""COMPUTED_VALUE"""),"20220518TNRIM")</f>
        <v>20220518TNRIM</v>
      </c>
      <c r="B544" s="1" t="str">
        <f ca="1">IFERROR(__xludf.DUMMYFUNCTION("""COMPUTED_VALUE"""),"Wounded")</f>
        <v>Wounded</v>
      </c>
      <c r="C544" s="1"/>
      <c r="D544" s="1"/>
      <c r="E544" s="1"/>
      <c r="F544" s="1"/>
    </row>
    <row r="545" spans="1:6" ht="12.5">
      <c r="A545" s="1" t="str">
        <f ca="1">IFERROR(__xludf.DUMMYFUNCTION("""COMPUTED_VALUE"""),"20220517ILWAC")</f>
        <v>20220517ILWAC</v>
      </c>
      <c r="B545" s="1" t="str">
        <f ca="1">IFERROR(__xludf.DUMMYFUNCTION("""COMPUTED_VALUE"""),"Wounded")</f>
        <v>Wounded</v>
      </c>
      <c r="C545" s="1" t="str">
        <f ca="1">IFERROR(__xludf.DUMMYFUNCTION("""COMPUTED_VALUE"""),"Male")</f>
        <v>Male</v>
      </c>
      <c r="D545" s="1" t="str">
        <f ca="1">IFERROR(__xludf.DUMMYFUNCTION("""COMPUTED_VALUE"""),"Student")</f>
        <v>Student</v>
      </c>
      <c r="E545" s="1">
        <f ca="1">IFERROR(__xludf.DUMMYFUNCTION("""COMPUTED_VALUE"""),7)</f>
        <v>7</v>
      </c>
      <c r="F545" s="1"/>
    </row>
    <row r="546" spans="1:6" ht="12.5">
      <c r="A546" s="1" t="str">
        <f ca="1">IFERROR(__xludf.DUMMYFUNCTION("""COMPUTED_VALUE"""),"20220515NHBEB")</f>
        <v>20220515NHBEB</v>
      </c>
      <c r="B546" s="1" t="str">
        <f ca="1">IFERROR(__xludf.DUMMYFUNCTION("""COMPUTED_VALUE"""),"Non-gunshot Injury")</f>
        <v>Non-gunshot Injury</v>
      </c>
      <c r="C546" s="1" t="str">
        <f ca="1">IFERROR(__xludf.DUMMYFUNCTION("""COMPUTED_VALUE"""),"Male")</f>
        <v>Male</v>
      </c>
      <c r="D546" s="1" t="str">
        <f ca="1">IFERROR(__xludf.DUMMYFUNCTION("""COMPUTED_VALUE"""),"No Relation")</f>
        <v>No Relation</v>
      </c>
      <c r="E546" s="1">
        <f ca="1">IFERROR(__xludf.DUMMYFUNCTION("""COMPUTED_VALUE"""),13)</f>
        <v>13</v>
      </c>
      <c r="F546" s="1"/>
    </row>
    <row r="547" spans="1:6" ht="12.5">
      <c r="A547" s="1" t="str">
        <f ca="1">IFERROR(__xludf.DUMMYFUNCTION("""COMPUTED_VALUE"""),"20220515NHBEB")</f>
        <v>20220515NHBEB</v>
      </c>
      <c r="B547" s="1" t="str">
        <f ca="1">IFERROR(__xludf.DUMMYFUNCTION("""COMPUTED_VALUE"""),"Non-gunshot Injury")</f>
        <v>Non-gunshot Injury</v>
      </c>
      <c r="C547" s="1" t="str">
        <f ca="1">IFERROR(__xludf.DUMMYFUNCTION("""COMPUTED_VALUE"""),"Female")</f>
        <v>Female</v>
      </c>
      <c r="D547" s="1" t="str">
        <f ca="1">IFERROR(__xludf.DUMMYFUNCTION("""COMPUTED_VALUE"""),"No Relation")</f>
        <v>No Relation</v>
      </c>
      <c r="E547" s="1">
        <f ca="1">IFERROR(__xludf.DUMMYFUNCTION("""COMPUTED_VALUE"""),12)</f>
        <v>12</v>
      </c>
      <c r="F547" s="1"/>
    </row>
    <row r="548" spans="1:6" ht="12.5">
      <c r="A548" s="1" t="str">
        <f ca="1">IFERROR(__xludf.DUMMYFUNCTION("""COMPUTED_VALUE"""),"20220515ILMEP")</f>
        <v>20220515ILMEP</v>
      </c>
      <c r="B548" s="1" t="str">
        <f ca="1">IFERROR(__xludf.DUMMYFUNCTION("""COMPUTED_VALUE"""),"Wounded")</f>
        <v>Wounded</v>
      </c>
      <c r="C548" s="1" t="str">
        <f ca="1">IFERROR(__xludf.DUMMYFUNCTION("""COMPUTED_VALUE"""),"Male")</f>
        <v>Male</v>
      </c>
      <c r="D548" s="1" t="str">
        <f ca="1">IFERROR(__xludf.DUMMYFUNCTION("""COMPUTED_VALUE"""),"No Relation")</f>
        <v>No Relation</v>
      </c>
      <c r="E548" s="1">
        <f ca="1">IFERROR(__xludf.DUMMYFUNCTION("""COMPUTED_VALUE"""),17)</f>
        <v>17</v>
      </c>
      <c r="F548" s="1"/>
    </row>
    <row r="549" spans="1:6" ht="12.5">
      <c r="A549" s="1" t="str">
        <f ca="1">IFERROR(__xludf.DUMMYFUNCTION("""COMPUTED_VALUE"""),"20220513GASOM")</f>
        <v>20220513GASOM</v>
      </c>
      <c r="B549" s="1" t="str">
        <f ca="1">IFERROR(__xludf.DUMMYFUNCTION("""COMPUTED_VALUE"""),"Wounded")</f>
        <v>Wounded</v>
      </c>
      <c r="C549" s="1" t="str">
        <f ca="1">IFERROR(__xludf.DUMMYFUNCTION("""COMPUTED_VALUE"""),"Male")</f>
        <v>Male</v>
      </c>
      <c r="D549" s="1"/>
      <c r="E549" s="1">
        <f ca="1">IFERROR(__xludf.DUMMYFUNCTION("""COMPUTED_VALUE"""),21)</f>
        <v>21</v>
      </c>
      <c r="F549" s="1"/>
    </row>
    <row r="550" spans="1:6" ht="12.5">
      <c r="A550" s="1" t="str">
        <f ca="1">IFERROR(__xludf.DUMMYFUNCTION("""COMPUTED_VALUE"""),"20220513FLALW")</f>
        <v>20220513FLALW</v>
      </c>
      <c r="B550" s="1" t="str">
        <f ca="1">IFERROR(__xludf.DUMMYFUNCTION("""COMPUTED_VALUE"""),"Fatal")</f>
        <v>Fatal</v>
      </c>
      <c r="C550" s="1" t="str">
        <f ca="1">IFERROR(__xludf.DUMMYFUNCTION("""COMPUTED_VALUE"""),"Male")</f>
        <v>Male</v>
      </c>
      <c r="D550" s="1" t="str">
        <f ca="1">IFERROR(__xludf.DUMMYFUNCTION("""COMPUTED_VALUE"""),"Former Student")</f>
        <v>Former Student</v>
      </c>
      <c r="E550" s="1">
        <f ca="1">IFERROR(__xludf.DUMMYFUNCTION("""COMPUTED_VALUE"""),33)</f>
        <v>33</v>
      </c>
      <c r="F550" s="1"/>
    </row>
    <row r="551" spans="1:6" ht="12.5">
      <c r="A551" s="1" t="str">
        <f ca="1">IFERROR(__xludf.DUMMYFUNCTION("""COMPUTED_VALUE"""),"20220512TXHEH")</f>
        <v>20220512TXHEH</v>
      </c>
      <c r="B551" s="1" t="str">
        <f ca="1">IFERROR(__xludf.DUMMYFUNCTION("""COMPUTED_VALUE"""),"Wounded")</f>
        <v>Wounded</v>
      </c>
      <c r="C551" s="1"/>
      <c r="D551" s="1" t="str">
        <f ca="1">IFERROR(__xludf.DUMMYFUNCTION("""COMPUTED_VALUE"""),"Student")</f>
        <v>Student</v>
      </c>
      <c r="E551" s="1" t="str">
        <f ca="1">IFERROR(__xludf.DUMMYFUNCTION("""COMPUTED_VALUE"""),"Teen")</f>
        <v>Teen</v>
      </c>
      <c r="F551" s="1"/>
    </row>
    <row r="552" spans="1:6" ht="12.5">
      <c r="A552" s="1" t="str">
        <f ca="1">IFERROR(__xludf.DUMMYFUNCTION("""COMPUTED_VALUE"""),"20220512ARHOH")</f>
        <v>20220512ARHOH</v>
      </c>
      <c r="B552" s="1" t="str">
        <f ca="1">IFERROR(__xludf.DUMMYFUNCTION("""COMPUTED_VALUE"""),"Wounded")</f>
        <v>Wounded</v>
      </c>
      <c r="C552" s="1"/>
      <c r="D552" s="1"/>
      <c r="E552" s="1"/>
      <c r="F552" s="1"/>
    </row>
    <row r="553" spans="1:6" ht="12.5">
      <c r="A553" s="1" t="str">
        <f ca="1">IFERROR(__xludf.DUMMYFUNCTION("""COMPUTED_VALUE"""),"20220512ARHOH")</f>
        <v>20220512ARHOH</v>
      </c>
      <c r="B553" s="1" t="str">
        <f ca="1">IFERROR(__xludf.DUMMYFUNCTION("""COMPUTED_VALUE"""),"Wounded")</f>
        <v>Wounded</v>
      </c>
      <c r="C553" s="1"/>
      <c r="D553" s="1"/>
      <c r="E553" s="1"/>
      <c r="F553" s="1"/>
    </row>
    <row r="554" spans="1:6" ht="12.5">
      <c r="A554" s="1" t="str">
        <f ca="1">IFERROR(__xludf.DUMMYFUNCTION("""COMPUTED_VALUE"""),"20220512ARHOH")</f>
        <v>20220512ARHOH</v>
      </c>
      <c r="B554" s="1" t="str">
        <f ca="1">IFERROR(__xludf.DUMMYFUNCTION("""COMPUTED_VALUE"""),"Fatal")</f>
        <v>Fatal</v>
      </c>
      <c r="C554" s="1" t="str">
        <f ca="1">IFERROR(__xludf.DUMMYFUNCTION("""COMPUTED_VALUE"""),"Male")</f>
        <v>Male</v>
      </c>
      <c r="D554" s="1"/>
      <c r="E554" s="1">
        <f ca="1">IFERROR(__xludf.DUMMYFUNCTION("""COMPUTED_VALUE"""),39)</f>
        <v>39</v>
      </c>
      <c r="F554" s="1"/>
    </row>
    <row r="555" spans="1:6" ht="12.5">
      <c r="A555" s="1" t="str">
        <f ca="1">IFERROR(__xludf.DUMMYFUNCTION("""COMPUTED_VALUE"""),"20220511FLJAJ")</f>
        <v>20220511FLJAJ</v>
      </c>
      <c r="B555" s="1" t="str">
        <f ca="1">IFERROR(__xludf.DUMMYFUNCTION("""COMPUTED_VALUE"""),"Wounded")</f>
        <v>Wounded</v>
      </c>
      <c r="C555" s="1" t="str">
        <f ca="1">IFERROR(__xludf.DUMMYFUNCTION("""COMPUTED_VALUE"""),"Male")</f>
        <v>Male</v>
      </c>
      <c r="D555" s="1" t="str">
        <f ca="1">IFERROR(__xludf.DUMMYFUNCTION("""COMPUTED_VALUE"""),"Student")</f>
        <v>Student</v>
      </c>
      <c r="E555" s="1">
        <f ca="1">IFERROR(__xludf.DUMMYFUNCTION("""COMPUTED_VALUE"""),17)</f>
        <v>17</v>
      </c>
      <c r="F555" s="1"/>
    </row>
    <row r="556" spans="1:6" ht="12.5">
      <c r="A556" s="1" t="str">
        <f ca="1">IFERROR(__xludf.DUMMYFUNCTION("""COMPUTED_VALUE"""),"20220509NYEDS")</f>
        <v>20220509NYEDS</v>
      </c>
      <c r="B556" s="1" t="str">
        <f ca="1">IFERROR(__xludf.DUMMYFUNCTION("""COMPUTED_VALUE"""),"Fatal")</f>
        <v>Fatal</v>
      </c>
      <c r="C556" s="1" t="str">
        <f ca="1">IFERROR(__xludf.DUMMYFUNCTION("""COMPUTED_VALUE"""),"Male")</f>
        <v>Male</v>
      </c>
      <c r="D556" s="1"/>
      <c r="E556" s="1">
        <f ca="1">IFERROR(__xludf.DUMMYFUNCTION("""COMPUTED_VALUE"""),26)</f>
        <v>26</v>
      </c>
      <c r="F556" s="1"/>
    </row>
    <row r="557" spans="1:6" ht="12.5">
      <c r="A557" s="1" t="str">
        <f ca="1">IFERROR(__xludf.DUMMYFUNCTION("""COMPUTED_VALUE"""),"20220509GARIS")</f>
        <v>20220509GARIS</v>
      </c>
      <c r="B557" s="1" t="str">
        <f ca="1">IFERROR(__xludf.DUMMYFUNCTION("""COMPUTED_VALUE"""),"Non-gunshot Injury")</f>
        <v>Non-gunshot Injury</v>
      </c>
      <c r="C557" s="1" t="str">
        <f ca="1">IFERROR(__xludf.DUMMYFUNCTION("""COMPUTED_VALUE"""),"Female")</f>
        <v>Female</v>
      </c>
      <c r="D557" s="1" t="str">
        <f ca="1">IFERROR(__xludf.DUMMYFUNCTION("""COMPUTED_VALUE"""),"Bus Driver")</f>
        <v>Bus Driver</v>
      </c>
      <c r="E557" s="1" t="str">
        <f ca="1">IFERROR(__xludf.DUMMYFUNCTION("""COMPUTED_VALUE"""),"Adult")</f>
        <v>Adult</v>
      </c>
      <c r="F557" s="1"/>
    </row>
    <row r="558" spans="1:6" ht="12.5">
      <c r="A558" s="1" t="str">
        <f ca="1">IFERROR(__xludf.DUMMYFUNCTION("""COMPUTED_VALUE"""),"20220501VALOM")</f>
        <v>20220501VALOM</v>
      </c>
      <c r="B558" s="1" t="str">
        <f ca="1">IFERROR(__xludf.DUMMYFUNCTION("""COMPUTED_VALUE"""),"Wounded")</f>
        <v>Wounded</v>
      </c>
      <c r="C558" s="1" t="str">
        <f ca="1">IFERROR(__xludf.DUMMYFUNCTION("""COMPUTED_VALUE"""),"Male")</f>
        <v>Male</v>
      </c>
      <c r="D558" s="1" t="str">
        <f ca="1">IFERROR(__xludf.DUMMYFUNCTION("""COMPUTED_VALUE"""),"Nonstudent Using Athletic Facilities/Attending Game")</f>
        <v>Nonstudent Using Athletic Facilities/Attending Game</v>
      </c>
      <c r="E558" s="1" t="str">
        <f ca="1">IFERROR(__xludf.DUMMYFUNCTION("""COMPUTED_VALUE"""),"Adult")</f>
        <v>Adult</v>
      </c>
      <c r="F558" s="1"/>
    </row>
    <row r="559" spans="1:6" ht="12.5">
      <c r="A559" s="1" t="str">
        <f ca="1">IFERROR(__xludf.DUMMYFUNCTION("""COMPUTED_VALUE"""),"20220501VALOM")</f>
        <v>20220501VALOM</v>
      </c>
      <c r="B559" s="1" t="str">
        <f ca="1">IFERROR(__xludf.DUMMYFUNCTION("""COMPUTED_VALUE"""),"Wounded")</f>
        <v>Wounded</v>
      </c>
      <c r="C559" s="1" t="str">
        <f ca="1">IFERROR(__xludf.DUMMYFUNCTION("""COMPUTED_VALUE"""),"Male")</f>
        <v>Male</v>
      </c>
      <c r="D559" s="1" t="str">
        <f ca="1">IFERROR(__xludf.DUMMYFUNCTION("""COMPUTED_VALUE"""),"Nonstudent Using Athletic Facilities/Attending Game")</f>
        <v>Nonstudent Using Athletic Facilities/Attending Game</v>
      </c>
      <c r="E559" s="1" t="str">
        <f ca="1">IFERROR(__xludf.DUMMYFUNCTION("""COMPUTED_VALUE"""),"Adult")</f>
        <v>Adult</v>
      </c>
      <c r="F559" s="1"/>
    </row>
    <row r="560" spans="1:6" ht="12.5">
      <c r="A560" s="1" t="str">
        <f ca="1">IFERROR(__xludf.DUMMYFUNCTION("""COMPUTED_VALUE"""),"20220501OHHAC")</f>
        <v>20220501OHHAC</v>
      </c>
      <c r="B560" s="1" t="str">
        <f ca="1">IFERROR(__xludf.DUMMYFUNCTION("""COMPUTED_VALUE"""),"Fatal")</f>
        <v>Fatal</v>
      </c>
      <c r="C560" s="1" t="str">
        <f ca="1">IFERROR(__xludf.DUMMYFUNCTION("""COMPUTED_VALUE"""),"Male")</f>
        <v>Male</v>
      </c>
      <c r="D560" s="1"/>
      <c r="E560" s="1" t="str">
        <f ca="1">IFERROR(__xludf.DUMMYFUNCTION("""COMPUTED_VALUE"""),"Adult")</f>
        <v>Adult</v>
      </c>
      <c r="F560" s="1"/>
    </row>
    <row r="561" spans="1:6" ht="12.5">
      <c r="A561" s="1" t="str">
        <f ca="1">IFERROR(__xludf.DUMMYFUNCTION("""COMPUTED_VALUE"""),"20220430PAMCJ")</f>
        <v>20220430PAMCJ</v>
      </c>
      <c r="B561" s="1" t="str">
        <f ca="1">IFERROR(__xludf.DUMMYFUNCTION("""COMPUTED_VALUE"""),"None")</f>
        <v>None</v>
      </c>
      <c r="C561" s="1" t="str">
        <f ca="1">IFERROR(__xludf.DUMMYFUNCTION("""COMPUTED_VALUE"""),"Male")</f>
        <v>Male</v>
      </c>
      <c r="D561" s="1" t="str">
        <f ca="1">IFERROR(__xludf.DUMMYFUNCTION("""COMPUTED_VALUE"""),"Nonstudent Using Athletic Facilities/Attending Game")</f>
        <v>Nonstudent Using Athletic Facilities/Attending Game</v>
      </c>
      <c r="E561" s="1" t="str">
        <f ca="1">IFERROR(__xludf.DUMMYFUNCTION("""COMPUTED_VALUE"""),"Adult")</f>
        <v>Adult</v>
      </c>
      <c r="F561" s="1"/>
    </row>
    <row r="562" spans="1:6" ht="12.5">
      <c r="A562" s="1" t="str">
        <f ca="1">IFERROR(__xludf.DUMMYFUNCTION("""COMPUTED_VALUE"""),"20220427TXMOS")</f>
        <v>20220427TXMOS</v>
      </c>
      <c r="B562" s="1" t="str">
        <f ca="1">IFERROR(__xludf.DUMMYFUNCTION("""COMPUTED_VALUE"""),"Wounded")</f>
        <v>Wounded</v>
      </c>
      <c r="C562" s="1" t="str">
        <f ca="1">IFERROR(__xludf.DUMMYFUNCTION("""COMPUTED_VALUE"""),"Male")</f>
        <v>Male</v>
      </c>
      <c r="D562" s="1" t="str">
        <f ca="1">IFERROR(__xludf.DUMMYFUNCTION("""COMPUTED_VALUE"""),"No Relation")</f>
        <v>No Relation</v>
      </c>
      <c r="E562" s="1" t="str">
        <f ca="1">IFERROR(__xludf.DUMMYFUNCTION("""COMPUTED_VALUE"""),"Adult")</f>
        <v>Adult</v>
      </c>
      <c r="F562" s="1"/>
    </row>
    <row r="563" spans="1:6" ht="12.5">
      <c r="A563" s="1" t="str">
        <f ca="1">IFERROR(__xludf.DUMMYFUNCTION("""COMPUTED_VALUE"""),"20220426GASOM")</f>
        <v>20220426GASOM</v>
      </c>
      <c r="B563" s="1" t="str">
        <f ca="1">IFERROR(__xludf.DUMMYFUNCTION("""COMPUTED_VALUE"""),"Fatal")</f>
        <v>Fatal</v>
      </c>
      <c r="C563" s="1" t="str">
        <f ca="1">IFERROR(__xludf.DUMMYFUNCTION("""COMPUTED_VALUE"""),"Male")</f>
        <v>Male</v>
      </c>
      <c r="D563" s="1"/>
      <c r="E563" s="1">
        <f ca="1">IFERROR(__xludf.DUMMYFUNCTION("""COMPUTED_VALUE"""),15)</f>
        <v>15</v>
      </c>
      <c r="F563" s="1" t="str">
        <f ca="1">IFERROR(__xludf.DUMMYFUNCTION("""COMPUTED_VALUE"""),"Black")</f>
        <v>Black</v>
      </c>
    </row>
    <row r="564" spans="1:6" ht="12.5">
      <c r="A564" s="1" t="str">
        <f ca="1">IFERROR(__xludf.DUMMYFUNCTION("""COMPUTED_VALUE"""),"20220424MOHAF")</f>
        <v>20220424MOHAF</v>
      </c>
      <c r="B564" s="1" t="str">
        <f ca="1">IFERROR(__xludf.DUMMYFUNCTION("""COMPUTED_VALUE"""),"Fatal")</f>
        <v>Fatal</v>
      </c>
      <c r="C564" s="1" t="str">
        <f ca="1">IFERROR(__xludf.DUMMYFUNCTION("""COMPUTED_VALUE"""),"Male")</f>
        <v>Male</v>
      </c>
      <c r="D564" s="1" t="str">
        <f ca="1">IFERROR(__xludf.DUMMYFUNCTION("""COMPUTED_VALUE"""),"No Relation")</f>
        <v>No Relation</v>
      </c>
      <c r="E564" s="1" t="str">
        <f ca="1">IFERROR(__xludf.DUMMYFUNCTION("""COMPUTED_VALUE"""),"Adult")</f>
        <v>Adult</v>
      </c>
      <c r="F564" s="1"/>
    </row>
    <row r="565" spans="1:6" ht="12.5">
      <c r="A565" s="1" t="str">
        <f ca="1">IFERROR(__xludf.DUMMYFUNCTION("""COMPUTED_VALUE"""),"20220422DCEDW")</f>
        <v>20220422DCEDW</v>
      </c>
      <c r="B565" s="1" t="str">
        <f ca="1">IFERROR(__xludf.DUMMYFUNCTION("""COMPUTED_VALUE"""),"Wounded")</f>
        <v>Wounded</v>
      </c>
      <c r="C565" s="1" t="str">
        <f ca="1">IFERROR(__xludf.DUMMYFUNCTION("""COMPUTED_VALUE"""),"Female")</f>
        <v>Female</v>
      </c>
      <c r="D565" s="1" t="str">
        <f ca="1">IFERROR(__xludf.DUMMYFUNCTION("""COMPUTED_VALUE"""),"Parent")</f>
        <v>Parent</v>
      </c>
      <c r="E565" s="1" t="str">
        <f ca="1">IFERROR(__xludf.DUMMYFUNCTION("""COMPUTED_VALUE"""),"Adult")</f>
        <v>Adult</v>
      </c>
      <c r="F565" s="1"/>
    </row>
    <row r="566" spans="1:6" ht="12.5">
      <c r="A566" s="1" t="str">
        <f ca="1">IFERROR(__xludf.DUMMYFUNCTION("""COMPUTED_VALUE"""),"20220422DCEDW")</f>
        <v>20220422DCEDW</v>
      </c>
      <c r="B566" s="1" t="str">
        <f ca="1">IFERROR(__xludf.DUMMYFUNCTION("""COMPUTED_VALUE"""),"Wounded")</f>
        <v>Wounded</v>
      </c>
      <c r="C566" s="1" t="str">
        <f ca="1">IFERROR(__xludf.DUMMYFUNCTION("""COMPUTED_VALUE"""),"Female")</f>
        <v>Female</v>
      </c>
      <c r="D566" s="1" t="str">
        <f ca="1">IFERROR(__xludf.DUMMYFUNCTION("""COMPUTED_VALUE"""),"Student")</f>
        <v>Student</v>
      </c>
      <c r="E566" s="1">
        <f ca="1">IFERROR(__xludf.DUMMYFUNCTION("""COMPUTED_VALUE"""),12)</f>
        <v>12</v>
      </c>
      <c r="F566" s="1"/>
    </row>
    <row r="567" spans="1:6" ht="12.5">
      <c r="A567" s="1" t="str">
        <f ca="1">IFERROR(__xludf.DUMMYFUNCTION("""COMPUTED_VALUE"""),"20220422DCEDW")</f>
        <v>20220422DCEDW</v>
      </c>
      <c r="B567" s="1" t="str">
        <f ca="1">IFERROR(__xludf.DUMMYFUNCTION("""COMPUTED_VALUE"""),"Non-gunshot Injury")</f>
        <v>Non-gunshot Injury</v>
      </c>
      <c r="C567" s="1" t="str">
        <f ca="1">IFERROR(__xludf.DUMMYFUNCTION("""COMPUTED_VALUE"""),"Female")</f>
        <v>Female</v>
      </c>
      <c r="D567" s="1" t="str">
        <f ca="1">IFERROR(__xludf.DUMMYFUNCTION("""COMPUTED_VALUE"""),"Student")</f>
        <v>Student</v>
      </c>
      <c r="E567" s="1">
        <f ca="1">IFERROR(__xludf.DUMMYFUNCTION("""COMPUTED_VALUE"""),16)</f>
        <v>16</v>
      </c>
      <c r="F567" s="1"/>
    </row>
    <row r="568" spans="1:6" ht="12.5">
      <c r="A568" s="1" t="str">
        <f ca="1">IFERROR(__xludf.DUMMYFUNCTION("""COMPUTED_VALUE"""),"20220422DCEDW")</f>
        <v>20220422DCEDW</v>
      </c>
      <c r="B568" s="1" t="str">
        <f ca="1">IFERROR(__xludf.DUMMYFUNCTION("""COMPUTED_VALUE"""),"Wounded")</f>
        <v>Wounded</v>
      </c>
      <c r="C568" s="1" t="str">
        <f ca="1">IFERROR(__xludf.DUMMYFUNCTION("""COMPUTED_VALUE"""),"Male")</f>
        <v>Male</v>
      </c>
      <c r="D568" s="1" t="str">
        <f ca="1">IFERROR(__xludf.DUMMYFUNCTION("""COMPUTED_VALUE"""),"Security Guard")</f>
        <v>Security Guard</v>
      </c>
      <c r="E568" s="1" t="str">
        <f ca="1">IFERROR(__xludf.DUMMYFUNCTION("""COMPUTED_VALUE"""),"Adult")</f>
        <v>Adult</v>
      </c>
      <c r="F568" s="1"/>
    </row>
    <row r="569" spans="1:6" ht="12.5">
      <c r="A569" s="1" t="str">
        <f ca="1">IFERROR(__xludf.DUMMYFUNCTION("""COMPUTED_VALUE"""),"20220422DCEDW")</f>
        <v>20220422DCEDW</v>
      </c>
      <c r="B569" s="1" t="str">
        <f ca="1">IFERROR(__xludf.DUMMYFUNCTION("""COMPUTED_VALUE"""),"Wounded")</f>
        <v>Wounded</v>
      </c>
      <c r="C569" s="1" t="str">
        <f ca="1">IFERROR(__xludf.DUMMYFUNCTION("""COMPUTED_VALUE"""),"Female")</f>
        <v>Female</v>
      </c>
      <c r="D569" s="1" t="str">
        <f ca="1">IFERROR(__xludf.DUMMYFUNCTION("""COMPUTED_VALUE"""),"No Relation")</f>
        <v>No Relation</v>
      </c>
      <c r="E569" s="1" t="str">
        <f ca="1">IFERROR(__xludf.DUMMYFUNCTION("""COMPUTED_VALUE"""),"Adult")</f>
        <v>Adult</v>
      </c>
      <c r="F569" s="1"/>
    </row>
    <row r="570" spans="1:6" ht="12.5">
      <c r="A570" s="1" t="str">
        <f ca="1">IFERROR(__xludf.DUMMYFUNCTION("""COMPUTED_VALUE"""),"20220421NDMOM")</f>
        <v>20220421NDMOM</v>
      </c>
      <c r="B570" s="1" t="str">
        <f ca="1">IFERROR(__xludf.DUMMYFUNCTION("""COMPUTED_VALUE"""),"Fatal")</f>
        <v>Fatal</v>
      </c>
      <c r="C570" s="1" t="str">
        <f ca="1">IFERROR(__xludf.DUMMYFUNCTION("""COMPUTED_VALUE"""),"Male")</f>
        <v>Male</v>
      </c>
      <c r="D570" s="1"/>
      <c r="E570" s="1">
        <f ca="1">IFERROR(__xludf.DUMMYFUNCTION("""COMPUTED_VALUE"""),34)</f>
        <v>34</v>
      </c>
      <c r="F570" s="1"/>
    </row>
    <row r="571" spans="1:6" ht="12.5">
      <c r="A571" s="1" t="str">
        <f ca="1">IFERROR(__xludf.DUMMYFUNCTION("""COMPUTED_VALUE"""),"20220416IAMED")</f>
        <v>20220416IAMED</v>
      </c>
      <c r="B571" s="1" t="str">
        <f ca="1">IFERROR(__xludf.DUMMYFUNCTION("""COMPUTED_VALUE"""),"Wounded")</f>
        <v>Wounded</v>
      </c>
      <c r="C571" s="1"/>
      <c r="D571" s="1"/>
      <c r="E571" s="1" t="str">
        <f ca="1">IFERROR(__xludf.DUMMYFUNCTION("""COMPUTED_VALUE"""),"Adult")</f>
        <v>Adult</v>
      </c>
      <c r="F571" s="1"/>
    </row>
    <row r="572" spans="1:6" ht="12.5">
      <c r="A572" s="1" t="str">
        <f ca="1">IFERROR(__xludf.DUMMYFUNCTION("""COMPUTED_VALUE"""),"20220415VAGAW")</f>
        <v>20220415VAGAW</v>
      </c>
      <c r="B572" s="1" t="str">
        <f ca="1">IFERROR(__xludf.DUMMYFUNCTION("""COMPUTED_VALUE"""),"Wounded")</f>
        <v>Wounded</v>
      </c>
      <c r="C572" s="1" t="str">
        <f ca="1">IFERROR(__xludf.DUMMYFUNCTION("""COMPUTED_VALUE"""),"Female")</f>
        <v>Female</v>
      </c>
      <c r="D572" s="1" t="str">
        <f ca="1">IFERROR(__xludf.DUMMYFUNCTION("""COMPUTED_VALUE"""),"Student")</f>
        <v>Student</v>
      </c>
      <c r="E572" s="1" t="str">
        <f ca="1">IFERROR(__xludf.DUMMYFUNCTION("""COMPUTED_VALUE"""),"Teen")</f>
        <v>Teen</v>
      </c>
      <c r="F572" s="1"/>
    </row>
    <row r="573" spans="1:6" ht="12.5">
      <c r="A573" s="1" t="str">
        <f ca="1">IFERROR(__xludf.DUMMYFUNCTION("""COMPUTED_VALUE"""),"20220414MSNEP")</f>
        <v>20220414MSNEP</v>
      </c>
      <c r="B573" s="1" t="str">
        <f ca="1">IFERROR(__xludf.DUMMYFUNCTION("""COMPUTED_VALUE"""),"Wounded")</f>
        <v>Wounded</v>
      </c>
      <c r="C573" s="1" t="str">
        <f ca="1">IFERROR(__xludf.DUMMYFUNCTION("""COMPUTED_VALUE"""),"Male")</f>
        <v>Male</v>
      </c>
      <c r="D573" s="1" t="str">
        <f ca="1">IFERROR(__xludf.DUMMYFUNCTION("""COMPUTED_VALUE"""),"Student")</f>
        <v>Student</v>
      </c>
      <c r="E573" s="1" t="str">
        <f ca="1">IFERROR(__xludf.DUMMYFUNCTION("""COMPUTED_VALUE"""),"Teen")</f>
        <v>Teen</v>
      </c>
      <c r="F573" s="1"/>
    </row>
    <row r="574" spans="1:6" ht="12.5">
      <c r="A574" s="1" t="str">
        <f ca="1">IFERROR(__xludf.DUMMYFUNCTION("""COMPUTED_VALUE"""),"20220414MSNEP")</f>
        <v>20220414MSNEP</v>
      </c>
      <c r="B574" s="1" t="str">
        <f ca="1">IFERROR(__xludf.DUMMYFUNCTION("""COMPUTED_VALUE"""),"Non-gunshot Injury")</f>
        <v>Non-gunshot Injury</v>
      </c>
      <c r="C574" s="1" t="str">
        <f ca="1">IFERROR(__xludf.DUMMYFUNCTION("""COMPUTED_VALUE"""),"Male")</f>
        <v>Male</v>
      </c>
      <c r="D574" s="1" t="str">
        <f ca="1">IFERROR(__xludf.DUMMYFUNCTION("""COMPUTED_VALUE"""),"Student")</f>
        <v>Student</v>
      </c>
      <c r="E574" s="1" t="str">
        <f ca="1">IFERROR(__xludf.DUMMYFUNCTION("""COMPUTED_VALUE"""),"Teen")</f>
        <v>Teen</v>
      </c>
      <c r="F574" s="1"/>
    </row>
    <row r="575" spans="1:6" ht="12.5">
      <c r="A575" s="1" t="str">
        <f ca="1">IFERROR(__xludf.DUMMYFUNCTION("""COMPUTED_VALUE"""),"20220414MSNEP")</f>
        <v>20220414MSNEP</v>
      </c>
      <c r="B575" s="1" t="str">
        <f ca="1">IFERROR(__xludf.DUMMYFUNCTION("""COMPUTED_VALUE"""),"Wounded")</f>
        <v>Wounded</v>
      </c>
      <c r="C575" s="1" t="str">
        <f ca="1">IFERROR(__xludf.DUMMYFUNCTION("""COMPUTED_VALUE"""),"Male")</f>
        <v>Male</v>
      </c>
      <c r="D575" s="1" t="str">
        <f ca="1">IFERROR(__xludf.DUMMYFUNCTION("""COMPUTED_VALUE"""),"Student")</f>
        <v>Student</v>
      </c>
      <c r="E575" s="1" t="str">
        <f ca="1">IFERROR(__xludf.DUMMYFUNCTION("""COMPUTED_VALUE"""),"Teen")</f>
        <v>Teen</v>
      </c>
      <c r="F575" s="1"/>
    </row>
    <row r="576" spans="1:6" ht="12.5">
      <c r="A576" s="1" t="str">
        <f ca="1">IFERROR(__xludf.DUMMYFUNCTION("""COMPUTED_VALUE"""),"20220413MISHS")</f>
        <v>20220413MISHS</v>
      </c>
      <c r="B576" s="1" t="str">
        <f ca="1">IFERROR(__xludf.DUMMYFUNCTION("""COMPUTED_VALUE"""),"Non-gunshot Injury")</f>
        <v>Non-gunshot Injury</v>
      </c>
      <c r="C576" s="1"/>
      <c r="D576" s="1" t="str">
        <f ca="1">IFERROR(__xludf.DUMMYFUNCTION("""COMPUTED_VALUE"""),"Student")</f>
        <v>Student</v>
      </c>
      <c r="E576" s="1" t="str">
        <f ca="1">IFERROR(__xludf.DUMMYFUNCTION("""COMPUTED_VALUE"""),"Child")</f>
        <v>Child</v>
      </c>
      <c r="F576" s="1"/>
    </row>
    <row r="577" spans="1:6" ht="12.5">
      <c r="A577" s="1" t="str">
        <f ca="1">IFERROR(__xludf.DUMMYFUNCTION("""COMPUTED_VALUE"""),"20220410MALYL")</f>
        <v>20220410MALYL</v>
      </c>
      <c r="B577" s="1" t="str">
        <f ca="1">IFERROR(__xludf.DUMMYFUNCTION("""COMPUTED_VALUE"""),"Fatal")</f>
        <v>Fatal</v>
      </c>
      <c r="C577" s="1" t="str">
        <f ca="1">IFERROR(__xludf.DUMMYFUNCTION("""COMPUTED_VALUE"""),"Male")</f>
        <v>Male</v>
      </c>
      <c r="D577" s="1" t="str">
        <f ca="1">IFERROR(__xludf.DUMMYFUNCTION("""COMPUTED_VALUE"""),"No Relation")</f>
        <v>No Relation</v>
      </c>
      <c r="E577" s="1">
        <f ca="1">IFERROR(__xludf.DUMMYFUNCTION("""COMPUTED_VALUE"""),20)</f>
        <v>20</v>
      </c>
      <c r="F577" s="1"/>
    </row>
    <row r="578" spans="1:6" ht="12.5">
      <c r="A578" s="1" t="str">
        <f ca="1">IFERROR(__xludf.DUMMYFUNCTION("""COMPUTED_VALUE"""),"20220406WASTM")</f>
        <v>20220406WASTM</v>
      </c>
      <c r="B578" s="1" t="str">
        <f ca="1">IFERROR(__xludf.DUMMYFUNCTION("""COMPUTED_VALUE"""),"None")</f>
        <v>None</v>
      </c>
      <c r="C578" s="1"/>
      <c r="D578" s="1" t="str">
        <f ca="1">IFERROR(__xludf.DUMMYFUNCTION("""COMPUTED_VALUE"""),"Student")</f>
        <v>Student</v>
      </c>
      <c r="E578" s="1" t="str">
        <f ca="1">IFERROR(__xludf.DUMMYFUNCTION("""COMPUTED_VALUE"""),"Child")</f>
        <v>Child</v>
      </c>
      <c r="F578" s="1"/>
    </row>
    <row r="579" spans="1:6" ht="12.5">
      <c r="A579" s="1" t="str">
        <f ca="1">IFERROR(__xludf.DUMMYFUNCTION("""COMPUTED_VALUE"""),"20220406WASTM")</f>
        <v>20220406WASTM</v>
      </c>
      <c r="B579" s="1" t="str">
        <f ca="1">IFERROR(__xludf.DUMMYFUNCTION("""COMPUTED_VALUE"""),"None")</f>
        <v>None</v>
      </c>
      <c r="C579" s="1"/>
      <c r="D579" s="1" t="str">
        <f ca="1">IFERROR(__xludf.DUMMYFUNCTION("""COMPUTED_VALUE"""),"Student")</f>
        <v>Student</v>
      </c>
      <c r="E579" s="1" t="str">
        <f ca="1">IFERROR(__xludf.DUMMYFUNCTION("""COMPUTED_VALUE"""),"Child")</f>
        <v>Child</v>
      </c>
      <c r="F579" s="1"/>
    </row>
    <row r="580" spans="1:6" ht="12.5">
      <c r="A580" s="1" t="str">
        <f ca="1">IFERROR(__xludf.DUMMYFUNCTION("""COMPUTED_VALUE"""),"20220406ORROP")</f>
        <v>20220406ORROP</v>
      </c>
      <c r="B580" s="1" t="str">
        <f ca="1">IFERROR(__xludf.DUMMYFUNCTION("""COMPUTED_VALUE"""),"Wounded")</f>
        <v>Wounded</v>
      </c>
      <c r="C580" s="1"/>
      <c r="D580" s="1"/>
      <c r="E580" s="1" t="str">
        <f ca="1">IFERROR(__xludf.DUMMYFUNCTION("""COMPUTED_VALUE"""),"Adult")</f>
        <v>Adult</v>
      </c>
      <c r="F580" s="1"/>
    </row>
    <row r="581" spans="1:6" ht="12.5">
      <c r="A581" s="1" t="str">
        <f ca="1">IFERROR(__xludf.DUMMYFUNCTION("""COMPUTED_VALUE"""),"20220405PAERE")</f>
        <v>20220405PAERE</v>
      </c>
      <c r="B581" s="1" t="str">
        <f ca="1">IFERROR(__xludf.DUMMYFUNCTION("""COMPUTED_VALUE"""),"Wounded")</f>
        <v>Wounded</v>
      </c>
      <c r="C581" s="1"/>
      <c r="D581" s="1" t="str">
        <f ca="1">IFERROR(__xludf.DUMMYFUNCTION("""COMPUTED_VALUE"""),"Student")</f>
        <v>Student</v>
      </c>
      <c r="E581" s="1" t="str">
        <f ca="1">IFERROR(__xludf.DUMMYFUNCTION("""COMPUTED_VALUE"""),"Teen")</f>
        <v>Teen</v>
      </c>
      <c r="F581" s="1"/>
    </row>
    <row r="582" spans="1:6" ht="12.5">
      <c r="A582" s="1" t="str">
        <f ca="1">IFERROR(__xludf.DUMMYFUNCTION("""COMPUTED_VALUE"""),"20220403INBLB")</f>
        <v>20220403INBLB</v>
      </c>
      <c r="B582" s="1" t="str">
        <f ca="1">IFERROR(__xludf.DUMMYFUNCTION("""COMPUTED_VALUE"""),"Wounded")</f>
        <v>Wounded</v>
      </c>
      <c r="C582" s="1" t="str">
        <f ca="1">IFERROR(__xludf.DUMMYFUNCTION("""COMPUTED_VALUE"""),"Male")</f>
        <v>Male</v>
      </c>
      <c r="D582" s="1"/>
      <c r="E582" s="1">
        <f ca="1">IFERROR(__xludf.DUMMYFUNCTION("""COMPUTED_VALUE"""),17)</f>
        <v>17</v>
      </c>
      <c r="F582" s="1"/>
    </row>
    <row r="583" spans="1:6" ht="12.5">
      <c r="A583" s="1" t="str">
        <f ca="1">IFERROR(__xludf.DUMMYFUNCTION("""COMPUTED_VALUE"""),"20220331SCTAG")</f>
        <v>20220331SCTAG</v>
      </c>
      <c r="B583" s="1" t="str">
        <f ca="1">IFERROR(__xludf.DUMMYFUNCTION("""COMPUTED_VALUE"""),"Fatal")</f>
        <v>Fatal</v>
      </c>
      <c r="C583" s="1" t="str">
        <f ca="1">IFERROR(__xludf.DUMMYFUNCTION("""COMPUTED_VALUE"""),"Male")</f>
        <v>Male</v>
      </c>
      <c r="D583" s="1" t="str">
        <f ca="1">IFERROR(__xludf.DUMMYFUNCTION("""COMPUTED_VALUE"""),"Student")</f>
        <v>Student</v>
      </c>
      <c r="E583" s="1">
        <f ca="1">IFERROR(__xludf.DUMMYFUNCTION("""COMPUTED_VALUE"""),12)</f>
        <v>12</v>
      </c>
      <c r="F583" s="1" t="str">
        <f ca="1">IFERROR(__xludf.DUMMYFUNCTION("""COMPUTED_VALUE"""),"Black")</f>
        <v>Black</v>
      </c>
    </row>
    <row r="584" spans="1:6" ht="12.5">
      <c r="A584" s="1" t="str">
        <f ca="1">IFERROR(__xludf.DUMMYFUNCTION("""COMPUTED_VALUE"""),"20220330AZKIK")</f>
        <v>20220330AZKIK</v>
      </c>
      <c r="B584" s="1" t="str">
        <f ca="1">IFERROR(__xludf.DUMMYFUNCTION("""COMPUTED_VALUE"""),"Wounded")</f>
        <v>Wounded</v>
      </c>
      <c r="C584" s="1" t="str">
        <f ca="1">IFERROR(__xludf.DUMMYFUNCTION("""COMPUTED_VALUE"""),"Male")</f>
        <v>Male</v>
      </c>
      <c r="D584" s="1" t="str">
        <f ca="1">IFERROR(__xludf.DUMMYFUNCTION("""COMPUTED_VALUE"""),"Student")</f>
        <v>Student</v>
      </c>
      <c r="E584" s="1">
        <f ca="1">IFERROR(__xludf.DUMMYFUNCTION("""COMPUTED_VALUE"""),15)</f>
        <v>15</v>
      </c>
      <c r="F584" s="1"/>
    </row>
    <row r="585" spans="1:6" ht="12.5">
      <c r="A585" s="1" t="str">
        <f ca="1">IFERROR(__xludf.DUMMYFUNCTION("""COMPUTED_VALUE"""),"20220329NVWEL")</f>
        <v>20220329NVWEL</v>
      </c>
      <c r="B585" s="1" t="str">
        <f ca="1">IFERROR(__xludf.DUMMYFUNCTION("""COMPUTED_VALUE"""),"Wounded")</f>
        <v>Wounded</v>
      </c>
      <c r="C585" s="1" t="str">
        <f ca="1">IFERROR(__xludf.DUMMYFUNCTION("""COMPUTED_VALUE"""),"Male")</f>
        <v>Male</v>
      </c>
      <c r="D585" s="1" t="str">
        <f ca="1">IFERROR(__xludf.DUMMYFUNCTION("""COMPUTED_VALUE"""),"Student")</f>
        <v>Student</v>
      </c>
      <c r="E585" s="1">
        <f ca="1">IFERROR(__xludf.DUMMYFUNCTION("""COMPUTED_VALUE"""),16)</f>
        <v>16</v>
      </c>
      <c r="F585" s="1"/>
    </row>
    <row r="586" spans="1:6" ht="12.5">
      <c r="A586" s="1" t="str">
        <f ca="1">IFERROR(__xludf.DUMMYFUNCTION("""COMPUTED_VALUE"""),"20220329NVWEL")</f>
        <v>20220329NVWEL</v>
      </c>
      <c r="B586" s="1" t="str">
        <f ca="1">IFERROR(__xludf.DUMMYFUNCTION("""COMPUTED_VALUE"""),"Wounded")</f>
        <v>Wounded</v>
      </c>
      <c r="C586" s="1" t="str">
        <f ca="1">IFERROR(__xludf.DUMMYFUNCTION("""COMPUTED_VALUE"""),"Male")</f>
        <v>Male</v>
      </c>
      <c r="D586" s="1" t="str">
        <f ca="1">IFERROR(__xludf.DUMMYFUNCTION("""COMPUTED_VALUE"""),"Nonstudent")</f>
        <v>Nonstudent</v>
      </c>
      <c r="E586" s="1" t="str">
        <f ca="1">IFERROR(__xludf.DUMMYFUNCTION("""COMPUTED_VALUE"""),"Teen")</f>
        <v>Teen</v>
      </c>
      <c r="F586" s="1"/>
    </row>
    <row r="587" spans="1:6" ht="12.5">
      <c r="A587" s="1" t="str">
        <f ca="1">IFERROR(__xludf.DUMMYFUNCTION("""COMPUTED_VALUE"""),"20220329NVWEL")</f>
        <v>20220329NVWEL</v>
      </c>
      <c r="B587" s="1" t="str">
        <f ca="1">IFERROR(__xludf.DUMMYFUNCTION("""COMPUTED_VALUE"""),"Non-gunshot Injury")</f>
        <v>Non-gunshot Injury</v>
      </c>
      <c r="C587" s="1" t="str">
        <f ca="1">IFERROR(__xludf.DUMMYFUNCTION("""COMPUTED_VALUE"""),"Female")</f>
        <v>Female</v>
      </c>
      <c r="D587" s="1" t="str">
        <f ca="1">IFERROR(__xludf.DUMMYFUNCTION("""COMPUTED_VALUE"""),"Student")</f>
        <v>Student</v>
      </c>
      <c r="E587" s="1" t="str">
        <f ca="1">IFERROR(__xludf.DUMMYFUNCTION("""COMPUTED_VALUE"""),"Teen")</f>
        <v>Teen</v>
      </c>
      <c r="F587" s="1"/>
    </row>
    <row r="588" spans="1:6" ht="12.5">
      <c r="A588" s="1" t="str">
        <f ca="1">IFERROR(__xludf.DUMMYFUNCTION("""COMPUTED_VALUE"""),"20220328NCOAC")</f>
        <v>20220328NCOAC</v>
      </c>
      <c r="B588" s="1" t="str">
        <f ca="1">IFERROR(__xludf.DUMMYFUNCTION("""COMPUTED_VALUE"""),"Wounded")</f>
        <v>Wounded</v>
      </c>
      <c r="C588" s="1" t="str">
        <f ca="1">IFERROR(__xludf.DUMMYFUNCTION("""COMPUTED_VALUE"""),"Male")</f>
        <v>Male</v>
      </c>
      <c r="D588" s="1" t="str">
        <f ca="1">IFERROR(__xludf.DUMMYFUNCTION("""COMPUTED_VALUE"""),"No Relation")</f>
        <v>No Relation</v>
      </c>
      <c r="E588" s="1">
        <f ca="1">IFERROR(__xludf.DUMMYFUNCTION("""COMPUTED_VALUE"""),16)</f>
        <v>16</v>
      </c>
      <c r="F588" s="1"/>
    </row>
    <row r="589" spans="1:6" ht="12.5">
      <c r="A589" s="1" t="str">
        <f ca="1">IFERROR(__xludf.DUMMYFUNCTION("""COMPUTED_VALUE"""),"20220322FLNEN")</f>
        <v>20220322FLNEN</v>
      </c>
      <c r="B589" s="1" t="str">
        <f ca="1">IFERROR(__xludf.DUMMYFUNCTION("""COMPUTED_VALUE"""),"Non-gunshot Injury")</f>
        <v>Non-gunshot Injury</v>
      </c>
      <c r="C589" s="1" t="str">
        <f ca="1">IFERROR(__xludf.DUMMYFUNCTION("""COMPUTED_VALUE"""),"Female")</f>
        <v>Female</v>
      </c>
      <c r="D589" s="1" t="str">
        <f ca="1">IFERROR(__xludf.DUMMYFUNCTION("""COMPUTED_VALUE"""),"Other Staff")</f>
        <v>Other Staff</v>
      </c>
      <c r="E589" s="1" t="str">
        <f ca="1">IFERROR(__xludf.DUMMYFUNCTION("""COMPUTED_VALUE"""),"Adult")</f>
        <v>Adult</v>
      </c>
      <c r="F589" s="1"/>
    </row>
    <row r="590" spans="1:6" ht="12.5">
      <c r="A590" s="1" t="str">
        <f ca="1">IFERROR(__xludf.DUMMYFUNCTION("""COMPUTED_VALUE"""),"20220321MIMAK")</f>
        <v>20220321MIMAK</v>
      </c>
      <c r="B590" s="1" t="str">
        <f ca="1">IFERROR(__xludf.DUMMYFUNCTION("""COMPUTED_VALUE"""),"None")</f>
        <v>None</v>
      </c>
      <c r="C590" s="1" t="str">
        <f ca="1">IFERROR(__xludf.DUMMYFUNCTION("""COMPUTED_VALUE"""),"Male")</f>
        <v>Male</v>
      </c>
      <c r="D590" s="1" t="str">
        <f ca="1">IFERROR(__xludf.DUMMYFUNCTION("""COMPUTED_VALUE"""),"Parent")</f>
        <v>Parent</v>
      </c>
      <c r="E590" s="1" t="str">
        <f ca="1">IFERROR(__xludf.DUMMYFUNCTION("""COMPUTED_VALUE"""),"Adult")</f>
        <v>Adult</v>
      </c>
      <c r="F590" s="1"/>
    </row>
    <row r="591" spans="1:6" ht="12.5">
      <c r="A591" s="1" t="str">
        <f ca="1">IFERROR(__xludf.DUMMYFUNCTION("""COMPUTED_VALUE"""),"20220319ALCEL")</f>
        <v>20220319ALCEL</v>
      </c>
      <c r="B591" s="1" t="str">
        <f ca="1">IFERROR(__xludf.DUMMYFUNCTION("""COMPUTED_VALUE"""),"None")</f>
        <v>None</v>
      </c>
      <c r="C591" s="1" t="str">
        <f ca="1">IFERROR(__xludf.DUMMYFUNCTION("""COMPUTED_VALUE"""),"Male")</f>
        <v>Male</v>
      </c>
      <c r="D591" s="1" t="str">
        <f ca="1">IFERROR(__xludf.DUMMYFUNCTION("""COMPUTED_VALUE"""),"No Relation")</f>
        <v>No Relation</v>
      </c>
      <c r="E591" s="1" t="str">
        <f ca="1">IFERROR(__xludf.DUMMYFUNCTION("""COMPUTED_VALUE"""),"Adult")</f>
        <v>Adult</v>
      </c>
      <c r="F591" s="1"/>
    </row>
    <row r="592" spans="1:6" ht="12.5">
      <c r="A592" s="1" t="str">
        <f ca="1">IFERROR(__xludf.DUMMYFUNCTION("""COMPUTED_VALUE"""),"20220318RICEP")</f>
        <v>20220318RICEP</v>
      </c>
      <c r="B592" s="1" t="str">
        <f ca="1">IFERROR(__xludf.DUMMYFUNCTION("""COMPUTED_VALUE"""),"Non-gunshot Injury")</f>
        <v>Non-gunshot Injury</v>
      </c>
      <c r="C592" s="1"/>
      <c r="D592" s="1" t="str">
        <f ca="1">IFERROR(__xludf.DUMMYFUNCTION("""COMPUTED_VALUE"""),"Other Staff")</f>
        <v>Other Staff</v>
      </c>
      <c r="E592" s="1" t="str">
        <f ca="1">IFERROR(__xludf.DUMMYFUNCTION("""COMPUTED_VALUE"""),"Adult")</f>
        <v>Adult</v>
      </c>
      <c r="F592" s="1"/>
    </row>
    <row r="593" spans="1:6" ht="12.5">
      <c r="A593" s="1" t="str">
        <f ca="1">IFERROR(__xludf.DUMMYFUNCTION("""COMPUTED_VALUE"""),"20220318ILBAB")</f>
        <v>20220318ILBAB</v>
      </c>
      <c r="B593" s="1" t="str">
        <f ca="1">IFERROR(__xludf.DUMMYFUNCTION("""COMPUTED_VALUE"""),"Non-gunshot Injury")</f>
        <v>Non-gunshot Injury</v>
      </c>
      <c r="C593" s="1" t="str">
        <f ca="1">IFERROR(__xludf.DUMMYFUNCTION("""COMPUTED_VALUE"""),"Male")</f>
        <v>Male</v>
      </c>
      <c r="D593" s="1" t="str">
        <f ca="1">IFERROR(__xludf.DUMMYFUNCTION("""COMPUTED_VALUE"""),"Student")</f>
        <v>Student</v>
      </c>
      <c r="E593" s="1" t="str">
        <f ca="1">IFERROR(__xludf.DUMMYFUNCTION("""COMPUTED_VALUE"""),"Teen")</f>
        <v>Teen</v>
      </c>
      <c r="F593" s="1"/>
    </row>
    <row r="594" spans="1:6" ht="12.5">
      <c r="A594" s="1" t="str">
        <f ca="1">IFERROR(__xludf.DUMMYFUNCTION("""COMPUTED_VALUE"""),"20220318ILBAB")</f>
        <v>20220318ILBAB</v>
      </c>
      <c r="B594" s="1" t="str">
        <f ca="1">IFERROR(__xludf.DUMMYFUNCTION("""COMPUTED_VALUE"""),"Non-gunshot Injury")</f>
        <v>Non-gunshot Injury</v>
      </c>
      <c r="C594" s="1" t="str">
        <f ca="1">IFERROR(__xludf.DUMMYFUNCTION("""COMPUTED_VALUE"""),"Male")</f>
        <v>Male</v>
      </c>
      <c r="D594" s="1" t="str">
        <f ca="1">IFERROR(__xludf.DUMMYFUNCTION("""COMPUTED_VALUE"""),"Student")</f>
        <v>Student</v>
      </c>
      <c r="E594" s="1" t="str">
        <f ca="1">IFERROR(__xludf.DUMMYFUNCTION("""COMPUTED_VALUE"""),"Teen")</f>
        <v>Teen</v>
      </c>
      <c r="F594" s="1"/>
    </row>
    <row r="595" spans="1:6" ht="12.5">
      <c r="A595" s="1" t="str">
        <f ca="1">IFERROR(__xludf.DUMMYFUNCTION("""COMPUTED_VALUE"""),"20220315WAEIY")</f>
        <v>20220315WAEIY</v>
      </c>
      <c r="B595" s="1" t="str">
        <f ca="1">IFERROR(__xludf.DUMMYFUNCTION("""COMPUTED_VALUE"""),"Fatal")</f>
        <v>Fatal</v>
      </c>
      <c r="C595" s="1" t="str">
        <f ca="1">IFERROR(__xludf.DUMMYFUNCTION("""COMPUTED_VALUE"""),"Male")</f>
        <v>Male</v>
      </c>
      <c r="D595" s="1" t="str">
        <f ca="1">IFERROR(__xludf.DUMMYFUNCTION("""COMPUTED_VALUE"""),"Student")</f>
        <v>Student</v>
      </c>
      <c r="E595" s="1">
        <f ca="1">IFERROR(__xludf.DUMMYFUNCTION("""COMPUTED_VALUE"""),16)</f>
        <v>16</v>
      </c>
      <c r="F595" s="1"/>
    </row>
    <row r="596" spans="1:6" ht="12.5">
      <c r="A596" s="1" t="str">
        <f ca="1">IFERROR(__xludf.DUMMYFUNCTION("""COMPUTED_VALUE"""),"20220315WAEIY")</f>
        <v>20220315WAEIY</v>
      </c>
      <c r="B596" s="1" t="str">
        <f ca="1">IFERROR(__xludf.DUMMYFUNCTION("""COMPUTED_VALUE"""),"Wounded")</f>
        <v>Wounded</v>
      </c>
      <c r="C596" s="1" t="str">
        <f ca="1">IFERROR(__xludf.DUMMYFUNCTION("""COMPUTED_VALUE"""),"Male")</f>
        <v>Male</v>
      </c>
      <c r="D596" s="1" t="str">
        <f ca="1">IFERROR(__xludf.DUMMYFUNCTION("""COMPUTED_VALUE"""),"Student")</f>
        <v>Student</v>
      </c>
      <c r="E596" s="1">
        <f ca="1">IFERROR(__xludf.DUMMYFUNCTION("""COMPUTED_VALUE"""),18)</f>
        <v>18</v>
      </c>
      <c r="F596" s="1"/>
    </row>
    <row r="597" spans="1:6" ht="12.5">
      <c r="A597" s="1" t="str">
        <f ca="1">IFERROR(__xludf.DUMMYFUNCTION("""COMPUTED_VALUE"""),"20220315MDPAB")</f>
        <v>20220315MDPAB</v>
      </c>
      <c r="B597" s="1" t="str">
        <f ca="1">IFERROR(__xludf.DUMMYFUNCTION("""COMPUTED_VALUE"""),"Wounded")</f>
        <v>Wounded</v>
      </c>
      <c r="C597" s="1" t="str">
        <f ca="1">IFERROR(__xludf.DUMMYFUNCTION("""COMPUTED_VALUE"""),"Male")</f>
        <v>Male</v>
      </c>
      <c r="D597" s="1" t="str">
        <f ca="1">IFERROR(__xludf.DUMMYFUNCTION("""COMPUTED_VALUE"""),"Student")</f>
        <v>Student</v>
      </c>
      <c r="E597" s="1">
        <f ca="1">IFERROR(__xludf.DUMMYFUNCTION("""COMPUTED_VALUE"""),18)</f>
        <v>18</v>
      </c>
      <c r="F597" s="1"/>
    </row>
    <row r="598" spans="1:6" ht="12.5">
      <c r="A598" s="1" t="str">
        <f ca="1">IFERROR(__xludf.DUMMYFUNCTION("""COMPUTED_VALUE"""),"20220315MATEB")</f>
        <v>20220315MATEB</v>
      </c>
      <c r="B598" s="1" t="str">
        <f ca="1">IFERROR(__xludf.DUMMYFUNCTION("""COMPUTED_VALUE"""),"Wounded")</f>
        <v>Wounded</v>
      </c>
      <c r="C598" s="1"/>
      <c r="D598" s="1" t="str">
        <f ca="1">IFERROR(__xludf.DUMMYFUNCTION("""COMPUTED_VALUE"""),"Student")</f>
        <v>Student</v>
      </c>
      <c r="E598" s="1">
        <f ca="1">IFERROR(__xludf.DUMMYFUNCTION("""COMPUTED_VALUE"""),17)</f>
        <v>17</v>
      </c>
      <c r="F598" s="1"/>
    </row>
    <row r="599" spans="1:6" ht="12.5">
      <c r="A599" s="1" t="str">
        <f ca="1">IFERROR(__xludf.DUMMYFUNCTION("""COMPUTED_VALUE"""),"20220315MATEB")</f>
        <v>20220315MATEB</v>
      </c>
      <c r="B599" s="1" t="str">
        <f ca="1">IFERROR(__xludf.DUMMYFUNCTION("""COMPUTED_VALUE"""),"Wounded")</f>
        <v>Wounded</v>
      </c>
      <c r="C599" s="1"/>
      <c r="D599" s="1" t="str">
        <f ca="1">IFERROR(__xludf.DUMMYFUNCTION("""COMPUTED_VALUE"""),"Teacher")</f>
        <v>Teacher</v>
      </c>
      <c r="E599" s="1">
        <f ca="1">IFERROR(__xludf.DUMMYFUNCTION("""COMPUTED_VALUE"""),31)</f>
        <v>31</v>
      </c>
      <c r="F599" s="1"/>
    </row>
    <row r="600" spans="1:6" ht="12.5">
      <c r="A600" s="1" t="str">
        <f ca="1">IFERROR(__xludf.DUMMYFUNCTION("""COMPUTED_VALUE"""),"20220311OHFAP")</f>
        <v>20220311OHFAP</v>
      </c>
      <c r="B600" s="1" t="str">
        <f ca="1">IFERROR(__xludf.DUMMYFUNCTION("""COMPUTED_VALUE"""),"None")</f>
        <v>None</v>
      </c>
      <c r="C600" s="1" t="str">
        <f ca="1">IFERROR(__xludf.DUMMYFUNCTION("""COMPUTED_VALUE"""),"Male")</f>
        <v>Male</v>
      </c>
      <c r="D600" s="1" t="str">
        <f ca="1">IFERROR(__xludf.DUMMYFUNCTION("""COMPUTED_VALUE"""),"No Relation")</f>
        <v>No Relation</v>
      </c>
      <c r="E600" s="1">
        <f ca="1">IFERROR(__xludf.DUMMYFUNCTION("""COMPUTED_VALUE"""),43)</f>
        <v>43</v>
      </c>
      <c r="F600" s="1"/>
    </row>
    <row r="601" spans="1:6" ht="12.5">
      <c r="A601" s="1" t="str">
        <f ca="1">IFERROR(__xludf.DUMMYFUNCTION("""COMPUTED_VALUE"""),"20220311CADER")</f>
        <v>20220311CADER</v>
      </c>
      <c r="B601" s="1" t="str">
        <f ca="1">IFERROR(__xludf.DUMMYFUNCTION("""COMPUTED_VALUE"""),"Non-gunshot Injury")</f>
        <v>Non-gunshot Injury</v>
      </c>
      <c r="C601" s="1" t="str">
        <f ca="1">IFERROR(__xludf.DUMMYFUNCTION("""COMPUTED_VALUE"""),"Male")</f>
        <v>Male</v>
      </c>
      <c r="D601" s="1" t="str">
        <f ca="1">IFERROR(__xludf.DUMMYFUNCTION("""COMPUTED_VALUE"""),"Student")</f>
        <v>Student</v>
      </c>
      <c r="E601" s="1" t="str">
        <f ca="1">IFERROR(__xludf.DUMMYFUNCTION("""COMPUTED_VALUE"""),"Teen")</f>
        <v>Teen</v>
      </c>
      <c r="F601" s="1"/>
    </row>
    <row r="602" spans="1:6" ht="12.5">
      <c r="A602" s="1" t="str">
        <f ca="1">IFERROR(__xludf.DUMMYFUNCTION("""COMPUTED_VALUE"""),"20220310TNHAM")</f>
        <v>20220310TNHAM</v>
      </c>
      <c r="B602" s="1" t="str">
        <f ca="1">IFERROR(__xludf.DUMMYFUNCTION("""COMPUTED_VALUE"""),"None")</f>
        <v>None</v>
      </c>
      <c r="C602" s="1"/>
      <c r="D602" s="1" t="str">
        <f ca="1">IFERROR(__xludf.DUMMYFUNCTION("""COMPUTED_VALUE"""),"Student")</f>
        <v>Student</v>
      </c>
      <c r="E602" s="1" t="str">
        <f ca="1">IFERROR(__xludf.DUMMYFUNCTION("""COMPUTED_VALUE"""),"Child")</f>
        <v>Child</v>
      </c>
      <c r="F602" s="1"/>
    </row>
    <row r="603" spans="1:6" ht="12.5">
      <c r="A603" s="1" t="str">
        <f ca="1">IFERROR(__xludf.DUMMYFUNCTION("""COMPUTED_VALUE"""),"20220310TNHAM")</f>
        <v>20220310TNHAM</v>
      </c>
      <c r="B603" s="1" t="str">
        <f ca="1">IFERROR(__xludf.DUMMYFUNCTION("""COMPUTED_VALUE"""),"None")</f>
        <v>None</v>
      </c>
      <c r="C603" s="1"/>
      <c r="D603" s="1" t="str">
        <f ca="1">IFERROR(__xludf.DUMMYFUNCTION("""COMPUTED_VALUE"""),"Student")</f>
        <v>Student</v>
      </c>
      <c r="E603" s="1" t="str">
        <f ca="1">IFERROR(__xludf.DUMMYFUNCTION("""COMPUTED_VALUE"""),"Child")</f>
        <v>Child</v>
      </c>
      <c r="F603" s="1"/>
    </row>
    <row r="604" spans="1:6" ht="12.5">
      <c r="A604" s="1" t="str">
        <f ca="1">IFERROR(__xludf.DUMMYFUNCTION("""COMPUTED_VALUE"""),"20220310TNHAM")</f>
        <v>20220310TNHAM</v>
      </c>
      <c r="B604" s="1" t="str">
        <f ca="1">IFERROR(__xludf.DUMMYFUNCTION("""COMPUTED_VALUE"""),"None")</f>
        <v>None</v>
      </c>
      <c r="C604" s="1"/>
      <c r="D604" s="1" t="str">
        <f ca="1">IFERROR(__xludf.DUMMYFUNCTION("""COMPUTED_VALUE"""),"Student")</f>
        <v>Student</v>
      </c>
      <c r="E604" s="1" t="str">
        <f ca="1">IFERROR(__xludf.DUMMYFUNCTION("""COMPUTED_VALUE"""),"Child")</f>
        <v>Child</v>
      </c>
      <c r="F604" s="1"/>
    </row>
    <row r="605" spans="1:6" ht="12.5">
      <c r="A605" s="1" t="str">
        <f ca="1">IFERROR(__xludf.DUMMYFUNCTION("""COMPUTED_VALUE"""),"20220310TNHAM")</f>
        <v>20220310TNHAM</v>
      </c>
      <c r="B605" s="1" t="str">
        <f ca="1">IFERROR(__xludf.DUMMYFUNCTION("""COMPUTED_VALUE"""),"None")</f>
        <v>None</v>
      </c>
      <c r="C605" s="1"/>
      <c r="D605" s="1" t="str">
        <f ca="1">IFERROR(__xludf.DUMMYFUNCTION("""COMPUTED_VALUE"""),"Student")</f>
        <v>Student</v>
      </c>
      <c r="E605" s="1" t="str">
        <f ca="1">IFERROR(__xludf.DUMMYFUNCTION("""COMPUTED_VALUE"""),"Child")</f>
        <v>Child</v>
      </c>
      <c r="F605" s="1"/>
    </row>
    <row r="606" spans="1:6" ht="12.5">
      <c r="A606" s="1" t="str">
        <f ca="1">IFERROR(__xludf.DUMMYFUNCTION("""COMPUTED_VALUE"""),"20220310TNHAM")</f>
        <v>20220310TNHAM</v>
      </c>
      <c r="B606" s="1" t="str">
        <f ca="1">IFERROR(__xludf.DUMMYFUNCTION("""COMPUTED_VALUE"""),"None")</f>
        <v>None</v>
      </c>
      <c r="C606" s="1"/>
      <c r="D606" s="1" t="str">
        <f ca="1">IFERROR(__xludf.DUMMYFUNCTION("""COMPUTED_VALUE"""),"Student")</f>
        <v>Student</v>
      </c>
      <c r="E606" s="1" t="str">
        <f ca="1">IFERROR(__xludf.DUMMYFUNCTION("""COMPUTED_VALUE"""),"Child")</f>
        <v>Child</v>
      </c>
      <c r="F606" s="1"/>
    </row>
    <row r="607" spans="1:6" ht="12.5">
      <c r="A607" s="1" t="str">
        <f ca="1">IFERROR(__xludf.DUMMYFUNCTION("""COMPUTED_VALUE"""),"20220310MDCOL")</f>
        <v>20220310MDCOL</v>
      </c>
      <c r="B607" s="1" t="str">
        <f ca="1">IFERROR(__xludf.DUMMYFUNCTION("""COMPUTED_VALUE"""),"Fatal")</f>
        <v>Fatal</v>
      </c>
      <c r="C607" s="1" t="str">
        <f ca="1">IFERROR(__xludf.DUMMYFUNCTION("""COMPUTED_VALUE"""),"Male")</f>
        <v>Male</v>
      </c>
      <c r="D607" s="1"/>
      <c r="E607" s="1" t="str">
        <f ca="1">IFERROR(__xludf.DUMMYFUNCTION("""COMPUTED_VALUE"""),"Adult")</f>
        <v>Adult</v>
      </c>
      <c r="F607" s="1"/>
    </row>
    <row r="608" spans="1:6" ht="12.5">
      <c r="A608" s="1" t="str">
        <f ca="1">IFERROR(__xludf.DUMMYFUNCTION("""COMPUTED_VALUE"""),"20220309TXNOH")</f>
        <v>20220309TXNOH</v>
      </c>
      <c r="B608" s="1" t="str">
        <f ca="1">IFERROR(__xludf.DUMMYFUNCTION("""COMPUTED_VALUE"""),"Wounded")</f>
        <v>Wounded</v>
      </c>
      <c r="C608" s="1" t="str">
        <f ca="1">IFERROR(__xludf.DUMMYFUNCTION("""COMPUTED_VALUE"""),"Female")</f>
        <v>Female</v>
      </c>
      <c r="D608" s="1" t="str">
        <f ca="1">IFERROR(__xludf.DUMMYFUNCTION("""COMPUTED_VALUE"""),"Student")</f>
        <v>Student</v>
      </c>
      <c r="E608" s="1">
        <f ca="1">IFERROR(__xludf.DUMMYFUNCTION("""COMPUTED_VALUE"""),17)</f>
        <v>17</v>
      </c>
      <c r="F608" s="1"/>
    </row>
    <row r="609" spans="1:6" ht="12.5">
      <c r="A609" s="1" t="str">
        <f ca="1">IFERROR(__xludf.DUMMYFUNCTION("""COMPUTED_VALUE"""),"20220309FLNOM")</f>
        <v>20220309FLNOM</v>
      </c>
      <c r="B609" s="1" t="str">
        <f ca="1">IFERROR(__xludf.DUMMYFUNCTION("""COMPUTED_VALUE"""),"Wounded")</f>
        <v>Wounded</v>
      </c>
      <c r="C609" s="1" t="str">
        <f ca="1">IFERROR(__xludf.DUMMYFUNCTION("""COMPUTED_VALUE"""),"Male")</f>
        <v>Male</v>
      </c>
      <c r="D609" s="1" t="str">
        <f ca="1">IFERROR(__xludf.DUMMYFUNCTION("""COMPUTED_VALUE"""),"Student")</f>
        <v>Student</v>
      </c>
      <c r="E609" s="1">
        <f ca="1">IFERROR(__xludf.DUMMYFUNCTION("""COMPUTED_VALUE"""),17)</f>
        <v>17</v>
      </c>
      <c r="F609" s="1"/>
    </row>
    <row r="610" spans="1:6" ht="12.5">
      <c r="A610" s="1" t="str">
        <f ca="1">IFERROR(__xludf.DUMMYFUNCTION("""COMPUTED_VALUE"""),"20220309FLNOM")</f>
        <v>20220309FLNOM</v>
      </c>
      <c r="B610" s="1" t="str">
        <f ca="1">IFERROR(__xludf.DUMMYFUNCTION("""COMPUTED_VALUE"""),"Wounded")</f>
        <v>Wounded</v>
      </c>
      <c r="C610" s="1" t="str">
        <f ca="1">IFERROR(__xludf.DUMMYFUNCTION("""COMPUTED_VALUE"""),"Male")</f>
        <v>Male</v>
      </c>
      <c r="D610" s="1" t="str">
        <f ca="1">IFERROR(__xludf.DUMMYFUNCTION("""COMPUTED_VALUE"""),"Student")</f>
        <v>Student</v>
      </c>
      <c r="E610" s="1">
        <f ca="1">IFERROR(__xludf.DUMMYFUNCTION("""COMPUTED_VALUE"""),18)</f>
        <v>18</v>
      </c>
      <c r="F610" s="1"/>
    </row>
    <row r="611" spans="1:6" ht="12.5">
      <c r="A611" s="1" t="str">
        <f ca="1">IFERROR(__xludf.DUMMYFUNCTION("""COMPUTED_VALUE"""),"20220309FLNOM")</f>
        <v>20220309FLNOM</v>
      </c>
      <c r="B611" s="1" t="str">
        <f ca="1">IFERROR(__xludf.DUMMYFUNCTION("""COMPUTED_VALUE"""),"Wounded")</f>
        <v>Wounded</v>
      </c>
      <c r="C611" s="1"/>
      <c r="D611" s="1" t="str">
        <f ca="1">IFERROR(__xludf.DUMMYFUNCTION("""COMPUTED_VALUE"""),"Student")</f>
        <v>Student</v>
      </c>
      <c r="E611" s="1" t="str">
        <f ca="1">IFERROR(__xludf.DUMMYFUNCTION("""COMPUTED_VALUE"""),"Teen")</f>
        <v>Teen</v>
      </c>
      <c r="F611" s="1"/>
    </row>
    <row r="612" spans="1:6" ht="12.5">
      <c r="A612" s="1" t="str">
        <f ca="1">IFERROR(__xludf.DUMMYFUNCTION("""COMPUTED_VALUE"""),"20220307IAEAD")</f>
        <v>20220307IAEAD</v>
      </c>
      <c r="B612" s="1" t="str">
        <f ca="1">IFERROR(__xludf.DUMMYFUNCTION("""COMPUTED_VALUE"""),"Fatal")</f>
        <v>Fatal</v>
      </c>
      <c r="C612" s="1" t="str">
        <f ca="1">IFERROR(__xludf.DUMMYFUNCTION("""COMPUTED_VALUE"""),"Male")</f>
        <v>Male</v>
      </c>
      <c r="D612" s="1" t="str">
        <f ca="1">IFERROR(__xludf.DUMMYFUNCTION("""COMPUTED_VALUE"""),"Former Student")</f>
        <v>Former Student</v>
      </c>
      <c r="E612" s="1">
        <f ca="1">IFERROR(__xludf.DUMMYFUNCTION("""COMPUTED_VALUE"""),15)</f>
        <v>15</v>
      </c>
      <c r="F612" s="1" t="str">
        <f ca="1">IFERROR(__xludf.DUMMYFUNCTION("""COMPUTED_VALUE"""),"Hispanic")</f>
        <v>Hispanic</v>
      </c>
    </row>
    <row r="613" spans="1:6" ht="12.5">
      <c r="A613" s="1" t="str">
        <f ca="1">IFERROR(__xludf.DUMMYFUNCTION("""COMPUTED_VALUE"""),"20220307IAEAD")</f>
        <v>20220307IAEAD</v>
      </c>
      <c r="B613" s="1" t="str">
        <f ca="1">IFERROR(__xludf.DUMMYFUNCTION("""COMPUTED_VALUE"""),"Wounded")</f>
        <v>Wounded</v>
      </c>
      <c r="C613" s="1" t="str">
        <f ca="1">IFERROR(__xludf.DUMMYFUNCTION("""COMPUTED_VALUE"""),"Female")</f>
        <v>Female</v>
      </c>
      <c r="D613" s="1" t="str">
        <f ca="1">IFERROR(__xludf.DUMMYFUNCTION("""COMPUTED_VALUE"""),"Student")</f>
        <v>Student</v>
      </c>
      <c r="E613" s="1">
        <f ca="1">IFERROR(__xludf.DUMMYFUNCTION("""COMPUTED_VALUE"""),16)</f>
        <v>16</v>
      </c>
      <c r="F613" s="1"/>
    </row>
    <row r="614" spans="1:6" ht="12.5">
      <c r="A614" s="1" t="str">
        <f ca="1">IFERROR(__xludf.DUMMYFUNCTION("""COMPUTED_VALUE"""),"20220307IAEAD")</f>
        <v>20220307IAEAD</v>
      </c>
      <c r="B614" s="1" t="str">
        <f ca="1">IFERROR(__xludf.DUMMYFUNCTION("""COMPUTED_VALUE"""),"Wounded")</f>
        <v>Wounded</v>
      </c>
      <c r="C614" s="1" t="str">
        <f ca="1">IFERROR(__xludf.DUMMYFUNCTION("""COMPUTED_VALUE"""),"Female")</f>
        <v>Female</v>
      </c>
      <c r="D614" s="1" t="str">
        <f ca="1">IFERROR(__xludf.DUMMYFUNCTION("""COMPUTED_VALUE"""),"Student")</f>
        <v>Student</v>
      </c>
      <c r="E614" s="1">
        <f ca="1">IFERROR(__xludf.DUMMYFUNCTION("""COMPUTED_VALUE"""),18)</f>
        <v>18</v>
      </c>
      <c r="F614" s="1"/>
    </row>
    <row r="615" spans="1:6" ht="12.5">
      <c r="A615" s="1" t="str">
        <f ca="1">IFERROR(__xludf.DUMMYFUNCTION("""COMPUTED_VALUE"""),"20220304KSOLO")</f>
        <v>20220304KSOLO</v>
      </c>
      <c r="B615" s="1" t="str">
        <f ca="1">IFERROR(__xludf.DUMMYFUNCTION("""COMPUTED_VALUE"""),"Wounded")</f>
        <v>Wounded</v>
      </c>
      <c r="C615" s="1" t="str">
        <f ca="1">IFERROR(__xludf.DUMMYFUNCTION("""COMPUTED_VALUE"""),"Male")</f>
        <v>Male</v>
      </c>
      <c r="D615" s="1" t="str">
        <f ca="1">IFERROR(__xludf.DUMMYFUNCTION("""COMPUTED_VALUE"""),"Principal/Vice-Principal")</f>
        <v>Principal/Vice-Principal</v>
      </c>
      <c r="E615" s="1" t="str">
        <f ca="1">IFERROR(__xludf.DUMMYFUNCTION("""COMPUTED_VALUE"""),"Adult")</f>
        <v>Adult</v>
      </c>
      <c r="F615" s="1"/>
    </row>
    <row r="616" spans="1:6" ht="12.5">
      <c r="A616" s="1" t="str">
        <f ca="1">IFERROR(__xludf.DUMMYFUNCTION("""COMPUTED_VALUE"""),"20220304KSOLO")</f>
        <v>20220304KSOLO</v>
      </c>
      <c r="B616" s="1" t="str">
        <f ca="1">IFERROR(__xludf.DUMMYFUNCTION("""COMPUTED_VALUE"""),"Wounded")</f>
        <v>Wounded</v>
      </c>
      <c r="C616" s="1" t="str">
        <f ca="1">IFERROR(__xludf.DUMMYFUNCTION("""COMPUTED_VALUE"""),"Male")</f>
        <v>Male</v>
      </c>
      <c r="D616" s="1" t="str">
        <f ca="1">IFERROR(__xludf.DUMMYFUNCTION("""COMPUTED_VALUE"""),"Police Officer/SRO")</f>
        <v>Police Officer/SRO</v>
      </c>
      <c r="E616" s="1" t="str">
        <f ca="1">IFERROR(__xludf.DUMMYFUNCTION("""COMPUTED_VALUE"""),"Adult")</f>
        <v>Adult</v>
      </c>
      <c r="F616" s="1"/>
    </row>
    <row r="617" spans="1:6" ht="12.5">
      <c r="A617" s="1" t="str">
        <f ca="1">IFERROR(__xludf.DUMMYFUNCTION("""COMPUTED_VALUE"""),"20220303MIJWL")</f>
        <v>20220303MIJWL</v>
      </c>
      <c r="B617" s="1" t="str">
        <f ca="1">IFERROR(__xludf.DUMMYFUNCTION("""COMPUTED_VALUE"""),"Wounded")</f>
        <v>Wounded</v>
      </c>
      <c r="C617" s="1" t="str">
        <f ca="1">IFERROR(__xludf.DUMMYFUNCTION("""COMPUTED_VALUE"""),"Male")</f>
        <v>Male</v>
      </c>
      <c r="D617" s="1"/>
      <c r="E617" s="1">
        <f ca="1">IFERROR(__xludf.DUMMYFUNCTION("""COMPUTED_VALUE"""),17)</f>
        <v>17</v>
      </c>
      <c r="F617" s="1"/>
    </row>
    <row r="618" spans="1:6" ht="12.5">
      <c r="A618" s="1" t="str">
        <f ca="1">IFERROR(__xludf.DUMMYFUNCTION("""COMPUTED_VALUE"""),"20220228NYBOB")</f>
        <v>20220228NYBOB</v>
      </c>
      <c r="B618" s="1" t="str">
        <f ca="1">IFERROR(__xludf.DUMMYFUNCTION("""COMPUTED_VALUE"""),"Wounded")</f>
        <v>Wounded</v>
      </c>
      <c r="C618" s="1" t="str">
        <f ca="1">IFERROR(__xludf.DUMMYFUNCTION("""COMPUTED_VALUE"""),"Male")</f>
        <v>Male</v>
      </c>
      <c r="D618" s="1" t="str">
        <f ca="1">IFERROR(__xludf.DUMMYFUNCTION("""COMPUTED_VALUE"""),"Student")</f>
        <v>Student</v>
      </c>
      <c r="E618" s="1">
        <f ca="1">IFERROR(__xludf.DUMMYFUNCTION("""COMPUTED_VALUE"""),14)</f>
        <v>14</v>
      </c>
      <c r="F618" s="1"/>
    </row>
    <row r="619" spans="1:6" ht="12.5">
      <c r="A619" s="1" t="str">
        <f ca="1">IFERROR(__xludf.DUMMYFUNCTION("""COMPUTED_VALUE"""),"20220227DCDUW")</f>
        <v>20220227DCDUW</v>
      </c>
      <c r="B619" s="1" t="str">
        <f ca="1">IFERROR(__xludf.DUMMYFUNCTION("""COMPUTED_VALUE"""),"Fatal")</f>
        <v>Fatal</v>
      </c>
      <c r="C619" s="1" t="str">
        <f ca="1">IFERROR(__xludf.DUMMYFUNCTION("""COMPUTED_VALUE"""),"Male")</f>
        <v>Male</v>
      </c>
      <c r="D619" s="1" t="str">
        <f ca="1">IFERROR(__xludf.DUMMYFUNCTION("""COMPUTED_VALUE"""),"No Relation")</f>
        <v>No Relation</v>
      </c>
      <c r="E619" s="1">
        <f ca="1">IFERROR(__xludf.DUMMYFUNCTION("""COMPUTED_VALUE"""),32)</f>
        <v>32</v>
      </c>
      <c r="F619" s="1"/>
    </row>
    <row r="620" spans="1:6" ht="12.5">
      <c r="A620" s="1" t="str">
        <f ca="1">IFERROR(__xludf.DUMMYFUNCTION("""COMPUTED_VALUE"""),"20220225NMWEA")</f>
        <v>20220225NMWEA</v>
      </c>
      <c r="B620" s="1" t="str">
        <f ca="1">IFERROR(__xludf.DUMMYFUNCTION("""COMPUTED_VALUE"""),"Fatal")</f>
        <v>Fatal</v>
      </c>
      <c r="C620" s="1" t="str">
        <f ca="1">IFERROR(__xludf.DUMMYFUNCTION("""COMPUTED_VALUE"""),"Male")</f>
        <v>Male</v>
      </c>
      <c r="D620" s="1" t="str">
        <f ca="1">IFERROR(__xludf.DUMMYFUNCTION("""COMPUTED_VALUE"""),"Student")</f>
        <v>Student</v>
      </c>
      <c r="E620" s="1">
        <f ca="1">IFERROR(__xludf.DUMMYFUNCTION("""COMPUTED_VALUE"""),16)</f>
        <v>16</v>
      </c>
      <c r="F620" s="1"/>
    </row>
    <row r="621" spans="1:6" ht="12.5">
      <c r="A621" s="1" t="str">
        <f ca="1">IFERROR(__xludf.DUMMYFUNCTION("""COMPUTED_VALUE"""),"20220222TXALH")</f>
        <v>20220222TXALH</v>
      </c>
      <c r="B621" s="1" t="str">
        <f ca="1">IFERROR(__xludf.DUMMYFUNCTION("""COMPUTED_VALUE"""),"Fatal")</f>
        <v>Fatal</v>
      </c>
      <c r="C621" s="1" t="str">
        <f ca="1">IFERROR(__xludf.DUMMYFUNCTION("""COMPUTED_VALUE"""),"Male")</f>
        <v>Male</v>
      </c>
      <c r="D621" s="1" t="str">
        <f ca="1">IFERROR(__xludf.DUMMYFUNCTION("""COMPUTED_VALUE"""),"No Relation")</f>
        <v>No Relation</v>
      </c>
      <c r="E621" s="1" t="str">
        <f ca="1">IFERROR(__xludf.DUMMYFUNCTION("""COMPUTED_VALUE"""),"Adult")</f>
        <v>Adult</v>
      </c>
      <c r="F621" s="1"/>
    </row>
    <row r="622" spans="1:6" ht="12.5">
      <c r="A622" s="1" t="str">
        <f ca="1">IFERROR(__xludf.DUMMYFUNCTION("""COMPUTED_VALUE"""),"20220222COLIP")</f>
        <v>20220222COLIP</v>
      </c>
      <c r="B622" s="1" t="str">
        <f ca="1">IFERROR(__xludf.DUMMYFUNCTION("""COMPUTED_VALUE"""),"Fatal")</f>
        <v>Fatal</v>
      </c>
      <c r="C622" s="1" t="str">
        <f ca="1">IFERROR(__xludf.DUMMYFUNCTION("""COMPUTED_VALUE"""),"Male")</f>
        <v>Male</v>
      </c>
      <c r="D622" s="1" t="str">
        <f ca="1">IFERROR(__xludf.DUMMYFUNCTION("""COMPUTED_VALUE"""),"No Relation")</f>
        <v>No Relation</v>
      </c>
      <c r="E622" s="1" t="str">
        <f ca="1">IFERROR(__xludf.DUMMYFUNCTION("""COMPUTED_VALUE"""),"Adult")</f>
        <v>Adult</v>
      </c>
      <c r="F622" s="1"/>
    </row>
    <row r="623" spans="1:6" ht="12.5">
      <c r="A623" s="1" t="str">
        <f ca="1">IFERROR(__xludf.DUMMYFUNCTION("""COMPUTED_VALUE"""),"20220221MDJOH")</f>
        <v>20220221MDJOH</v>
      </c>
      <c r="B623" s="1" t="str">
        <f ca="1">IFERROR(__xludf.DUMMYFUNCTION("""COMPUTED_VALUE"""),"Fatal")</f>
        <v>Fatal</v>
      </c>
      <c r="C623" s="1" t="str">
        <f ca="1">IFERROR(__xludf.DUMMYFUNCTION("""COMPUTED_VALUE"""),"Male")</f>
        <v>Male</v>
      </c>
      <c r="D623" s="1" t="str">
        <f ca="1">IFERROR(__xludf.DUMMYFUNCTION("""COMPUTED_VALUE"""),"No Relation")</f>
        <v>No Relation</v>
      </c>
      <c r="E623" s="1">
        <f ca="1">IFERROR(__xludf.DUMMYFUNCTION("""COMPUTED_VALUE"""),18)</f>
        <v>18</v>
      </c>
      <c r="F623" s="1"/>
    </row>
    <row r="624" spans="1:6" ht="12.5">
      <c r="A624" s="1" t="str">
        <f ca="1">IFERROR(__xludf.DUMMYFUNCTION("""COMPUTED_VALUE"""),"20220220OKWIW")</f>
        <v>20220220OKWIW</v>
      </c>
      <c r="B624" s="1" t="str">
        <f ca="1">IFERROR(__xludf.DUMMYFUNCTION("""COMPUTED_VALUE"""),"Wounded")</f>
        <v>Wounded</v>
      </c>
      <c r="C624" s="1" t="str">
        <f ca="1">IFERROR(__xludf.DUMMYFUNCTION("""COMPUTED_VALUE"""),"Male")</f>
        <v>Male</v>
      </c>
      <c r="D624" s="1" t="str">
        <f ca="1">IFERROR(__xludf.DUMMYFUNCTION("""COMPUTED_VALUE"""),"Police Officer/SRO")</f>
        <v>Police Officer/SRO</v>
      </c>
      <c r="E624" s="1" t="str">
        <f ca="1">IFERROR(__xludf.DUMMYFUNCTION("""COMPUTED_VALUE"""),"Adult")</f>
        <v>Adult</v>
      </c>
      <c r="F624" s="1"/>
    </row>
    <row r="625" spans="1:6" ht="12.5">
      <c r="A625" s="1" t="str">
        <f ca="1">IFERROR(__xludf.DUMMYFUNCTION("""COMPUTED_VALUE"""),"20220220MSMCM")</f>
        <v>20220220MSMCM</v>
      </c>
      <c r="B625" s="1" t="str">
        <f ca="1">IFERROR(__xludf.DUMMYFUNCTION("""COMPUTED_VALUE"""),"Wounded")</f>
        <v>Wounded</v>
      </c>
      <c r="C625" s="1"/>
      <c r="D625" s="1"/>
      <c r="E625" s="1"/>
      <c r="F625" s="1"/>
    </row>
    <row r="626" spans="1:6" ht="12.5">
      <c r="A626" s="1" t="str">
        <f ca="1">IFERROR(__xludf.DUMMYFUNCTION("""COMPUTED_VALUE"""),"20220220MSMCM")</f>
        <v>20220220MSMCM</v>
      </c>
      <c r="B626" s="1" t="str">
        <f ca="1">IFERROR(__xludf.DUMMYFUNCTION("""COMPUTED_VALUE"""),"Wounded")</f>
        <v>Wounded</v>
      </c>
      <c r="C626" s="1"/>
      <c r="D626" s="1"/>
      <c r="E626" s="1"/>
      <c r="F626" s="1"/>
    </row>
    <row r="627" spans="1:6" ht="12.5">
      <c r="A627" s="1" t="str">
        <f ca="1">IFERROR(__xludf.DUMMYFUNCTION("""COMPUTED_VALUE"""),"20220220MSMCM")</f>
        <v>20220220MSMCM</v>
      </c>
      <c r="B627" s="1" t="str">
        <f ca="1">IFERROR(__xludf.DUMMYFUNCTION("""COMPUTED_VALUE"""),"Wounded")</f>
        <v>Wounded</v>
      </c>
      <c r="C627" s="1"/>
      <c r="D627" s="1"/>
      <c r="E627" s="1"/>
      <c r="F627" s="1"/>
    </row>
    <row r="628" spans="1:6" ht="12.5">
      <c r="A628" s="1" t="str">
        <f ca="1">IFERROR(__xludf.DUMMYFUNCTION("""COMPUTED_VALUE"""),"20220220MSMCM")</f>
        <v>20220220MSMCM</v>
      </c>
      <c r="B628" s="1" t="str">
        <f ca="1">IFERROR(__xludf.DUMMYFUNCTION("""COMPUTED_VALUE"""),"Wounded")</f>
        <v>Wounded</v>
      </c>
      <c r="C628" s="1"/>
      <c r="D628" s="1"/>
      <c r="E628" s="1"/>
      <c r="F628" s="1"/>
    </row>
    <row r="629" spans="1:6" ht="12.5">
      <c r="A629" s="1" t="str">
        <f ca="1">IFERROR(__xludf.DUMMYFUNCTION("""COMPUTED_VALUE"""),"20220220MSMCM")</f>
        <v>20220220MSMCM</v>
      </c>
      <c r="B629" s="1" t="str">
        <f ca="1">IFERROR(__xludf.DUMMYFUNCTION("""COMPUTED_VALUE"""),"Fatal")</f>
        <v>Fatal</v>
      </c>
      <c r="C629" s="1" t="str">
        <f ca="1">IFERROR(__xludf.DUMMYFUNCTION("""COMPUTED_VALUE"""),"Male")</f>
        <v>Male</v>
      </c>
      <c r="D629" s="1" t="str">
        <f ca="1">IFERROR(__xludf.DUMMYFUNCTION("""COMPUTED_VALUE"""),"Nonstudent Using Athletic Facilities/Attending Game")</f>
        <v>Nonstudent Using Athletic Facilities/Attending Game</v>
      </c>
      <c r="E629" s="1">
        <f ca="1">IFERROR(__xludf.DUMMYFUNCTION("""COMPUTED_VALUE"""),6)</f>
        <v>6</v>
      </c>
      <c r="F629" s="1"/>
    </row>
    <row r="630" spans="1:6" ht="12.5">
      <c r="A630" s="1" t="str">
        <f ca="1">IFERROR(__xludf.DUMMYFUNCTION("""COMPUTED_VALUE"""),"20220219VACAC")</f>
        <v>20220219VACAC</v>
      </c>
      <c r="B630" s="1" t="str">
        <f ca="1">IFERROR(__xludf.DUMMYFUNCTION("""COMPUTED_VALUE"""),"Fatal")</f>
        <v>Fatal</v>
      </c>
      <c r="C630" s="1" t="str">
        <f ca="1">IFERROR(__xludf.DUMMYFUNCTION("""COMPUTED_VALUE"""),"Male")</f>
        <v>Male</v>
      </c>
      <c r="D630" s="1"/>
      <c r="E630" s="1">
        <f ca="1">IFERROR(__xludf.DUMMYFUNCTION("""COMPUTED_VALUE"""),17)</f>
        <v>17</v>
      </c>
      <c r="F630" s="1"/>
    </row>
    <row r="631" spans="1:6" ht="12.5">
      <c r="A631" s="1" t="str">
        <f ca="1">IFERROR(__xludf.DUMMYFUNCTION("""COMPUTED_VALUE"""),"20220218MATET")</f>
        <v>20220218MATET</v>
      </c>
      <c r="B631" s="1" t="str">
        <f ca="1">IFERROR(__xludf.DUMMYFUNCTION("""COMPUTED_VALUE"""),"Non-gunshot Injury")</f>
        <v>Non-gunshot Injury</v>
      </c>
      <c r="C631" s="1"/>
      <c r="D631" s="1" t="str">
        <f ca="1">IFERROR(__xludf.DUMMYFUNCTION("""COMPUTED_VALUE"""),"Student")</f>
        <v>Student</v>
      </c>
      <c r="E631" s="1" t="str">
        <f ca="1">IFERROR(__xludf.DUMMYFUNCTION("""COMPUTED_VALUE"""),"Teen")</f>
        <v>Teen</v>
      </c>
      <c r="F631" s="1"/>
    </row>
    <row r="632" spans="1:6" ht="12.5">
      <c r="A632" s="1" t="str">
        <f ca="1">IFERROR(__xludf.DUMMYFUNCTION("""COMPUTED_VALUE"""),"20220218MATET")</f>
        <v>20220218MATET</v>
      </c>
      <c r="B632" s="1" t="str">
        <f ca="1">IFERROR(__xludf.DUMMYFUNCTION("""COMPUTED_VALUE"""),"Non-gunshot Injury")</f>
        <v>Non-gunshot Injury</v>
      </c>
      <c r="C632" s="1" t="str">
        <f ca="1">IFERROR(__xludf.DUMMYFUNCTION("""COMPUTED_VALUE"""),"Female")</f>
        <v>Female</v>
      </c>
      <c r="D632" s="1" t="str">
        <f ca="1">IFERROR(__xludf.DUMMYFUNCTION("""COMPUTED_VALUE"""),"Student")</f>
        <v>Student</v>
      </c>
      <c r="E632" s="1" t="str">
        <f ca="1">IFERROR(__xludf.DUMMYFUNCTION("""COMPUTED_VALUE"""),"Teen")</f>
        <v>Teen</v>
      </c>
      <c r="F632" s="1"/>
    </row>
    <row r="633" spans="1:6" ht="12.5">
      <c r="A633" s="1" t="str">
        <f ca="1">IFERROR(__xludf.DUMMYFUNCTION("""COMPUTED_VALUE"""),"20220218MATET")</f>
        <v>20220218MATET</v>
      </c>
      <c r="B633" s="1" t="str">
        <f ca="1">IFERROR(__xludf.DUMMYFUNCTION("""COMPUTED_VALUE"""),"Non-gunshot Injury")</f>
        <v>Non-gunshot Injury</v>
      </c>
      <c r="C633" s="1"/>
      <c r="D633" s="1" t="str">
        <f ca="1">IFERROR(__xludf.DUMMYFUNCTION("""COMPUTED_VALUE"""),"Student")</f>
        <v>Student</v>
      </c>
      <c r="E633" s="1" t="str">
        <f ca="1">IFERROR(__xludf.DUMMYFUNCTION("""COMPUTED_VALUE"""),"Teen")</f>
        <v>Teen</v>
      </c>
      <c r="F633" s="1"/>
    </row>
    <row r="634" spans="1:6" ht="12.5">
      <c r="A634" s="1" t="str">
        <f ca="1">IFERROR(__xludf.DUMMYFUNCTION("""COMPUTED_VALUE"""),"20220218MATET")</f>
        <v>20220218MATET</v>
      </c>
      <c r="B634" s="1" t="str">
        <f ca="1">IFERROR(__xludf.DUMMYFUNCTION("""COMPUTED_VALUE"""),"Non-gunshot Injury")</f>
        <v>Non-gunshot Injury</v>
      </c>
      <c r="C634" s="1"/>
      <c r="D634" s="1" t="str">
        <f ca="1">IFERROR(__xludf.DUMMYFUNCTION("""COMPUTED_VALUE"""),"Student")</f>
        <v>Student</v>
      </c>
      <c r="E634" s="1" t="str">
        <f ca="1">IFERROR(__xludf.DUMMYFUNCTION("""COMPUTED_VALUE"""),"Teen")</f>
        <v>Teen</v>
      </c>
      <c r="F634" s="1"/>
    </row>
    <row r="635" spans="1:6" ht="12.5">
      <c r="A635" s="1" t="str">
        <f ca="1">IFERROR(__xludf.DUMMYFUNCTION("""COMPUTED_VALUE"""),"20220218MATET")</f>
        <v>20220218MATET</v>
      </c>
      <c r="B635" s="1" t="str">
        <f ca="1">IFERROR(__xludf.DUMMYFUNCTION("""COMPUTED_VALUE"""),"Non-gunshot Injury")</f>
        <v>Non-gunshot Injury</v>
      </c>
      <c r="C635" s="1"/>
      <c r="D635" s="1" t="str">
        <f ca="1">IFERROR(__xludf.DUMMYFUNCTION("""COMPUTED_VALUE"""),"Student")</f>
        <v>Student</v>
      </c>
      <c r="E635" s="1" t="str">
        <f ca="1">IFERROR(__xludf.DUMMYFUNCTION("""COMPUTED_VALUE"""),"Teen")</f>
        <v>Teen</v>
      </c>
      <c r="F635" s="1"/>
    </row>
    <row r="636" spans="1:6" ht="12.5">
      <c r="A636" s="1" t="str">
        <f ca="1">IFERROR(__xludf.DUMMYFUNCTION("""COMPUTED_VALUE"""),"20220218MATET")</f>
        <v>20220218MATET</v>
      </c>
      <c r="B636" s="1" t="str">
        <f ca="1">IFERROR(__xludf.DUMMYFUNCTION("""COMPUTED_VALUE"""),"Non-gunshot Injury")</f>
        <v>Non-gunshot Injury</v>
      </c>
      <c r="C636" s="1"/>
      <c r="D636" s="1" t="str">
        <f ca="1">IFERROR(__xludf.DUMMYFUNCTION("""COMPUTED_VALUE"""),"Student")</f>
        <v>Student</v>
      </c>
      <c r="E636" s="1" t="str">
        <f ca="1">IFERROR(__xludf.DUMMYFUNCTION("""COMPUTED_VALUE"""),"Teen")</f>
        <v>Teen</v>
      </c>
      <c r="F636" s="1"/>
    </row>
    <row r="637" spans="1:6" ht="12.5">
      <c r="A637" s="1" t="str">
        <f ca="1">IFERROR(__xludf.DUMMYFUNCTION("""COMPUTED_VALUE"""),"20220218MATET")</f>
        <v>20220218MATET</v>
      </c>
      <c r="B637" s="1" t="str">
        <f ca="1">IFERROR(__xludf.DUMMYFUNCTION("""COMPUTED_VALUE"""),"Non-gunshot Injury")</f>
        <v>Non-gunshot Injury</v>
      </c>
      <c r="C637" s="1"/>
      <c r="D637" s="1" t="str">
        <f ca="1">IFERROR(__xludf.DUMMYFUNCTION("""COMPUTED_VALUE"""),"Student")</f>
        <v>Student</v>
      </c>
      <c r="E637" s="1" t="str">
        <f ca="1">IFERROR(__xludf.DUMMYFUNCTION("""COMPUTED_VALUE"""),"Teen")</f>
        <v>Teen</v>
      </c>
      <c r="F637" s="1"/>
    </row>
    <row r="638" spans="1:6" ht="12.5">
      <c r="A638" s="1" t="str">
        <f ca="1">IFERROR(__xludf.DUMMYFUNCTION("""COMPUTED_VALUE"""),"20220217WAMCG")</f>
        <v>20220217WAMCG</v>
      </c>
      <c r="B638" s="1" t="str">
        <f ca="1">IFERROR(__xludf.DUMMYFUNCTION("""COMPUTED_VALUE"""),"Wounded")</f>
        <v>Wounded</v>
      </c>
      <c r="C638" s="1" t="str">
        <f ca="1">IFERROR(__xludf.DUMMYFUNCTION("""COMPUTED_VALUE"""),"Male")</f>
        <v>Male</v>
      </c>
      <c r="D638" s="1" t="str">
        <f ca="1">IFERROR(__xludf.DUMMYFUNCTION("""COMPUTED_VALUE"""),"Gang Member")</f>
        <v>Gang Member</v>
      </c>
      <c r="E638" s="1" t="str">
        <f ca="1">IFERROR(__xludf.DUMMYFUNCTION("""COMPUTED_VALUE"""),"Adult")</f>
        <v>Adult</v>
      </c>
      <c r="F638" s="1"/>
    </row>
    <row r="639" spans="1:6" ht="12.5">
      <c r="A639" s="1" t="str">
        <f ca="1">IFERROR(__xludf.DUMMYFUNCTION("""COMPUTED_VALUE"""),"20220211DCEAW")</f>
        <v>20220211DCEAW</v>
      </c>
      <c r="B639" s="1" t="str">
        <f ca="1">IFERROR(__xludf.DUMMYFUNCTION("""COMPUTED_VALUE"""),"Wounded")</f>
        <v>Wounded</v>
      </c>
      <c r="C639" s="1" t="str">
        <f ca="1">IFERROR(__xludf.DUMMYFUNCTION("""COMPUTED_VALUE"""),"Male")</f>
        <v>Male</v>
      </c>
      <c r="D639" s="1"/>
      <c r="E639" s="1" t="str">
        <f ca="1">IFERROR(__xludf.DUMMYFUNCTION("""COMPUTED_VALUE"""),"Adult")</f>
        <v>Adult</v>
      </c>
      <c r="F639" s="1"/>
    </row>
    <row r="640" spans="1:6" ht="12.5">
      <c r="A640" s="1" t="str">
        <f ca="1">IFERROR(__xludf.DUMMYFUNCTION("""COMPUTED_VALUE"""),"20220209NYMCB")</f>
        <v>20220209NYMCB</v>
      </c>
      <c r="B640" s="1" t="str">
        <f ca="1">IFERROR(__xludf.DUMMYFUNCTION("""COMPUTED_VALUE"""),"Wounded")</f>
        <v>Wounded</v>
      </c>
      <c r="C640" s="1" t="str">
        <f ca="1">IFERROR(__xludf.DUMMYFUNCTION("""COMPUTED_VALUE"""),"Male")</f>
        <v>Male</v>
      </c>
      <c r="D640" s="1" t="str">
        <f ca="1">IFERROR(__xludf.DUMMYFUNCTION("""COMPUTED_VALUE"""),"Police Officer/SRO")</f>
        <v>Police Officer/SRO</v>
      </c>
      <c r="E640" s="1" t="str">
        <f ca="1">IFERROR(__xludf.DUMMYFUNCTION("""COMPUTED_VALUE"""),"Adult")</f>
        <v>Adult</v>
      </c>
      <c r="F640" s="1"/>
    </row>
    <row r="641" spans="1:6" ht="12.5">
      <c r="A641" s="1" t="str">
        <f ca="1">IFERROR(__xludf.DUMMYFUNCTION("""COMPUTED_VALUE"""),"20220209NYMCB")</f>
        <v>20220209NYMCB</v>
      </c>
      <c r="B641" s="1" t="str">
        <f ca="1">IFERROR(__xludf.DUMMYFUNCTION("""COMPUTED_VALUE"""),"Wounded")</f>
        <v>Wounded</v>
      </c>
      <c r="C641" s="1" t="str">
        <f ca="1">IFERROR(__xludf.DUMMYFUNCTION("""COMPUTED_VALUE"""),"Male")</f>
        <v>Male</v>
      </c>
      <c r="D641" s="1" t="str">
        <f ca="1">IFERROR(__xludf.DUMMYFUNCTION("""COMPUTED_VALUE"""),"Student")</f>
        <v>Student</v>
      </c>
      <c r="E641" s="1">
        <f ca="1">IFERROR(__xludf.DUMMYFUNCTION("""COMPUTED_VALUE"""),13)</f>
        <v>13</v>
      </c>
      <c r="F641" s="1"/>
    </row>
    <row r="642" spans="1:6" ht="12.5">
      <c r="A642" s="1" t="str">
        <f ca="1">IFERROR(__xludf.DUMMYFUNCTION("""COMPUTED_VALUE"""),"20220209MNMIM")</f>
        <v>20220209MNMIM</v>
      </c>
      <c r="B642" s="1" t="str">
        <f ca="1">IFERROR(__xludf.DUMMYFUNCTION("""COMPUTED_VALUE"""),"Wounded")</f>
        <v>Wounded</v>
      </c>
      <c r="C642" s="1"/>
      <c r="D642" s="1" t="str">
        <f ca="1">IFERROR(__xludf.DUMMYFUNCTION("""COMPUTED_VALUE"""),"Bus Driver")</f>
        <v>Bus Driver</v>
      </c>
      <c r="E642" s="1" t="str">
        <f ca="1">IFERROR(__xludf.DUMMYFUNCTION("""COMPUTED_VALUE"""),"Adult")</f>
        <v>Adult</v>
      </c>
      <c r="F642" s="1"/>
    </row>
    <row r="643" spans="1:6" ht="12.5">
      <c r="A643" s="1" t="str">
        <f ca="1">IFERROR(__xludf.DUMMYFUNCTION("""COMPUTED_VALUE"""),"20220208MDCAC")</f>
        <v>20220208MDCAC</v>
      </c>
      <c r="B643" s="1" t="str">
        <f ca="1">IFERROR(__xludf.DUMMYFUNCTION("""COMPUTED_VALUE"""),"Wounded")</f>
        <v>Wounded</v>
      </c>
      <c r="C643" s="1" t="str">
        <f ca="1">IFERROR(__xludf.DUMMYFUNCTION("""COMPUTED_VALUE"""),"Male")</f>
        <v>Male</v>
      </c>
      <c r="D643" s="1" t="str">
        <f ca="1">IFERROR(__xludf.DUMMYFUNCTION("""COMPUTED_VALUE"""),"Student")</f>
        <v>Student</v>
      </c>
      <c r="E643" s="1">
        <f ca="1">IFERROR(__xludf.DUMMYFUNCTION("""COMPUTED_VALUE"""),16)</f>
        <v>16</v>
      </c>
      <c r="F643" s="1"/>
    </row>
    <row r="644" spans="1:6" ht="12.5">
      <c r="A644" s="1" t="str">
        <f ca="1">IFERROR(__xludf.DUMMYFUNCTION("""COMPUTED_VALUE"""),"20220208MDCAC")</f>
        <v>20220208MDCAC</v>
      </c>
      <c r="B644" s="1" t="str">
        <f ca="1">IFERROR(__xludf.DUMMYFUNCTION("""COMPUTED_VALUE"""),"Wounded")</f>
        <v>Wounded</v>
      </c>
      <c r="C644" s="1"/>
      <c r="D644" s="1" t="str">
        <f ca="1">IFERROR(__xludf.DUMMYFUNCTION("""COMPUTED_VALUE"""),"Student")</f>
        <v>Student</v>
      </c>
      <c r="E644" s="1">
        <f ca="1">IFERROR(__xludf.DUMMYFUNCTION("""COMPUTED_VALUE"""),16)</f>
        <v>16</v>
      </c>
      <c r="F644" s="1"/>
    </row>
    <row r="645" spans="1:6" ht="12.5">
      <c r="A645" s="1" t="str">
        <f ca="1">IFERROR(__xludf.DUMMYFUNCTION("""COMPUTED_VALUE"""),"20220204ALWEB")</f>
        <v>20220204ALWEB</v>
      </c>
      <c r="B645" s="1" t="str">
        <f ca="1">IFERROR(__xludf.DUMMYFUNCTION("""COMPUTED_VALUE"""),"Wounded")</f>
        <v>Wounded</v>
      </c>
      <c r="C645" s="1"/>
      <c r="D645" s="1" t="str">
        <f ca="1">IFERROR(__xludf.DUMMYFUNCTION("""COMPUTED_VALUE"""),"Student")</f>
        <v>Student</v>
      </c>
      <c r="E645" s="1">
        <f ca="1">IFERROR(__xludf.DUMMYFUNCTION("""COMPUTED_VALUE"""),16)</f>
        <v>16</v>
      </c>
      <c r="F645" s="1"/>
    </row>
    <row r="646" spans="1:6" ht="12.5">
      <c r="A646" s="1" t="str">
        <f ca="1">IFERROR(__xludf.DUMMYFUNCTION("""COMPUTED_VALUE"""),"20220201WIRUM")</f>
        <v>20220201WIRUM</v>
      </c>
      <c r="B646" s="1" t="str">
        <f ca="1">IFERROR(__xludf.DUMMYFUNCTION("""COMPUTED_VALUE"""),"Wounded")</f>
        <v>Wounded</v>
      </c>
      <c r="C646" s="1" t="str">
        <f ca="1">IFERROR(__xludf.DUMMYFUNCTION("""COMPUTED_VALUE"""),"Female")</f>
        <v>Female</v>
      </c>
      <c r="D646" s="1" t="str">
        <f ca="1">IFERROR(__xludf.DUMMYFUNCTION("""COMPUTED_VALUE"""),"Student")</f>
        <v>Student</v>
      </c>
      <c r="E646" s="1">
        <f ca="1">IFERROR(__xludf.DUMMYFUNCTION("""COMPUTED_VALUE"""),15)</f>
        <v>15</v>
      </c>
      <c r="F646" s="1"/>
    </row>
    <row r="647" spans="1:6" ht="12.5">
      <c r="A647" s="1" t="str">
        <f ca="1">IFERROR(__xludf.DUMMYFUNCTION("""COMPUTED_VALUE"""),"20220201WIRUM")</f>
        <v>20220201WIRUM</v>
      </c>
      <c r="B647" s="1" t="str">
        <f ca="1">IFERROR(__xludf.DUMMYFUNCTION("""COMPUTED_VALUE"""),"Wounded")</f>
        <v>Wounded</v>
      </c>
      <c r="C647" s="1" t="str">
        <f ca="1">IFERROR(__xludf.DUMMYFUNCTION("""COMPUTED_VALUE"""),"Female")</f>
        <v>Female</v>
      </c>
      <c r="D647" s="1" t="str">
        <f ca="1">IFERROR(__xludf.DUMMYFUNCTION("""COMPUTED_VALUE"""),"Student")</f>
        <v>Student</v>
      </c>
      <c r="E647" s="1">
        <f ca="1">IFERROR(__xludf.DUMMYFUNCTION("""COMPUTED_VALUE"""),15)</f>
        <v>15</v>
      </c>
      <c r="F647" s="1"/>
    </row>
    <row r="648" spans="1:6" ht="12.5">
      <c r="A648" s="1" t="str">
        <f ca="1">IFERROR(__xludf.DUMMYFUNCTION("""COMPUTED_VALUE"""),"20220201WIRUM")</f>
        <v>20220201WIRUM</v>
      </c>
      <c r="B648" s="1" t="str">
        <f ca="1">IFERROR(__xludf.DUMMYFUNCTION("""COMPUTED_VALUE"""),"Wounded")</f>
        <v>Wounded</v>
      </c>
      <c r="C648" s="1" t="str">
        <f ca="1">IFERROR(__xludf.DUMMYFUNCTION("""COMPUTED_VALUE"""),"Female")</f>
        <v>Female</v>
      </c>
      <c r="D648" s="1" t="str">
        <f ca="1">IFERROR(__xludf.DUMMYFUNCTION("""COMPUTED_VALUE"""),"Student")</f>
        <v>Student</v>
      </c>
      <c r="E648" s="1">
        <f ca="1">IFERROR(__xludf.DUMMYFUNCTION("""COMPUTED_VALUE"""),16)</f>
        <v>16</v>
      </c>
      <c r="F648" s="1"/>
    </row>
    <row r="649" spans="1:6" ht="12.5">
      <c r="A649" s="1" t="str">
        <f ca="1">IFERROR(__xludf.DUMMYFUNCTION("""COMPUTED_VALUE"""),"20220201WIRUM")</f>
        <v>20220201WIRUM</v>
      </c>
      <c r="B649" s="1" t="str">
        <f ca="1">IFERROR(__xludf.DUMMYFUNCTION("""COMPUTED_VALUE"""),"Wounded")</f>
        <v>Wounded</v>
      </c>
      <c r="C649" s="1" t="str">
        <f ca="1">IFERROR(__xludf.DUMMYFUNCTION("""COMPUTED_VALUE"""),"Female")</f>
        <v>Female</v>
      </c>
      <c r="D649" s="1" t="str">
        <f ca="1">IFERROR(__xludf.DUMMYFUNCTION("""COMPUTED_VALUE"""),"Student")</f>
        <v>Student</v>
      </c>
      <c r="E649" s="1">
        <f ca="1">IFERROR(__xludf.DUMMYFUNCTION("""COMPUTED_VALUE"""),17)</f>
        <v>17</v>
      </c>
      <c r="F649" s="1"/>
    </row>
    <row r="650" spans="1:6" ht="12.5">
      <c r="A650" s="1" t="str">
        <f ca="1">IFERROR(__xludf.DUMMYFUNCTION("""COMPUTED_VALUE"""),"20220201WIRUM")</f>
        <v>20220201WIRUM</v>
      </c>
      <c r="B650" s="1" t="str">
        <f ca="1">IFERROR(__xludf.DUMMYFUNCTION("""COMPUTED_VALUE"""),"Wounded")</f>
        <v>Wounded</v>
      </c>
      <c r="C650" s="1" t="str">
        <f ca="1">IFERROR(__xludf.DUMMYFUNCTION("""COMPUTED_VALUE"""),"Female")</f>
        <v>Female</v>
      </c>
      <c r="D650" s="1" t="str">
        <f ca="1">IFERROR(__xludf.DUMMYFUNCTION("""COMPUTED_VALUE"""),"Nonstudent Using Athletic Facilities/Attending Game")</f>
        <v>Nonstudent Using Athletic Facilities/Attending Game</v>
      </c>
      <c r="E650" s="1">
        <f ca="1">IFERROR(__xludf.DUMMYFUNCTION("""COMPUTED_VALUE"""),20)</f>
        <v>20</v>
      </c>
      <c r="F650" s="1"/>
    </row>
    <row r="651" spans="1:6" ht="12.5">
      <c r="A651" s="1" t="str">
        <f ca="1">IFERROR(__xludf.DUMMYFUNCTION("""COMPUTED_VALUE"""),"20220201MNSOR")</f>
        <v>20220201MNSOR</v>
      </c>
      <c r="B651" s="1" t="str">
        <f ca="1">IFERROR(__xludf.DUMMYFUNCTION("""COMPUTED_VALUE"""),"Fatal")</f>
        <v>Fatal</v>
      </c>
      <c r="C651" s="1" t="str">
        <f ca="1">IFERROR(__xludf.DUMMYFUNCTION("""COMPUTED_VALUE"""),"Male")</f>
        <v>Male</v>
      </c>
      <c r="D651" s="1" t="str">
        <f ca="1">IFERROR(__xludf.DUMMYFUNCTION("""COMPUTED_VALUE"""),"Student")</f>
        <v>Student</v>
      </c>
      <c r="E651" s="1">
        <f ca="1">IFERROR(__xludf.DUMMYFUNCTION("""COMPUTED_VALUE"""),15)</f>
        <v>15</v>
      </c>
      <c r="F651" s="1" t="str">
        <f ca="1">IFERROR(__xludf.DUMMYFUNCTION("""COMPUTED_VALUE"""),"Black")</f>
        <v>Black</v>
      </c>
    </row>
    <row r="652" spans="1:6" ht="12.5">
      <c r="A652" s="1" t="str">
        <f ca="1">IFERROR(__xludf.DUMMYFUNCTION("""COMPUTED_VALUE"""),"20220201MNSOR")</f>
        <v>20220201MNSOR</v>
      </c>
      <c r="B652" s="1" t="str">
        <f ca="1">IFERROR(__xludf.DUMMYFUNCTION("""COMPUTED_VALUE"""),"Wounded")</f>
        <v>Wounded</v>
      </c>
      <c r="C652" s="1" t="str">
        <f ca="1">IFERROR(__xludf.DUMMYFUNCTION("""COMPUTED_VALUE"""),"Male")</f>
        <v>Male</v>
      </c>
      <c r="D652" s="1" t="str">
        <f ca="1">IFERROR(__xludf.DUMMYFUNCTION("""COMPUTED_VALUE"""),"Student")</f>
        <v>Student</v>
      </c>
      <c r="E652" s="1">
        <f ca="1">IFERROR(__xludf.DUMMYFUNCTION("""COMPUTED_VALUE"""),17)</f>
        <v>17</v>
      </c>
      <c r="F652" s="1"/>
    </row>
    <row r="653" spans="1:6" ht="12.5">
      <c r="A653" s="1" t="str">
        <f ca="1">IFERROR(__xludf.DUMMYFUNCTION("""COMPUTED_VALUE"""),"20220201MNSOR")</f>
        <v>20220201MNSOR</v>
      </c>
      <c r="B653" s="1" t="str">
        <f ca="1">IFERROR(__xludf.DUMMYFUNCTION("""COMPUTED_VALUE"""),"Wounded")</f>
        <v>Wounded</v>
      </c>
      <c r="C653" s="1" t="str">
        <f ca="1">IFERROR(__xludf.DUMMYFUNCTION("""COMPUTED_VALUE"""),"Male")</f>
        <v>Male</v>
      </c>
      <c r="D653" s="1" t="str">
        <f ca="1">IFERROR(__xludf.DUMMYFUNCTION("""COMPUTED_VALUE"""),"Student")</f>
        <v>Student</v>
      </c>
      <c r="E653" s="1">
        <f ca="1">IFERROR(__xludf.DUMMYFUNCTION("""COMPUTED_VALUE"""),19)</f>
        <v>19</v>
      </c>
      <c r="F653" s="1"/>
    </row>
    <row r="654" spans="1:6" ht="12.5">
      <c r="A654" s="1" t="str">
        <f ca="1">IFERROR(__xludf.DUMMYFUNCTION("""COMPUTED_VALUE"""),"20220201ILALC")</f>
        <v>20220201ILALC</v>
      </c>
      <c r="B654" s="1" t="str">
        <f ca="1">IFERROR(__xludf.DUMMYFUNCTION("""COMPUTED_VALUE"""),"Wounded")</f>
        <v>Wounded</v>
      </c>
      <c r="C654" s="1" t="str">
        <f ca="1">IFERROR(__xludf.DUMMYFUNCTION("""COMPUTED_VALUE"""),"Female")</f>
        <v>Female</v>
      </c>
      <c r="D654" s="1" t="str">
        <f ca="1">IFERROR(__xludf.DUMMYFUNCTION("""COMPUTED_VALUE"""),"No Relation")</f>
        <v>No Relation</v>
      </c>
      <c r="E654" s="1">
        <f ca="1">IFERROR(__xludf.DUMMYFUNCTION("""COMPUTED_VALUE"""),16)</f>
        <v>16</v>
      </c>
      <c r="F654" s="1"/>
    </row>
    <row r="655" spans="1:6" ht="12.5">
      <c r="A655" s="1" t="str">
        <f ca="1">IFERROR(__xludf.DUMMYFUNCTION("""COMPUTED_VALUE"""),"20220129WIBEB")</f>
        <v>20220129WIBEB</v>
      </c>
      <c r="B655" s="1" t="str">
        <f ca="1">IFERROR(__xludf.DUMMYFUNCTION("""COMPUTED_VALUE"""),"Fatal")</f>
        <v>Fatal</v>
      </c>
      <c r="C655" s="1" t="str">
        <f ca="1">IFERROR(__xludf.DUMMYFUNCTION("""COMPUTED_VALUE"""),"Male")</f>
        <v>Male</v>
      </c>
      <c r="D655" s="1" t="str">
        <f ca="1">IFERROR(__xludf.DUMMYFUNCTION("""COMPUTED_VALUE"""),"Nonstudent Using Athletic Facilities/Attending Game")</f>
        <v>Nonstudent Using Athletic Facilities/Attending Game</v>
      </c>
      <c r="E655" s="1">
        <f ca="1">IFERROR(__xludf.DUMMYFUNCTION("""COMPUTED_VALUE"""),19)</f>
        <v>19</v>
      </c>
      <c r="F655" s="1"/>
    </row>
    <row r="656" spans="1:6" ht="12.5">
      <c r="A656" s="1" t="str">
        <f ca="1">IFERROR(__xludf.DUMMYFUNCTION("""COMPUTED_VALUE"""),"20220128LACAM")</f>
        <v>20220128LACAM</v>
      </c>
      <c r="B656" s="1" t="str">
        <f ca="1">IFERROR(__xludf.DUMMYFUNCTION("""COMPUTED_VALUE"""),"None")</f>
        <v>None</v>
      </c>
      <c r="C656" s="1"/>
      <c r="D656" s="1" t="str">
        <f ca="1">IFERROR(__xludf.DUMMYFUNCTION("""COMPUTED_VALUE"""),"Nonstudent Using Athletic Facilities/Attending Game")</f>
        <v>Nonstudent Using Athletic Facilities/Attending Game</v>
      </c>
      <c r="E656" s="1" t="str">
        <f ca="1">IFERROR(__xludf.DUMMYFUNCTION("""COMPUTED_VALUE"""),"Adult")</f>
        <v>Adult</v>
      </c>
      <c r="F656" s="1"/>
    </row>
    <row r="657" spans="1:6" ht="12.5">
      <c r="A657" s="1" t="str">
        <f ca="1">IFERROR(__xludf.DUMMYFUNCTION("""COMPUTED_VALUE"""),"20220128LACAM")</f>
        <v>20220128LACAM</v>
      </c>
      <c r="B657" s="1" t="str">
        <f ca="1">IFERROR(__xludf.DUMMYFUNCTION("""COMPUTED_VALUE"""),"None")</f>
        <v>None</v>
      </c>
      <c r="C657" s="1"/>
      <c r="D657" s="1" t="str">
        <f ca="1">IFERROR(__xludf.DUMMYFUNCTION("""COMPUTED_VALUE"""),"Nonstudent Using Athletic Facilities/Attending Game")</f>
        <v>Nonstudent Using Athletic Facilities/Attending Game</v>
      </c>
      <c r="E657" s="1" t="str">
        <f ca="1">IFERROR(__xludf.DUMMYFUNCTION("""COMPUTED_VALUE"""),"Adult")</f>
        <v>Adult</v>
      </c>
      <c r="F657" s="1"/>
    </row>
    <row r="658" spans="1:6" ht="12.5">
      <c r="A658" s="1" t="str">
        <f ca="1">IFERROR(__xludf.DUMMYFUNCTION("""COMPUTED_VALUE"""),"20220127TXMOH")</f>
        <v>20220127TXMOH</v>
      </c>
      <c r="B658" s="1" t="str">
        <f ca="1">IFERROR(__xludf.DUMMYFUNCTION("""COMPUTED_VALUE"""),"Wounded")</f>
        <v>Wounded</v>
      </c>
      <c r="C658" s="1" t="str">
        <f ca="1">IFERROR(__xludf.DUMMYFUNCTION("""COMPUTED_VALUE"""),"Female")</f>
        <v>Female</v>
      </c>
      <c r="D658" s="1" t="str">
        <f ca="1">IFERROR(__xludf.DUMMYFUNCTION("""COMPUTED_VALUE"""),"No Relation")</f>
        <v>No Relation</v>
      </c>
      <c r="E658" s="1" t="str">
        <f ca="1">IFERROR(__xludf.DUMMYFUNCTION("""COMPUTED_VALUE"""),"Adult")</f>
        <v>Adult</v>
      </c>
      <c r="F658" s="1"/>
    </row>
    <row r="659" spans="1:6" ht="12.5">
      <c r="A659" s="1" t="str">
        <f ca="1">IFERROR(__xludf.DUMMYFUNCTION("""COMPUTED_VALUE"""),"20220126PABAP")</f>
        <v>20220126PABAP</v>
      </c>
      <c r="B659" s="1" t="str">
        <f ca="1">IFERROR(__xludf.DUMMYFUNCTION("""COMPUTED_VALUE"""),"Fatal")</f>
        <v>Fatal</v>
      </c>
      <c r="C659" s="1" t="str">
        <f ca="1">IFERROR(__xludf.DUMMYFUNCTION("""COMPUTED_VALUE"""),"Male")</f>
        <v>Male</v>
      </c>
      <c r="D659" s="1" t="str">
        <f ca="1">IFERROR(__xludf.DUMMYFUNCTION("""COMPUTED_VALUE"""),"Student")</f>
        <v>Student</v>
      </c>
      <c r="E659" s="1">
        <f ca="1">IFERROR(__xludf.DUMMYFUNCTION("""COMPUTED_VALUE"""),17)</f>
        <v>17</v>
      </c>
      <c r="F659" s="1" t="str">
        <f ca="1">IFERROR(__xludf.DUMMYFUNCTION("""COMPUTED_VALUE"""),"Black")</f>
        <v>Black</v>
      </c>
    </row>
    <row r="660" spans="1:6" ht="12.5">
      <c r="A660" s="1" t="str">
        <f ca="1">IFERROR(__xludf.DUMMYFUNCTION("""COMPUTED_VALUE"""),"20220124NVSUL")</f>
        <v>20220124NVSUL</v>
      </c>
      <c r="B660" s="1" t="str">
        <f ca="1">IFERROR(__xludf.DUMMYFUNCTION("""COMPUTED_VALUE"""),"Wounded")</f>
        <v>Wounded</v>
      </c>
      <c r="C660" s="1"/>
      <c r="D660" s="1"/>
      <c r="E660" s="1"/>
      <c r="F660" s="1"/>
    </row>
    <row r="661" spans="1:6" ht="12.5">
      <c r="A661" s="1" t="str">
        <f ca="1">IFERROR(__xludf.DUMMYFUNCTION("""COMPUTED_VALUE"""),"20220121MDMAR")</f>
        <v>20220121MDMAR</v>
      </c>
      <c r="B661" s="1" t="str">
        <f ca="1">IFERROR(__xludf.DUMMYFUNCTION("""COMPUTED_VALUE"""),"Wounded")</f>
        <v>Wounded</v>
      </c>
      <c r="C661" s="1" t="str">
        <f ca="1">IFERROR(__xludf.DUMMYFUNCTION("""COMPUTED_VALUE"""),"Male")</f>
        <v>Male</v>
      </c>
      <c r="D661" s="1" t="str">
        <f ca="1">IFERROR(__xludf.DUMMYFUNCTION("""COMPUTED_VALUE"""),"Student")</f>
        <v>Student</v>
      </c>
      <c r="E661" s="1">
        <f ca="1">IFERROR(__xludf.DUMMYFUNCTION("""COMPUTED_VALUE"""),15)</f>
        <v>15</v>
      </c>
      <c r="F661" s="1"/>
    </row>
    <row r="662" spans="1:6" ht="12.5">
      <c r="A662" s="1" t="str">
        <f ca="1">IFERROR(__xludf.DUMMYFUNCTION("""COMPUTED_VALUE"""),"20220119VAMAP")</f>
        <v>20220119VAMAP</v>
      </c>
      <c r="B662" s="1" t="str">
        <f ca="1">IFERROR(__xludf.DUMMYFUNCTION("""COMPUTED_VALUE"""),"Wounded")</f>
        <v>Wounded</v>
      </c>
      <c r="C662" s="1" t="str">
        <f ca="1">IFERROR(__xludf.DUMMYFUNCTION("""COMPUTED_VALUE"""),"Male")</f>
        <v>Male</v>
      </c>
      <c r="D662" s="1" t="str">
        <f ca="1">IFERROR(__xludf.DUMMYFUNCTION("""COMPUTED_VALUE"""),"Student")</f>
        <v>Student</v>
      </c>
      <c r="E662" s="1" t="str">
        <f ca="1">IFERROR(__xludf.DUMMYFUNCTION("""COMPUTED_VALUE"""),"Teen")</f>
        <v>Teen</v>
      </c>
      <c r="F662" s="1"/>
    </row>
    <row r="663" spans="1:6" ht="12.5">
      <c r="A663" s="1" t="str">
        <f ca="1">IFERROR(__xludf.DUMMYFUNCTION("""COMPUTED_VALUE"""),"20220119PAPIP")</f>
        <v>20220119PAPIP</v>
      </c>
      <c r="B663" s="1" t="str">
        <f ca="1">IFERROR(__xludf.DUMMYFUNCTION("""COMPUTED_VALUE"""),"Fatal")</f>
        <v>Fatal</v>
      </c>
      <c r="C663" s="1" t="str">
        <f ca="1">IFERROR(__xludf.DUMMYFUNCTION("""COMPUTED_VALUE"""),"Male")</f>
        <v>Male</v>
      </c>
      <c r="D663" s="1" t="str">
        <f ca="1">IFERROR(__xludf.DUMMYFUNCTION("""COMPUTED_VALUE"""),"Student")</f>
        <v>Student</v>
      </c>
      <c r="E663" s="1">
        <f ca="1">IFERROR(__xludf.DUMMYFUNCTION("""COMPUTED_VALUE"""),15)</f>
        <v>15</v>
      </c>
      <c r="F663" s="1" t="str">
        <f ca="1">IFERROR(__xludf.DUMMYFUNCTION("""COMPUTED_VALUE"""),"Black")</f>
        <v>Black</v>
      </c>
    </row>
    <row r="664" spans="1:6" ht="12.5">
      <c r="A664" s="1" t="str">
        <f ca="1">IFERROR(__xludf.DUMMYFUNCTION("""COMPUTED_VALUE"""),"20220119FLSES")</f>
        <v>20220119FLSES</v>
      </c>
      <c r="B664" s="1" t="str">
        <f ca="1">IFERROR(__xludf.DUMMYFUNCTION("""COMPUTED_VALUE"""),"Wounded")</f>
        <v>Wounded</v>
      </c>
      <c r="C664" s="1" t="str">
        <f ca="1">IFERROR(__xludf.DUMMYFUNCTION("""COMPUTED_VALUE"""),"Male")</f>
        <v>Male</v>
      </c>
      <c r="D664" s="1" t="str">
        <f ca="1">IFERROR(__xludf.DUMMYFUNCTION("""COMPUTED_VALUE"""),"Student")</f>
        <v>Student</v>
      </c>
      <c r="E664" s="1">
        <f ca="1">IFERROR(__xludf.DUMMYFUNCTION("""COMPUTED_VALUE"""),17)</f>
        <v>17</v>
      </c>
      <c r="F664" s="1"/>
    </row>
    <row r="665" spans="1:6" ht="12.5">
      <c r="A665" s="1" t="str">
        <f ca="1">IFERROR(__xludf.DUMMYFUNCTION("""COMPUTED_VALUE"""),"20220119DCANW")</f>
        <v>20220119DCANW</v>
      </c>
      <c r="B665" s="1" t="str">
        <f ca="1">IFERROR(__xludf.DUMMYFUNCTION("""COMPUTED_VALUE"""),"None")</f>
        <v>None</v>
      </c>
      <c r="C665" s="1" t="str">
        <f ca="1">IFERROR(__xludf.DUMMYFUNCTION("""COMPUTED_VALUE"""),"Male")</f>
        <v>Male</v>
      </c>
      <c r="D665" s="1"/>
      <c r="E665" s="1"/>
      <c r="F665" s="1"/>
    </row>
    <row r="666" spans="1:6" ht="12.5">
      <c r="A666" s="1" t="str">
        <f ca="1">IFERROR(__xludf.DUMMYFUNCTION("""COMPUTED_VALUE"""),"20220117TXPYH")</f>
        <v>20220117TXPYH</v>
      </c>
      <c r="B666" s="1" t="str">
        <f ca="1">IFERROR(__xludf.DUMMYFUNCTION("""COMPUTED_VALUE"""),"Fatal")</f>
        <v>Fatal</v>
      </c>
      <c r="C666" s="1" t="str">
        <f ca="1">IFERROR(__xludf.DUMMYFUNCTION("""COMPUTED_VALUE"""),"Male")</f>
        <v>Male</v>
      </c>
      <c r="D666" s="1" t="str">
        <f ca="1">IFERROR(__xludf.DUMMYFUNCTION("""COMPUTED_VALUE"""),"No Relation")</f>
        <v>No Relation</v>
      </c>
      <c r="E666" s="1" t="str">
        <f ca="1">IFERROR(__xludf.DUMMYFUNCTION("""COMPUTED_VALUE"""),"Adult")</f>
        <v>Adult</v>
      </c>
      <c r="F666" s="1"/>
    </row>
    <row r="667" spans="1:6" ht="12.5">
      <c r="A667" s="1" t="str">
        <f ca="1">IFERROR(__xludf.DUMMYFUNCTION("""COMPUTED_VALUE"""),"20220117TXPYH")</f>
        <v>20220117TXPYH</v>
      </c>
      <c r="B667" s="1" t="str">
        <f ca="1">IFERROR(__xludf.DUMMYFUNCTION("""COMPUTED_VALUE"""),"Fatal")</f>
        <v>Fatal</v>
      </c>
      <c r="C667" s="1" t="str">
        <f ca="1">IFERROR(__xludf.DUMMYFUNCTION("""COMPUTED_VALUE"""),"Female")</f>
        <v>Female</v>
      </c>
      <c r="D667" s="1" t="str">
        <f ca="1">IFERROR(__xludf.DUMMYFUNCTION("""COMPUTED_VALUE"""),"No Relation")</f>
        <v>No Relation</v>
      </c>
      <c r="E667" s="1" t="str">
        <f ca="1">IFERROR(__xludf.DUMMYFUNCTION("""COMPUTED_VALUE"""),"Adult")</f>
        <v>Adult</v>
      </c>
      <c r="F667" s="1"/>
    </row>
    <row r="668" spans="1:6" ht="12.5">
      <c r="A668" s="1" t="str">
        <f ca="1">IFERROR(__xludf.DUMMYFUNCTION("""COMPUTED_VALUE"""),"20220106CAFLS")</f>
        <v>20220106CAFLS</v>
      </c>
      <c r="B668" s="1" t="str">
        <f ca="1">IFERROR(__xludf.DUMMYFUNCTION("""COMPUTED_VALUE"""),"Wounded")</f>
        <v>Wounded</v>
      </c>
      <c r="C668" s="1" t="str">
        <f ca="1">IFERROR(__xludf.DUMMYFUNCTION("""COMPUTED_VALUE"""),"Male")</f>
        <v>Male</v>
      </c>
      <c r="D668" s="1" t="str">
        <f ca="1">IFERROR(__xludf.DUMMYFUNCTION("""COMPUTED_VALUE"""),"Student")</f>
        <v>Student</v>
      </c>
      <c r="E668" s="1">
        <f ca="1">IFERROR(__xludf.DUMMYFUNCTION("""COMPUTED_VALUE"""),17)</f>
        <v>17</v>
      </c>
      <c r="F668" s="1"/>
    </row>
    <row r="669" spans="1:6" ht="12.5">
      <c r="A669" s="1" t="str">
        <f ca="1">IFERROR(__xludf.DUMMYFUNCTION("""COMPUTED_VALUE"""),"20220106CAFLS")</f>
        <v>20220106CAFLS</v>
      </c>
      <c r="B669" s="1" t="str">
        <f ca="1">IFERROR(__xludf.DUMMYFUNCTION("""COMPUTED_VALUE"""),"Wounded")</f>
        <v>Wounded</v>
      </c>
      <c r="C669" s="1" t="str">
        <f ca="1">IFERROR(__xludf.DUMMYFUNCTION("""COMPUTED_VALUE"""),"Male")</f>
        <v>Male</v>
      </c>
      <c r="D669" s="1" t="str">
        <f ca="1">IFERROR(__xludf.DUMMYFUNCTION("""COMPUTED_VALUE"""),"Student")</f>
        <v>Student</v>
      </c>
      <c r="E669" s="1">
        <f ca="1">IFERROR(__xludf.DUMMYFUNCTION("""COMPUTED_VALUE"""),17)</f>
        <v>17</v>
      </c>
      <c r="F669" s="1"/>
    </row>
    <row r="670" spans="1:6" ht="12.5">
      <c r="A670" s="1" t="str">
        <f ca="1">IFERROR(__xludf.DUMMYFUNCTION("""COMPUTED_VALUE"""),"20220104ILAUR")</f>
        <v>20220104ILAUR</v>
      </c>
      <c r="B670" s="1" t="str">
        <f ca="1">IFERROR(__xludf.DUMMYFUNCTION("""COMPUTED_VALUE"""),"Wounded")</f>
        <v>Wounded</v>
      </c>
      <c r="C670" s="1" t="str">
        <f ca="1">IFERROR(__xludf.DUMMYFUNCTION("""COMPUTED_VALUE"""),"Male")</f>
        <v>Male</v>
      </c>
      <c r="D670" s="1" t="str">
        <f ca="1">IFERROR(__xludf.DUMMYFUNCTION("""COMPUTED_VALUE"""),"Student")</f>
        <v>Student</v>
      </c>
      <c r="E670" s="1">
        <f ca="1">IFERROR(__xludf.DUMMYFUNCTION("""COMPUTED_VALUE"""),15)</f>
        <v>15</v>
      </c>
      <c r="F670" s="1"/>
    </row>
    <row r="671" spans="1:6" ht="12.5">
      <c r="A671" s="1" t="str">
        <f ca="1">IFERROR(__xludf.DUMMYFUNCTION("""COMPUTED_VALUE"""),"20220104ILAUR")</f>
        <v>20220104ILAUR</v>
      </c>
      <c r="B671" s="1" t="str">
        <f ca="1">IFERROR(__xludf.DUMMYFUNCTION("""COMPUTED_VALUE"""),"Wounded")</f>
        <v>Wounded</v>
      </c>
      <c r="C671" s="1" t="str">
        <f ca="1">IFERROR(__xludf.DUMMYFUNCTION("""COMPUTED_VALUE"""),"Female")</f>
        <v>Female</v>
      </c>
      <c r="D671" s="1" t="str">
        <f ca="1">IFERROR(__xludf.DUMMYFUNCTION("""COMPUTED_VALUE"""),"Student")</f>
        <v>Student</v>
      </c>
      <c r="E671" s="1">
        <f ca="1">IFERROR(__xludf.DUMMYFUNCTION("""COMPUTED_VALUE"""),17)</f>
        <v>17</v>
      </c>
      <c r="F671" s="1"/>
    </row>
    <row r="672" spans="1:6" ht="12.5">
      <c r="A672" s="1" t="str">
        <f ca="1">IFERROR(__xludf.DUMMYFUNCTION("""COMPUTED_VALUE"""),"20211229NCCAS")</f>
        <v>20211229NCCAS</v>
      </c>
      <c r="B672" s="1" t="str">
        <f ca="1">IFERROR(__xludf.DUMMYFUNCTION("""COMPUTED_VALUE"""),"Wounded")</f>
        <v>Wounded</v>
      </c>
      <c r="C672" s="1" t="str">
        <f ca="1">IFERROR(__xludf.DUMMYFUNCTION("""COMPUTED_VALUE"""),"Male")</f>
        <v>Male</v>
      </c>
      <c r="D672" s="1" t="str">
        <f ca="1">IFERROR(__xludf.DUMMYFUNCTION("""COMPUTED_VALUE"""),"Student")</f>
        <v>Student</v>
      </c>
      <c r="E672" s="1">
        <f ca="1">IFERROR(__xludf.DUMMYFUNCTION("""COMPUTED_VALUE"""),13)</f>
        <v>13</v>
      </c>
      <c r="F672" s="1"/>
    </row>
    <row r="673" spans="1:6" ht="12.5">
      <c r="A673" s="1" t="str">
        <f ca="1">IFERROR(__xludf.DUMMYFUNCTION("""COMPUTED_VALUE"""),"20211229NCCAS")</f>
        <v>20211229NCCAS</v>
      </c>
      <c r="B673" s="1" t="str">
        <f ca="1">IFERROR(__xludf.DUMMYFUNCTION("""COMPUTED_VALUE"""),"Wounded")</f>
        <v>Wounded</v>
      </c>
      <c r="C673" s="1" t="str">
        <f ca="1">IFERROR(__xludf.DUMMYFUNCTION("""COMPUTED_VALUE"""),"Male")</f>
        <v>Male</v>
      </c>
      <c r="D673" s="1" t="str">
        <f ca="1">IFERROR(__xludf.DUMMYFUNCTION("""COMPUTED_VALUE"""),"Student")</f>
        <v>Student</v>
      </c>
      <c r="E673" s="1">
        <f ca="1">IFERROR(__xludf.DUMMYFUNCTION("""COMPUTED_VALUE"""),14)</f>
        <v>14</v>
      </c>
      <c r="F673" s="1"/>
    </row>
    <row r="674" spans="1:6" ht="12.5">
      <c r="A674" s="1" t="str">
        <f ca="1">IFERROR(__xludf.DUMMYFUNCTION("""COMPUTED_VALUE"""),"20211214VAMEN")</f>
        <v>20211214VAMEN</v>
      </c>
      <c r="B674" s="1" t="str">
        <f ca="1">IFERROR(__xludf.DUMMYFUNCTION("""COMPUTED_VALUE"""),"Fatal")</f>
        <v>Fatal</v>
      </c>
      <c r="C674" s="1" t="str">
        <f ca="1">IFERROR(__xludf.DUMMYFUNCTION("""COMPUTED_VALUE"""),"Male")</f>
        <v>Male</v>
      </c>
      <c r="D674" s="1" t="str">
        <f ca="1">IFERROR(__xludf.DUMMYFUNCTION("""COMPUTED_VALUE"""),"Student")</f>
        <v>Student</v>
      </c>
      <c r="E674" s="1">
        <f ca="1">IFERROR(__xludf.DUMMYFUNCTION("""COMPUTED_VALUE"""),17)</f>
        <v>17</v>
      </c>
      <c r="F674" s="1"/>
    </row>
    <row r="675" spans="1:6" ht="12.5">
      <c r="A675" s="1" t="str">
        <f ca="1">IFERROR(__xludf.DUMMYFUNCTION("""COMPUTED_VALUE"""),"20211213NCWEC")</f>
        <v>20211213NCWEC</v>
      </c>
      <c r="B675" s="1" t="str">
        <f ca="1">IFERROR(__xludf.DUMMYFUNCTION("""COMPUTED_VALUE"""),"None")</f>
        <v>None</v>
      </c>
      <c r="C675" s="1" t="str">
        <f ca="1">IFERROR(__xludf.DUMMYFUNCTION("""COMPUTED_VALUE"""),"Male")</f>
        <v>Male</v>
      </c>
      <c r="D675" s="1" t="str">
        <f ca="1">IFERROR(__xludf.DUMMYFUNCTION("""COMPUTED_VALUE"""),"Student")</f>
        <v>Student</v>
      </c>
      <c r="E675" s="1" t="str">
        <f ca="1">IFERROR(__xludf.DUMMYFUNCTION("""COMPUTED_VALUE"""),"Teen")</f>
        <v>Teen</v>
      </c>
      <c r="F675" s="1"/>
    </row>
    <row r="676" spans="1:6" ht="12.5">
      <c r="A676" s="1" t="str">
        <f ca="1">IFERROR(__xludf.DUMMYFUNCTION("""COMPUTED_VALUE"""),"20211212NYSCR")</f>
        <v>20211212NYSCR</v>
      </c>
      <c r="B676" s="1" t="str">
        <f ca="1">IFERROR(__xludf.DUMMYFUNCTION("""COMPUTED_VALUE"""),"Fatal")</f>
        <v>Fatal</v>
      </c>
      <c r="C676" s="1" t="str">
        <f ca="1">IFERROR(__xludf.DUMMYFUNCTION("""COMPUTED_VALUE"""),"Male")</f>
        <v>Male</v>
      </c>
      <c r="D676" s="1" t="str">
        <f ca="1">IFERROR(__xludf.DUMMYFUNCTION("""COMPUTED_VALUE"""),"No Relation")</f>
        <v>No Relation</v>
      </c>
      <c r="E676" s="1">
        <f ca="1">IFERROR(__xludf.DUMMYFUNCTION("""COMPUTED_VALUE"""),25)</f>
        <v>25</v>
      </c>
      <c r="F676" s="1"/>
    </row>
    <row r="677" spans="1:6" ht="12.5">
      <c r="A677" s="1" t="str">
        <f ca="1">IFERROR(__xludf.DUMMYFUNCTION("""COMPUTED_VALUE"""),"20211211FLEDL")</f>
        <v>20211211FLEDL</v>
      </c>
      <c r="B677" s="1" t="str">
        <f ca="1">IFERROR(__xludf.DUMMYFUNCTION("""COMPUTED_VALUE"""),"Wounded")</f>
        <v>Wounded</v>
      </c>
      <c r="C677" s="1" t="str">
        <f ca="1">IFERROR(__xludf.DUMMYFUNCTION("""COMPUTED_VALUE"""),"Male")</f>
        <v>Male</v>
      </c>
      <c r="D677" s="1" t="str">
        <f ca="1">IFERROR(__xludf.DUMMYFUNCTION("""COMPUTED_VALUE"""),"Nonstudent Using Athletic Facilities/Attending Game")</f>
        <v>Nonstudent Using Athletic Facilities/Attending Game</v>
      </c>
      <c r="E677" s="1" t="str">
        <f ca="1">IFERROR(__xludf.DUMMYFUNCTION("""COMPUTED_VALUE"""),"Adult")</f>
        <v>Adult</v>
      </c>
      <c r="F677" s="1"/>
    </row>
    <row r="678" spans="1:6" ht="12.5">
      <c r="A678" s="1" t="str">
        <f ca="1">IFERROR(__xludf.DUMMYFUNCTION("""COMPUTED_VALUE"""),"20211208MOEWK")</f>
        <v>20211208MOEWK</v>
      </c>
      <c r="B678" s="1" t="str">
        <f ca="1">IFERROR(__xludf.DUMMYFUNCTION("""COMPUTED_VALUE"""),"Wounded")</f>
        <v>Wounded</v>
      </c>
      <c r="C678" s="1" t="str">
        <f ca="1">IFERROR(__xludf.DUMMYFUNCTION("""COMPUTED_VALUE"""),"Male")</f>
        <v>Male</v>
      </c>
      <c r="D678" s="1" t="str">
        <f ca="1">IFERROR(__xludf.DUMMYFUNCTION("""COMPUTED_VALUE"""),"Nonstudent Using Athletic Facilities/Attending Game")</f>
        <v>Nonstudent Using Athletic Facilities/Attending Game</v>
      </c>
      <c r="E678" s="1" t="str">
        <f ca="1">IFERROR(__xludf.DUMMYFUNCTION("""COMPUTED_VALUE"""),"Teen")</f>
        <v>Teen</v>
      </c>
      <c r="F678" s="1"/>
    </row>
    <row r="679" spans="1:6" ht="12.5">
      <c r="A679" s="1" t="str">
        <f ca="1">IFERROR(__xludf.DUMMYFUNCTION("""COMPUTED_VALUE"""),"20211208MOEWK")</f>
        <v>20211208MOEWK</v>
      </c>
      <c r="B679" s="1" t="str">
        <f ca="1">IFERROR(__xludf.DUMMYFUNCTION("""COMPUTED_VALUE"""),"Wounded")</f>
        <v>Wounded</v>
      </c>
      <c r="C679" s="1" t="str">
        <f ca="1">IFERROR(__xludf.DUMMYFUNCTION("""COMPUTED_VALUE"""),"Male")</f>
        <v>Male</v>
      </c>
      <c r="D679" s="1" t="str">
        <f ca="1">IFERROR(__xludf.DUMMYFUNCTION("""COMPUTED_VALUE"""),"Nonstudent Using Athletic Facilities/Attending Game")</f>
        <v>Nonstudent Using Athletic Facilities/Attending Game</v>
      </c>
      <c r="E679" s="1" t="str">
        <f ca="1">IFERROR(__xludf.DUMMYFUNCTION("""COMPUTED_VALUE"""),"Teen")</f>
        <v>Teen</v>
      </c>
      <c r="F679" s="1"/>
    </row>
    <row r="680" spans="1:6" ht="12.5">
      <c r="A680" s="1" t="str">
        <f ca="1">IFERROR(__xludf.DUMMYFUNCTION("""COMPUTED_VALUE"""),"20211208KYSTL")</f>
        <v>20211208KYSTL</v>
      </c>
      <c r="B680" s="1" t="str">
        <f ca="1">IFERROR(__xludf.DUMMYFUNCTION("""COMPUTED_VALUE"""),"None")</f>
        <v>None</v>
      </c>
      <c r="C680" s="1"/>
      <c r="D680" s="1" t="str">
        <f ca="1">IFERROR(__xludf.DUMMYFUNCTION("""COMPUTED_VALUE"""),"No Relation")</f>
        <v>No Relation</v>
      </c>
      <c r="E680" s="1" t="str">
        <f ca="1">IFERROR(__xludf.DUMMYFUNCTION("""COMPUTED_VALUE"""),"Adult")</f>
        <v>Adult</v>
      </c>
      <c r="F680" s="1"/>
    </row>
    <row r="681" spans="1:6" ht="12.5">
      <c r="A681" s="1" t="str">
        <f ca="1">IFERROR(__xludf.DUMMYFUNCTION("""COMPUTED_VALUE"""),"20211207ILHAC")</f>
        <v>20211207ILHAC</v>
      </c>
      <c r="B681" s="1" t="str">
        <f ca="1">IFERROR(__xludf.DUMMYFUNCTION("""COMPUTED_VALUE"""),"Fatal")</f>
        <v>Fatal</v>
      </c>
      <c r="C681" s="1" t="str">
        <f ca="1">IFERROR(__xludf.DUMMYFUNCTION("""COMPUTED_VALUE"""),"Male")</f>
        <v>Male</v>
      </c>
      <c r="D681" s="1" t="str">
        <f ca="1">IFERROR(__xludf.DUMMYFUNCTION("""COMPUTED_VALUE"""),"No Relation")</f>
        <v>No Relation</v>
      </c>
      <c r="E681" s="1">
        <f ca="1">IFERROR(__xludf.DUMMYFUNCTION("""COMPUTED_VALUE"""),71)</f>
        <v>71</v>
      </c>
      <c r="F681" s="1" t="str">
        <f ca="1">IFERROR(__xludf.DUMMYFUNCTION("""COMPUTED_VALUE"""),"Asian")</f>
        <v>Asian</v>
      </c>
    </row>
    <row r="682" spans="1:6" ht="12.5">
      <c r="A682" s="1" t="str">
        <f ca="1">IFERROR(__xludf.DUMMYFUNCTION("""COMPUTED_VALUE"""),"20211206NYSUS")</f>
        <v>20211206NYSUS</v>
      </c>
      <c r="B682" s="1" t="str">
        <f ca="1">IFERROR(__xludf.DUMMYFUNCTION("""COMPUTED_VALUE"""),"Wounded")</f>
        <v>Wounded</v>
      </c>
      <c r="C682" s="1" t="str">
        <f ca="1">IFERROR(__xludf.DUMMYFUNCTION("""COMPUTED_VALUE"""),"Male")</f>
        <v>Male</v>
      </c>
      <c r="D682" s="1" t="str">
        <f ca="1">IFERROR(__xludf.DUMMYFUNCTION("""COMPUTED_VALUE"""),"Student")</f>
        <v>Student</v>
      </c>
      <c r="E682" s="1">
        <f ca="1">IFERROR(__xludf.DUMMYFUNCTION("""COMPUTED_VALUE"""),16)</f>
        <v>16</v>
      </c>
      <c r="F682" s="1"/>
    </row>
    <row r="683" spans="1:6" ht="12.5">
      <c r="A683" s="1" t="str">
        <f ca="1">IFERROR(__xludf.DUMMYFUNCTION("""COMPUTED_VALUE"""),"20211206CAWIW")</f>
        <v>20211206CAWIW</v>
      </c>
      <c r="B683" s="1" t="str">
        <f ca="1">IFERROR(__xludf.DUMMYFUNCTION("""COMPUTED_VALUE"""),"Fatal")</f>
        <v>Fatal</v>
      </c>
      <c r="C683" s="1" t="str">
        <f ca="1">IFERROR(__xludf.DUMMYFUNCTION("""COMPUTED_VALUE"""),"Male")</f>
        <v>Male</v>
      </c>
      <c r="D683" s="1"/>
      <c r="E683" s="1">
        <f ca="1">IFERROR(__xludf.DUMMYFUNCTION("""COMPUTED_VALUE"""),13)</f>
        <v>13</v>
      </c>
      <c r="F683" s="1"/>
    </row>
    <row r="684" spans="1:6" ht="12.5">
      <c r="A684" s="1" t="str">
        <f ca="1">IFERROR(__xludf.DUMMYFUNCTION("""COMPUTED_VALUE"""),"20211206CAWIW")</f>
        <v>20211206CAWIW</v>
      </c>
      <c r="B684" s="1" t="str">
        <f ca="1">IFERROR(__xludf.DUMMYFUNCTION("""COMPUTED_VALUE"""),"Wounded")</f>
        <v>Wounded</v>
      </c>
      <c r="C684" s="1" t="str">
        <f ca="1">IFERROR(__xludf.DUMMYFUNCTION("""COMPUTED_VALUE"""),"Female")</f>
        <v>Female</v>
      </c>
      <c r="D684" s="1"/>
      <c r="E684" s="1">
        <f ca="1">IFERROR(__xludf.DUMMYFUNCTION("""COMPUTED_VALUE"""),30)</f>
        <v>30</v>
      </c>
      <c r="F684" s="1"/>
    </row>
    <row r="685" spans="1:6" ht="12.5">
      <c r="A685" s="1" t="str">
        <f ca="1">IFERROR(__xludf.DUMMYFUNCTION("""COMPUTED_VALUE"""),"20211206CAWIW")</f>
        <v>20211206CAWIW</v>
      </c>
      <c r="B685" s="1" t="str">
        <f ca="1">IFERROR(__xludf.DUMMYFUNCTION("""COMPUTED_VALUE"""),"Wounded")</f>
        <v>Wounded</v>
      </c>
      <c r="C685" s="1" t="str">
        <f ca="1">IFERROR(__xludf.DUMMYFUNCTION("""COMPUTED_VALUE"""),"Female")</f>
        <v>Female</v>
      </c>
      <c r="D685" s="1" t="str">
        <f ca="1">IFERROR(__xludf.DUMMYFUNCTION("""COMPUTED_VALUE"""),"Student")</f>
        <v>Student</v>
      </c>
      <c r="E685" s="1">
        <f ca="1">IFERROR(__xludf.DUMMYFUNCTION("""COMPUTED_VALUE"""),9)</f>
        <v>9</v>
      </c>
      <c r="F685" s="1"/>
    </row>
    <row r="686" spans="1:6" ht="12.5">
      <c r="A686" s="1" t="str">
        <f ca="1">IFERROR(__xludf.DUMMYFUNCTION("""COMPUTED_VALUE"""),"20211203ARBLB")</f>
        <v>20211203ARBLB</v>
      </c>
      <c r="B686" s="1" t="str">
        <f ca="1">IFERROR(__xludf.DUMMYFUNCTION("""COMPUTED_VALUE"""),"None")</f>
        <v>None</v>
      </c>
      <c r="C686" s="1" t="str">
        <f ca="1">IFERROR(__xludf.DUMMYFUNCTION("""COMPUTED_VALUE"""),"Male")</f>
        <v>Male</v>
      </c>
      <c r="D686" s="1" t="str">
        <f ca="1">IFERROR(__xludf.DUMMYFUNCTION("""COMPUTED_VALUE"""),"No Relation")</f>
        <v>No Relation</v>
      </c>
      <c r="E686" s="1" t="str">
        <f ca="1">IFERROR(__xludf.DUMMYFUNCTION("""COMPUTED_VALUE"""),"Adult")</f>
        <v>Adult</v>
      </c>
      <c r="F686" s="1"/>
    </row>
    <row r="687" spans="1:6" ht="12.5">
      <c r="A687" s="1" t="str">
        <f ca="1">IFERROR(__xludf.DUMMYFUNCTION("""COMPUTED_VALUE"""),"20211201TXSAP")</f>
        <v>20211201TXSAP</v>
      </c>
      <c r="B687" s="1" t="str">
        <f ca="1">IFERROR(__xludf.DUMMYFUNCTION("""COMPUTED_VALUE"""),"None")</f>
        <v>None</v>
      </c>
      <c r="C687" s="1" t="str">
        <f ca="1">IFERROR(__xludf.DUMMYFUNCTION("""COMPUTED_VALUE"""),"Male")</f>
        <v>Male</v>
      </c>
      <c r="D687" s="1" t="str">
        <f ca="1">IFERROR(__xludf.DUMMYFUNCTION("""COMPUTED_VALUE"""),"Student")</f>
        <v>Student</v>
      </c>
      <c r="E687" s="1" t="str">
        <f ca="1">IFERROR(__xludf.DUMMYFUNCTION("""COMPUTED_VALUE"""),"Teen")</f>
        <v>Teen</v>
      </c>
      <c r="F687" s="1"/>
    </row>
    <row r="688" spans="1:6" ht="12.5">
      <c r="A688" s="1" t="str">
        <f ca="1">IFERROR(__xludf.DUMMYFUNCTION("""COMPUTED_VALUE"""),"20211130TNHUH")</f>
        <v>20211130TNHUH</v>
      </c>
      <c r="B688" s="1" t="str">
        <f ca="1">IFERROR(__xludf.DUMMYFUNCTION("""COMPUTED_VALUE"""),"Fatal")</f>
        <v>Fatal</v>
      </c>
      <c r="C688" s="1" t="str">
        <f ca="1">IFERROR(__xludf.DUMMYFUNCTION("""COMPUTED_VALUE"""),"Male")</f>
        <v>Male</v>
      </c>
      <c r="D688" s="1" t="str">
        <f ca="1">IFERROR(__xludf.DUMMYFUNCTION("""COMPUTED_VALUE"""),"Nonstudent Using Athletic Facilities/Attending Game")</f>
        <v>Nonstudent Using Athletic Facilities/Attending Game</v>
      </c>
      <c r="E688" s="1">
        <f ca="1">IFERROR(__xludf.DUMMYFUNCTION("""COMPUTED_VALUE"""),21)</f>
        <v>21</v>
      </c>
      <c r="F688" s="1"/>
    </row>
    <row r="689" spans="1:6" ht="12.5">
      <c r="A689" s="1" t="str">
        <f ca="1">IFERROR(__xludf.DUMMYFUNCTION("""COMPUTED_VALUE"""),"20211130TNHUH")</f>
        <v>20211130TNHUH</v>
      </c>
      <c r="B689" s="1" t="str">
        <f ca="1">IFERROR(__xludf.DUMMYFUNCTION("""COMPUTED_VALUE"""),"Wounded")</f>
        <v>Wounded</v>
      </c>
      <c r="C689" s="1" t="str">
        <f ca="1">IFERROR(__xludf.DUMMYFUNCTION("""COMPUTED_VALUE"""),"Male")</f>
        <v>Male</v>
      </c>
      <c r="D689" s="1" t="str">
        <f ca="1">IFERROR(__xludf.DUMMYFUNCTION("""COMPUTED_VALUE"""),"Nonstudent Using Athletic Facilities/Attending Game")</f>
        <v>Nonstudent Using Athletic Facilities/Attending Game</v>
      </c>
      <c r="E689" s="1">
        <f ca="1">IFERROR(__xludf.DUMMYFUNCTION("""COMPUTED_VALUE"""),18)</f>
        <v>18</v>
      </c>
      <c r="F689" s="1"/>
    </row>
    <row r="690" spans="1:6" ht="12.5">
      <c r="A690" s="1" t="str">
        <f ca="1">IFERROR(__xludf.DUMMYFUNCTION("""COMPUTED_VALUE"""),"20211130TNHUH")</f>
        <v>20211130TNHUH</v>
      </c>
      <c r="B690" s="1" t="str">
        <f ca="1">IFERROR(__xludf.DUMMYFUNCTION("""COMPUTED_VALUE"""),"Wounded")</f>
        <v>Wounded</v>
      </c>
      <c r="C690" s="1" t="str">
        <f ca="1">IFERROR(__xludf.DUMMYFUNCTION("""COMPUTED_VALUE"""),"Male")</f>
        <v>Male</v>
      </c>
      <c r="D690" s="1" t="str">
        <f ca="1">IFERROR(__xludf.DUMMYFUNCTION("""COMPUTED_VALUE"""),"Nonstudent Using Athletic Facilities/Attending Game")</f>
        <v>Nonstudent Using Athletic Facilities/Attending Game</v>
      </c>
      <c r="E690" s="1" t="str">
        <f ca="1">IFERROR(__xludf.DUMMYFUNCTION("""COMPUTED_VALUE"""),"Adult")</f>
        <v>Adult</v>
      </c>
      <c r="F690" s="1"/>
    </row>
    <row r="691" spans="1:6" ht="12.5">
      <c r="A691" s="1" t="str">
        <f ca="1">IFERROR(__xludf.DUMMYFUNCTION("""COMPUTED_VALUE"""),"20211130MIOXO")</f>
        <v>20211130MIOXO</v>
      </c>
      <c r="B691" s="1" t="str">
        <f ca="1">IFERROR(__xludf.DUMMYFUNCTION("""COMPUTED_VALUE"""),"Fatal")</f>
        <v>Fatal</v>
      </c>
      <c r="C691" s="1" t="str">
        <f ca="1">IFERROR(__xludf.DUMMYFUNCTION("""COMPUTED_VALUE"""),"Male")</f>
        <v>Male</v>
      </c>
      <c r="D691" s="1" t="str">
        <f ca="1">IFERROR(__xludf.DUMMYFUNCTION("""COMPUTED_VALUE"""),"Student")</f>
        <v>Student</v>
      </c>
      <c r="E691" s="1">
        <f ca="1">IFERROR(__xludf.DUMMYFUNCTION("""COMPUTED_VALUE"""),17)</f>
        <v>17</v>
      </c>
      <c r="F691" s="1"/>
    </row>
    <row r="692" spans="1:6" ht="12.5">
      <c r="A692" s="1" t="str">
        <f ca="1">IFERROR(__xludf.DUMMYFUNCTION("""COMPUTED_VALUE"""),"20211130MIOXO")</f>
        <v>20211130MIOXO</v>
      </c>
      <c r="B692" s="1" t="str">
        <f ca="1">IFERROR(__xludf.DUMMYFUNCTION("""COMPUTED_VALUE"""),"Wounded")</f>
        <v>Wounded</v>
      </c>
      <c r="C692" s="1" t="str">
        <f ca="1">IFERROR(__xludf.DUMMYFUNCTION("""COMPUTED_VALUE"""),"Male")</f>
        <v>Male</v>
      </c>
      <c r="D692" s="1" t="str">
        <f ca="1">IFERROR(__xludf.DUMMYFUNCTION("""COMPUTED_VALUE"""),"Student")</f>
        <v>Student</v>
      </c>
      <c r="E692" s="1">
        <f ca="1">IFERROR(__xludf.DUMMYFUNCTION("""COMPUTED_VALUE"""),14)</f>
        <v>14</v>
      </c>
      <c r="F692" s="1"/>
    </row>
    <row r="693" spans="1:6" ht="12.5">
      <c r="A693" s="1" t="str">
        <f ca="1">IFERROR(__xludf.DUMMYFUNCTION("""COMPUTED_VALUE"""),"20211130MIOXO")</f>
        <v>20211130MIOXO</v>
      </c>
      <c r="B693" s="1" t="str">
        <f ca="1">IFERROR(__xludf.DUMMYFUNCTION("""COMPUTED_VALUE"""),"Wounded")</f>
        <v>Wounded</v>
      </c>
      <c r="C693" s="1" t="str">
        <f ca="1">IFERROR(__xludf.DUMMYFUNCTION("""COMPUTED_VALUE"""),"Male")</f>
        <v>Male</v>
      </c>
      <c r="D693" s="1" t="str">
        <f ca="1">IFERROR(__xludf.DUMMYFUNCTION("""COMPUTED_VALUE"""),"Teacher")</f>
        <v>Teacher</v>
      </c>
      <c r="E693" s="1">
        <f ca="1">IFERROR(__xludf.DUMMYFUNCTION("""COMPUTED_VALUE"""),47)</f>
        <v>47</v>
      </c>
      <c r="F693" s="1"/>
    </row>
    <row r="694" spans="1:6" ht="12.5">
      <c r="A694" s="1" t="str">
        <f ca="1">IFERROR(__xludf.DUMMYFUNCTION("""COMPUTED_VALUE"""),"20211130MIOXO")</f>
        <v>20211130MIOXO</v>
      </c>
      <c r="B694" s="1" t="str">
        <f ca="1">IFERROR(__xludf.DUMMYFUNCTION("""COMPUTED_VALUE"""),"Wounded")</f>
        <v>Wounded</v>
      </c>
      <c r="C694" s="1" t="str">
        <f ca="1">IFERROR(__xludf.DUMMYFUNCTION("""COMPUTED_VALUE"""),"Male")</f>
        <v>Male</v>
      </c>
      <c r="D694" s="1" t="str">
        <f ca="1">IFERROR(__xludf.DUMMYFUNCTION("""COMPUTED_VALUE"""),"Student")</f>
        <v>Student</v>
      </c>
      <c r="E694" s="1">
        <f ca="1">IFERROR(__xludf.DUMMYFUNCTION("""COMPUTED_VALUE"""),14)</f>
        <v>14</v>
      </c>
      <c r="F694" s="1"/>
    </row>
    <row r="695" spans="1:6" ht="12.5">
      <c r="A695" s="1" t="str">
        <f ca="1">IFERROR(__xludf.DUMMYFUNCTION("""COMPUTED_VALUE"""),"20211130MIOXO")</f>
        <v>20211130MIOXO</v>
      </c>
      <c r="B695" s="1" t="str">
        <f ca="1">IFERROR(__xludf.DUMMYFUNCTION("""COMPUTED_VALUE"""),"Fatal")</f>
        <v>Fatal</v>
      </c>
      <c r="C695" s="1" t="str">
        <f ca="1">IFERROR(__xludf.DUMMYFUNCTION("""COMPUTED_VALUE"""),"Female")</f>
        <v>Female</v>
      </c>
      <c r="D695" s="1" t="str">
        <f ca="1">IFERROR(__xludf.DUMMYFUNCTION("""COMPUTED_VALUE"""),"Student")</f>
        <v>Student</v>
      </c>
      <c r="E695" s="1">
        <f ca="1">IFERROR(__xludf.DUMMYFUNCTION("""COMPUTED_VALUE"""),14)</f>
        <v>14</v>
      </c>
      <c r="F695" s="1"/>
    </row>
    <row r="696" spans="1:6" ht="12.5">
      <c r="A696" s="1" t="str">
        <f ca="1">IFERROR(__xludf.DUMMYFUNCTION("""COMPUTED_VALUE"""),"20211130MIOXO")</f>
        <v>20211130MIOXO</v>
      </c>
      <c r="B696" s="1" t="str">
        <f ca="1">IFERROR(__xludf.DUMMYFUNCTION("""COMPUTED_VALUE"""),"Wounded")</f>
        <v>Wounded</v>
      </c>
      <c r="C696" s="1" t="str">
        <f ca="1">IFERROR(__xludf.DUMMYFUNCTION("""COMPUTED_VALUE"""),"Female")</f>
        <v>Female</v>
      </c>
      <c r="D696" s="1" t="str">
        <f ca="1">IFERROR(__xludf.DUMMYFUNCTION("""COMPUTED_VALUE"""),"Student")</f>
        <v>Student</v>
      </c>
      <c r="E696" s="1">
        <f ca="1">IFERROR(__xludf.DUMMYFUNCTION("""COMPUTED_VALUE"""),17)</f>
        <v>17</v>
      </c>
      <c r="F696" s="1"/>
    </row>
    <row r="697" spans="1:6" ht="12.5">
      <c r="A697" s="1" t="str">
        <f ca="1">IFERROR(__xludf.DUMMYFUNCTION("""COMPUTED_VALUE"""),"20211130MIOXO")</f>
        <v>20211130MIOXO</v>
      </c>
      <c r="B697" s="1" t="str">
        <f ca="1">IFERROR(__xludf.DUMMYFUNCTION("""COMPUTED_VALUE"""),"Fatal")</f>
        <v>Fatal</v>
      </c>
      <c r="C697" s="1" t="str">
        <f ca="1">IFERROR(__xludf.DUMMYFUNCTION("""COMPUTED_VALUE"""),"Female")</f>
        <v>Female</v>
      </c>
      <c r="D697" s="1" t="str">
        <f ca="1">IFERROR(__xludf.DUMMYFUNCTION("""COMPUTED_VALUE"""),"Student")</f>
        <v>Student</v>
      </c>
      <c r="E697" s="1">
        <f ca="1">IFERROR(__xludf.DUMMYFUNCTION("""COMPUTED_VALUE"""),17)</f>
        <v>17</v>
      </c>
      <c r="F697" s="1" t="str">
        <f ca="1">IFERROR(__xludf.DUMMYFUNCTION("""COMPUTED_VALUE"""),"White")</f>
        <v>White</v>
      </c>
    </row>
    <row r="698" spans="1:6" ht="12.5">
      <c r="A698" s="1" t="str">
        <f ca="1">IFERROR(__xludf.DUMMYFUNCTION("""COMPUTED_VALUE"""),"20211130MIOXO")</f>
        <v>20211130MIOXO</v>
      </c>
      <c r="B698" s="1" t="str">
        <f ca="1">IFERROR(__xludf.DUMMYFUNCTION("""COMPUTED_VALUE"""),"Wounded")</f>
        <v>Wounded</v>
      </c>
      <c r="C698" s="1" t="str">
        <f ca="1">IFERROR(__xludf.DUMMYFUNCTION("""COMPUTED_VALUE"""),"Male")</f>
        <v>Male</v>
      </c>
      <c r="D698" s="1" t="str">
        <f ca="1">IFERROR(__xludf.DUMMYFUNCTION("""COMPUTED_VALUE"""),"Student")</f>
        <v>Student</v>
      </c>
      <c r="E698" s="1">
        <f ca="1">IFERROR(__xludf.DUMMYFUNCTION("""COMPUTED_VALUE"""),15)</f>
        <v>15</v>
      </c>
      <c r="F698" s="1"/>
    </row>
    <row r="699" spans="1:6" ht="12.5">
      <c r="A699" s="1" t="str">
        <f ca="1">IFERROR(__xludf.DUMMYFUNCTION("""COMPUTED_VALUE"""),"20211130MIOXO")</f>
        <v>20211130MIOXO</v>
      </c>
      <c r="B699" s="1" t="str">
        <f ca="1">IFERROR(__xludf.DUMMYFUNCTION("""COMPUTED_VALUE"""),"Fatal")</f>
        <v>Fatal</v>
      </c>
      <c r="C699" s="1" t="str">
        <f ca="1">IFERROR(__xludf.DUMMYFUNCTION("""COMPUTED_VALUE"""),"Male")</f>
        <v>Male</v>
      </c>
      <c r="D699" s="1" t="str">
        <f ca="1">IFERROR(__xludf.DUMMYFUNCTION("""COMPUTED_VALUE"""),"Student")</f>
        <v>Student</v>
      </c>
      <c r="E699" s="1">
        <f ca="1">IFERROR(__xludf.DUMMYFUNCTION("""COMPUTED_VALUE"""),16)</f>
        <v>16</v>
      </c>
      <c r="F699" s="1"/>
    </row>
    <row r="700" spans="1:6" ht="12.5">
      <c r="A700" s="1" t="str">
        <f ca="1">IFERROR(__xludf.DUMMYFUNCTION("""COMPUTED_VALUE"""),"20211130MIOXO")</f>
        <v>20211130MIOXO</v>
      </c>
      <c r="B700" s="1" t="str">
        <f ca="1">IFERROR(__xludf.DUMMYFUNCTION("""COMPUTED_VALUE"""),"Wounded")</f>
        <v>Wounded</v>
      </c>
      <c r="C700" s="1" t="str">
        <f ca="1">IFERROR(__xludf.DUMMYFUNCTION("""COMPUTED_VALUE"""),"Male")</f>
        <v>Male</v>
      </c>
      <c r="D700" s="1" t="str">
        <f ca="1">IFERROR(__xludf.DUMMYFUNCTION("""COMPUTED_VALUE"""),"Student")</f>
        <v>Student</v>
      </c>
      <c r="E700" s="1">
        <f ca="1">IFERROR(__xludf.DUMMYFUNCTION("""COMPUTED_VALUE"""),17)</f>
        <v>17</v>
      </c>
      <c r="F700" s="1"/>
    </row>
    <row r="701" spans="1:6" ht="12.5">
      <c r="A701" s="1" t="str">
        <f ca="1">IFERROR(__xludf.DUMMYFUNCTION("""COMPUTED_VALUE"""),"20211130MIOXO")</f>
        <v>20211130MIOXO</v>
      </c>
      <c r="B701" s="1" t="str">
        <f ca="1">IFERROR(__xludf.DUMMYFUNCTION("""COMPUTED_VALUE"""),"Wounded")</f>
        <v>Wounded</v>
      </c>
      <c r="C701" s="1" t="str">
        <f ca="1">IFERROR(__xludf.DUMMYFUNCTION("""COMPUTED_VALUE"""),"Female")</f>
        <v>Female</v>
      </c>
      <c r="D701" s="1" t="str">
        <f ca="1">IFERROR(__xludf.DUMMYFUNCTION("""COMPUTED_VALUE"""),"Student")</f>
        <v>Student</v>
      </c>
      <c r="E701" s="1">
        <f ca="1">IFERROR(__xludf.DUMMYFUNCTION("""COMPUTED_VALUE"""),14)</f>
        <v>14</v>
      </c>
      <c r="F701" s="1"/>
    </row>
    <row r="702" spans="1:6" ht="12.5">
      <c r="A702" s="1" t="str">
        <f ca="1">IFERROR(__xludf.DUMMYFUNCTION("""COMPUTED_VALUE"""),"20211129AZCHP")</f>
        <v>20211129AZCHP</v>
      </c>
      <c r="B702" s="1" t="str">
        <f ca="1">IFERROR(__xludf.DUMMYFUNCTION("""COMPUTED_VALUE"""),"Wounded")</f>
        <v>Wounded</v>
      </c>
      <c r="C702" s="1" t="str">
        <f ca="1">IFERROR(__xludf.DUMMYFUNCTION("""COMPUTED_VALUE"""),"Male")</f>
        <v>Male</v>
      </c>
      <c r="D702" s="1" t="str">
        <f ca="1">IFERROR(__xludf.DUMMYFUNCTION("""COMPUTED_VALUE"""),"Student")</f>
        <v>Student</v>
      </c>
      <c r="E702" s="1">
        <f ca="1">IFERROR(__xludf.DUMMYFUNCTION("""COMPUTED_VALUE"""),16)</f>
        <v>16</v>
      </c>
      <c r="F702" s="1"/>
    </row>
    <row r="703" spans="1:6" ht="12.5">
      <c r="A703" s="1" t="str">
        <f ca="1">IFERROR(__xludf.DUMMYFUNCTION("""COMPUTED_VALUE"""),"20211126CAWES")</f>
        <v>20211126CAWES</v>
      </c>
      <c r="B703" s="1" t="str">
        <f ca="1">IFERROR(__xludf.DUMMYFUNCTION("""COMPUTED_VALUE"""),"Wounded")</f>
        <v>Wounded</v>
      </c>
      <c r="C703" s="1" t="str">
        <f ca="1">IFERROR(__xludf.DUMMYFUNCTION("""COMPUTED_VALUE"""),"Male")</f>
        <v>Male</v>
      </c>
      <c r="D703" s="1" t="str">
        <f ca="1">IFERROR(__xludf.DUMMYFUNCTION("""COMPUTED_VALUE"""),"Nonstudent Using Athletic Facilities/Attending Game")</f>
        <v>Nonstudent Using Athletic Facilities/Attending Game</v>
      </c>
      <c r="E703" s="1" t="str">
        <f ca="1">IFERROR(__xludf.DUMMYFUNCTION("""COMPUTED_VALUE"""),"Adult")</f>
        <v>Adult</v>
      </c>
      <c r="F703" s="1"/>
    </row>
    <row r="704" spans="1:6" ht="12.5">
      <c r="A704" s="1" t="str">
        <f ca="1">IFERROR(__xludf.DUMMYFUNCTION("""COMPUTED_VALUE"""),"20211126CAWES")</f>
        <v>20211126CAWES</v>
      </c>
      <c r="B704" s="1" t="str">
        <f ca="1">IFERROR(__xludf.DUMMYFUNCTION("""COMPUTED_VALUE"""),"Wounded")</f>
        <v>Wounded</v>
      </c>
      <c r="C704" s="1" t="str">
        <f ca="1">IFERROR(__xludf.DUMMYFUNCTION("""COMPUTED_VALUE"""),"Male")</f>
        <v>Male</v>
      </c>
      <c r="D704" s="1" t="str">
        <f ca="1">IFERROR(__xludf.DUMMYFUNCTION("""COMPUTED_VALUE"""),"Nonstudent Using Athletic Facilities/Attending Game")</f>
        <v>Nonstudent Using Athletic Facilities/Attending Game</v>
      </c>
      <c r="E704" s="1" t="str">
        <f ca="1">IFERROR(__xludf.DUMMYFUNCTION("""COMPUTED_VALUE"""),"Adult")</f>
        <v>Adult</v>
      </c>
      <c r="F704" s="1"/>
    </row>
    <row r="705" spans="1:6" ht="12.5">
      <c r="A705" s="1" t="str">
        <f ca="1">IFERROR(__xludf.DUMMYFUNCTION("""COMPUTED_VALUE"""),"20211119MDGIB")</f>
        <v>20211119MDGIB</v>
      </c>
      <c r="B705" s="1" t="str">
        <f ca="1">IFERROR(__xludf.DUMMYFUNCTION("""COMPUTED_VALUE"""),"Fatal")</f>
        <v>Fatal</v>
      </c>
      <c r="C705" s="1" t="str">
        <f ca="1">IFERROR(__xludf.DUMMYFUNCTION("""COMPUTED_VALUE"""),"Female")</f>
        <v>Female</v>
      </c>
      <c r="D705" s="1"/>
      <c r="E705" s="1">
        <f ca="1">IFERROR(__xludf.DUMMYFUNCTION("""COMPUTED_VALUE"""),13)</f>
        <v>13</v>
      </c>
      <c r="F705" s="1"/>
    </row>
    <row r="706" spans="1:6" ht="12.5">
      <c r="A706" s="1" t="str">
        <f ca="1">IFERROR(__xludf.DUMMYFUNCTION("""COMPUTED_VALUE"""),"20211119COHIA")</f>
        <v>20211119COHIA</v>
      </c>
      <c r="B706" s="1" t="str">
        <f ca="1">IFERROR(__xludf.DUMMYFUNCTION("""COMPUTED_VALUE"""),"Wounded")</f>
        <v>Wounded</v>
      </c>
      <c r="C706" s="1" t="str">
        <f ca="1">IFERROR(__xludf.DUMMYFUNCTION("""COMPUTED_VALUE"""),"Male")</f>
        <v>Male</v>
      </c>
      <c r="D706" s="1" t="str">
        <f ca="1">IFERROR(__xludf.DUMMYFUNCTION("""COMPUTED_VALUE"""),"Student")</f>
        <v>Student</v>
      </c>
      <c r="E706" s="1" t="str">
        <f ca="1">IFERROR(__xludf.DUMMYFUNCTION("""COMPUTED_VALUE"""),"Teen")</f>
        <v>Teen</v>
      </c>
      <c r="F706" s="1"/>
    </row>
    <row r="707" spans="1:6" ht="12.5">
      <c r="A707" s="1" t="str">
        <f ca="1">IFERROR(__xludf.DUMMYFUNCTION("""COMPUTED_VALUE"""),"20211119COHIA")</f>
        <v>20211119COHIA</v>
      </c>
      <c r="B707" s="1" t="str">
        <f ca="1">IFERROR(__xludf.DUMMYFUNCTION("""COMPUTED_VALUE"""),"Wounded")</f>
        <v>Wounded</v>
      </c>
      <c r="C707" s="1" t="str">
        <f ca="1">IFERROR(__xludf.DUMMYFUNCTION("""COMPUTED_VALUE"""),"Male")</f>
        <v>Male</v>
      </c>
      <c r="D707" s="1" t="str">
        <f ca="1">IFERROR(__xludf.DUMMYFUNCTION("""COMPUTED_VALUE"""),"Student")</f>
        <v>Student</v>
      </c>
      <c r="E707" s="1" t="str">
        <f ca="1">IFERROR(__xludf.DUMMYFUNCTION("""COMPUTED_VALUE"""),"Teen")</f>
        <v>Teen</v>
      </c>
      <c r="F707" s="1"/>
    </row>
    <row r="708" spans="1:6" ht="12.5">
      <c r="A708" s="1" t="str">
        <f ca="1">IFERROR(__xludf.DUMMYFUNCTION("""COMPUTED_VALUE"""),"20211119COHIA")</f>
        <v>20211119COHIA</v>
      </c>
      <c r="B708" s="1" t="str">
        <f ca="1">IFERROR(__xludf.DUMMYFUNCTION("""COMPUTED_VALUE"""),"Wounded")</f>
        <v>Wounded</v>
      </c>
      <c r="C708" s="1" t="str">
        <f ca="1">IFERROR(__xludf.DUMMYFUNCTION("""COMPUTED_VALUE"""),"Male")</f>
        <v>Male</v>
      </c>
      <c r="D708" s="1" t="str">
        <f ca="1">IFERROR(__xludf.DUMMYFUNCTION("""COMPUTED_VALUE"""),"Student")</f>
        <v>Student</v>
      </c>
      <c r="E708" s="1" t="str">
        <f ca="1">IFERROR(__xludf.DUMMYFUNCTION("""COMPUTED_VALUE"""),"Teen")</f>
        <v>Teen</v>
      </c>
      <c r="F708" s="1"/>
    </row>
    <row r="709" spans="1:6" ht="12.5">
      <c r="A709" s="1" t="str">
        <f ca="1">IFERROR(__xludf.DUMMYFUNCTION("""COMPUTED_VALUE"""),"20211108NYTHB")</f>
        <v>20211108NYTHB</v>
      </c>
      <c r="B709" s="1" t="str">
        <f ca="1">IFERROR(__xludf.DUMMYFUNCTION("""COMPUTED_VALUE"""),"Wounded")</f>
        <v>Wounded</v>
      </c>
      <c r="C709" s="1" t="str">
        <f ca="1">IFERROR(__xludf.DUMMYFUNCTION("""COMPUTED_VALUE"""),"Male")</f>
        <v>Male</v>
      </c>
      <c r="D709" s="1" t="str">
        <f ca="1">IFERROR(__xludf.DUMMYFUNCTION("""COMPUTED_VALUE"""),"Student")</f>
        <v>Student</v>
      </c>
      <c r="E709" s="1">
        <f ca="1">IFERROR(__xludf.DUMMYFUNCTION("""COMPUTED_VALUE"""),17)</f>
        <v>17</v>
      </c>
      <c r="F709" s="1"/>
    </row>
    <row r="710" spans="1:6" ht="12.5">
      <c r="A710" s="1" t="str">
        <f ca="1">IFERROR(__xludf.DUMMYFUNCTION("""COMPUTED_VALUE"""),"20211102NMHIH")</f>
        <v>20211102NMHIH</v>
      </c>
      <c r="B710" s="1" t="str">
        <f ca="1">IFERROR(__xludf.DUMMYFUNCTION("""COMPUTED_VALUE"""),"Wounded")</f>
        <v>Wounded</v>
      </c>
      <c r="C710" s="1" t="str">
        <f ca="1">IFERROR(__xludf.DUMMYFUNCTION("""COMPUTED_VALUE"""),"Male")</f>
        <v>Male</v>
      </c>
      <c r="D710" s="1" t="str">
        <f ca="1">IFERROR(__xludf.DUMMYFUNCTION("""COMPUTED_VALUE"""),"Student")</f>
        <v>Student</v>
      </c>
      <c r="E710" s="1" t="str">
        <f ca="1">IFERROR(__xludf.DUMMYFUNCTION("""COMPUTED_VALUE"""),"Child")</f>
        <v>Child</v>
      </c>
      <c r="F710" s="1"/>
    </row>
    <row r="711" spans="1:6" ht="12.5">
      <c r="A711" s="1" t="str">
        <f ca="1">IFERROR(__xludf.DUMMYFUNCTION("""COMPUTED_VALUE"""),"20211102NMHIH")</f>
        <v>20211102NMHIH</v>
      </c>
      <c r="B711" s="1" t="str">
        <f ca="1">IFERROR(__xludf.DUMMYFUNCTION("""COMPUTED_VALUE"""),"Wounded")</f>
        <v>Wounded</v>
      </c>
      <c r="C711" s="1"/>
      <c r="D711" s="1" t="str">
        <f ca="1">IFERROR(__xludf.DUMMYFUNCTION("""COMPUTED_VALUE"""),"Student")</f>
        <v>Student</v>
      </c>
      <c r="E711" s="1" t="str">
        <f ca="1">IFERROR(__xludf.DUMMYFUNCTION("""COMPUTED_VALUE"""),"Child")</f>
        <v>Child</v>
      </c>
      <c r="F711" s="1"/>
    </row>
    <row r="712" spans="1:6" ht="12.5">
      <c r="A712" s="1" t="str">
        <f ca="1">IFERROR(__xludf.DUMMYFUNCTION("""COMPUTED_VALUE"""),"20211102NMHIH")</f>
        <v>20211102NMHIH</v>
      </c>
      <c r="B712" s="1" t="str">
        <f ca="1">IFERROR(__xludf.DUMMYFUNCTION("""COMPUTED_VALUE"""),"Wounded")</f>
        <v>Wounded</v>
      </c>
      <c r="C712" s="1"/>
      <c r="D712" s="1" t="str">
        <f ca="1">IFERROR(__xludf.DUMMYFUNCTION("""COMPUTED_VALUE"""),"Student")</f>
        <v>Student</v>
      </c>
      <c r="E712" s="1" t="str">
        <f ca="1">IFERROR(__xludf.DUMMYFUNCTION("""COMPUTED_VALUE"""),"Child")</f>
        <v>Child</v>
      </c>
      <c r="F712" s="1"/>
    </row>
    <row r="713" spans="1:6" ht="12.5">
      <c r="A713" s="1" t="str">
        <f ca="1">IFERROR(__xludf.DUMMYFUNCTION("""COMPUTED_VALUE"""),"20211102NMHIH")</f>
        <v>20211102NMHIH</v>
      </c>
      <c r="B713" s="1" t="str">
        <f ca="1">IFERROR(__xludf.DUMMYFUNCTION("""COMPUTED_VALUE"""),"None")</f>
        <v>None</v>
      </c>
      <c r="C713" s="1"/>
      <c r="D713" s="1" t="str">
        <f ca="1">IFERROR(__xludf.DUMMYFUNCTION("""COMPUTED_VALUE"""),"Teacher")</f>
        <v>Teacher</v>
      </c>
      <c r="E713" s="1" t="str">
        <f ca="1">IFERROR(__xludf.DUMMYFUNCTION("""COMPUTED_VALUE"""),"Adult")</f>
        <v>Adult</v>
      </c>
      <c r="F713" s="1"/>
    </row>
    <row r="714" spans="1:6" ht="12.5">
      <c r="A714" s="1" t="str">
        <f ca="1">IFERROR(__xludf.DUMMYFUNCTION("""COMPUTED_VALUE"""),"20211030PASTM")</f>
        <v>20211030PASTM</v>
      </c>
      <c r="B714" s="1" t="str">
        <f ca="1">IFERROR(__xludf.DUMMYFUNCTION("""COMPUTED_VALUE"""),"Wounded")</f>
        <v>Wounded</v>
      </c>
      <c r="C714" s="1" t="str">
        <f ca="1">IFERROR(__xludf.DUMMYFUNCTION("""COMPUTED_VALUE"""),"Male")</f>
        <v>Male</v>
      </c>
      <c r="D714" s="1" t="str">
        <f ca="1">IFERROR(__xludf.DUMMYFUNCTION("""COMPUTED_VALUE"""),"Nonstudent Using Athletic Facilities/Attending Game")</f>
        <v>Nonstudent Using Athletic Facilities/Attending Game</v>
      </c>
      <c r="E714" s="1" t="str">
        <f ca="1">IFERROR(__xludf.DUMMYFUNCTION("""COMPUTED_VALUE"""),"Adult")</f>
        <v>Adult</v>
      </c>
      <c r="F714" s="1"/>
    </row>
    <row r="715" spans="1:6" ht="12.5">
      <c r="A715" s="1" t="str">
        <f ca="1">IFERROR(__xludf.DUMMYFUNCTION("""COMPUTED_VALUE"""),"20211021NYPSB")</f>
        <v>20211021NYPSB</v>
      </c>
      <c r="B715" s="1" t="str">
        <f ca="1">IFERROR(__xludf.DUMMYFUNCTION("""COMPUTED_VALUE"""),"Wounded")</f>
        <v>Wounded</v>
      </c>
      <c r="C715" s="1" t="str">
        <f ca="1">IFERROR(__xludf.DUMMYFUNCTION("""COMPUTED_VALUE"""),"Male")</f>
        <v>Male</v>
      </c>
      <c r="D715" s="1" t="str">
        <f ca="1">IFERROR(__xludf.DUMMYFUNCTION("""COMPUTED_VALUE"""),"No Relation")</f>
        <v>No Relation</v>
      </c>
      <c r="E715" s="1">
        <f ca="1">IFERROR(__xludf.DUMMYFUNCTION("""COMPUTED_VALUE"""),25)</f>
        <v>25</v>
      </c>
      <c r="F715" s="1"/>
    </row>
    <row r="716" spans="1:6" ht="12.5">
      <c r="A716" s="1" t="str">
        <f ca="1">IFERROR(__xludf.DUMMYFUNCTION("""COMPUTED_VALUE"""),"20211021GABES")</f>
        <v>20211021GABES</v>
      </c>
      <c r="B716" s="1" t="str">
        <f ca="1">IFERROR(__xludf.DUMMYFUNCTION("""COMPUTED_VALUE"""),"Non-gunshot Injury")</f>
        <v>Non-gunshot Injury</v>
      </c>
      <c r="C716" s="1"/>
      <c r="D716" s="1"/>
      <c r="E716" s="1"/>
      <c r="F716" s="1"/>
    </row>
    <row r="717" spans="1:6" ht="12.5">
      <c r="A717" s="1" t="str">
        <f ca="1">IFERROR(__xludf.DUMMYFUNCTION("""COMPUTED_VALUE"""),"20211018PALIP")</f>
        <v>20211018PALIP</v>
      </c>
      <c r="B717" s="1" t="str">
        <f ca="1">IFERROR(__xludf.DUMMYFUNCTION("""COMPUTED_VALUE"""),"Wounded")</f>
        <v>Wounded</v>
      </c>
      <c r="C717" s="1" t="str">
        <f ca="1">IFERROR(__xludf.DUMMYFUNCTION("""COMPUTED_VALUE"""),"Male")</f>
        <v>Male</v>
      </c>
      <c r="D717" s="1" t="str">
        <f ca="1">IFERROR(__xludf.DUMMYFUNCTION("""COMPUTED_VALUE"""),"Student")</f>
        <v>Student</v>
      </c>
      <c r="E717" s="1">
        <f ca="1">IFERROR(__xludf.DUMMYFUNCTION("""COMPUTED_VALUE"""),16)</f>
        <v>16</v>
      </c>
      <c r="F717" s="1"/>
    </row>
    <row r="718" spans="1:6" ht="12.5">
      <c r="A718" s="1" t="str">
        <f ca="1">IFERROR(__xludf.DUMMYFUNCTION("""COMPUTED_VALUE"""),"20211018PALIP")</f>
        <v>20211018PALIP</v>
      </c>
      <c r="B718" s="1" t="str">
        <f ca="1">IFERROR(__xludf.DUMMYFUNCTION("""COMPUTED_VALUE"""),"Wounded")</f>
        <v>Wounded</v>
      </c>
      <c r="C718" s="1" t="str">
        <f ca="1">IFERROR(__xludf.DUMMYFUNCTION("""COMPUTED_VALUE"""),"Male")</f>
        <v>Male</v>
      </c>
      <c r="D718" s="1" t="str">
        <f ca="1">IFERROR(__xludf.DUMMYFUNCTION("""COMPUTED_VALUE"""),"No Relation")</f>
        <v>No Relation</v>
      </c>
      <c r="E718" s="1">
        <f ca="1">IFERROR(__xludf.DUMMYFUNCTION("""COMPUTED_VALUE"""),66)</f>
        <v>66</v>
      </c>
      <c r="F718" s="1"/>
    </row>
    <row r="719" spans="1:6" ht="12.5">
      <c r="A719" s="1" t="str">
        <f ca="1">IFERROR(__xludf.DUMMYFUNCTION("""COMPUTED_VALUE"""),"20211015CAKEF")</f>
        <v>20211015CAKEF</v>
      </c>
      <c r="B719" s="1" t="str">
        <f ca="1">IFERROR(__xludf.DUMMYFUNCTION("""COMPUTED_VALUE"""),"Wounded")</f>
        <v>Wounded</v>
      </c>
      <c r="C719" s="1"/>
      <c r="D719" s="1"/>
      <c r="E719" s="1"/>
      <c r="F719" s="1"/>
    </row>
    <row r="720" spans="1:6" ht="12.5">
      <c r="A720" s="1" t="str">
        <f ca="1">IFERROR(__xludf.DUMMYFUNCTION("""COMPUTED_VALUE"""),"20211015ALWIM")</f>
        <v>20211015ALWIM</v>
      </c>
      <c r="B720" s="1" t="str">
        <f ca="1">IFERROR(__xludf.DUMMYFUNCTION("""COMPUTED_VALUE"""),"Wounded")</f>
        <v>Wounded</v>
      </c>
      <c r="C720" s="1" t="str">
        <f ca="1">IFERROR(__xludf.DUMMYFUNCTION("""COMPUTED_VALUE"""),"Male")</f>
        <v>Male</v>
      </c>
      <c r="D720" s="1"/>
      <c r="E720" s="1"/>
      <c r="F720" s="1"/>
    </row>
    <row r="721" spans="1:6" ht="12.5">
      <c r="A721" s="1" t="str">
        <f ca="1">IFERROR(__xludf.DUMMYFUNCTION("""COMPUTED_VALUE"""),"20211015ALWIM")</f>
        <v>20211015ALWIM</v>
      </c>
      <c r="B721" s="1" t="str">
        <f ca="1">IFERROR(__xludf.DUMMYFUNCTION("""COMPUTED_VALUE"""),"Wounded")</f>
        <v>Wounded</v>
      </c>
      <c r="C721" s="1" t="str">
        <f ca="1">IFERROR(__xludf.DUMMYFUNCTION("""COMPUTED_VALUE"""),"Male")</f>
        <v>Male</v>
      </c>
      <c r="D721" s="1"/>
      <c r="E721" s="1"/>
      <c r="F721" s="1"/>
    </row>
    <row r="722" spans="1:6" ht="12.5">
      <c r="A722" s="1" t="str">
        <f ca="1">IFERROR(__xludf.DUMMYFUNCTION("""COMPUTED_VALUE"""),"20211015ALWIM")</f>
        <v>20211015ALWIM</v>
      </c>
      <c r="B722" s="1" t="str">
        <f ca="1">IFERROR(__xludf.DUMMYFUNCTION("""COMPUTED_VALUE"""),"Wounded")</f>
        <v>Wounded</v>
      </c>
      <c r="C722" s="1" t="str">
        <f ca="1">IFERROR(__xludf.DUMMYFUNCTION("""COMPUTED_VALUE"""),"Female")</f>
        <v>Female</v>
      </c>
      <c r="D722" s="1"/>
      <c r="E722" s="1"/>
      <c r="F722" s="1"/>
    </row>
    <row r="723" spans="1:6" ht="12.5">
      <c r="A723" s="1" t="str">
        <f ca="1">IFERROR(__xludf.DUMMYFUNCTION("""COMPUTED_VALUE"""),"20211015ALWIM")</f>
        <v>20211015ALWIM</v>
      </c>
      <c r="B723" s="1" t="str">
        <f ca="1">IFERROR(__xludf.DUMMYFUNCTION("""COMPUTED_VALUE"""),"Wounded")</f>
        <v>Wounded</v>
      </c>
      <c r="C723" s="1" t="str">
        <f ca="1">IFERROR(__xludf.DUMMYFUNCTION("""COMPUTED_VALUE"""),"Male")</f>
        <v>Male</v>
      </c>
      <c r="D723" s="1"/>
      <c r="E723" s="1"/>
      <c r="F723" s="1"/>
    </row>
    <row r="724" spans="1:6" ht="12.5">
      <c r="A724" s="1" t="str">
        <f ca="1">IFERROR(__xludf.DUMMYFUNCTION("""COMPUTED_VALUE"""),"20211014MEREP")</f>
        <v>20211014MEREP</v>
      </c>
      <c r="B724" s="1" t="str">
        <f ca="1">IFERROR(__xludf.DUMMYFUNCTION("""COMPUTED_VALUE"""),"Fatal")</f>
        <v>Fatal</v>
      </c>
      <c r="C724" s="1"/>
      <c r="D724" s="1" t="str">
        <f ca="1">IFERROR(__xludf.DUMMYFUNCTION("""COMPUTED_VALUE"""),"No Relation")</f>
        <v>No Relation</v>
      </c>
      <c r="E724" s="1"/>
      <c r="F724" s="1"/>
    </row>
    <row r="725" spans="1:6" ht="12.5">
      <c r="A725" s="1" t="str">
        <f ca="1">IFERROR(__xludf.DUMMYFUNCTION("""COMPUTED_VALUE"""),"20211013PACHD")</f>
        <v>20211013PACHD</v>
      </c>
      <c r="B725" s="1" t="str">
        <f ca="1">IFERROR(__xludf.DUMMYFUNCTION("""COMPUTED_VALUE"""),"Non-gunshot Injury")</f>
        <v>Non-gunshot Injury</v>
      </c>
      <c r="C725" s="1"/>
      <c r="D725" s="1" t="str">
        <f ca="1">IFERROR(__xludf.DUMMYFUNCTION("""COMPUTED_VALUE"""),"Student")</f>
        <v>Student</v>
      </c>
      <c r="E725" s="1" t="str">
        <f ca="1">IFERROR(__xludf.DUMMYFUNCTION("""COMPUTED_VALUE"""),"Child")</f>
        <v>Child</v>
      </c>
      <c r="F725" s="1"/>
    </row>
    <row r="726" spans="1:6" ht="12.5">
      <c r="A726" s="1" t="str">
        <f ca="1">IFERROR(__xludf.DUMMYFUNCTION("""COMPUTED_VALUE"""),"20211013PACHD")</f>
        <v>20211013PACHD</v>
      </c>
      <c r="B726" s="1" t="str">
        <f ca="1">IFERROR(__xludf.DUMMYFUNCTION("""COMPUTED_VALUE"""),"Non-gunshot Injury")</f>
        <v>Non-gunshot Injury</v>
      </c>
      <c r="C726" s="1"/>
      <c r="D726" s="1" t="str">
        <f ca="1">IFERROR(__xludf.DUMMYFUNCTION("""COMPUTED_VALUE"""),"Student")</f>
        <v>Student</v>
      </c>
      <c r="E726" s="1" t="str">
        <f ca="1">IFERROR(__xludf.DUMMYFUNCTION("""COMPUTED_VALUE"""),"Child")</f>
        <v>Child</v>
      </c>
      <c r="F726" s="1"/>
    </row>
    <row r="727" spans="1:6" ht="12.5">
      <c r="A727" s="1" t="str">
        <f ca="1">IFERROR(__xludf.DUMMYFUNCTION("""COMPUTED_VALUE"""),"20211013PACHD")</f>
        <v>20211013PACHD</v>
      </c>
      <c r="B727" s="1" t="str">
        <f ca="1">IFERROR(__xludf.DUMMYFUNCTION("""COMPUTED_VALUE"""),"Non-gunshot Injury")</f>
        <v>Non-gunshot Injury</v>
      </c>
      <c r="C727" s="1"/>
      <c r="D727" s="1" t="str">
        <f ca="1">IFERROR(__xludf.DUMMYFUNCTION("""COMPUTED_VALUE"""),"Student")</f>
        <v>Student</v>
      </c>
      <c r="E727" s="1" t="str">
        <f ca="1">IFERROR(__xludf.DUMMYFUNCTION("""COMPUTED_VALUE"""),"Child")</f>
        <v>Child</v>
      </c>
      <c r="F727" s="1"/>
    </row>
    <row r="728" spans="1:6" ht="12.5">
      <c r="A728" s="1" t="str">
        <f ca="1">IFERROR(__xludf.DUMMYFUNCTION("""COMPUTED_VALUE"""),"20211013PACHD")</f>
        <v>20211013PACHD</v>
      </c>
      <c r="B728" s="1" t="str">
        <f ca="1">IFERROR(__xludf.DUMMYFUNCTION("""COMPUTED_VALUE"""),"Non-gunshot Injury")</f>
        <v>Non-gunshot Injury</v>
      </c>
      <c r="C728" s="1"/>
      <c r="D728" s="1" t="str">
        <f ca="1">IFERROR(__xludf.DUMMYFUNCTION("""COMPUTED_VALUE"""),"Student")</f>
        <v>Student</v>
      </c>
      <c r="E728" s="1" t="str">
        <f ca="1">IFERROR(__xludf.DUMMYFUNCTION("""COMPUTED_VALUE"""),"Child")</f>
        <v>Child</v>
      </c>
      <c r="F728" s="1"/>
    </row>
    <row r="729" spans="1:6" ht="12.5">
      <c r="A729" s="1" t="str">
        <f ca="1">IFERROR(__xludf.DUMMYFUNCTION("""COMPUTED_VALUE"""),"20211012MIELK")</f>
        <v>20211012MIELK</v>
      </c>
      <c r="B729" s="1" t="str">
        <f ca="1">IFERROR(__xludf.DUMMYFUNCTION("""COMPUTED_VALUE"""),"Wounded")</f>
        <v>Wounded</v>
      </c>
      <c r="C729" s="1" t="str">
        <f ca="1">IFERROR(__xludf.DUMMYFUNCTION("""COMPUTED_VALUE"""),"Male")</f>
        <v>Male</v>
      </c>
      <c r="D729" s="1" t="str">
        <f ca="1">IFERROR(__xludf.DUMMYFUNCTION("""COMPUTED_VALUE"""),"No Relation")</f>
        <v>No Relation</v>
      </c>
      <c r="E729" s="1">
        <f ca="1">IFERROR(__xludf.DUMMYFUNCTION("""COMPUTED_VALUE"""),15)</f>
        <v>15</v>
      </c>
      <c r="F729" s="1"/>
    </row>
    <row r="730" spans="1:6" ht="12.5">
      <c r="A730" s="1" t="str">
        <f ca="1">IFERROR(__xludf.DUMMYFUNCTION("""COMPUTED_VALUE"""),"20211012MIELK")</f>
        <v>20211012MIELK</v>
      </c>
      <c r="B730" s="1" t="str">
        <f ca="1">IFERROR(__xludf.DUMMYFUNCTION("""COMPUTED_VALUE"""),"Wounded")</f>
        <v>Wounded</v>
      </c>
      <c r="C730" s="1" t="str">
        <f ca="1">IFERROR(__xludf.DUMMYFUNCTION("""COMPUTED_VALUE"""),"Male")</f>
        <v>Male</v>
      </c>
      <c r="D730" s="1" t="str">
        <f ca="1">IFERROR(__xludf.DUMMYFUNCTION("""COMPUTED_VALUE"""),"No Relation")</f>
        <v>No Relation</v>
      </c>
      <c r="E730" s="1">
        <f ca="1">IFERROR(__xludf.DUMMYFUNCTION("""COMPUTED_VALUE"""),17)</f>
        <v>17</v>
      </c>
      <c r="F730" s="1"/>
    </row>
    <row r="731" spans="1:6" ht="12.5">
      <c r="A731" s="1" t="str">
        <f ca="1">IFERROR(__xludf.DUMMYFUNCTION("""COMPUTED_VALUE"""),"20211012ILWEC")</f>
        <v>20211012ILWEC</v>
      </c>
      <c r="B731" s="1" t="str">
        <f ca="1">IFERROR(__xludf.DUMMYFUNCTION("""COMPUTED_VALUE"""),"Wounded")</f>
        <v>Wounded</v>
      </c>
      <c r="C731" s="1" t="str">
        <f ca="1">IFERROR(__xludf.DUMMYFUNCTION("""COMPUTED_VALUE"""),"Female")</f>
        <v>Female</v>
      </c>
      <c r="D731" s="1" t="str">
        <f ca="1">IFERROR(__xludf.DUMMYFUNCTION("""COMPUTED_VALUE"""),"Student")</f>
        <v>Student</v>
      </c>
      <c r="E731" s="1">
        <f ca="1">IFERROR(__xludf.DUMMYFUNCTION("""COMPUTED_VALUE"""),14)</f>
        <v>14</v>
      </c>
      <c r="F731" s="1"/>
    </row>
    <row r="732" spans="1:6" ht="12.5">
      <c r="A732" s="1" t="str">
        <f ca="1">IFERROR(__xludf.DUMMYFUNCTION("""COMPUTED_VALUE"""),"20211012ILWEC")</f>
        <v>20211012ILWEC</v>
      </c>
      <c r="B732" s="1" t="str">
        <f ca="1">IFERROR(__xludf.DUMMYFUNCTION("""COMPUTED_VALUE"""),"Wounded")</f>
        <v>Wounded</v>
      </c>
      <c r="C732" s="1" t="str">
        <f ca="1">IFERROR(__xludf.DUMMYFUNCTION("""COMPUTED_VALUE"""),"Male")</f>
        <v>Male</v>
      </c>
      <c r="D732" s="1" t="str">
        <f ca="1">IFERROR(__xludf.DUMMYFUNCTION("""COMPUTED_VALUE"""),"Security Guard")</f>
        <v>Security Guard</v>
      </c>
      <c r="E732" s="1">
        <f ca="1">IFERROR(__xludf.DUMMYFUNCTION("""COMPUTED_VALUE"""),46)</f>
        <v>46</v>
      </c>
      <c r="F732" s="1"/>
    </row>
    <row r="733" spans="1:6" ht="12.5">
      <c r="A733" s="1" t="str">
        <f ca="1">IFERROR(__xludf.DUMMYFUNCTION("""COMPUTED_VALUE"""),"20211011ORROP")</f>
        <v>20211011ORROP</v>
      </c>
      <c r="B733" s="1" t="str">
        <f ca="1">IFERROR(__xludf.DUMMYFUNCTION("""COMPUTED_VALUE"""),"Wounded")</f>
        <v>Wounded</v>
      </c>
      <c r="C733" s="1" t="str">
        <f ca="1">IFERROR(__xludf.DUMMYFUNCTION("""COMPUTED_VALUE"""),"Male")</f>
        <v>Male</v>
      </c>
      <c r="D733" s="1" t="str">
        <f ca="1">IFERROR(__xludf.DUMMYFUNCTION("""COMPUTED_VALUE"""),"Student")</f>
        <v>Student</v>
      </c>
      <c r="E733" s="1" t="str">
        <f ca="1">IFERROR(__xludf.DUMMYFUNCTION("""COMPUTED_VALUE"""),"Teen")</f>
        <v>Teen</v>
      </c>
      <c r="F733" s="1"/>
    </row>
    <row r="734" spans="1:6" ht="12.5">
      <c r="A734" s="1" t="str">
        <f ca="1">IFERROR(__xludf.DUMMYFUNCTION("""COMPUTED_VALUE"""),"20211007TXEAW")</f>
        <v>20211007TXEAW</v>
      </c>
      <c r="B734" s="1" t="str">
        <f ca="1">IFERROR(__xludf.DUMMYFUNCTION("""COMPUTED_VALUE"""),"Wounded")</f>
        <v>Wounded</v>
      </c>
      <c r="C734" s="1" t="str">
        <f ca="1">IFERROR(__xludf.DUMMYFUNCTION("""COMPUTED_VALUE"""),"Female")</f>
        <v>Female</v>
      </c>
      <c r="D734" s="1" t="str">
        <f ca="1">IFERROR(__xludf.DUMMYFUNCTION("""COMPUTED_VALUE"""),"Student")</f>
        <v>Student</v>
      </c>
      <c r="E734" s="1" t="str">
        <f ca="1">IFERROR(__xludf.DUMMYFUNCTION("""COMPUTED_VALUE"""),"Teen")</f>
        <v>Teen</v>
      </c>
      <c r="F734" s="1"/>
    </row>
    <row r="735" spans="1:6" ht="12.5">
      <c r="A735" s="1" t="str">
        <f ca="1">IFERROR(__xludf.DUMMYFUNCTION("""COMPUTED_VALUE"""),"20211007DCWAW")</f>
        <v>20211007DCWAW</v>
      </c>
      <c r="B735" s="1" t="str">
        <f ca="1">IFERROR(__xludf.DUMMYFUNCTION("""COMPUTED_VALUE"""),"Fatal")</f>
        <v>Fatal</v>
      </c>
      <c r="C735" s="1" t="str">
        <f ca="1">IFERROR(__xludf.DUMMYFUNCTION("""COMPUTED_VALUE"""),"Male")</f>
        <v>Male</v>
      </c>
      <c r="D735" s="1" t="str">
        <f ca="1">IFERROR(__xludf.DUMMYFUNCTION("""COMPUTED_VALUE"""),"Nonstudent Using Athletic Facilities/Attending Game")</f>
        <v>Nonstudent Using Athletic Facilities/Attending Game</v>
      </c>
      <c r="E735" s="1">
        <f ca="1">IFERROR(__xludf.DUMMYFUNCTION("""COMPUTED_VALUE"""),26)</f>
        <v>26</v>
      </c>
      <c r="F735" s="1"/>
    </row>
    <row r="736" spans="1:6" ht="12.5">
      <c r="A736" s="1" t="str">
        <f ca="1">IFERROR(__xludf.DUMMYFUNCTION("""COMPUTED_VALUE"""),"20211006TXTIA")</f>
        <v>20211006TXTIA</v>
      </c>
      <c r="B736" s="1" t="str">
        <f ca="1">IFERROR(__xludf.DUMMYFUNCTION("""COMPUTED_VALUE"""),"Wounded")</f>
        <v>Wounded</v>
      </c>
      <c r="C736" s="1" t="str">
        <f ca="1">IFERROR(__xludf.DUMMYFUNCTION("""COMPUTED_VALUE"""),"Female")</f>
        <v>Female</v>
      </c>
      <c r="D736" s="1" t="str">
        <f ca="1">IFERROR(__xludf.DUMMYFUNCTION("""COMPUTED_VALUE"""),"Student")</f>
        <v>Student</v>
      </c>
      <c r="E736" s="1" t="str">
        <f ca="1">IFERROR(__xludf.DUMMYFUNCTION("""COMPUTED_VALUE"""),"Teen")</f>
        <v>Teen</v>
      </c>
      <c r="F736" s="1"/>
    </row>
    <row r="737" spans="1:6" ht="12.5">
      <c r="A737" s="1" t="str">
        <f ca="1">IFERROR(__xludf.DUMMYFUNCTION("""COMPUTED_VALUE"""),"20211006TXTIA")</f>
        <v>20211006TXTIA</v>
      </c>
      <c r="B737" s="1" t="str">
        <f ca="1">IFERROR(__xludf.DUMMYFUNCTION("""COMPUTED_VALUE"""),"Wounded")</f>
        <v>Wounded</v>
      </c>
      <c r="C737" s="1" t="str">
        <f ca="1">IFERROR(__xludf.DUMMYFUNCTION("""COMPUTED_VALUE"""),"Male")</f>
        <v>Male</v>
      </c>
      <c r="D737" s="1" t="str">
        <f ca="1">IFERROR(__xludf.DUMMYFUNCTION("""COMPUTED_VALUE"""),"Teacher")</f>
        <v>Teacher</v>
      </c>
      <c r="E737" s="1">
        <f ca="1">IFERROR(__xludf.DUMMYFUNCTION("""COMPUTED_VALUE"""),25)</f>
        <v>25</v>
      </c>
      <c r="F737" s="1"/>
    </row>
    <row r="738" spans="1:6" ht="12.5">
      <c r="A738" s="1" t="str">
        <f ca="1">IFERROR(__xludf.DUMMYFUNCTION("""COMPUTED_VALUE"""),"20211006TXTIA")</f>
        <v>20211006TXTIA</v>
      </c>
      <c r="B738" s="1" t="str">
        <f ca="1">IFERROR(__xludf.DUMMYFUNCTION("""COMPUTED_VALUE"""),"Non-gunshot Injury")</f>
        <v>Non-gunshot Injury</v>
      </c>
      <c r="C738" s="1"/>
      <c r="D738" s="1" t="str">
        <f ca="1">IFERROR(__xludf.DUMMYFUNCTION("""COMPUTED_VALUE"""),"Student")</f>
        <v>Student</v>
      </c>
      <c r="E738" s="1" t="str">
        <f ca="1">IFERROR(__xludf.DUMMYFUNCTION("""COMPUTED_VALUE"""),"Teen")</f>
        <v>Teen</v>
      </c>
      <c r="F738" s="1"/>
    </row>
    <row r="739" spans="1:6" ht="12.5">
      <c r="A739" s="1" t="str">
        <f ca="1">IFERROR(__xludf.DUMMYFUNCTION("""COMPUTED_VALUE"""),"20211006TXTIA")</f>
        <v>20211006TXTIA</v>
      </c>
      <c r="B739" s="1" t="str">
        <f ca="1">IFERROR(__xludf.DUMMYFUNCTION("""COMPUTED_VALUE"""),"Wounded")</f>
        <v>Wounded</v>
      </c>
      <c r="C739" s="1" t="str">
        <f ca="1">IFERROR(__xludf.DUMMYFUNCTION("""COMPUTED_VALUE"""),"Male")</f>
        <v>Male</v>
      </c>
      <c r="D739" s="1" t="str">
        <f ca="1">IFERROR(__xludf.DUMMYFUNCTION("""COMPUTED_VALUE"""),"Student")</f>
        <v>Student</v>
      </c>
      <c r="E739" s="1">
        <f ca="1">IFERROR(__xludf.DUMMYFUNCTION("""COMPUTED_VALUE"""),15)</f>
        <v>15</v>
      </c>
      <c r="F739" s="1"/>
    </row>
    <row r="740" spans="1:6" ht="12.5">
      <c r="A740" s="1" t="str">
        <f ca="1">IFERROR(__xludf.DUMMYFUNCTION("""COMPUTED_VALUE"""),"20211004PASCP")</f>
        <v>20211004PASCP</v>
      </c>
      <c r="B740" s="1" t="str">
        <f ca="1">IFERROR(__xludf.DUMMYFUNCTION("""COMPUTED_VALUE"""),"Wounded")</f>
        <v>Wounded</v>
      </c>
      <c r="C740" s="1"/>
      <c r="D740" s="1" t="str">
        <f ca="1">IFERROR(__xludf.DUMMYFUNCTION("""COMPUTED_VALUE"""),"Police Officer/SRO")</f>
        <v>Police Officer/SRO</v>
      </c>
      <c r="E740" s="1" t="str">
        <f ca="1">IFERROR(__xludf.DUMMYFUNCTION("""COMPUTED_VALUE"""),"Adult")</f>
        <v>Adult</v>
      </c>
      <c r="F740" s="1"/>
    </row>
    <row r="741" spans="1:6" ht="12.5">
      <c r="A741" s="1" t="str">
        <f ca="1">IFERROR(__xludf.DUMMYFUNCTION("""COMPUTED_VALUE"""),"20211004PASCP")</f>
        <v>20211004PASCP</v>
      </c>
      <c r="B741" s="1" t="str">
        <f ca="1">IFERROR(__xludf.DUMMYFUNCTION("""COMPUTED_VALUE"""),"Wounded")</f>
        <v>Wounded</v>
      </c>
      <c r="C741" s="1"/>
      <c r="D741" s="1" t="str">
        <f ca="1">IFERROR(__xludf.DUMMYFUNCTION("""COMPUTED_VALUE"""),"Police Officer/SRO")</f>
        <v>Police Officer/SRO</v>
      </c>
      <c r="E741" s="1" t="str">
        <f ca="1">IFERROR(__xludf.DUMMYFUNCTION("""COMPUTED_VALUE"""),"Adult")</f>
        <v>Adult</v>
      </c>
      <c r="F741" s="1"/>
    </row>
    <row r="742" spans="1:6" ht="12.5">
      <c r="A742" s="1" t="str">
        <f ca="1">IFERROR(__xludf.DUMMYFUNCTION("""COMPUTED_VALUE"""),"20211004OHWOT")</f>
        <v>20211004OHWOT</v>
      </c>
      <c r="B742" s="1" t="str">
        <f ca="1">IFERROR(__xludf.DUMMYFUNCTION("""COMPUTED_VALUE"""),"Wounded")</f>
        <v>Wounded</v>
      </c>
      <c r="C742" s="1" t="str">
        <f ca="1">IFERROR(__xludf.DUMMYFUNCTION("""COMPUTED_VALUE"""),"Male")</f>
        <v>Male</v>
      </c>
      <c r="D742" s="1" t="str">
        <f ca="1">IFERROR(__xludf.DUMMYFUNCTION("""COMPUTED_VALUE"""),"Student")</f>
        <v>Student</v>
      </c>
      <c r="E742" s="1">
        <f ca="1">IFERROR(__xludf.DUMMYFUNCTION("""COMPUTED_VALUE"""),17)</f>
        <v>17</v>
      </c>
      <c r="F742" s="1"/>
    </row>
    <row r="743" spans="1:6" ht="12.5">
      <c r="A743" s="1" t="str">
        <f ca="1">IFERROR(__xludf.DUMMYFUNCTION("""COMPUTED_VALUE"""),"20211001TXYEH")</f>
        <v>20211001TXYEH</v>
      </c>
      <c r="B743" s="1" t="str">
        <f ca="1">IFERROR(__xludf.DUMMYFUNCTION("""COMPUTED_VALUE"""),"Wounded")</f>
        <v>Wounded</v>
      </c>
      <c r="C743" s="1" t="str">
        <f ca="1">IFERROR(__xludf.DUMMYFUNCTION("""COMPUTED_VALUE"""),"Male")</f>
        <v>Male</v>
      </c>
      <c r="D743" s="1" t="str">
        <f ca="1">IFERROR(__xludf.DUMMYFUNCTION("""COMPUTED_VALUE"""),"Principal/Vice-Principal")</f>
        <v>Principal/Vice-Principal</v>
      </c>
      <c r="E743" s="1" t="str">
        <f ca="1">IFERROR(__xludf.DUMMYFUNCTION("""COMPUTED_VALUE"""),"Adult")</f>
        <v>Adult</v>
      </c>
      <c r="F743" s="1"/>
    </row>
    <row r="744" spans="1:6" ht="12.5">
      <c r="A744" s="1" t="str">
        <f ca="1">IFERROR(__xludf.DUMMYFUNCTION("""COMPUTED_VALUE"""),"20211001NCSEF")</f>
        <v>20211001NCSEF</v>
      </c>
      <c r="B744" s="1" t="str">
        <f ca="1">IFERROR(__xludf.DUMMYFUNCTION("""COMPUTED_VALUE"""),"Wounded")</f>
        <v>Wounded</v>
      </c>
      <c r="C744" s="1" t="str">
        <f ca="1">IFERROR(__xludf.DUMMYFUNCTION("""COMPUTED_VALUE"""),"Male")</f>
        <v>Male</v>
      </c>
      <c r="D744" s="1" t="str">
        <f ca="1">IFERROR(__xludf.DUMMYFUNCTION("""COMPUTED_VALUE"""),"Nonstudent Using Athletic Facilities/Attending Game")</f>
        <v>Nonstudent Using Athletic Facilities/Attending Game</v>
      </c>
      <c r="E744" s="1">
        <f ca="1">IFERROR(__xludf.DUMMYFUNCTION("""COMPUTED_VALUE"""),18)</f>
        <v>18</v>
      </c>
      <c r="F744" s="1"/>
    </row>
    <row r="745" spans="1:6" ht="12.5">
      <c r="A745" s="1" t="str">
        <f ca="1">IFERROR(__xludf.DUMMYFUNCTION("""COMPUTED_VALUE"""),"20211001NCSEF")</f>
        <v>20211001NCSEF</v>
      </c>
      <c r="B745" s="1" t="str">
        <f ca="1">IFERROR(__xludf.DUMMYFUNCTION("""COMPUTED_VALUE"""),"Wounded")</f>
        <v>Wounded</v>
      </c>
      <c r="C745" s="1" t="str">
        <f ca="1">IFERROR(__xludf.DUMMYFUNCTION("""COMPUTED_VALUE"""),"Male")</f>
        <v>Male</v>
      </c>
      <c r="D745" s="1" t="str">
        <f ca="1">IFERROR(__xludf.DUMMYFUNCTION("""COMPUTED_VALUE"""),"Nonstudent Using Athletic Facilities/Attending Game")</f>
        <v>Nonstudent Using Athletic Facilities/Attending Game</v>
      </c>
      <c r="E745" s="1">
        <f ca="1">IFERROR(__xludf.DUMMYFUNCTION("""COMPUTED_VALUE"""),19)</f>
        <v>19</v>
      </c>
      <c r="F745" s="1"/>
    </row>
    <row r="746" spans="1:6" ht="12.5">
      <c r="A746" s="1" t="str">
        <f ca="1">IFERROR(__xludf.DUMMYFUNCTION("""COMPUTED_VALUE"""),"20211001NCNOD")</f>
        <v>20211001NCNOD</v>
      </c>
      <c r="B746" s="1" t="str">
        <f ca="1">IFERROR(__xludf.DUMMYFUNCTION("""COMPUTED_VALUE"""),"Wounded")</f>
        <v>Wounded</v>
      </c>
      <c r="C746" s="1" t="str">
        <f ca="1">IFERROR(__xludf.DUMMYFUNCTION("""COMPUTED_VALUE"""),"Male")</f>
        <v>Male</v>
      </c>
      <c r="D746" s="1" t="str">
        <f ca="1">IFERROR(__xludf.DUMMYFUNCTION("""COMPUTED_VALUE"""),"Student")</f>
        <v>Student</v>
      </c>
      <c r="E746" s="1">
        <f ca="1">IFERROR(__xludf.DUMMYFUNCTION("""COMPUTED_VALUE"""),17)</f>
        <v>17</v>
      </c>
      <c r="F746" s="1"/>
    </row>
    <row r="747" spans="1:6" ht="12.5">
      <c r="A747" s="1" t="str">
        <f ca="1">IFERROR(__xludf.DUMMYFUNCTION("""COMPUTED_VALUE"""),"20211001INBEI")</f>
        <v>20211001INBEI</v>
      </c>
      <c r="B747" s="1" t="str">
        <f ca="1">IFERROR(__xludf.DUMMYFUNCTION("""COMPUTED_VALUE"""),"Wounded")</f>
        <v>Wounded</v>
      </c>
      <c r="C747" s="1" t="str">
        <f ca="1">IFERROR(__xludf.DUMMYFUNCTION("""COMPUTED_VALUE"""),"Male")</f>
        <v>Male</v>
      </c>
      <c r="D747" s="1" t="str">
        <f ca="1">IFERROR(__xludf.DUMMYFUNCTION("""COMPUTED_VALUE"""),"Nonstudent Using Athletic Facilities/Attending Game")</f>
        <v>Nonstudent Using Athletic Facilities/Attending Game</v>
      </c>
      <c r="E747" s="1">
        <f ca="1">IFERROR(__xludf.DUMMYFUNCTION("""COMPUTED_VALUE"""),16)</f>
        <v>16</v>
      </c>
      <c r="F747" s="1"/>
    </row>
    <row r="748" spans="1:6" ht="12.5">
      <c r="A748" s="1" t="str">
        <f ca="1">IFERROR(__xludf.DUMMYFUNCTION("""COMPUTED_VALUE"""),"20210930TNCUM")</f>
        <v>20210930TNCUM</v>
      </c>
      <c r="B748" s="1" t="str">
        <f ca="1">IFERROR(__xludf.DUMMYFUNCTION("""COMPUTED_VALUE"""),"Wounded")</f>
        <v>Wounded</v>
      </c>
      <c r="C748" s="1" t="str">
        <f ca="1">IFERROR(__xludf.DUMMYFUNCTION("""COMPUTED_VALUE"""),"Male")</f>
        <v>Male</v>
      </c>
      <c r="D748" s="1" t="str">
        <f ca="1">IFERROR(__xludf.DUMMYFUNCTION("""COMPUTED_VALUE"""),"Student")</f>
        <v>Student</v>
      </c>
      <c r="E748" s="1">
        <f ca="1">IFERROR(__xludf.DUMMYFUNCTION("""COMPUTED_VALUE"""),13)</f>
        <v>13</v>
      </c>
      <c r="F748" s="1"/>
    </row>
    <row r="749" spans="1:6" ht="12.5">
      <c r="A749" s="1" t="str">
        <f ca="1">IFERROR(__xludf.DUMMYFUNCTION("""COMPUTED_VALUE"""),"20210930MSNEN")</f>
        <v>20210930MSNEN</v>
      </c>
      <c r="B749" s="1" t="str">
        <f ca="1">IFERROR(__xludf.DUMMYFUNCTION("""COMPUTED_VALUE"""),"Wounded")</f>
        <v>Wounded</v>
      </c>
      <c r="C749" s="1" t="str">
        <f ca="1">IFERROR(__xludf.DUMMYFUNCTION("""COMPUTED_VALUE"""),"Male")</f>
        <v>Male</v>
      </c>
      <c r="D749" s="1" t="str">
        <f ca="1">IFERROR(__xludf.DUMMYFUNCTION("""COMPUTED_VALUE"""),"Student")</f>
        <v>Student</v>
      </c>
      <c r="E749" s="1">
        <f ca="1">IFERROR(__xludf.DUMMYFUNCTION("""COMPUTED_VALUE"""),6)</f>
        <v>6</v>
      </c>
      <c r="F749" s="1"/>
    </row>
    <row r="750" spans="1:6" ht="12.5">
      <c r="A750" s="1" t="str">
        <f ca="1">IFERROR(__xludf.DUMMYFUNCTION("""COMPUTED_VALUE"""),"20210928MESOS")</f>
        <v>20210928MESOS</v>
      </c>
      <c r="B750" s="1" t="str">
        <f ca="1">IFERROR(__xludf.DUMMYFUNCTION("""COMPUTED_VALUE"""),"Wounded")</f>
        <v>Wounded</v>
      </c>
      <c r="C750" s="1" t="str">
        <f ca="1">IFERROR(__xludf.DUMMYFUNCTION("""COMPUTED_VALUE"""),"Male")</f>
        <v>Male</v>
      </c>
      <c r="D750" s="1" t="str">
        <f ca="1">IFERROR(__xludf.DUMMYFUNCTION("""COMPUTED_VALUE"""),"Student")</f>
        <v>Student</v>
      </c>
      <c r="E750" s="1" t="str">
        <f ca="1">IFERROR(__xludf.DUMMYFUNCTION("""COMPUTED_VALUE"""),"Teen")</f>
        <v>Teen</v>
      </c>
      <c r="F750" s="1"/>
    </row>
    <row r="751" spans="1:6" ht="12.5">
      <c r="A751" s="1" t="str">
        <f ca="1">IFERROR(__xludf.DUMMYFUNCTION("""COMPUTED_VALUE"""),"20210927ILCAC")</f>
        <v>20210927ILCAC</v>
      </c>
      <c r="B751" s="1" t="str">
        <f ca="1">IFERROR(__xludf.DUMMYFUNCTION("""COMPUTED_VALUE"""),"Non-gunshot Injury")</f>
        <v>Non-gunshot Injury</v>
      </c>
      <c r="C751" s="1"/>
      <c r="D751" s="1" t="str">
        <f ca="1">IFERROR(__xludf.DUMMYFUNCTION("""COMPUTED_VALUE"""),"Student")</f>
        <v>Student</v>
      </c>
      <c r="E751" s="1" t="str">
        <f ca="1">IFERROR(__xludf.DUMMYFUNCTION("""COMPUTED_VALUE"""),"Child")</f>
        <v>Child</v>
      </c>
      <c r="F751" s="1"/>
    </row>
    <row r="752" spans="1:6" ht="12.5">
      <c r="A752" s="1" t="str">
        <f ca="1">IFERROR(__xludf.DUMMYFUNCTION("""COMPUTED_VALUE"""),"20210927ILCAC")</f>
        <v>20210927ILCAC</v>
      </c>
      <c r="B752" s="1" t="str">
        <f ca="1">IFERROR(__xludf.DUMMYFUNCTION("""COMPUTED_VALUE"""),"Non-gunshot Injury")</f>
        <v>Non-gunshot Injury</v>
      </c>
      <c r="C752" s="1"/>
      <c r="D752" s="1" t="str">
        <f ca="1">IFERROR(__xludf.DUMMYFUNCTION("""COMPUTED_VALUE"""),"Student")</f>
        <v>Student</v>
      </c>
      <c r="E752" s="1" t="str">
        <f ca="1">IFERROR(__xludf.DUMMYFUNCTION("""COMPUTED_VALUE"""),"Child")</f>
        <v>Child</v>
      </c>
      <c r="F752" s="1"/>
    </row>
    <row r="753" spans="1:6" ht="12.5">
      <c r="A753" s="1" t="str">
        <f ca="1">IFERROR(__xludf.DUMMYFUNCTION("""COMPUTED_VALUE"""),"20210927ILCAC")</f>
        <v>20210927ILCAC</v>
      </c>
      <c r="B753" s="1" t="str">
        <f ca="1">IFERROR(__xludf.DUMMYFUNCTION("""COMPUTED_VALUE"""),"Non-gunshot Injury")</f>
        <v>Non-gunshot Injury</v>
      </c>
      <c r="C753" s="1"/>
      <c r="D753" s="1" t="str">
        <f ca="1">IFERROR(__xludf.DUMMYFUNCTION("""COMPUTED_VALUE"""),"Student")</f>
        <v>Student</v>
      </c>
      <c r="E753" s="1" t="str">
        <f ca="1">IFERROR(__xludf.DUMMYFUNCTION("""COMPUTED_VALUE"""),"Child")</f>
        <v>Child</v>
      </c>
      <c r="F753" s="1"/>
    </row>
    <row r="754" spans="1:6" ht="12.5">
      <c r="A754" s="1" t="str">
        <f ca="1">IFERROR(__xludf.DUMMYFUNCTION("""COMPUTED_VALUE"""),"20210924MDWIB")</f>
        <v>20210924MDWIB</v>
      </c>
      <c r="B754" s="1" t="str">
        <f ca="1">IFERROR(__xludf.DUMMYFUNCTION("""COMPUTED_VALUE"""),"Wounded")</f>
        <v>Wounded</v>
      </c>
      <c r="C754" s="1" t="str">
        <f ca="1">IFERROR(__xludf.DUMMYFUNCTION("""COMPUTED_VALUE"""),"Male")</f>
        <v>Male</v>
      </c>
      <c r="D754" s="1" t="str">
        <f ca="1">IFERROR(__xludf.DUMMYFUNCTION("""COMPUTED_VALUE"""),"No Relation")</f>
        <v>No Relation</v>
      </c>
      <c r="E754" s="1">
        <f ca="1">IFERROR(__xludf.DUMMYFUNCTION("""COMPUTED_VALUE"""),18)</f>
        <v>18</v>
      </c>
      <c r="F754" s="1"/>
    </row>
    <row r="755" spans="1:6" ht="12.5">
      <c r="A755" s="1" t="str">
        <f ca="1">IFERROR(__xludf.DUMMYFUNCTION("""COMPUTED_VALUE"""),"20210924ALFAF")</f>
        <v>20210924ALFAF</v>
      </c>
      <c r="B755" s="1" t="str">
        <f ca="1">IFERROR(__xludf.DUMMYFUNCTION("""COMPUTED_VALUE"""),"Wounded")</f>
        <v>Wounded</v>
      </c>
      <c r="C755" s="1" t="str">
        <f ca="1">IFERROR(__xludf.DUMMYFUNCTION("""COMPUTED_VALUE"""),"Male")</f>
        <v>Male</v>
      </c>
      <c r="D755" s="1" t="str">
        <f ca="1">IFERROR(__xludf.DUMMYFUNCTION("""COMPUTED_VALUE"""),"Nonstudent Using Athletic Facilities/Attending Game")</f>
        <v>Nonstudent Using Athletic Facilities/Attending Game</v>
      </c>
      <c r="E755" s="1" t="str">
        <f ca="1">IFERROR(__xludf.DUMMYFUNCTION("""COMPUTED_VALUE"""),"Adult")</f>
        <v>Adult</v>
      </c>
      <c r="F755" s="1"/>
    </row>
    <row r="756" spans="1:6" ht="12.5">
      <c r="A756" s="1" t="str">
        <f ca="1">IFERROR(__xludf.DUMMYFUNCTION("""COMPUTED_VALUE"""),"20210922NYSOB")</f>
        <v>20210922NYSOB</v>
      </c>
      <c r="B756" s="1" t="str">
        <f ca="1">IFERROR(__xludf.DUMMYFUNCTION("""COMPUTED_VALUE"""),"Wounded")</f>
        <v>Wounded</v>
      </c>
      <c r="C756" s="1" t="str">
        <f ca="1">IFERROR(__xludf.DUMMYFUNCTION("""COMPUTED_VALUE"""),"Male")</f>
        <v>Male</v>
      </c>
      <c r="D756" s="1" t="str">
        <f ca="1">IFERROR(__xludf.DUMMYFUNCTION("""COMPUTED_VALUE"""),"Student")</f>
        <v>Student</v>
      </c>
      <c r="E756" s="1">
        <f ca="1">IFERROR(__xludf.DUMMYFUNCTION("""COMPUTED_VALUE"""),17)</f>
        <v>17</v>
      </c>
      <c r="F756" s="1"/>
    </row>
    <row r="757" spans="1:6" ht="12.5">
      <c r="A757" s="1" t="str">
        <f ca="1">IFERROR(__xludf.DUMMYFUNCTION("""COMPUTED_VALUE"""),"20210921PAVAP")</f>
        <v>20210921PAVAP</v>
      </c>
      <c r="B757" s="1" t="str">
        <f ca="1">IFERROR(__xludf.DUMMYFUNCTION("""COMPUTED_VALUE"""),"Wounded")</f>
        <v>Wounded</v>
      </c>
      <c r="C757" s="1" t="str">
        <f ca="1">IFERROR(__xludf.DUMMYFUNCTION("""COMPUTED_VALUE"""),"Male")</f>
        <v>Male</v>
      </c>
      <c r="D757" s="1" t="str">
        <f ca="1">IFERROR(__xludf.DUMMYFUNCTION("""COMPUTED_VALUE"""),"Student")</f>
        <v>Student</v>
      </c>
      <c r="E757" s="1">
        <f ca="1">IFERROR(__xludf.DUMMYFUNCTION("""COMPUTED_VALUE"""),15)</f>
        <v>15</v>
      </c>
      <c r="F757" s="1"/>
    </row>
    <row r="758" spans="1:6" ht="12.5">
      <c r="A758" s="1" t="str">
        <f ca="1">IFERROR(__xludf.DUMMYFUNCTION("""COMPUTED_VALUE"""),"20210921KSEAW")</f>
        <v>20210921KSEAW</v>
      </c>
      <c r="B758" s="1" t="str">
        <f ca="1">IFERROR(__xludf.DUMMYFUNCTION("""COMPUTED_VALUE"""),"Wounded")</f>
        <v>Wounded</v>
      </c>
      <c r="C758" s="1" t="str">
        <f ca="1">IFERROR(__xludf.DUMMYFUNCTION("""COMPUTED_VALUE"""),"Male")</f>
        <v>Male</v>
      </c>
      <c r="D758" s="1" t="str">
        <f ca="1">IFERROR(__xludf.DUMMYFUNCTION("""COMPUTED_VALUE"""),"Student")</f>
        <v>Student</v>
      </c>
      <c r="E758" s="1">
        <f ca="1">IFERROR(__xludf.DUMMYFUNCTION("""COMPUTED_VALUE"""),15)</f>
        <v>15</v>
      </c>
      <c r="F758" s="1"/>
    </row>
    <row r="759" spans="1:6" ht="12.5">
      <c r="A759" s="1" t="str">
        <f ca="1">IFERROR(__xludf.DUMMYFUNCTION("""COMPUTED_VALUE"""),"20210921KSEAW")</f>
        <v>20210921KSEAW</v>
      </c>
      <c r="B759" s="1" t="str">
        <f ca="1">IFERROR(__xludf.DUMMYFUNCTION("""COMPUTED_VALUE"""),"Wounded")</f>
        <v>Wounded</v>
      </c>
      <c r="C759" s="1" t="str">
        <f ca="1">IFERROR(__xludf.DUMMYFUNCTION("""COMPUTED_VALUE"""),"Male")</f>
        <v>Male</v>
      </c>
      <c r="D759" s="1" t="str">
        <f ca="1">IFERROR(__xludf.DUMMYFUNCTION("""COMPUTED_VALUE"""),"Student")</f>
        <v>Student</v>
      </c>
      <c r="E759" s="1">
        <f ca="1">IFERROR(__xludf.DUMMYFUNCTION("""COMPUTED_VALUE"""),17)</f>
        <v>17</v>
      </c>
      <c r="F759" s="1"/>
    </row>
    <row r="760" spans="1:6" ht="12.5">
      <c r="A760" s="1" t="str">
        <f ca="1">IFERROR(__xludf.DUMMYFUNCTION("""COMPUTED_VALUE"""),"20210921KSEAW")</f>
        <v>20210921KSEAW</v>
      </c>
      <c r="B760" s="1" t="str">
        <f ca="1">IFERROR(__xludf.DUMMYFUNCTION("""COMPUTED_VALUE"""),"Wounded")</f>
        <v>Wounded</v>
      </c>
      <c r="C760" s="1" t="str">
        <f ca="1">IFERROR(__xludf.DUMMYFUNCTION("""COMPUTED_VALUE"""),"Male")</f>
        <v>Male</v>
      </c>
      <c r="D760" s="1" t="str">
        <f ca="1">IFERROR(__xludf.DUMMYFUNCTION("""COMPUTED_VALUE"""),"Student")</f>
        <v>Student</v>
      </c>
      <c r="E760" s="1">
        <f ca="1">IFERROR(__xludf.DUMMYFUNCTION("""COMPUTED_VALUE"""),15)</f>
        <v>15</v>
      </c>
      <c r="F760" s="1"/>
    </row>
    <row r="761" spans="1:6" ht="12.5">
      <c r="A761" s="1" t="str">
        <f ca="1">IFERROR(__xludf.DUMMYFUNCTION("""COMPUTED_VALUE"""),"20210920VAHEN")</f>
        <v>20210920VAHEN</v>
      </c>
      <c r="B761" s="1" t="str">
        <f ca="1">IFERROR(__xludf.DUMMYFUNCTION("""COMPUTED_VALUE"""),"Wounded")</f>
        <v>Wounded</v>
      </c>
      <c r="C761" s="1" t="str">
        <f ca="1">IFERROR(__xludf.DUMMYFUNCTION("""COMPUTED_VALUE"""),"Male")</f>
        <v>Male</v>
      </c>
      <c r="D761" s="1" t="str">
        <f ca="1">IFERROR(__xludf.DUMMYFUNCTION("""COMPUTED_VALUE"""),"Student")</f>
        <v>Student</v>
      </c>
      <c r="E761" s="1">
        <f ca="1">IFERROR(__xludf.DUMMYFUNCTION("""COMPUTED_VALUE"""),17)</f>
        <v>17</v>
      </c>
      <c r="F761" s="1"/>
    </row>
    <row r="762" spans="1:6" ht="12.5">
      <c r="A762" s="1" t="str">
        <f ca="1">IFERROR(__xludf.DUMMYFUNCTION("""COMPUTED_VALUE"""),"20210920VAHEN")</f>
        <v>20210920VAHEN</v>
      </c>
      <c r="B762" s="1" t="str">
        <f ca="1">IFERROR(__xludf.DUMMYFUNCTION("""COMPUTED_VALUE"""),"Wounded")</f>
        <v>Wounded</v>
      </c>
      <c r="C762" s="1" t="str">
        <f ca="1">IFERROR(__xludf.DUMMYFUNCTION("""COMPUTED_VALUE"""),"Female")</f>
        <v>Female</v>
      </c>
      <c r="D762" s="1" t="str">
        <f ca="1">IFERROR(__xludf.DUMMYFUNCTION("""COMPUTED_VALUE"""),"Student")</f>
        <v>Student</v>
      </c>
      <c r="E762" s="1">
        <f ca="1">IFERROR(__xludf.DUMMYFUNCTION("""COMPUTED_VALUE"""),17)</f>
        <v>17</v>
      </c>
      <c r="F762" s="1"/>
    </row>
    <row r="763" spans="1:6" ht="12.5">
      <c r="A763" s="1" t="str">
        <f ca="1">IFERROR(__xludf.DUMMYFUNCTION("""COMPUTED_VALUE"""),"20210920OHEAC")</f>
        <v>20210920OHEAC</v>
      </c>
      <c r="B763" s="1" t="str">
        <f ca="1">IFERROR(__xludf.DUMMYFUNCTION("""COMPUTED_VALUE"""),"Wounded")</f>
        <v>Wounded</v>
      </c>
      <c r="C763" s="1" t="str">
        <f ca="1">IFERROR(__xludf.DUMMYFUNCTION("""COMPUTED_VALUE"""),"Male")</f>
        <v>Male</v>
      </c>
      <c r="D763" s="1" t="str">
        <f ca="1">IFERROR(__xludf.DUMMYFUNCTION("""COMPUTED_VALUE"""),"No Relation")</f>
        <v>No Relation</v>
      </c>
      <c r="E763" s="1">
        <f ca="1">IFERROR(__xludf.DUMMYFUNCTION("""COMPUTED_VALUE"""),14)</f>
        <v>14</v>
      </c>
      <c r="F763" s="1"/>
    </row>
    <row r="764" spans="1:6" ht="12.5">
      <c r="A764" s="1" t="str">
        <f ca="1">IFERROR(__xludf.DUMMYFUNCTION("""COMPUTED_VALUE"""),"20210920OHEAC")</f>
        <v>20210920OHEAC</v>
      </c>
      <c r="B764" s="1" t="str">
        <f ca="1">IFERROR(__xludf.DUMMYFUNCTION("""COMPUTED_VALUE"""),"Wounded")</f>
        <v>Wounded</v>
      </c>
      <c r="C764" s="1" t="str">
        <f ca="1">IFERROR(__xludf.DUMMYFUNCTION("""COMPUTED_VALUE"""),"Male")</f>
        <v>Male</v>
      </c>
      <c r="D764" s="1" t="str">
        <f ca="1">IFERROR(__xludf.DUMMYFUNCTION("""COMPUTED_VALUE"""),"No Relation")</f>
        <v>No Relation</v>
      </c>
      <c r="E764" s="1">
        <f ca="1">IFERROR(__xludf.DUMMYFUNCTION("""COMPUTED_VALUE"""),15)</f>
        <v>15</v>
      </c>
      <c r="F764" s="1"/>
    </row>
    <row r="765" spans="1:6" ht="12.5">
      <c r="A765" s="1" t="str">
        <f ca="1">IFERROR(__xludf.DUMMYFUNCTION("""COMPUTED_VALUE"""),"20210920OHEAC")</f>
        <v>20210920OHEAC</v>
      </c>
      <c r="B765" s="1" t="str">
        <f ca="1">IFERROR(__xludf.DUMMYFUNCTION("""COMPUTED_VALUE"""),"Wounded")</f>
        <v>Wounded</v>
      </c>
      <c r="C765" s="1" t="str">
        <f ca="1">IFERROR(__xludf.DUMMYFUNCTION("""COMPUTED_VALUE"""),"Male")</f>
        <v>Male</v>
      </c>
      <c r="D765" s="1" t="str">
        <f ca="1">IFERROR(__xludf.DUMMYFUNCTION("""COMPUTED_VALUE"""),"No Relation")</f>
        <v>No Relation</v>
      </c>
      <c r="E765" s="1">
        <f ca="1">IFERROR(__xludf.DUMMYFUNCTION("""COMPUTED_VALUE"""),19)</f>
        <v>19</v>
      </c>
      <c r="F765" s="1"/>
    </row>
    <row r="766" spans="1:6" ht="12.5">
      <c r="A766" s="1" t="str">
        <f ca="1">IFERROR(__xludf.DUMMYFUNCTION("""COMPUTED_VALUE"""),"20210918COWIC")</f>
        <v>20210918COWIC</v>
      </c>
      <c r="B766" s="1" t="str">
        <f ca="1">IFERROR(__xludf.DUMMYFUNCTION("""COMPUTED_VALUE"""),"Wounded")</f>
        <v>Wounded</v>
      </c>
      <c r="C766" s="1"/>
      <c r="D766" s="1" t="str">
        <f ca="1">IFERROR(__xludf.DUMMYFUNCTION("""COMPUTED_VALUE"""),"Student")</f>
        <v>Student</v>
      </c>
      <c r="E766" s="1" t="str">
        <f ca="1">IFERROR(__xludf.DUMMYFUNCTION("""COMPUTED_VALUE"""),"Teen")</f>
        <v>Teen</v>
      </c>
      <c r="F766" s="1"/>
    </row>
    <row r="767" spans="1:6" ht="12.5">
      <c r="A767" s="1" t="str">
        <f ca="1">IFERROR(__xludf.DUMMYFUNCTION("""COMPUTED_VALUE"""),"20210918COWIC")</f>
        <v>20210918COWIC</v>
      </c>
      <c r="B767" s="1" t="str">
        <f ca="1">IFERROR(__xludf.DUMMYFUNCTION("""COMPUTED_VALUE"""),"Wounded")</f>
        <v>Wounded</v>
      </c>
      <c r="C767" s="1"/>
      <c r="D767" s="1" t="str">
        <f ca="1">IFERROR(__xludf.DUMMYFUNCTION("""COMPUTED_VALUE"""),"Student")</f>
        <v>Student</v>
      </c>
      <c r="E767" s="1" t="str">
        <f ca="1">IFERROR(__xludf.DUMMYFUNCTION("""COMPUTED_VALUE"""),"Teen")</f>
        <v>Teen</v>
      </c>
      <c r="F767" s="1"/>
    </row>
    <row r="768" spans="1:6" ht="12.5">
      <c r="A768" s="1" t="str">
        <f ca="1">IFERROR(__xludf.DUMMYFUNCTION("""COMPUTED_VALUE"""),"20210918COWIC")</f>
        <v>20210918COWIC</v>
      </c>
      <c r="B768" s="1" t="str">
        <f ca="1">IFERROR(__xludf.DUMMYFUNCTION("""COMPUTED_VALUE"""),"Wounded")</f>
        <v>Wounded</v>
      </c>
      <c r="C768" s="1"/>
      <c r="D768" s="1" t="str">
        <f ca="1">IFERROR(__xludf.DUMMYFUNCTION("""COMPUTED_VALUE"""),"Nonstudent Using Athletic Facilities/Attending Game")</f>
        <v>Nonstudent Using Athletic Facilities/Attending Game</v>
      </c>
      <c r="E768" s="1" t="str">
        <f ca="1">IFERROR(__xludf.DUMMYFUNCTION("""COMPUTED_VALUE"""),"Adult")</f>
        <v>Adult</v>
      </c>
      <c r="F768" s="1"/>
    </row>
    <row r="769" spans="1:6" ht="12.5">
      <c r="A769" s="1" t="str">
        <f ca="1">IFERROR(__xludf.DUMMYFUNCTION("""COMPUTED_VALUE"""),"20210917VAHEH")</f>
        <v>20210917VAHEH</v>
      </c>
      <c r="B769" s="1" t="str">
        <f ca="1">IFERROR(__xludf.DUMMYFUNCTION("""COMPUTED_VALUE"""),"Non-gunshot Injury")</f>
        <v>Non-gunshot Injury</v>
      </c>
      <c r="C769" s="1" t="str">
        <f ca="1">IFERROR(__xludf.DUMMYFUNCTION("""COMPUTED_VALUE"""),"Male")</f>
        <v>Male</v>
      </c>
      <c r="D769" s="1" t="str">
        <f ca="1">IFERROR(__xludf.DUMMYFUNCTION("""COMPUTED_VALUE"""),"Student")</f>
        <v>Student</v>
      </c>
      <c r="E769" s="1" t="str">
        <f ca="1">IFERROR(__xludf.DUMMYFUNCTION("""COMPUTED_VALUE"""),"Teen")</f>
        <v>Teen</v>
      </c>
      <c r="F769" s="1"/>
    </row>
    <row r="770" spans="1:6" ht="12.5">
      <c r="A770" s="1" t="str">
        <f ca="1">IFERROR(__xludf.DUMMYFUNCTION("""COMPUTED_VALUE"""),"20210917TNAUK")</f>
        <v>20210917TNAUK</v>
      </c>
      <c r="B770" s="1" t="str">
        <f ca="1">IFERROR(__xludf.DUMMYFUNCTION("""COMPUTED_VALUE"""),"Wounded")</f>
        <v>Wounded</v>
      </c>
      <c r="C770" s="1" t="str">
        <f ca="1">IFERROR(__xludf.DUMMYFUNCTION("""COMPUTED_VALUE"""),"Male")</f>
        <v>Male</v>
      </c>
      <c r="D770" s="1"/>
      <c r="E770" s="1" t="str">
        <f ca="1">IFERROR(__xludf.DUMMYFUNCTION("""COMPUTED_VALUE"""),"Teen")</f>
        <v>Teen</v>
      </c>
      <c r="F770" s="1"/>
    </row>
    <row r="771" spans="1:6" ht="12.5">
      <c r="A771" s="1" t="str">
        <f ca="1">IFERROR(__xludf.DUMMYFUNCTION("""COMPUTED_VALUE"""),"20210917PAWEP")</f>
        <v>20210917PAWEP</v>
      </c>
      <c r="B771" s="1" t="str">
        <f ca="1">IFERROR(__xludf.DUMMYFUNCTION("""COMPUTED_VALUE"""),"Wounded")</f>
        <v>Wounded</v>
      </c>
      <c r="C771" s="1"/>
      <c r="D771" s="1" t="str">
        <f ca="1">IFERROR(__xludf.DUMMYFUNCTION("""COMPUTED_VALUE"""),"Student")</f>
        <v>Student</v>
      </c>
      <c r="E771" s="1">
        <f ca="1">IFERROR(__xludf.DUMMYFUNCTION("""COMPUTED_VALUE"""),16)</f>
        <v>16</v>
      </c>
      <c r="F771" s="1"/>
    </row>
    <row r="772" spans="1:6" ht="12.5">
      <c r="A772" s="1" t="str">
        <f ca="1">IFERROR(__xludf.DUMMYFUNCTION("""COMPUTED_VALUE"""),"20210917PAWEP")</f>
        <v>20210917PAWEP</v>
      </c>
      <c r="B772" s="1" t="str">
        <f ca="1">IFERROR(__xludf.DUMMYFUNCTION("""COMPUTED_VALUE"""),"Wounded")</f>
        <v>Wounded</v>
      </c>
      <c r="C772" s="1"/>
      <c r="D772" s="1" t="str">
        <f ca="1">IFERROR(__xludf.DUMMYFUNCTION("""COMPUTED_VALUE"""),"Student")</f>
        <v>Student</v>
      </c>
      <c r="E772" s="1">
        <f ca="1">IFERROR(__xludf.DUMMYFUNCTION("""COMPUTED_VALUE"""),14)</f>
        <v>14</v>
      </c>
      <c r="F772" s="1"/>
    </row>
    <row r="773" spans="1:6" ht="12.5">
      <c r="A773" s="1" t="str">
        <f ca="1">IFERROR(__xludf.DUMMYFUNCTION("""COMPUTED_VALUE"""),"20210915VASPS")</f>
        <v>20210915VASPS</v>
      </c>
      <c r="B773" s="1" t="str">
        <f ca="1">IFERROR(__xludf.DUMMYFUNCTION("""COMPUTED_VALUE"""),"None")</f>
        <v>None</v>
      </c>
      <c r="C773" s="1"/>
      <c r="D773" s="1" t="str">
        <f ca="1">IFERROR(__xludf.DUMMYFUNCTION("""COMPUTED_VALUE"""),"Student")</f>
        <v>Student</v>
      </c>
      <c r="E773" s="1" t="str">
        <f ca="1">IFERROR(__xludf.DUMMYFUNCTION("""COMPUTED_VALUE"""),"Child")</f>
        <v>Child</v>
      </c>
      <c r="F773" s="1"/>
    </row>
    <row r="774" spans="1:6" ht="12.5">
      <c r="A774" s="1" t="str">
        <f ca="1">IFERROR(__xludf.DUMMYFUNCTION("""COMPUTED_VALUE"""),"20210915VASPS")</f>
        <v>20210915VASPS</v>
      </c>
      <c r="B774" s="1" t="str">
        <f ca="1">IFERROR(__xludf.DUMMYFUNCTION("""COMPUTED_VALUE"""),"None")</f>
        <v>None</v>
      </c>
      <c r="C774" s="1"/>
      <c r="D774" s="1" t="str">
        <f ca="1">IFERROR(__xludf.DUMMYFUNCTION("""COMPUTED_VALUE"""),"Student")</f>
        <v>Student</v>
      </c>
      <c r="E774" s="1" t="str">
        <f ca="1">IFERROR(__xludf.DUMMYFUNCTION("""COMPUTED_VALUE"""),"Child")</f>
        <v>Child</v>
      </c>
      <c r="F774" s="1"/>
    </row>
    <row r="775" spans="1:6" ht="12.5">
      <c r="A775" s="1" t="str">
        <f ca="1">IFERROR(__xludf.DUMMYFUNCTION("""COMPUTED_VALUE"""),"20210915VASPS")</f>
        <v>20210915VASPS</v>
      </c>
      <c r="B775" s="1" t="str">
        <f ca="1">IFERROR(__xludf.DUMMYFUNCTION("""COMPUTED_VALUE"""),"None")</f>
        <v>None</v>
      </c>
      <c r="C775" s="1"/>
      <c r="D775" s="1" t="str">
        <f ca="1">IFERROR(__xludf.DUMMYFUNCTION("""COMPUTED_VALUE"""),"Student")</f>
        <v>Student</v>
      </c>
      <c r="E775" s="1" t="str">
        <f ca="1">IFERROR(__xludf.DUMMYFUNCTION("""COMPUTED_VALUE"""),"Child")</f>
        <v>Child</v>
      </c>
      <c r="F775" s="1"/>
    </row>
    <row r="776" spans="1:6" ht="12.5">
      <c r="A776" s="1" t="str">
        <f ca="1">IFERROR(__xludf.DUMMYFUNCTION("""COMPUTED_VALUE"""),"20210915KYMAL")</f>
        <v>20210915KYMAL</v>
      </c>
      <c r="B776" s="1" t="str">
        <f ca="1">IFERROR(__xludf.DUMMYFUNCTION("""COMPUTED_VALUE"""),"Wounded")</f>
        <v>Wounded</v>
      </c>
      <c r="C776" s="1" t="str">
        <f ca="1">IFERROR(__xludf.DUMMYFUNCTION("""COMPUTED_VALUE"""),"Male")</f>
        <v>Male</v>
      </c>
      <c r="D776" s="1" t="str">
        <f ca="1">IFERROR(__xludf.DUMMYFUNCTION("""COMPUTED_VALUE"""),"No Relation")</f>
        <v>No Relation</v>
      </c>
      <c r="E776" s="1" t="str">
        <f ca="1">IFERROR(__xludf.DUMMYFUNCTION("""COMPUTED_VALUE"""),"Adult")</f>
        <v>Adult</v>
      </c>
      <c r="F776" s="1"/>
    </row>
    <row r="777" spans="1:6" ht="12.5">
      <c r="A777" s="1" t="str">
        <f ca="1">IFERROR(__xludf.DUMMYFUNCTION("""COMPUTED_VALUE"""),"20210913SCEDC")</f>
        <v>20210913SCEDC</v>
      </c>
      <c r="B777" s="1" t="str">
        <f ca="1">IFERROR(__xludf.DUMMYFUNCTION("""COMPUTED_VALUE"""),"Wounded")</f>
        <v>Wounded</v>
      </c>
      <c r="C777" s="1" t="str">
        <f ca="1">IFERROR(__xludf.DUMMYFUNCTION("""COMPUTED_VALUE"""),"Male")</f>
        <v>Male</v>
      </c>
      <c r="D777" s="1" t="str">
        <f ca="1">IFERROR(__xludf.DUMMYFUNCTION("""COMPUTED_VALUE"""),"Parent")</f>
        <v>Parent</v>
      </c>
      <c r="E777" s="1" t="str">
        <f ca="1">IFERROR(__xludf.DUMMYFUNCTION("""COMPUTED_VALUE"""),"Adult")</f>
        <v>Adult</v>
      </c>
      <c r="F777" s="1"/>
    </row>
    <row r="778" spans="1:6" ht="12.5">
      <c r="A778" s="1" t="str">
        <f ca="1">IFERROR(__xludf.DUMMYFUNCTION("""COMPUTED_VALUE"""),"20210909ILCHC")</f>
        <v>20210909ILCHC</v>
      </c>
      <c r="B778" s="1" t="str">
        <f ca="1">IFERROR(__xludf.DUMMYFUNCTION("""COMPUTED_VALUE"""),"Wounded")</f>
        <v>Wounded</v>
      </c>
      <c r="C778" s="1" t="str">
        <f ca="1">IFERROR(__xludf.DUMMYFUNCTION("""COMPUTED_VALUE"""),"Male")</f>
        <v>Male</v>
      </c>
      <c r="D778" s="1" t="str">
        <f ca="1">IFERROR(__xludf.DUMMYFUNCTION("""COMPUTED_VALUE"""),"No Relation")</f>
        <v>No Relation</v>
      </c>
      <c r="E778" s="1">
        <f ca="1">IFERROR(__xludf.DUMMYFUNCTION("""COMPUTED_VALUE"""),34)</f>
        <v>34</v>
      </c>
      <c r="F778" s="1"/>
    </row>
    <row r="779" spans="1:6" ht="12.5">
      <c r="A779" s="1" t="str">
        <f ca="1">IFERROR(__xludf.DUMMYFUNCTION("""COMPUTED_VALUE"""),"20210908MNPRB")</f>
        <v>20210908MNPRB</v>
      </c>
      <c r="B779" s="1" t="str">
        <f ca="1">IFERROR(__xludf.DUMMYFUNCTION("""COMPUTED_VALUE"""),"Wounded")</f>
        <v>Wounded</v>
      </c>
      <c r="C779" s="1" t="str">
        <f ca="1">IFERROR(__xludf.DUMMYFUNCTION("""COMPUTED_VALUE"""),"Male")</f>
        <v>Male</v>
      </c>
      <c r="D779" s="1" t="str">
        <f ca="1">IFERROR(__xludf.DUMMYFUNCTION("""COMPUTED_VALUE"""),"No Relation")</f>
        <v>No Relation</v>
      </c>
      <c r="E779" s="1" t="str">
        <f ca="1">IFERROR(__xludf.DUMMYFUNCTION("""COMPUTED_VALUE"""),"Adult")</f>
        <v>Adult</v>
      </c>
      <c r="F779" s="1"/>
    </row>
    <row r="780" spans="1:6" ht="12.5">
      <c r="A780" s="1" t="str">
        <f ca="1">IFERROR(__xludf.DUMMYFUNCTION("""COMPUTED_VALUE"""),"20210903CABUB")</f>
        <v>20210903CABUB</v>
      </c>
      <c r="B780" s="1" t="str">
        <f ca="1">IFERROR(__xludf.DUMMYFUNCTION("""COMPUTED_VALUE"""),"None")</f>
        <v>None</v>
      </c>
      <c r="C780" s="1" t="str">
        <f ca="1">IFERROR(__xludf.DUMMYFUNCTION("""COMPUTED_VALUE"""),"Female")</f>
        <v>Female</v>
      </c>
      <c r="D780" s="1" t="str">
        <f ca="1">IFERROR(__xludf.DUMMYFUNCTION("""COMPUTED_VALUE"""),"Bus Driver")</f>
        <v>Bus Driver</v>
      </c>
      <c r="E780" s="1" t="str">
        <f ca="1">IFERROR(__xludf.DUMMYFUNCTION("""COMPUTED_VALUE"""),"Adult")</f>
        <v>Adult</v>
      </c>
      <c r="F780" s="1"/>
    </row>
    <row r="781" spans="1:6" ht="12.5">
      <c r="A781" s="1" t="str">
        <f ca="1">IFERROR(__xludf.DUMMYFUNCTION("""COMPUTED_VALUE"""),"20210903CABUB")</f>
        <v>20210903CABUB</v>
      </c>
      <c r="B781" s="1" t="str">
        <f ca="1">IFERROR(__xludf.DUMMYFUNCTION("""COMPUTED_VALUE"""),"None")</f>
        <v>None</v>
      </c>
      <c r="C781" s="1"/>
      <c r="D781" s="1" t="str">
        <f ca="1">IFERROR(__xludf.DUMMYFUNCTION("""COMPUTED_VALUE"""),"Student")</f>
        <v>Student</v>
      </c>
      <c r="E781" s="1"/>
      <c r="F781" s="1"/>
    </row>
    <row r="782" spans="1:6" ht="12.5">
      <c r="A782" s="1" t="str">
        <f ca="1">IFERROR(__xludf.DUMMYFUNCTION("""COMPUTED_VALUE"""),"20210902INWEG")</f>
        <v>20210902INWEG</v>
      </c>
      <c r="B782" s="1" t="str">
        <f ca="1">IFERROR(__xludf.DUMMYFUNCTION("""COMPUTED_VALUE"""),"Wounded")</f>
        <v>Wounded</v>
      </c>
      <c r="C782" s="1" t="str">
        <f ca="1">IFERROR(__xludf.DUMMYFUNCTION("""COMPUTED_VALUE"""),"Male")</f>
        <v>Male</v>
      </c>
      <c r="D782" s="1" t="str">
        <f ca="1">IFERROR(__xludf.DUMMYFUNCTION("""COMPUTED_VALUE"""),"Student")</f>
        <v>Student</v>
      </c>
      <c r="E782" s="1" t="str">
        <f ca="1">IFERROR(__xludf.DUMMYFUNCTION("""COMPUTED_VALUE"""),"Teen")</f>
        <v>Teen</v>
      </c>
      <c r="F782" s="1"/>
    </row>
    <row r="783" spans="1:6" ht="12.5">
      <c r="A783" s="1" t="str">
        <f ca="1">IFERROR(__xludf.DUMMYFUNCTION("""COMPUTED_VALUE"""),"20210902CASAL")</f>
        <v>20210902CASAL</v>
      </c>
      <c r="B783" s="1" t="str">
        <f ca="1">IFERROR(__xludf.DUMMYFUNCTION("""COMPUTED_VALUE"""),"Wounded")</f>
        <v>Wounded</v>
      </c>
      <c r="C783" s="1" t="str">
        <f ca="1">IFERROR(__xludf.DUMMYFUNCTION("""COMPUTED_VALUE"""),"Male")</f>
        <v>Male</v>
      </c>
      <c r="D783" s="1" t="str">
        <f ca="1">IFERROR(__xludf.DUMMYFUNCTION("""COMPUTED_VALUE"""),"Student")</f>
        <v>Student</v>
      </c>
      <c r="E783" s="1">
        <f ca="1">IFERROR(__xludf.DUMMYFUNCTION("""COMPUTED_VALUE"""),17)</f>
        <v>17</v>
      </c>
      <c r="F783" s="1"/>
    </row>
    <row r="784" spans="1:6" ht="12.5">
      <c r="A784" s="1" t="str">
        <f ca="1">IFERROR(__xludf.DUMMYFUNCTION("""COMPUTED_VALUE"""),"20210902CASAL")</f>
        <v>20210902CASAL</v>
      </c>
      <c r="B784" s="1" t="str">
        <f ca="1">IFERROR(__xludf.DUMMYFUNCTION("""COMPUTED_VALUE"""),"Wounded")</f>
        <v>Wounded</v>
      </c>
      <c r="C784" s="1" t="str">
        <f ca="1">IFERROR(__xludf.DUMMYFUNCTION("""COMPUTED_VALUE"""),"Male")</f>
        <v>Male</v>
      </c>
      <c r="D784" s="1" t="str">
        <f ca="1">IFERROR(__xludf.DUMMYFUNCTION("""COMPUTED_VALUE"""),"Student")</f>
        <v>Student</v>
      </c>
      <c r="E784" s="1" t="str">
        <f ca="1">IFERROR(__xludf.DUMMYFUNCTION("""COMPUTED_VALUE"""),"Teen")</f>
        <v>Teen</v>
      </c>
      <c r="F784" s="1"/>
    </row>
    <row r="785" spans="1:6" ht="12.5">
      <c r="A785" s="1" t="str">
        <f ca="1">IFERROR(__xludf.DUMMYFUNCTION("""COMPUTED_VALUE"""),"20210901NCMTW")</f>
        <v>20210901NCMTW</v>
      </c>
      <c r="B785" s="1" t="str">
        <f ca="1">IFERROR(__xludf.DUMMYFUNCTION("""COMPUTED_VALUE"""),"Fatal")</f>
        <v>Fatal</v>
      </c>
      <c r="C785" s="1" t="str">
        <f ca="1">IFERROR(__xludf.DUMMYFUNCTION("""COMPUTED_VALUE"""),"Male")</f>
        <v>Male</v>
      </c>
      <c r="D785" s="1" t="str">
        <f ca="1">IFERROR(__xludf.DUMMYFUNCTION("""COMPUTED_VALUE"""),"Student")</f>
        <v>Student</v>
      </c>
      <c r="E785" s="1">
        <f ca="1">IFERROR(__xludf.DUMMYFUNCTION("""COMPUTED_VALUE"""),15)</f>
        <v>15</v>
      </c>
      <c r="F785" s="1" t="str">
        <f ca="1">IFERROR(__xludf.DUMMYFUNCTION("""COMPUTED_VALUE"""),"Black")</f>
        <v>Black</v>
      </c>
    </row>
    <row r="786" spans="1:6" ht="12.5">
      <c r="A786" s="1" t="str">
        <f ca="1">IFERROR(__xludf.DUMMYFUNCTION("""COMPUTED_VALUE"""),"20210901ILFRC")</f>
        <v>20210901ILFRC</v>
      </c>
      <c r="B786" s="1" t="str">
        <f ca="1">IFERROR(__xludf.DUMMYFUNCTION("""COMPUTED_VALUE"""),"Fatal")</f>
        <v>Fatal</v>
      </c>
      <c r="C786" s="1" t="str">
        <f ca="1">IFERROR(__xludf.DUMMYFUNCTION("""COMPUTED_VALUE"""),"Male")</f>
        <v>Male</v>
      </c>
      <c r="D786" s="1" t="str">
        <f ca="1">IFERROR(__xludf.DUMMYFUNCTION("""COMPUTED_VALUE"""),"No Relation")</f>
        <v>No Relation</v>
      </c>
      <c r="E786" s="1">
        <f ca="1">IFERROR(__xludf.DUMMYFUNCTION("""COMPUTED_VALUE"""),41)</f>
        <v>41</v>
      </c>
      <c r="F786" s="1"/>
    </row>
    <row r="787" spans="1:6" ht="12.5">
      <c r="A787" s="1" t="str">
        <f ca="1">IFERROR(__xludf.DUMMYFUNCTION("""COMPUTED_VALUE"""),"20210830NJWEN")</f>
        <v>20210830NJWEN</v>
      </c>
      <c r="B787" s="1" t="str">
        <f ca="1">IFERROR(__xludf.DUMMYFUNCTION("""COMPUTED_VALUE"""),"Fatal")</f>
        <v>Fatal</v>
      </c>
      <c r="C787" s="1" t="str">
        <f ca="1">IFERROR(__xludf.DUMMYFUNCTION("""COMPUTED_VALUE"""),"Male")</f>
        <v>Male</v>
      </c>
      <c r="D787" s="1" t="str">
        <f ca="1">IFERROR(__xludf.DUMMYFUNCTION("""COMPUTED_VALUE"""),"Student")</f>
        <v>Student</v>
      </c>
      <c r="E787" s="1" t="str">
        <f ca="1">IFERROR(__xludf.DUMMYFUNCTION("""COMPUTED_VALUE"""),"Teen")</f>
        <v>Teen</v>
      </c>
      <c r="F787" s="1"/>
    </row>
    <row r="788" spans="1:6" ht="12.5">
      <c r="A788" s="1" t="str">
        <f ca="1">IFERROR(__xludf.DUMMYFUNCTION("""COMPUTED_VALUE"""),"20210830NCNEW")</f>
        <v>20210830NCNEW</v>
      </c>
      <c r="B788" s="1" t="str">
        <f ca="1">IFERROR(__xludf.DUMMYFUNCTION("""COMPUTED_VALUE"""),"Wounded")</f>
        <v>Wounded</v>
      </c>
      <c r="C788" s="1" t="str">
        <f ca="1">IFERROR(__xludf.DUMMYFUNCTION("""COMPUTED_VALUE"""),"Male")</f>
        <v>Male</v>
      </c>
      <c r="D788" s="1" t="str">
        <f ca="1">IFERROR(__xludf.DUMMYFUNCTION("""COMPUTED_VALUE"""),"Student")</f>
        <v>Student</v>
      </c>
      <c r="E788" s="1" t="str">
        <f ca="1">IFERROR(__xludf.DUMMYFUNCTION("""COMPUTED_VALUE"""),"Teen")</f>
        <v>Teen</v>
      </c>
      <c r="F788" s="1"/>
    </row>
    <row r="789" spans="1:6" ht="12.5">
      <c r="A789" s="1" t="str">
        <f ca="1">IFERROR(__xludf.DUMMYFUNCTION("""COMPUTED_VALUE"""),"20210830FLOKW")</f>
        <v>20210830FLOKW</v>
      </c>
      <c r="B789" s="1" t="str">
        <f ca="1">IFERROR(__xludf.DUMMYFUNCTION("""COMPUTED_VALUE"""),"Non-gunshot Injury")</f>
        <v>Non-gunshot Injury</v>
      </c>
      <c r="C789" s="1" t="str">
        <f ca="1">IFERROR(__xludf.DUMMYFUNCTION("""COMPUTED_VALUE"""),"Female")</f>
        <v>Female</v>
      </c>
      <c r="D789" s="1" t="str">
        <f ca="1">IFERROR(__xludf.DUMMYFUNCTION("""COMPUTED_VALUE"""),"Student")</f>
        <v>Student</v>
      </c>
      <c r="E789" s="1" t="str">
        <f ca="1">IFERROR(__xludf.DUMMYFUNCTION("""COMPUTED_VALUE"""),"Teen")</f>
        <v>Teen</v>
      </c>
      <c r="F789" s="1"/>
    </row>
    <row r="790" spans="1:6" ht="12.5">
      <c r="A790" s="1" t="str">
        <f ca="1">IFERROR(__xludf.DUMMYFUNCTION("""COMPUTED_VALUE"""),"20210827VAFRW")</f>
        <v>20210827VAFRW</v>
      </c>
      <c r="B790" s="1" t="str">
        <f ca="1">IFERROR(__xludf.DUMMYFUNCTION("""COMPUTED_VALUE"""),"Wounded")</f>
        <v>Wounded</v>
      </c>
      <c r="C790" s="1" t="str">
        <f ca="1">IFERROR(__xludf.DUMMYFUNCTION("""COMPUTED_VALUE"""),"Male")</f>
        <v>Male</v>
      </c>
      <c r="D790" s="1" t="str">
        <f ca="1">IFERROR(__xludf.DUMMYFUNCTION("""COMPUTED_VALUE"""),"Student")</f>
        <v>Student</v>
      </c>
      <c r="E790" s="1">
        <f ca="1">IFERROR(__xludf.DUMMYFUNCTION("""COMPUTED_VALUE"""),15)</f>
        <v>15</v>
      </c>
      <c r="F790" s="1"/>
    </row>
    <row r="791" spans="1:6" ht="12.5">
      <c r="A791" s="1" t="str">
        <f ca="1">IFERROR(__xludf.DUMMYFUNCTION("""COMPUTED_VALUE"""),"20210827VAFRW")</f>
        <v>20210827VAFRW</v>
      </c>
      <c r="B791" s="1" t="str">
        <f ca="1">IFERROR(__xludf.DUMMYFUNCTION("""COMPUTED_VALUE"""),"Wounded")</f>
        <v>Wounded</v>
      </c>
      <c r="C791" s="1" t="str">
        <f ca="1">IFERROR(__xludf.DUMMYFUNCTION("""COMPUTED_VALUE"""),"Female")</f>
        <v>Female</v>
      </c>
      <c r="D791" s="1" t="str">
        <f ca="1">IFERROR(__xludf.DUMMYFUNCTION("""COMPUTED_VALUE"""),"Student")</f>
        <v>Student</v>
      </c>
      <c r="E791" s="1">
        <f ca="1">IFERROR(__xludf.DUMMYFUNCTION("""COMPUTED_VALUE"""),14)</f>
        <v>14</v>
      </c>
      <c r="F791" s="1"/>
    </row>
    <row r="792" spans="1:6" ht="12.5">
      <c r="A792" s="1" t="str">
        <f ca="1">IFERROR(__xludf.DUMMYFUNCTION("""COMPUTED_VALUE"""),"20210827PAACS")</f>
        <v>20210827PAACS</v>
      </c>
      <c r="B792" s="1" t="str">
        <f ca="1">IFERROR(__xludf.DUMMYFUNCTION("""COMPUTED_VALUE"""),"Wounded")</f>
        <v>Wounded</v>
      </c>
      <c r="C792" s="1"/>
      <c r="D792" s="1" t="str">
        <f ca="1">IFERROR(__xludf.DUMMYFUNCTION("""COMPUTED_VALUE"""),"Nonstudent Using Athletic Facilities/Attending Game")</f>
        <v>Nonstudent Using Athletic Facilities/Attending Game</v>
      </c>
      <c r="E792" s="1" t="str">
        <f ca="1">IFERROR(__xludf.DUMMYFUNCTION("""COMPUTED_VALUE"""),"Adult")</f>
        <v>Adult</v>
      </c>
      <c r="F792" s="1"/>
    </row>
    <row r="793" spans="1:6" ht="12.5">
      <c r="A793" s="1" t="str">
        <f ca="1">IFERROR(__xludf.DUMMYFUNCTION("""COMPUTED_VALUE"""),"20210827PAACS")</f>
        <v>20210827PAACS</v>
      </c>
      <c r="B793" s="1" t="str">
        <f ca="1">IFERROR(__xludf.DUMMYFUNCTION("""COMPUTED_VALUE"""),"Fatal")</f>
        <v>Fatal</v>
      </c>
      <c r="C793" s="1" t="str">
        <f ca="1">IFERROR(__xludf.DUMMYFUNCTION("""COMPUTED_VALUE"""),"Female")</f>
        <v>Female</v>
      </c>
      <c r="D793" s="1" t="str">
        <f ca="1">IFERROR(__xludf.DUMMYFUNCTION("""COMPUTED_VALUE"""),"Nonstudent Using Athletic Facilities/Attending Game")</f>
        <v>Nonstudent Using Athletic Facilities/Attending Game</v>
      </c>
      <c r="E793" s="1">
        <f ca="1">IFERROR(__xludf.DUMMYFUNCTION("""COMPUTED_VALUE"""),8)</f>
        <v>8</v>
      </c>
      <c r="F793" s="1" t="str">
        <f ca="1">IFERROR(__xludf.DUMMYFUNCTION("""COMPUTED_VALUE"""),"Black")</f>
        <v>Black</v>
      </c>
    </row>
    <row r="794" spans="1:6" ht="12.5">
      <c r="A794" s="1" t="str">
        <f ca="1">IFERROR(__xludf.DUMMYFUNCTION("""COMPUTED_VALUE"""),"20210827PAACS")</f>
        <v>20210827PAACS</v>
      </c>
      <c r="B794" s="1" t="str">
        <f ca="1">IFERROR(__xludf.DUMMYFUNCTION("""COMPUTED_VALUE"""),"Wounded")</f>
        <v>Wounded</v>
      </c>
      <c r="C794" s="1"/>
      <c r="D794" s="1" t="str">
        <f ca="1">IFERROR(__xludf.DUMMYFUNCTION("""COMPUTED_VALUE"""),"Student")</f>
        <v>Student</v>
      </c>
      <c r="E794" s="1" t="str">
        <f ca="1">IFERROR(__xludf.DUMMYFUNCTION("""COMPUTED_VALUE"""),"Teen")</f>
        <v>Teen</v>
      </c>
      <c r="F794" s="1"/>
    </row>
    <row r="795" spans="1:6" ht="12.5">
      <c r="A795" s="1" t="str">
        <f ca="1">IFERROR(__xludf.DUMMYFUNCTION("""COMPUTED_VALUE"""),"20210827PAACS")</f>
        <v>20210827PAACS</v>
      </c>
      <c r="B795" s="1" t="str">
        <f ca="1">IFERROR(__xludf.DUMMYFUNCTION("""COMPUTED_VALUE"""),"Wounded")</f>
        <v>Wounded</v>
      </c>
      <c r="C795" s="1"/>
      <c r="D795" s="1" t="str">
        <f ca="1">IFERROR(__xludf.DUMMYFUNCTION("""COMPUTED_VALUE"""),"Student")</f>
        <v>Student</v>
      </c>
      <c r="E795" s="1" t="str">
        <f ca="1">IFERROR(__xludf.DUMMYFUNCTION("""COMPUTED_VALUE"""),"Teen")</f>
        <v>Teen</v>
      </c>
      <c r="F795" s="1"/>
    </row>
    <row r="796" spans="1:6" ht="12.5">
      <c r="A796" s="1" t="str">
        <f ca="1">IFERROR(__xludf.DUMMYFUNCTION("""COMPUTED_VALUE"""),"20210827PAACS")</f>
        <v>20210827PAACS</v>
      </c>
      <c r="B796" s="1" t="str">
        <f ca="1">IFERROR(__xludf.DUMMYFUNCTION("""COMPUTED_VALUE"""),"Wounded")</f>
        <v>Wounded</v>
      </c>
      <c r="C796" s="1"/>
      <c r="D796" s="1" t="str">
        <f ca="1">IFERROR(__xludf.DUMMYFUNCTION("""COMPUTED_VALUE"""),"Nonstudent Using Athletic Facilities/Attending Game")</f>
        <v>Nonstudent Using Athletic Facilities/Attending Game</v>
      </c>
      <c r="E796" s="1" t="str">
        <f ca="1">IFERROR(__xludf.DUMMYFUNCTION("""COMPUTED_VALUE"""),"Adult")</f>
        <v>Adult</v>
      </c>
      <c r="F796" s="1"/>
    </row>
    <row r="797" spans="1:6" ht="12.5">
      <c r="A797" s="1" t="str">
        <f ca="1">IFERROR(__xludf.DUMMYFUNCTION("""COMPUTED_VALUE"""),"20210827KYAPO")</f>
        <v>20210827KYAPO</v>
      </c>
      <c r="B797" s="1" t="str">
        <f ca="1">IFERROR(__xludf.DUMMYFUNCTION("""COMPUTED_VALUE"""),"Wounded")</f>
        <v>Wounded</v>
      </c>
      <c r="C797" s="1" t="str">
        <f ca="1">IFERROR(__xludf.DUMMYFUNCTION("""COMPUTED_VALUE"""),"Male")</f>
        <v>Male</v>
      </c>
      <c r="D797" s="1" t="str">
        <f ca="1">IFERROR(__xludf.DUMMYFUNCTION("""COMPUTED_VALUE"""),"Nonstudent Using Athletic Facilities/Attending Game")</f>
        <v>Nonstudent Using Athletic Facilities/Attending Game</v>
      </c>
      <c r="E797" s="1" t="str">
        <f ca="1">IFERROR(__xludf.DUMMYFUNCTION("""COMPUTED_VALUE"""),"Adult")</f>
        <v>Adult</v>
      </c>
      <c r="F797" s="1"/>
    </row>
    <row r="798" spans="1:6" ht="12.5">
      <c r="A798" s="1" t="str">
        <f ca="1">IFERROR(__xludf.DUMMYFUNCTION("""COMPUTED_VALUE"""),"20210827INHAH")</f>
        <v>20210827INHAH</v>
      </c>
      <c r="B798" s="1" t="str">
        <f ca="1">IFERROR(__xludf.DUMMYFUNCTION("""COMPUTED_VALUE"""),"Wounded")</f>
        <v>Wounded</v>
      </c>
      <c r="C798" s="1"/>
      <c r="D798" s="1" t="str">
        <f ca="1">IFERROR(__xludf.DUMMYFUNCTION("""COMPUTED_VALUE"""),"Student")</f>
        <v>Student</v>
      </c>
      <c r="E798" s="1" t="str">
        <f ca="1">IFERROR(__xludf.DUMMYFUNCTION("""COMPUTED_VALUE"""),"Teen")</f>
        <v>Teen</v>
      </c>
      <c r="F798" s="1"/>
    </row>
    <row r="799" spans="1:6" ht="12.5">
      <c r="A799" s="1" t="str">
        <f ca="1">IFERROR(__xludf.DUMMYFUNCTION("""COMPUTED_VALUE"""),"20210827INHAH")</f>
        <v>20210827INHAH</v>
      </c>
      <c r="B799" s="1" t="str">
        <f ca="1">IFERROR(__xludf.DUMMYFUNCTION("""COMPUTED_VALUE"""),"Wounded")</f>
        <v>Wounded</v>
      </c>
      <c r="C799" s="1"/>
      <c r="D799" s="1" t="str">
        <f ca="1">IFERROR(__xludf.DUMMYFUNCTION("""COMPUTED_VALUE"""),"Student")</f>
        <v>Student</v>
      </c>
      <c r="E799" s="1" t="str">
        <f ca="1">IFERROR(__xludf.DUMMYFUNCTION("""COMPUTED_VALUE"""),"Teen")</f>
        <v>Teen</v>
      </c>
      <c r="F799" s="1"/>
    </row>
    <row r="800" spans="1:6" ht="12.5">
      <c r="A800" s="1" t="str">
        <f ca="1">IFERROR(__xludf.DUMMYFUNCTION("""COMPUTED_VALUE"""),"20210822ILWER")</f>
        <v>20210822ILWER</v>
      </c>
      <c r="B800" s="1" t="str">
        <f ca="1">IFERROR(__xludf.DUMMYFUNCTION("""COMPUTED_VALUE"""),"Wounded")</f>
        <v>Wounded</v>
      </c>
      <c r="C800" s="1" t="str">
        <f ca="1">IFERROR(__xludf.DUMMYFUNCTION("""COMPUTED_VALUE"""),"Male")</f>
        <v>Male</v>
      </c>
      <c r="D800" s="1" t="str">
        <f ca="1">IFERROR(__xludf.DUMMYFUNCTION("""COMPUTED_VALUE"""),"Student")</f>
        <v>Student</v>
      </c>
      <c r="E800" s="1">
        <f ca="1">IFERROR(__xludf.DUMMYFUNCTION("""COMPUTED_VALUE"""),13)</f>
        <v>13</v>
      </c>
      <c r="F800" s="1"/>
    </row>
    <row r="801" spans="1:6" ht="12.5">
      <c r="A801" s="1" t="str">
        <f ca="1">IFERROR(__xludf.DUMMYFUNCTION("""COMPUTED_VALUE"""),"20210820NEMIO")</f>
        <v>20210820NEMIO</v>
      </c>
      <c r="B801" s="1" t="str">
        <f ca="1">IFERROR(__xludf.DUMMYFUNCTION("""COMPUTED_VALUE"""),"Wounded")</f>
        <v>Wounded</v>
      </c>
      <c r="C801" s="1" t="str">
        <f ca="1">IFERROR(__xludf.DUMMYFUNCTION("""COMPUTED_VALUE"""),"Male")</f>
        <v>Male</v>
      </c>
      <c r="D801" s="1" t="str">
        <f ca="1">IFERROR(__xludf.DUMMYFUNCTION("""COMPUTED_VALUE"""),"No Relation")</f>
        <v>No Relation</v>
      </c>
      <c r="E801" s="1">
        <f ca="1">IFERROR(__xludf.DUMMYFUNCTION("""COMPUTED_VALUE"""),24)</f>
        <v>24</v>
      </c>
      <c r="F801" s="1" t="str">
        <f ca="1">IFERROR(__xludf.DUMMYFUNCTION("""COMPUTED_VALUE"""),"Black")</f>
        <v>Black</v>
      </c>
    </row>
    <row r="802" spans="1:6" ht="12.5">
      <c r="A802" s="1" t="str">
        <f ca="1">IFERROR(__xludf.DUMMYFUNCTION("""COMPUTED_VALUE"""),"20210820NEMIO")</f>
        <v>20210820NEMIO</v>
      </c>
      <c r="B802" s="1" t="str">
        <f ca="1">IFERROR(__xludf.DUMMYFUNCTION("""COMPUTED_VALUE"""),"Wounded")</f>
        <v>Wounded</v>
      </c>
      <c r="C802" s="1" t="str">
        <f ca="1">IFERROR(__xludf.DUMMYFUNCTION("""COMPUTED_VALUE"""),"Female")</f>
        <v>Female</v>
      </c>
      <c r="D802" s="1" t="str">
        <f ca="1">IFERROR(__xludf.DUMMYFUNCTION("""COMPUTED_VALUE"""),"No Relation")</f>
        <v>No Relation</v>
      </c>
      <c r="E802" s="1">
        <f ca="1">IFERROR(__xludf.DUMMYFUNCTION("""COMPUTED_VALUE"""),29)</f>
        <v>29</v>
      </c>
      <c r="F802" s="1" t="str">
        <f ca="1">IFERROR(__xludf.DUMMYFUNCTION("""COMPUTED_VALUE"""),"Black")</f>
        <v>Black</v>
      </c>
    </row>
    <row r="803" spans="1:6" ht="12.5">
      <c r="A803" s="1" t="str">
        <f ca="1">IFERROR(__xludf.DUMMYFUNCTION("""COMPUTED_VALUE"""),"20210820CACEF")</f>
        <v>20210820CACEF</v>
      </c>
      <c r="B803" s="1" t="str">
        <f ca="1">IFERROR(__xludf.DUMMYFUNCTION("""COMPUTED_VALUE"""),"Wounded")</f>
        <v>Wounded</v>
      </c>
      <c r="C803" s="1" t="str">
        <f ca="1">IFERROR(__xludf.DUMMYFUNCTION("""COMPUTED_VALUE"""),"Male")</f>
        <v>Male</v>
      </c>
      <c r="D803" s="1" t="str">
        <f ca="1">IFERROR(__xludf.DUMMYFUNCTION("""COMPUTED_VALUE"""),"Nonstudent Using Athletic Facilities/Attending Game")</f>
        <v>Nonstudent Using Athletic Facilities/Attending Game</v>
      </c>
      <c r="E803" s="1">
        <f ca="1">IFERROR(__xludf.DUMMYFUNCTION("""COMPUTED_VALUE"""),19)</f>
        <v>19</v>
      </c>
      <c r="F803" s="1" t="str">
        <f ca="1">IFERROR(__xludf.DUMMYFUNCTION("""COMPUTED_VALUE"""),"Black")</f>
        <v>Black</v>
      </c>
    </row>
    <row r="804" spans="1:6" ht="12.5">
      <c r="A804" s="1" t="str">
        <f ca="1">IFERROR(__xludf.DUMMYFUNCTION("""COMPUTED_VALUE"""),"20210818SCORO")</f>
        <v>20210818SCORO</v>
      </c>
      <c r="B804" s="1" t="str">
        <f ca="1">IFERROR(__xludf.DUMMYFUNCTION("""COMPUTED_VALUE"""),"Wounded")</f>
        <v>Wounded</v>
      </c>
      <c r="C804" s="1"/>
      <c r="D804" s="1" t="str">
        <f ca="1">IFERROR(__xludf.DUMMYFUNCTION("""COMPUTED_VALUE"""),"Student")</f>
        <v>Student</v>
      </c>
      <c r="E804" s="1" t="str">
        <f ca="1">IFERROR(__xludf.DUMMYFUNCTION("""COMPUTED_VALUE"""),"Teen")</f>
        <v>Teen</v>
      </c>
      <c r="F804" s="1"/>
    </row>
    <row r="805" spans="1:6" ht="12.5">
      <c r="A805" s="1" t="str">
        <f ca="1">IFERROR(__xludf.DUMMYFUNCTION("""COMPUTED_VALUE"""),"20210818SCORO")</f>
        <v>20210818SCORO</v>
      </c>
      <c r="B805" s="1" t="str">
        <f ca="1">IFERROR(__xludf.DUMMYFUNCTION("""COMPUTED_VALUE"""),"Wounded")</f>
        <v>Wounded</v>
      </c>
      <c r="C805" s="1"/>
      <c r="D805" s="1" t="str">
        <f ca="1">IFERROR(__xludf.DUMMYFUNCTION("""COMPUTED_VALUE"""),"Student")</f>
        <v>Student</v>
      </c>
      <c r="E805" s="1" t="str">
        <f ca="1">IFERROR(__xludf.DUMMYFUNCTION("""COMPUTED_VALUE"""),"Teen")</f>
        <v>Teen</v>
      </c>
      <c r="F805" s="1"/>
    </row>
    <row r="806" spans="1:6" ht="12.5">
      <c r="A806" s="1" t="str">
        <f ca="1">IFERROR(__xludf.DUMMYFUNCTION("""COMPUTED_VALUE"""),"20210818SCORO")</f>
        <v>20210818SCORO</v>
      </c>
      <c r="B806" s="1" t="str">
        <f ca="1">IFERROR(__xludf.DUMMYFUNCTION("""COMPUTED_VALUE"""),"Wounded")</f>
        <v>Wounded</v>
      </c>
      <c r="C806" s="1"/>
      <c r="D806" s="1" t="str">
        <f ca="1">IFERROR(__xludf.DUMMYFUNCTION("""COMPUTED_VALUE"""),"Student")</f>
        <v>Student</v>
      </c>
      <c r="E806" s="1" t="str">
        <f ca="1">IFERROR(__xludf.DUMMYFUNCTION("""COMPUTED_VALUE"""),"Teen")</f>
        <v>Teen</v>
      </c>
      <c r="F806" s="1"/>
    </row>
    <row r="807" spans="1:6" ht="12.5">
      <c r="A807" s="1" t="str">
        <f ca="1">IFERROR(__xludf.DUMMYFUNCTION("""COMPUTED_VALUE"""),"20210817COYED")</f>
        <v>20210817COYED</v>
      </c>
      <c r="B807" s="1" t="str">
        <f ca="1">IFERROR(__xludf.DUMMYFUNCTION("""COMPUTED_VALUE"""),"Fatal")</f>
        <v>Fatal</v>
      </c>
      <c r="C807" s="1" t="str">
        <f ca="1">IFERROR(__xludf.DUMMYFUNCTION("""COMPUTED_VALUE"""),"Male")</f>
        <v>Male</v>
      </c>
      <c r="D807" s="1" t="str">
        <f ca="1">IFERROR(__xludf.DUMMYFUNCTION("""COMPUTED_VALUE"""),"Student")</f>
        <v>Student</v>
      </c>
      <c r="E807" s="1">
        <f ca="1">IFERROR(__xludf.DUMMYFUNCTION("""COMPUTED_VALUE"""),18)</f>
        <v>18</v>
      </c>
      <c r="F807" s="1"/>
    </row>
    <row r="808" spans="1:6" ht="12.5">
      <c r="A808" s="1" t="str">
        <f ca="1">IFERROR(__xludf.DUMMYFUNCTION("""COMPUTED_VALUE"""),"20210814ILMAC")</f>
        <v>20210814ILMAC</v>
      </c>
      <c r="B808" s="1" t="str">
        <f ca="1">IFERROR(__xludf.DUMMYFUNCTION("""COMPUTED_VALUE"""),"Wounded")</f>
        <v>Wounded</v>
      </c>
      <c r="C808" s="1" t="str">
        <f ca="1">IFERROR(__xludf.DUMMYFUNCTION("""COMPUTED_VALUE"""),"Male")</f>
        <v>Male</v>
      </c>
      <c r="D808" s="1" t="str">
        <f ca="1">IFERROR(__xludf.DUMMYFUNCTION("""COMPUTED_VALUE"""),"No Relation")</f>
        <v>No Relation</v>
      </c>
      <c r="E808" s="1">
        <f ca="1">IFERROR(__xludf.DUMMYFUNCTION("""COMPUTED_VALUE"""),15)</f>
        <v>15</v>
      </c>
      <c r="F808" s="1"/>
    </row>
    <row r="809" spans="1:6" ht="12.5">
      <c r="A809" s="1" t="str">
        <f ca="1">IFERROR(__xludf.DUMMYFUNCTION("""COMPUTED_VALUE"""),"20210813NMWAA")</f>
        <v>20210813NMWAA</v>
      </c>
      <c r="B809" s="1" t="str">
        <f ca="1">IFERROR(__xludf.DUMMYFUNCTION("""COMPUTED_VALUE"""),"Fatal")</f>
        <v>Fatal</v>
      </c>
      <c r="C809" s="1" t="str">
        <f ca="1">IFERROR(__xludf.DUMMYFUNCTION("""COMPUTED_VALUE"""),"Male")</f>
        <v>Male</v>
      </c>
      <c r="D809" s="1" t="str">
        <f ca="1">IFERROR(__xludf.DUMMYFUNCTION("""COMPUTED_VALUE"""),"Student")</f>
        <v>Student</v>
      </c>
      <c r="E809" s="1">
        <f ca="1">IFERROR(__xludf.DUMMYFUNCTION("""COMPUTED_VALUE"""),13)</f>
        <v>13</v>
      </c>
      <c r="F809" s="1"/>
    </row>
    <row r="810" spans="1:6" ht="12.5">
      <c r="A810" s="1" t="str">
        <f ca="1">IFERROR(__xludf.DUMMYFUNCTION("""COMPUTED_VALUE"""),"20210812GALIL")</f>
        <v>20210812GALIL</v>
      </c>
      <c r="B810" s="1" t="str">
        <f ca="1">IFERROR(__xludf.DUMMYFUNCTION("""COMPUTED_VALUE"""),"Wounded")</f>
        <v>Wounded</v>
      </c>
      <c r="C810" s="1" t="str">
        <f ca="1">IFERROR(__xludf.DUMMYFUNCTION("""COMPUTED_VALUE"""),"Male")</f>
        <v>Male</v>
      </c>
      <c r="D810" s="1"/>
      <c r="E810" s="1" t="str">
        <f ca="1">IFERROR(__xludf.DUMMYFUNCTION("""COMPUTED_VALUE"""),"Adult")</f>
        <v>Adult</v>
      </c>
      <c r="F810" s="1"/>
    </row>
    <row r="811" spans="1:6" ht="12.5">
      <c r="A811" s="1" t="str">
        <f ca="1">IFERROR(__xludf.DUMMYFUNCTION("""COMPUTED_VALUE"""),"20210811COMAC")</f>
        <v>20210811COMAC</v>
      </c>
      <c r="B811" s="1" t="str">
        <f ca="1">IFERROR(__xludf.DUMMYFUNCTION("""COMPUTED_VALUE"""),"Wounded")</f>
        <v>Wounded</v>
      </c>
      <c r="C811" s="1" t="str">
        <f ca="1">IFERROR(__xludf.DUMMYFUNCTION("""COMPUTED_VALUE"""),"Male")</f>
        <v>Male</v>
      </c>
      <c r="D811" s="1" t="str">
        <f ca="1">IFERROR(__xludf.DUMMYFUNCTION("""COMPUTED_VALUE"""),"No Relation")</f>
        <v>No Relation</v>
      </c>
      <c r="E811" s="1" t="str">
        <f ca="1">IFERROR(__xludf.DUMMYFUNCTION("""COMPUTED_VALUE"""),"Adult")</f>
        <v>Adult</v>
      </c>
      <c r="F811" s="1"/>
    </row>
    <row r="812" spans="1:6" ht="12.5">
      <c r="A812" s="1" t="str">
        <f ca="1">IFERROR(__xludf.DUMMYFUNCTION("""COMPUTED_VALUE"""),"20210810OHEAC")</f>
        <v>20210810OHEAC</v>
      </c>
      <c r="B812" s="1" t="str">
        <f ca="1">IFERROR(__xludf.DUMMYFUNCTION("""COMPUTED_VALUE"""),"Wounded")</f>
        <v>Wounded</v>
      </c>
      <c r="C812" s="1" t="str">
        <f ca="1">IFERROR(__xludf.DUMMYFUNCTION("""COMPUTED_VALUE"""),"Male")</f>
        <v>Male</v>
      </c>
      <c r="D812" s="1" t="str">
        <f ca="1">IFERROR(__xludf.DUMMYFUNCTION("""COMPUTED_VALUE"""),"Former Student")</f>
        <v>Former Student</v>
      </c>
      <c r="E812" s="1">
        <f ca="1">IFERROR(__xludf.DUMMYFUNCTION("""COMPUTED_VALUE"""),15)</f>
        <v>15</v>
      </c>
      <c r="F812" s="1"/>
    </row>
    <row r="813" spans="1:6" ht="12.5">
      <c r="A813" s="1" t="str">
        <f ca="1">IFERROR(__xludf.DUMMYFUNCTION("""COMPUTED_VALUE"""),"20210807ORGIP")</f>
        <v>20210807ORGIP</v>
      </c>
      <c r="B813" s="1" t="str">
        <f ca="1">IFERROR(__xludf.DUMMYFUNCTION("""COMPUTED_VALUE"""),"Fatal")</f>
        <v>Fatal</v>
      </c>
      <c r="C813" s="1" t="str">
        <f ca="1">IFERROR(__xludf.DUMMYFUNCTION("""COMPUTED_VALUE"""),"Male")</f>
        <v>Male</v>
      </c>
      <c r="D813" s="1" t="str">
        <f ca="1">IFERROR(__xludf.DUMMYFUNCTION("""COMPUTED_VALUE"""),"No Relation")</f>
        <v>No Relation</v>
      </c>
      <c r="E813" s="1" t="str">
        <f ca="1">IFERROR(__xludf.DUMMYFUNCTION("""COMPUTED_VALUE"""),"Adult")</f>
        <v>Adult</v>
      </c>
      <c r="F813" s="1"/>
    </row>
    <row r="814" spans="1:6" ht="12.5">
      <c r="A814" s="1" t="str">
        <f ca="1">IFERROR(__xludf.DUMMYFUNCTION("""COMPUTED_VALUE"""),"20210806LASTH")</f>
        <v>20210806LASTH</v>
      </c>
      <c r="B814" s="1" t="str">
        <f ca="1">IFERROR(__xludf.DUMMYFUNCTION("""COMPUTED_VALUE"""),"Wounded")</f>
        <v>Wounded</v>
      </c>
      <c r="C814" s="1" t="str">
        <f ca="1">IFERROR(__xludf.DUMMYFUNCTION("""COMPUTED_VALUE"""),"Female")</f>
        <v>Female</v>
      </c>
      <c r="D814" s="1" t="str">
        <f ca="1">IFERROR(__xludf.DUMMYFUNCTION("""COMPUTED_VALUE"""),"Parent")</f>
        <v>Parent</v>
      </c>
      <c r="E814" s="1">
        <f ca="1">IFERROR(__xludf.DUMMYFUNCTION("""COMPUTED_VALUE"""),60)</f>
        <v>60</v>
      </c>
      <c r="F814" s="1"/>
    </row>
    <row r="815" spans="1:6" ht="12.5">
      <c r="A815" s="1" t="str">
        <f ca="1">IFERROR(__xludf.DUMMYFUNCTION("""COMPUTED_VALUE"""),"20210804ALBUM")</f>
        <v>20210804ALBUM</v>
      </c>
      <c r="B815" s="1" t="str">
        <f ca="1">IFERROR(__xludf.DUMMYFUNCTION("""COMPUTED_VALUE"""),"Wounded")</f>
        <v>Wounded</v>
      </c>
      <c r="C815" s="1" t="str">
        <f ca="1">IFERROR(__xludf.DUMMYFUNCTION("""COMPUTED_VALUE"""),"Male")</f>
        <v>Male</v>
      </c>
      <c r="D815" s="1"/>
      <c r="E815" s="1" t="str">
        <f ca="1">IFERROR(__xludf.DUMMYFUNCTION("""COMPUTED_VALUE"""),"Teen")</f>
        <v>Teen</v>
      </c>
      <c r="F815" s="1"/>
    </row>
    <row r="816" spans="1:6" ht="12.5">
      <c r="A816" s="1" t="str">
        <f ca="1">IFERROR(__xludf.DUMMYFUNCTION("""COMPUTED_VALUE"""),"20210804ALBUM")</f>
        <v>20210804ALBUM</v>
      </c>
      <c r="B816" s="1" t="str">
        <f ca="1">IFERROR(__xludf.DUMMYFUNCTION("""COMPUTED_VALUE"""),"Wounded")</f>
        <v>Wounded</v>
      </c>
      <c r="C816" s="1" t="str">
        <f ca="1">IFERROR(__xludf.DUMMYFUNCTION("""COMPUTED_VALUE"""),"Male")</f>
        <v>Male</v>
      </c>
      <c r="D816" s="1"/>
      <c r="E816" s="1" t="str">
        <f ca="1">IFERROR(__xludf.DUMMYFUNCTION("""COMPUTED_VALUE"""),"Teen")</f>
        <v>Teen</v>
      </c>
      <c r="F816" s="1"/>
    </row>
    <row r="817" spans="1:6" ht="12.5">
      <c r="A817" s="1" t="str">
        <f ca="1">IFERROR(__xludf.DUMMYFUNCTION("""COMPUTED_VALUE"""),"20210727WATYS")</f>
        <v>20210727WATYS</v>
      </c>
      <c r="B817" s="1" t="str">
        <f ca="1">IFERROR(__xludf.DUMMYFUNCTION("""COMPUTED_VALUE"""),"Fatal")</f>
        <v>Fatal</v>
      </c>
      <c r="C817" s="1" t="str">
        <f ca="1">IFERROR(__xludf.DUMMYFUNCTION("""COMPUTED_VALUE"""),"Male")</f>
        <v>Male</v>
      </c>
      <c r="D817" s="1" t="str">
        <f ca="1">IFERROR(__xludf.DUMMYFUNCTION("""COMPUTED_VALUE"""),"Nonstudent Using Athletic Facilities/Attending Game")</f>
        <v>Nonstudent Using Athletic Facilities/Attending Game</v>
      </c>
      <c r="E817" s="1" t="str">
        <f ca="1">IFERROR(__xludf.DUMMYFUNCTION("""COMPUTED_VALUE"""),"Adult")</f>
        <v>Adult</v>
      </c>
      <c r="F817" s="1"/>
    </row>
    <row r="818" spans="1:6" ht="12.5">
      <c r="A818" s="1" t="str">
        <f ca="1">IFERROR(__xludf.DUMMYFUNCTION("""COMPUTED_VALUE"""),"20210721ILTHC")</f>
        <v>20210721ILTHC</v>
      </c>
      <c r="B818" s="1" t="str">
        <f ca="1">IFERROR(__xludf.DUMMYFUNCTION("""COMPUTED_VALUE"""),"Wounded")</f>
        <v>Wounded</v>
      </c>
      <c r="C818" s="1" t="str">
        <f ca="1">IFERROR(__xludf.DUMMYFUNCTION("""COMPUTED_VALUE"""),"Male")</f>
        <v>Male</v>
      </c>
      <c r="D818" s="1" t="str">
        <f ca="1">IFERROR(__xludf.DUMMYFUNCTION("""COMPUTED_VALUE"""),"No Relation")</f>
        <v>No Relation</v>
      </c>
      <c r="E818" s="1">
        <f ca="1">IFERROR(__xludf.DUMMYFUNCTION("""COMPUTED_VALUE"""),22)</f>
        <v>22</v>
      </c>
      <c r="F818" s="1"/>
    </row>
    <row r="819" spans="1:6" ht="12.5">
      <c r="A819" s="1" t="str">
        <f ca="1">IFERROR(__xludf.DUMMYFUNCTION("""COMPUTED_VALUE"""),"20210721ILTHC")</f>
        <v>20210721ILTHC</v>
      </c>
      <c r="B819" s="1" t="str">
        <f ca="1">IFERROR(__xludf.DUMMYFUNCTION("""COMPUTED_VALUE"""),"Wounded")</f>
        <v>Wounded</v>
      </c>
      <c r="C819" s="1" t="str">
        <f ca="1">IFERROR(__xludf.DUMMYFUNCTION("""COMPUTED_VALUE"""),"Male")</f>
        <v>Male</v>
      </c>
      <c r="D819" s="1" t="str">
        <f ca="1">IFERROR(__xludf.DUMMYFUNCTION("""COMPUTED_VALUE"""),"No Relation")</f>
        <v>No Relation</v>
      </c>
      <c r="E819" s="1">
        <f ca="1">IFERROR(__xludf.DUMMYFUNCTION("""COMPUTED_VALUE"""),18)</f>
        <v>18</v>
      </c>
      <c r="F819" s="1"/>
    </row>
    <row r="820" spans="1:6" ht="12.5">
      <c r="A820" s="1" t="str">
        <f ca="1">IFERROR(__xludf.DUMMYFUNCTION("""COMPUTED_VALUE"""),"20210721ILTHC")</f>
        <v>20210721ILTHC</v>
      </c>
      <c r="B820" s="1" t="str">
        <f ca="1">IFERROR(__xludf.DUMMYFUNCTION("""COMPUTED_VALUE"""),"Wounded")</f>
        <v>Wounded</v>
      </c>
      <c r="C820" s="1" t="str">
        <f ca="1">IFERROR(__xludf.DUMMYFUNCTION("""COMPUTED_VALUE"""),"Male")</f>
        <v>Male</v>
      </c>
      <c r="D820" s="1" t="str">
        <f ca="1">IFERROR(__xludf.DUMMYFUNCTION("""COMPUTED_VALUE"""),"No Relation")</f>
        <v>No Relation</v>
      </c>
      <c r="E820" s="1">
        <f ca="1">IFERROR(__xludf.DUMMYFUNCTION("""COMPUTED_VALUE"""),15)</f>
        <v>15</v>
      </c>
      <c r="F820" s="1"/>
    </row>
    <row r="821" spans="1:6" ht="12.5">
      <c r="A821" s="1" t="str">
        <f ca="1">IFERROR(__xludf.DUMMYFUNCTION("""COMPUTED_VALUE"""),"20210721ILTHC")</f>
        <v>20210721ILTHC</v>
      </c>
      <c r="B821" s="1" t="str">
        <f ca="1">IFERROR(__xludf.DUMMYFUNCTION("""COMPUTED_VALUE"""),"Wounded")</f>
        <v>Wounded</v>
      </c>
      <c r="C821" s="1" t="str">
        <f ca="1">IFERROR(__xludf.DUMMYFUNCTION("""COMPUTED_VALUE"""),"Male")</f>
        <v>Male</v>
      </c>
      <c r="D821" s="1" t="str">
        <f ca="1">IFERROR(__xludf.DUMMYFUNCTION("""COMPUTED_VALUE"""),"No Relation")</f>
        <v>No Relation</v>
      </c>
      <c r="E821" s="1">
        <f ca="1">IFERROR(__xludf.DUMMYFUNCTION("""COMPUTED_VALUE"""),17)</f>
        <v>17</v>
      </c>
      <c r="F821" s="1"/>
    </row>
    <row r="822" spans="1:6" ht="12.5">
      <c r="A822" s="1" t="str">
        <f ca="1">IFERROR(__xludf.DUMMYFUNCTION("""COMPUTED_VALUE"""),"20210721ILTHC")</f>
        <v>20210721ILTHC</v>
      </c>
      <c r="B822" s="1" t="str">
        <f ca="1">IFERROR(__xludf.DUMMYFUNCTION("""COMPUTED_VALUE"""),"Wounded")</f>
        <v>Wounded</v>
      </c>
      <c r="C822" s="1" t="str">
        <f ca="1">IFERROR(__xludf.DUMMYFUNCTION("""COMPUTED_VALUE"""),"Male")</f>
        <v>Male</v>
      </c>
      <c r="D822" s="1" t="str">
        <f ca="1">IFERROR(__xludf.DUMMYFUNCTION("""COMPUTED_VALUE"""),"No Relation")</f>
        <v>No Relation</v>
      </c>
      <c r="E822" s="1">
        <f ca="1">IFERROR(__xludf.DUMMYFUNCTION("""COMPUTED_VALUE"""),14)</f>
        <v>14</v>
      </c>
      <c r="F822" s="1"/>
    </row>
    <row r="823" spans="1:6" ht="12.5">
      <c r="A823" s="1" t="str">
        <f ca="1">IFERROR(__xludf.DUMMYFUNCTION("""COMPUTED_VALUE"""),"20210719TXCAC")</f>
        <v>20210719TXCAC</v>
      </c>
      <c r="B823" s="1" t="str">
        <f ca="1">IFERROR(__xludf.DUMMYFUNCTION("""COMPUTED_VALUE"""),"Non-gunshot Injury")</f>
        <v>Non-gunshot Injury</v>
      </c>
      <c r="C823" s="1" t="str">
        <f ca="1">IFERROR(__xludf.DUMMYFUNCTION("""COMPUTED_VALUE"""),"Female")</f>
        <v>Female</v>
      </c>
      <c r="D823" s="1" t="str">
        <f ca="1">IFERROR(__xludf.DUMMYFUNCTION("""COMPUTED_VALUE"""),"Student")</f>
        <v>Student</v>
      </c>
      <c r="E823" s="1">
        <f ca="1">IFERROR(__xludf.DUMMYFUNCTION("""COMPUTED_VALUE"""),17)</f>
        <v>17</v>
      </c>
      <c r="F823" s="1"/>
    </row>
    <row r="824" spans="1:6" ht="12.5">
      <c r="A824" s="1" t="str">
        <f ca="1">IFERROR(__xludf.DUMMYFUNCTION("""COMPUTED_VALUE"""),"20210719TXCAC")</f>
        <v>20210719TXCAC</v>
      </c>
      <c r="B824" s="1" t="str">
        <f ca="1">IFERROR(__xludf.DUMMYFUNCTION("""COMPUTED_VALUE"""),"Non-gunshot Injury")</f>
        <v>Non-gunshot Injury</v>
      </c>
      <c r="C824" s="1" t="str">
        <f ca="1">IFERROR(__xludf.DUMMYFUNCTION("""COMPUTED_VALUE"""),"Male")</f>
        <v>Male</v>
      </c>
      <c r="D824" s="1" t="str">
        <f ca="1">IFERROR(__xludf.DUMMYFUNCTION("""COMPUTED_VALUE"""),"Student")</f>
        <v>Student</v>
      </c>
      <c r="E824" s="1">
        <f ca="1">IFERROR(__xludf.DUMMYFUNCTION("""COMPUTED_VALUE"""),17)</f>
        <v>17</v>
      </c>
      <c r="F824" s="1"/>
    </row>
    <row r="825" spans="1:6" ht="12.5">
      <c r="A825" s="1" t="str">
        <f ca="1">IFERROR(__xludf.DUMMYFUNCTION("""COMPUTED_VALUE"""),"20210708ILBEC")</f>
        <v>20210708ILBEC</v>
      </c>
      <c r="B825" s="1" t="str">
        <f ca="1">IFERROR(__xludf.DUMMYFUNCTION("""COMPUTED_VALUE"""),"Wounded")</f>
        <v>Wounded</v>
      </c>
      <c r="C825" s="1" t="str">
        <f ca="1">IFERROR(__xludf.DUMMYFUNCTION("""COMPUTED_VALUE"""),"Female")</f>
        <v>Female</v>
      </c>
      <c r="D825" s="1" t="str">
        <f ca="1">IFERROR(__xludf.DUMMYFUNCTION("""COMPUTED_VALUE"""),"No Relation")</f>
        <v>No Relation</v>
      </c>
      <c r="E825" s="1">
        <f ca="1">IFERROR(__xludf.DUMMYFUNCTION("""COMPUTED_VALUE"""),34)</f>
        <v>34</v>
      </c>
      <c r="F825" s="1"/>
    </row>
    <row r="826" spans="1:6" ht="12.5">
      <c r="A826" s="1" t="str">
        <f ca="1">IFERROR(__xludf.DUMMYFUNCTION("""COMPUTED_VALUE"""),"20210708ILBEC")</f>
        <v>20210708ILBEC</v>
      </c>
      <c r="B826" s="1" t="str">
        <f ca="1">IFERROR(__xludf.DUMMYFUNCTION("""COMPUTED_VALUE"""),"Wounded")</f>
        <v>Wounded</v>
      </c>
      <c r="C826" s="1" t="str">
        <f ca="1">IFERROR(__xludf.DUMMYFUNCTION("""COMPUTED_VALUE"""),"Male")</f>
        <v>Male</v>
      </c>
      <c r="D826" s="1" t="str">
        <f ca="1">IFERROR(__xludf.DUMMYFUNCTION("""COMPUTED_VALUE"""),"Student")</f>
        <v>Student</v>
      </c>
      <c r="E826" s="1">
        <f ca="1">IFERROR(__xludf.DUMMYFUNCTION("""COMPUTED_VALUE"""),16)</f>
        <v>16</v>
      </c>
      <c r="F826" s="1"/>
    </row>
    <row r="827" spans="1:6" ht="12.5">
      <c r="A827" s="1" t="str">
        <f ca="1">IFERROR(__xludf.DUMMYFUNCTION("""COMPUTED_VALUE"""),"20210704NYDRR")</f>
        <v>20210704NYDRR</v>
      </c>
      <c r="B827" s="1" t="str">
        <f ca="1">IFERROR(__xludf.DUMMYFUNCTION("""COMPUTED_VALUE"""),"Fatal")</f>
        <v>Fatal</v>
      </c>
      <c r="C827" s="1" t="str">
        <f ca="1">IFERROR(__xludf.DUMMYFUNCTION("""COMPUTED_VALUE"""),"Male")</f>
        <v>Male</v>
      </c>
      <c r="D827" s="1"/>
      <c r="E827" s="1">
        <f ca="1">IFERROR(__xludf.DUMMYFUNCTION("""COMPUTED_VALUE"""),16)</f>
        <v>16</v>
      </c>
      <c r="F827" s="1"/>
    </row>
    <row r="828" spans="1:6" ht="12.5">
      <c r="A828" s="1" t="str">
        <f ca="1">IFERROR(__xludf.DUMMYFUNCTION("""COMPUTED_VALUE"""),"20210628CASLF")</f>
        <v>20210628CASLF</v>
      </c>
      <c r="B828" s="1" t="str">
        <f ca="1">IFERROR(__xludf.DUMMYFUNCTION("""COMPUTED_VALUE"""),"Wounded")</f>
        <v>Wounded</v>
      </c>
      <c r="C828" s="1" t="str">
        <f ca="1">IFERROR(__xludf.DUMMYFUNCTION("""COMPUTED_VALUE"""),"Male")</f>
        <v>Male</v>
      </c>
      <c r="D828" s="1" t="str">
        <f ca="1">IFERROR(__xludf.DUMMYFUNCTION("""COMPUTED_VALUE"""),"No Relation")</f>
        <v>No Relation</v>
      </c>
      <c r="E828" s="1" t="str">
        <f ca="1">IFERROR(__xludf.DUMMYFUNCTION("""COMPUTED_VALUE"""),"Adult")</f>
        <v>Adult</v>
      </c>
      <c r="F828" s="1"/>
    </row>
    <row r="829" spans="1:6" ht="12.5">
      <c r="A829" s="1" t="str">
        <f ca="1">IFERROR(__xludf.DUMMYFUNCTION("""COMPUTED_VALUE"""),"20210624ILABR")</f>
        <v>20210624ILABR</v>
      </c>
      <c r="B829" s="1" t="str">
        <f ca="1">IFERROR(__xludf.DUMMYFUNCTION("""COMPUTED_VALUE"""),"Wounded")</f>
        <v>Wounded</v>
      </c>
      <c r="C829" s="1" t="str">
        <f ca="1">IFERROR(__xludf.DUMMYFUNCTION("""COMPUTED_VALUE"""),"Male")</f>
        <v>Male</v>
      </c>
      <c r="D829" s="1" t="str">
        <f ca="1">IFERROR(__xludf.DUMMYFUNCTION("""COMPUTED_VALUE"""),"No Relation")</f>
        <v>No Relation</v>
      </c>
      <c r="E829" s="1" t="str">
        <f ca="1">IFERROR(__xludf.DUMMYFUNCTION("""COMPUTED_VALUE"""),"Adult")</f>
        <v>Adult</v>
      </c>
      <c r="F829" s="1"/>
    </row>
    <row r="830" spans="1:6" ht="12.5">
      <c r="A830" s="1" t="str">
        <f ca="1">IFERROR(__xludf.DUMMYFUNCTION("""COMPUTED_VALUE"""),"20210620CAGRM")</f>
        <v>20210620CAGRM</v>
      </c>
      <c r="B830" s="1" t="str">
        <f ca="1">IFERROR(__xludf.DUMMYFUNCTION("""COMPUTED_VALUE"""),"Wounded")</f>
        <v>Wounded</v>
      </c>
      <c r="C830" s="1" t="str">
        <f ca="1">IFERROR(__xludf.DUMMYFUNCTION("""COMPUTED_VALUE"""),"Male")</f>
        <v>Male</v>
      </c>
      <c r="D830" s="1" t="str">
        <f ca="1">IFERROR(__xludf.DUMMYFUNCTION("""COMPUTED_VALUE"""),"No Relation")</f>
        <v>No Relation</v>
      </c>
      <c r="E830" s="1" t="str">
        <f ca="1">IFERROR(__xludf.DUMMYFUNCTION("""COMPUTED_VALUE"""),"Adult")</f>
        <v>Adult</v>
      </c>
      <c r="F830" s="1"/>
    </row>
    <row r="831" spans="1:6" ht="12.5">
      <c r="A831" s="1" t="str">
        <f ca="1">IFERROR(__xludf.DUMMYFUNCTION("""COMPUTED_VALUE"""),"20210614TXEAF")</f>
        <v>20210614TXEAF</v>
      </c>
      <c r="B831" s="1" t="str">
        <f ca="1">IFERROR(__xludf.DUMMYFUNCTION("""COMPUTED_VALUE"""),"Wounded")</f>
        <v>Wounded</v>
      </c>
      <c r="C831" s="1" t="str">
        <f ca="1">IFERROR(__xludf.DUMMYFUNCTION("""COMPUTED_VALUE"""),"Male")</f>
        <v>Male</v>
      </c>
      <c r="D831" s="1"/>
      <c r="E831" s="1" t="str">
        <f ca="1">IFERROR(__xludf.DUMMYFUNCTION("""COMPUTED_VALUE"""),"Adult")</f>
        <v>Adult</v>
      </c>
      <c r="F831" s="1"/>
    </row>
    <row r="832" spans="1:6" ht="12.5">
      <c r="A832" s="1" t="str">
        <f ca="1">IFERROR(__xludf.DUMMYFUNCTION("""COMPUTED_VALUE"""),"20210613PAWIP")</f>
        <v>20210613PAWIP</v>
      </c>
      <c r="B832" s="1" t="str">
        <f ca="1">IFERROR(__xludf.DUMMYFUNCTION("""COMPUTED_VALUE"""),"Fatal")</f>
        <v>Fatal</v>
      </c>
      <c r="C832" s="1" t="str">
        <f ca="1">IFERROR(__xludf.DUMMYFUNCTION("""COMPUTED_VALUE"""),"Male")</f>
        <v>Male</v>
      </c>
      <c r="D832" s="1" t="str">
        <f ca="1">IFERROR(__xludf.DUMMYFUNCTION("""COMPUTED_VALUE"""),"Nonstudent Using Athletic Facilities/Attending Game")</f>
        <v>Nonstudent Using Athletic Facilities/Attending Game</v>
      </c>
      <c r="E832" s="1" t="str">
        <f ca="1">IFERROR(__xludf.DUMMYFUNCTION("""COMPUTED_VALUE"""),"Adult")</f>
        <v>Adult</v>
      </c>
      <c r="F832" s="1"/>
    </row>
    <row r="833" spans="1:6" ht="12.5">
      <c r="A833" s="1" t="str">
        <f ca="1">IFERROR(__xludf.DUMMYFUNCTION("""COMPUTED_VALUE"""),"20210612MOMCF")</f>
        <v>20210612MOMCF</v>
      </c>
      <c r="B833" s="1" t="str">
        <f ca="1">IFERROR(__xludf.DUMMYFUNCTION("""COMPUTED_VALUE"""),"Fatal")</f>
        <v>Fatal</v>
      </c>
      <c r="C833" s="1" t="str">
        <f ca="1">IFERROR(__xludf.DUMMYFUNCTION("""COMPUTED_VALUE"""),"Male")</f>
        <v>Male</v>
      </c>
      <c r="D833" s="1" t="str">
        <f ca="1">IFERROR(__xludf.DUMMYFUNCTION("""COMPUTED_VALUE"""),"Student")</f>
        <v>Student</v>
      </c>
      <c r="E833" s="1">
        <f ca="1">IFERROR(__xludf.DUMMYFUNCTION("""COMPUTED_VALUE"""),18)</f>
        <v>18</v>
      </c>
      <c r="F833" s="1" t="str">
        <f ca="1">IFERROR(__xludf.DUMMYFUNCTION("""COMPUTED_VALUE"""),"Black")</f>
        <v>Black</v>
      </c>
    </row>
    <row r="834" spans="1:6" ht="12.5">
      <c r="A834" s="1" t="str">
        <f ca="1">IFERROR(__xludf.DUMMYFUNCTION("""COMPUTED_VALUE"""),"20210609VAWIR")</f>
        <v>20210609VAWIR</v>
      </c>
      <c r="B834" s="1" t="str">
        <f ca="1">IFERROR(__xludf.DUMMYFUNCTION("""COMPUTED_VALUE"""),"Wounded")</f>
        <v>Wounded</v>
      </c>
      <c r="C834" s="1" t="str">
        <f ca="1">IFERROR(__xludf.DUMMYFUNCTION("""COMPUTED_VALUE"""),"Male")</f>
        <v>Male</v>
      </c>
      <c r="D834" s="1" t="str">
        <f ca="1">IFERROR(__xludf.DUMMYFUNCTION("""COMPUTED_VALUE"""),"Student")</f>
        <v>Student</v>
      </c>
      <c r="E834" s="1" t="str">
        <f ca="1">IFERROR(__xludf.DUMMYFUNCTION("""COMPUTED_VALUE"""),"Teen")</f>
        <v>Teen</v>
      </c>
      <c r="F834" s="1"/>
    </row>
    <row r="835" spans="1:6" ht="12.5">
      <c r="A835" s="1" t="str">
        <f ca="1">IFERROR(__xludf.DUMMYFUNCTION("""COMPUTED_VALUE"""),"20210609TXNOH")</f>
        <v>20210609TXNOH</v>
      </c>
      <c r="B835" s="1" t="str">
        <f ca="1">IFERROR(__xludf.DUMMYFUNCTION("""COMPUTED_VALUE"""),"Wounded")</f>
        <v>Wounded</v>
      </c>
      <c r="C835" s="1" t="str">
        <f ca="1">IFERROR(__xludf.DUMMYFUNCTION("""COMPUTED_VALUE"""),"Male")</f>
        <v>Male</v>
      </c>
      <c r="D835" s="1" t="str">
        <f ca="1">IFERROR(__xludf.DUMMYFUNCTION("""COMPUTED_VALUE"""),"Student")</f>
        <v>Student</v>
      </c>
      <c r="E835" s="1">
        <f ca="1">IFERROR(__xludf.DUMMYFUNCTION("""COMPUTED_VALUE"""),18)</f>
        <v>18</v>
      </c>
      <c r="F835" s="1" t="str">
        <f ca="1">IFERROR(__xludf.DUMMYFUNCTION("""COMPUTED_VALUE"""),"Black")</f>
        <v>Black</v>
      </c>
    </row>
    <row r="836" spans="1:6" ht="12.5">
      <c r="A836" s="1" t="str">
        <f ca="1">IFERROR(__xludf.DUMMYFUNCTION("""COMPUTED_VALUE"""),"20210608KSHAK")</f>
        <v>20210608KSHAK</v>
      </c>
      <c r="B836" s="1" t="str">
        <f ca="1">IFERROR(__xludf.DUMMYFUNCTION("""COMPUTED_VALUE"""),"Fatal")</f>
        <v>Fatal</v>
      </c>
      <c r="C836" s="1" t="str">
        <f ca="1">IFERROR(__xludf.DUMMYFUNCTION("""COMPUTED_VALUE"""),"Male")</f>
        <v>Male</v>
      </c>
      <c r="D836" s="1" t="str">
        <f ca="1">IFERROR(__xludf.DUMMYFUNCTION("""COMPUTED_VALUE"""),"No Relation")</f>
        <v>No Relation</v>
      </c>
      <c r="E836" s="1">
        <f ca="1">IFERROR(__xludf.DUMMYFUNCTION("""COMPUTED_VALUE"""),15)</f>
        <v>15</v>
      </c>
      <c r="F836" s="1"/>
    </row>
    <row r="837" spans="1:6" ht="12.5">
      <c r="A837" s="1" t="str">
        <f ca="1">IFERROR(__xludf.DUMMYFUNCTION("""COMPUTED_VALUE"""),"20210607TXEAF")</f>
        <v>20210607TXEAF</v>
      </c>
      <c r="B837" s="1" t="str">
        <f ca="1">IFERROR(__xludf.DUMMYFUNCTION("""COMPUTED_VALUE"""),"Fatal")</f>
        <v>Fatal</v>
      </c>
      <c r="C837" s="1" t="str">
        <f ca="1">IFERROR(__xludf.DUMMYFUNCTION("""COMPUTED_VALUE"""),"Male")</f>
        <v>Male</v>
      </c>
      <c r="D837" s="1" t="str">
        <f ca="1">IFERROR(__xludf.DUMMYFUNCTION("""COMPUTED_VALUE"""),"Student")</f>
        <v>Student</v>
      </c>
      <c r="E837" s="1">
        <f ca="1">IFERROR(__xludf.DUMMYFUNCTION("""COMPUTED_VALUE"""),17)</f>
        <v>17</v>
      </c>
      <c r="F837" s="1"/>
    </row>
    <row r="838" spans="1:6" ht="12.5">
      <c r="A838" s="1" t="str">
        <f ca="1">IFERROR(__xludf.DUMMYFUNCTION("""COMPUTED_VALUE"""),"20210601ILLIC")</f>
        <v>20210601ILLIC</v>
      </c>
      <c r="B838" s="1" t="str">
        <f ca="1">IFERROR(__xludf.DUMMYFUNCTION("""COMPUTED_VALUE"""),"Wounded")</f>
        <v>Wounded</v>
      </c>
      <c r="C838" s="1" t="str">
        <f ca="1">IFERROR(__xludf.DUMMYFUNCTION("""COMPUTED_VALUE"""),"Male")</f>
        <v>Male</v>
      </c>
      <c r="D838" s="1"/>
      <c r="E838" s="1">
        <f ca="1">IFERROR(__xludf.DUMMYFUNCTION("""COMPUTED_VALUE"""),17)</f>
        <v>17</v>
      </c>
      <c r="F838" s="1"/>
    </row>
    <row r="839" spans="1:6" ht="12.5">
      <c r="A839" s="1" t="str">
        <f ca="1">IFERROR(__xludf.DUMMYFUNCTION("""COMPUTED_VALUE"""),"20210517TXBRE")</f>
        <v>20210517TXBRE</v>
      </c>
      <c r="B839" s="1" t="str">
        <f ca="1">IFERROR(__xludf.DUMMYFUNCTION("""COMPUTED_VALUE"""),"Non-gunshot Injury")</f>
        <v>Non-gunshot Injury</v>
      </c>
      <c r="C839" s="1" t="str">
        <f ca="1">IFERROR(__xludf.DUMMYFUNCTION("""COMPUTED_VALUE"""),"Female")</f>
        <v>Female</v>
      </c>
      <c r="D839" s="1" t="str">
        <f ca="1">IFERROR(__xludf.DUMMYFUNCTION("""COMPUTED_VALUE"""),"Student")</f>
        <v>Student</v>
      </c>
      <c r="E839" s="1">
        <f ca="1">IFERROR(__xludf.DUMMYFUNCTION("""COMPUTED_VALUE"""),13)</f>
        <v>13</v>
      </c>
      <c r="F839" s="1"/>
    </row>
    <row r="840" spans="1:6" ht="12.5">
      <c r="A840" s="1" t="str">
        <f ca="1">IFERROR(__xludf.DUMMYFUNCTION("""COMPUTED_VALUE"""),"20210517TXBRE")</f>
        <v>20210517TXBRE</v>
      </c>
      <c r="B840" s="1" t="str">
        <f ca="1">IFERROR(__xludf.DUMMYFUNCTION("""COMPUTED_VALUE"""),"Non-gunshot Injury")</f>
        <v>Non-gunshot Injury</v>
      </c>
      <c r="C840" s="1" t="str">
        <f ca="1">IFERROR(__xludf.DUMMYFUNCTION("""COMPUTED_VALUE"""),"Male")</f>
        <v>Male</v>
      </c>
      <c r="D840" s="1" t="str">
        <f ca="1">IFERROR(__xludf.DUMMYFUNCTION("""COMPUTED_VALUE"""),"Student")</f>
        <v>Student</v>
      </c>
      <c r="E840" s="1" t="str">
        <f ca="1">IFERROR(__xludf.DUMMYFUNCTION("""COMPUTED_VALUE"""),"Teen")</f>
        <v>Teen</v>
      </c>
      <c r="F840" s="1"/>
    </row>
    <row r="841" spans="1:6" ht="12.5">
      <c r="A841" s="1" t="str">
        <f ca="1">IFERROR(__xludf.DUMMYFUNCTION("""COMPUTED_VALUE"""),"20210517TNAUM")</f>
        <v>20210517TNAUM</v>
      </c>
      <c r="B841" s="1" t="str">
        <f ca="1">IFERROR(__xludf.DUMMYFUNCTION("""COMPUTED_VALUE"""),"Wounded")</f>
        <v>Wounded</v>
      </c>
      <c r="C841" s="1" t="str">
        <f ca="1">IFERROR(__xludf.DUMMYFUNCTION("""COMPUTED_VALUE"""),"Male")</f>
        <v>Male</v>
      </c>
      <c r="D841" s="1" t="str">
        <f ca="1">IFERROR(__xludf.DUMMYFUNCTION("""COMPUTED_VALUE"""),"No Relation")</f>
        <v>No Relation</v>
      </c>
      <c r="E841" s="1" t="str">
        <f ca="1">IFERROR(__xludf.DUMMYFUNCTION("""COMPUTED_VALUE"""),"Adult")</f>
        <v>Adult</v>
      </c>
      <c r="F841" s="1"/>
    </row>
    <row r="842" spans="1:6" ht="12.5">
      <c r="A842" s="1" t="str">
        <f ca="1">IFERROR(__xludf.DUMMYFUNCTION("""COMPUTED_VALUE"""),"20210514CASAS")</f>
        <v>20210514CASAS</v>
      </c>
      <c r="B842" s="1" t="str">
        <f ca="1">IFERROR(__xludf.DUMMYFUNCTION("""COMPUTED_VALUE"""),"Fatal")</f>
        <v>Fatal</v>
      </c>
      <c r="C842" s="1" t="str">
        <f ca="1">IFERROR(__xludf.DUMMYFUNCTION("""COMPUTED_VALUE"""),"Male")</f>
        <v>Male</v>
      </c>
      <c r="D842" s="1" t="str">
        <f ca="1">IFERROR(__xludf.DUMMYFUNCTION("""COMPUTED_VALUE"""),"No Relation")</f>
        <v>No Relation</v>
      </c>
      <c r="E842" s="1">
        <f ca="1">IFERROR(__xludf.DUMMYFUNCTION("""COMPUTED_VALUE"""),19)</f>
        <v>19</v>
      </c>
      <c r="F842" s="1" t="str">
        <f ca="1">IFERROR(__xludf.DUMMYFUNCTION("""COMPUTED_VALUE"""),"Asian")</f>
        <v>Asian</v>
      </c>
    </row>
    <row r="843" spans="1:6" ht="12.5">
      <c r="A843" s="1" t="str">
        <f ca="1">IFERROR(__xludf.DUMMYFUNCTION("""COMPUTED_VALUE"""),"20210511NYPSB")</f>
        <v>20210511NYPSB</v>
      </c>
      <c r="B843" s="1" t="str">
        <f ca="1">IFERROR(__xludf.DUMMYFUNCTION("""COMPUTED_VALUE"""),"Wounded")</f>
        <v>Wounded</v>
      </c>
      <c r="C843" s="1" t="str">
        <f ca="1">IFERROR(__xludf.DUMMYFUNCTION("""COMPUTED_VALUE"""),"Male")</f>
        <v>Male</v>
      </c>
      <c r="D843" s="1" t="str">
        <f ca="1">IFERROR(__xludf.DUMMYFUNCTION("""COMPUTED_VALUE"""),"No Relation")</f>
        <v>No Relation</v>
      </c>
      <c r="E843" s="1">
        <f ca="1">IFERROR(__xludf.DUMMYFUNCTION("""COMPUTED_VALUE"""),16)</f>
        <v>16</v>
      </c>
      <c r="F843" s="1"/>
    </row>
    <row r="844" spans="1:6" ht="12.5">
      <c r="A844" s="1" t="str">
        <f ca="1">IFERROR(__xludf.DUMMYFUNCTION("""COMPUTED_VALUE"""),"20210506SCFOC")</f>
        <v>20210506SCFOC</v>
      </c>
      <c r="B844" s="1" t="str">
        <f ca="1">IFERROR(__xludf.DUMMYFUNCTION("""COMPUTED_VALUE"""),"None")</f>
        <v>None</v>
      </c>
      <c r="C844" s="1" t="str">
        <f ca="1">IFERROR(__xludf.DUMMYFUNCTION("""COMPUTED_VALUE"""),"Male")</f>
        <v>Male</v>
      </c>
      <c r="D844" s="1" t="str">
        <f ca="1">IFERROR(__xludf.DUMMYFUNCTION("""COMPUTED_VALUE"""),"Bus Driver")</f>
        <v>Bus Driver</v>
      </c>
      <c r="E844" s="1" t="str">
        <f ca="1">IFERROR(__xludf.DUMMYFUNCTION("""COMPUTED_VALUE"""),"Adult")</f>
        <v>Adult</v>
      </c>
      <c r="F844" s="1"/>
    </row>
    <row r="845" spans="1:6" ht="12.5">
      <c r="A845" s="1" t="str">
        <f ca="1">IFERROR(__xludf.DUMMYFUNCTION("""COMPUTED_VALUE"""),"20210506IDRIR")</f>
        <v>20210506IDRIR</v>
      </c>
      <c r="B845" s="1" t="str">
        <f ca="1">IFERROR(__xludf.DUMMYFUNCTION("""COMPUTED_VALUE"""),"Wounded")</f>
        <v>Wounded</v>
      </c>
      <c r="C845" s="1" t="str">
        <f ca="1">IFERROR(__xludf.DUMMYFUNCTION("""COMPUTED_VALUE"""),"Male")</f>
        <v>Male</v>
      </c>
      <c r="D845" s="1" t="str">
        <f ca="1">IFERROR(__xludf.DUMMYFUNCTION("""COMPUTED_VALUE"""),"Student")</f>
        <v>Student</v>
      </c>
      <c r="E845" s="1" t="str">
        <f ca="1">IFERROR(__xludf.DUMMYFUNCTION("""COMPUTED_VALUE"""),"Teen")</f>
        <v>Teen</v>
      </c>
      <c r="F845" s="1"/>
    </row>
    <row r="846" spans="1:6" ht="12.5">
      <c r="A846" s="1" t="str">
        <f ca="1">IFERROR(__xludf.DUMMYFUNCTION("""COMPUTED_VALUE"""),"20210506IDRIR")</f>
        <v>20210506IDRIR</v>
      </c>
      <c r="B846" s="1" t="str">
        <f ca="1">IFERROR(__xludf.DUMMYFUNCTION("""COMPUTED_VALUE"""),"Wounded")</f>
        <v>Wounded</v>
      </c>
      <c r="C846" s="1" t="str">
        <f ca="1">IFERROR(__xludf.DUMMYFUNCTION("""COMPUTED_VALUE"""),"Female")</f>
        <v>Female</v>
      </c>
      <c r="D846" s="1" t="str">
        <f ca="1">IFERROR(__xludf.DUMMYFUNCTION("""COMPUTED_VALUE"""),"Student")</f>
        <v>Student</v>
      </c>
      <c r="E846" s="1">
        <f ca="1">IFERROR(__xludf.DUMMYFUNCTION("""COMPUTED_VALUE"""),11)</f>
        <v>11</v>
      </c>
      <c r="F846" s="1"/>
    </row>
    <row r="847" spans="1:6" ht="12.5">
      <c r="A847" s="1" t="str">
        <f ca="1">IFERROR(__xludf.DUMMYFUNCTION("""COMPUTED_VALUE"""),"20210506IDRIR")</f>
        <v>20210506IDRIR</v>
      </c>
      <c r="B847" s="1" t="str">
        <f ca="1">IFERROR(__xludf.DUMMYFUNCTION("""COMPUTED_VALUE"""),"Wounded")</f>
        <v>Wounded</v>
      </c>
      <c r="C847" s="1" t="str">
        <f ca="1">IFERROR(__xludf.DUMMYFUNCTION("""COMPUTED_VALUE"""),"Male")</f>
        <v>Male</v>
      </c>
      <c r="D847" s="1" t="str">
        <f ca="1">IFERROR(__xludf.DUMMYFUNCTION("""COMPUTED_VALUE"""),"Other Staff")</f>
        <v>Other Staff</v>
      </c>
      <c r="E847" s="1" t="str">
        <f ca="1">IFERROR(__xludf.DUMMYFUNCTION("""COMPUTED_VALUE"""),"Adult")</f>
        <v>Adult</v>
      </c>
      <c r="F847" s="1"/>
    </row>
    <row r="848" spans="1:6" ht="12.5">
      <c r="A848" s="1" t="str">
        <f ca="1">IFERROR(__xludf.DUMMYFUNCTION("""COMPUTED_VALUE"""),"20210505MICRC")</f>
        <v>20210505MICRC</v>
      </c>
      <c r="B848" s="1" t="str">
        <f ca="1">IFERROR(__xludf.DUMMYFUNCTION("""COMPUTED_VALUE"""),"Wounded")</f>
        <v>Wounded</v>
      </c>
      <c r="C848" s="1" t="str">
        <f ca="1">IFERROR(__xludf.DUMMYFUNCTION("""COMPUTED_VALUE"""),"Male")</f>
        <v>Male</v>
      </c>
      <c r="D848" s="1" t="str">
        <f ca="1">IFERROR(__xludf.DUMMYFUNCTION("""COMPUTED_VALUE"""),"No Relation")</f>
        <v>No Relation</v>
      </c>
      <c r="E848" s="1" t="str">
        <f ca="1">IFERROR(__xludf.DUMMYFUNCTION("""COMPUTED_VALUE"""),"Adult")</f>
        <v>Adult</v>
      </c>
      <c r="F848" s="1"/>
    </row>
    <row r="849" spans="1:6" ht="12.5">
      <c r="A849" s="1" t="str">
        <f ca="1">IFERROR(__xludf.DUMMYFUNCTION("""COMPUTED_VALUE"""),"20210502ILCHC")</f>
        <v>20210502ILCHC</v>
      </c>
      <c r="B849" s="1" t="str">
        <f ca="1">IFERROR(__xludf.DUMMYFUNCTION("""COMPUTED_VALUE"""),"Wounded")</f>
        <v>Wounded</v>
      </c>
      <c r="C849" s="1" t="str">
        <f ca="1">IFERROR(__xludf.DUMMYFUNCTION("""COMPUTED_VALUE"""),"Female")</f>
        <v>Female</v>
      </c>
      <c r="D849" s="1" t="str">
        <f ca="1">IFERROR(__xludf.DUMMYFUNCTION("""COMPUTED_VALUE"""),"No Relation")</f>
        <v>No Relation</v>
      </c>
      <c r="E849" s="1">
        <f ca="1">IFERROR(__xludf.DUMMYFUNCTION("""COMPUTED_VALUE"""),21)</f>
        <v>21</v>
      </c>
      <c r="F849" s="1"/>
    </row>
    <row r="850" spans="1:6" ht="12.5">
      <c r="A850" s="1" t="str">
        <f ca="1">IFERROR(__xludf.DUMMYFUNCTION("""COMPUTED_VALUE"""),"20210502ILCHC")</f>
        <v>20210502ILCHC</v>
      </c>
      <c r="B850" s="1" t="str">
        <f ca="1">IFERROR(__xludf.DUMMYFUNCTION("""COMPUTED_VALUE"""),"Wounded")</f>
        <v>Wounded</v>
      </c>
      <c r="C850" s="1" t="str">
        <f ca="1">IFERROR(__xludf.DUMMYFUNCTION("""COMPUTED_VALUE"""),"Male")</f>
        <v>Male</v>
      </c>
      <c r="D850" s="1" t="str">
        <f ca="1">IFERROR(__xludf.DUMMYFUNCTION("""COMPUTED_VALUE"""),"No Relation")</f>
        <v>No Relation</v>
      </c>
      <c r="E850" s="1">
        <f ca="1">IFERROR(__xludf.DUMMYFUNCTION("""COMPUTED_VALUE"""),29)</f>
        <v>29</v>
      </c>
      <c r="F850" s="1"/>
    </row>
    <row r="851" spans="1:6" ht="12.5">
      <c r="A851" s="1" t="str">
        <f ca="1">IFERROR(__xludf.DUMMYFUNCTION("""COMPUTED_VALUE"""),"20210502ILCHC")</f>
        <v>20210502ILCHC</v>
      </c>
      <c r="B851" s="1" t="str">
        <f ca="1">IFERROR(__xludf.DUMMYFUNCTION("""COMPUTED_VALUE"""),"Wounded")</f>
        <v>Wounded</v>
      </c>
      <c r="C851" s="1" t="str">
        <f ca="1">IFERROR(__xludf.DUMMYFUNCTION("""COMPUTED_VALUE"""),"Male")</f>
        <v>Male</v>
      </c>
      <c r="D851" s="1" t="str">
        <f ca="1">IFERROR(__xludf.DUMMYFUNCTION("""COMPUTED_VALUE"""),"No Relation")</f>
        <v>No Relation</v>
      </c>
      <c r="E851" s="1">
        <f ca="1">IFERROR(__xludf.DUMMYFUNCTION("""COMPUTED_VALUE"""),20)</f>
        <v>20</v>
      </c>
      <c r="F851" s="1"/>
    </row>
    <row r="852" spans="1:6" ht="12.5">
      <c r="A852" s="1" t="str">
        <f ca="1">IFERROR(__xludf.DUMMYFUNCTION("""COMPUTED_VALUE"""),"20210502ILCHC")</f>
        <v>20210502ILCHC</v>
      </c>
      <c r="B852" s="1" t="str">
        <f ca="1">IFERROR(__xludf.DUMMYFUNCTION("""COMPUTED_VALUE"""),"Wounded")</f>
        <v>Wounded</v>
      </c>
      <c r="C852" s="1" t="str">
        <f ca="1">IFERROR(__xludf.DUMMYFUNCTION("""COMPUTED_VALUE"""),"Female")</f>
        <v>Female</v>
      </c>
      <c r="D852" s="1" t="str">
        <f ca="1">IFERROR(__xludf.DUMMYFUNCTION("""COMPUTED_VALUE"""),"No Relation")</f>
        <v>No Relation</v>
      </c>
      <c r="E852" s="1">
        <f ca="1">IFERROR(__xludf.DUMMYFUNCTION("""COMPUTED_VALUE"""),32)</f>
        <v>32</v>
      </c>
      <c r="F852" s="1"/>
    </row>
    <row r="853" spans="1:6" ht="12.5">
      <c r="A853" s="1" t="str">
        <f ca="1">IFERROR(__xludf.DUMMYFUNCTION("""COMPUTED_VALUE"""),"20210502ILCHC")</f>
        <v>20210502ILCHC</v>
      </c>
      <c r="B853" s="1" t="str">
        <f ca="1">IFERROR(__xludf.DUMMYFUNCTION("""COMPUTED_VALUE"""),"Wounded")</f>
        <v>Wounded</v>
      </c>
      <c r="C853" s="1" t="str">
        <f ca="1">IFERROR(__xludf.DUMMYFUNCTION("""COMPUTED_VALUE"""),"Female")</f>
        <v>Female</v>
      </c>
      <c r="D853" s="1" t="str">
        <f ca="1">IFERROR(__xludf.DUMMYFUNCTION("""COMPUTED_VALUE"""),"No Relation")</f>
        <v>No Relation</v>
      </c>
      <c r="E853" s="1">
        <f ca="1">IFERROR(__xludf.DUMMYFUNCTION("""COMPUTED_VALUE"""),26)</f>
        <v>26</v>
      </c>
      <c r="F853" s="1"/>
    </row>
    <row r="854" spans="1:6" ht="12.5">
      <c r="A854" s="1" t="str">
        <f ca="1">IFERROR(__xludf.DUMMYFUNCTION("""COMPUTED_VALUE"""),"20210501MNBES")</f>
        <v>20210501MNBES</v>
      </c>
      <c r="B854" s="1" t="str">
        <f ca="1">IFERROR(__xludf.DUMMYFUNCTION("""COMPUTED_VALUE"""),"None")</f>
        <v>None</v>
      </c>
      <c r="C854" s="1" t="str">
        <f ca="1">IFERROR(__xludf.DUMMYFUNCTION("""COMPUTED_VALUE"""),"Male")</f>
        <v>Male</v>
      </c>
      <c r="D854" s="1" t="str">
        <f ca="1">IFERROR(__xludf.DUMMYFUNCTION("""COMPUTED_VALUE"""),"No Relation")</f>
        <v>No Relation</v>
      </c>
      <c r="E854" s="1" t="str">
        <f ca="1">IFERROR(__xludf.DUMMYFUNCTION("""COMPUTED_VALUE"""),"Adult")</f>
        <v>Adult</v>
      </c>
      <c r="F854" s="1"/>
    </row>
    <row r="855" spans="1:6" ht="12.5">
      <c r="A855" s="1" t="str">
        <f ca="1">IFERROR(__xludf.DUMMYFUNCTION("""COMPUTED_VALUE"""),"20210501MNBES")</f>
        <v>20210501MNBES</v>
      </c>
      <c r="B855" s="1" t="str">
        <f ca="1">IFERROR(__xludf.DUMMYFUNCTION("""COMPUTED_VALUE"""),"None")</f>
        <v>None</v>
      </c>
      <c r="C855" s="1" t="str">
        <f ca="1">IFERROR(__xludf.DUMMYFUNCTION("""COMPUTED_VALUE"""),"Male")</f>
        <v>Male</v>
      </c>
      <c r="D855" s="1" t="str">
        <f ca="1">IFERROR(__xludf.DUMMYFUNCTION("""COMPUTED_VALUE"""),"No Relation")</f>
        <v>No Relation</v>
      </c>
      <c r="E855" s="1" t="str">
        <f ca="1">IFERROR(__xludf.DUMMYFUNCTION("""COMPUTED_VALUE"""),"Adult")</f>
        <v>Adult</v>
      </c>
      <c r="F855" s="1"/>
    </row>
    <row r="856" spans="1:6" ht="12.5">
      <c r="A856" s="1" t="str">
        <f ca="1">IFERROR(__xludf.DUMMYFUNCTION("""COMPUTED_VALUE"""),"20210430INMAI")</f>
        <v>20210430INMAI</v>
      </c>
      <c r="B856" s="1" t="str">
        <f ca="1">IFERROR(__xludf.DUMMYFUNCTION("""COMPUTED_VALUE"""),"Wounded")</f>
        <v>Wounded</v>
      </c>
      <c r="C856" s="1" t="str">
        <f ca="1">IFERROR(__xludf.DUMMYFUNCTION("""COMPUTED_VALUE"""),"Female")</f>
        <v>Female</v>
      </c>
      <c r="D856" s="1" t="str">
        <f ca="1">IFERROR(__xludf.DUMMYFUNCTION("""COMPUTED_VALUE"""),"Parent")</f>
        <v>Parent</v>
      </c>
      <c r="E856" s="1" t="str">
        <f ca="1">IFERROR(__xludf.DUMMYFUNCTION("""COMPUTED_VALUE"""),"Adult")</f>
        <v>Adult</v>
      </c>
      <c r="F856" s="1"/>
    </row>
    <row r="857" spans="1:6" ht="12.5">
      <c r="A857" s="1" t="str">
        <f ca="1">IFERROR(__xludf.DUMMYFUNCTION("""COMPUTED_VALUE"""),"20210429NYURB")</f>
        <v>20210429NYURB</v>
      </c>
      <c r="B857" s="1" t="str">
        <f ca="1">IFERROR(__xludf.DUMMYFUNCTION("""COMPUTED_VALUE"""),"Fatal")</f>
        <v>Fatal</v>
      </c>
      <c r="C857" s="1" t="str">
        <f ca="1">IFERROR(__xludf.DUMMYFUNCTION("""COMPUTED_VALUE"""),"Male")</f>
        <v>Male</v>
      </c>
      <c r="D857" s="1" t="str">
        <f ca="1">IFERROR(__xludf.DUMMYFUNCTION("""COMPUTED_VALUE"""),"Student")</f>
        <v>Student</v>
      </c>
      <c r="E857" s="1">
        <f ca="1">IFERROR(__xludf.DUMMYFUNCTION("""COMPUTED_VALUE"""),17)</f>
        <v>17</v>
      </c>
      <c r="F857" s="1"/>
    </row>
    <row r="858" spans="1:6" ht="12.5">
      <c r="A858" s="1" t="str">
        <f ca="1">IFERROR(__xludf.DUMMYFUNCTION("""COMPUTED_VALUE"""),"20210429CAVIV")</f>
        <v>20210429CAVIV</v>
      </c>
      <c r="B858" s="1" t="str">
        <f ca="1">IFERROR(__xludf.DUMMYFUNCTION("""COMPUTED_VALUE"""),"Wounded")</f>
        <v>Wounded</v>
      </c>
      <c r="C858" s="1" t="str">
        <f ca="1">IFERROR(__xludf.DUMMYFUNCTION("""COMPUTED_VALUE"""),"Male")</f>
        <v>Male</v>
      </c>
      <c r="D858" s="1" t="str">
        <f ca="1">IFERROR(__xludf.DUMMYFUNCTION("""COMPUTED_VALUE"""),"Student")</f>
        <v>Student</v>
      </c>
      <c r="E858" s="1">
        <f ca="1">IFERROR(__xludf.DUMMYFUNCTION("""COMPUTED_VALUE"""),16)</f>
        <v>16</v>
      </c>
      <c r="F858" s="1"/>
    </row>
    <row r="859" spans="1:6" ht="12.5">
      <c r="A859" s="1" t="str">
        <f ca="1">IFERROR(__xludf.DUMMYFUNCTION("""COMPUTED_VALUE"""),"20210427DESMS")</f>
        <v>20210427DESMS</v>
      </c>
      <c r="B859" s="1" t="str">
        <f ca="1">IFERROR(__xludf.DUMMYFUNCTION("""COMPUTED_VALUE"""),"Fatal")</f>
        <v>Fatal</v>
      </c>
      <c r="C859" s="1" t="str">
        <f ca="1">IFERROR(__xludf.DUMMYFUNCTION("""COMPUTED_VALUE"""),"Female")</f>
        <v>Female</v>
      </c>
      <c r="D859" s="1" t="str">
        <f ca="1">IFERROR(__xludf.DUMMYFUNCTION("""COMPUTED_VALUE"""),"Parent")</f>
        <v>Parent</v>
      </c>
      <c r="E859" s="1">
        <f ca="1">IFERROR(__xludf.DUMMYFUNCTION("""COMPUTED_VALUE"""),38)</f>
        <v>38</v>
      </c>
      <c r="F859" s="1"/>
    </row>
    <row r="860" spans="1:6" ht="12.5">
      <c r="A860" s="1" t="str">
        <f ca="1">IFERROR(__xludf.DUMMYFUNCTION("""COMPUTED_VALUE"""),"20210420TXHAH")</f>
        <v>20210420TXHAH</v>
      </c>
      <c r="B860" s="1" t="str">
        <f ca="1">IFERROR(__xludf.DUMMYFUNCTION("""COMPUTED_VALUE"""),"Fatal")</f>
        <v>Fatal</v>
      </c>
      <c r="C860" s="1" t="str">
        <f ca="1">IFERROR(__xludf.DUMMYFUNCTION("""COMPUTED_VALUE"""),"Male")</f>
        <v>Male</v>
      </c>
      <c r="D860" s="1" t="str">
        <f ca="1">IFERROR(__xludf.DUMMYFUNCTION("""COMPUTED_VALUE"""),"No Relation")</f>
        <v>No Relation</v>
      </c>
      <c r="E860" s="1">
        <f ca="1">IFERROR(__xludf.DUMMYFUNCTION("""COMPUTED_VALUE"""),19)</f>
        <v>19</v>
      </c>
      <c r="F860" s="1" t="str">
        <f ca="1">IFERROR(__xludf.DUMMYFUNCTION("""COMPUTED_VALUE"""),"Black")</f>
        <v>Black</v>
      </c>
    </row>
    <row r="861" spans="1:6" ht="12.5">
      <c r="A861" s="1" t="str">
        <f ca="1">IFERROR(__xludf.DUMMYFUNCTION("""COMPUTED_VALUE"""),"20210418OHWED")</f>
        <v>20210418OHWED</v>
      </c>
      <c r="B861" s="1" t="str">
        <f ca="1">IFERROR(__xludf.DUMMYFUNCTION("""COMPUTED_VALUE"""),"Fatal")</f>
        <v>Fatal</v>
      </c>
      <c r="C861" s="1" t="str">
        <f ca="1">IFERROR(__xludf.DUMMYFUNCTION("""COMPUTED_VALUE"""),"Male")</f>
        <v>Male</v>
      </c>
      <c r="D861" s="1" t="str">
        <f ca="1">IFERROR(__xludf.DUMMYFUNCTION("""COMPUTED_VALUE"""),"No Relation")</f>
        <v>No Relation</v>
      </c>
      <c r="E861" s="1">
        <f ca="1">IFERROR(__xludf.DUMMYFUNCTION("""COMPUTED_VALUE"""),16)</f>
        <v>16</v>
      </c>
      <c r="F861" s="1"/>
    </row>
    <row r="862" spans="1:6" ht="12.5">
      <c r="A862" s="1" t="str">
        <f ca="1">IFERROR(__xludf.DUMMYFUNCTION("""COMPUTED_VALUE"""),"20210418OHWED")</f>
        <v>20210418OHWED</v>
      </c>
      <c r="B862" s="1" t="str">
        <f ca="1">IFERROR(__xludf.DUMMYFUNCTION("""COMPUTED_VALUE"""),"Wounded")</f>
        <v>Wounded</v>
      </c>
      <c r="C862" s="1" t="str">
        <f ca="1">IFERROR(__xludf.DUMMYFUNCTION("""COMPUTED_VALUE"""),"Male")</f>
        <v>Male</v>
      </c>
      <c r="D862" s="1" t="str">
        <f ca="1">IFERROR(__xludf.DUMMYFUNCTION("""COMPUTED_VALUE"""),"No Relation")</f>
        <v>No Relation</v>
      </c>
      <c r="E862" s="1" t="str">
        <f ca="1">IFERROR(__xludf.DUMMYFUNCTION("""COMPUTED_VALUE"""),"Teen")</f>
        <v>Teen</v>
      </c>
      <c r="F862" s="1"/>
    </row>
    <row r="863" spans="1:6" ht="12.5">
      <c r="A863" s="1" t="str">
        <f ca="1">IFERROR(__xludf.DUMMYFUNCTION("""COMPUTED_VALUE"""),"20210413TNMAC")</f>
        <v>20210413TNMAC</v>
      </c>
      <c r="B863" s="1" t="str">
        <f ca="1">IFERROR(__xludf.DUMMYFUNCTION("""COMPUTED_VALUE"""),"None")</f>
        <v>None</v>
      </c>
      <c r="C863" s="1"/>
      <c r="D863" s="1" t="str">
        <f ca="1">IFERROR(__xludf.DUMMYFUNCTION("""COMPUTED_VALUE"""),"Bus Driver")</f>
        <v>Bus Driver</v>
      </c>
      <c r="E863" s="1" t="str">
        <f ca="1">IFERROR(__xludf.DUMMYFUNCTION("""COMPUTED_VALUE"""),"Adult")</f>
        <v>Adult</v>
      </c>
      <c r="F863" s="1"/>
    </row>
    <row r="864" spans="1:6" ht="12.5">
      <c r="A864" s="1" t="str">
        <f ca="1">IFERROR(__xludf.DUMMYFUNCTION("""COMPUTED_VALUE"""),"20210412TNAUK")</f>
        <v>20210412TNAUK</v>
      </c>
      <c r="B864" s="1" t="str">
        <f ca="1">IFERROR(__xludf.DUMMYFUNCTION("""COMPUTED_VALUE"""),"Wounded")</f>
        <v>Wounded</v>
      </c>
      <c r="C864" s="1" t="str">
        <f ca="1">IFERROR(__xludf.DUMMYFUNCTION("""COMPUTED_VALUE"""),"Male")</f>
        <v>Male</v>
      </c>
      <c r="D864" s="1" t="str">
        <f ca="1">IFERROR(__xludf.DUMMYFUNCTION("""COMPUTED_VALUE"""),"Police Officer/SRO")</f>
        <v>Police Officer/SRO</v>
      </c>
      <c r="E864" s="1" t="str">
        <f ca="1">IFERROR(__xludf.DUMMYFUNCTION("""COMPUTED_VALUE"""),"Adult")</f>
        <v>Adult</v>
      </c>
      <c r="F864" s="1"/>
    </row>
    <row r="865" spans="1:6" ht="12.5">
      <c r="A865" s="1" t="str">
        <f ca="1">IFERROR(__xludf.DUMMYFUNCTION("""COMPUTED_VALUE"""),"20210412CASAS")</f>
        <v>20210412CASAS</v>
      </c>
      <c r="B865" s="1" t="str">
        <f ca="1">IFERROR(__xludf.DUMMYFUNCTION("""COMPUTED_VALUE"""),"None")</f>
        <v>None</v>
      </c>
      <c r="C865" s="1" t="str">
        <f ca="1">IFERROR(__xludf.DUMMYFUNCTION("""COMPUTED_VALUE"""),"Female")</f>
        <v>Female</v>
      </c>
      <c r="D865" s="1" t="str">
        <f ca="1">IFERROR(__xludf.DUMMYFUNCTION("""COMPUTED_VALUE"""),"No Relation")</f>
        <v>No Relation</v>
      </c>
      <c r="E865" s="1">
        <f ca="1">IFERROR(__xludf.DUMMYFUNCTION("""COMPUTED_VALUE"""),33)</f>
        <v>33</v>
      </c>
      <c r="F865" s="1"/>
    </row>
    <row r="866" spans="1:6" ht="12.5">
      <c r="A866" s="1" t="str">
        <f ca="1">IFERROR(__xludf.DUMMYFUNCTION("""COMPUTED_VALUE"""),"20210411INBIH")</f>
        <v>20210411INBIH</v>
      </c>
      <c r="B866" s="1" t="str">
        <f ca="1">IFERROR(__xludf.DUMMYFUNCTION("""COMPUTED_VALUE"""),"Fatal")</f>
        <v>Fatal</v>
      </c>
      <c r="C866" s="1" t="str">
        <f ca="1">IFERROR(__xludf.DUMMYFUNCTION("""COMPUTED_VALUE"""),"Female")</f>
        <v>Female</v>
      </c>
      <c r="D866" s="1" t="str">
        <f ca="1">IFERROR(__xludf.DUMMYFUNCTION("""COMPUTED_VALUE"""),"No Relation")</f>
        <v>No Relation</v>
      </c>
      <c r="E866" s="1">
        <f ca="1">IFERROR(__xludf.DUMMYFUNCTION("""COMPUTED_VALUE"""),43)</f>
        <v>43</v>
      </c>
      <c r="F866" s="1"/>
    </row>
    <row r="867" spans="1:6" ht="12.5">
      <c r="A867" s="1" t="str">
        <f ca="1">IFERROR(__xludf.DUMMYFUNCTION("""COMPUTED_VALUE"""),"20210407ILPEP")</f>
        <v>20210407ILPEP</v>
      </c>
      <c r="B867" s="1" t="str">
        <f ca="1">IFERROR(__xludf.DUMMYFUNCTION("""COMPUTED_VALUE"""),"None")</f>
        <v>None</v>
      </c>
      <c r="C867" s="1" t="str">
        <f ca="1">IFERROR(__xludf.DUMMYFUNCTION("""COMPUTED_VALUE"""),"Male")</f>
        <v>Male</v>
      </c>
      <c r="D867" s="1" t="str">
        <f ca="1">IFERROR(__xludf.DUMMYFUNCTION("""COMPUTED_VALUE"""),"Student")</f>
        <v>Student</v>
      </c>
      <c r="E867" s="1">
        <f ca="1">IFERROR(__xludf.DUMMYFUNCTION("""COMPUTED_VALUE"""),16)</f>
        <v>16</v>
      </c>
      <c r="F867" s="1"/>
    </row>
    <row r="868" spans="1:6" ht="12.5">
      <c r="A868" s="1" t="str">
        <f ca="1">IFERROR(__xludf.DUMMYFUNCTION("""COMPUTED_VALUE"""),"20210401ALSES")</f>
        <v>20210401ALSES</v>
      </c>
      <c r="B868" s="1" t="str">
        <f ca="1">IFERROR(__xludf.DUMMYFUNCTION("""COMPUTED_VALUE"""),"None")</f>
        <v>None</v>
      </c>
      <c r="C868" s="1" t="str">
        <f ca="1">IFERROR(__xludf.DUMMYFUNCTION("""COMPUTED_VALUE"""),"Male")</f>
        <v>Male</v>
      </c>
      <c r="D868" s="1" t="str">
        <f ca="1">IFERROR(__xludf.DUMMYFUNCTION("""COMPUTED_VALUE"""),"Student")</f>
        <v>Student</v>
      </c>
      <c r="E868" s="1" t="str">
        <f ca="1">IFERROR(__xludf.DUMMYFUNCTION("""COMPUTED_VALUE"""),"Teen")</f>
        <v>Teen</v>
      </c>
      <c r="F868" s="1"/>
    </row>
    <row r="869" spans="1:6" ht="12.5">
      <c r="A869" s="1" t="str">
        <f ca="1">IFERROR(__xludf.DUMMYFUNCTION("""COMPUTED_VALUE"""),"20210327MAPEC")</f>
        <v>20210327MAPEC</v>
      </c>
      <c r="B869" s="1" t="str">
        <f ca="1">IFERROR(__xludf.DUMMYFUNCTION("""COMPUTED_VALUE"""),"Fatal")</f>
        <v>Fatal</v>
      </c>
      <c r="C869" s="1" t="str">
        <f ca="1">IFERROR(__xludf.DUMMYFUNCTION("""COMPUTED_VALUE"""),"Male")</f>
        <v>Male</v>
      </c>
      <c r="D869" s="1" t="str">
        <f ca="1">IFERROR(__xludf.DUMMYFUNCTION("""COMPUTED_VALUE"""),"Nonstudent Using Athletic Facilities/Attending Game")</f>
        <v>Nonstudent Using Athletic Facilities/Attending Game</v>
      </c>
      <c r="E869" s="1">
        <f ca="1">IFERROR(__xludf.DUMMYFUNCTION("""COMPUTED_VALUE"""),19)</f>
        <v>19</v>
      </c>
      <c r="F869" s="1"/>
    </row>
    <row r="870" spans="1:6" ht="12.5">
      <c r="A870" s="1" t="str">
        <f ca="1">IFERROR(__xludf.DUMMYFUNCTION("""COMPUTED_VALUE"""),"20210324ORFOS")</f>
        <v>20210324ORFOS</v>
      </c>
      <c r="B870" s="1" t="str">
        <f ca="1">IFERROR(__xludf.DUMMYFUNCTION("""COMPUTED_VALUE"""),"Fatal")</f>
        <v>Fatal</v>
      </c>
      <c r="C870" s="1" t="str">
        <f ca="1">IFERROR(__xludf.DUMMYFUNCTION("""COMPUTED_VALUE"""),"Male")</f>
        <v>Male</v>
      </c>
      <c r="D870" s="1" t="str">
        <f ca="1">IFERROR(__xludf.DUMMYFUNCTION("""COMPUTED_VALUE"""),"No Relation")</f>
        <v>No Relation</v>
      </c>
      <c r="E870" s="1">
        <f ca="1">IFERROR(__xludf.DUMMYFUNCTION("""COMPUTED_VALUE"""),17)</f>
        <v>17</v>
      </c>
      <c r="F870" s="1"/>
    </row>
    <row r="871" spans="1:6" ht="12.5">
      <c r="A871" s="1" t="str">
        <f ca="1">IFERROR(__xludf.DUMMYFUNCTION("""COMPUTED_VALUE"""),"20210324ORFOS")</f>
        <v>20210324ORFOS</v>
      </c>
      <c r="B871" s="1" t="str">
        <f ca="1">IFERROR(__xludf.DUMMYFUNCTION("""COMPUTED_VALUE"""),"Wounded")</f>
        <v>Wounded</v>
      </c>
      <c r="C871" s="1" t="str">
        <f ca="1">IFERROR(__xludf.DUMMYFUNCTION("""COMPUTED_VALUE"""),"Male")</f>
        <v>Male</v>
      </c>
      <c r="D871" s="1" t="str">
        <f ca="1">IFERROR(__xludf.DUMMYFUNCTION("""COMPUTED_VALUE"""),"No Relation")</f>
        <v>No Relation</v>
      </c>
      <c r="E871" s="1">
        <f ca="1">IFERROR(__xludf.DUMMYFUNCTION("""COMPUTED_VALUE"""),17)</f>
        <v>17</v>
      </c>
      <c r="F871" s="1"/>
    </row>
    <row r="872" spans="1:6" ht="12.5">
      <c r="A872" s="1" t="str">
        <f ca="1">IFERROR(__xludf.DUMMYFUNCTION("""COMPUTED_VALUE"""),"20210315INMEM")</f>
        <v>20210315INMEM</v>
      </c>
      <c r="B872" s="1" t="str">
        <f ca="1">IFERROR(__xludf.DUMMYFUNCTION("""COMPUTED_VALUE"""),"Fatal")</f>
        <v>Fatal</v>
      </c>
      <c r="C872" s="1" t="str">
        <f ca="1">IFERROR(__xludf.DUMMYFUNCTION("""COMPUTED_VALUE"""),"Male")</f>
        <v>Male</v>
      </c>
      <c r="D872" s="1" t="str">
        <f ca="1">IFERROR(__xludf.DUMMYFUNCTION("""COMPUTED_VALUE"""),"No Relation")</f>
        <v>No Relation</v>
      </c>
      <c r="E872" s="1">
        <f ca="1">IFERROR(__xludf.DUMMYFUNCTION("""COMPUTED_VALUE"""),18)</f>
        <v>18</v>
      </c>
      <c r="F872" s="1" t="str">
        <f ca="1">IFERROR(__xludf.DUMMYFUNCTION("""COMPUTED_VALUE"""),"Black")</f>
        <v>Black</v>
      </c>
    </row>
    <row r="873" spans="1:6" ht="12.5">
      <c r="A873" s="1" t="str">
        <f ca="1">IFERROR(__xludf.DUMMYFUNCTION("""COMPUTED_VALUE"""),"20210315INMEM")</f>
        <v>20210315INMEM</v>
      </c>
      <c r="B873" s="1" t="str">
        <f ca="1">IFERROR(__xludf.DUMMYFUNCTION("""COMPUTED_VALUE"""),"Wounded")</f>
        <v>Wounded</v>
      </c>
      <c r="C873" s="1" t="str">
        <f ca="1">IFERROR(__xludf.DUMMYFUNCTION("""COMPUTED_VALUE"""),"Male")</f>
        <v>Male</v>
      </c>
      <c r="D873" s="1" t="str">
        <f ca="1">IFERROR(__xludf.DUMMYFUNCTION("""COMPUTED_VALUE"""),"No Relation")</f>
        <v>No Relation</v>
      </c>
      <c r="E873" s="1" t="str">
        <f ca="1">IFERROR(__xludf.DUMMYFUNCTION("""COMPUTED_VALUE"""),"Teen")</f>
        <v>Teen</v>
      </c>
      <c r="F873" s="1"/>
    </row>
    <row r="874" spans="1:6" ht="12.5">
      <c r="A874" s="1" t="str">
        <f ca="1">IFERROR(__xludf.DUMMYFUNCTION("""COMPUTED_VALUE"""),"20210313TXLEA")</f>
        <v>20210313TXLEA</v>
      </c>
      <c r="B874" s="1" t="str">
        <f ca="1">IFERROR(__xludf.DUMMYFUNCTION("""COMPUTED_VALUE"""),"Wounded")</f>
        <v>Wounded</v>
      </c>
      <c r="C874" s="1" t="str">
        <f ca="1">IFERROR(__xludf.DUMMYFUNCTION("""COMPUTED_VALUE"""),"Male")</f>
        <v>Male</v>
      </c>
      <c r="D874" s="1" t="str">
        <f ca="1">IFERROR(__xludf.DUMMYFUNCTION("""COMPUTED_VALUE"""),"Nonstudent Using Athletic Facilities/Attending Game")</f>
        <v>Nonstudent Using Athletic Facilities/Attending Game</v>
      </c>
      <c r="E874" s="1" t="str">
        <f ca="1">IFERROR(__xludf.DUMMYFUNCTION("""COMPUTED_VALUE"""),"Adult")</f>
        <v>Adult</v>
      </c>
      <c r="F874" s="1"/>
    </row>
    <row r="875" spans="1:6" ht="12.5">
      <c r="A875" s="1" t="str">
        <f ca="1">IFERROR(__xludf.DUMMYFUNCTION("""COMPUTED_VALUE"""),"20210311OHCIC")</f>
        <v>20210311OHCIC</v>
      </c>
      <c r="B875" s="1" t="str">
        <f ca="1">IFERROR(__xludf.DUMMYFUNCTION("""COMPUTED_VALUE"""),"Wounded")</f>
        <v>Wounded</v>
      </c>
      <c r="C875" s="1" t="str">
        <f ca="1">IFERROR(__xludf.DUMMYFUNCTION("""COMPUTED_VALUE"""),"Male")</f>
        <v>Male</v>
      </c>
      <c r="D875" s="1" t="str">
        <f ca="1">IFERROR(__xludf.DUMMYFUNCTION("""COMPUTED_VALUE"""),"No Relation")</f>
        <v>No Relation</v>
      </c>
      <c r="E875" s="1" t="str">
        <f ca="1">IFERROR(__xludf.DUMMYFUNCTION("""COMPUTED_VALUE"""),"Adult")</f>
        <v>Adult</v>
      </c>
      <c r="F875" s="1"/>
    </row>
    <row r="876" spans="1:6" ht="12.5">
      <c r="A876" s="1" t="str">
        <f ca="1">IFERROR(__xludf.DUMMYFUNCTION("""COMPUTED_VALUE"""),"20210308SCEDC")</f>
        <v>20210308SCEDC</v>
      </c>
      <c r="B876" s="1" t="str">
        <f ca="1">IFERROR(__xludf.DUMMYFUNCTION("""COMPUTED_VALUE"""),"Wounded")</f>
        <v>Wounded</v>
      </c>
      <c r="C876" s="1" t="str">
        <f ca="1">IFERROR(__xludf.DUMMYFUNCTION("""COMPUTED_VALUE"""),"Male")</f>
        <v>Male</v>
      </c>
      <c r="D876" s="1" t="str">
        <f ca="1">IFERROR(__xludf.DUMMYFUNCTION("""COMPUTED_VALUE"""),"Relative")</f>
        <v>Relative</v>
      </c>
      <c r="E876" s="1" t="str">
        <f ca="1">IFERROR(__xludf.DUMMYFUNCTION("""COMPUTED_VALUE"""),"Adult")</f>
        <v>Adult</v>
      </c>
      <c r="F876" s="1"/>
    </row>
    <row r="877" spans="1:6" ht="12.5">
      <c r="A877" s="1" t="str">
        <f ca="1">IFERROR(__xludf.DUMMYFUNCTION("""COMPUTED_VALUE"""),"20210301ARWAP")</f>
        <v>20210301ARWAP</v>
      </c>
      <c r="B877" s="1" t="str">
        <f ca="1">IFERROR(__xludf.DUMMYFUNCTION("""COMPUTED_VALUE"""),"Fatal")</f>
        <v>Fatal</v>
      </c>
      <c r="C877" s="1" t="str">
        <f ca="1">IFERROR(__xludf.DUMMYFUNCTION("""COMPUTED_VALUE"""),"Male")</f>
        <v>Male</v>
      </c>
      <c r="D877" s="1" t="str">
        <f ca="1">IFERROR(__xludf.DUMMYFUNCTION("""COMPUTED_VALUE"""),"Student")</f>
        <v>Student</v>
      </c>
      <c r="E877" s="1">
        <f ca="1">IFERROR(__xludf.DUMMYFUNCTION("""COMPUTED_VALUE"""),15)</f>
        <v>15</v>
      </c>
      <c r="F877" s="1"/>
    </row>
    <row r="878" spans="1:6" ht="12.5">
      <c r="A878" s="1" t="str">
        <f ca="1">IFERROR(__xludf.DUMMYFUNCTION("""COMPUTED_VALUE"""),"20210226LAGEN")</f>
        <v>20210226LAGEN</v>
      </c>
      <c r="B878" s="1" t="str">
        <f ca="1">IFERROR(__xludf.DUMMYFUNCTION("""COMPUTED_VALUE"""),"Fatal")</f>
        <v>Fatal</v>
      </c>
      <c r="C878" s="1" t="str">
        <f ca="1">IFERROR(__xludf.DUMMYFUNCTION("""COMPUTED_VALUE"""),"Male")</f>
        <v>Male</v>
      </c>
      <c r="D878" s="1" t="str">
        <f ca="1">IFERROR(__xludf.DUMMYFUNCTION("""COMPUTED_VALUE"""),"Police Officer/SRO")</f>
        <v>Police Officer/SRO</v>
      </c>
      <c r="E878" s="1">
        <f ca="1">IFERROR(__xludf.DUMMYFUNCTION("""COMPUTED_VALUE"""),38)</f>
        <v>38</v>
      </c>
      <c r="F878" s="1" t="str">
        <f ca="1">IFERROR(__xludf.DUMMYFUNCTION("""COMPUTED_VALUE"""),"Black")</f>
        <v>Black</v>
      </c>
    </row>
    <row r="879" spans="1:6" ht="12.5">
      <c r="A879" s="1" t="str">
        <f ca="1">IFERROR(__xludf.DUMMYFUNCTION("""COMPUTED_VALUE"""),"20210224WAGAY")</f>
        <v>20210224WAGAY</v>
      </c>
      <c r="B879" s="1" t="str">
        <f ca="1">IFERROR(__xludf.DUMMYFUNCTION("""COMPUTED_VALUE"""),"Wounded")</f>
        <v>Wounded</v>
      </c>
      <c r="C879" s="1" t="str">
        <f ca="1">IFERROR(__xludf.DUMMYFUNCTION("""COMPUTED_VALUE"""),"Male")</f>
        <v>Male</v>
      </c>
      <c r="D879" s="1" t="str">
        <f ca="1">IFERROR(__xludf.DUMMYFUNCTION("""COMPUTED_VALUE"""),"No Relation")</f>
        <v>No Relation</v>
      </c>
      <c r="E879" s="1">
        <f ca="1">IFERROR(__xludf.DUMMYFUNCTION("""COMPUTED_VALUE"""),16)</f>
        <v>16</v>
      </c>
      <c r="F879" s="1"/>
    </row>
    <row r="880" spans="1:6" ht="12.5">
      <c r="A880" s="1" t="str">
        <f ca="1">IFERROR(__xludf.DUMMYFUNCTION("""COMPUTED_VALUE"""),"20210222CAHOV")</f>
        <v>20210222CAHOV</v>
      </c>
      <c r="B880" s="1" t="str">
        <f ca="1">IFERROR(__xludf.DUMMYFUNCTION("""COMPUTED_VALUE"""),"Wounded")</f>
        <v>Wounded</v>
      </c>
      <c r="C880" s="1" t="str">
        <f ca="1">IFERROR(__xludf.DUMMYFUNCTION("""COMPUTED_VALUE"""),"Male")</f>
        <v>Male</v>
      </c>
      <c r="D880" s="1" t="str">
        <f ca="1">IFERROR(__xludf.DUMMYFUNCTION("""COMPUTED_VALUE"""),"No Relation")</f>
        <v>No Relation</v>
      </c>
      <c r="E880" s="1" t="str">
        <f ca="1">IFERROR(__xludf.DUMMYFUNCTION("""COMPUTED_VALUE"""),"Adult")</f>
        <v>Adult</v>
      </c>
      <c r="F880" s="1"/>
    </row>
    <row r="881" spans="1:6" ht="12.5">
      <c r="A881" s="1" t="str">
        <f ca="1">IFERROR(__xludf.DUMMYFUNCTION("""COMPUTED_VALUE"""),"20210219ILLIR")</f>
        <v>20210219ILLIR</v>
      </c>
      <c r="B881" s="1" t="str">
        <f ca="1">IFERROR(__xludf.DUMMYFUNCTION("""COMPUTED_VALUE"""),"Fatal")</f>
        <v>Fatal</v>
      </c>
      <c r="C881" s="1" t="str">
        <f ca="1">IFERROR(__xludf.DUMMYFUNCTION("""COMPUTED_VALUE"""),"Male")</f>
        <v>Male</v>
      </c>
      <c r="D881" s="1" t="str">
        <f ca="1">IFERROR(__xludf.DUMMYFUNCTION("""COMPUTED_VALUE"""),"No Relation")</f>
        <v>No Relation</v>
      </c>
      <c r="E881" s="1">
        <f ca="1">IFERROR(__xludf.DUMMYFUNCTION("""COMPUTED_VALUE"""),30)</f>
        <v>30</v>
      </c>
      <c r="F881" s="1"/>
    </row>
    <row r="882" spans="1:6" ht="12.5">
      <c r="A882" s="1" t="str">
        <f ca="1">IFERROR(__xludf.DUMMYFUNCTION("""COMPUTED_VALUE"""),"20210214MNROM")</f>
        <v>20210214MNROM</v>
      </c>
      <c r="B882" s="1" t="str">
        <f ca="1">IFERROR(__xludf.DUMMYFUNCTION("""COMPUTED_VALUE"""),"Wounded")</f>
        <v>Wounded</v>
      </c>
      <c r="C882" s="1"/>
      <c r="D882" s="1" t="str">
        <f ca="1">IFERROR(__xludf.DUMMYFUNCTION("""COMPUTED_VALUE"""),"No Relation")</f>
        <v>No Relation</v>
      </c>
      <c r="E882" s="1" t="str">
        <f ca="1">IFERROR(__xludf.DUMMYFUNCTION("""COMPUTED_VALUE"""),"Adult")</f>
        <v>Adult</v>
      </c>
      <c r="F882" s="1"/>
    </row>
    <row r="883" spans="1:6" ht="12.5">
      <c r="A883" s="1" t="str">
        <f ca="1">IFERROR(__xludf.DUMMYFUNCTION("""COMPUTED_VALUE"""),"20210214MNROM")</f>
        <v>20210214MNROM</v>
      </c>
      <c r="B883" s="1" t="str">
        <f ca="1">IFERROR(__xludf.DUMMYFUNCTION("""COMPUTED_VALUE"""),"Fatal")</f>
        <v>Fatal</v>
      </c>
      <c r="C883" s="1" t="str">
        <f ca="1">IFERROR(__xludf.DUMMYFUNCTION("""COMPUTED_VALUE"""),"Male")</f>
        <v>Male</v>
      </c>
      <c r="D883" s="1" t="str">
        <f ca="1">IFERROR(__xludf.DUMMYFUNCTION("""COMPUTED_VALUE"""),"No Relation")</f>
        <v>No Relation</v>
      </c>
      <c r="E883" s="1">
        <f ca="1">IFERROR(__xludf.DUMMYFUNCTION("""COMPUTED_VALUE"""),53)</f>
        <v>53</v>
      </c>
      <c r="F883" s="1"/>
    </row>
    <row r="884" spans="1:6" ht="12.5">
      <c r="A884" s="1" t="str">
        <f ca="1">IFERROR(__xludf.DUMMYFUNCTION("""COMPUTED_VALUE"""),"20210214MNROM")</f>
        <v>20210214MNROM</v>
      </c>
      <c r="B884" s="1" t="str">
        <f ca="1">IFERROR(__xludf.DUMMYFUNCTION("""COMPUTED_VALUE"""),"Fatal")</f>
        <v>Fatal</v>
      </c>
      <c r="C884" s="1" t="str">
        <f ca="1">IFERROR(__xludf.DUMMYFUNCTION("""COMPUTED_VALUE"""),"Female")</f>
        <v>Female</v>
      </c>
      <c r="D884" s="1" t="str">
        <f ca="1">IFERROR(__xludf.DUMMYFUNCTION("""COMPUTED_VALUE"""),"No Relation")</f>
        <v>No Relation</v>
      </c>
      <c r="E884" s="1">
        <f ca="1">IFERROR(__xludf.DUMMYFUNCTION("""COMPUTED_VALUE"""),34)</f>
        <v>34</v>
      </c>
      <c r="F884" s="1"/>
    </row>
    <row r="885" spans="1:6" ht="12.5">
      <c r="A885" s="1" t="str">
        <f ca="1">IFERROR(__xludf.DUMMYFUNCTION("""COMPUTED_VALUE"""),"20210210TXFOF")</f>
        <v>20210210TXFOF</v>
      </c>
      <c r="B885" s="1" t="str">
        <f ca="1">IFERROR(__xludf.DUMMYFUNCTION("""COMPUTED_VALUE"""),"Fatal")</f>
        <v>Fatal</v>
      </c>
      <c r="C885" s="1" t="str">
        <f ca="1">IFERROR(__xludf.DUMMYFUNCTION("""COMPUTED_VALUE"""),"Male")</f>
        <v>Male</v>
      </c>
      <c r="D885" s="1" t="str">
        <f ca="1">IFERROR(__xludf.DUMMYFUNCTION("""COMPUTED_VALUE"""),"No Relation")</f>
        <v>No Relation</v>
      </c>
      <c r="E885" s="1" t="str">
        <f ca="1">IFERROR(__xludf.DUMMYFUNCTION("""COMPUTED_VALUE"""),"Adult")</f>
        <v>Adult</v>
      </c>
      <c r="F885" s="1"/>
    </row>
    <row r="886" spans="1:6" ht="12.5">
      <c r="A886" s="1" t="str">
        <f ca="1">IFERROR(__xludf.DUMMYFUNCTION("""COMPUTED_VALUE"""),"20210210NJSCP")</f>
        <v>20210210NJSCP</v>
      </c>
      <c r="B886" s="1" t="str">
        <f ca="1">IFERROR(__xludf.DUMMYFUNCTION("""COMPUTED_VALUE"""),"Fatal")</f>
        <v>Fatal</v>
      </c>
      <c r="C886" s="1" t="str">
        <f ca="1">IFERROR(__xludf.DUMMYFUNCTION("""COMPUTED_VALUE"""),"Female")</f>
        <v>Female</v>
      </c>
      <c r="D886" s="1" t="str">
        <f ca="1">IFERROR(__xludf.DUMMYFUNCTION("""COMPUTED_VALUE"""),"No Relation")</f>
        <v>No Relation</v>
      </c>
      <c r="E886" s="1">
        <f ca="1">IFERROR(__xludf.DUMMYFUNCTION("""COMPUTED_VALUE"""),41)</f>
        <v>41</v>
      </c>
      <c r="F886" s="1"/>
    </row>
    <row r="887" spans="1:6" ht="12.5">
      <c r="A887" s="1" t="str">
        <f ca="1">IFERROR(__xludf.DUMMYFUNCTION("""COMPUTED_VALUE"""),"20210210LASTS")</f>
        <v>20210210LASTS</v>
      </c>
      <c r="B887" s="1" t="str">
        <f ca="1">IFERROR(__xludf.DUMMYFUNCTION("""COMPUTED_VALUE"""),"Non-gunshot Injury")</f>
        <v>Non-gunshot Injury</v>
      </c>
      <c r="C887" s="1" t="str">
        <f ca="1">IFERROR(__xludf.DUMMYFUNCTION("""COMPUTED_VALUE"""),"Male")</f>
        <v>Male</v>
      </c>
      <c r="D887" s="1" t="str">
        <f ca="1">IFERROR(__xludf.DUMMYFUNCTION("""COMPUTED_VALUE"""),"Student")</f>
        <v>Student</v>
      </c>
      <c r="E887" s="1">
        <f ca="1">IFERROR(__xludf.DUMMYFUNCTION("""COMPUTED_VALUE"""),4)</f>
        <v>4</v>
      </c>
      <c r="F887" s="1"/>
    </row>
    <row r="888" spans="1:6" ht="12.5">
      <c r="A888" s="1" t="str">
        <f ca="1">IFERROR(__xludf.DUMMYFUNCTION("""COMPUTED_VALUE"""),"20210205MDBEM")</f>
        <v>20210205MDBEM</v>
      </c>
      <c r="B888" s="1" t="str">
        <f ca="1">IFERROR(__xludf.DUMMYFUNCTION("""COMPUTED_VALUE"""),"Wounded")</f>
        <v>Wounded</v>
      </c>
      <c r="C888" s="1" t="str">
        <f ca="1">IFERROR(__xludf.DUMMYFUNCTION("""COMPUTED_VALUE"""),"Male")</f>
        <v>Male</v>
      </c>
      <c r="D888" s="1" t="str">
        <f ca="1">IFERROR(__xludf.DUMMYFUNCTION("""COMPUTED_VALUE"""),"No Relation")</f>
        <v>No Relation</v>
      </c>
      <c r="E888" s="1" t="str">
        <f ca="1">IFERROR(__xludf.DUMMYFUNCTION("""COMPUTED_VALUE"""),"Adult")</f>
        <v>Adult</v>
      </c>
      <c r="F888" s="1"/>
    </row>
    <row r="889" spans="1:6" ht="12.5">
      <c r="A889" s="1" t="str">
        <f ca="1">IFERROR(__xludf.DUMMYFUNCTION("""COMPUTED_VALUE"""),"20210201MIMUD")</f>
        <v>20210201MIMUD</v>
      </c>
      <c r="B889" s="1" t="str">
        <f ca="1">IFERROR(__xludf.DUMMYFUNCTION("""COMPUTED_VALUE"""),"Wounded")</f>
        <v>Wounded</v>
      </c>
      <c r="C889" s="1"/>
      <c r="D889" s="1" t="str">
        <f ca="1">IFERROR(__xludf.DUMMYFUNCTION("""COMPUTED_VALUE"""),"Nonstudent Using Athletic Facilities/Attending Game")</f>
        <v>Nonstudent Using Athletic Facilities/Attending Game</v>
      </c>
      <c r="E889" s="1"/>
      <c r="F889" s="1"/>
    </row>
    <row r="890" spans="1:6" ht="12.5">
      <c r="A890" s="1" t="str">
        <f ca="1">IFERROR(__xludf.DUMMYFUNCTION("""COMPUTED_VALUE"""),"20210127FLHOH")</f>
        <v>20210127FLHOH</v>
      </c>
      <c r="B890" s="1" t="str">
        <f ca="1">IFERROR(__xludf.DUMMYFUNCTION("""COMPUTED_VALUE"""),"Non-gunshot Injury")</f>
        <v>Non-gunshot Injury</v>
      </c>
      <c r="C890" s="1"/>
      <c r="D890" s="1" t="str">
        <f ca="1">IFERROR(__xludf.DUMMYFUNCTION("""COMPUTED_VALUE"""),"Student")</f>
        <v>Student</v>
      </c>
      <c r="E890" s="1" t="str">
        <f ca="1">IFERROR(__xludf.DUMMYFUNCTION("""COMPUTED_VALUE"""),"Teen")</f>
        <v>Teen</v>
      </c>
      <c r="F890" s="1"/>
    </row>
    <row r="891" spans="1:6" ht="12.5">
      <c r="A891" s="1" t="str">
        <f ca="1">IFERROR(__xludf.DUMMYFUNCTION("""COMPUTED_VALUE"""),"20210121OHEAC")</f>
        <v>20210121OHEAC</v>
      </c>
      <c r="B891" s="1" t="str">
        <f ca="1">IFERROR(__xludf.DUMMYFUNCTION("""COMPUTED_VALUE"""),"Wounded")</f>
        <v>Wounded</v>
      </c>
      <c r="C891" s="1" t="str">
        <f ca="1">IFERROR(__xludf.DUMMYFUNCTION("""COMPUTED_VALUE"""),"Male")</f>
        <v>Male</v>
      </c>
      <c r="D891" s="1" t="str">
        <f ca="1">IFERROR(__xludf.DUMMYFUNCTION("""COMPUTED_VALUE"""),"No Relation")</f>
        <v>No Relation</v>
      </c>
      <c r="E891" s="1">
        <f ca="1">IFERROR(__xludf.DUMMYFUNCTION("""COMPUTED_VALUE"""),19)</f>
        <v>19</v>
      </c>
      <c r="F891" s="1"/>
    </row>
    <row r="892" spans="1:6" ht="12.5">
      <c r="A892" s="1" t="str">
        <f ca="1">IFERROR(__xludf.DUMMYFUNCTION("""COMPUTED_VALUE"""),"20210114MDHIW")</f>
        <v>20210114MDHIW</v>
      </c>
      <c r="B892" s="1" t="str">
        <f ca="1">IFERROR(__xludf.DUMMYFUNCTION("""COMPUTED_VALUE"""),"Fatal")</f>
        <v>Fatal</v>
      </c>
      <c r="C892" s="1" t="str">
        <f ca="1">IFERROR(__xludf.DUMMYFUNCTION("""COMPUTED_VALUE"""),"Male")</f>
        <v>Male</v>
      </c>
      <c r="D892" s="1" t="str">
        <f ca="1">IFERROR(__xludf.DUMMYFUNCTION("""COMPUTED_VALUE"""),"No Relation")</f>
        <v>No Relation</v>
      </c>
      <c r="E892" s="1">
        <f ca="1">IFERROR(__xludf.DUMMYFUNCTION("""COMPUTED_VALUE"""),21)</f>
        <v>21</v>
      </c>
      <c r="F892" s="1"/>
    </row>
    <row r="893" spans="1:6" ht="12.5">
      <c r="A893" s="1" t="str">
        <f ca="1">IFERROR(__xludf.DUMMYFUNCTION("""COMPUTED_VALUE"""),"20210110ILSOS")</f>
        <v>20210110ILSOS</v>
      </c>
      <c r="B893" s="1" t="str">
        <f ca="1">IFERROR(__xludf.DUMMYFUNCTION("""COMPUTED_VALUE"""),"Wounded")</f>
        <v>Wounded</v>
      </c>
      <c r="C893" s="1" t="str">
        <f ca="1">IFERROR(__xludf.DUMMYFUNCTION("""COMPUTED_VALUE"""),"Female")</f>
        <v>Female</v>
      </c>
      <c r="D893" s="1" t="str">
        <f ca="1">IFERROR(__xludf.DUMMYFUNCTION("""COMPUTED_VALUE"""),"Student")</f>
        <v>Student</v>
      </c>
      <c r="E893" s="1">
        <f ca="1">IFERROR(__xludf.DUMMYFUNCTION("""COMPUTED_VALUE"""),16)</f>
        <v>16</v>
      </c>
      <c r="F893" s="1" t="str">
        <f ca="1">IFERROR(__xludf.DUMMYFUNCTION("""COMPUTED_VALUE"""),"Black")</f>
        <v>Black</v>
      </c>
    </row>
    <row r="894" spans="1:6" ht="12.5">
      <c r="A894" s="1" t="str">
        <f ca="1">IFERROR(__xludf.DUMMYFUNCTION("""COMPUTED_VALUE"""),"20210110ILSOS")</f>
        <v>20210110ILSOS</v>
      </c>
      <c r="B894" s="1" t="str">
        <f ca="1">IFERROR(__xludf.DUMMYFUNCTION("""COMPUTED_VALUE"""),"Wounded")</f>
        <v>Wounded</v>
      </c>
      <c r="C894" s="1" t="str">
        <f ca="1">IFERROR(__xludf.DUMMYFUNCTION("""COMPUTED_VALUE"""),"Female")</f>
        <v>Female</v>
      </c>
      <c r="D894" s="1" t="str">
        <f ca="1">IFERROR(__xludf.DUMMYFUNCTION("""COMPUTED_VALUE"""),"Relative")</f>
        <v>Relative</v>
      </c>
      <c r="E894" s="1">
        <f ca="1">IFERROR(__xludf.DUMMYFUNCTION("""COMPUTED_VALUE"""),20)</f>
        <v>20</v>
      </c>
      <c r="F894" s="1"/>
    </row>
    <row r="895" spans="1:6" ht="12.5">
      <c r="A895" s="1" t="str">
        <f ca="1">IFERROR(__xludf.DUMMYFUNCTION("""COMPUTED_VALUE"""),"20201229WAROS")</f>
        <v>20201229WAROS</v>
      </c>
      <c r="B895" s="1" t="str">
        <f ca="1">IFERROR(__xludf.DUMMYFUNCTION("""COMPUTED_VALUE"""),"Wounded")</f>
        <v>Wounded</v>
      </c>
      <c r="C895" s="1" t="str">
        <f ca="1">IFERROR(__xludf.DUMMYFUNCTION("""COMPUTED_VALUE"""),"Male")</f>
        <v>Male</v>
      </c>
      <c r="D895" s="1"/>
      <c r="E895" s="1" t="str">
        <f ca="1">IFERROR(__xludf.DUMMYFUNCTION("""COMPUTED_VALUE"""),"Teen")</f>
        <v>Teen</v>
      </c>
      <c r="F895" s="1"/>
    </row>
    <row r="896" spans="1:6" ht="12.5">
      <c r="A896" s="1" t="str">
        <f ca="1">IFERROR(__xludf.DUMMYFUNCTION("""COMPUTED_VALUE"""),"20201229WAROS")</f>
        <v>20201229WAROS</v>
      </c>
      <c r="B896" s="1" t="str">
        <f ca="1">IFERROR(__xludf.DUMMYFUNCTION("""COMPUTED_VALUE"""),"Wounded")</f>
        <v>Wounded</v>
      </c>
      <c r="C896" s="1" t="str">
        <f ca="1">IFERROR(__xludf.DUMMYFUNCTION("""COMPUTED_VALUE"""),"Male")</f>
        <v>Male</v>
      </c>
      <c r="D896" s="1"/>
      <c r="E896" s="1" t="str">
        <f ca="1">IFERROR(__xludf.DUMMYFUNCTION("""COMPUTED_VALUE"""),"Teen")</f>
        <v>Teen</v>
      </c>
      <c r="F896" s="1"/>
    </row>
    <row r="897" spans="1:6" ht="12.5">
      <c r="A897" s="1" t="str">
        <f ca="1">IFERROR(__xludf.DUMMYFUNCTION("""COMPUTED_VALUE"""),"20201216ILDUC")</f>
        <v>20201216ILDUC</v>
      </c>
      <c r="B897" s="1" t="str">
        <f ca="1">IFERROR(__xludf.DUMMYFUNCTION("""COMPUTED_VALUE"""),"Fatal")</f>
        <v>Fatal</v>
      </c>
      <c r="C897" s="1" t="str">
        <f ca="1">IFERROR(__xludf.DUMMYFUNCTION("""COMPUTED_VALUE"""),"Male")</f>
        <v>Male</v>
      </c>
      <c r="D897" s="1" t="str">
        <f ca="1">IFERROR(__xludf.DUMMYFUNCTION("""COMPUTED_VALUE"""),"No Relation")</f>
        <v>No Relation</v>
      </c>
      <c r="E897" s="1">
        <f ca="1">IFERROR(__xludf.DUMMYFUNCTION("""COMPUTED_VALUE"""),19)</f>
        <v>19</v>
      </c>
      <c r="F897" s="1" t="str">
        <f ca="1">IFERROR(__xludf.DUMMYFUNCTION("""COMPUTED_VALUE"""),"Black")</f>
        <v>Black</v>
      </c>
    </row>
    <row r="898" spans="1:6" ht="12.5">
      <c r="A898" s="1" t="str">
        <f ca="1">IFERROR(__xludf.DUMMYFUNCTION("""COMPUTED_VALUE"""),"20201207ILEAC")</f>
        <v>20201207ILEAC</v>
      </c>
      <c r="B898" s="1" t="str">
        <f ca="1">IFERROR(__xludf.DUMMYFUNCTION("""COMPUTED_VALUE"""),"Fatal")</f>
        <v>Fatal</v>
      </c>
      <c r="C898" s="1" t="str">
        <f ca="1">IFERROR(__xludf.DUMMYFUNCTION("""COMPUTED_VALUE"""),"Male")</f>
        <v>Male</v>
      </c>
      <c r="D898" s="1" t="str">
        <f ca="1">IFERROR(__xludf.DUMMYFUNCTION("""COMPUTED_VALUE"""),"No Relation")</f>
        <v>No Relation</v>
      </c>
      <c r="E898" s="1">
        <f ca="1">IFERROR(__xludf.DUMMYFUNCTION("""COMPUTED_VALUE"""),21)</f>
        <v>21</v>
      </c>
      <c r="F898" s="1"/>
    </row>
    <row r="899" spans="1:6" ht="12.5">
      <c r="A899" s="1" t="str">
        <f ca="1">IFERROR(__xludf.DUMMYFUNCTION("""COMPUTED_VALUE"""),"20201125KSABG")</f>
        <v>20201125KSABG</v>
      </c>
      <c r="B899" s="1" t="str">
        <f ca="1">IFERROR(__xludf.DUMMYFUNCTION("""COMPUTED_VALUE"""),"Wounded")</f>
        <v>Wounded</v>
      </c>
      <c r="C899" s="1" t="str">
        <f ca="1">IFERROR(__xludf.DUMMYFUNCTION("""COMPUTED_VALUE"""),"Male")</f>
        <v>Male</v>
      </c>
      <c r="D899" s="1" t="str">
        <f ca="1">IFERROR(__xludf.DUMMYFUNCTION("""COMPUTED_VALUE"""),"No Relation")</f>
        <v>No Relation</v>
      </c>
      <c r="E899" s="1">
        <f ca="1">IFERROR(__xludf.DUMMYFUNCTION("""COMPUTED_VALUE"""),16)</f>
        <v>16</v>
      </c>
      <c r="F899" s="1"/>
    </row>
    <row r="900" spans="1:6" ht="12.5">
      <c r="A900" s="1" t="str">
        <f ca="1">IFERROR(__xludf.DUMMYFUNCTION("""COMPUTED_VALUE"""),"20201124NCHEH")</f>
        <v>20201124NCHEH</v>
      </c>
      <c r="B900" s="1" t="str">
        <f ca="1">IFERROR(__xludf.DUMMYFUNCTION("""COMPUTED_VALUE"""),"Wounded")</f>
        <v>Wounded</v>
      </c>
      <c r="C900" s="1" t="str">
        <f ca="1">IFERROR(__xludf.DUMMYFUNCTION("""COMPUTED_VALUE"""),"Female")</f>
        <v>Female</v>
      </c>
      <c r="D900" s="1" t="str">
        <f ca="1">IFERROR(__xludf.DUMMYFUNCTION("""COMPUTED_VALUE"""),"Student")</f>
        <v>Student</v>
      </c>
      <c r="E900" s="1">
        <f ca="1">IFERROR(__xludf.DUMMYFUNCTION("""COMPUTED_VALUE"""),12)</f>
        <v>12</v>
      </c>
      <c r="F900" s="1"/>
    </row>
    <row r="901" spans="1:6" ht="12.5">
      <c r="A901" s="1" t="str">
        <f ca="1">IFERROR(__xludf.DUMMYFUNCTION("""COMPUTED_VALUE"""),"20201116TNWIM")</f>
        <v>20201116TNWIM</v>
      </c>
      <c r="B901" s="1" t="str">
        <f ca="1">IFERROR(__xludf.DUMMYFUNCTION("""COMPUTED_VALUE"""),"None")</f>
        <v>None</v>
      </c>
      <c r="C901" s="1" t="str">
        <f ca="1">IFERROR(__xludf.DUMMYFUNCTION("""COMPUTED_VALUE"""),"Female")</f>
        <v>Female</v>
      </c>
      <c r="D901" s="1" t="str">
        <f ca="1">IFERROR(__xludf.DUMMYFUNCTION("""COMPUTED_VALUE"""),"No Relation")</f>
        <v>No Relation</v>
      </c>
      <c r="E901" s="1" t="str">
        <f ca="1">IFERROR(__xludf.DUMMYFUNCTION("""COMPUTED_VALUE"""),"Adult")</f>
        <v>Adult</v>
      </c>
      <c r="F901" s="1"/>
    </row>
    <row r="902" spans="1:6" ht="12.5">
      <c r="A902" s="1" t="str">
        <f ca="1">IFERROR(__xludf.DUMMYFUNCTION("""COMPUTED_VALUE"""),"20201113NCLIL")</f>
        <v>20201113NCLIL</v>
      </c>
      <c r="B902" s="1" t="str">
        <f ca="1">IFERROR(__xludf.DUMMYFUNCTION("""COMPUTED_VALUE"""),"Wounded")</f>
        <v>Wounded</v>
      </c>
      <c r="C902" s="1" t="str">
        <f ca="1">IFERROR(__xludf.DUMMYFUNCTION("""COMPUTED_VALUE"""),"Male")</f>
        <v>Male</v>
      </c>
      <c r="D902" s="1" t="str">
        <f ca="1">IFERROR(__xludf.DUMMYFUNCTION("""COMPUTED_VALUE"""),"Student")</f>
        <v>Student</v>
      </c>
      <c r="E902" s="1">
        <f ca="1">IFERROR(__xludf.DUMMYFUNCTION("""COMPUTED_VALUE"""),6)</f>
        <v>6</v>
      </c>
      <c r="F902" s="1" t="str">
        <f ca="1">IFERROR(__xludf.DUMMYFUNCTION("""COMPUTED_VALUE"""),"White")</f>
        <v>White</v>
      </c>
    </row>
    <row r="903" spans="1:6" ht="12.5">
      <c r="A903" s="1" t="str">
        <f ca="1">IFERROR(__xludf.DUMMYFUNCTION("""COMPUTED_VALUE"""),"20201112PANAH")</f>
        <v>20201112PANAH</v>
      </c>
      <c r="B903" s="1" t="str">
        <f ca="1">IFERROR(__xludf.DUMMYFUNCTION("""COMPUTED_VALUE"""),"Fatal")</f>
        <v>Fatal</v>
      </c>
      <c r="C903" s="1" t="str">
        <f ca="1">IFERROR(__xludf.DUMMYFUNCTION("""COMPUTED_VALUE"""),"Male")</f>
        <v>Male</v>
      </c>
      <c r="D903" s="1" t="str">
        <f ca="1">IFERROR(__xludf.DUMMYFUNCTION("""COMPUTED_VALUE"""),"No Relation")</f>
        <v>No Relation</v>
      </c>
      <c r="E903" s="1">
        <f ca="1">IFERROR(__xludf.DUMMYFUNCTION("""COMPUTED_VALUE"""),17)</f>
        <v>17</v>
      </c>
      <c r="F903" s="1"/>
    </row>
    <row r="904" spans="1:6" ht="12.5">
      <c r="A904" s="1" t="str">
        <f ca="1">IFERROR(__xludf.DUMMYFUNCTION("""COMPUTED_VALUE"""),"20201112CACEU")</f>
        <v>20201112CACEU</v>
      </c>
      <c r="B904" s="1" t="str">
        <f ca="1">IFERROR(__xludf.DUMMYFUNCTION("""COMPUTED_VALUE"""),"Wounded")</f>
        <v>Wounded</v>
      </c>
      <c r="C904" s="1" t="str">
        <f ca="1">IFERROR(__xludf.DUMMYFUNCTION("""COMPUTED_VALUE"""),"Male")</f>
        <v>Male</v>
      </c>
      <c r="D904" s="1" t="str">
        <f ca="1">IFERROR(__xludf.DUMMYFUNCTION("""COMPUTED_VALUE"""),"No Relation")</f>
        <v>No Relation</v>
      </c>
      <c r="E904" s="1" t="str">
        <f ca="1">IFERROR(__xludf.DUMMYFUNCTION("""COMPUTED_VALUE"""),"Adult")</f>
        <v>Adult</v>
      </c>
      <c r="F904" s="1"/>
    </row>
    <row r="905" spans="1:6" ht="12.5">
      <c r="A905" s="1" t="str">
        <f ca="1">IFERROR(__xludf.DUMMYFUNCTION("""COMPUTED_VALUE"""),"20201109TXCOH")</f>
        <v>20201109TXCOH</v>
      </c>
      <c r="B905" s="1" t="str">
        <f ca="1">IFERROR(__xludf.DUMMYFUNCTION("""COMPUTED_VALUE"""),"Fatal")</f>
        <v>Fatal</v>
      </c>
      <c r="C905" s="1" t="str">
        <f ca="1">IFERROR(__xludf.DUMMYFUNCTION("""COMPUTED_VALUE"""),"Male")</f>
        <v>Male</v>
      </c>
      <c r="D905" s="1" t="str">
        <f ca="1">IFERROR(__xludf.DUMMYFUNCTION("""COMPUTED_VALUE"""),"No Relation")</f>
        <v>No Relation</v>
      </c>
      <c r="E905" s="1" t="str">
        <f ca="1">IFERROR(__xludf.DUMMYFUNCTION("""COMPUTED_VALUE"""),"Adult")</f>
        <v>Adult</v>
      </c>
      <c r="F905" s="1" t="str">
        <f ca="1">IFERROR(__xludf.DUMMYFUNCTION("""COMPUTED_VALUE"""),"Hispanic")</f>
        <v>Hispanic</v>
      </c>
    </row>
    <row r="906" spans="1:6" ht="12.5">
      <c r="A906" s="1" t="str">
        <f ca="1">IFERROR(__xludf.DUMMYFUNCTION("""COMPUTED_VALUE"""),"20201029FLLAM")</f>
        <v>20201029FLLAM</v>
      </c>
      <c r="B906" s="1" t="str">
        <f ca="1">IFERROR(__xludf.DUMMYFUNCTION("""COMPUTED_VALUE"""),"Fatal")</f>
        <v>Fatal</v>
      </c>
      <c r="C906" s="1" t="str">
        <f ca="1">IFERROR(__xludf.DUMMYFUNCTION("""COMPUTED_VALUE"""),"Male")</f>
        <v>Male</v>
      </c>
      <c r="D906" s="1" t="str">
        <f ca="1">IFERROR(__xludf.DUMMYFUNCTION("""COMPUTED_VALUE"""),"No Relation")</f>
        <v>No Relation</v>
      </c>
      <c r="E906" s="1" t="str">
        <f ca="1">IFERROR(__xludf.DUMMYFUNCTION("""COMPUTED_VALUE"""),"Adult")</f>
        <v>Adult</v>
      </c>
      <c r="F906" s="1"/>
    </row>
    <row r="907" spans="1:6" ht="12.5">
      <c r="A907" s="1" t="str">
        <f ca="1">IFERROR(__xludf.DUMMYFUNCTION("""COMPUTED_VALUE"""),"20201029FLLAM")</f>
        <v>20201029FLLAM</v>
      </c>
      <c r="B907" s="1" t="str">
        <f ca="1">IFERROR(__xludf.DUMMYFUNCTION("""COMPUTED_VALUE"""),"Fatal")</f>
        <v>Fatal</v>
      </c>
      <c r="C907" s="1" t="str">
        <f ca="1">IFERROR(__xludf.DUMMYFUNCTION("""COMPUTED_VALUE"""),"Male")</f>
        <v>Male</v>
      </c>
      <c r="D907" s="1" t="str">
        <f ca="1">IFERROR(__xludf.DUMMYFUNCTION("""COMPUTED_VALUE"""),"No Relation")</f>
        <v>No Relation</v>
      </c>
      <c r="E907" s="1" t="str">
        <f ca="1">IFERROR(__xludf.DUMMYFUNCTION("""COMPUTED_VALUE"""),"Adult")</f>
        <v>Adult</v>
      </c>
      <c r="F907" s="1"/>
    </row>
    <row r="908" spans="1:6" ht="12.5">
      <c r="A908" s="1" t="str">
        <f ca="1">IFERROR(__xludf.DUMMYFUNCTION("""COMPUTED_VALUE"""),"20201026GARIR")</f>
        <v>20201026GARIR</v>
      </c>
      <c r="B908" s="1" t="str">
        <f ca="1">IFERROR(__xludf.DUMMYFUNCTION("""COMPUTED_VALUE"""),"Fatal")</f>
        <v>Fatal</v>
      </c>
      <c r="C908" s="1" t="str">
        <f ca="1">IFERROR(__xludf.DUMMYFUNCTION("""COMPUTED_VALUE"""),"Male")</f>
        <v>Male</v>
      </c>
      <c r="D908" s="1" t="str">
        <f ca="1">IFERROR(__xludf.DUMMYFUNCTION("""COMPUTED_VALUE"""),"No Relation")</f>
        <v>No Relation</v>
      </c>
      <c r="E908" s="1">
        <f ca="1">IFERROR(__xludf.DUMMYFUNCTION("""COMPUTED_VALUE"""),28)</f>
        <v>28</v>
      </c>
      <c r="F908" s="1"/>
    </row>
    <row r="909" spans="1:6" ht="12.5">
      <c r="A909" s="1" t="str">
        <f ca="1">IFERROR(__xludf.DUMMYFUNCTION("""COMPUTED_VALUE"""),"20201020ARJAP")</f>
        <v>20201020ARJAP</v>
      </c>
      <c r="B909" s="1" t="str">
        <f ca="1">IFERROR(__xludf.DUMMYFUNCTION("""COMPUTED_VALUE"""),"Fatal")</f>
        <v>Fatal</v>
      </c>
      <c r="C909" s="1" t="str">
        <f ca="1">IFERROR(__xludf.DUMMYFUNCTION("""COMPUTED_VALUE"""),"Male")</f>
        <v>Male</v>
      </c>
      <c r="D909" s="1"/>
      <c r="E909" s="1">
        <f ca="1">IFERROR(__xludf.DUMMYFUNCTION("""COMPUTED_VALUE"""),16)</f>
        <v>16</v>
      </c>
      <c r="F909" s="1"/>
    </row>
    <row r="910" spans="1:6" ht="12.5">
      <c r="A910" s="1" t="str">
        <f ca="1">IFERROR(__xludf.DUMMYFUNCTION("""COMPUTED_VALUE"""),"20201018KYSEL")</f>
        <v>20201018KYSEL</v>
      </c>
      <c r="B910" s="1" t="str">
        <f ca="1">IFERROR(__xludf.DUMMYFUNCTION("""COMPUTED_VALUE"""),"Wounded")</f>
        <v>Wounded</v>
      </c>
      <c r="C910" s="1"/>
      <c r="D910" s="1"/>
      <c r="E910" s="1" t="str">
        <f ca="1">IFERROR(__xludf.DUMMYFUNCTION("""COMPUTED_VALUE"""),"Teen")</f>
        <v>Teen</v>
      </c>
      <c r="F910" s="1"/>
    </row>
    <row r="911" spans="1:6" ht="12.5">
      <c r="A911" s="1" t="str">
        <f ca="1">IFERROR(__xludf.DUMMYFUNCTION("""COMPUTED_VALUE"""),"20201018KYSEL")</f>
        <v>20201018KYSEL</v>
      </c>
      <c r="B911" s="1" t="str">
        <f ca="1">IFERROR(__xludf.DUMMYFUNCTION("""COMPUTED_VALUE"""),"Wounded")</f>
        <v>Wounded</v>
      </c>
      <c r="C911" s="1"/>
      <c r="D911" s="1"/>
      <c r="E911" s="1" t="str">
        <f ca="1">IFERROR(__xludf.DUMMYFUNCTION("""COMPUTED_VALUE"""),"Teen")</f>
        <v>Teen</v>
      </c>
      <c r="F911" s="1"/>
    </row>
    <row r="912" spans="1:6" ht="12.5">
      <c r="A912" s="1" t="str">
        <f ca="1">IFERROR(__xludf.DUMMYFUNCTION("""COMPUTED_VALUE"""),"20201018KYSEL")</f>
        <v>20201018KYSEL</v>
      </c>
      <c r="B912" s="1" t="str">
        <f ca="1">IFERROR(__xludf.DUMMYFUNCTION("""COMPUTED_VALUE"""),"Wounded")</f>
        <v>Wounded</v>
      </c>
      <c r="C912" s="1"/>
      <c r="D912" s="1"/>
      <c r="E912" s="1" t="str">
        <f ca="1">IFERROR(__xludf.DUMMYFUNCTION("""COMPUTED_VALUE"""),"Teen")</f>
        <v>Teen</v>
      </c>
      <c r="F912" s="1"/>
    </row>
    <row r="913" spans="1:6" ht="12.5">
      <c r="A913" s="1" t="str">
        <f ca="1">IFERROR(__xludf.DUMMYFUNCTION("""COMPUTED_VALUE"""),"20201014WAWAS")</f>
        <v>20201014WAWAS</v>
      </c>
      <c r="B913" s="1" t="str">
        <f ca="1">IFERROR(__xludf.DUMMYFUNCTION("""COMPUTED_VALUE"""),"None")</f>
        <v>None</v>
      </c>
      <c r="C913" s="1" t="str">
        <f ca="1">IFERROR(__xludf.DUMMYFUNCTION("""COMPUTED_VALUE"""),"Male")</f>
        <v>Male</v>
      </c>
      <c r="D913" s="1" t="str">
        <f ca="1">IFERROR(__xludf.DUMMYFUNCTION("""COMPUTED_VALUE"""),"No Relation")</f>
        <v>No Relation</v>
      </c>
      <c r="E913" s="1" t="str">
        <f ca="1">IFERROR(__xludf.DUMMYFUNCTION("""COMPUTED_VALUE"""),"Adult")</f>
        <v>Adult</v>
      </c>
      <c r="F913" s="1"/>
    </row>
    <row r="914" spans="1:6" ht="12.5">
      <c r="A914" s="1" t="str">
        <f ca="1">IFERROR(__xludf.DUMMYFUNCTION("""COMPUTED_VALUE"""),"20201014PABRB")</f>
        <v>20201014PABRB</v>
      </c>
      <c r="B914" s="1" t="str">
        <f ca="1">IFERROR(__xludf.DUMMYFUNCTION("""COMPUTED_VALUE"""),"None")</f>
        <v>None</v>
      </c>
      <c r="C914" s="1" t="str">
        <f ca="1">IFERROR(__xludf.DUMMYFUNCTION("""COMPUTED_VALUE"""),"Male")</f>
        <v>Male</v>
      </c>
      <c r="D914" s="1" t="str">
        <f ca="1">IFERROR(__xludf.DUMMYFUNCTION("""COMPUTED_VALUE"""),"Bus Driver")</f>
        <v>Bus Driver</v>
      </c>
      <c r="E914" s="1" t="str">
        <f ca="1">IFERROR(__xludf.DUMMYFUNCTION("""COMPUTED_VALUE"""),"Adult")</f>
        <v>Adult</v>
      </c>
      <c r="F914" s="1"/>
    </row>
    <row r="915" spans="1:6" ht="12.5">
      <c r="A915" s="1" t="str">
        <f ca="1">IFERROR(__xludf.DUMMYFUNCTION("""COMPUTED_VALUE"""),"20201013RIRHP")</f>
        <v>20201013RIRHP</v>
      </c>
      <c r="B915" s="1" t="str">
        <f ca="1">IFERROR(__xludf.DUMMYFUNCTION("""COMPUTED_VALUE"""),"Fatal")</f>
        <v>Fatal</v>
      </c>
      <c r="C915" s="1" t="str">
        <f ca="1">IFERROR(__xludf.DUMMYFUNCTION("""COMPUTED_VALUE"""),"Male")</f>
        <v>Male</v>
      </c>
      <c r="D915" s="1" t="str">
        <f ca="1">IFERROR(__xludf.DUMMYFUNCTION("""COMPUTED_VALUE"""),"No Relation")</f>
        <v>No Relation</v>
      </c>
      <c r="E915" s="1">
        <f ca="1">IFERROR(__xludf.DUMMYFUNCTION("""COMPUTED_VALUE"""),19)</f>
        <v>19</v>
      </c>
      <c r="F915" s="1" t="str">
        <f ca="1">IFERROR(__xludf.DUMMYFUNCTION("""COMPUTED_VALUE"""),"Black")</f>
        <v>Black</v>
      </c>
    </row>
    <row r="916" spans="1:6" ht="12.5">
      <c r="A916" s="1" t="str">
        <f ca="1">IFERROR(__xludf.DUMMYFUNCTION("""COMPUTED_VALUE"""),"20201013RIRHP")</f>
        <v>20201013RIRHP</v>
      </c>
      <c r="B916" s="1" t="str">
        <f ca="1">IFERROR(__xludf.DUMMYFUNCTION("""COMPUTED_VALUE"""),"Wounded")</f>
        <v>Wounded</v>
      </c>
      <c r="C916" s="1" t="str">
        <f ca="1">IFERROR(__xludf.DUMMYFUNCTION("""COMPUTED_VALUE"""),"Male")</f>
        <v>Male</v>
      </c>
      <c r="D916" s="1" t="str">
        <f ca="1">IFERROR(__xludf.DUMMYFUNCTION("""COMPUTED_VALUE"""),"No Relation")</f>
        <v>No Relation</v>
      </c>
      <c r="E916" s="1" t="str">
        <f ca="1">IFERROR(__xludf.DUMMYFUNCTION("""COMPUTED_VALUE"""),"Adult")</f>
        <v>Adult</v>
      </c>
      <c r="F916" s="1"/>
    </row>
    <row r="917" spans="1:6" ht="12.5">
      <c r="A917" s="1" t="str">
        <f ca="1">IFERROR(__xludf.DUMMYFUNCTION("""COMPUTED_VALUE"""),"20201013RIRHP")</f>
        <v>20201013RIRHP</v>
      </c>
      <c r="B917" s="1" t="str">
        <f ca="1">IFERROR(__xludf.DUMMYFUNCTION("""COMPUTED_VALUE"""),"Wounded")</f>
        <v>Wounded</v>
      </c>
      <c r="C917" s="1" t="str">
        <f ca="1">IFERROR(__xludf.DUMMYFUNCTION("""COMPUTED_VALUE"""),"Male")</f>
        <v>Male</v>
      </c>
      <c r="D917" s="1" t="str">
        <f ca="1">IFERROR(__xludf.DUMMYFUNCTION("""COMPUTED_VALUE"""),"No Relation")</f>
        <v>No Relation</v>
      </c>
      <c r="E917" s="1" t="str">
        <f ca="1">IFERROR(__xludf.DUMMYFUNCTION("""COMPUTED_VALUE"""),"Adult")</f>
        <v>Adult</v>
      </c>
      <c r="F917" s="1"/>
    </row>
    <row r="918" spans="1:6" ht="12.5">
      <c r="A918" s="1" t="str">
        <f ca="1">IFERROR(__xludf.DUMMYFUNCTION("""COMPUTED_VALUE"""),"20201012TXNOD")</f>
        <v>20201012TXNOD</v>
      </c>
      <c r="B918" s="1" t="str">
        <f ca="1">IFERROR(__xludf.DUMMYFUNCTION("""COMPUTED_VALUE"""),"None")</f>
        <v>None</v>
      </c>
      <c r="C918" s="1" t="str">
        <f ca="1">IFERROR(__xludf.DUMMYFUNCTION("""COMPUTED_VALUE"""),"Male")</f>
        <v>Male</v>
      </c>
      <c r="D918" s="1" t="str">
        <f ca="1">IFERROR(__xludf.DUMMYFUNCTION("""COMPUTED_VALUE"""),"No Relation")</f>
        <v>No Relation</v>
      </c>
      <c r="E918" s="1" t="str">
        <f ca="1">IFERROR(__xludf.DUMMYFUNCTION("""COMPUTED_VALUE"""),"Adult")</f>
        <v>Adult</v>
      </c>
      <c r="F918" s="1"/>
    </row>
    <row r="919" spans="1:6" ht="12.5">
      <c r="A919" s="1" t="str">
        <f ca="1">IFERROR(__xludf.DUMMYFUNCTION("""COMPUTED_VALUE"""),"20201009FLJEJ")</f>
        <v>20201009FLJEJ</v>
      </c>
      <c r="B919" s="1" t="str">
        <f ca="1">IFERROR(__xludf.DUMMYFUNCTION("""COMPUTED_VALUE"""),"Wounded")</f>
        <v>Wounded</v>
      </c>
      <c r="C919" s="1" t="str">
        <f ca="1">IFERROR(__xludf.DUMMYFUNCTION("""COMPUTED_VALUE"""),"Male")</f>
        <v>Male</v>
      </c>
      <c r="D919" s="1" t="str">
        <f ca="1">IFERROR(__xludf.DUMMYFUNCTION("""COMPUTED_VALUE"""),"Student")</f>
        <v>Student</v>
      </c>
      <c r="E919" s="1">
        <f ca="1">IFERROR(__xludf.DUMMYFUNCTION("""COMPUTED_VALUE"""),18)</f>
        <v>18</v>
      </c>
      <c r="F919" s="1"/>
    </row>
    <row r="920" spans="1:6" ht="12.5">
      <c r="A920" s="1" t="str">
        <f ca="1">IFERROR(__xludf.DUMMYFUNCTION("""COMPUTED_VALUE"""),"20201005OKSOM")</f>
        <v>20201005OKSOM</v>
      </c>
      <c r="B920" s="1" t="str">
        <f ca="1">IFERROR(__xludf.DUMMYFUNCTION("""COMPUTED_VALUE"""),"Non-gunshot Injury")</f>
        <v>Non-gunshot Injury</v>
      </c>
      <c r="C920" s="1"/>
      <c r="D920" s="1" t="str">
        <f ca="1">IFERROR(__xludf.DUMMYFUNCTION("""COMPUTED_VALUE"""),"Student")</f>
        <v>Student</v>
      </c>
      <c r="E920" s="1" t="str">
        <f ca="1">IFERROR(__xludf.DUMMYFUNCTION("""COMPUTED_VALUE"""),"Teen")</f>
        <v>Teen</v>
      </c>
      <c r="F920" s="1"/>
    </row>
    <row r="921" spans="1:6" ht="12.5">
      <c r="A921" s="1" t="str">
        <f ca="1">IFERROR(__xludf.DUMMYFUNCTION("""COMPUTED_VALUE"""),"20201005ARKIH")</f>
        <v>20201005ARKIH</v>
      </c>
      <c r="B921" s="1" t="str">
        <f ca="1">IFERROR(__xludf.DUMMYFUNCTION("""COMPUTED_VALUE"""),"Wounded")</f>
        <v>Wounded</v>
      </c>
      <c r="C921" s="1" t="str">
        <f ca="1">IFERROR(__xludf.DUMMYFUNCTION("""COMPUTED_VALUE"""),"Male")</f>
        <v>Male</v>
      </c>
      <c r="D921" s="1"/>
      <c r="E921" s="1" t="str">
        <f ca="1">IFERROR(__xludf.DUMMYFUNCTION("""COMPUTED_VALUE"""),"Adult")</f>
        <v>Adult</v>
      </c>
      <c r="F921" s="1"/>
    </row>
    <row r="922" spans="1:6" ht="12.5">
      <c r="A922" s="1" t="str">
        <f ca="1">IFERROR(__xludf.DUMMYFUNCTION("""COMPUTED_VALUE"""),"20201005ARKIH")</f>
        <v>20201005ARKIH</v>
      </c>
      <c r="B922" s="1" t="str">
        <f ca="1">IFERROR(__xludf.DUMMYFUNCTION("""COMPUTED_VALUE"""),"Fatal")</f>
        <v>Fatal</v>
      </c>
      <c r="C922" s="1" t="str">
        <f ca="1">IFERROR(__xludf.DUMMYFUNCTION("""COMPUTED_VALUE"""),"Male")</f>
        <v>Male</v>
      </c>
      <c r="D922" s="1"/>
      <c r="E922" s="1">
        <f ca="1">IFERROR(__xludf.DUMMYFUNCTION("""COMPUTED_VALUE"""),36)</f>
        <v>36</v>
      </c>
      <c r="F922" s="1" t="str">
        <f ca="1">IFERROR(__xludf.DUMMYFUNCTION("""COMPUTED_VALUE"""),"Black")</f>
        <v>Black</v>
      </c>
    </row>
    <row r="923" spans="1:6" ht="12.5">
      <c r="A923" s="1" t="str">
        <f ca="1">IFERROR(__xludf.DUMMYFUNCTION("""COMPUTED_VALUE"""),"20200930CADYL")</f>
        <v>20200930CADYL</v>
      </c>
      <c r="B923" s="1" t="str">
        <f ca="1">IFERROR(__xludf.DUMMYFUNCTION("""COMPUTED_VALUE"""),"Wounded")</f>
        <v>Wounded</v>
      </c>
      <c r="C923" s="1" t="str">
        <f ca="1">IFERROR(__xludf.DUMMYFUNCTION("""COMPUTED_VALUE"""),"Male")</f>
        <v>Male</v>
      </c>
      <c r="D923" s="1" t="str">
        <f ca="1">IFERROR(__xludf.DUMMYFUNCTION("""COMPUTED_VALUE"""),"Student")</f>
        <v>Student</v>
      </c>
      <c r="E923" s="1">
        <f ca="1">IFERROR(__xludf.DUMMYFUNCTION("""COMPUTED_VALUE"""),18)</f>
        <v>18</v>
      </c>
      <c r="F923" s="1" t="str">
        <f ca="1">IFERROR(__xludf.DUMMYFUNCTION("""COMPUTED_VALUE"""),"Black")</f>
        <v>Black</v>
      </c>
    </row>
    <row r="924" spans="1:6" ht="12.5">
      <c r="A924" s="1" t="str">
        <f ca="1">IFERROR(__xludf.DUMMYFUNCTION("""COMPUTED_VALUE"""),"20200930CADYL")</f>
        <v>20200930CADYL</v>
      </c>
      <c r="B924" s="1" t="str">
        <f ca="1">IFERROR(__xludf.DUMMYFUNCTION("""COMPUTED_VALUE"""),"Wounded")</f>
        <v>Wounded</v>
      </c>
      <c r="C924" s="1"/>
      <c r="D924" s="1" t="str">
        <f ca="1">IFERROR(__xludf.DUMMYFUNCTION("""COMPUTED_VALUE"""),"No Relation")</f>
        <v>No Relation</v>
      </c>
      <c r="E924" s="1" t="str">
        <f ca="1">IFERROR(__xludf.DUMMYFUNCTION("""COMPUTED_VALUE"""),"Adult")</f>
        <v>Adult</v>
      </c>
      <c r="F924" s="1"/>
    </row>
    <row r="925" spans="1:6" ht="12.5">
      <c r="A925" s="1" t="str">
        <f ca="1">IFERROR(__xludf.DUMMYFUNCTION("""COMPUTED_VALUE"""),"20200928CTEAN")</f>
        <v>20200928CTEAN</v>
      </c>
      <c r="B925" s="1" t="str">
        <f ca="1">IFERROR(__xludf.DUMMYFUNCTION("""COMPUTED_VALUE"""),"Wounded")</f>
        <v>Wounded</v>
      </c>
      <c r="C925" s="1" t="str">
        <f ca="1">IFERROR(__xludf.DUMMYFUNCTION("""COMPUTED_VALUE"""),"Male")</f>
        <v>Male</v>
      </c>
      <c r="D925" s="1" t="str">
        <f ca="1">IFERROR(__xludf.DUMMYFUNCTION("""COMPUTED_VALUE"""),"No Relation")</f>
        <v>No Relation</v>
      </c>
      <c r="E925" s="1">
        <f ca="1">IFERROR(__xludf.DUMMYFUNCTION("""COMPUTED_VALUE"""),18)</f>
        <v>18</v>
      </c>
      <c r="F925" s="1"/>
    </row>
    <row r="926" spans="1:6" ht="12.5">
      <c r="A926" s="1" t="str">
        <f ca="1">IFERROR(__xludf.DUMMYFUNCTION("""COMPUTED_VALUE"""),"20200925NJHAH")</f>
        <v>20200925NJHAH</v>
      </c>
      <c r="B926" s="1" t="str">
        <f ca="1">IFERROR(__xludf.DUMMYFUNCTION("""COMPUTED_VALUE"""),"Wounded")</f>
        <v>Wounded</v>
      </c>
      <c r="C926" s="1" t="str">
        <f ca="1">IFERROR(__xludf.DUMMYFUNCTION("""COMPUTED_VALUE"""),"Male")</f>
        <v>Male</v>
      </c>
      <c r="D926" s="1" t="str">
        <f ca="1">IFERROR(__xludf.DUMMYFUNCTION("""COMPUTED_VALUE"""),"No Relation")</f>
        <v>No Relation</v>
      </c>
      <c r="E926" s="1">
        <f ca="1">IFERROR(__xludf.DUMMYFUNCTION("""COMPUTED_VALUE"""),41)</f>
        <v>41</v>
      </c>
      <c r="F926" s="1"/>
    </row>
    <row r="927" spans="1:6" ht="12.5">
      <c r="A927" s="1" t="str">
        <f ca="1">IFERROR(__xludf.DUMMYFUNCTION("""COMPUTED_VALUE"""),"20200923PAWIW")</f>
        <v>20200923PAWIW</v>
      </c>
      <c r="B927" s="1" t="str">
        <f ca="1">IFERROR(__xludf.DUMMYFUNCTION("""COMPUTED_VALUE"""),"None")</f>
        <v>None</v>
      </c>
      <c r="C927" s="1" t="str">
        <f ca="1">IFERROR(__xludf.DUMMYFUNCTION("""COMPUTED_VALUE"""),"Male")</f>
        <v>Male</v>
      </c>
      <c r="D927" s="1"/>
      <c r="E927" s="1"/>
      <c r="F927" s="1"/>
    </row>
    <row r="928" spans="1:6" ht="12.5">
      <c r="A928" s="1" t="str">
        <f ca="1">IFERROR(__xludf.DUMMYFUNCTION("""COMPUTED_VALUE"""),"20200923FLHIJ")</f>
        <v>20200923FLHIJ</v>
      </c>
      <c r="B928" s="1" t="str">
        <f ca="1">IFERROR(__xludf.DUMMYFUNCTION("""COMPUTED_VALUE"""),"None")</f>
        <v>None</v>
      </c>
      <c r="C928" s="1"/>
      <c r="D928" s="1"/>
      <c r="E928" s="1"/>
      <c r="F928" s="1"/>
    </row>
    <row r="929" spans="1:6" ht="12.5">
      <c r="A929" s="1" t="str">
        <f ca="1">IFERROR(__xludf.DUMMYFUNCTION("""COMPUTED_VALUE"""),"20200918KYWIL")</f>
        <v>20200918KYWIL</v>
      </c>
      <c r="B929" s="1" t="str">
        <f ca="1">IFERROR(__xludf.DUMMYFUNCTION("""COMPUTED_VALUE"""),"Wounded")</f>
        <v>Wounded</v>
      </c>
      <c r="C929" s="1" t="str">
        <f ca="1">IFERROR(__xludf.DUMMYFUNCTION("""COMPUTED_VALUE"""),"Male")</f>
        <v>Male</v>
      </c>
      <c r="D929" s="1" t="str">
        <f ca="1">IFERROR(__xludf.DUMMYFUNCTION("""COMPUTED_VALUE"""),"Nonstudent Using Athletic Facilities/Attending Game")</f>
        <v>Nonstudent Using Athletic Facilities/Attending Game</v>
      </c>
      <c r="E929" s="1" t="str">
        <f ca="1">IFERROR(__xludf.DUMMYFUNCTION("""COMPUTED_VALUE"""),"Adult")</f>
        <v>Adult</v>
      </c>
      <c r="F929" s="1"/>
    </row>
    <row r="930" spans="1:6" ht="12.5">
      <c r="A930" s="1" t="str">
        <f ca="1">IFERROR(__xludf.DUMMYFUNCTION("""COMPUTED_VALUE"""),"20200917ORDRP")</f>
        <v>20200917ORDRP</v>
      </c>
      <c r="B930" s="1" t="str">
        <f ca="1">IFERROR(__xludf.DUMMYFUNCTION("""COMPUTED_VALUE"""),"Wounded")</f>
        <v>Wounded</v>
      </c>
      <c r="C930" s="1"/>
      <c r="D930" s="1" t="str">
        <f ca="1">IFERROR(__xludf.DUMMYFUNCTION("""COMPUTED_VALUE"""),"No Relation")</f>
        <v>No Relation</v>
      </c>
      <c r="E930" s="1" t="str">
        <f ca="1">IFERROR(__xludf.DUMMYFUNCTION("""COMPUTED_VALUE"""),"Adult")</f>
        <v>Adult</v>
      </c>
      <c r="F930" s="1"/>
    </row>
    <row r="931" spans="1:6" ht="12.5">
      <c r="A931" s="1" t="str">
        <f ca="1">IFERROR(__xludf.DUMMYFUNCTION("""COMPUTED_VALUE"""),"20200917OHELA")</f>
        <v>20200917OHELA</v>
      </c>
      <c r="B931" s="1" t="str">
        <f ca="1">IFERROR(__xludf.DUMMYFUNCTION("""COMPUTED_VALUE"""),"Wounded")</f>
        <v>Wounded</v>
      </c>
      <c r="C931" s="1" t="str">
        <f ca="1">IFERROR(__xludf.DUMMYFUNCTION("""COMPUTED_VALUE"""),"Male")</f>
        <v>Male</v>
      </c>
      <c r="D931" s="1" t="str">
        <f ca="1">IFERROR(__xludf.DUMMYFUNCTION("""COMPUTED_VALUE"""),"Nonstudent Using Athletic Facilities/Attending Game")</f>
        <v>Nonstudent Using Athletic Facilities/Attending Game</v>
      </c>
      <c r="E931" s="1">
        <f ca="1">IFERROR(__xludf.DUMMYFUNCTION("""COMPUTED_VALUE"""),19)</f>
        <v>19</v>
      </c>
      <c r="F931" s="1"/>
    </row>
    <row r="932" spans="1:6" ht="12.5">
      <c r="A932" s="1" t="str">
        <f ca="1">IFERROR(__xludf.DUMMYFUNCTION("""COMPUTED_VALUE"""),"20200917OHELA")</f>
        <v>20200917OHELA</v>
      </c>
      <c r="B932" s="1" t="str">
        <f ca="1">IFERROR(__xludf.DUMMYFUNCTION("""COMPUTED_VALUE"""),"Wounded")</f>
        <v>Wounded</v>
      </c>
      <c r="C932" s="1" t="str">
        <f ca="1">IFERROR(__xludf.DUMMYFUNCTION("""COMPUTED_VALUE"""),"Female")</f>
        <v>Female</v>
      </c>
      <c r="D932" s="1" t="str">
        <f ca="1">IFERROR(__xludf.DUMMYFUNCTION("""COMPUTED_VALUE"""),"Nonstudent Using Athletic Facilities/Attending Game")</f>
        <v>Nonstudent Using Athletic Facilities/Attending Game</v>
      </c>
      <c r="E932" s="1">
        <f ca="1">IFERROR(__xludf.DUMMYFUNCTION("""COMPUTED_VALUE"""),40)</f>
        <v>40</v>
      </c>
      <c r="F932" s="1"/>
    </row>
    <row r="933" spans="1:6" ht="12.5">
      <c r="A933" s="1" t="str">
        <f ca="1">IFERROR(__xludf.DUMMYFUNCTION("""COMPUTED_VALUE"""),"20200916WAARG")</f>
        <v>20200916WAARG</v>
      </c>
      <c r="B933" s="1" t="str">
        <f ca="1">IFERROR(__xludf.DUMMYFUNCTION("""COMPUTED_VALUE"""),"Wounded")</f>
        <v>Wounded</v>
      </c>
      <c r="C933" s="1" t="str">
        <f ca="1">IFERROR(__xludf.DUMMYFUNCTION("""COMPUTED_VALUE"""),"Male")</f>
        <v>Male</v>
      </c>
      <c r="D933" s="1" t="str">
        <f ca="1">IFERROR(__xludf.DUMMYFUNCTION("""COMPUTED_VALUE"""),"No Relation")</f>
        <v>No Relation</v>
      </c>
      <c r="E933" s="1" t="str">
        <f ca="1">IFERROR(__xludf.DUMMYFUNCTION("""COMPUTED_VALUE"""),"Adult")</f>
        <v>Adult</v>
      </c>
      <c r="F933" s="1"/>
    </row>
    <row r="934" spans="1:6" ht="12.5">
      <c r="A934" s="1" t="str">
        <f ca="1">IFERROR(__xludf.DUMMYFUNCTION("""COMPUTED_VALUE"""),"20200916CASOS")</f>
        <v>20200916CASOS</v>
      </c>
      <c r="B934" s="1" t="str">
        <f ca="1">IFERROR(__xludf.DUMMYFUNCTION("""COMPUTED_VALUE"""),"Fatal")</f>
        <v>Fatal</v>
      </c>
      <c r="C934" s="1" t="str">
        <f ca="1">IFERROR(__xludf.DUMMYFUNCTION("""COMPUTED_VALUE"""),"Male")</f>
        <v>Male</v>
      </c>
      <c r="D934" s="1"/>
      <c r="E934" s="1">
        <f ca="1">IFERROR(__xludf.DUMMYFUNCTION("""COMPUTED_VALUE"""),17)</f>
        <v>17</v>
      </c>
      <c r="F934" s="1"/>
    </row>
    <row r="935" spans="1:6" ht="12.5">
      <c r="A935" s="1" t="str">
        <f ca="1">IFERROR(__xludf.DUMMYFUNCTION("""COMPUTED_VALUE"""),"20200910ILPEP")</f>
        <v>20200910ILPEP</v>
      </c>
      <c r="B935" s="1" t="str">
        <f ca="1">IFERROR(__xludf.DUMMYFUNCTION("""COMPUTED_VALUE"""),"None")</f>
        <v>None</v>
      </c>
      <c r="C935" s="1"/>
      <c r="D935" s="1" t="str">
        <f ca="1">IFERROR(__xludf.DUMMYFUNCTION("""COMPUTED_VALUE"""),"Student")</f>
        <v>Student</v>
      </c>
      <c r="E935" s="1"/>
      <c r="F935" s="1"/>
    </row>
    <row r="936" spans="1:6" ht="12.5">
      <c r="A936" s="1" t="str">
        <f ca="1">IFERROR(__xludf.DUMMYFUNCTION("""COMPUTED_VALUE"""),"20200909TXSOH")</f>
        <v>20200909TXSOH</v>
      </c>
      <c r="B936" s="1" t="str">
        <f ca="1">IFERROR(__xludf.DUMMYFUNCTION("""COMPUTED_VALUE"""),"Wounded")</f>
        <v>Wounded</v>
      </c>
      <c r="C936" s="1" t="str">
        <f ca="1">IFERROR(__xludf.DUMMYFUNCTION("""COMPUTED_VALUE"""),"Male")</f>
        <v>Male</v>
      </c>
      <c r="D936" s="1" t="str">
        <f ca="1">IFERROR(__xludf.DUMMYFUNCTION("""COMPUTED_VALUE"""),"No Relation")</f>
        <v>No Relation</v>
      </c>
      <c r="E936" s="1">
        <f ca="1">IFERROR(__xludf.DUMMYFUNCTION("""COMPUTED_VALUE"""),18)</f>
        <v>18</v>
      </c>
      <c r="F936" s="1"/>
    </row>
    <row r="937" spans="1:6" ht="12.5">
      <c r="A937" s="1" t="str">
        <f ca="1">IFERROR(__xludf.DUMMYFUNCTION("""COMPUTED_VALUE"""),"20200909PAWEW")</f>
        <v>20200909PAWEW</v>
      </c>
      <c r="B937" s="1" t="str">
        <f ca="1">IFERROR(__xludf.DUMMYFUNCTION("""COMPUTED_VALUE"""),"None")</f>
        <v>None</v>
      </c>
      <c r="C937" s="1" t="str">
        <f ca="1">IFERROR(__xludf.DUMMYFUNCTION("""COMPUTED_VALUE"""),"Male")</f>
        <v>Male</v>
      </c>
      <c r="D937" s="1" t="str">
        <f ca="1">IFERROR(__xludf.DUMMYFUNCTION("""COMPUTED_VALUE"""),"No Relation")</f>
        <v>No Relation</v>
      </c>
      <c r="E937" s="1" t="str">
        <f ca="1">IFERROR(__xludf.DUMMYFUNCTION("""COMPUTED_VALUE"""),"Adult")</f>
        <v>Adult</v>
      </c>
      <c r="F937" s="1"/>
    </row>
    <row r="938" spans="1:6" ht="12.5">
      <c r="A938" s="1" t="str">
        <f ca="1">IFERROR(__xludf.DUMMYFUNCTION("""COMPUTED_VALUE"""),"20200904FLLOJ")</f>
        <v>20200904FLLOJ</v>
      </c>
      <c r="B938" s="1" t="str">
        <f ca="1">IFERROR(__xludf.DUMMYFUNCTION("""COMPUTED_VALUE"""),"Wounded")</f>
        <v>Wounded</v>
      </c>
      <c r="C938" s="1" t="str">
        <f ca="1">IFERROR(__xludf.DUMMYFUNCTION("""COMPUTED_VALUE"""),"Male")</f>
        <v>Male</v>
      </c>
      <c r="D938" s="1" t="str">
        <f ca="1">IFERROR(__xludf.DUMMYFUNCTION("""COMPUTED_VALUE"""),"No Relation")</f>
        <v>No Relation</v>
      </c>
      <c r="E938" s="1">
        <f ca="1">IFERROR(__xludf.DUMMYFUNCTION("""COMPUTED_VALUE"""),27)</f>
        <v>27</v>
      </c>
      <c r="F938" s="1"/>
    </row>
    <row r="939" spans="1:6" ht="12.5">
      <c r="A939" s="1" t="str">
        <f ca="1">IFERROR(__xludf.DUMMYFUNCTION("""COMPUTED_VALUE"""),"20200903GADOA")</f>
        <v>20200903GADOA</v>
      </c>
      <c r="B939" s="1" t="str">
        <f ca="1">IFERROR(__xludf.DUMMYFUNCTION("""COMPUTED_VALUE"""),"Fatal")</f>
        <v>Fatal</v>
      </c>
      <c r="C939" s="1" t="str">
        <f ca="1">IFERROR(__xludf.DUMMYFUNCTION("""COMPUTED_VALUE"""),"Male")</f>
        <v>Male</v>
      </c>
      <c r="D939" s="1" t="str">
        <f ca="1">IFERROR(__xludf.DUMMYFUNCTION("""COMPUTED_VALUE"""),"No Relation")</f>
        <v>No Relation</v>
      </c>
      <c r="E939" s="1">
        <f ca="1">IFERROR(__xludf.DUMMYFUNCTION("""COMPUTED_VALUE"""),18)</f>
        <v>18</v>
      </c>
      <c r="F939" s="1"/>
    </row>
    <row r="940" spans="1:6" ht="12.5">
      <c r="A940" s="1" t="str">
        <f ca="1">IFERROR(__xludf.DUMMYFUNCTION("""COMPUTED_VALUE"""),"20200830TXLOD")</f>
        <v>20200830TXLOD</v>
      </c>
      <c r="B940" s="1" t="str">
        <f ca="1">IFERROR(__xludf.DUMMYFUNCTION("""COMPUTED_VALUE"""),"Fatal")</f>
        <v>Fatal</v>
      </c>
      <c r="C940" s="1" t="str">
        <f ca="1">IFERROR(__xludf.DUMMYFUNCTION("""COMPUTED_VALUE"""),"Male")</f>
        <v>Male</v>
      </c>
      <c r="D940" s="1" t="str">
        <f ca="1">IFERROR(__xludf.DUMMYFUNCTION("""COMPUTED_VALUE"""),"No Relation")</f>
        <v>No Relation</v>
      </c>
      <c r="E940" s="1">
        <f ca="1">IFERROR(__xludf.DUMMYFUNCTION("""COMPUTED_VALUE"""),27)</f>
        <v>27</v>
      </c>
      <c r="F940" s="1" t="str">
        <f ca="1">IFERROR(__xludf.DUMMYFUNCTION("""COMPUTED_VALUE"""),"Hispanic")</f>
        <v>Hispanic</v>
      </c>
    </row>
    <row r="941" spans="1:6" ht="12.5">
      <c r="A941" s="1" t="str">
        <f ca="1">IFERROR(__xludf.DUMMYFUNCTION("""COMPUTED_VALUE"""),"20200825MOWEC")</f>
        <v>20200825MOWEC</v>
      </c>
      <c r="B941" s="1" t="str">
        <f ca="1">IFERROR(__xludf.DUMMYFUNCTION("""COMPUTED_VALUE"""),"Wounded")</f>
        <v>Wounded</v>
      </c>
      <c r="C941" s="1" t="str">
        <f ca="1">IFERROR(__xludf.DUMMYFUNCTION("""COMPUTED_VALUE"""),"Male")</f>
        <v>Male</v>
      </c>
      <c r="D941" s="1" t="str">
        <f ca="1">IFERROR(__xludf.DUMMYFUNCTION("""COMPUTED_VALUE"""),"No Relation")</f>
        <v>No Relation</v>
      </c>
      <c r="E941" s="1" t="str">
        <f ca="1">IFERROR(__xludf.DUMMYFUNCTION("""COMPUTED_VALUE"""),"Adult")</f>
        <v>Adult</v>
      </c>
      <c r="F941" s="1"/>
    </row>
    <row r="942" spans="1:6" ht="12.5">
      <c r="A942" s="1" t="str">
        <f ca="1">IFERROR(__xludf.DUMMYFUNCTION("""COMPUTED_VALUE"""),"20200817MIABG")</f>
        <v>20200817MIABG</v>
      </c>
      <c r="B942" s="1" t="str">
        <f ca="1">IFERROR(__xludf.DUMMYFUNCTION("""COMPUTED_VALUE"""),"Wounded")</f>
        <v>Wounded</v>
      </c>
      <c r="C942" s="1" t="str">
        <f ca="1">IFERROR(__xludf.DUMMYFUNCTION("""COMPUTED_VALUE"""),"Male")</f>
        <v>Male</v>
      </c>
      <c r="D942" s="1" t="str">
        <f ca="1">IFERROR(__xludf.DUMMYFUNCTION("""COMPUTED_VALUE"""),"No Relation")</f>
        <v>No Relation</v>
      </c>
      <c r="E942" s="1" t="str">
        <f ca="1">IFERROR(__xludf.DUMMYFUNCTION("""COMPUTED_VALUE"""),"Adult")</f>
        <v>Adult</v>
      </c>
      <c r="F942" s="1"/>
    </row>
    <row r="943" spans="1:6" ht="12.5">
      <c r="A943" s="1" t="str">
        <f ca="1">IFERROR(__xludf.DUMMYFUNCTION("""COMPUTED_VALUE"""),"20200804PAKEP")</f>
        <v>20200804PAKEP</v>
      </c>
      <c r="B943" s="1" t="str">
        <f ca="1">IFERROR(__xludf.DUMMYFUNCTION("""COMPUTED_VALUE"""),"Fatal")</f>
        <v>Fatal</v>
      </c>
      <c r="C943" s="1" t="str">
        <f ca="1">IFERROR(__xludf.DUMMYFUNCTION("""COMPUTED_VALUE"""),"Male")</f>
        <v>Male</v>
      </c>
      <c r="D943" s="1" t="str">
        <f ca="1">IFERROR(__xludf.DUMMYFUNCTION("""COMPUTED_VALUE"""),"No Relation")</f>
        <v>No Relation</v>
      </c>
      <c r="E943" s="1">
        <f ca="1">IFERROR(__xludf.DUMMYFUNCTION("""COMPUTED_VALUE"""),26)</f>
        <v>26</v>
      </c>
      <c r="F943" s="1"/>
    </row>
    <row r="944" spans="1:6" ht="12.5">
      <c r="A944" s="1" t="str">
        <f ca="1">IFERROR(__xludf.DUMMYFUNCTION("""COMPUTED_VALUE"""),"20200721SCBRO")</f>
        <v>20200721SCBRO</v>
      </c>
      <c r="B944" s="1" t="str">
        <f ca="1">IFERROR(__xludf.DUMMYFUNCTION("""COMPUTED_VALUE"""),"Fatal")</f>
        <v>Fatal</v>
      </c>
      <c r="C944" s="1" t="str">
        <f ca="1">IFERROR(__xludf.DUMMYFUNCTION("""COMPUTED_VALUE"""),"Male")</f>
        <v>Male</v>
      </c>
      <c r="D944" s="1" t="str">
        <f ca="1">IFERROR(__xludf.DUMMYFUNCTION("""COMPUTED_VALUE"""),"Nonstudent Using Athletic Facilities/Attending Game")</f>
        <v>Nonstudent Using Athletic Facilities/Attending Game</v>
      </c>
      <c r="E944" s="1">
        <f ca="1">IFERROR(__xludf.DUMMYFUNCTION("""COMPUTED_VALUE"""),28)</f>
        <v>28</v>
      </c>
      <c r="F944" s="1"/>
    </row>
    <row r="945" spans="1:6" ht="12.5">
      <c r="A945" s="1" t="str">
        <f ca="1">IFERROR(__xludf.DUMMYFUNCTION("""COMPUTED_VALUE"""),"20200714MIWID")</f>
        <v>20200714MIWID</v>
      </c>
      <c r="B945" s="1" t="str">
        <f ca="1">IFERROR(__xludf.DUMMYFUNCTION("""COMPUTED_VALUE"""),"None")</f>
        <v>None</v>
      </c>
      <c r="C945" s="1"/>
      <c r="D945" s="1"/>
      <c r="E945" s="1"/>
      <c r="F945" s="1"/>
    </row>
    <row r="946" spans="1:6" ht="12.5">
      <c r="A946" s="1" t="str">
        <f ca="1">IFERROR(__xludf.DUMMYFUNCTION("""COMPUTED_VALUE"""),"20200704INLAM")</f>
        <v>20200704INLAM</v>
      </c>
      <c r="B946" s="1" t="str">
        <f ca="1">IFERROR(__xludf.DUMMYFUNCTION("""COMPUTED_VALUE"""),"Fatal")</f>
        <v>Fatal</v>
      </c>
      <c r="C946" s="1" t="str">
        <f ca="1">IFERROR(__xludf.DUMMYFUNCTION("""COMPUTED_VALUE"""),"Male")</f>
        <v>Male</v>
      </c>
      <c r="D946" s="1" t="str">
        <f ca="1">IFERROR(__xludf.DUMMYFUNCTION("""COMPUTED_VALUE"""),"No Relation")</f>
        <v>No Relation</v>
      </c>
      <c r="E946" s="1"/>
      <c r="F946" s="1" t="str">
        <f ca="1">IFERROR(__xludf.DUMMYFUNCTION("""COMPUTED_VALUE"""),"Hispanic")</f>
        <v>Hispanic</v>
      </c>
    </row>
    <row r="947" spans="1:6" ht="12.5">
      <c r="A947" s="1" t="str">
        <f ca="1">IFERROR(__xludf.DUMMYFUNCTION("""COMPUTED_VALUE"""),"20200701ILFRP")</f>
        <v>20200701ILFRP</v>
      </c>
      <c r="B947" s="1" t="str">
        <f ca="1">IFERROR(__xludf.DUMMYFUNCTION("""COMPUTED_VALUE"""),"None")</f>
        <v>None</v>
      </c>
      <c r="C947" s="1"/>
      <c r="D947" s="1"/>
      <c r="E947" s="1"/>
      <c r="F947" s="1"/>
    </row>
    <row r="948" spans="1:6" ht="12.5">
      <c r="A948" s="1" t="str">
        <f ca="1">IFERROR(__xludf.DUMMYFUNCTION("""COMPUTED_VALUE"""),"20200618INJOI")</f>
        <v>20200618INJOI</v>
      </c>
      <c r="B948" s="1" t="str">
        <f ca="1">IFERROR(__xludf.DUMMYFUNCTION("""COMPUTED_VALUE"""),"Fatal")</f>
        <v>Fatal</v>
      </c>
      <c r="C948" s="1" t="str">
        <f ca="1">IFERROR(__xludf.DUMMYFUNCTION("""COMPUTED_VALUE"""),"Male")</f>
        <v>Male</v>
      </c>
      <c r="D948" s="1" t="str">
        <f ca="1">IFERROR(__xludf.DUMMYFUNCTION("""COMPUTED_VALUE"""),"No Relation")</f>
        <v>No Relation</v>
      </c>
      <c r="E948" s="1">
        <f ca="1">IFERROR(__xludf.DUMMYFUNCTION("""COMPUTED_VALUE"""),37)</f>
        <v>37</v>
      </c>
      <c r="F948" s="1"/>
    </row>
    <row r="949" spans="1:6" ht="12.5">
      <c r="A949" s="1" t="str">
        <f ca="1">IFERROR(__xludf.DUMMYFUNCTION("""COMPUTED_VALUE"""),"20200616FLTOM")</f>
        <v>20200616FLTOM</v>
      </c>
      <c r="B949" s="1" t="str">
        <f ca="1">IFERROR(__xludf.DUMMYFUNCTION("""COMPUTED_VALUE"""),"Fatal")</f>
        <v>Fatal</v>
      </c>
      <c r="C949" s="1" t="str">
        <f ca="1">IFERROR(__xludf.DUMMYFUNCTION("""COMPUTED_VALUE"""),"Male")</f>
        <v>Male</v>
      </c>
      <c r="D949" s="1" t="str">
        <f ca="1">IFERROR(__xludf.DUMMYFUNCTION("""COMPUTED_VALUE"""),"No Relation")</f>
        <v>No Relation</v>
      </c>
      <c r="E949" s="1" t="str">
        <f ca="1">IFERROR(__xludf.DUMMYFUNCTION("""COMPUTED_VALUE"""),"Adult")</f>
        <v>Adult</v>
      </c>
      <c r="F949" s="1"/>
    </row>
    <row r="950" spans="1:6" ht="12.5">
      <c r="A950" s="1" t="str">
        <f ca="1">IFERROR(__xludf.DUMMYFUNCTION("""COMPUTED_VALUE"""),"20200616FLTOM")</f>
        <v>20200616FLTOM</v>
      </c>
      <c r="B950" s="1" t="str">
        <f ca="1">IFERROR(__xludf.DUMMYFUNCTION("""COMPUTED_VALUE"""),"Wounded")</f>
        <v>Wounded</v>
      </c>
      <c r="C950" s="1" t="str">
        <f ca="1">IFERROR(__xludf.DUMMYFUNCTION("""COMPUTED_VALUE"""),"Male")</f>
        <v>Male</v>
      </c>
      <c r="D950" s="1" t="str">
        <f ca="1">IFERROR(__xludf.DUMMYFUNCTION("""COMPUTED_VALUE"""),"No Relation")</f>
        <v>No Relation</v>
      </c>
      <c r="E950" s="1" t="str">
        <f ca="1">IFERROR(__xludf.DUMMYFUNCTION("""COMPUTED_VALUE"""),"Adult")</f>
        <v>Adult</v>
      </c>
      <c r="F950" s="1"/>
    </row>
    <row r="951" spans="1:6" ht="12.5">
      <c r="A951" s="1" t="str">
        <f ca="1">IFERROR(__xludf.DUMMYFUNCTION("""COMPUTED_VALUE"""),"20200603IAGAD")</f>
        <v>20200603IAGAD</v>
      </c>
      <c r="B951" s="1" t="str">
        <f ca="1">IFERROR(__xludf.DUMMYFUNCTION("""COMPUTED_VALUE"""),"Wounded")</f>
        <v>Wounded</v>
      </c>
      <c r="C951" s="1" t="str">
        <f ca="1">IFERROR(__xludf.DUMMYFUNCTION("""COMPUTED_VALUE"""),"Male")</f>
        <v>Male</v>
      </c>
      <c r="D951" s="1" t="str">
        <f ca="1">IFERROR(__xludf.DUMMYFUNCTION("""COMPUTED_VALUE"""),"No Relation")</f>
        <v>No Relation</v>
      </c>
      <c r="E951" s="1">
        <f ca="1">IFERROR(__xludf.DUMMYFUNCTION("""COMPUTED_VALUE"""),18)</f>
        <v>18</v>
      </c>
      <c r="F951" s="1"/>
    </row>
    <row r="952" spans="1:6" ht="12.5">
      <c r="A952" s="1" t="str">
        <f ca="1">IFERROR(__xludf.DUMMYFUNCTION("""COMPUTED_VALUE"""),"20200527OHLUC")</f>
        <v>20200527OHLUC</v>
      </c>
      <c r="B952" s="1" t="str">
        <f ca="1">IFERROR(__xludf.DUMMYFUNCTION("""COMPUTED_VALUE"""),"None")</f>
        <v>None</v>
      </c>
      <c r="C952" s="1"/>
      <c r="D952" s="1"/>
      <c r="E952" s="1"/>
      <c r="F952" s="1"/>
    </row>
    <row r="953" spans="1:6" ht="12.5">
      <c r="A953" s="1" t="str">
        <f ca="1">IFERROR(__xludf.DUMMYFUNCTION("""COMPUTED_VALUE"""),"20200525ALORM")</f>
        <v>20200525ALORM</v>
      </c>
      <c r="B953" s="1" t="str">
        <f ca="1">IFERROR(__xludf.DUMMYFUNCTION("""COMPUTED_VALUE"""),"Wounded")</f>
        <v>Wounded</v>
      </c>
      <c r="C953" s="1" t="str">
        <f ca="1">IFERROR(__xludf.DUMMYFUNCTION("""COMPUTED_VALUE"""),"Male")</f>
        <v>Male</v>
      </c>
      <c r="D953" s="1" t="str">
        <f ca="1">IFERROR(__xludf.DUMMYFUNCTION("""COMPUTED_VALUE"""),"No Relation")</f>
        <v>No Relation</v>
      </c>
      <c r="E953" s="1" t="str">
        <f ca="1">IFERROR(__xludf.DUMMYFUNCTION("""COMPUTED_VALUE"""),"Adult")</f>
        <v>Adult</v>
      </c>
      <c r="F953" s="1"/>
    </row>
    <row r="954" spans="1:6" ht="12.5">
      <c r="A954" s="1" t="str">
        <f ca="1">IFERROR(__xludf.DUMMYFUNCTION("""COMPUTED_VALUE"""),"20200525ALORM")</f>
        <v>20200525ALORM</v>
      </c>
      <c r="B954" s="1" t="str">
        <f ca="1">IFERROR(__xludf.DUMMYFUNCTION("""COMPUTED_VALUE"""),"Wounded")</f>
        <v>Wounded</v>
      </c>
      <c r="C954" s="1" t="str">
        <f ca="1">IFERROR(__xludf.DUMMYFUNCTION("""COMPUTED_VALUE"""),"Male")</f>
        <v>Male</v>
      </c>
      <c r="D954" s="1" t="str">
        <f ca="1">IFERROR(__xludf.DUMMYFUNCTION("""COMPUTED_VALUE"""),"No Relation")</f>
        <v>No Relation</v>
      </c>
      <c r="E954" s="1" t="str">
        <f ca="1">IFERROR(__xludf.DUMMYFUNCTION("""COMPUTED_VALUE"""),"Adult")</f>
        <v>Adult</v>
      </c>
      <c r="F954" s="1"/>
    </row>
    <row r="955" spans="1:6" ht="12.5">
      <c r="A955" s="1" t="str">
        <f ca="1">IFERROR(__xludf.DUMMYFUNCTION("""COMPUTED_VALUE"""),"20200525ALORM")</f>
        <v>20200525ALORM</v>
      </c>
      <c r="B955" s="1" t="str">
        <f ca="1">IFERROR(__xludf.DUMMYFUNCTION("""COMPUTED_VALUE"""),"Wounded")</f>
        <v>Wounded</v>
      </c>
      <c r="C955" s="1" t="str">
        <f ca="1">IFERROR(__xludf.DUMMYFUNCTION("""COMPUTED_VALUE"""),"Male")</f>
        <v>Male</v>
      </c>
      <c r="D955" s="1" t="str">
        <f ca="1">IFERROR(__xludf.DUMMYFUNCTION("""COMPUTED_VALUE"""),"No Relation")</f>
        <v>No Relation</v>
      </c>
      <c r="E955" s="1" t="str">
        <f ca="1">IFERROR(__xludf.DUMMYFUNCTION("""COMPUTED_VALUE"""),"Adult")</f>
        <v>Adult</v>
      </c>
      <c r="F955" s="1"/>
    </row>
    <row r="956" spans="1:6" ht="12.5">
      <c r="A956" s="1" t="str">
        <f ca="1">IFERROR(__xludf.DUMMYFUNCTION("""COMPUTED_VALUE"""),"20200522OHMIC")</f>
        <v>20200522OHMIC</v>
      </c>
      <c r="B956" s="1" t="str">
        <f ca="1">IFERROR(__xludf.DUMMYFUNCTION("""COMPUTED_VALUE"""),"Fatal")</f>
        <v>Fatal</v>
      </c>
      <c r="C956" s="1" t="str">
        <f ca="1">IFERROR(__xludf.DUMMYFUNCTION("""COMPUTED_VALUE"""),"Male")</f>
        <v>Male</v>
      </c>
      <c r="D956" s="1" t="str">
        <f ca="1">IFERROR(__xludf.DUMMYFUNCTION("""COMPUTED_VALUE"""),"No Relation")</f>
        <v>No Relation</v>
      </c>
      <c r="E956" s="1">
        <f ca="1">IFERROR(__xludf.DUMMYFUNCTION("""COMPUTED_VALUE"""),34)</f>
        <v>34</v>
      </c>
      <c r="F956" s="1"/>
    </row>
    <row r="957" spans="1:6" ht="12.5">
      <c r="A957" s="1" t="str">
        <f ca="1">IFERROR(__xludf.DUMMYFUNCTION("""COMPUTED_VALUE"""),"20200519VAWEM")</f>
        <v>20200519VAWEM</v>
      </c>
      <c r="B957" s="1" t="str">
        <f ca="1">IFERROR(__xludf.DUMMYFUNCTION("""COMPUTED_VALUE"""),"None")</f>
        <v>None</v>
      </c>
      <c r="C957" s="1"/>
      <c r="D957" s="1"/>
      <c r="E957" s="1"/>
      <c r="F957" s="1"/>
    </row>
    <row r="958" spans="1:6" ht="12.5">
      <c r="A958" s="1" t="str">
        <f ca="1">IFERROR(__xludf.DUMMYFUNCTION("""COMPUTED_VALUE"""),"20200515NCSTC")</f>
        <v>20200515NCSTC</v>
      </c>
      <c r="B958" s="1" t="str">
        <f ca="1">IFERROR(__xludf.DUMMYFUNCTION("""COMPUTED_VALUE"""),"None")</f>
        <v>None</v>
      </c>
      <c r="C958" s="1"/>
      <c r="D958" s="1"/>
      <c r="E958" s="1"/>
      <c r="F958" s="1"/>
    </row>
    <row r="959" spans="1:6" ht="12.5">
      <c r="A959" s="1" t="str">
        <f ca="1">IFERROR(__xludf.DUMMYFUNCTION("""COMPUTED_VALUE"""),"20200505CAGOV")</f>
        <v>20200505CAGOV</v>
      </c>
      <c r="B959" s="1" t="str">
        <f ca="1">IFERROR(__xludf.DUMMYFUNCTION("""COMPUTED_VALUE"""),"Fatal")</f>
        <v>Fatal</v>
      </c>
      <c r="C959" s="1" t="str">
        <f ca="1">IFERROR(__xludf.DUMMYFUNCTION("""COMPUTED_VALUE"""),"Male")</f>
        <v>Male</v>
      </c>
      <c r="D959" s="1" t="str">
        <f ca="1">IFERROR(__xludf.DUMMYFUNCTION("""COMPUTED_VALUE"""),"No Relation")</f>
        <v>No Relation</v>
      </c>
      <c r="E959" s="1">
        <f ca="1">IFERROR(__xludf.DUMMYFUNCTION("""COMPUTED_VALUE"""),19)</f>
        <v>19</v>
      </c>
      <c r="F959" s="1" t="str">
        <f ca="1">IFERROR(__xludf.DUMMYFUNCTION("""COMPUTED_VALUE"""),"Hispanic")</f>
        <v>Hispanic</v>
      </c>
    </row>
    <row r="960" spans="1:6" ht="12.5">
      <c r="A960" s="1" t="str">
        <f ca="1">IFERROR(__xludf.DUMMYFUNCTION("""COMPUTED_VALUE"""),"20200505CAGOV")</f>
        <v>20200505CAGOV</v>
      </c>
      <c r="B960" s="1" t="str">
        <f ca="1">IFERROR(__xludf.DUMMYFUNCTION("""COMPUTED_VALUE"""),"Fatal")</f>
        <v>Fatal</v>
      </c>
      <c r="C960" s="1" t="str">
        <f ca="1">IFERROR(__xludf.DUMMYFUNCTION("""COMPUTED_VALUE"""),"Male")</f>
        <v>Male</v>
      </c>
      <c r="D960" s="1" t="str">
        <f ca="1">IFERROR(__xludf.DUMMYFUNCTION("""COMPUTED_VALUE"""),"No Relation")</f>
        <v>No Relation</v>
      </c>
      <c r="E960" s="1">
        <f ca="1">IFERROR(__xludf.DUMMYFUNCTION("""COMPUTED_VALUE"""),19)</f>
        <v>19</v>
      </c>
      <c r="F960" s="1" t="str">
        <f ca="1">IFERROR(__xludf.DUMMYFUNCTION("""COMPUTED_VALUE"""),"Hispanic")</f>
        <v>Hispanic</v>
      </c>
    </row>
    <row r="961" spans="1:6" ht="12.5">
      <c r="A961" s="1" t="str">
        <f ca="1">IFERROR(__xludf.DUMMYFUNCTION("""COMPUTED_VALUE"""),"20200505CAGOV")</f>
        <v>20200505CAGOV</v>
      </c>
      <c r="B961" s="1" t="str">
        <f ca="1">IFERROR(__xludf.DUMMYFUNCTION("""COMPUTED_VALUE"""),"Fatal")</f>
        <v>Fatal</v>
      </c>
      <c r="C961" s="1" t="str">
        <f ca="1">IFERROR(__xludf.DUMMYFUNCTION("""COMPUTED_VALUE"""),"Male")</f>
        <v>Male</v>
      </c>
      <c r="D961" s="1" t="str">
        <f ca="1">IFERROR(__xludf.DUMMYFUNCTION("""COMPUTED_VALUE"""),"No Relation")</f>
        <v>No Relation</v>
      </c>
      <c r="E961" s="1">
        <f ca="1">IFERROR(__xludf.DUMMYFUNCTION("""COMPUTED_VALUE"""),18)</f>
        <v>18</v>
      </c>
      <c r="F961" s="1" t="str">
        <f ca="1">IFERROR(__xludf.DUMMYFUNCTION("""COMPUTED_VALUE"""),"Hispanic")</f>
        <v>Hispanic</v>
      </c>
    </row>
    <row r="962" spans="1:6" ht="12.5">
      <c r="A962" s="1" t="str">
        <f ca="1">IFERROR(__xludf.DUMMYFUNCTION("""COMPUTED_VALUE"""),"20200413NEMOO")</f>
        <v>20200413NEMOO</v>
      </c>
      <c r="B962" s="1" t="str">
        <f ca="1">IFERROR(__xludf.DUMMYFUNCTION("""COMPUTED_VALUE"""),"Wounded")</f>
        <v>Wounded</v>
      </c>
      <c r="C962" s="1" t="str">
        <f ca="1">IFERROR(__xludf.DUMMYFUNCTION("""COMPUTED_VALUE"""),"Male")</f>
        <v>Male</v>
      </c>
      <c r="D962" s="1" t="str">
        <f ca="1">IFERROR(__xludf.DUMMYFUNCTION("""COMPUTED_VALUE"""),"No Relation")</f>
        <v>No Relation</v>
      </c>
      <c r="E962" s="1">
        <f ca="1">IFERROR(__xludf.DUMMYFUNCTION("""COMPUTED_VALUE"""),18)</f>
        <v>18</v>
      </c>
      <c r="F962" s="1"/>
    </row>
    <row r="963" spans="1:6" ht="12.5">
      <c r="A963" s="1" t="str">
        <f ca="1">IFERROR(__xludf.DUMMYFUNCTION("""COMPUTED_VALUE"""),"20200330GANAS")</f>
        <v>20200330GANAS</v>
      </c>
      <c r="B963" s="1" t="str">
        <f ca="1">IFERROR(__xludf.DUMMYFUNCTION("""COMPUTED_VALUE"""),"Wounded")</f>
        <v>Wounded</v>
      </c>
      <c r="C963" s="1"/>
      <c r="D963" s="1" t="str">
        <f ca="1">IFERROR(__xludf.DUMMYFUNCTION("""COMPUTED_VALUE"""),"No Relation")</f>
        <v>No Relation</v>
      </c>
      <c r="E963" s="1"/>
      <c r="F963" s="1"/>
    </row>
    <row r="964" spans="1:6" ht="12.5">
      <c r="A964" s="1" t="str">
        <f ca="1">IFERROR(__xludf.DUMMYFUNCTION("""COMPUTED_VALUE"""),"20200330GANAS")</f>
        <v>20200330GANAS</v>
      </c>
      <c r="B964" s="1" t="str">
        <f ca="1">IFERROR(__xludf.DUMMYFUNCTION("""COMPUTED_VALUE"""),"Wounded")</f>
        <v>Wounded</v>
      </c>
      <c r="C964" s="1"/>
      <c r="D964" s="1" t="str">
        <f ca="1">IFERROR(__xludf.DUMMYFUNCTION("""COMPUTED_VALUE"""),"No Relation")</f>
        <v>No Relation</v>
      </c>
      <c r="E964" s="1"/>
      <c r="F964" s="1"/>
    </row>
    <row r="965" spans="1:6" ht="12.5">
      <c r="A965" s="1" t="str">
        <f ca="1">IFERROR(__xludf.DUMMYFUNCTION("""COMPUTED_VALUE"""),"20200330GANAS")</f>
        <v>20200330GANAS</v>
      </c>
      <c r="B965" s="1" t="str">
        <f ca="1">IFERROR(__xludf.DUMMYFUNCTION("""COMPUTED_VALUE"""),"Wounded")</f>
        <v>Wounded</v>
      </c>
      <c r="C965" s="1"/>
      <c r="D965" s="1" t="str">
        <f ca="1">IFERROR(__xludf.DUMMYFUNCTION("""COMPUTED_VALUE"""),"No Relation")</f>
        <v>No Relation</v>
      </c>
      <c r="E965" s="1"/>
      <c r="F965" s="1"/>
    </row>
    <row r="966" spans="1:6" ht="12.5">
      <c r="A966" s="1" t="str">
        <f ca="1">IFERROR(__xludf.DUMMYFUNCTION("""COMPUTED_VALUE"""),"20200324LAROM")</f>
        <v>20200324LAROM</v>
      </c>
      <c r="B966" s="1" t="str">
        <f ca="1">IFERROR(__xludf.DUMMYFUNCTION("""COMPUTED_VALUE"""),"Wounded")</f>
        <v>Wounded</v>
      </c>
      <c r="C966" s="1" t="str">
        <f ca="1">IFERROR(__xludf.DUMMYFUNCTION("""COMPUTED_VALUE"""),"Male")</f>
        <v>Male</v>
      </c>
      <c r="D966" s="1"/>
      <c r="E966" s="1"/>
      <c r="F966" s="1"/>
    </row>
    <row r="967" spans="1:6" ht="12.5">
      <c r="A967" s="1" t="str">
        <f ca="1">IFERROR(__xludf.DUMMYFUNCTION("""COMPUTED_VALUE"""),"20200318LABOS")</f>
        <v>20200318LABOS</v>
      </c>
      <c r="B967" s="1" t="str">
        <f ca="1">IFERROR(__xludf.DUMMYFUNCTION("""COMPUTED_VALUE"""),"Wounded")</f>
        <v>Wounded</v>
      </c>
      <c r="C967" s="1" t="str">
        <f ca="1">IFERROR(__xludf.DUMMYFUNCTION("""COMPUTED_VALUE"""),"Male")</f>
        <v>Male</v>
      </c>
      <c r="D967" s="1" t="str">
        <f ca="1">IFERROR(__xludf.DUMMYFUNCTION("""COMPUTED_VALUE"""),"Student")</f>
        <v>Student</v>
      </c>
      <c r="E967" s="1">
        <f ca="1">IFERROR(__xludf.DUMMYFUNCTION("""COMPUTED_VALUE"""),15)</f>
        <v>15</v>
      </c>
      <c r="F967" s="1"/>
    </row>
    <row r="968" spans="1:6" ht="12.5">
      <c r="A968" s="1" t="str">
        <f ca="1">IFERROR(__xludf.DUMMYFUNCTION("""COMPUTED_VALUE"""),"20200315TXATH")</f>
        <v>20200315TXATH</v>
      </c>
      <c r="B968" s="1" t="str">
        <f ca="1">IFERROR(__xludf.DUMMYFUNCTION("""COMPUTED_VALUE"""),"Fatal")</f>
        <v>Fatal</v>
      </c>
      <c r="C968" s="1" t="str">
        <f ca="1">IFERROR(__xludf.DUMMYFUNCTION("""COMPUTED_VALUE"""),"Male")</f>
        <v>Male</v>
      </c>
      <c r="D968" s="1" t="str">
        <f ca="1">IFERROR(__xludf.DUMMYFUNCTION("""COMPUTED_VALUE"""),"Former Teacher")</f>
        <v>Former Teacher</v>
      </c>
      <c r="E968" s="1">
        <f ca="1">IFERROR(__xludf.DUMMYFUNCTION("""COMPUTED_VALUE"""),19)</f>
        <v>19</v>
      </c>
      <c r="F968" s="1" t="str">
        <f ca="1">IFERROR(__xludf.DUMMYFUNCTION("""COMPUTED_VALUE"""),"Black")</f>
        <v>Black</v>
      </c>
    </row>
    <row r="969" spans="1:6" ht="12.5">
      <c r="A969" s="1" t="str">
        <f ca="1">IFERROR(__xludf.DUMMYFUNCTION("""COMPUTED_VALUE"""),"20200313TNPIR")</f>
        <v>20200313TNPIR</v>
      </c>
      <c r="B969" s="1" t="str">
        <f ca="1">IFERROR(__xludf.DUMMYFUNCTION("""COMPUTED_VALUE"""),"None")</f>
        <v>None</v>
      </c>
      <c r="C969" s="1"/>
      <c r="D969" s="1"/>
      <c r="E969" s="1"/>
      <c r="F969" s="1"/>
    </row>
    <row r="970" spans="1:6" ht="12.5">
      <c r="A970" s="1" t="str">
        <f ca="1">IFERROR(__xludf.DUMMYFUNCTION("""COMPUTED_VALUE"""),"20200310PASHN")</f>
        <v>20200310PASHN</v>
      </c>
      <c r="B970" s="1" t="str">
        <f ca="1">IFERROR(__xludf.DUMMYFUNCTION("""COMPUTED_VALUE"""),"None")</f>
        <v>None</v>
      </c>
      <c r="C970" s="1"/>
      <c r="D970" s="1"/>
      <c r="E970" s="1"/>
      <c r="F970" s="1"/>
    </row>
    <row r="971" spans="1:6" ht="12.5">
      <c r="A971" s="1" t="str">
        <f ca="1">IFERROR(__xludf.DUMMYFUNCTION("""COMPUTED_VALUE"""),"20200305FLSAW")</f>
        <v>20200305FLSAW</v>
      </c>
      <c r="B971" s="1" t="str">
        <f ca="1">IFERROR(__xludf.DUMMYFUNCTION("""COMPUTED_VALUE"""),"Wounded")</f>
        <v>Wounded</v>
      </c>
      <c r="C971" s="1" t="str">
        <f ca="1">IFERROR(__xludf.DUMMYFUNCTION("""COMPUTED_VALUE"""),"Male")</f>
        <v>Male</v>
      </c>
      <c r="D971" s="1" t="str">
        <f ca="1">IFERROR(__xludf.DUMMYFUNCTION("""COMPUTED_VALUE"""),"Police Officer/SRO")</f>
        <v>Police Officer/SRO</v>
      </c>
      <c r="E971" s="1"/>
      <c r="F971" s="1"/>
    </row>
    <row r="972" spans="1:6" ht="12.5">
      <c r="A972" s="1" t="str">
        <f ca="1">IFERROR(__xludf.DUMMYFUNCTION("""COMPUTED_VALUE"""),"20200302TXNOF")</f>
        <v>20200302TXNOF</v>
      </c>
      <c r="B972" s="1" t="str">
        <f ca="1">IFERROR(__xludf.DUMMYFUNCTION("""COMPUTED_VALUE"""),"None")</f>
        <v>None</v>
      </c>
      <c r="C972" s="1"/>
      <c r="D972" s="1"/>
      <c r="E972" s="1"/>
      <c r="F972" s="1"/>
    </row>
    <row r="973" spans="1:6" ht="12.5">
      <c r="A973" s="1" t="str">
        <f ca="1">IFERROR(__xludf.DUMMYFUNCTION("""COMPUTED_VALUE"""),"20200221NMCEA")</f>
        <v>20200221NMCEA</v>
      </c>
      <c r="B973" s="1" t="str">
        <f ca="1">IFERROR(__xludf.DUMMYFUNCTION("""COMPUTED_VALUE"""),"None")</f>
        <v>None</v>
      </c>
      <c r="C973" s="1"/>
      <c r="D973" s="1"/>
      <c r="E973" s="1"/>
      <c r="F973" s="1"/>
    </row>
    <row r="974" spans="1:6" ht="12.5">
      <c r="A974" s="1" t="str">
        <f ca="1">IFERROR(__xludf.DUMMYFUNCTION("""COMPUTED_VALUE"""),"20200215DCDUW")</f>
        <v>20200215DCDUW</v>
      </c>
      <c r="B974" s="1" t="str">
        <f ca="1">IFERROR(__xludf.DUMMYFUNCTION("""COMPUTED_VALUE"""),"Fatal")</f>
        <v>Fatal</v>
      </c>
      <c r="C974" s="1" t="str">
        <f ca="1">IFERROR(__xludf.DUMMYFUNCTION("""COMPUTED_VALUE"""),"Male")</f>
        <v>Male</v>
      </c>
      <c r="D974" s="1" t="str">
        <f ca="1">IFERROR(__xludf.DUMMYFUNCTION("""COMPUTED_VALUE"""),"Nonstudent Using Athletic Facilities/Attending Game")</f>
        <v>Nonstudent Using Athletic Facilities/Attending Game</v>
      </c>
      <c r="E974" s="1">
        <f ca="1">IFERROR(__xludf.DUMMYFUNCTION("""COMPUTED_VALUE"""),34)</f>
        <v>34</v>
      </c>
      <c r="F974" s="1"/>
    </row>
    <row r="975" spans="1:6" ht="12.5">
      <c r="A975" s="1" t="str">
        <f ca="1">IFERROR(__xludf.DUMMYFUNCTION("""COMPUTED_VALUE"""),"20200212MOJOF")</f>
        <v>20200212MOJOF</v>
      </c>
      <c r="B975" s="1" t="str">
        <f ca="1">IFERROR(__xludf.DUMMYFUNCTION("""COMPUTED_VALUE"""),"None")</f>
        <v>None</v>
      </c>
      <c r="C975" s="1"/>
      <c r="D975" s="1"/>
      <c r="E975" s="1"/>
      <c r="F975" s="1"/>
    </row>
    <row r="976" spans="1:6" ht="12.5">
      <c r="A976" s="1" t="str">
        <f ca="1">IFERROR(__xludf.DUMMYFUNCTION("""COMPUTED_VALUE"""),"20200205NHSEC")</f>
        <v>20200205NHSEC</v>
      </c>
      <c r="B976" s="1" t="str">
        <f ca="1">IFERROR(__xludf.DUMMYFUNCTION("""COMPUTED_VALUE"""),"None")</f>
        <v>None</v>
      </c>
      <c r="C976" s="1" t="str">
        <f ca="1">IFERROR(__xludf.DUMMYFUNCTION("""COMPUTED_VALUE"""),"Male")</f>
        <v>Male</v>
      </c>
      <c r="D976" s="1" t="str">
        <f ca="1">IFERROR(__xludf.DUMMYFUNCTION("""COMPUTED_VALUE"""),"Student")</f>
        <v>Student</v>
      </c>
      <c r="E976" s="1">
        <f ca="1">IFERROR(__xludf.DUMMYFUNCTION("""COMPUTED_VALUE"""),17)</f>
        <v>17</v>
      </c>
      <c r="F976" s="1"/>
    </row>
    <row r="977" spans="1:6" ht="12.5">
      <c r="A977" s="1" t="str">
        <f ca="1">IFERROR(__xludf.DUMMYFUNCTION("""COMPUTED_VALUE"""),"20200205NHSEC")</f>
        <v>20200205NHSEC</v>
      </c>
      <c r="B977" s="1" t="str">
        <f ca="1">IFERROR(__xludf.DUMMYFUNCTION("""COMPUTED_VALUE"""),"None")</f>
        <v>None</v>
      </c>
      <c r="C977" s="1" t="str">
        <f ca="1">IFERROR(__xludf.DUMMYFUNCTION("""COMPUTED_VALUE"""),"Female")</f>
        <v>Female</v>
      </c>
      <c r="D977" s="1" t="str">
        <f ca="1">IFERROR(__xludf.DUMMYFUNCTION("""COMPUTED_VALUE"""),"Teacher")</f>
        <v>Teacher</v>
      </c>
      <c r="E977" s="1" t="str">
        <f ca="1">IFERROR(__xludf.DUMMYFUNCTION("""COMPUTED_VALUE"""),"Adult")</f>
        <v>Adult</v>
      </c>
      <c r="F977" s="1"/>
    </row>
    <row r="978" spans="1:6" ht="12.5">
      <c r="A978" s="1" t="str">
        <f ca="1">IFERROR(__xludf.DUMMYFUNCTION("""COMPUTED_VALUE"""),"20200204LABEA")</f>
        <v>20200204LABEA</v>
      </c>
      <c r="B978" s="1" t="str">
        <f ca="1">IFERROR(__xludf.DUMMYFUNCTION("""COMPUTED_VALUE"""),"None")</f>
        <v>None</v>
      </c>
      <c r="C978" s="1"/>
      <c r="D978" s="1"/>
      <c r="E978" s="1"/>
      <c r="F978" s="1"/>
    </row>
    <row r="979" spans="1:6" ht="12.5">
      <c r="A979" s="1" t="str">
        <f ca="1">IFERROR(__xludf.DUMMYFUNCTION("""COMPUTED_VALUE"""),"20200203FLGEJ")</f>
        <v>20200203FLGEJ</v>
      </c>
      <c r="B979" s="1" t="str">
        <f ca="1">IFERROR(__xludf.DUMMYFUNCTION("""COMPUTED_VALUE"""),"Wounded")</f>
        <v>Wounded</v>
      </c>
      <c r="C979" s="1" t="str">
        <f ca="1">IFERROR(__xludf.DUMMYFUNCTION("""COMPUTED_VALUE"""),"Male")</f>
        <v>Male</v>
      </c>
      <c r="D979" s="1" t="str">
        <f ca="1">IFERROR(__xludf.DUMMYFUNCTION("""COMPUTED_VALUE"""),"No Relation")</f>
        <v>No Relation</v>
      </c>
      <c r="E979" s="1" t="str">
        <f ca="1">IFERROR(__xludf.DUMMYFUNCTION("""COMPUTED_VALUE"""),"Adult")</f>
        <v>Adult</v>
      </c>
      <c r="F979" s="1"/>
    </row>
    <row r="980" spans="1:6" ht="12.5">
      <c r="A980" s="1" t="str">
        <f ca="1">IFERROR(__xludf.DUMMYFUNCTION("""COMPUTED_VALUE"""),"20200201TXHIH")</f>
        <v>20200201TXHIH</v>
      </c>
      <c r="B980" s="1" t="str">
        <f ca="1">IFERROR(__xludf.DUMMYFUNCTION("""COMPUTED_VALUE"""),"Wounded")</f>
        <v>Wounded</v>
      </c>
      <c r="C980" s="1" t="str">
        <f ca="1">IFERROR(__xludf.DUMMYFUNCTION("""COMPUTED_VALUE"""),"Male")</f>
        <v>Male</v>
      </c>
      <c r="D980" s="1" t="str">
        <f ca="1">IFERROR(__xludf.DUMMYFUNCTION("""COMPUTED_VALUE"""),"No Relation")</f>
        <v>No Relation</v>
      </c>
      <c r="E980" s="1" t="str">
        <f ca="1">IFERROR(__xludf.DUMMYFUNCTION("""COMPUTED_VALUE"""),"Adult")</f>
        <v>Adult</v>
      </c>
      <c r="F980" s="1"/>
    </row>
    <row r="981" spans="1:6" ht="12.5">
      <c r="A981" s="1" t="str">
        <f ca="1">IFERROR(__xludf.DUMMYFUNCTION("""COMPUTED_VALUE"""),"20200131CADEA")</f>
        <v>20200131CADEA</v>
      </c>
      <c r="B981" s="1" t="str">
        <f ca="1">IFERROR(__xludf.DUMMYFUNCTION("""COMPUTED_VALUE"""),"Fatal")</f>
        <v>Fatal</v>
      </c>
      <c r="C981" s="1" t="str">
        <f ca="1">IFERROR(__xludf.DUMMYFUNCTION("""COMPUTED_VALUE"""),"Male")</f>
        <v>Male</v>
      </c>
      <c r="D981" s="1" t="str">
        <f ca="1">IFERROR(__xludf.DUMMYFUNCTION("""COMPUTED_VALUE"""),"Student")</f>
        <v>Student</v>
      </c>
      <c r="E981" s="1">
        <f ca="1">IFERROR(__xludf.DUMMYFUNCTION("""COMPUTED_VALUE"""),16)</f>
        <v>16</v>
      </c>
      <c r="F981" s="1"/>
    </row>
    <row r="982" spans="1:6" ht="12.5">
      <c r="A982" s="1" t="str">
        <f ca="1">IFERROR(__xludf.DUMMYFUNCTION("""COMPUTED_VALUE"""),"20200128TXLUL")</f>
        <v>20200128TXLUL</v>
      </c>
      <c r="B982" s="1" t="str">
        <f ca="1">IFERROR(__xludf.DUMMYFUNCTION("""COMPUTED_VALUE"""),"Wounded")</f>
        <v>Wounded</v>
      </c>
      <c r="C982" s="1" t="str">
        <f ca="1">IFERROR(__xludf.DUMMYFUNCTION("""COMPUTED_VALUE"""),"Male")</f>
        <v>Male</v>
      </c>
      <c r="D982" s="1" t="str">
        <f ca="1">IFERROR(__xludf.DUMMYFUNCTION("""COMPUTED_VALUE"""),"Student")</f>
        <v>Student</v>
      </c>
      <c r="E982" s="1">
        <f ca="1">IFERROR(__xludf.DUMMYFUNCTION("""COMPUTED_VALUE"""),17)</f>
        <v>17</v>
      </c>
      <c r="F982" s="1" t="str">
        <f ca="1">IFERROR(__xludf.DUMMYFUNCTION("""COMPUTED_VALUE"""),"Black")</f>
        <v>Black</v>
      </c>
    </row>
    <row r="983" spans="1:6" ht="12.5">
      <c r="A983" s="1" t="str">
        <f ca="1">IFERROR(__xludf.DUMMYFUNCTION("""COMPUTED_VALUE"""),"20200128TNWHM")</f>
        <v>20200128TNWHM</v>
      </c>
      <c r="B983" s="1" t="str">
        <f ca="1">IFERROR(__xludf.DUMMYFUNCTION("""COMPUTED_VALUE"""),"Wounded")</f>
        <v>Wounded</v>
      </c>
      <c r="C983" s="1" t="str">
        <f ca="1">IFERROR(__xludf.DUMMYFUNCTION("""COMPUTED_VALUE"""),"Male")</f>
        <v>Male</v>
      </c>
      <c r="D983" s="1"/>
      <c r="E983" s="1"/>
      <c r="F983" s="1"/>
    </row>
    <row r="984" spans="1:6" ht="12.5">
      <c r="A984" s="1" t="str">
        <f ca="1">IFERROR(__xludf.DUMMYFUNCTION("""COMPUTED_VALUE"""),"20200128NYMAQ")</f>
        <v>20200128NYMAQ</v>
      </c>
      <c r="B984" s="1" t="str">
        <f ca="1">IFERROR(__xludf.DUMMYFUNCTION("""COMPUTED_VALUE"""),"None")</f>
        <v>None</v>
      </c>
      <c r="C984" s="1" t="str">
        <f ca="1">IFERROR(__xludf.DUMMYFUNCTION("""COMPUTED_VALUE"""),"Male")</f>
        <v>Male</v>
      </c>
      <c r="D984" s="1" t="str">
        <f ca="1">IFERROR(__xludf.DUMMYFUNCTION("""COMPUTED_VALUE"""),"Student")</f>
        <v>Student</v>
      </c>
      <c r="E984" s="1">
        <f ca="1">IFERROR(__xludf.DUMMYFUNCTION("""COMPUTED_VALUE"""),16)</f>
        <v>16</v>
      </c>
      <c r="F984" s="1"/>
    </row>
    <row r="985" spans="1:6" ht="12.5">
      <c r="A985" s="1" t="str">
        <f ca="1">IFERROR(__xludf.DUMMYFUNCTION("""COMPUTED_VALUE"""),"20200127WAROY")</f>
        <v>20200127WAROY</v>
      </c>
      <c r="B985" s="1" t="str">
        <f ca="1">IFERROR(__xludf.DUMMYFUNCTION("""COMPUTED_VALUE"""),"None")</f>
        <v>None</v>
      </c>
      <c r="C985" s="1"/>
      <c r="D985" s="1"/>
      <c r="E985" s="1"/>
      <c r="F985" s="1"/>
    </row>
    <row r="986" spans="1:6" ht="12.5">
      <c r="A986" s="1" t="str">
        <f ca="1">IFERROR(__xludf.DUMMYFUNCTION("""COMPUTED_VALUE"""),"20200123CAOXO")</f>
        <v>20200123CAOXO</v>
      </c>
      <c r="B986" s="1" t="str">
        <f ca="1">IFERROR(__xludf.DUMMYFUNCTION("""COMPUTED_VALUE"""),"Wounded")</f>
        <v>Wounded</v>
      </c>
      <c r="C986" s="1" t="str">
        <f ca="1">IFERROR(__xludf.DUMMYFUNCTION("""COMPUTED_VALUE"""),"Female")</f>
        <v>Female</v>
      </c>
      <c r="D986" s="1" t="str">
        <f ca="1">IFERROR(__xludf.DUMMYFUNCTION("""COMPUTED_VALUE"""),"Student")</f>
        <v>Student</v>
      </c>
      <c r="E986" s="1">
        <f ca="1">IFERROR(__xludf.DUMMYFUNCTION("""COMPUTED_VALUE"""),9)</f>
        <v>9</v>
      </c>
      <c r="F986" s="1"/>
    </row>
    <row r="987" spans="1:6" ht="12.5">
      <c r="A987" s="1" t="str">
        <f ca="1">IFERROR(__xludf.DUMMYFUNCTION("""COMPUTED_VALUE"""),"20200121NEPAL")</f>
        <v>20200121NEPAL</v>
      </c>
      <c r="B987" s="1" t="str">
        <f ca="1">IFERROR(__xludf.DUMMYFUNCTION("""COMPUTED_VALUE"""),"None")</f>
        <v>None</v>
      </c>
      <c r="C987" s="1"/>
      <c r="D987" s="1"/>
      <c r="E987" s="1"/>
      <c r="F987" s="1"/>
    </row>
    <row r="988" spans="1:6" ht="12.5">
      <c r="A988" s="1" t="str">
        <f ca="1">IFERROR(__xludf.DUMMYFUNCTION("""COMPUTED_VALUE"""),"20200121ILLIC")</f>
        <v>20200121ILLIC</v>
      </c>
      <c r="B988" s="1" t="str">
        <f ca="1">IFERROR(__xludf.DUMMYFUNCTION("""COMPUTED_VALUE"""),"Wounded")</f>
        <v>Wounded</v>
      </c>
      <c r="C988" s="1" t="str">
        <f ca="1">IFERROR(__xludf.DUMMYFUNCTION("""COMPUTED_VALUE"""),"Male")</f>
        <v>Male</v>
      </c>
      <c r="D988" s="1" t="str">
        <f ca="1">IFERROR(__xludf.DUMMYFUNCTION("""COMPUTED_VALUE"""),"Student")</f>
        <v>Student</v>
      </c>
      <c r="E988" s="1">
        <f ca="1">IFERROR(__xludf.DUMMYFUNCTION("""COMPUTED_VALUE"""),17)</f>
        <v>17</v>
      </c>
      <c r="F988" s="1"/>
    </row>
    <row r="989" spans="1:6" ht="12.5">
      <c r="A989" s="1" t="str">
        <f ca="1">IFERROR(__xludf.DUMMYFUNCTION("""COMPUTED_VALUE"""),"20200119TXNOF")</f>
        <v>20200119TXNOF</v>
      </c>
      <c r="B989" s="1" t="str">
        <f ca="1">IFERROR(__xludf.DUMMYFUNCTION("""COMPUTED_VALUE"""),"Wounded")</f>
        <v>Wounded</v>
      </c>
      <c r="C989" s="1"/>
      <c r="D989" s="1" t="str">
        <f ca="1">IFERROR(__xludf.DUMMYFUNCTION("""COMPUTED_VALUE"""),"Nonstudent Using Athletic Facilities/Attending Game")</f>
        <v>Nonstudent Using Athletic Facilities/Attending Game</v>
      </c>
      <c r="E989" s="1" t="str">
        <f ca="1">IFERROR(__xludf.DUMMYFUNCTION("""COMPUTED_VALUE"""),"Adult")</f>
        <v>Adult</v>
      </c>
      <c r="F989" s="1"/>
    </row>
    <row r="990" spans="1:6" ht="12.5">
      <c r="A990" s="1" t="str">
        <f ca="1">IFERROR(__xludf.DUMMYFUNCTION("""COMPUTED_VALUE"""),"20200119TXNOF")</f>
        <v>20200119TXNOF</v>
      </c>
      <c r="B990" s="1" t="str">
        <f ca="1">IFERROR(__xludf.DUMMYFUNCTION("""COMPUTED_VALUE"""),"Wounded")</f>
        <v>Wounded</v>
      </c>
      <c r="C990" s="1"/>
      <c r="D990" s="1" t="str">
        <f ca="1">IFERROR(__xludf.DUMMYFUNCTION("""COMPUTED_VALUE"""),"Nonstudent Using Athletic Facilities/Attending Game")</f>
        <v>Nonstudent Using Athletic Facilities/Attending Game</v>
      </c>
      <c r="E990" s="1">
        <f ca="1">IFERROR(__xludf.DUMMYFUNCTION("""COMPUTED_VALUE"""),10)</f>
        <v>10</v>
      </c>
      <c r="F990" s="1"/>
    </row>
    <row r="991" spans="1:6" ht="12.5">
      <c r="A991" s="1" t="str">
        <f ca="1">IFERROR(__xludf.DUMMYFUNCTION("""COMPUTED_VALUE"""),"20200117SCCAS")</f>
        <v>20200117SCCAS</v>
      </c>
      <c r="B991" s="1" t="str">
        <f ca="1">IFERROR(__xludf.DUMMYFUNCTION("""COMPUTED_VALUE"""),"None")</f>
        <v>None</v>
      </c>
      <c r="C991" s="1" t="str">
        <f ca="1">IFERROR(__xludf.DUMMYFUNCTION("""COMPUTED_VALUE"""),"Male")</f>
        <v>Male</v>
      </c>
      <c r="D991" s="1" t="str">
        <f ca="1">IFERROR(__xludf.DUMMYFUNCTION("""COMPUTED_VALUE"""),"Student")</f>
        <v>Student</v>
      </c>
      <c r="E991" s="1">
        <f ca="1">IFERROR(__xludf.DUMMYFUNCTION("""COMPUTED_VALUE"""),16)</f>
        <v>16</v>
      </c>
      <c r="F991" s="1"/>
    </row>
    <row r="992" spans="1:6" ht="12.5">
      <c r="A992" s="1" t="str">
        <f ca="1">IFERROR(__xludf.DUMMYFUNCTION("""COMPUTED_VALUE"""),"20200117MITHH")</f>
        <v>20200117MITHH</v>
      </c>
      <c r="B992" s="1" t="str">
        <f ca="1">IFERROR(__xludf.DUMMYFUNCTION("""COMPUTED_VALUE"""),"Wounded")</f>
        <v>Wounded</v>
      </c>
      <c r="C992" s="1" t="str">
        <f ca="1">IFERROR(__xludf.DUMMYFUNCTION("""COMPUTED_VALUE"""),"Male")</f>
        <v>Male</v>
      </c>
      <c r="D992" s="1" t="str">
        <f ca="1">IFERROR(__xludf.DUMMYFUNCTION("""COMPUTED_VALUE"""),"Parent")</f>
        <v>Parent</v>
      </c>
      <c r="E992" s="1" t="str">
        <f ca="1">IFERROR(__xludf.DUMMYFUNCTION("""COMPUTED_VALUE"""),"Adult")</f>
        <v>Adult</v>
      </c>
      <c r="F992" s="1"/>
    </row>
    <row r="993" spans="1:6" ht="12.5">
      <c r="A993" s="1" t="str">
        <f ca="1">IFERROR(__xludf.DUMMYFUNCTION("""COMPUTED_VALUE"""),"20200114TXPOM")</f>
        <v>20200114TXPOM</v>
      </c>
      <c r="B993" s="1" t="str">
        <f ca="1">IFERROR(__xludf.DUMMYFUNCTION("""COMPUTED_VALUE"""),"None")</f>
        <v>None</v>
      </c>
      <c r="C993" s="1"/>
      <c r="D993" s="1"/>
      <c r="E993" s="1"/>
      <c r="F993" s="1"/>
    </row>
    <row r="994" spans="1:6" ht="12.5">
      <c r="A994" s="1" t="str">
        <f ca="1">IFERROR(__xludf.DUMMYFUNCTION("""COMPUTED_VALUE"""),"20200114TXBEH")</f>
        <v>20200114TXBEH</v>
      </c>
      <c r="B994" s="1" t="str">
        <f ca="1">IFERROR(__xludf.DUMMYFUNCTION("""COMPUTED_VALUE"""),"Fatal")</f>
        <v>Fatal</v>
      </c>
      <c r="C994" s="1" t="str">
        <f ca="1">IFERROR(__xludf.DUMMYFUNCTION("""COMPUTED_VALUE"""),"Male")</f>
        <v>Male</v>
      </c>
      <c r="D994" s="1" t="str">
        <f ca="1">IFERROR(__xludf.DUMMYFUNCTION("""COMPUTED_VALUE"""),"Student")</f>
        <v>Student</v>
      </c>
      <c r="E994" s="1">
        <f ca="1">IFERROR(__xludf.DUMMYFUNCTION("""COMPUTED_VALUE"""),19)</f>
        <v>19</v>
      </c>
      <c r="F994" s="1"/>
    </row>
    <row r="995" spans="1:6" ht="12.5">
      <c r="A995" s="1" t="str">
        <f ca="1">IFERROR(__xludf.DUMMYFUNCTION("""COMPUTED_VALUE"""),"20200111TXELD")</f>
        <v>20200111TXELD</v>
      </c>
      <c r="B995" s="1" t="str">
        <f ca="1">IFERROR(__xludf.DUMMYFUNCTION("""COMPUTED_VALUE"""),"Fatal")</f>
        <v>Fatal</v>
      </c>
      <c r="C995" s="1" t="str">
        <f ca="1">IFERROR(__xludf.DUMMYFUNCTION("""COMPUTED_VALUE"""),"Male")</f>
        <v>Male</v>
      </c>
      <c r="D995" s="1" t="str">
        <f ca="1">IFERROR(__xludf.DUMMYFUNCTION("""COMPUTED_VALUE"""),"Former Student")</f>
        <v>Former Student</v>
      </c>
      <c r="E995" s="1">
        <f ca="1">IFERROR(__xludf.DUMMYFUNCTION("""COMPUTED_VALUE"""),18)</f>
        <v>18</v>
      </c>
      <c r="F995" s="1"/>
    </row>
    <row r="996" spans="1:6" ht="12.5">
      <c r="A996" s="1" t="str">
        <f ca="1">IFERROR(__xludf.DUMMYFUNCTION("""COMPUTED_VALUE"""),"20200111TXELD")</f>
        <v>20200111TXELD</v>
      </c>
      <c r="B996" s="1" t="str">
        <f ca="1">IFERROR(__xludf.DUMMYFUNCTION("""COMPUTED_VALUE"""),"Wounded")</f>
        <v>Wounded</v>
      </c>
      <c r="C996" s="1" t="str">
        <f ca="1">IFERROR(__xludf.DUMMYFUNCTION("""COMPUTED_VALUE"""),"Male")</f>
        <v>Male</v>
      </c>
      <c r="D996" s="1" t="str">
        <f ca="1">IFERROR(__xludf.DUMMYFUNCTION("""COMPUTED_VALUE"""),"Police Officer/SRO")</f>
        <v>Police Officer/SRO</v>
      </c>
      <c r="E996" s="1" t="str">
        <f ca="1">IFERROR(__xludf.DUMMYFUNCTION("""COMPUTED_VALUE"""),"Officer")</f>
        <v>Officer</v>
      </c>
      <c r="F996" s="1"/>
    </row>
    <row r="997" spans="1:6" ht="12.5">
      <c r="A997" s="1" t="str">
        <f ca="1">IFERROR(__xludf.DUMMYFUNCTION("""COMPUTED_VALUE"""),"20200110MSMCJ")</f>
        <v>20200110MSMCJ</v>
      </c>
      <c r="B997" s="1" t="str">
        <f ca="1">IFERROR(__xludf.DUMMYFUNCTION("""COMPUTED_VALUE"""),"Wounded")</f>
        <v>Wounded</v>
      </c>
      <c r="C997" s="1" t="str">
        <f ca="1">IFERROR(__xludf.DUMMYFUNCTION("""COMPUTED_VALUE"""),"Male")</f>
        <v>Male</v>
      </c>
      <c r="D997" s="1" t="str">
        <f ca="1">IFERROR(__xludf.DUMMYFUNCTION("""COMPUTED_VALUE"""),"Student")</f>
        <v>Student</v>
      </c>
      <c r="E997" s="1" t="str">
        <f ca="1">IFERROR(__xludf.DUMMYFUNCTION("""COMPUTED_VALUE"""),"Teen")</f>
        <v>Teen</v>
      </c>
      <c r="F997" s="1"/>
    </row>
    <row r="998" spans="1:6" ht="12.5">
      <c r="A998" s="1" t="str">
        <f ca="1">IFERROR(__xludf.DUMMYFUNCTION("""COMPUTED_VALUE"""),"20200108FLGLB")</f>
        <v>20200108FLGLB</v>
      </c>
      <c r="B998" s="1" t="str">
        <f ca="1">IFERROR(__xludf.DUMMYFUNCTION("""COMPUTED_VALUE"""),"None")</f>
        <v>None</v>
      </c>
      <c r="C998" s="1"/>
      <c r="D998" s="1"/>
      <c r="E998" s="1"/>
      <c r="F998" s="1"/>
    </row>
    <row r="999" spans="1:6" ht="12.5">
      <c r="A999" s="1" t="str">
        <f ca="1">IFERROR(__xludf.DUMMYFUNCTION("""COMPUTED_VALUE"""),"20200107WASOK")</f>
        <v>20200107WASOK</v>
      </c>
      <c r="B999" s="1" t="str">
        <f ca="1">IFERROR(__xludf.DUMMYFUNCTION("""COMPUTED_VALUE"""),"None")</f>
        <v>None</v>
      </c>
      <c r="C999" s="1"/>
      <c r="D999" s="1"/>
      <c r="E999" s="1"/>
      <c r="F999" s="1"/>
    </row>
    <row r="1000" spans="1:6" ht="12.5">
      <c r="A1000" s="1" t="str">
        <f ca="1">IFERROR(__xludf.DUMMYFUNCTION("""COMPUTED_VALUE"""),"20191228MOMAS")</f>
        <v>20191228MOMAS</v>
      </c>
      <c r="B1000" s="1" t="str">
        <f ca="1">IFERROR(__xludf.DUMMYFUNCTION("""COMPUTED_VALUE"""),"Fatal")</f>
        <v>Fatal</v>
      </c>
      <c r="C1000" s="1" t="str">
        <f ca="1">IFERROR(__xludf.DUMMYFUNCTION("""COMPUTED_VALUE"""),"Male")</f>
        <v>Male</v>
      </c>
      <c r="D1000" s="1" t="str">
        <f ca="1">IFERROR(__xludf.DUMMYFUNCTION("""COMPUTED_VALUE"""),"Student")</f>
        <v>Student</v>
      </c>
      <c r="E1000" s="1">
        <f ca="1">IFERROR(__xludf.DUMMYFUNCTION("""COMPUTED_VALUE"""),13)</f>
        <v>13</v>
      </c>
      <c r="F1000" s="1" t="str">
        <f ca="1">IFERROR(__xludf.DUMMYFUNCTION("""COMPUTED_VALUE"""),"Black")</f>
        <v>Black</v>
      </c>
    </row>
    <row r="1001" spans="1:6" ht="12.5">
      <c r="A1001" s="1" t="str">
        <f ca="1">IFERROR(__xludf.DUMMYFUNCTION("""COMPUTED_VALUE"""),"20191221LAWES")</f>
        <v>20191221LAWES</v>
      </c>
      <c r="B1001" s="1" t="str">
        <f ca="1">IFERROR(__xludf.DUMMYFUNCTION("""COMPUTED_VALUE"""),"Wounded")</f>
        <v>Wounded</v>
      </c>
      <c r="C1001" s="1"/>
      <c r="D1001" s="1" t="str">
        <f ca="1">IFERROR(__xludf.DUMMYFUNCTION("""COMPUTED_VALUE"""),"Nonstudent Using Athletic Facilities/Attending Game")</f>
        <v>Nonstudent Using Athletic Facilities/Attending Game</v>
      </c>
      <c r="E1001" s="1" t="str">
        <f ca="1">IFERROR(__xludf.DUMMYFUNCTION("""COMPUTED_VALUE"""),"Adult")</f>
        <v>Adult</v>
      </c>
      <c r="F1001" s="1"/>
    </row>
    <row r="1002" spans="1:6" ht="12.5">
      <c r="A1002" s="1" t="str">
        <f ca="1">IFERROR(__xludf.DUMMYFUNCTION("""COMPUTED_VALUE"""),"20191221LAWES")</f>
        <v>20191221LAWES</v>
      </c>
      <c r="B1002" s="1" t="str">
        <f ca="1">IFERROR(__xludf.DUMMYFUNCTION("""COMPUTED_VALUE"""),"Wounded")</f>
        <v>Wounded</v>
      </c>
      <c r="C1002" s="1"/>
      <c r="D1002" s="1" t="str">
        <f ca="1">IFERROR(__xludf.DUMMYFUNCTION("""COMPUTED_VALUE"""),"Nonstudent Using Athletic Facilities/Attending Game")</f>
        <v>Nonstudent Using Athletic Facilities/Attending Game</v>
      </c>
      <c r="E1002" s="1" t="str">
        <f ca="1">IFERROR(__xludf.DUMMYFUNCTION("""COMPUTED_VALUE"""),"Adult")</f>
        <v>Adult</v>
      </c>
      <c r="F1002" s="1"/>
    </row>
    <row r="1003" spans="1:6" ht="12.5">
      <c r="A1003" s="1" t="str">
        <f ca="1">IFERROR(__xludf.DUMMYFUNCTION("""COMPUTED_VALUE"""),"20191221LAWES")</f>
        <v>20191221LAWES</v>
      </c>
      <c r="B1003" s="1" t="str">
        <f ca="1">IFERROR(__xludf.DUMMYFUNCTION("""COMPUTED_VALUE"""),"Wounded")</f>
        <v>Wounded</v>
      </c>
      <c r="C1003" s="1"/>
      <c r="D1003" s="1" t="str">
        <f ca="1">IFERROR(__xludf.DUMMYFUNCTION("""COMPUTED_VALUE"""),"Nonstudent Using Athletic Facilities/Attending Game")</f>
        <v>Nonstudent Using Athletic Facilities/Attending Game</v>
      </c>
      <c r="E1003" s="1" t="str">
        <f ca="1">IFERROR(__xludf.DUMMYFUNCTION("""COMPUTED_VALUE"""),"Adult")</f>
        <v>Adult</v>
      </c>
      <c r="F1003" s="1"/>
    </row>
    <row r="1004" spans="1:6" ht="12.5">
      <c r="A1004" s="1" t="str">
        <f ca="1">IFERROR(__xludf.DUMMYFUNCTION("""COMPUTED_VALUE"""),"20191221LAWES")</f>
        <v>20191221LAWES</v>
      </c>
      <c r="B1004" s="1" t="str">
        <f ca="1">IFERROR(__xludf.DUMMYFUNCTION("""COMPUTED_VALUE"""),"Wounded")</f>
        <v>Wounded</v>
      </c>
      <c r="C1004" s="1"/>
      <c r="D1004" s="1" t="str">
        <f ca="1">IFERROR(__xludf.DUMMYFUNCTION("""COMPUTED_VALUE"""),"Nonstudent Using Athletic Facilities/Attending Game")</f>
        <v>Nonstudent Using Athletic Facilities/Attending Game</v>
      </c>
      <c r="E1004" s="1" t="str">
        <f ca="1">IFERROR(__xludf.DUMMYFUNCTION("""COMPUTED_VALUE"""),"Adult")</f>
        <v>Adult</v>
      </c>
      <c r="F1004" s="1"/>
    </row>
    <row r="1005" spans="1:6" ht="12.5">
      <c r="A1005" s="1" t="str">
        <f ca="1">IFERROR(__xludf.DUMMYFUNCTION("""COMPUTED_VALUE"""),"20191219FLLEN")</f>
        <v>20191219FLLEN</v>
      </c>
      <c r="B1005" s="1" t="str">
        <f ca="1">IFERROR(__xludf.DUMMYFUNCTION("""COMPUTED_VALUE"""),"Fatal")</f>
        <v>Fatal</v>
      </c>
      <c r="C1005" s="1" t="str">
        <f ca="1">IFERROR(__xludf.DUMMYFUNCTION("""COMPUTED_VALUE"""),"Female")</f>
        <v>Female</v>
      </c>
      <c r="D1005" s="1" t="str">
        <f ca="1">IFERROR(__xludf.DUMMYFUNCTION("""COMPUTED_VALUE"""),"Student")</f>
        <v>Student</v>
      </c>
      <c r="E1005" s="1" t="str">
        <f ca="1">IFERROR(__xludf.DUMMYFUNCTION("""COMPUTED_VALUE"""),"Adult")</f>
        <v>Adult</v>
      </c>
      <c r="F1005" s="1"/>
    </row>
    <row r="1006" spans="1:6" ht="12.5">
      <c r="A1006" s="1" t="str">
        <f ca="1">IFERROR(__xludf.DUMMYFUNCTION("""COMPUTED_VALUE"""),"20191216CTCAN")</f>
        <v>20191216CTCAN</v>
      </c>
      <c r="B1006" s="1" t="str">
        <f ca="1">IFERROR(__xludf.DUMMYFUNCTION("""COMPUTED_VALUE"""),"Wounded")</f>
        <v>Wounded</v>
      </c>
      <c r="C1006" s="1" t="str">
        <f ca="1">IFERROR(__xludf.DUMMYFUNCTION("""COMPUTED_VALUE"""),"Male")</f>
        <v>Male</v>
      </c>
      <c r="D1006" s="1" t="str">
        <f ca="1">IFERROR(__xludf.DUMMYFUNCTION("""COMPUTED_VALUE"""),"Parent")</f>
        <v>Parent</v>
      </c>
      <c r="E1006" s="1" t="str">
        <f ca="1">IFERROR(__xludf.DUMMYFUNCTION("""COMPUTED_VALUE"""),"Adult")</f>
        <v>Adult</v>
      </c>
      <c r="F1006" s="1"/>
    </row>
    <row r="1007" spans="1:6" ht="12.5">
      <c r="A1007" s="1" t="str">
        <f ca="1">IFERROR(__xludf.DUMMYFUNCTION("""COMPUTED_VALUE"""),"20191213VAMAN")</f>
        <v>20191213VAMAN</v>
      </c>
      <c r="B1007" s="1" t="str">
        <f ca="1">IFERROR(__xludf.DUMMYFUNCTION("""COMPUTED_VALUE"""),"None")</f>
        <v>None</v>
      </c>
      <c r="C1007" s="1" t="str">
        <f ca="1">IFERROR(__xludf.DUMMYFUNCTION("""COMPUTED_VALUE"""),"Male")</f>
        <v>Male</v>
      </c>
      <c r="D1007" s="1" t="str">
        <f ca="1">IFERROR(__xludf.DUMMYFUNCTION("""COMPUTED_VALUE"""),"Student")</f>
        <v>Student</v>
      </c>
      <c r="E1007" s="1">
        <f ca="1">IFERROR(__xludf.DUMMYFUNCTION("""COMPUTED_VALUE"""),17)</f>
        <v>17</v>
      </c>
      <c r="F1007" s="1"/>
    </row>
    <row r="1008" spans="1:6" ht="12.5">
      <c r="A1008" s="1" t="str">
        <f ca="1">IFERROR(__xludf.DUMMYFUNCTION("""COMPUTED_VALUE"""),"20191211KSCHT")</f>
        <v>20191211KSCHT</v>
      </c>
      <c r="B1008" s="1" t="str">
        <f ca="1">IFERROR(__xludf.DUMMYFUNCTION("""COMPUTED_VALUE"""),"None")</f>
        <v>None</v>
      </c>
      <c r="C1008" s="1"/>
      <c r="D1008" s="1"/>
      <c r="E1008" s="1"/>
      <c r="F1008" s="1"/>
    </row>
    <row r="1009" spans="1:6" ht="12.5">
      <c r="A1009" s="1" t="str">
        <f ca="1">IFERROR(__xludf.DUMMYFUNCTION("""COMPUTED_VALUE"""),"20191211INEVE")</f>
        <v>20191211INEVE</v>
      </c>
      <c r="B1009" s="1" t="str">
        <f ca="1">IFERROR(__xludf.DUMMYFUNCTION("""COMPUTED_VALUE"""),"None")</f>
        <v>None</v>
      </c>
      <c r="C1009" s="1"/>
      <c r="D1009" s="1"/>
      <c r="E1009" s="1"/>
      <c r="F1009" s="1"/>
    </row>
    <row r="1010" spans="1:6" ht="12.5">
      <c r="A1010" s="1" t="str">
        <f ca="1">IFERROR(__xludf.DUMMYFUNCTION("""COMPUTED_VALUE"""),"20191210NJSAJ")</f>
        <v>20191210NJSAJ</v>
      </c>
      <c r="B1010" s="1" t="str">
        <f ca="1">IFERROR(__xludf.DUMMYFUNCTION("""COMPUTED_VALUE"""),"None")</f>
        <v>None</v>
      </c>
      <c r="C1010" s="1"/>
      <c r="D1010" s="1"/>
      <c r="E1010" s="1"/>
      <c r="F1010" s="1"/>
    </row>
    <row r="1011" spans="1:6" ht="12.5">
      <c r="A1011" s="1" t="str">
        <f ca="1">IFERROR(__xludf.DUMMYFUNCTION("""COMPUTED_VALUE"""),"20191210KSJCK")</f>
        <v>20191210KSJCK</v>
      </c>
      <c r="B1011" s="1" t="str">
        <f ca="1">IFERROR(__xludf.DUMMYFUNCTION("""COMPUTED_VALUE"""),"None")</f>
        <v>None</v>
      </c>
      <c r="C1011" s="1"/>
      <c r="D1011" s="1"/>
      <c r="E1011" s="1"/>
      <c r="F1011" s="1"/>
    </row>
    <row r="1012" spans="1:6" ht="12.5">
      <c r="A1012" s="1" t="str">
        <f ca="1">IFERROR(__xludf.DUMMYFUNCTION("""COMPUTED_VALUE"""),"20191210ALDED")</f>
        <v>20191210ALDED</v>
      </c>
      <c r="B1012" s="1" t="str">
        <f ca="1">IFERROR(__xludf.DUMMYFUNCTION("""COMPUTED_VALUE"""),"None")</f>
        <v>None</v>
      </c>
      <c r="C1012" s="1"/>
      <c r="D1012" s="1"/>
      <c r="E1012" s="1"/>
      <c r="F1012" s="1"/>
    </row>
    <row r="1013" spans="1:6" ht="12.5">
      <c r="A1013" s="1" t="str">
        <f ca="1">IFERROR(__xludf.DUMMYFUNCTION("""COMPUTED_VALUE"""),"20191204NMPIL")</f>
        <v>20191204NMPIL</v>
      </c>
      <c r="B1013" s="1" t="str">
        <f ca="1">IFERROR(__xludf.DUMMYFUNCTION("""COMPUTED_VALUE"""),"None")</f>
        <v>None</v>
      </c>
      <c r="C1013" s="1"/>
      <c r="D1013" s="1"/>
      <c r="E1013" s="1"/>
      <c r="F1013" s="1"/>
    </row>
    <row r="1014" spans="1:6" ht="12.5">
      <c r="A1014" s="1" t="str">
        <f ca="1">IFERROR(__xludf.DUMMYFUNCTION("""COMPUTED_VALUE"""),"20191203WITHM")</f>
        <v>20191203WITHM</v>
      </c>
      <c r="B1014" s="1" t="str">
        <f ca="1">IFERROR(__xludf.DUMMYFUNCTION("""COMPUTED_VALUE"""),"Wounded")</f>
        <v>Wounded</v>
      </c>
      <c r="C1014" s="1" t="str">
        <f ca="1">IFERROR(__xludf.DUMMYFUNCTION("""COMPUTED_VALUE"""),"Female")</f>
        <v>Female</v>
      </c>
      <c r="D1014" s="1" t="str">
        <f ca="1">IFERROR(__xludf.DUMMYFUNCTION("""COMPUTED_VALUE"""),"Student")</f>
        <v>Student</v>
      </c>
      <c r="E1014" s="1" t="str">
        <f ca="1">IFERROR(__xludf.DUMMYFUNCTION("""COMPUTED_VALUE"""),"Teen")</f>
        <v>Teen</v>
      </c>
      <c r="F1014" s="1"/>
    </row>
    <row r="1015" spans="1:6" ht="12.5">
      <c r="A1015" s="1" t="str">
        <f ca="1">IFERROR(__xludf.DUMMYFUNCTION("""COMPUTED_VALUE"""),"20191203WITHM")</f>
        <v>20191203WITHM</v>
      </c>
      <c r="B1015" s="1" t="str">
        <f ca="1">IFERROR(__xludf.DUMMYFUNCTION("""COMPUTED_VALUE"""),"Wounded")</f>
        <v>Wounded</v>
      </c>
      <c r="C1015" s="1" t="str">
        <f ca="1">IFERROR(__xludf.DUMMYFUNCTION("""COMPUTED_VALUE"""),"Female")</f>
        <v>Female</v>
      </c>
      <c r="D1015" s="1" t="str">
        <f ca="1">IFERROR(__xludf.DUMMYFUNCTION("""COMPUTED_VALUE"""),"Student")</f>
        <v>Student</v>
      </c>
      <c r="E1015" s="1" t="str">
        <f ca="1">IFERROR(__xludf.DUMMYFUNCTION("""COMPUTED_VALUE"""),"Teen")</f>
        <v>Teen</v>
      </c>
      <c r="F1015" s="1"/>
    </row>
    <row r="1016" spans="1:6" ht="12.5">
      <c r="A1016" s="1" t="str">
        <f ca="1">IFERROR(__xludf.DUMMYFUNCTION("""COMPUTED_VALUE"""),"20191203WIOSO")</f>
        <v>20191203WIOSO</v>
      </c>
      <c r="B1016" s="1" t="str">
        <f ca="1">IFERROR(__xludf.DUMMYFUNCTION("""COMPUTED_VALUE"""),"Wounded")</f>
        <v>Wounded</v>
      </c>
      <c r="C1016" s="1" t="str">
        <f ca="1">IFERROR(__xludf.DUMMYFUNCTION("""COMPUTED_VALUE"""),"Male")</f>
        <v>Male</v>
      </c>
      <c r="D1016" s="1" t="str">
        <f ca="1">IFERROR(__xludf.DUMMYFUNCTION("""COMPUTED_VALUE"""),"Student")</f>
        <v>Student</v>
      </c>
      <c r="E1016" s="1">
        <f ca="1">IFERROR(__xludf.DUMMYFUNCTION("""COMPUTED_VALUE"""),16)</f>
        <v>16</v>
      </c>
      <c r="F1016" s="1"/>
    </row>
    <row r="1017" spans="1:6" ht="12.5">
      <c r="A1017" s="1" t="str">
        <f ca="1">IFERROR(__xludf.DUMMYFUNCTION("""COMPUTED_VALUE"""),"20191202WIWAW")</f>
        <v>20191202WIWAW</v>
      </c>
      <c r="B1017" s="1" t="str">
        <f ca="1">IFERROR(__xludf.DUMMYFUNCTION("""COMPUTED_VALUE"""),"None")</f>
        <v>None</v>
      </c>
      <c r="C1017" s="1" t="str">
        <f ca="1">IFERROR(__xludf.DUMMYFUNCTION("""COMPUTED_VALUE"""),"Male")</f>
        <v>Male</v>
      </c>
      <c r="D1017" s="1" t="str">
        <f ca="1">IFERROR(__xludf.DUMMYFUNCTION("""COMPUTED_VALUE"""),"Student")</f>
        <v>Student</v>
      </c>
      <c r="E1017" s="1">
        <f ca="1">IFERROR(__xludf.DUMMYFUNCTION("""COMPUTED_VALUE"""),18)</f>
        <v>18</v>
      </c>
      <c r="F1017" s="1"/>
    </row>
    <row r="1018" spans="1:6" ht="12.5">
      <c r="A1018" s="1" t="str">
        <f ca="1">IFERROR(__xludf.DUMMYFUNCTION("""COMPUTED_VALUE"""),"20191201ALMOM")</f>
        <v>20191201ALMOM</v>
      </c>
      <c r="B1018" s="1" t="str">
        <f ca="1">IFERROR(__xludf.DUMMYFUNCTION("""COMPUTED_VALUE"""),"Fatal")</f>
        <v>Fatal</v>
      </c>
      <c r="C1018" s="1" t="str">
        <f ca="1">IFERROR(__xludf.DUMMYFUNCTION("""COMPUTED_VALUE"""),"Female")</f>
        <v>Female</v>
      </c>
      <c r="D1018" s="1" t="str">
        <f ca="1">IFERROR(__xludf.DUMMYFUNCTION("""COMPUTED_VALUE"""),"No Relation")</f>
        <v>No Relation</v>
      </c>
      <c r="E1018" s="1">
        <f ca="1">IFERROR(__xludf.DUMMYFUNCTION("""COMPUTED_VALUE"""),31)</f>
        <v>31</v>
      </c>
      <c r="F1018" s="1" t="str">
        <f ca="1">IFERROR(__xludf.DUMMYFUNCTION("""COMPUTED_VALUE"""),"White")</f>
        <v>White</v>
      </c>
    </row>
    <row r="1019" spans="1:6" ht="12.5">
      <c r="A1019" s="1" t="str">
        <f ca="1">IFERROR(__xludf.DUMMYFUNCTION("""COMPUTED_VALUE"""),"20191126WASAV")</f>
        <v>20191126WASAV</v>
      </c>
      <c r="B1019" s="1" t="str">
        <f ca="1">IFERROR(__xludf.DUMMYFUNCTION("""COMPUTED_VALUE"""),"Wounded")</f>
        <v>Wounded</v>
      </c>
      <c r="C1019" s="1" t="str">
        <f ca="1">IFERROR(__xludf.DUMMYFUNCTION("""COMPUTED_VALUE"""),"Female")</f>
        <v>Female</v>
      </c>
      <c r="D1019" s="1" t="str">
        <f ca="1">IFERROR(__xludf.DUMMYFUNCTION("""COMPUTED_VALUE"""),"Parent")</f>
        <v>Parent</v>
      </c>
      <c r="E1019" s="1" t="str">
        <f ca="1">IFERROR(__xludf.DUMMYFUNCTION("""COMPUTED_VALUE"""),"Adult")</f>
        <v>Adult</v>
      </c>
      <c r="F1019" s="1"/>
    </row>
    <row r="1020" spans="1:6" ht="12.5">
      <c r="A1020" s="1" t="str">
        <f ca="1">IFERROR(__xludf.DUMMYFUNCTION("""COMPUTED_VALUE"""),"20191126WASAV")</f>
        <v>20191126WASAV</v>
      </c>
      <c r="B1020" s="1" t="str">
        <f ca="1">IFERROR(__xludf.DUMMYFUNCTION("""COMPUTED_VALUE"""),"Wounded")</f>
        <v>Wounded</v>
      </c>
      <c r="C1020" s="1" t="str">
        <f ca="1">IFERROR(__xludf.DUMMYFUNCTION("""COMPUTED_VALUE"""),"Female")</f>
        <v>Female</v>
      </c>
      <c r="D1020" s="1" t="str">
        <f ca="1">IFERROR(__xludf.DUMMYFUNCTION("""COMPUTED_VALUE"""),"Parent")</f>
        <v>Parent</v>
      </c>
      <c r="E1020" s="1" t="str">
        <f ca="1">IFERROR(__xludf.DUMMYFUNCTION("""COMPUTED_VALUE"""),"Adult")</f>
        <v>Adult</v>
      </c>
      <c r="F1020" s="1"/>
    </row>
    <row r="1021" spans="1:6" ht="12.5">
      <c r="A1021" s="1" t="str">
        <f ca="1">IFERROR(__xludf.DUMMYFUNCTION("""COMPUTED_VALUE"""),"20191125ILCAC")</f>
        <v>20191125ILCAC</v>
      </c>
      <c r="B1021" s="1" t="str">
        <f ca="1">IFERROR(__xludf.DUMMYFUNCTION("""COMPUTED_VALUE"""),"Wounded")</f>
        <v>Wounded</v>
      </c>
      <c r="C1021" s="1" t="str">
        <f ca="1">IFERROR(__xludf.DUMMYFUNCTION("""COMPUTED_VALUE"""),"Male")</f>
        <v>Male</v>
      </c>
      <c r="D1021" s="1" t="str">
        <f ca="1">IFERROR(__xludf.DUMMYFUNCTION("""COMPUTED_VALUE"""),"No Relation")</f>
        <v>No Relation</v>
      </c>
      <c r="E1021" s="1">
        <f ca="1">IFERROR(__xludf.DUMMYFUNCTION("""COMPUTED_VALUE"""),37)</f>
        <v>37</v>
      </c>
      <c r="F1021" s="1"/>
    </row>
    <row r="1022" spans="1:6" ht="12.5">
      <c r="A1022" s="1" t="str">
        <f ca="1">IFERROR(__xludf.DUMMYFUNCTION("""COMPUTED_VALUE"""),"20191124CASEU")</f>
        <v>20191124CASEU</v>
      </c>
      <c r="B1022" s="1" t="str">
        <f ca="1">IFERROR(__xludf.DUMMYFUNCTION("""COMPUTED_VALUE"""),"Fatal")</f>
        <v>Fatal</v>
      </c>
      <c r="C1022" s="1" t="str">
        <f ca="1">IFERROR(__xludf.DUMMYFUNCTION("""COMPUTED_VALUE"""),"Male")</f>
        <v>Male</v>
      </c>
      <c r="D1022" s="1" t="str">
        <f ca="1">IFERROR(__xludf.DUMMYFUNCTION("""COMPUTED_VALUE"""),"No Relation")</f>
        <v>No Relation</v>
      </c>
      <c r="E1022" s="1">
        <f ca="1">IFERROR(__xludf.DUMMYFUNCTION("""COMPUTED_VALUE"""),14)</f>
        <v>14</v>
      </c>
      <c r="F1022" s="1"/>
    </row>
    <row r="1023" spans="1:6" ht="12.5">
      <c r="A1023" s="1" t="str">
        <f ca="1">IFERROR(__xludf.DUMMYFUNCTION("""COMPUTED_VALUE"""),"20191124CASEU")</f>
        <v>20191124CASEU</v>
      </c>
      <c r="B1023" s="1" t="str">
        <f ca="1">IFERROR(__xludf.DUMMYFUNCTION("""COMPUTED_VALUE"""),"Fatal")</f>
        <v>Fatal</v>
      </c>
      <c r="C1023" s="1" t="str">
        <f ca="1">IFERROR(__xludf.DUMMYFUNCTION("""COMPUTED_VALUE"""),"Male")</f>
        <v>Male</v>
      </c>
      <c r="D1023" s="1" t="str">
        <f ca="1">IFERROR(__xludf.DUMMYFUNCTION("""COMPUTED_VALUE"""),"No Relation")</f>
        <v>No Relation</v>
      </c>
      <c r="E1023" s="1">
        <f ca="1">IFERROR(__xludf.DUMMYFUNCTION("""COMPUTED_VALUE"""),11)</f>
        <v>11</v>
      </c>
      <c r="F1023" s="1"/>
    </row>
    <row r="1024" spans="1:6" ht="12.5">
      <c r="A1024" s="1" t="str">
        <f ca="1">IFERROR(__xludf.DUMMYFUNCTION("""COMPUTED_VALUE"""),"20191121ILRIO")</f>
        <v>20191121ILRIO</v>
      </c>
      <c r="B1024" s="1" t="str">
        <f ca="1">IFERROR(__xludf.DUMMYFUNCTION("""COMPUTED_VALUE"""),"Wounded")</f>
        <v>Wounded</v>
      </c>
      <c r="C1024" s="1"/>
      <c r="D1024" s="1" t="str">
        <f ca="1">IFERROR(__xludf.DUMMYFUNCTION("""COMPUTED_VALUE"""),"Student")</f>
        <v>Student</v>
      </c>
      <c r="E1024" s="1">
        <f ca="1">IFERROR(__xludf.DUMMYFUNCTION("""COMPUTED_VALUE"""),14)</f>
        <v>14</v>
      </c>
      <c r="F1024" s="1"/>
    </row>
    <row r="1025" spans="1:6" ht="12.5">
      <c r="A1025" s="1" t="str">
        <f ca="1">IFERROR(__xludf.DUMMYFUNCTION("""COMPUTED_VALUE"""),"20191115NJPLP")</f>
        <v>20191115NJPLP</v>
      </c>
      <c r="B1025" s="1" t="str">
        <f ca="1">IFERROR(__xludf.DUMMYFUNCTION("""COMPUTED_VALUE"""),"Fatal")</f>
        <v>Fatal</v>
      </c>
      <c r="C1025" s="1" t="str">
        <f ca="1">IFERROR(__xludf.DUMMYFUNCTION("""COMPUTED_VALUE"""),"Male")</f>
        <v>Male</v>
      </c>
      <c r="D1025" s="1" t="str">
        <f ca="1">IFERROR(__xludf.DUMMYFUNCTION("""COMPUTED_VALUE"""),"Relative")</f>
        <v>Relative</v>
      </c>
      <c r="E1025" s="1">
        <f ca="1">IFERROR(__xludf.DUMMYFUNCTION("""COMPUTED_VALUE"""),10)</f>
        <v>10</v>
      </c>
      <c r="F1025" s="1"/>
    </row>
    <row r="1026" spans="1:6" ht="12.5">
      <c r="A1026" s="1" t="str">
        <f ca="1">IFERROR(__xludf.DUMMYFUNCTION("""COMPUTED_VALUE"""),"20191115NJPLP")</f>
        <v>20191115NJPLP</v>
      </c>
      <c r="B1026" s="1" t="str">
        <f ca="1">IFERROR(__xludf.DUMMYFUNCTION("""COMPUTED_VALUE"""),"Wounded")</f>
        <v>Wounded</v>
      </c>
      <c r="C1026" s="1" t="str">
        <f ca="1">IFERROR(__xludf.DUMMYFUNCTION("""COMPUTED_VALUE"""),"Male")</f>
        <v>Male</v>
      </c>
      <c r="D1026" s="1" t="str">
        <f ca="1">IFERROR(__xludf.DUMMYFUNCTION("""COMPUTED_VALUE"""),"Student")</f>
        <v>Student</v>
      </c>
      <c r="E1026" s="1">
        <f ca="1">IFERROR(__xludf.DUMMYFUNCTION("""COMPUTED_VALUE"""),15)</f>
        <v>15</v>
      </c>
      <c r="F1026" s="1"/>
    </row>
    <row r="1027" spans="1:6" ht="12.5">
      <c r="A1027" s="1" t="str">
        <f ca="1">IFERROR(__xludf.DUMMYFUNCTION("""COMPUTED_VALUE"""),"20191115NJPLP")</f>
        <v>20191115NJPLP</v>
      </c>
      <c r="B1027" s="1" t="str">
        <f ca="1">IFERROR(__xludf.DUMMYFUNCTION("""COMPUTED_VALUE"""),"Wounded")</f>
        <v>Wounded</v>
      </c>
      <c r="C1027" s="1" t="str">
        <f ca="1">IFERROR(__xludf.DUMMYFUNCTION("""COMPUTED_VALUE"""),"Male")</f>
        <v>Male</v>
      </c>
      <c r="D1027" s="1" t="str">
        <f ca="1">IFERROR(__xludf.DUMMYFUNCTION("""COMPUTED_VALUE"""),"Nonstudent Using Athletic Facilities/Attending Game")</f>
        <v>Nonstudent Using Athletic Facilities/Attending Game</v>
      </c>
      <c r="E1027" s="1">
        <f ca="1">IFERROR(__xludf.DUMMYFUNCTION("""COMPUTED_VALUE"""),27)</f>
        <v>27</v>
      </c>
      <c r="F1027" s="1"/>
    </row>
    <row r="1028" spans="1:6" ht="12.5">
      <c r="A1028" s="1" t="str">
        <f ca="1">IFERROR(__xludf.DUMMYFUNCTION("""COMPUTED_VALUE"""),"20191114CASAS")</f>
        <v>20191114CASAS</v>
      </c>
      <c r="B1028" s="1" t="str">
        <f ca="1">IFERROR(__xludf.DUMMYFUNCTION("""COMPUTED_VALUE"""),"Fatal")</f>
        <v>Fatal</v>
      </c>
      <c r="C1028" s="1" t="str">
        <f ca="1">IFERROR(__xludf.DUMMYFUNCTION("""COMPUTED_VALUE"""),"Female")</f>
        <v>Female</v>
      </c>
      <c r="D1028" s="1" t="str">
        <f ca="1">IFERROR(__xludf.DUMMYFUNCTION("""COMPUTED_VALUE"""),"Student")</f>
        <v>Student</v>
      </c>
      <c r="E1028" s="1">
        <f ca="1">IFERROR(__xludf.DUMMYFUNCTION("""COMPUTED_VALUE"""),15)</f>
        <v>15</v>
      </c>
      <c r="F1028" s="1"/>
    </row>
    <row r="1029" spans="1:6" ht="12.5">
      <c r="A1029" s="1" t="str">
        <f ca="1">IFERROR(__xludf.DUMMYFUNCTION("""COMPUTED_VALUE"""),"20191114CASAS")</f>
        <v>20191114CASAS</v>
      </c>
      <c r="B1029" s="1" t="str">
        <f ca="1">IFERROR(__xludf.DUMMYFUNCTION("""COMPUTED_VALUE"""),"Wounded")</f>
        <v>Wounded</v>
      </c>
      <c r="C1029" s="1" t="str">
        <f ca="1">IFERROR(__xludf.DUMMYFUNCTION("""COMPUTED_VALUE"""),"Female")</f>
        <v>Female</v>
      </c>
      <c r="D1029" s="1" t="str">
        <f ca="1">IFERROR(__xludf.DUMMYFUNCTION("""COMPUTED_VALUE"""),"Student")</f>
        <v>Student</v>
      </c>
      <c r="E1029" s="1">
        <f ca="1">IFERROR(__xludf.DUMMYFUNCTION("""COMPUTED_VALUE"""),15)</f>
        <v>15</v>
      </c>
      <c r="F1029" s="1"/>
    </row>
    <row r="1030" spans="1:6" ht="12.5">
      <c r="A1030" s="1" t="str">
        <f ca="1">IFERROR(__xludf.DUMMYFUNCTION("""COMPUTED_VALUE"""),"20191114CASAS")</f>
        <v>20191114CASAS</v>
      </c>
      <c r="B1030" s="1" t="str">
        <f ca="1">IFERROR(__xludf.DUMMYFUNCTION("""COMPUTED_VALUE"""),"Wounded")</f>
        <v>Wounded</v>
      </c>
      <c r="C1030" s="1" t="str">
        <f ca="1">IFERROR(__xludf.DUMMYFUNCTION("""COMPUTED_VALUE"""),"Female")</f>
        <v>Female</v>
      </c>
      <c r="D1030" s="1" t="str">
        <f ca="1">IFERROR(__xludf.DUMMYFUNCTION("""COMPUTED_VALUE"""),"Student")</f>
        <v>Student</v>
      </c>
      <c r="E1030" s="1">
        <f ca="1">IFERROR(__xludf.DUMMYFUNCTION("""COMPUTED_VALUE"""),14)</f>
        <v>14</v>
      </c>
      <c r="F1030" s="1"/>
    </row>
    <row r="1031" spans="1:6" ht="12.5">
      <c r="A1031" s="1" t="str">
        <f ca="1">IFERROR(__xludf.DUMMYFUNCTION("""COMPUTED_VALUE"""),"20191114CASAS")</f>
        <v>20191114CASAS</v>
      </c>
      <c r="B1031" s="1" t="str">
        <f ca="1">IFERROR(__xludf.DUMMYFUNCTION("""COMPUTED_VALUE"""),"Wounded")</f>
        <v>Wounded</v>
      </c>
      <c r="C1031" s="1" t="str">
        <f ca="1">IFERROR(__xludf.DUMMYFUNCTION("""COMPUTED_VALUE"""),"Male")</f>
        <v>Male</v>
      </c>
      <c r="D1031" s="1" t="str">
        <f ca="1">IFERROR(__xludf.DUMMYFUNCTION("""COMPUTED_VALUE"""),"Student")</f>
        <v>Student</v>
      </c>
      <c r="E1031" s="1">
        <f ca="1">IFERROR(__xludf.DUMMYFUNCTION("""COMPUTED_VALUE"""),14)</f>
        <v>14</v>
      </c>
      <c r="F1031" s="1"/>
    </row>
    <row r="1032" spans="1:6" ht="12.5">
      <c r="A1032" s="1" t="str">
        <f ca="1">IFERROR(__xludf.DUMMYFUNCTION("""COMPUTED_VALUE"""),"20191114CASAS")</f>
        <v>20191114CASAS</v>
      </c>
      <c r="B1032" s="1" t="str">
        <f ca="1">IFERROR(__xludf.DUMMYFUNCTION("""COMPUTED_VALUE"""),"Fatal")</f>
        <v>Fatal</v>
      </c>
      <c r="C1032" s="1" t="str">
        <f ca="1">IFERROR(__xludf.DUMMYFUNCTION("""COMPUTED_VALUE"""),"Male")</f>
        <v>Male</v>
      </c>
      <c r="D1032" s="1" t="str">
        <f ca="1">IFERROR(__xludf.DUMMYFUNCTION("""COMPUTED_VALUE"""),"Student")</f>
        <v>Student</v>
      </c>
      <c r="E1032" s="1">
        <f ca="1">IFERROR(__xludf.DUMMYFUNCTION("""COMPUTED_VALUE"""),14)</f>
        <v>14</v>
      </c>
      <c r="F1032" s="1"/>
    </row>
    <row r="1033" spans="1:6" ht="12.5">
      <c r="A1033" s="1" t="str">
        <f ca="1">IFERROR(__xludf.DUMMYFUNCTION("""COMPUTED_VALUE"""),"20191113CAESL")</f>
        <v>20191113CAESL</v>
      </c>
      <c r="B1033" s="1" t="str">
        <f ca="1">IFERROR(__xludf.DUMMYFUNCTION("""COMPUTED_VALUE"""),"Fatal")</f>
        <v>Fatal</v>
      </c>
      <c r="C1033" s="1" t="str">
        <f ca="1">IFERROR(__xludf.DUMMYFUNCTION("""COMPUTED_VALUE"""),"Male")</f>
        <v>Male</v>
      </c>
      <c r="D1033" s="1" t="str">
        <f ca="1">IFERROR(__xludf.DUMMYFUNCTION("""COMPUTED_VALUE"""),"No Relation")</f>
        <v>No Relation</v>
      </c>
      <c r="E1033" s="1" t="str">
        <f ca="1">IFERROR(__xludf.DUMMYFUNCTION("""COMPUTED_VALUE"""),"Adult")</f>
        <v>Adult</v>
      </c>
      <c r="F1033" s="1"/>
    </row>
    <row r="1034" spans="1:6" ht="12.5">
      <c r="A1034" s="1" t="str">
        <f ca="1">IFERROR(__xludf.DUMMYFUNCTION("""COMPUTED_VALUE"""),"20191111MDACB")</f>
        <v>20191111MDACB</v>
      </c>
      <c r="B1034" s="1" t="str">
        <f ca="1">IFERROR(__xludf.DUMMYFUNCTION("""COMPUTED_VALUE"""),"Wounded")</f>
        <v>Wounded</v>
      </c>
      <c r="C1034" s="1" t="str">
        <f ca="1">IFERROR(__xludf.DUMMYFUNCTION("""COMPUTED_VALUE"""),"Male")</f>
        <v>Male</v>
      </c>
      <c r="D1034" s="1" t="str">
        <f ca="1">IFERROR(__xludf.DUMMYFUNCTION("""COMPUTED_VALUE"""),"Student")</f>
        <v>Student</v>
      </c>
      <c r="E1034" s="1">
        <f ca="1">IFERROR(__xludf.DUMMYFUNCTION("""COMPUTED_VALUE"""),19)</f>
        <v>19</v>
      </c>
      <c r="F1034" s="1"/>
    </row>
    <row r="1035" spans="1:6" ht="12.5">
      <c r="A1035" s="1" t="str">
        <f ca="1">IFERROR(__xludf.DUMMYFUNCTION("""COMPUTED_VALUE"""),"20191108TXROD")</f>
        <v>20191108TXROD</v>
      </c>
      <c r="B1035" s="1" t="str">
        <f ca="1">IFERROR(__xludf.DUMMYFUNCTION("""COMPUTED_VALUE"""),"Fatal")</f>
        <v>Fatal</v>
      </c>
      <c r="C1035" s="1" t="str">
        <f ca="1">IFERROR(__xludf.DUMMYFUNCTION("""COMPUTED_VALUE"""),"Male")</f>
        <v>Male</v>
      </c>
      <c r="D1035" s="1" t="str">
        <f ca="1">IFERROR(__xludf.DUMMYFUNCTION("""COMPUTED_VALUE"""),"Former Student")</f>
        <v>Former Student</v>
      </c>
      <c r="E1035" s="1">
        <f ca="1">IFERROR(__xludf.DUMMYFUNCTION("""COMPUTED_VALUE"""),15)</f>
        <v>15</v>
      </c>
      <c r="F1035" s="1" t="str">
        <f ca="1">IFERROR(__xludf.DUMMYFUNCTION("""COMPUTED_VALUE"""),"Black")</f>
        <v>Black</v>
      </c>
    </row>
    <row r="1036" spans="1:6" ht="12.5">
      <c r="A1036" s="1" t="str">
        <f ca="1">IFERROR(__xludf.DUMMYFUNCTION("""COMPUTED_VALUE"""),"20191108CAEDS")</f>
        <v>20191108CAEDS</v>
      </c>
      <c r="B1036" s="1" t="str">
        <f ca="1">IFERROR(__xludf.DUMMYFUNCTION("""COMPUTED_VALUE"""),"None")</f>
        <v>None</v>
      </c>
      <c r="C1036" s="1"/>
      <c r="D1036" s="1"/>
      <c r="E1036" s="1"/>
      <c r="F1036" s="1"/>
    </row>
    <row r="1037" spans="1:6" ht="12.5">
      <c r="A1037" s="1" t="str">
        <f ca="1">IFERROR(__xludf.DUMMYFUNCTION("""COMPUTED_VALUE"""),"20191029NYNEN")</f>
        <v>20191029NYNEN</v>
      </c>
      <c r="B1037" s="1" t="str">
        <f ca="1">IFERROR(__xludf.DUMMYFUNCTION("""COMPUTED_VALUE"""),"Wounded")</f>
        <v>Wounded</v>
      </c>
      <c r="C1037" s="1" t="str">
        <f ca="1">IFERROR(__xludf.DUMMYFUNCTION("""COMPUTED_VALUE"""),"Female")</f>
        <v>Female</v>
      </c>
      <c r="D1037" s="1" t="str">
        <f ca="1">IFERROR(__xludf.DUMMYFUNCTION("""COMPUTED_VALUE"""),"Student")</f>
        <v>Student</v>
      </c>
      <c r="E1037" s="1">
        <f ca="1">IFERROR(__xludf.DUMMYFUNCTION("""COMPUTED_VALUE"""),16)</f>
        <v>16</v>
      </c>
      <c r="F1037" s="1"/>
    </row>
    <row r="1038" spans="1:6" ht="12.5">
      <c r="A1038" s="1" t="str">
        <f ca="1">IFERROR(__xludf.DUMMYFUNCTION("""COMPUTED_VALUE"""),"20191027MDLAL")</f>
        <v>20191027MDLAL</v>
      </c>
      <c r="B1038" s="1" t="str">
        <f ca="1">IFERROR(__xludf.DUMMYFUNCTION("""COMPUTED_VALUE"""),"Wounded")</f>
        <v>Wounded</v>
      </c>
      <c r="C1038" s="1" t="str">
        <f ca="1">IFERROR(__xludf.DUMMYFUNCTION("""COMPUTED_VALUE"""),"Female")</f>
        <v>Female</v>
      </c>
      <c r="D1038" s="1" t="str">
        <f ca="1">IFERROR(__xludf.DUMMYFUNCTION("""COMPUTED_VALUE"""),"No Relation")</f>
        <v>No Relation</v>
      </c>
      <c r="E1038" s="1">
        <f ca="1">IFERROR(__xludf.DUMMYFUNCTION("""COMPUTED_VALUE"""),38)</f>
        <v>38</v>
      </c>
      <c r="F1038" s="1"/>
    </row>
    <row r="1039" spans="1:6" ht="12.5">
      <c r="A1039" s="1" t="str">
        <f ca="1">IFERROR(__xludf.DUMMYFUNCTION("""COMPUTED_VALUE"""),"20191022NJBRB")</f>
        <v>20191022NJBRB</v>
      </c>
      <c r="B1039" s="1" t="str">
        <f ca="1">IFERROR(__xludf.DUMMYFUNCTION("""COMPUTED_VALUE"""),"Wounded")</f>
        <v>Wounded</v>
      </c>
      <c r="C1039" s="1" t="str">
        <f ca="1">IFERROR(__xludf.DUMMYFUNCTION("""COMPUTED_VALUE"""),"Male")</f>
        <v>Male</v>
      </c>
      <c r="D1039" s="1" t="str">
        <f ca="1">IFERROR(__xludf.DUMMYFUNCTION("""COMPUTED_VALUE"""),"Student")</f>
        <v>Student</v>
      </c>
      <c r="E1039" s="1" t="str">
        <f ca="1">IFERROR(__xludf.DUMMYFUNCTION("""COMPUTED_VALUE"""),"Teen")</f>
        <v>Teen</v>
      </c>
      <c r="F1039" s="1"/>
    </row>
    <row r="1040" spans="1:6" ht="12.5">
      <c r="A1040" s="1" t="str">
        <f ca="1">IFERROR(__xludf.DUMMYFUNCTION("""COMPUTED_VALUE"""),"20191022CARIS")</f>
        <v>20191022CARIS</v>
      </c>
      <c r="B1040" s="1" t="str">
        <f ca="1">IFERROR(__xludf.DUMMYFUNCTION("""COMPUTED_VALUE"""),"Wounded")</f>
        <v>Wounded</v>
      </c>
      <c r="C1040" s="1" t="str">
        <f ca="1">IFERROR(__xludf.DUMMYFUNCTION("""COMPUTED_VALUE"""),"Male")</f>
        <v>Male</v>
      </c>
      <c r="D1040" s="1" t="str">
        <f ca="1">IFERROR(__xludf.DUMMYFUNCTION("""COMPUTED_VALUE"""),"Student")</f>
        <v>Student</v>
      </c>
      <c r="E1040" s="1">
        <f ca="1">IFERROR(__xludf.DUMMYFUNCTION("""COMPUTED_VALUE"""),16)</f>
        <v>16</v>
      </c>
      <c r="F1040" s="1"/>
    </row>
    <row r="1041" spans="1:6" ht="12.5">
      <c r="A1041" s="1" t="str">
        <f ca="1">IFERROR(__xludf.DUMMYFUNCTION("""COMPUTED_VALUE"""),"20191018OHWOT")</f>
        <v>20191018OHWOT</v>
      </c>
      <c r="B1041" s="1" t="str">
        <f ca="1">IFERROR(__xludf.DUMMYFUNCTION("""COMPUTED_VALUE"""),"None")</f>
        <v>None</v>
      </c>
      <c r="C1041" s="1"/>
      <c r="D1041" s="1"/>
      <c r="E1041" s="1"/>
      <c r="F1041" s="1"/>
    </row>
    <row r="1042" spans="1:6" ht="12.5">
      <c r="A1042" s="1" t="str">
        <f ca="1">IFERROR(__xludf.DUMMYFUNCTION("""COMPUTED_VALUE"""),"20191018GACRS")</f>
        <v>20191018GACRS</v>
      </c>
      <c r="B1042" s="1" t="str">
        <f ca="1">IFERROR(__xludf.DUMMYFUNCTION("""COMPUTED_VALUE"""),"Wounded")</f>
        <v>Wounded</v>
      </c>
      <c r="C1042" s="1" t="str">
        <f ca="1">IFERROR(__xludf.DUMMYFUNCTION("""COMPUTED_VALUE"""),"Male")</f>
        <v>Male</v>
      </c>
      <c r="D1042" s="1"/>
      <c r="E1042" s="1"/>
      <c r="F1042" s="1"/>
    </row>
    <row r="1043" spans="1:6" ht="12.5">
      <c r="A1043" s="1" t="str">
        <f ca="1">IFERROR(__xludf.DUMMYFUNCTION("""COMPUTED_VALUE"""),"20191015LAGEN")</f>
        <v>20191015LAGEN</v>
      </c>
      <c r="B1043" s="1" t="str">
        <f ca="1">IFERROR(__xludf.DUMMYFUNCTION("""COMPUTED_VALUE"""),"Wounded")</f>
        <v>Wounded</v>
      </c>
      <c r="C1043" s="1" t="str">
        <f ca="1">IFERROR(__xludf.DUMMYFUNCTION("""COMPUTED_VALUE"""),"Male")</f>
        <v>Male</v>
      </c>
      <c r="D1043" s="1" t="str">
        <f ca="1">IFERROR(__xludf.DUMMYFUNCTION("""COMPUTED_VALUE"""),"Student")</f>
        <v>Student</v>
      </c>
      <c r="E1043" s="1">
        <f ca="1">IFERROR(__xludf.DUMMYFUNCTION("""COMPUTED_VALUE"""),17)</f>
        <v>17</v>
      </c>
      <c r="F1043" s="1"/>
    </row>
    <row r="1044" spans="1:6" ht="12.5">
      <c r="A1044" s="1" t="str">
        <f ca="1">IFERROR(__xludf.DUMMYFUNCTION("""COMPUTED_VALUE"""),"20191011LARAR")</f>
        <v>20191011LARAR</v>
      </c>
      <c r="B1044" s="1" t="str">
        <f ca="1">IFERROR(__xludf.DUMMYFUNCTION("""COMPUTED_VALUE"""),"None")</f>
        <v>None</v>
      </c>
      <c r="C1044" s="1"/>
      <c r="D1044" s="1"/>
      <c r="E1044" s="1"/>
      <c r="F1044" s="1"/>
    </row>
    <row r="1045" spans="1:6" ht="12.5">
      <c r="A1045" s="1" t="str">
        <f ca="1">IFERROR(__xludf.DUMMYFUNCTION("""COMPUTED_VALUE"""),"20191009MAGRL")</f>
        <v>20191009MAGRL</v>
      </c>
      <c r="B1045" s="1" t="str">
        <f ca="1">IFERROR(__xludf.DUMMYFUNCTION("""COMPUTED_VALUE"""),"Wounded")</f>
        <v>Wounded</v>
      </c>
      <c r="C1045" s="1"/>
      <c r="D1045" s="1" t="str">
        <f ca="1">IFERROR(__xludf.DUMMYFUNCTION("""COMPUTED_VALUE"""),"Student")</f>
        <v>Student</v>
      </c>
      <c r="E1045" s="1" t="str">
        <f ca="1">IFERROR(__xludf.DUMMYFUNCTION("""COMPUTED_VALUE"""),"Child")</f>
        <v>Child</v>
      </c>
      <c r="F1045" s="1"/>
    </row>
    <row r="1046" spans="1:6" ht="12.5">
      <c r="A1046" s="1" t="str">
        <f ca="1">IFERROR(__xludf.DUMMYFUNCTION("""COMPUTED_VALUE"""),"20191009MAGRL")</f>
        <v>20191009MAGRL</v>
      </c>
      <c r="B1046" s="1" t="str">
        <f ca="1">IFERROR(__xludf.DUMMYFUNCTION("""COMPUTED_VALUE"""),"Wounded")</f>
        <v>Wounded</v>
      </c>
      <c r="C1046" s="1"/>
      <c r="D1046" s="1" t="str">
        <f ca="1">IFERROR(__xludf.DUMMYFUNCTION("""COMPUTED_VALUE"""),"Student")</f>
        <v>Student</v>
      </c>
      <c r="E1046" s="1" t="str">
        <f ca="1">IFERROR(__xludf.DUMMYFUNCTION("""COMPUTED_VALUE"""),"Child")</f>
        <v>Child</v>
      </c>
      <c r="F1046" s="1"/>
    </row>
    <row r="1047" spans="1:6" ht="12.5">
      <c r="A1047" s="1" t="str">
        <f ca="1">IFERROR(__xludf.DUMMYFUNCTION("""COMPUTED_VALUE"""),"20191009MAGRL")</f>
        <v>20191009MAGRL</v>
      </c>
      <c r="B1047" s="1" t="str">
        <f ca="1">IFERROR(__xludf.DUMMYFUNCTION("""COMPUTED_VALUE"""),"Wounded")</f>
        <v>Wounded</v>
      </c>
      <c r="C1047" s="1"/>
      <c r="D1047" s="1" t="str">
        <f ca="1">IFERROR(__xludf.DUMMYFUNCTION("""COMPUTED_VALUE"""),"Student")</f>
        <v>Student</v>
      </c>
      <c r="E1047" s="1" t="str">
        <f ca="1">IFERROR(__xludf.DUMMYFUNCTION("""COMPUTED_VALUE"""),"Child")</f>
        <v>Child</v>
      </c>
      <c r="F1047" s="1"/>
    </row>
    <row r="1048" spans="1:6" ht="12.5">
      <c r="A1048" s="1" t="str">
        <f ca="1">IFERROR(__xludf.DUMMYFUNCTION("""COMPUTED_VALUE"""),"20191009MAGRL")</f>
        <v>20191009MAGRL</v>
      </c>
      <c r="B1048" s="1" t="str">
        <f ca="1">IFERROR(__xludf.DUMMYFUNCTION("""COMPUTED_VALUE"""),"Wounded")</f>
        <v>Wounded</v>
      </c>
      <c r="C1048" s="1"/>
      <c r="D1048" s="1" t="str">
        <f ca="1">IFERROR(__xludf.DUMMYFUNCTION("""COMPUTED_VALUE"""),"Student")</f>
        <v>Student</v>
      </c>
      <c r="E1048" s="1" t="str">
        <f ca="1">IFERROR(__xludf.DUMMYFUNCTION("""COMPUTED_VALUE"""),"Child")</f>
        <v>Child</v>
      </c>
      <c r="F1048" s="1"/>
    </row>
    <row r="1049" spans="1:6" ht="12.5">
      <c r="A1049" s="1" t="str">
        <f ca="1">IFERROR(__xludf.DUMMYFUNCTION("""COMPUTED_VALUE"""),"20191009MAGRL")</f>
        <v>20191009MAGRL</v>
      </c>
      <c r="B1049" s="1" t="str">
        <f ca="1">IFERROR(__xludf.DUMMYFUNCTION("""COMPUTED_VALUE"""),"Wounded")</f>
        <v>Wounded</v>
      </c>
      <c r="C1049" s="1"/>
      <c r="D1049" s="1" t="str">
        <f ca="1">IFERROR(__xludf.DUMMYFUNCTION("""COMPUTED_VALUE"""),"Student")</f>
        <v>Student</v>
      </c>
      <c r="E1049" s="1" t="str">
        <f ca="1">IFERROR(__xludf.DUMMYFUNCTION("""COMPUTED_VALUE"""),"Child")</f>
        <v>Child</v>
      </c>
      <c r="F1049" s="1"/>
    </row>
    <row r="1050" spans="1:6" ht="12.5">
      <c r="A1050" s="1" t="str">
        <f ca="1">IFERROR(__xludf.DUMMYFUNCTION("""COMPUTED_VALUE"""),"20191008TXWEH")</f>
        <v>20191008TXWEH</v>
      </c>
      <c r="B1050" s="1" t="str">
        <f ca="1">IFERROR(__xludf.DUMMYFUNCTION("""COMPUTED_VALUE"""),"Wounded")</f>
        <v>Wounded</v>
      </c>
      <c r="C1050" s="1"/>
      <c r="D1050" s="1" t="str">
        <f ca="1">IFERROR(__xludf.DUMMYFUNCTION("""COMPUTED_VALUE"""),"Student")</f>
        <v>Student</v>
      </c>
      <c r="E1050" s="1" t="str">
        <f ca="1">IFERROR(__xludf.DUMMYFUNCTION("""COMPUTED_VALUE"""),"Teen")</f>
        <v>Teen</v>
      </c>
      <c r="F1050" s="1"/>
    </row>
    <row r="1051" spans="1:6" ht="12.5">
      <c r="A1051" s="1" t="str">
        <f ca="1">IFERROR(__xludf.DUMMYFUNCTION("""COMPUTED_VALUE"""),"20191008COSHS")</f>
        <v>20191008COSHS</v>
      </c>
      <c r="B1051" s="1" t="str">
        <f ca="1">IFERROR(__xludf.DUMMYFUNCTION("""COMPUTED_VALUE"""),"Wounded")</f>
        <v>Wounded</v>
      </c>
      <c r="C1051" s="1" t="str">
        <f ca="1">IFERROR(__xludf.DUMMYFUNCTION("""COMPUTED_VALUE"""),"Male")</f>
        <v>Male</v>
      </c>
      <c r="D1051" s="1" t="str">
        <f ca="1">IFERROR(__xludf.DUMMYFUNCTION("""COMPUTED_VALUE"""),"Rival School Student")</f>
        <v>Rival School Student</v>
      </c>
      <c r="E1051" s="1" t="str">
        <f ca="1">IFERROR(__xludf.DUMMYFUNCTION("""COMPUTED_VALUE"""),"Teen")</f>
        <v>Teen</v>
      </c>
      <c r="F1051" s="1"/>
    </row>
    <row r="1052" spans="1:6" ht="12.5">
      <c r="A1052" s="1" t="str">
        <f ca="1">IFERROR(__xludf.DUMMYFUNCTION("""COMPUTED_VALUE"""),"20191002GASOA")</f>
        <v>20191002GASOA</v>
      </c>
      <c r="B1052" s="1" t="str">
        <f ca="1">IFERROR(__xludf.DUMMYFUNCTION("""COMPUTED_VALUE"""),"None")</f>
        <v>None</v>
      </c>
      <c r="C1052" s="1"/>
      <c r="D1052" s="1"/>
      <c r="E1052" s="1"/>
      <c r="F1052" s="1"/>
    </row>
    <row r="1053" spans="1:6" ht="12.5">
      <c r="A1053" s="1" t="str">
        <f ca="1">IFERROR(__xludf.DUMMYFUNCTION("""COMPUTED_VALUE"""),"20190927NCZEC")</f>
        <v>20190927NCZEC</v>
      </c>
      <c r="B1053" s="1" t="str">
        <f ca="1">IFERROR(__xludf.DUMMYFUNCTION("""COMPUTED_VALUE"""),"None")</f>
        <v>None</v>
      </c>
      <c r="C1053" s="1"/>
      <c r="D1053" s="1"/>
      <c r="E1053" s="1"/>
      <c r="F1053" s="1"/>
    </row>
    <row r="1054" spans="1:6" ht="12.5">
      <c r="A1054" s="1" t="str">
        <f ca="1">IFERROR(__xludf.DUMMYFUNCTION("""COMPUTED_VALUE"""),"20190927CADER")</f>
        <v>20190927CADER</v>
      </c>
      <c r="B1054" s="1" t="str">
        <f ca="1">IFERROR(__xludf.DUMMYFUNCTION("""COMPUTED_VALUE"""),"Wounded")</f>
        <v>Wounded</v>
      </c>
      <c r="C1054" s="1" t="str">
        <f ca="1">IFERROR(__xludf.DUMMYFUNCTION("""COMPUTED_VALUE"""),"Female")</f>
        <v>Female</v>
      </c>
      <c r="D1054" s="1" t="str">
        <f ca="1">IFERROR(__xludf.DUMMYFUNCTION("""COMPUTED_VALUE"""),"Student")</f>
        <v>Student</v>
      </c>
      <c r="E1054" s="1">
        <f ca="1">IFERROR(__xludf.DUMMYFUNCTION("""COMPUTED_VALUE"""),16)</f>
        <v>16</v>
      </c>
      <c r="F1054" s="1"/>
    </row>
    <row r="1055" spans="1:6" ht="12.5">
      <c r="A1055" s="1" t="str">
        <f ca="1">IFERROR(__xludf.DUMMYFUNCTION("""COMPUTED_VALUE"""),"20190927CADER")</f>
        <v>20190927CADER</v>
      </c>
      <c r="B1055" s="1" t="str">
        <f ca="1">IFERROR(__xludf.DUMMYFUNCTION("""COMPUTED_VALUE"""),"Wounded")</f>
        <v>Wounded</v>
      </c>
      <c r="C1055" s="1" t="str">
        <f ca="1">IFERROR(__xludf.DUMMYFUNCTION("""COMPUTED_VALUE"""),"Male")</f>
        <v>Male</v>
      </c>
      <c r="D1055" s="1" t="str">
        <f ca="1">IFERROR(__xludf.DUMMYFUNCTION("""COMPUTED_VALUE"""),"Student")</f>
        <v>Student</v>
      </c>
      <c r="E1055" s="1">
        <f ca="1">IFERROR(__xludf.DUMMYFUNCTION("""COMPUTED_VALUE"""),17)</f>
        <v>17</v>
      </c>
      <c r="F1055" s="1"/>
    </row>
    <row r="1056" spans="1:6" ht="12.5">
      <c r="A1056" s="1" t="str">
        <f ca="1">IFERROR(__xludf.DUMMYFUNCTION("""COMPUTED_VALUE"""),"20190927CADER")</f>
        <v>20190927CADER</v>
      </c>
      <c r="B1056" s="1" t="str">
        <f ca="1">IFERROR(__xludf.DUMMYFUNCTION("""COMPUTED_VALUE"""),"Wounded")</f>
        <v>Wounded</v>
      </c>
      <c r="C1056" s="1" t="str">
        <f ca="1">IFERROR(__xludf.DUMMYFUNCTION("""COMPUTED_VALUE"""),"Male")</f>
        <v>Male</v>
      </c>
      <c r="D1056" s="1" t="str">
        <f ca="1">IFERROR(__xludf.DUMMYFUNCTION("""COMPUTED_VALUE"""),"Student")</f>
        <v>Student</v>
      </c>
      <c r="E1056" s="1">
        <f ca="1">IFERROR(__xludf.DUMMYFUNCTION("""COMPUTED_VALUE"""),17)</f>
        <v>17</v>
      </c>
      <c r="F1056" s="1"/>
    </row>
    <row r="1057" spans="1:6" ht="12.5">
      <c r="A1057" s="1" t="str">
        <f ca="1">IFERROR(__xludf.DUMMYFUNCTION("""COMPUTED_VALUE"""),"20190920PASIP")</f>
        <v>20190920PASIP</v>
      </c>
      <c r="B1057" s="1" t="str">
        <f ca="1">IFERROR(__xludf.DUMMYFUNCTION("""COMPUTED_VALUE"""),"Wounded")</f>
        <v>Wounded</v>
      </c>
      <c r="C1057" s="1" t="str">
        <f ca="1">IFERROR(__xludf.DUMMYFUNCTION("""COMPUTED_VALUE"""),"Male")</f>
        <v>Male</v>
      </c>
      <c r="D1057" s="1" t="str">
        <f ca="1">IFERROR(__xludf.DUMMYFUNCTION("""COMPUTED_VALUE"""),"Unknown")</f>
        <v>Unknown</v>
      </c>
      <c r="E1057" s="1">
        <f ca="1">IFERROR(__xludf.DUMMYFUNCTION("""COMPUTED_VALUE"""),14)</f>
        <v>14</v>
      </c>
      <c r="F1057" s="1"/>
    </row>
    <row r="1058" spans="1:6" ht="12.5">
      <c r="A1058" s="1" t="str">
        <f ca="1">IFERROR(__xludf.DUMMYFUNCTION("""COMPUTED_VALUE"""),"20190920PASIP")</f>
        <v>20190920PASIP</v>
      </c>
      <c r="B1058" s="1" t="str">
        <f ca="1">IFERROR(__xludf.DUMMYFUNCTION("""COMPUTED_VALUE"""),"Wounded")</f>
        <v>Wounded</v>
      </c>
      <c r="C1058" s="1" t="str">
        <f ca="1">IFERROR(__xludf.DUMMYFUNCTION("""COMPUTED_VALUE"""),"Male")</f>
        <v>Male</v>
      </c>
      <c r="D1058" s="1" t="str">
        <f ca="1">IFERROR(__xludf.DUMMYFUNCTION("""COMPUTED_VALUE"""),"Unknown")</f>
        <v>Unknown</v>
      </c>
      <c r="E1058" s="1">
        <f ca="1">IFERROR(__xludf.DUMMYFUNCTION("""COMPUTED_VALUE"""),15)</f>
        <v>15</v>
      </c>
      <c r="F1058" s="1"/>
    </row>
    <row r="1059" spans="1:6" ht="12.5">
      <c r="A1059" s="1" t="str">
        <f ca="1">IFERROR(__xludf.DUMMYFUNCTION("""COMPUTED_VALUE"""),"20190918MNFOC")</f>
        <v>20190918MNFOC</v>
      </c>
      <c r="B1059" s="1" t="str">
        <f ca="1">IFERROR(__xludf.DUMMYFUNCTION("""COMPUTED_VALUE"""),"Wounded")</f>
        <v>Wounded</v>
      </c>
      <c r="C1059" s="1" t="str">
        <f ca="1">IFERROR(__xludf.DUMMYFUNCTION("""COMPUTED_VALUE"""),"Male")</f>
        <v>Male</v>
      </c>
      <c r="D1059" s="1" t="str">
        <f ca="1">IFERROR(__xludf.DUMMYFUNCTION("""COMPUTED_VALUE"""),"Nonstudent Using Athletic Facilities/Attending Game")</f>
        <v>Nonstudent Using Athletic Facilities/Attending Game</v>
      </c>
      <c r="E1059" s="1">
        <f ca="1">IFERROR(__xludf.DUMMYFUNCTION("""COMPUTED_VALUE"""),45)</f>
        <v>45</v>
      </c>
      <c r="F1059" s="1"/>
    </row>
    <row r="1060" spans="1:6" ht="12.5">
      <c r="A1060" s="1" t="str">
        <f ca="1">IFERROR(__xludf.DUMMYFUNCTION("""COMPUTED_VALUE"""),"20190916VAPHH")</f>
        <v>20190916VAPHH</v>
      </c>
      <c r="B1060" s="1" t="str">
        <f ca="1">IFERROR(__xludf.DUMMYFUNCTION("""COMPUTED_VALUE"""),"Fatal")</f>
        <v>Fatal</v>
      </c>
      <c r="C1060" s="1" t="str">
        <f ca="1">IFERROR(__xludf.DUMMYFUNCTION("""COMPUTED_VALUE"""),"Male")</f>
        <v>Male</v>
      </c>
      <c r="D1060" s="1" t="str">
        <f ca="1">IFERROR(__xludf.DUMMYFUNCTION("""COMPUTED_VALUE"""),"No Relation")</f>
        <v>No Relation</v>
      </c>
      <c r="E1060" s="1">
        <f ca="1">IFERROR(__xludf.DUMMYFUNCTION("""COMPUTED_VALUE"""),38)</f>
        <v>38</v>
      </c>
      <c r="F1060" s="1"/>
    </row>
    <row r="1061" spans="1:6" ht="12.5">
      <c r="A1061" s="1" t="str">
        <f ca="1">IFERROR(__xludf.DUMMYFUNCTION("""COMPUTED_VALUE"""),"20190916ILILK")</f>
        <v>20190916ILILK</v>
      </c>
      <c r="B1061" s="1" t="str">
        <f ca="1">IFERROR(__xludf.DUMMYFUNCTION("""COMPUTED_VALUE"""),"None")</f>
        <v>None</v>
      </c>
      <c r="C1061" s="1"/>
      <c r="D1061" s="1"/>
      <c r="E1061" s="1"/>
      <c r="F1061" s="1"/>
    </row>
    <row r="1062" spans="1:6" ht="12.5">
      <c r="A1062" s="1" t="str">
        <f ca="1">IFERROR(__xludf.DUMMYFUNCTION("""COMPUTED_VALUE"""),"20190914TXEAF")</f>
        <v>20190914TXEAF</v>
      </c>
      <c r="B1062" s="1" t="str">
        <f ca="1">IFERROR(__xludf.DUMMYFUNCTION("""COMPUTED_VALUE"""),"Wounded")</f>
        <v>Wounded</v>
      </c>
      <c r="C1062" s="1" t="str">
        <f ca="1">IFERROR(__xludf.DUMMYFUNCTION("""COMPUTED_VALUE"""),"Male")</f>
        <v>Male</v>
      </c>
      <c r="D1062" s="1" t="str">
        <f ca="1">IFERROR(__xludf.DUMMYFUNCTION("""COMPUTED_VALUE"""),"Nonstudent Using Athletic Facilities/Attending Game")</f>
        <v>Nonstudent Using Athletic Facilities/Attending Game</v>
      </c>
      <c r="E1062" s="1">
        <f ca="1">IFERROR(__xludf.DUMMYFUNCTION("""COMPUTED_VALUE"""),12)</f>
        <v>12</v>
      </c>
      <c r="F1062" s="1"/>
    </row>
    <row r="1063" spans="1:6" ht="12.5">
      <c r="A1063" s="1" t="str">
        <f ca="1">IFERROR(__xludf.DUMMYFUNCTION("""COMPUTED_VALUE"""),"20190914TXEAF")</f>
        <v>20190914TXEAF</v>
      </c>
      <c r="B1063" s="1" t="str">
        <f ca="1">IFERROR(__xludf.DUMMYFUNCTION("""COMPUTED_VALUE"""),"Wounded")</f>
        <v>Wounded</v>
      </c>
      <c r="C1063" s="1" t="str">
        <f ca="1">IFERROR(__xludf.DUMMYFUNCTION("""COMPUTED_VALUE"""),"Female")</f>
        <v>Female</v>
      </c>
      <c r="D1063" s="1" t="str">
        <f ca="1">IFERROR(__xludf.DUMMYFUNCTION("""COMPUTED_VALUE"""),"Nonstudent Using Athletic Facilities/Attending Game")</f>
        <v>Nonstudent Using Athletic Facilities/Attending Game</v>
      </c>
      <c r="E1063" s="1" t="str">
        <f ca="1">IFERROR(__xludf.DUMMYFUNCTION("""COMPUTED_VALUE"""),"Adult")</f>
        <v>Adult</v>
      </c>
      <c r="F1063" s="1"/>
    </row>
    <row r="1064" spans="1:6" ht="12.5">
      <c r="A1064" s="1" t="str">
        <f ca="1">IFERROR(__xludf.DUMMYFUNCTION("""COMPUTED_VALUE"""),"20190913VAETN")</f>
        <v>20190913VAETN</v>
      </c>
      <c r="B1064" s="1" t="str">
        <f ca="1">IFERROR(__xludf.DUMMYFUNCTION("""COMPUTED_VALUE"""),"Wounded")</f>
        <v>Wounded</v>
      </c>
      <c r="C1064" s="1"/>
      <c r="D1064" s="1" t="str">
        <f ca="1">IFERROR(__xludf.DUMMYFUNCTION("""COMPUTED_VALUE"""),"Nonstudent Using Athletic Facilities/Attending Game")</f>
        <v>Nonstudent Using Athletic Facilities/Attending Game</v>
      </c>
      <c r="E1064" s="1">
        <f ca="1">IFERROR(__xludf.DUMMYFUNCTION("""COMPUTED_VALUE"""),19)</f>
        <v>19</v>
      </c>
      <c r="F1064" s="1"/>
    </row>
    <row r="1065" spans="1:6" ht="12.5">
      <c r="A1065" s="1" t="str">
        <f ca="1">IFERROR(__xludf.DUMMYFUNCTION("""COMPUTED_VALUE"""),"20190913VAETN")</f>
        <v>20190913VAETN</v>
      </c>
      <c r="B1065" s="1" t="str">
        <f ca="1">IFERROR(__xludf.DUMMYFUNCTION("""COMPUTED_VALUE"""),"Wounded")</f>
        <v>Wounded</v>
      </c>
      <c r="C1065" s="1"/>
      <c r="D1065" s="1" t="str">
        <f ca="1">IFERROR(__xludf.DUMMYFUNCTION("""COMPUTED_VALUE"""),"Student")</f>
        <v>Student</v>
      </c>
      <c r="E1065" s="1">
        <f ca="1">IFERROR(__xludf.DUMMYFUNCTION("""COMPUTED_VALUE"""),14)</f>
        <v>14</v>
      </c>
      <c r="F1065" s="1"/>
    </row>
    <row r="1066" spans="1:6" ht="12.5">
      <c r="A1066" s="1" t="str">
        <f ca="1">IFERROR(__xludf.DUMMYFUNCTION("""COMPUTED_VALUE"""),"20190913VAETN")</f>
        <v>20190913VAETN</v>
      </c>
      <c r="B1066" s="1" t="str">
        <f ca="1">IFERROR(__xludf.DUMMYFUNCTION("""COMPUTED_VALUE"""),"Wounded")</f>
        <v>Wounded</v>
      </c>
      <c r="C1066" s="1"/>
      <c r="D1066" s="1" t="str">
        <f ca="1">IFERROR(__xludf.DUMMYFUNCTION("""COMPUTED_VALUE"""),"Nonstudent Using Athletic Facilities/Attending Game")</f>
        <v>Nonstudent Using Athletic Facilities/Attending Game</v>
      </c>
      <c r="E1066" s="1">
        <f ca="1">IFERROR(__xludf.DUMMYFUNCTION("""COMPUTED_VALUE"""),19)</f>
        <v>19</v>
      </c>
      <c r="F1066" s="1"/>
    </row>
    <row r="1067" spans="1:6" ht="12.5">
      <c r="A1067" s="1" t="str">
        <f ca="1">IFERROR(__xludf.DUMMYFUNCTION("""COMPUTED_VALUE"""),"20190913UTGRW")</f>
        <v>20190913UTGRW</v>
      </c>
      <c r="B1067" s="1" t="str">
        <f ca="1">IFERROR(__xludf.DUMMYFUNCTION("""COMPUTED_VALUE"""),"None")</f>
        <v>None</v>
      </c>
      <c r="C1067" s="1"/>
      <c r="D1067" s="1"/>
      <c r="E1067" s="1"/>
      <c r="F1067" s="1"/>
    </row>
    <row r="1068" spans="1:6" ht="12.5">
      <c r="A1068" s="1" t="str">
        <f ca="1">IFERROR(__xludf.DUMMYFUNCTION("""COMPUTED_VALUE"""),"20190912KSMAM")</f>
        <v>20190912KSMAM</v>
      </c>
      <c r="B1068" s="1" t="str">
        <f ca="1">IFERROR(__xludf.DUMMYFUNCTION("""COMPUTED_VALUE"""),"None")</f>
        <v>None</v>
      </c>
      <c r="C1068" s="1"/>
      <c r="D1068" s="1"/>
      <c r="E1068" s="1"/>
      <c r="F1068" s="1"/>
    </row>
    <row r="1069" spans="1:6" ht="12.5">
      <c r="A1069" s="1" t="str">
        <f ca="1">IFERROR(__xludf.DUMMYFUNCTION("""COMPUTED_VALUE"""),"20190910SCSOA")</f>
        <v>20190910SCSOA</v>
      </c>
      <c r="B1069" s="1" t="str">
        <f ca="1">IFERROR(__xludf.DUMMYFUNCTION("""COMPUTED_VALUE"""),"None")</f>
        <v>None</v>
      </c>
      <c r="C1069" s="1"/>
      <c r="D1069" s="1"/>
      <c r="E1069" s="1"/>
      <c r="F1069" s="1"/>
    </row>
    <row r="1070" spans="1:6" ht="12.5">
      <c r="A1070" s="1" t="str">
        <f ca="1">IFERROR(__xludf.DUMMYFUNCTION("""COMPUTED_VALUE"""),"20190906PAWEM")</f>
        <v>20190906PAWEM</v>
      </c>
      <c r="B1070" s="1" t="str">
        <f ca="1">IFERROR(__xludf.DUMMYFUNCTION("""COMPUTED_VALUE"""),"Wounded")</f>
        <v>Wounded</v>
      </c>
      <c r="C1070" s="1" t="str">
        <f ca="1">IFERROR(__xludf.DUMMYFUNCTION("""COMPUTED_VALUE"""),"Female")</f>
        <v>Female</v>
      </c>
      <c r="D1070" s="1" t="str">
        <f ca="1">IFERROR(__xludf.DUMMYFUNCTION("""COMPUTED_VALUE"""),"Student")</f>
        <v>Student</v>
      </c>
      <c r="E1070" s="1"/>
      <c r="F1070" s="1"/>
    </row>
    <row r="1071" spans="1:6" ht="12.5">
      <c r="A1071" s="1" t="str">
        <f ca="1">IFERROR(__xludf.DUMMYFUNCTION("""COMPUTED_VALUE"""),"20190906PAMCJ")</f>
        <v>20190906PAMCJ</v>
      </c>
      <c r="B1071" s="1" t="str">
        <f ca="1">IFERROR(__xludf.DUMMYFUNCTION("""COMPUTED_VALUE"""),"Fatal")</f>
        <v>Fatal</v>
      </c>
      <c r="C1071" s="1" t="str">
        <f ca="1">IFERROR(__xludf.DUMMYFUNCTION("""COMPUTED_VALUE"""),"Male")</f>
        <v>Male</v>
      </c>
      <c r="D1071" s="1"/>
      <c r="E1071" s="1">
        <f ca="1">IFERROR(__xludf.DUMMYFUNCTION("""COMPUTED_VALUE"""),48)</f>
        <v>48</v>
      </c>
      <c r="F1071" s="1" t="str">
        <f ca="1">IFERROR(__xludf.DUMMYFUNCTION("""COMPUTED_VALUE"""),"Black")</f>
        <v>Black</v>
      </c>
    </row>
    <row r="1072" spans="1:6" ht="12.5">
      <c r="A1072" s="1" t="str">
        <f ca="1">IFERROR(__xludf.DUMMYFUNCTION("""COMPUTED_VALUE"""),"20190906ALCEC")</f>
        <v>20190906ALCEC</v>
      </c>
      <c r="B1072" s="1" t="str">
        <f ca="1">IFERROR(__xludf.DUMMYFUNCTION("""COMPUTED_VALUE"""),"None")</f>
        <v>None</v>
      </c>
      <c r="C1072" s="1"/>
      <c r="D1072" s="1"/>
      <c r="E1072" s="1"/>
      <c r="F1072" s="1"/>
    </row>
    <row r="1073" spans="1:6" ht="12.5">
      <c r="A1073" s="1" t="str">
        <f ca="1">IFERROR(__xludf.DUMMYFUNCTION("""COMPUTED_VALUE"""),"20190902MDNOB")</f>
        <v>20190902MDNOB</v>
      </c>
      <c r="B1073" s="1" t="str">
        <f ca="1">IFERROR(__xludf.DUMMYFUNCTION("""COMPUTED_VALUE"""),"Fatal")</f>
        <v>Fatal</v>
      </c>
      <c r="C1073" s="1" t="str">
        <f ca="1">IFERROR(__xludf.DUMMYFUNCTION("""COMPUTED_VALUE"""),"Male")</f>
        <v>Male</v>
      </c>
      <c r="D1073" s="1" t="str">
        <f ca="1">IFERROR(__xludf.DUMMYFUNCTION("""COMPUTED_VALUE"""),"No Relation")</f>
        <v>No Relation</v>
      </c>
      <c r="E1073" s="1" t="str">
        <f ca="1">IFERROR(__xludf.DUMMYFUNCTION("""COMPUTED_VALUE"""),"Adult")</f>
        <v>Adult</v>
      </c>
      <c r="F1073" s="1"/>
    </row>
    <row r="1074" spans="1:6" ht="12.5">
      <c r="A1074" s="1" t="str">
        <f ca="1">IFERROR(__xludf.DUMMYFUNCTION("""COMPUTED_VALUE"""),"20190902MDNOB")</f>
        <v>20190902MDNOB</v>
      </c>
      <c r="B1074" s="1" t="str">
        <f ca="1">IFERROR(__xludf.DUMMYFUNCTION("""COMPUTED_VALUE"""),"Wounded")</f>
        <v>Wounded</v>
      </c>
      <c r="C1074" s="1" t="str">
        <f ca="1">IFERROR(__xludf.DUMMYFUNCTION("""COMPUTED_VALUE"""),"Male")</f>
        <v>Male</v>
      </c>
      <c r="D1074" s="1" t="str">
        <f ca="1">IFERROR(__xludf.DUMMYFUNCTION("""COMPUTED_VALUE"""),"No Relation")</f>
        <v>No Relation</v>
      </c>
      <c r="E1074" s="1" t="str">
        <f ca="1">IFERROR(__xludf.DUMMYFUNCTION("""COMPUTED_VALUE"""),"Adult")</f>
        <v>Adult</v>
      </c>
      <c r="F1074" s="1"/>
    </row>
    <row r="1075" spans="1:6" ht="12.5">
      <c r="A1075" s="1" t="str">
        <f ca="1">IFERROR(__xludf.DUMMYFUNCTION("""COMPUTED_VALUE"""),"20190902MDNOB")</f>
        <v>20190902MDNOB</v>
      </c>
      <c r="B1075" s="1" t="str">
        <f ca="1">IFERROR(__xludf.DUMMYFUNCTION("""COMPUTED_VALUE"""),"Wounded")</f>
        <v>Wounded</v>
      </c>
      <c r="C1075" s="1" t="str">
        <f ca="1">IFERROR(__xludf.DUMMYFUNCTION("""COMPUTED_VALUE"""),"Male")</f>
        <v>Male</v>
      </c>
      <c r="D1075" s="1" t="str">
        <f ca="1">IFERROR(__xludf.DUMMYFUNCTION("""COMPUTED_VALUE"""),"No Relation")</f>
        <v>No Relation</v>
      </c>
      <c r="E1075" s="1" t="str">
        <f ca="1">IFERROR(__xludf.DUMMYFUNCTION("""COMPUTED_VALUE"""),"Adult")</f>
        <v>Adult</v>
      </c>
      <c r="F1075" s="1"/>
    </row>
    <row r="1076" spans="1:6" ht="12.5">
      <c r="A1076" s="1" t="str">
        <f ca="1">IFERROR(__xludf.DUMMYFUNCTION("""COMPUTED_VALUE"""),"20190830OHCET")</f>
        <v>20190830OHCET</v>
      </c>
      <c r="B1076" s="1" t="str">
        <f ca="1">IFERROR(__xludf.DUMMYFUNCTION("""COMPUTED_VALUE"""),"Wounded")</f>
        <v>Wounded</v>
      </c>
      <c r="C1076" s="1" t="str">
        <f ca="1">IFERROR(__xludf.DUMMYFUNCTION("""COMPUTED_VALUE"""),"Male")</f>
        <v>Male</v>
      </c>
      <c r="D1076" s="1" t="str">
        <f ca="1">IFERROR(__xludf.DUMMYFUNCTION("""COMPUTED_VALUE"""),"Nonstudent Using Athletic Facilities/Attending Game")</f>
        <v>Nonstudent Using Athletic Facilities/Attending Game</v>
      </c>
      <c r="E1076" s="1">
        <f ca="1">IFERROR(__xludf.DUMMYFUNCTION("""COMPUTED_VALUE"""),16)</f>
        <v>16</v>
      </c>
      <c r="F1076" s="1"/>
    </row>
    <row r="1077" spans="1:6" ht="12.5">
      <c r="A1077" s="1" t="str">
        <f ca="1">IFERROR(__xludf.DUMMYFUNCTION("""COMPUTED_VALUE"""),"20190830NCKIK")</f>
        <v>20190830NCKIK</v>
      </c>
      <c r="B1077" s="1" t="str">
        <f ca="1">IFERROR(__xludf.DUMMYFUNCTION("""COMPUTED_VALUE"""),"None")</f>
        <v>None</v>
      </c>
      <c r="C1077" s="1"/>
      <c r="D1077" s="1"/>
      <c r="E1077" s="1"/>
      <c r="F1077" s="1"/>
    </row>
    <row r="1078" spans="1:6" ht="12.5">
      <c r="A1078" s="1" t="str">
        <f ca="1">IFERROR(__xludf.DUMMYFUNCTION("""COMPUTED_VALUE"""),"20190830ALLAM")</f>
        <v>20190830ALLAM</v>
      </c>
      <c r="B1078" s="1" t="str">
        <f ca="1">IFERROR(__xludf.DUMMYFUNCTION("""COMPUTED_VALUE"""),"Wounded")</f>
        <v>Wounded</v>
      </c>
      <c r="C1078" s="1"/>
      <c r="D1078" s="1" t="str">
        <f ca="1">IFERROR(__xludf.DUMMYFUNCTION("""COMPUTED_VALUE"""),"Student")</f>
        <v>Student</v>
      </c>
      <c r="E1078" s="1" t="str">
        <f ca="1">IFERROR(__xludf.DUMMYFUNCTION("""COMPUTED_VALUE"""),"Teen")</f>
        <v>Teen</v>
      </c>
      <c r="F1078" s="1"/>
    </row>
    <row r="1079" spans="1:6" ht="12.5">
      <c r="A1079" s="1" t="str">
        <f ca="1">IFERROR(__xludf.DUMMYFUNCTION("""COMPUTED_VALUE"""),"20190830ALLAM")</f>
        <v>20190830ALLAM</v>
      </c>
      <c r="B1079" s="1" t="str">
        <f ca="1">IFERROR(__xludf.DUMMYFUNCTION("""COMPUTED_VALUE"""),"Wounded")</f>
        <v>Wounded</v>
      </c>
      <c r="C1079" s="1"/>
      <c r="D1079" s="1" t="str">
        <f ca="1">IFERROR(__xludf.DUMMYFUNCTION("""COMPUTED_VALUE"""),"Student")</f>
        <v>Student</v>
      </c>
      <c r="E1079" s="1" t="str">
        <f ca="1">IFERROR(__xludf.DUMMYFUNCTION("""COMPUTED_VALUE"""),"Teen")</f>
        <v>Teen</v>
      </c>
      <c r="F1079" s="1"/>
    </row>
    <row r="1080" spans="1:6" ht="12.5">
      <c r="A1080" s="1" t="str">
        <f ca="1">IFERROR(__xludf.DUMMYFUNCTION("""COMPUTED_VALUE"""),"20190830ALLAM")</f>
        <v>20190830ALLAM</v>
      </c>
      <c r="B1080" s="1" t="str">
        <f ca="1">IFERROR(__xludf.DUMMYFUNCTION("""COMPUTED_VALUE"""),"Wounded")</f>
        <v>Wounded</v>
      </c>
      <c r="C1080" s="1"/>
      <c r="D1080" s="1" t="str">
        <f ca="1">IFERROR(__xludf.DUMMYFUNCTION("""COMPUTED_VALUE"""),"Student")</f>
        <v>Student</v>
      </c>
      <c r="E1080" s="1" t="str">
        <f ca="1">IFERROR(__xludf.DUMMYFUNCTION("""COMPUTED_VALUE"""),"Teen")</f>
        <v>Teen</v>
      </c>
      <c r="F1080" s="1"/>
    </row>
    <row r="1081" spans="1:6" ht="12.5">
      <c r="A1081" s="1" t="str">
        <f ca="1">IFERROR(__xludf.DUMMYFUNCTION("""COMPUTED_VALUE"""),"20190830ALLAM")</f>
        <v>20190830ALLAM</v>
      </c>
      <c r="B1081" s="1" t="str">
        <f ca="1">IFERROR(__xludf.DUMMYFUNCTION("""COMPUTED_VALUE"""),"Wounded")</f>
        <v>Wounded</v>
      </c>
      <c r="C1081" s="1"/>
      <c r="D1081" s="1" t="str">
        <f ca="1">IFERROR(__xludf.DUMMYFUNCTION("""COMPUTED_VALUE"""),"Student")</f>
        <v>Student</v>
      </c>
      <c r="E1081" s="1" t="str">
        <f ca="1">IFERROR(__xludf.DUMMYFUNCTION("""COMPUTED_VALUE"""),"Teen")</f>
        <v>Teen</v>
      </c>
      <c r="F1081" s="1"/>
    </row>
    <row r="1082" spans="1:6" ht="12.5">
      <c r="A1082" s="1" t="str">
        <f ca="1">IFERROR(__xludf.DUMMYFUNCTION("""COMPUTED_VALUE"""),"20190830ALLAM")</f>
        <v>20190830ALLAM</v>
      </c>
      <c r="B1082" s="1" t="str">
        <f ca="1">IFERROR(__xludf.DUMMYFUNCTION("""COMPUTED_VALUE"""),"Wounded")</f>
        <v>Wounded</v>
      </c>
      <c r="C1082" s="1"/>
      <c r="D1082" s="1" t="str">
        <f ca="1">IFERROR(__xludf.DUMMYFUNCTION("""COMPUTED_VALUE"""),"Student")</f>
        <v>Student</v>
      </c>
      <c r="E1082" s="1" t="str">
        <f ca="1">IFERROR(__xludf.DUMMYFUNCTION("""COMPUTED_VALUE"""),"Teen")</f>
        <v>Teen</v>
      </c>
      <c r="F1082" s="1"/>
    </row>
    <row r="1083" spans="1:6" ht="12.5">
      <c r="A1083" s="1" t="str">
        <f ca="1">IFERROR(__xludf.DUMMYFUNCTION("""COMPUTED_VALUE"""),"20190830ALLAM")</f>
        <v>20190830ALLAM</v>
      </c>
      <c r="B1083" s="1" t="str">
        <f ca="1">IFERROR(__xludf.DUMMYFUNCTION("""COMPUTED_VALUE"""),"Wounded")</f>
        <v>Wounded</v>
      </c>
      <c r="C1083" s="1"/>
      <c r="D1083" s="1" t="str">
        <f ca="1">IFERROR(__xludf.DUMMYFUNCTION("""COMPUTED_VALUE"""),"Student")</f>
        <v>Student</v>
      </c>
      <c r="E1083" s="1" t="str">
        <f ca="1">IFERROR(__xludf.DUMMYFUNCTION("""COMPUTED_VALUE"""),"Teen")</f>
        <v>Teen</v>
      </c>
      <c r="F1083" s="1"/>
    </row>
    <row r="1084" spans="1:6" ht="12.5">
      <c r="A1084" s="1" t="str">
        <f ca="1">IFERROR(__xludf.DUMMYFUNCTION("""COMPUTED_VALUE"""),"20190830ALLAM")</f>
        <v>20190830ALLAM</v>
      </c>
      <c r="B1084" s="1" t="str">
        <f ca="1">IFERROR(__xludf.DUMMYFUNCTION("""COMPUTED_VALUE"""),"Wounded")</f>
        <v>Wounded</v>
      </c>
      <c r="C1084" s="1"/>
      <c r="D1084" s="1" t="str">
        <f ca="1">IFERROR(__xludf.DUMMYFUNCTION("""COMPUTED_VALUE"""),"Student")</f>
        <v>Student</v>
      </c>
      <c r="E1084" s="1" t="str">
        <f ca="1">IFERROR(__xludf.DUMMYFUNCTION("""COMPUTED_VALUE"""),"Teen")</f>
        <v>Teen</v>
      </c>
      <c r="F1084" s="1"/>
    </row>
    <row r="1085" spans="1:6" ht="12.5">
      <c r="A1085" s="1" t="str">
        <f ca="1">IFERROR(__xludf.DUMMYFUNCTION("""COMPUTED_VALUE"""),"20190830ALLAM")</f>
        <v>20190830ALLAM</v>
      </c>
      <c r="B1085" s="1" t="str">
        <f ca="1">IFERROR(__xludf.DUMMYFUNCTION("""COMPUTED_VALUE"""),"Wounded")</f>
        <v>Wounded</v>
      </c>
      <c r="C1085" s="1"/>
      <c r="D1085" s="1" t="str">
        <f ca="1">IFERROR(__xludf.DUMMYFUNCTION("""COMPUTED_VALUE"""),"Student")</f>
        <v>Student</v>
      </c>
      <c r="E1085" s="1" t="str">
        <f ca="1">IFERROR(__xludf.DUMMYFUNCTION("""COMPUTED_VALUE"""),"Teen")</f>
        <v>Teen</v>
      </c>
      <c r="F1085" s="1"/>
    </row>
    <row r="1086" spans="1:6" ht="12.5">
      <c r="A1086" s="1" t="str">
        <f ca="1">IFERROR(__xludf.DUMMYFUNCTION("""COMPUTED_VALUE"""),"20190830ALLAM")</f>
        <v>20190830ALLAM</v>
      </c>
      <c r="B1086" s="1" t="str">
        <f ca="1">IFERROR(__xludf.DUMMYFUNCTION("""COMPUTED_VALUE"""),"Wounded")</f>
        <v>Wounded</v>
      </c>
      <c r="C1086" s="1"/>
      <c r="D1086" s="1" t="str">
        <f ca="1">IFERROR(__xludf.DUMMYFUNCTION("""COMPUTED_VALUE"""),"Student")</f>
        <v>Student</v>
      </c>
      <c r="E1086" s="1" t="str">
        <f ca="1">IFERROR(__xludf.DUMMYFUNCTION("""COMPUTED_VALUE"""),"Teen")</f>
        <v>Teen</v>
      </c>
      <c r="F1086" s="1"/>
    </row>
    <row r="1087" spans="1:6" ht="12.5">
      <c r="A1087" s="1" t="str">
        <f ca="1">IFERROR(__xludf.DUMMYFUNCTION("""COMPUTED_VALUE"""),"20190830ALLAM")</f>
        <v>20190830ALLAM</v>
      </c>
      <c r="B1087" s="1" t="str">
        <f ca="1">IFERROR(__xludf.DUMMYFUNCTION("""COMPUTED_VALUE"""),"Wounded")</f>
        <v>Wounded</v>
      </c>
      <c r="C1087" s="1"/>
      <c r="D1087" s="1" t="str">
        <f ca="1">IFERROR(__xludf.DUMMYFUNCTION("""COMPUTED_VALUE"""),"Student")</f>
        <v>Student</v>
      </c>
      <c r="E1087" s="1" t="str">
        <f ca="1">IFERROR(__xludf.DUMMYFUNCTION("""COMPUTED_VALUE"""),"Teen")</f>
        <v>Teen</v>
      </c>
      <c r="F1087" s="1"/>
    </row>
    <row r="1088" spans="1:6" ht="12.5">
      <c r="A1088" s="1" t="str">
        <f ca="1">IFERROR(__xludf.DUMMYFUNCTION("""COMPUTED_VALUE"""),"20190827NYROR")</f>
        <v>20190827NYROR</v>
      </c>
      <c r="B1088" s="1" t="str">
        <f ca="1">IFERROR(__xludf.DUMMYFUNCTION("""COMPUTED_VALUE"""),"None")</f>
        <v>None</v>
      </c>
      <c r="C1088" s="1"/>
      <c r="D1088" s="1"/>
      <c r="E1088" s="1"/>
      <c r="F1088" s="1"/>
    </row>
    <row r="1089" spans="1:6" ht="12.5">
      <c r="A1089" s="1" t="str">
        <f ca="1">IFERROR(__xludf.DUMMYFUNCTION("""COMPUTED_VALUE"""),"20190827CAHOL")</f>
        <v>20190827CAHOL</v>
      </c>
      <c r="B1089" s="1" t="str">
        <f ca="1">IFERROR(__xludf.DUMMYFUNCTION("""COMPUTED_VALUE"""),"Wounded")</f>
        <v>Wounded</v>
      </c>
      <c r="C1089" s="1" t="str">
        <f ca="1">IFERROR(__xludf.DUMMYFUNCTION("""COMPUTED_VALUE"""),"Male")</f>
        <v>Male</v>
      </c>
      <c r="D1089" s="1" t="str">
        <f ca="1">IFERROR(__xludf.DUMMYFUNCTION("""COMPUTED_VALUE"""),"Student")</f>
        <v>Student</v>
      </c>
      <c r="E1089" s="1" t="str">
        <f ca="1">IFERROR(__xludf.DUMMYFUNCTION("""COMPUTED_VALUE"""),"Teen")</f>
        <v>Teen</v>
      </c>
      <c r="F1089" s="1"/>
    </row>
    <row r="1090" spans="1:6" ht="12.5">
      <c r="A1090" s="1" t="str">
        <f ca="1">IFERROR(__xludf.DUMMYFUNCTION("""COMPUTED_VALUE"""),"20190824PAWIP")</f>
        <v>20190824PAWIP</v>
      </c>
      <c r="B1090" s="1" t="str">
        <f ca="1">IFERROR(__xludf.DUMMYFUNCTION("""COMPUTED_VALUE"""),"Fatal")</f>
        <v>Fatal</v>
      </c>
      <c r="C1090" s="1" t="str">
        <f ca="1">IFERROR(__xludf.DUMMYFUNCTION("""COMPUTED_VALUE"""),"Male")</f>
        <v>Male</v>
      </c>
      <c r="D1090" s="1" t="str">
        <f ca="1">IFERROR(__xludf.DUMMYFUNCTION("""COMPUTED_VALUE"""),"No Relation")</f>
        <v>No Relation</v>
      </c>
      <c r="E1090" s="1">
        <f ca="1">IFERROR(__xludf.DUMMYFUNCTION("""COMPUTED_VALUE"""),14)</f>
        <v>14</v>
      </c>
      <c r="F1090" s="1" t="str">
        <f ca="1">IFERROR(__xludf.DUMMYFUNCTION("""COMPUTED_VALUE"""),"Black")</f>
        <v>Black</v>
      </c>
    </row>
    <row r="1091" spans="1:6" ht="12.5">
      <c r="A1091" s="1" t="str">
        <f ca="1">IFERROR(__xludf.DUMMYFUNCTION("""COMPUTED_VALUE"""),"20190823MOROS")</f>
        <v>20190823MOROS</v>
      </c>
      <c r="B1091" s="1" t="str">
        <f ca="1">IFERROR(__xludf.DUMMYFUNCTION("""COMPUTED_VALUE"""),"Fatal")</f>
        <v>Fatal</v>
      </c>
      <c r="C1091" s="1" t="str">
        <f ca="1">IFERROR(__xludf.DUMMYFUNCTION("""COMPUTED_VALUE"""),"Female")</f>
        <v>Female</v>
      </c>
      <c r="D1091" s="1" t="str">
        <f ca="1">IFERROR(__xludf.DUMMYFUNCTION("""COMPUTED_VALUE"""),"Student")</f>
        <v>Student</v>
      </c>
      <c r="E1091" s="1">
        <f ca="1">IFERROR(__xludf.DUMMYFUNCTION("""COMPUTED_VALUE"""),16)</f>
        <v>16</v>
      </c>
      <c r="F1091" s="1" t="str">
        <f ca="1">IFERROR(__xludf.DUMMYFUNCTION("""COMPUTED_VALUE"""),"Black")</f>
        <v>Black</v>
      </c>
    </row>
    <row r="1092" spans="1:6" ht="12.5">
      <c r="A1092" s="1" t="str">
        <f ca="1">IFERROR(__xludf.DUMMYFUNCTION("""COMPUTED_VALUE"""),"20190823MOPAS")</f>
        <v>20190823MOPAS</v>
      </c>
      <c r="B1092" s="1" t="str">
        <f ca="1">IFERROR(__xludf.DUMMYFUNCTION("""COMPUTED_VALUE"""),"None")</f>
        <v>None</v>
      </c>
      <c r="C1092" s="1"/>
      <c r="D1092" s="1"/>
      <c r="E1092" s="1"/>
      <c r="F1092" s="1"/>
    </row>
    <row r="1093" spans="1:6" ht="12.5">
      <c r="A1093" s="1" t="str">
        <f ca="1">IFERROR(__xludf.DUMMYFUNCTION("""COMPUTED_VALUE"""),"20190823GAPEC")</f>
        <v>20190823GAPEC</v>
      </c>
      <c r="B1093" s="1" t="str">
        <f ca="1">IFERROR(__xludf.DUMMYFUNCTION("""COMPUTED_VALUE"""),"Wounded")</f>
        <v>Wounded</v>
      </c>
      <c r="C1093" s="1" t="str">
        <f ca="1">IFERROR(__xludf.DUMMYFUNCTION("""COMPUTED_VALUE"""),"Male")</f>
        <v>Male</v>
      </c>
      <c r="D1093" s="1" t="str">
        <f ca="1">IFERROR(__xludf.DUMMYFUNCTION("""COMPUTED_VALUE"""),"Nonstudent")</f>
        <v>Nonstudent</v>
      </c>
      <c r="E1093" s="1">
        <f ca="1">IFERROR(__xludf.DUMMYFUNCTION("""COMPUTED_VALUE"""),12)</f>
        <v>12</v>
      </c>
      <c r="F1093" s="1"/>
    </row>
    <row r="1094" spans="1:6" ht="12.5">
      <c r="A1094" s="1" t="str">
        <f ca="1">IFERROR(__xludf.DUMMYFUNCTION("""COMPUTED_VALUE"""),"20190820PASAC")</f>
        <v>20190820PASAC</v>
      </c>
      <c r="B1094" s="1" t="str">
        <f ca="1">IFERROR(__xludf.DUMMYFUNCTION("""COMPUTED_VALUE"""),"None")</f>
        <v>None</v>
      </c>
      <c r="C1094" s="1" t="str">
        <f ca="1">IFERROR(__xludf.DUMMYFUNCTION("""COMPUTED_VALUE"""),"Male")</f>
        <v>Male</v>
      </c>
      <c r="D1094" s="1" t="str">
        <f ca="1">IFERROR(__xludf.DUMMYFUNCTION("""COMPUTED_VALUE"""),"Parent")</f>
        <v>Parent</v>
      </c>
      <c r="E1094" s="1" t="str">
        <f ca="1">IFERROR(__xludf.DUMMYFUNCTION("""COMPUTED_VALUE"""),"Adult")</f>
        <v>Adult</v>
      </c>
      <c r="F1094" s="1"/>
    </row>
    <row r="1095" spans="1:6" ht="12.5">
      <c r="A1095" s="1" t="str">
        <f ca="1">IFERROR(__xludf.DUMMYFUNCTION("""COMPUTED_VALUE"""),"20190817GALAA")</f>
        <v>20190817GALAA</v>
      </c>
      <c r="B1095" s="1" t="str">
        <f ca="1">IFERROR(__xludf.DUMMYFUNCTION("""COMPUTED_VALUE"""),"Wounded")</f>
        <v>Wounded</v>
      </c>
      <c r="C1095" s="1" t="str">
        <f ca="1">IFERROR(__xludf.DUMMYFUNCTION("""COMPUTED_VALUE"""),"Male")</f>
        <v>Male</v>
      </c>
      <c r="D1095" s="1" t="str">
        <f ca="1">IFERROR(__xludf.DUMMYFUNCTION("""COMPUTED_VALUE"""),"Student")</f>
        <v>Student</v>
      </c>
      <c r="E1095" s="1">
        <f ca="1">IFERROR(__xludf.DUMMYFUNCTION("""COMPUTED_VALUE"""),16)</f>
        <v>16</v>
      </c>
      <c r="F1095" s="1" t="str">
        <f ca="1">IFERROR(__xludf.DUMMYFUNCTION("""COMPUTED_VALUE"""),"Black")</f>
        <v>Black</v>
      </c>
    </row>
    <row r="1096" spans="1:6" ht="12.5">
      <c r="A1096" s="1" t="str">
        <f ca="1">IFERROR(__xludf.DUMMYFUNCTION("""COMPUTED_VALUE"""),"20190817GALAA")</f>
        <v>20190817GALAA</v>
      </c>
      <c r="B1096" s="1" t="str">
        <f ca="1">IFERROR(__xludf.DUMMYFUNCTION("""COMPUTED_VALUE"""),"Wounded")</f>
        <v>Wounded</v>
      </c>
      <c r="C1096" s="1" t="str">
        <f ca="1">IFERROR(__xludf.DUMMYFUNCTION("""COMPUTED_VALUE"""),"Male")</f>
        <v>Male</v>
      </c>
      <c r="D1096" s="1" t="str">
        <f ca="1">IFERROR(__xludf.DUMMYFUNCTION("""COMPUTED_VALUE"""),"Nonstudent Using Athletic Facilities/Attending Game")</f>
        <v>Nonstudent Using Athletic Facilities/Attending Game</v>
      </c>
      <c r="E1096" s="1">
        <f ca="1">IFERROR(__xludf.DUMMYFUNCTION("""COMPUTED_VALUE"""),12)</f>
        <v>12</v>
      </c>
      <c r="F1096" s="1" t="str">
        <f ca="1">IFERROR(__xludf.DUMMYFUNCTION("""COMPUTED_VALUE"""),"Black")</f>
        <v>Black</v>
      </c>
    </row>
    <row r="1097" spans="1:6" ht="12.5">
      <c r="A1097" s="1" t="str">
        <f ca="1">IFERROR(__xludf.DUMMYFUNCTION("""COMPUTED_VALUE"""),"20190815TNEAN")</f>
        <v>20190815TNEAN</v>
      </c>
      <c r="B1097" s="1" t="str">
        <f ca="1">IFERROR(__xludf.DUMMYFUNCTION("""COMPUTED_VALUE"""),"None")</f>
        <v>None</v>
      </c>
      <c r="C1097" s="1"/>
      <c r="D1097" s="1"/>
      <c r="E1097" s="1"/>
      <c r="F1097" s="1"/>
    </row>
    <row r="1098" spans="1:6" ht="12.5">
      <c r="A1098" s="1" t="str">
        <f ca="1">IFERROR(__xludf.DUMMYFUNCTION("""COMPUTED_VALUE"""),"20190809NJWEN")</f>
        <v>20190809NJWEN</v>
      </c>
      <c r="B1098" s="1" t="str">
        <f ca="1">IFERROR(__xludf.DUMMYFUNCTION("""COMPUTED_VALUE"""),"Wounded")</f>
        <v>Wounded</v>
      </c>
      <c r="C1098" s="1"/>
      <c r="D1098" s="1" t="str">
        <f ca="1">IFERROR(__xludf.DUMMYFUNCTION("""COMPUTED_VALUE"""),"Student")</f>
        <v>Student</v>
      </c>
      <c r="E1098" s="1">
        <f ca="1">IFERROR(__xludf.DUMMYFUNCTION("""COMPUTED_VALUE"""),13)</f>
        <v>13</v>
      </c>
      <c r="F1098" s="1"/>
    </row>
    <row r="1099" spans="1:6" ht="12.5">
      <c r="A1099" s="1" t="str">
        <f ca="1">IFERROR(__xludf.DUMMYFUNCTION("""COMPUTED_VALUE"""),"20190809NJWEN")</f>
        <v>20190809NJWEN</v>
      </c>
      <c r="B1099" s="1" t="str">
        <f ca="1">IFERROR(__xludf.DUMMYFUNCTION("""COMPUTED_VALUE"""),"Wounded")</f>
        <v>Wounded</v>
      </c>
      <c r="C1099" s="1"/>
      <c r="D1099" s="1" t="str">
        <f ca="1">IFERROR(__xludf.DUMMYFUNCTION("""COMPUTED_VALUE"""),"Student")</f>
        <v>Student</v>
      </c>
      <c r="E1099" s="1">
        <f ca="1">IFERROR(__xludf.DUMMYFUNCTION("""COMPUTED_VALUE"""),18)</f>
        <v>18</v>
      </c>
      <c r="F1099" s="1"/>
    </row>
    <row r="1100" spans="1:6" ht="12.5">
      <c r="A1100" s="1" t="str">
        <f ca="1">IFERROR(__xludf.DUMMYFUNCTION("""COMPUTED_VALUE"""),"20190808ALBLM")</f>
        <v>20190808ALBLM</v>
      </c>
      <c r="B1100" s="1" t="str">
        <f ca="1">IFERROR(__xludf.DUMMYFUNCTION("""COMPUTED_VALUE"""),"None")</f>
        <v>None</v>
      </c>
      <c r="C1100" s="1"/>
      <c r="D1100" s="1"/>
      <c r="E1100" s="1"/>
      <c r="F1100" s="1"/>
    </row>
    <row r="1101" spans="1:6" ht="12.5">
      <c r="A1101" s="1" t="str">
        <f ca="1">IFERROR(__xludf.DUMMYFUNCTION("""COMPUTED_VALUE"""),"20190719CAMOS")</f>
        <v>20190719CAMOS</v>
      </c>
      <c r="B1101" s="1" t="str">
        <f ca="1">IFERROR(__xludf.DUMMYFUNCTION("""COMPUTED_VALUE"""),"None")</f>
        <v>None</v>
      </c>
      <c r="C1101" s="1"/>
      <c r="D1101" s="1"/>
      <c r="E1101" s="1"/>
      <c r="F1101" s="1"/>
    </row>
    <row r="1102" spans="1:6" ht="12.5">
      <c r="A1102" s="1" t="str">
        <f ca="1">IFERROR(__xludf.DUMMYFUNCTION("""COMPUTED_VALUE"""),"20190711CTBUH")</f>
        <v>20190711CTBUH</v>
      </c>
      <c r="B1102" s="1" t="str">
        <f ca="1">IFERROR(__xludf.DUMMYFUNCTION("""COMPUTED_VALUE"""),"Fatal")</f>
        <v>Fatal</v>
      </c>
      <c r="C1102" s="1" t="str">
        <f ca="1">IFERROR(__xludf.DUMMYFUNCTION("""COMPUTED_VALUE"""),"Male")</f>
        <v>Male</v>
      </c>
      <c r="D1102" s="1" t="str">
        <f ca="1">IFERROR(__xludf.DUMMYFUNCTION("""COMPUTED_VALUE"""),"No Relation")</f>
        <v>No Relation</v>
      </c>
      <c r="E1102" s="1">
        <f ca="1">IFERROR(__xludf.DUMMYFUNCTION("""COMPUTED_VALUE"""),34)</f>
        <v>34</v>
      </c>
      <c r="F1102" s="1" t="str">
        <f ca="1">IFERROR(__xludf.DUMMYFUNCTION("""COMPUTED_VALUE"""),"Hispanic")</f>
        <v>Hispanic</v>
      </c>
    </row>
    <row r="1103" spans="1:6" ht="12.5">
      <c r="A1103" s="1" t="str">
        <f ca="1">IFERROR(__xludf.DUMMYFUNCTION("""COMPUTED_VALUE"""),"20190702AKWIA")</f>
        <v>20190702AKWIA</v>
      </c>
      <c r="B1103" s="1" t="str">
        <f ca="1">IFERROR(__xludf.DUMMYFUNCTION("""COMPUTED_VALUE"""),"Wounded")</f>
        <v>Wounded</v>
      </c>
      <c r="C1103" s="1" t="str">
        <f ca="1">IFERROR(__xludf.DUMMYFUNCTION("""COMPUTED_VALUE"""),"Male")</f>
        <v>Male</v>
      </c>
      <c r="D1103" s="1" t="str">
        <f ca="1">IFERROR(__xludf.DUMMYFUNCTION("""COMPUTED_VALUE"""),"No Relation")</f>
        <v>No Relation</v>
      </c>
      <c r="E1103" s="1" t="str">
        <f ca="1">IFERROR(__xludf.DUMMYFUNCTION("""COMPUTED_VALUE"""),"Teen")</f>
        <v>Teen</v>
      </c>
      <c r="F1103" s="1"/>
    </row>
    <row r="1104" spans="1:6" ht="12.5">
      <c r="A1104" s="1" t="str">
        <f ca="1">IFERROR(__xludf.DUMMYFUNCTION("""COMPUTED_VALUE"""),"20190701NYSCN")</f>
        <v>20190701NYSCN</v>
      </c>
      <c r="B1104" s="1" t="str">
        <f ca="1">IFERROR(__xludf.DUMMYFUNCTION("""COMPUTED_VALUE"""),"Wounded")</f>
        <v>Wounded</v>
      </c>
      <c r="C1104" s="1" t="str">
        <f ca="1">IFERROR(__xludf.DUMMYFUNCTION("""COMPUTED_VALUE"""),"Male")</f>
        <v>Male</v>
      </c>
      <c r="D1104" s="1" t="str">
        <f ca="1">IFERROR(__xludf.DUMMYFUNCTION("""COMPUTED_VALUE"""),"No Relation")</f>
        <v>No Relation</v>
      </c>
      <c r="E1104" s="1">
        <f ca="1">IFERROR(__xludf.DUMMYFUNCTION("""COMPUTED_VALUE"""),13)</f>
        <v>13</v>
      </c>
      <c r="F1104" s="1" t="str">
        <f ca="1">IFERROR(__xludf.DUMMYFUNCTION("""COMPUTED_VALUE"""),"Black")</f>
        <v>Black</v>
      </c>
    </row>
    <row r="1105" spans="1:6" ht="12.5">
      <c r="A1105" s="1" t="str">
        <f ca="1">IFERROR(__xludf.DUMMYFUNCTION("""COMPUTED_VALUE"""),"20190629COJAC")</f>
        <v>20190629COJAC</v>
      </c>
      <c r="B1105" s="1" t="str">
        <f ca="1">IFERROR(__xludf.DUMMYFUNCTION("""COMPUTED_VALUE"""),"Fatal")</f>
        <v>Fatal</v>
      </c>
      <c r="C1105" s="1" t="str">
        <f ca="1">IFERROR(__xludf.DUMMYFUNCTION("""COMPUTED_VALUE"""),"Male")</f>
        <v>Male</v>
      </c>
      <c r="D1105" s="1" t="str">
        <f ca="1">IFERROR(__xludf.DUMMYFUNCTION("""COMPUTED_VALUE"""),"No Relation")</f>
        <v>No Relation</v>
      </c>
      <c r="E1105" s="1">
        <f ca="1">IFERROR(__xludf.DUMMYFUNCTION("""COMPUTED_VALUE"""),18)</f>
        <v>18</v>
      </c>
      <c r="F1105" s="1"/>
    </row>
    <row r="1106" spans="1:6" ht="12.5">
      <c r="A1106" s="1" t="str">
        <f ca="1">IFERROR(__xludf.DUMMYFUNCTION("""COMPUTED_VALUE"""),"20190629COJAC")</f>
        <v>20190629COJAC</v>
      </c>
      <c r="B1106" s="1" t="str">
        <f ca="1">IFERROR(__xludf.DUMMYFUNCTION("""COMPUTED_VALUE"""),"Fatal")</f>
        <v>Fatal</v>
      </c>
      <c r="C1106" s="1" t="str">
        <f ca="1">IFERROR(__xludf.DUMMYFUNCTION("""COMPUTED_VALUE"""),"Male")</f>
        <v>Male</v>
      </c>
      <c r="D1106" s="1" t="str">
        <f ca="1">IFERROR(__xludf.DUMMYFUNCTION("""COMPUTED_VALUE"""),"No Relation")</f>
        <v>No Relation</v>
      </c>
      <c r="E1106" s="1">
        <f ca="1">IFERROR(__xludf.DUMMYFUNCTION("""COMPUTED_VALUE"""),22)</f>
        <v>22</v>
      </c>
      <c r="F1106" s="1"/>
    </row>
    <row r="1107" spans="1:6" ht="12.5">
      <c r="A1107" s="1" t="str">
        <f ca="1">IFERROR(__xludf.DUMMYFUNCTION("""COMPUTED_VALUE"""),"20190621MICAF")</f>
        <v>20190621MICAF</v>
      </c>
      <c r="B1107" s="1" t="str">
        <f ca="1">IFERROR(__xludf.DUMMYFUNCTION("""COMPUTED_VALUE"""),"Wounded")</f>
        <v>Wounded</v>
      </c>
      <c r="C1107" s="1" t="str">
        <f ca="1">IFERROR(__xludf.DUMMYFUNCTION("""COMPUTED_VALUE"""),"Male")</f>
        <v>Male</v>
      </c>
      <c r="D1107" s="1" t="str">
        <f ca="1">IFERROR(__xludf.DUMMYFUNCTION("""COMPUTED_VALUE"""),"Unknown")</f>
        <v>Unknown</v>
      </c>
      <c r="E1107" s="1">
        <f ca="1">IFERROR(__xludf.DUMMYFUNCTION("""COMPUTED_VALUE"""),15)</f>
        <v>15</v>
      </c>
      <c r="F1107" s="1"/>
    </row>
    <row r="1108" spans="1:6" ht="12.5">
      <c r="A1108" s="1" t="str">
        <f ca="1">IFERROR(__xludf.DUMMYFUNCTION("""COMPUTED_VALUE"""),"20190613NJTAW")</f>
        <v>20190613NJTAW</v>
      </c>
      <c r="B1108" s="1" t="str">
        <f ca="1">IFERROR(__xludf.DUMMYFUNCTION("""COMPUTED_VALUE"""),"None")</f>
        <v>None</v>
      </c>
      <c r="C1108" s="1"/>
      <c r="D1108" s="1"/>
      <c r="E1108" s="1"/>
      <c r="F1108" s="1"/>
    </row>
    <row r="1109" spans="1:6" ht="12.5">
      <c r="A1109" s="1" t="str">
        <f ca="1">IFERROR(__xludf.DUMMYFUNCTION("""COMPUTED_VALUE"""),"20190612PAJEE")</f>
        <v>20190612PAJEE</v>
      </c>
      <c r="B1109" s="1" t="str">
        <f ca="1">IFERROR(__xludf.DUMMYFUNCTION("""COMPUTED_VALUE"""),"None")</f>
        <v>None</v>
      </c>
      <c r="C1109" s="1" t="str">
        <f ca="1">IFERROR(__xludf.DUMMYFUNCTION("""COMPUTED_VALUE"""),"Male")</f>
        <v>Male</v>
      </c>
      <c r="D1109" s="1" t="str">
        <f ca="1">IFERROR(__xludf.DUMMYFUNCTION("""COMPUTED_VALUE"""),"No Relation")</f>
        <v>No Relation</v>
      </c>
      <c r="E1109" s="1">
        <f ca="1">IFERROR(__xludf.DUMMYFUNCTION("""COMPUTED_VALUE"""),18)</f>
        <v>18</v>
      </c>
      <c r="F1109" s="1"/>
    </row>
    <row r="1110" spans="1:6" ht="12.5">
      <c r="A1110" s="1" t="str">
        <f ca="1">IFERROR(__xludf.DUMMYFUNCTION("""COMPUTED_VALUE"""),"20190612DCHEW")</f>
        <v>20190612DCHEW</v>
      </c>
      <c r="B1110" s="1" t="str">
        <f ca="1">IFERROR(__xludf.DUMMYFUNCTION("""COMPUTED_VALUE"""),"None")</f>
        <v>None</v>
      </c>
      <c r="C1110" s="1"/>
      <c r="D1110" s="1"/>
      <c r="E1110" s="1"/>
      <c r="F1110" s="1"/>
    </row>
    <row r="1111" spans="1:6" ht="12.5">
      <c r="A1111" s="1" t="str">
        <f ca="1">IFERROR(__xludf.DUMMYFUNCTION("""COMPUTED_VALUE"""),"20190610ILMEW")</f>
        <v>20190610ILMEW</v>
      </c>
      <c r="B1111" s="1" t="str">
        <f ca="1">IFERROR(__xludf.DUMMYFUNCTION("""COMPUTED_VALUE"""),"Wounded")</f>
        <v>Wounded</v>
      </c>
      <c r="C1111" s="1" t="str">
        <f ca="1">IFERROR(__xludf.DUMMYFUNCTION("""COMPUTED_VALUE"""),"Male")</f>
        <v>Male</v>
      </c>
      <c r="D1111" s="1" t="str">
        <f ca="1">IFERROR(__xludf.DUMMYFUNCTION("""COMPUTED_VALUE"""),"No Relation")</f>
        <v>No Relation</v>
      </c>
      <c r="E1111" s="1">
        <f ca="1">IFERROR(__xludf.DUMMYFUNCTION("""COMPUTED_VALUE"""),27)</f>
        <v>27</v>
      </c>
      <c r="F1111" s="1" t="str">
        <f ca="1">IFERROR(__xludf.DUMMYFUNCTION("""COMPUTED_VALUE"""),"Hispanic")</f>
        <v>Hispanic</v>
      </c>
    </row>
    <row r="1112" spans="1:6" ht="12.5">
      <c r="A1112" s="1" t="str">
        <f ca="1">IFERROR(__xludf.DUMMYFUNCTION("""COMPUTED_VALUE"""),"20190606ILGEC")</f>
        <v>20190606ILGEC</v>
      </c>
      <c r="B1112" s="1" t="str">
        <f ca="1">IFERROR(__xludf.DUMMYFUNCTION("""COMPUTED_VALUE"""),"Wounded")</f>
        <v>Wounded</v>
      </c>
      <c r="C1112" s="1" t="str">
        <f ca="1">IFERROR(__xludf.DUMMYFUNCTION("""COMPUTED_VALUE"""),"Male")</f>
        <v>Male</v>
      </c>
      <c r="D1112" s="1" t="str">
        <f ca="1">IFERROR(__xludf.DUMMYFUNCTION("""COMPUTED_VALUE"""),"Nonstudent Using Athletic Facilities/Attending Game")</f>
        <v>Nonstudent Using Athletic Facilities/Attending Game</v>
      </c>
      <c r="E1112" s="1">
        <f ca="1">IFERROR(__xludf.DUMMYFUNCTION("""COMPUTED_VALUE"""),25)</f>
        <v>25</v>
      </c>
      <c r="F1112" s="1"/>
    </row>
    <row r="1113" spans="1:6" ht="12.5">
      <c r="A1113" s="1" t="str">
        <f ca="1">IFERROR(__xludf.DUMMYFUNCTION("""COMPUTED_VALUE"""),"20190530DCHEW")</f>
        <v>20190530DCHEW</v>
      </c>
      <c r="B1113" s="1" t="str">
        <f ca="1">IFERROR(__xludf.DUMMYFUNCTION("""COMPUTED_VALUE"""),"None")</f>
        <v>None</v>
      </c>
      <c r="C1113" s="1"/>
      <c r="D1113" s="1"/>
      <c r="E1113" s="1"/>
      <c r="F1113" s="1"/>
    </row>
    <row r="1114" spans="1:6" ht="12.5">
      <c r="A1114" s="1" t="str">
        <f ca="1">IFERROR(__xludf.DUMMYFUNCTION("""COMPUTED_VALUE"""),"20190522OHSAC")</f>
        <v>20190522OHSAC</v>
      </c>
      <c r="B1114" s="1" t="str">
        <f ca="1">IFERROR(__xludf.DUMMYFUNCTION("""COMPUTED_VALUE"""),"Fatal")</f>
        <v>Fatal</v>
      </c>
      <c r="C1114" s="1" t="str">
        <f ca="1">IFERROR(__xludf.DUMMYFUNCTION("""COMPUTED_VALUE"""),"Male")</f>
        <v>Male</v>
      </c>
      <c r="D1114" s="1" t="str">
        <f ca="1">IFERROR(__xludf.DUMMYFUNCTION("""COMPUTED_VALUE"""),"No Relation")</f>
        <v>No Relation</v>
      </c>
      <c r="E1114" s="1">
        <f ca="1">IFERROR(__xludf.DUMMYFUNCTION("""COMPUTED_VALUE"""),14)</f>
        <v>14</v>
      </c>
      <c r="F1114" s="1" t="str">
        <f ca="1">IFERROR(__xludf.DUMMYFUNCTION("""COMPUTED_VALUE"""),"Black")</f>
        <v>Black</v>
      </c>
    </row>
    <row r="1115" spans="1:6" ht="12.5">
      <c r="A1115" s="1" t="str">
        <f ca="1">IFERROR(__xludf.DUMMYFUNCTION("""COMPUTED_VALUE"""),"20190522OHSAC")</f>
        <v>20190522OHSAC</v>
      </c>
      <c r="B1115" s="1" t="str">
        <f ca="1">IFERROR(__xludf.DUMMYFUNCTION("""COMPUTED_VALUE"""),"Wounded")</f>
        <v>Wounded</v>
      </c>
      <c r="C1115" s="1" t="str">
        <f ca="1">IFERROR(__xludf.DUMMYFUNCTION("""COMPUTED_VALUE"""),"Female")</f>
        <v>Female</v>
      </c>
      <c r="D1115" s="1" t="str">
        <f ca="1">IFERROR(__xludf.DUMMYFUNCTION("""COMPUTED_VALUE"""),"No Relation")</f>
        <v>No Relation</v>
      </c>
      <c r="E1115" s="1">
        <f ca="1">IFERROR(__xludf.DUMMYFUNCTION("""COMPUTED_VALUE"""),14)</f>
        <v>14</v>
      </c>
      <c r="F1115" s="1"/>
    </row>
    <row r="1116" spans="1:6" ht="12.5">
      <c r="A1116" s="1" t="str">
        <f ca="1">IFERROR(__xludf.DUMMYFUNCTION("""COMPUTED_VALUE"""),"20190517ORPAP")</f>
        <v>20190517ORPAP</v>
      </c>
      <c r="B1116" s="1" t="str">
        <f ca="1">IFERROR(__xludf.DUMMYFUNCTION("""COMPUTED_VALUE"""),"None")</f>
        <v>None</v>
      </c>
      <c r="C1116" s="1"/>
      <c r="D1116" s="1"/>
      <c r="E1116" s="1"/>
      <c r="F1116" s="1"/>
    </row>
    <row r="1117" spans="1:6" ht="12.5">
      <c r="A1117" s="1" t="str">
        <f ca="1">IFERROR(__xludf.DUMMYFUNCTION("""COMPUTED_VALUE"""),"20190517FLTEJ")</f>
        <v>20190517FLTEJ</v>
      </c>
      <c r="B1117" s="1" t="str">
        <f ca="1">IFERROR(__xludf.DUMMYFUNCTION("""COMPUTED_VALUE"""),"Wounded")</f>
        <v>Wounded</v>
      </c>
      <c r="C1117" s="1" t="str">
        <f ca="1">IFERROR(__xludf.DUMMYFUNCTION("""COMPUTED_VALUE"""),"Male")</f>
        <v>Male</v>
      </c>
      <c r="D1117" s="1" t="str">
        <f ca="1">IFERROR(__xludf.DUMMYFUNCTION("""COMPUTED_VALUE"""),"Student")</f>
        <v>Student</v>
      </c>
      <c r="E1117" s="1">
        <f ca="1">IFERROR(__xludf.DUMMYFUNCTION("""COMPUTED_VALUE"""),16)</f>
        <v>16</v>
      </c>
      <c r="F1117" s="1" t="str">
        <f ca="1">IFERROR(__xludf.DUMMYFUNCTION("""COMPUTED_VALUE"""),"Black")</f>
        <v>Black</v>
      </c>
    </row>
    <row r="1118" spans="1:6" ht="12.5">
      <c r="A1118" s="1" t="str">
        <f ca="1">IFERROR(__xludf.DUMMYFUNCTION("""COMPUTED_VALUE"""),"20190508ILSEC")</f>
        <v>20190508ILSEC</v>
      </c>
      <c r="B1118" s="1" t="str">
        <f ca="1">IFERROR(__xludf.DUMMYFUNCTION("""COMPUTED_VALUE"""),"Wounded")</f>
        <v>Wounded</v>
      </c>
      <c r="C1118" s="1" t="str">
        <f ca="1">IFERROR(__xludf.DUMMYFUNCTION("""COMPUTED_VALUE"""),"Male")</f>
        <v>Male</v>
      </c>
      <c r="D1118" s="1" t="str">
        <f ca="1">IFERROR(__xludf.DUMMYFUNCTION("""COMPUTED_VALUE"""),"Student")</f>
        <v>Student</v>
      </c>
      <c r="E1118" s="1">
        <f ca="1">IFERROR(__xludf.DUMMYFUNCTION("""COMPUTED_VALUE"""),19)</f>
        <v>19</v>
      </c>
      <c r="F1118" s="1"/>
    </row>
    <row r="1119" spans="1:6" ht="12.5">
      <c r="A1119" s="1" t="str">
        <f ca="1">IFERROR(__xludf.DUMMYFUNCTION("""COMPUTED_VALUE"""),"20190507COSTH")</f>
        <v>20190507COSTH</v>
      </c>
      <c r="B1119" s="1" t="str">
        <f ca="1">IFERROR(__xludf.DUMMYFUNCTION("""COMPUTED_VALUE"""),"Wounded")</f>
        <v>Wounded</v>
      </c>
      <c r="C1119" s="1"/>
      <c r="D1119" s="1" t="str">
        <f ca="1">IFERROR(__xludf.DUMMYFUNCTION("""COMPUTED_VALUE"""),"Student")</f>
        <v>Student</v>
      </c>
      <c r="E1119" s="1" t="str">
        <f ca="1">IFERROR(__xludf.DUMMYFUNCTION("""COMPUTED_VALUE"""),"Teen")</f>
        <v>Teen</v>
      </c>
      <c r="F1119" s="1"/>
    </row>
    <row r="1120" spans="1:6" ht="12.5">
      <c r="A1120" s="1" t="str">
        <f ca="1">IFERROR(__xludf.DUMMYFUNCTION("""COMPUTED_VALUE"""),"20190507COSTH")</f>
        <v>20190507COSTH</v>
      </c>
      <c r="B1120" s="1" t="str">
        <f ca="1">IFERROR(__xludf.DUMMYFUNCTION("""COMPUTED_VALUE"""),"Wounded")</f>
        <v>Wounded</v>
      </c>
      <c r="C1120" s="1"/>
      <c r="D1120" s="1" t="str">
        <f ca="1">IFERROR(__xludf.DUMMYFUNCTION("""COMPUTED_VALUE"""),"Student")</f>
        <v>Student</v>
      </c>
      <c r="E1120" s="1" t="str">
        <f ca="1">IFERROR(__xludf.DUMMYFUNCTION("""COMPUTED_VALUE"""),"Teen")</f>
        <v>Teen</v>
      </c>
      <c r="F1120" s="1"/>
    </row>
    <row r="1121" spans="1:6" ht="12.5">
      <c r="A1121" s="1" t="str">
        <f ca="1">IFERROR(__xludf.DUMMYFUNCTION("""COMPUTED_VALUE"""),"20190507COSTH")</f>
        <v>20190507COSTH</v>
      </c>
      <c r="B1121" s="1" t="str">
        <f ca="1">IFERROR(__xludf.DUMMYFUNCTION("""COMPUTED_VALUE"""),"Fatal")</f>
        <v>Fatal</v>
      </c>
      <c r="C1121" s="1" t="str">
        <f ca="1">IFERROR(__xludf.DUMMYFUNCTION("""COMPUTED_VALUE"""),"Male")</f>
        <v>Male</v>
      </c>
      <c r="D1121" s="1" t="str">
        <f ca="1">IFERROR(__xludf.DUMMYFUNCTION("""COMPUTED_VALUE"""),"Student")</f>
        <v>Student</v>
      </c>
      <c r="E1121" s="1">
        <f ca="1">IFERROR(__xludf.DUMMYFUNCTION("""COMPUTED_VALUE"""),18)</f>
        <v>18</v>
      </c>
      <c r="F1121" s="1"/>
    </row>
    <row r="1122" spans="1:6" ht="12.5">
      <c r="A1122" s="1" t="str">
        <f ca="1">IFERROR(__xludf.DUMMYFUNCTION("""COMPUTED_VALUE"""),"20190507COSTH")</f>
        <v>20190507COSTH</v>
      </c>
      <c r="B1122" s="1" t="str">
        <f ca="1">IFERROR(__xludf.DUMMYFUNCTION("""COMPUTED_VALUE"""),"Wounded")</f>
        <v>Wounded</v>
      </c>
      <c r="C1122" s="1"/>
      <c r="D1122" s="1" t="str">
        <f ca="1">IFERROR(__xludf.DUMMYFUNCTION("""COMPUTED_VALUE"""),"Student")</f>
        <v>Student</v>
      </c>
      <c r="E1122" s="1" t="str">
        <f ca="1">IFERROR(__xludf.DUMMYFUNCTION("""COMPUTED_VALUE"""),"Teen")</f>
        <v>Teen</v>
      </c>
      <c r="F1122" s="1"/>
    </row>
    <row r="1123" spans="1:6" ht="12.5">
      <c r="A1123" s="1" t="str">
        <f ca="1">IFERROR(__xludf.DUMMYFUNCTION("""COMPUTED_VALUE"""),"20190507COSTH")</f>
        <v>20190507COSTH</v>
      </c>
      <c r="B1123" s="1" t="str">
        <f ca="1">IFERROR(__xludf.DUMMYFUNCTION("""COMPUTED_VALUE"""),"Wounded")</f>
        <v>Wounded</v>
      </c>
      <c r="C1123" s="1"/>
      <c r="D1123" s="1" t="str">
        <f ca="1">IFERROR(__xludf.DUMMYFUNCTION("""COMPUTED_VALUE"""),"Student")</f>
        <v>Student</v>
      </c>
      <c r="E1123" s="1" t="str">
        <f ca="1">IFERROR(__xludf.DUMMYFUNCTION("""COMPUTED_VALUE"""),"Teen")</f>
        <v>Teen</v>
      </c>
      <c r="F1123" s="1"/>
    </row>
    <row r="1124" spans="1:6" ht="12.5">
      <c r="A1124" s="1" t="str">
        <f ca="1">IFERROR(__xludf.DUMMYFUNCTION("""COMPUTED_VALUE"""),"20190507COSTH")</f>
        <v>20190507COSTH</v>
      </c>
      <c r="B1124" s="1" t="str">
        <f ca="1">IFERROR(__xludf.DUMMYFUNCTION("""COMPUTED_VALUE"""),"Wounded")</f>
        <v>Wounded</v>
      </c>
      <c r="C1124" s="1"/>
      <c r="D1124" s="1" t="str">
        <f ca="1">IFERROR(__xludf.DUMMYFUNCTION("""COMPUTED_VALUE"""),"Student")</f>
        <v>Student</v>
      </c>
      <c r="E1124" s="1" t="str">
        <f ca="1">IFERROR(__xludf.DUMMYFUNCTION("""COMPUTED_VALUE"""),"Teen")</f>
        <v>Teen</v>
      </c>
      <c r="F1124" s="1"/>
    </row>
    <row r="1125" spans="1:6" ht="12.5">
      <c r="A1125" s="1" t="str">
        <f ca="1">IFERROR(__xludf.DUMMYFUNCTION("""COMPUTED_VALUE"""),"20190507COSTH")</f>
        <v>20190507COSTH</v>
      </c>
      <c r="B1125" s="1" t="str">
        <f ca="1">IFERROR(__xludf.DUMMYFUNCTION("""COMPUTED_VALUE"""),"Wounded")</f>
        <v>Wounded</v>
      </c>
      <c r="C1125" s="1"/>
      <c r="D1125" s="1" t="str">
        <f ca="1">IFERROR(__xludf.DUMMYFUNCTION("""COMPUTED_VALUE"""),"Student")</f>
        <v>Student</v>
      </c>
      <c r="E1125" s="1" t="str">
        <f ca="1">IFERROR(__xludf.DUMMYFUNCTION("""COMPUTED_VALUE"""),"Teen")</f>
        <v>Teen</v>
      </c>
      <c r="F1125" s="1"/>
    </row>
    <row r="1126" spans="1:6" ht="12.5">
      <c r="A1126" s="1" t="str">
        <f ca="1">IFERROR(__xludf.DUMMYFUNCTION("""COMPUTED_VALUE"""),"20190507COSTH")</f>
        <v>20190507COSTH</v>
      </c>
      <c r="B1126" s="1" t="str">
        <f ca="1">IFERROR(__xludf.DUMMYFUNCTION("""COMPUTED_VALUE"""),"Wounded")</f>
        <v>Wounded</v>
      </c>
      <c r="C1126" s="1"/>
      <c r="D1126" s="1" t="str">
        <f ca="1">IFERROR(__xludf.DUMMYFUNCTION("""COMPUTED_VALUE"""),"Student")</f>
        <v>Student</v>
      </c>
      <c r="E1126" s="1">
        <f ca="1">IFERROR(__xludf.DUMMYFUNCTION("""COMPUTED_VALUE"""),15)</f>
        <v>15</v>
      </c>
      <c r="F1126" s="1"/>
    </row>
    <row r="1127" spans="1:6" ht="12.5">
      <c r="A1127" s="1" t="str">
        <f ca="1">IFERROR(__xludf.DUMMYFUNCTION("""COMPUTED_VALUE"""),"20190507COSTH")</f>
        <v>20190507COSTH</v>
      </c>
      <c r="B1127" s="1" t="str">
        <f ca="1">IFERROR(__xludf.DUMMYFUNCTION("""COMPUTED_VALUE"""),"Wounded")</f>
        <v>Wounded</v>
      </c>
      <c r="C1127" s="1"/>
      <c r="D1127" s="1" t="str">
        <f ca="1">IFERROR(__xludf.DUMMYFUNCTION("""COMPUTED_VALUE"""),"Student")</f>
        <v>Student</v>
      </c>
      <c r="E1127" s="1" t="str">
        <f ca="1">IFERROR(__xludf.DUMMYFUNCTION("""COMPUTED_VALUE"""),"Teen")</f>
        <v>Teen</v>
      </c>
      <c r="F1127" s="1"/>
    </row>
    <row r="1128" spans="1:6" ht="12.5">
      <c r="A1128" s="1" t="str">
        <f ca="1">IFERROR(__xludf.DUMMYFUNCTION("""COMPUTED_VALUE"""),"20190430VACDW")</f>
        <v>20190430VACDW</v>
      </c>
      <c r="B1128" s="1" t="str">
        <f ca="1">IFERROR(__xludf.DUMMYFUNCTION("""COMPUTED_VALUE"""),"None")</f>
        <v>None</v>
      </c>
      <c r="C1128" s="1"/>
      <c r="D1128" s="1"/>
      <c r="E1128" s="1"/>
      <c r="F1128" s="1"/>
    </row>
    <row r="1129" spans="1:6" ht="12.5">
      <c r="A1129" s="1" t="str">
        <f ca="1">IFERROR(__xludf.DUMMYFUNCTION("""COMPUTED_VALUE"""),"20190430FLWEW")</f>
        <v>20190430FLWEW</v>
      </c>
      <c r="B1129" s="1" t="str">
        <f ca="1">IFERROR(__xludf.DUMMYFUNCTION("""COMPUTED_VALUE"""),"None")</f>
        <v>None</v>
      </c>
      <c r="C1129" s="1"/>
      <c r="D1129" s="1"/>
      <c r="E1129" s="1"/>
      <c r="F1129" s="1"/>
    </row>
    <row r="1130" spans="1:6" ht="12.5">
      <c r="A1130" s="1" t="str">
        <f ca="1">IFERROR(__xludf.DUMMYFUNCTION("""COMPUTED_VALUE"""),"20190426GACRF")</f>
        <v>20190426GACRF</v>
      </c>
      <c r="B1130" s="1" t="str">
        <f ca="1">IFERROR(__xludf.DUMMYFUNCTION("""COMPUTED_VALUE"""),"None")</f>
        <v>None</v>
      </c>
      <c r="C1130" s="1"/>
      <c r="D1130" s="1"/>
      <c r="E1130" s="1"/>
      <c r="F1130" s="1"/>
    </row>
    <row r="1131" spans="1:6" ht="12.5">
      <c r="A1131" s="1" t="str">
        <f ca="1">IFERROR(__xludf.DUMMYFUNCTION("""COMPUTED_VALUE"""),"20190425GAWYS")</f>
        <v>20190425GAWYS</v>
      </c>
      <c r="B1131" s="1" t="str">
        <f ca="1">IFERROR(__xludf.DUMMYFUNCTION("""COMPUTED_VALUE"""),"Non-gunshot Injury")</f>
        <v>Non-gunshot Injury</v>
      </c>
      <c r="C1131" s="1"/>
      <c r="D1131" s="1" t="str">
        <f ca="1">IFERROR(__xludf.DUMMYFUNCTION("""COMPUTED_VALUE"""),"Student")</f>
        <v>Student</v>
      </c>
      <c r="E1131" s="1" t="str">
        <f ca="1">IFERROR(__xludf.DUMMYFUNCTION("""COMPUTED_VALUE"""),"Child")</f>
        <v>Child</v>
      </c>
      <c r="F1131" s="1"/>
    </row>
    <row r="1132" spans="1:6" ht="12.5">
      <c r="A1132" s="1" t="str">
        <f ca="1">IFERROR(__xludf.DUMMYFUNCTION("""COMPUTED_VALUE"""),"20190425GAWYS")</f>
        <v>20190425GAWYS</v>
      </c>
      <c r="B1132" s="1" t="str">
        <f ca="1">IFERROR(__xludf.DUMMYFUNCTION("""COMPUTED_VALUE"""),"Non-gunshot Injury")</f>
        <v>Non-gunshot Injury</v>
      </c>
      <c r="C1132" s="1"/>
      <c r="D1132" s="1" t="str">
        <f ca="1">IFERROR(__xludf.DUMMYFUNCTION("""COMPUTED_VALUE"""),"Student")</f>
        <v>Student</v>
      </c>
      <c r="E1132" s="1" t="str">
        <f ca="1">IFERROR(__xludf.DUMMYFUNCTION("""COMPUTED_VALUE"""),"Child")</f>
        <v>Child</v>
      </c>
      <c r="F1132" s="1"/>
    </row>
    <row r="1133" spans="1:6" ht="12.5">
      <c r="A1133" s="1" t="str">
        <f ca="1">IFERROR(__xludf.DUMMYFUNCTION("""COMPUTED_VALUE"""),"20190425GAWYS")</f>
        <v>20190425GAWYS</v>
      </c>
      <c r="B1133" s="1" t="str">
        <f ca="1">IFERROR(__xludf.DUMMYFUNCTION("""COMPUTED_VALUE"""),"Non-gunshot Injury")</f>
        <v>Non-gunshot Injury</v>
      </c>
      <c r="C1133" s="1"/>
      <c r="D1133" s="1" t="str">
        <f ca="1">IFERROR(__xludf.DUMMYFUNCTION("""COMPUTED_VALUE"""),"Student")</f>
        <v>Student</v>
      </c>
      <c r="E1133" s="1" t="str">
        <f ca="1">IFERROR(__xludf.DUMMYFUNCTION("""COMPUTED_VALUE"""),"Child")</f>
        <v>Child</v>
      </c>
      <c r="F1133" s="1"/>
    </row>
    <row r="1134" spans="1:6" ht="12.5">
      <c r="A1134" s="1" t="str">
        <f ca="1">IFERROR(__xludf.DUMMYFUNCTION("""COMPUTED_VALUE"""),"20190425GAWYS")</f>
        <v>20190425GAWYS</v>
      </c>
      <c r="B1134" s="1" t="str">
        <f ca="1">IFERROR(__xludf.DUMMYFUNCTION("""COMPUTED_VALUE"""),"Non-gunshot Injury")</f>
        <v>Non-gunshot Injury</v>
      </c>
      <c r="C1134" s="1"/>
      <c r="D1134" s="1" t="str">
        <f ca="1">IFERROR(__xludf.DUMMYFUNCTION("""COMPUTED_VALUE"""),"Student")</f>
        <v>Student</v>
      </c>
      <c r="E1134" s="1" t="str">
        <f ca="1">IFERROR(__xludf.DUMMYFUNCTION("""COMPUTED_VALUE"""),"Child")</f>
        <v>Child</v>
      </c>
      <c r="F1134" s="1"/>
    </row>
    <row r="1135" spans="1:6" ht="12.5">
      <c r="A1135" s="1" t="str">
        <f ca="1">IFERROR(__xludf.DUMMYFUNCTION("""COMPUTED_VALUE"""),"20190425GAWYS")</f>
        <v>20190425GAWYS</v>
      </c>
      <c r="B1135" s="1" t="str">
        <f ca="1">IFERROR(__xludf.DUMMYFUNCTION("""COMPUTED_VALUE"""),"Non-gunshot Injury")</f>
        <v>Non-gunshot Injury</v>
      </c>
      <c r="C1135" s="1"/>
      <c r="D1135" s="1" t="str">
        <f ca="1">IFERROR(__xludf.DUMMYFUNCTION("""COMPUTED_VALUE"""),"Student")</f>
        <v>Student</v>
      </c>
      <c r="E1135" s="1" t="str">
        <f ca="1">IFERROR(__xludf.DUMMYFUNCTION("""COMPUTED_VALUE"""),"Child")</f>
        <v>Child</v>
      </c>
      <c r="F1135" s="1"/>
    </row>
    <row r="1136" spans="1:6" ht="12.5">
      <c r="A1136" s="1" t="str">
        <f ca="1">IFERROR(__xludf.DUMMYFUNCTION("""COMPUTED_VALUE"""),"20190425GAWYS")</f>
        <v>20190425GAWYS</v>
      </c>
      <c r="B1136" s="1" t="str">
        <f ca="1">IFERROR(__xludf.DUMMYFUNCTION("""COMPUTED_VALUE"""),"Non-gunshot Injury")</f>
        <v>Non-gunshot Injury</v>
      </c>
      <c r="C1136" s="1"/>
      <c r="D1136" s="1" t="str">
        <f ca="1">IFERROR(__xludf.DUMMYFUNCTION("""COMPUTED_VALUE"""),"Student")</f>
        <v>Student</v>
      </c>
      <c r="E1136" s="1" t="str">
        <f ca="1">IFERROR(__xludf.DUMMYFUNCTION("""COMPUTED_VALUE"""),"Child")</f>
        <v>Child</v>
      </c>
      <c r="F1136" s="1"/>
    </row>
    <row r="1137" spans="1:6" ht="12.5">
      <c r="A1137" s="1" t="str">
        <f ca="1">IFERROR(__xludf.DUMMYFUNCTION("""COMPUTED_VALUE"""),"20190425GAWYS")</f>
        <v>20190425GAWYS</v>
      </c>
      <c r="B1137" s="1" t="str">
        <f ca="1">IFERROR(__xludf.DUMMYFUNCTION("""COMPUTED_VALUE"""),"Non-gunshot Injury")</f>
        <v>Non-gunshot Injury</v>
      </c>
      <c r="C1137" s="1"/>
      <c r="D1137" s="1" t="str">
        <f ca="1">IFERROR(__xludf.DUMMYFUNCTION("""COMPUTED_VALUE"""),"Student")</f>
        <v>Student</v>
      </c>
      <c r="E1137" s="1" t="str">
        <f ca="1">IFERROR(__xludf.DUMMYFUNCTION("""COMPUTED_VALUE"""),"Child")</f>
        <v>Child</v>
      </c>
      <c r="F1137" s="1"/>
    </row>
    <row r="1138" spans="1:6" ht="12.5">
      <c r="A1138" s="1" t="str">
        <f ca="1">IFERROR(__xludf.DUMMYFUNCTION("""COMPUTED_VALUE"""),"20190425GAWYS")</f>
        <v>20190425GAWYS</v>
      </c>
      <c r="B1138" s="1" t="str">
        <f ca="1">IFERROR(__xludf.DUMMYFUNCTION("""COMPUTED_VALUE"""),"Non-gunshot Injury")</f>
        <v>Non-gunshot Injury</v>
      </c>
      <c r="C1138" s="1"/>
      <c r="D1138" s="1" t="str">
        <f ca="1">IFERROR(__xludf.DUMMYFUNCTION("""COMPUTED_VALUE"""),"Student")</f>
        <v>Student</v>
      </c>
      <c r="E1138" s="1" t="str">
        <f ca="1">IFERROR(__xludf.DUMMYFUNCTION("""COMPUTED_VALUE"""),"Child")</f>
        <v>Child</v>
      </c>
      <c r="F1138" s="1"/>
    </row>
    <row r="1139" spans="1:6" ht="12.5">
      <c r="A1139" s="1" t="str">
        <f ca="1">IFERROR(__xludf.DUMMYFUNCTION("""COMPUTED_VALUE"""),"20190425GAWYS")</f>
        <v>20190425GAWYS</v>
      </c>
      <c r="B1139" s="1" t="str">
        <f ca="1">IFERROR(__xludf.DUMMYFUNCTION("""COMPUTED_VALUE"""),"Non-gunshot Injury")</f>
        <v>Non-gunshot Injury</v>
      </c>
      <c r="C1139" s="1"/>
      <c r="D1139" s="1" t="str">
        <f ca="1">IFERROR(__xludf.DUMMYFUNCTION("""COMPUTED_VALUE"""),"Student")</f>
        <v>Student</v>
      </c>
      <c r="E1139" s="1" t="str">
        <f ca="1">IFERROR(__xludf.DUMMYFUNCTION("""COMPUTED_VALUE"""),"Child")</f>
        <v>Child</v>
      </c>
      <c r="F1139" s="1"/>
    </row>
    <row r="1140" spans="1:6" ht="12.5">
      <c r="A1140" s="1" t="str">
        <f ca="1">IFERROR(__xludf.DUMMYFUNCTION("""COMPUTED_VALUE"""),"20190425GAWYS")</f>
        <v>20190425GAWYS</v>
      </c>
      <c r="B1140" s="1" t="str">
        <f ca="1">IFERROR(__xludf.DUMMYFUNCTION("""COMPUTED_VALUE"""),"Non-gunshot Injury")</f>
        <v>Non-gunshot Injury</v>
      </c>
      <c r="C1140" s="1"/>
      <c r="D1140" s="1" t="str">
        <f ca="1">IFERROR(__xludf.DUMMYFUNCTION("""COMPUTED_VALUE"""),"Student")</f>
        <v>Student</v>
      </c>
      <c r="E1140" s="1" t="str">
        <f ca="1">IFERROR(__xludf.DUMMYFUNCTION("""COMPUTED_VALUE"""),"Child")</f>
        <v>Child</v>
      </c>
      <c r="F1140" s="1"/>
    </row>
    <row r="1141" spans="1:6" ht="12.5">
      <c r="A1141" s="1" t="str">
        <f ca="1">IFERROR(__xludf.DUMMYFUNCTION("""COMPUTED_VALUE"""),"20190424ARCOC")</f>
        <v>20190424ARCOC</v>
      </c>
      <c r="B1141" s="1" t="str">
        <f ca="1">IFERROR(__xludf.DUMMYFUNCTION("""COMPUTED_VALUE"""),"None")</f>
        <v>None</v>
      </c>
      <c r="C1141" s="1" t="str">
        <f ca="1">IFERROR(__xludf.DUMMYFUNCTION("""COMPUTED_VALUE"""),"Male")</f>
        <v>Male</v>
      </c>
      <c r="D1141" s="1" t="str">
        <f ca="1">IFERROR(__xludf.DUMMYFUNCTION("""COMPUTED_VALUE"""),"Student")</f>
        <v>Student</v>
      </c>
      <c r="E1141" s="1">
        <f ca="1">IFERROR(__xludf.DUMMYFUNCTION("""COMPUTED_VALUE"""),14)</f>
        <v>14</v>
      </c>
      <c r="F1141" s="1"/>
    </row>
    <row r="1142" spans="1:6" ht="12.5">
      <c r="A1142" s="1" t="str">
        <f ca="1">IFERROR(__xludf.DUMMYFUNCTION("""COMPUTED_VALUE"""),"20190417ILWAL")</f>
        <v>20190417ILWAL</v>
      </c>
      <c r="B1142" s="1" t="str">
        <f ca="1">IFERROR(__xludf.DUMMYFUNCTION("""COMPUTED_VALUE"""),"None")</f>
        <v>None</v>
      </c>
      <c r="C1142" s="1" t="str">
        <f ca="1">IFERROR(__xludf.DUMMYFUNCTION("""COMPUTED_VALUE"""),"Male")</f>
        <v>Male</v>
      </c>
      <c r="D1142" s="1" t="str">
        <f ca="1">IFERROR(__xludf.DUMMYFUNCTION("""COMPUTED_VALUE"""),"Student")</f>
        <v>Student</v>
      </c>
      <c r="E1142" s="1">
        <f ca="1">IFERROR(__xludf.DUMMYFUNCTION("""COMPUTED_VALUE"""),12)</f>
        <v>12</v>
      </c>
      <c r="F1142" s="1"/>
    </row>
    <row r="1143" spans="1:6" ht="12.5">
      <c r="A1143" s="1" t="str">
        <f ca="1">IFERROR(__xludf.DUMMYFUNCTION("""COMPUTED_VALUE"""),"20190410TXROH")</f>
        <v>20190410TXROH</v>
      </c>
      <c r="B1143" s="1" t="str">
        <f ca="1">IFERROR(__xludf.DUMMYFUNCTION("""COMPUTED_VALUE"""),"Wounded")</f>
        <v>Wounded</v>
      </c>
      <c r="C1143" s="1" t="str">
        <f ca="1">IFERROR(__xludf.DUMMYFUNCTION("""COMPUTED_VALUE"""),"Male")</f>
        <v>Male</v>
      </c>
      <c r="D1143" s="1" t="str">
        <f ca="1">IFERROR(__xludf.DUMMYFUNCTION("""COMPUTED_VALUE"""),"Student")</f>
        <v>Student</v>
      </c>
      <c r="E1143" s="1">
        <f ca="1">IFERROR(__xludf.DUMMYFUNCTION("""COMPUTED_VALUE"""),15)</f>
        <v>15</v>
      </c>
      <c r="F1143" s="1"/>
    </row>
    <row r="1144" spans="1:6" ht="12.5">
      <c r="A1144" s="1" t="str">
        <f ca="1">IFERROR(__xludf.DUMMYFUNCTION("""COMPUTED_VALUE"""),"20190407MAHOL")</f>
        <v>20190407MAHOL</v>
      </c>
      <c r="B1144" s="1" t="str">
        <f ca="1">IFERROR(__xludf.DUMMYFUNCTION("""COMPUTED_VALUE"""),"None")</f>
        <v>None</v>
      </c>
      <c r="C1144" s="1"/>
      <c r="D1144" s="1"/>
      <c r="E1144" s="1"/>
      <c r="F1144" s="1"/>
    </row>
    <row r="1145" spans="1:6" ht="12.5">
      <c r="A1145" s="1" t="str">
        <f ca="1">IFERROR(__xludf.DUMMYFUNCTION("""COMPUTED_VALUE"""),"20190405WISTM")</f>
        <v>20190405WISTM</v>
      </c>
      <c r="B1145" s="1" t="str">
        <f ca="1">IFERROR(__xludf.DUMMYFUNCTION("""COMPUTED_VALUE"""),"Wounded")</f>
        <v>Wounded</v>
      </c>
      <c r="C1145" s="1"/>
      <c r="D1145" s="1" t="str">
        <f ca="1">IFERROR(__xludf.DUMMYFUNCTION("""COMPUTED_VALUE"""),"Student")</f>
        <v>Student</v>
      </c>
      <c r="E1145" s="1">
        <f ca="1">IFERROR(__xludf.DUMMYFUNCTION("""COMPUTED_VALUE"""),10)</f>
        <v>10</v>
      </c>
      <c r="F1145" s="1"/>
    </row>
    <row r="1146" spans="1:6" ht="12.5">
      <c r="A1146" s="1" t="str">
        <f ca="1">IFERROR(__xludf.DUMMYFUNCTION("""COMPUTED_VALUE"""),"20190403FLSAJ")</f>
        <v>20190403FLSAJ</v>
      </c>
      <c r="B1146" s="1" t="str">
        <f ca="1">IFERROR(__xludf.DUMMYFUNCTION("""COMPUTED_VALUE"""),"None")</f>
        <v>None</v>
      </c>
      <c r="C1146" s="1"/>
      <c r="D1146" s="1"/>
      <c r="E1146" s="1"/>
      <c r="F1146" s="1"/>
    </row>
    <row r="1147" spans="1:6" ht="12.5">
      <c r="A1147" s="1" t="str">
        <f ca="1">IFERROR(__xludf.DUMMYFUNCTION("""COMPUTED_VALUE"""),"20190403COAUA")</f>
        <v>20190403COAUA</v>
      </c>
      <c r="B1147" s="1" t="str">
        <f ca="1">IFERROR(__xludf.DUMMYFUNCTION("""COMPUTED_VALUE"""),"None")</f>
        <v>None</v>
      </c>
      <c r="C1147" s="1"/>
      <c r="D1147" s="1"/>
      <c r="E1147" s="1"/>
      <c r="F1147" s="1"/>
    </row>
    <row r="1148" spans="1:6" ht="12.5">
      <c r="A1148" s="1" t="str">
        <f ca="1">IFERROR(__xludf.DUMMYFUNCTION("""COMPUTED_VALUE"""),"20190401ARPRP")</f>
        <v>20190401ARPRP</v>
      </c>
      <c r="B1148" s="1" t="str">
        <f ca="1">IFERROR(__xludf.DUMMYFUNCTION("""COMPUTED_VALUE"""),"Wounded")</f>
        <v>Wounded</v>
      </c>
      <c r="C1148" s="1" t="str">
        <f ca="1">IFERROR(__xludf.DUMMYFUNCTION("""COMPUTED_VALUE"""),"Male")</f>
        <v>Male</v>
      </c>
      <c r="D1148" s="1" t="str">
        <f ca="1">IFERROR(__xludf.DUMMYFUNCTION("""COMPUTED_VALUE"""),"Student")</f>
        <v>Student</v>
      </c>
      <c r="E1148" s="1">
        <f ca="1">IFERROR(__xludf.DUMMYFUNCTION("""COMPUTED_VALUE"""),14)</f>
        <v>14</v>
      </c>
      <c r="F1148" s="1"/>
    </row>
    <row r="1149" spans="1:6" ht="12.5">
      <c r="A1149" s="1" t="str">
        <f ca="1">IFERROR(__xludf.DUMMYFUNCTION("""COMPUTED_VALUE"""),"20190327MSSVH")</f>
        <v>20190327MSSVH</v>
      </c>
      <c r="B1149" s="1" t="str">
        <f ca="1">IFERROR(__xludf.DUMMYFUNCTION("""COMPUTED_VALUE"""),"Wounded")</f>
        <v>Wounded</v>
      </c>
      <c r="C1149" s="1" t="str">
        <f ca="1">IFERROR(__xludf.DUMMYFUNCTION("""COMPUTED_VALUE"""),"Male")</f>
        <v>Male</v>
      </c>
      <c r="D1149" s="1" t="str">
        <f ca="1">IFERROR(__xludf.DUMMYFUNCTION("""COMPUTED_VALUE"""),"Student")</f>
        <v>Student</v>
      </c>
      <c r="E1149" s="1">
        <f ca="1">IFERROR(__xludf.DUMMYFUNCTION("""COMPUTED_VALUE"""),10)</f>
        <v>10</v>
      </c>
      <c r="F1149" s="1" t="str">
        <f ca="1">IFERROR(__xludf.DUMMYFUNCTION("""COMPUTED_VALUE"""),"Black")</f>
        <v>Black</v>
      </c>
    </row>
    <row r="1150" spans="1:6" ht="12.5">
      <c r="A1150" s="1" t="str">
        <f ca="1">IFERROR(__xludf.DUMMYFUNCTION("""COMPUTED_VALUE"""),"20190327FLMAJ")</f>
        <v>20190327FLMAJ</v>
      </c>
      <c r="B1150" s="1" t="str">
        <f ca="1">IFERROR(__xludf.DUMMYFUNCTION("""COMPUTED_VALUE"""),"Wounded")</f>
        <v>Wounded</v>
      </c>
      <c r="C1150" s="1" t="str">
        <f ca="1">IFERROR(__xludf.DUMMYFUNCTION("""COMPUTED_VALUE"""),"Male")</f>
        <v>Male</v>
      </c>
      <c r="D1150" s="1" t="str">
        <f ca="1">IFERROR(__xludf.DUMMYFUNCTION("""COMPUTED_VALUE"""),"Student")</f>
        <v>Student</v>
      </c>
      <c r="E1150" s="1">
        <f ca="1">IFERROR(__xludf.DUMMYFUNCTION("""COMPUTED_VALUE"""),12)</f>
        <v>12</v>
      </c>
      <c r="F1150" s="1"/>
    </row>
    <row r="1151" spans="1:6" ht="12.5">
      <c r="A1151" s="1" t="str">
        <f ca="1">IFERROR(__xludf.DUMMYFUNCTION("""COMPUTED_VALUE"""),"20190322ALBLB")</f>
        <v>20190322ALBLB</v>
      </c>
      <c r="B1151" s="1" t="str">
        <f ca="1">IFERROR(__xludf.DUMMYFUNCTION("""COMPUTED_VALUE"""),"Non-gunshot Injury")</f>
        <v>Non-gunshot Injury</v>
      </c>
      <c r="C1151" s="1" t="str">
        <f ca="1">IFERROR(__xludf.DUMMYFUNCTION("""COMPUTED_VALUE"""),"Unknown")</f>
        <v>Unknown</v>
      </c>
      <c r="D1151" s="1" t="str">
        <f ca="1">IFERROR(__xludf.DUMMYFUNCTION("""COMPUTED_VALUE"""),"Student")</f>
        <v>Student</v>
      </c>
      <c r="E1151" s="1" t="str">
        <f ca="1">IFERROR(__xludf.DUMMYFUNCTION("""COMPUTED_VALUE"""),"Child")</f>
        <v>Child</v>
      </c>
      <c r="F1151" s="1"/>
    </row>
    <row r="1152" spans="1:6" ht="12.5">
      <c r="A1152" s="1" t="str">
        <f ca="1">IFERROR(__xludf.DUMMYFUNCTION("""COMPUTED_VALUE"""),"20190313FLLAO")</f>
        <v>20190313FLLAO</v>
      </c>
      <c r="B1152" s="1" t="str">
        <f ca="1">IFERROR(__xludf.DUMMYFUNCTION("""COMPUTED_VALUE"""),"None")</f>
        <v>None</v>
      </c>
      <c r="C1152" s="1" t="str">
        <f ca="1">IFERROR(__xludf.DUMMYFUNCTION("""COMPUTED_VALUE"""),"Female")</f>
        <v>Female</v>
      </c>
      <c r="D1152" s="1" t="str">
        <f ca="1">IFERROR(__xludf.DUMMYFUNCTION("""COMPUTED_VALUE"""),"Student")</f>
        <v>Student</v>
      </c>
      <c r="E1152" s="1">
        <f ca="1">IFERROR(__xludf.DUMMYFUNCTION("""COMPUTED_VALUE"""),17)</f>
        <v>17</v>
      </c>
      <c r="F1152" s="1"/>
    </row>
    <row r="1153" spans="1:6" ht="12.5">
      <c r="A1153" s="1" t="str">
        <f ca="1">IFERROR(__xludf.DUMMYFUNCTION("""COMPUTED_VALUE"""),"20190301KSHIM")</f>
        <v>20190301KSHIM</v>
      </c>
      <c r="B1153" s="1" t="str">
        <f ca="1">IFERROR(__xludf.DUMMYFUNCTION("""COMPUTED_VALUE"""),"None")</f>
        <v>None</v>
      </c>
      <c r="C1153" s="1"/>
      <c r="D1153" s="1"/>
      <c r="E1153" s="1"/>
      <c r="F1153" s="1"/>
    </row>
    <row r="1154" spans="1:6" ht="12.5">
      <c r="A1154" s="1" t="str">
        <f ca="1">IFERROR(__xludf.DUMMYFUNCTION("""COMPUTED_VALUE"""),"20190226ALROM")</f>
        <v>20190226ALROM</v>
      </c>
      <c r="B1154" s="1" t="str">
        <f ca="1">IFERROR(__xludf.DUMMYFUNCTION("""COMPUTED_VALUE"""),"Wounded")</f>
        <v>Wounded</v>
      </c>
      <c r="C1154" s="1" t="str">
        <f ca="1">IFERROR(__xludf.DUMMYFUNCTION("""COMPUTED_VALUE"""),"Male")</f>
        <v>Male</v>
      </c>
      <c r="D1154" s="1" t="str">
        <f ca="1">IFERROR(__xludf.DUMMYFUNCTION("""COMPUTED_VALUE"""),"Student")</f>
        <v>Student</v>
      </c>
      <c r="E1154" s="1">
        <f ca="1">IFERROR(__xludf.DUMMYFUNCTION("""COMPUTED_VALUE"""),17)</f>
        <v>17</v>
      </c>
      <c r="F1154" s="1"/>
    </row>
    <row r="1155" spans="1:6" ht="12.5">
      <c r="A1155" s="1" t="str">
        <f ca="1">IFERROR(__xludf.DUMMYFUNCTION("""COMPUTED_VALUE"""),"20190217COEAA")</f>
        <v>20190217COEAA</v>
      </c>
      <c r="B1155" s="1" t="str">
        <f ca="1">IFERROR(__xludf.DUMMYFUNCTION("""COMPUTED_VALUE"""),"Fatal")</f>
        <v>Fatal</v>
      </c>
      <c r="C1155" s="1" t="str">
        <f ca="1">IFERROR(__xludf.DUMMYFUNCTION("""COMPUTED_VALUE"""),"Male")</f>
        <v>Male</v>
      </c>
      <c r="D1155" s="1" t="str">
        <f ca="1">IFERROR(__xludf.DUMMYFUNCTION("""COMPUTED_VALUE"""),"Principal/Vice-Principal")</f>
        <v>Principal/Vice-Principal</v>
      </c>
      <c r="E1155" s="1">
        <f ca="1">IFERROR(__xludf.DUMMYFUNCTION("""COMPUTED_VALUE"""),46)</f>
        <v>46</v>
      </c>
      <c r="F1155" s="1" t="str">
        <f ca="1">IFERROR(__xludf.DUMMYFUNCTION("""COMPUTED_VALUE"""),"Black")</f>
        <v>Black</v>
      </c>
    </row>
    <row r="1156" spans="1:6" ht="12.5">
      <c r="A1156" s="1" t="str">
        <f ca="1">IFERROR(__xludf.DUMMYFUNCTION("""COMPUTED_VALUE"""),"20190214NMVR")</f>
        <v>20190214NMVR</v>
      </c>
      <c r="B1156" s="1" t="str">
        <f ca="1">IFERROR(__xludf.DUMMYFUNCTION("""COMPUTED_VALUE"""),"None")</f>
        <v>None</v>
      </c>
      <c r="C1156" s="1"/>
      <c r="D1156" s="1"/>
      <c r="E1156" s="1"/>
      <c r="F1156" s="1"/>
    </row>
    <row r="1157" spans="1:6" ht="12.5">
      <c r="A1157" s="1" t="str">
        <f ca="1">IFERROR(__xludf.DUMMYFUNCTION("""COMPUTED_VALUE"""),"20190212MOCEK")</f>
        <v>20190212MOCEK</v>
      </c>
      <c r="B1157" s="1" t="str">
        <f ca="1">IFERROR(__xludf.DUMMYFUNCTION("""COMPUTED_VALUE"""),"Fatal")</f>
        <v>Fatal</v>
      </c>
      <c r="C1157" s="1" t="str">
        <f ca="1">IFERROR(__xludf.DUMMYFUNCTION("""COMPUTED_VALUE"""),"Female")</f>
        <v>Female</v>
      </c>
      <c r="D1157" s="1" t="str">
        <f ca="1">IFERROR(__xludf.DUMMYFUNCTION("""COMPUTED_VALUE"""),"Student")</f>
        <v>Student</v>
      </c>
      <c r="E1157" s="1">
        <f ca="1">IFERROR(__xludf.DUMMYFUNCTION("""COMPUTED_VALUE"""),15)</f>
        <v>15</v>
      </c>
      <c r="F1157" s="1" t="str">
        <f ca="1">IFERROR(__xludf.DUMMYFUNCTION("""COMPUTED_VALUE"""),"Black")</f>
        <v>Black</v>
      </c>
    </row>
    <row r="1158" spans="1:6" ht="12.5">
      <c r="A1158" s="1" t="str">
        <f ca="1">IFERROR(__xludf.DUMMYFUNCTION("""COMPUTED_VALUE"""),"20190208MDFRB")</f>
        <v>20190208MDFRB</v>
      </c>
      <c r="B1158" s="1" t="str">
        <f ca="1">IFERROR(__xludf.DUMMYFUNCTION("""COMPUTED_VALUE"""),"Wounded")</f>
        <v>Wounded</v>
      </c>
      <c r="C1158" s="1" t="str">
        <f ca="1">IFERROR(__xludf.DUMMYFUNCTION("""COMPUTED_VALUE"""),"Male")</f>
        <v>Male</v>
      </c>
      <c r="D1158" s="1" t="str">
        <f ca="1">IFERROR(__xludf.DUMMYFUNCTION("""COMPUTED_VALUE"""),"Other Staff")</f>
        <v>Other Staff</v>
      </c>
      <c r="E1158" s="1">
        <f ca="1">IFERROR(__xludf.DUMMYFUNCTION("""COMPUTED_VALUE"""),56)</f>
        <v>56</v>
      </c>
      <c r="F1158" s="1"/>
    </row>
    <row r="1159" spans="1:6" ht="12.5">
      <c r="A1159" s="1" t="str">
        <f ca="1">IFERROR(__xludf.DUMMYFUNCTION("""COMPUTED_VALUE"""),"20190205MNMIM")</f>
        <v>20190205MNMIM</v>
      </c>
      <c r="B1159" s="1" t="str">
        <f ca="1">IFERROR(__xludf.DUMMYFUNCTION("""COMPUTED_VALUE"""),"Wounded")</f>
        <v>Wounded</v>
      </c>
      <c r="C1159" s="1" t="str">
        <f ca="1">IFERROR(__xludf.DUMMYFUNCTION("""COMPUTED_VALUE"""),"Male")</f>
        <v>Male</v>
      </c>
      <c r="D1159" s="1" t="str">
        <f ca="1">IFERROR(__xludf.DUMMYFUNCTION("""COMPUTED_VALUE"""),"Bus Driver")</f>
        <v>Bus Driver</v>
      </c>
      <c r="E1159" s="1"/>
      <c r="F1159" s="1"/>
    </row>
    <row r="1160" spans="1:6" ht="12.5">
      <c r="A1160" s="1" t="str">
        <f ca="1">IFERROR(__xludf.DUMMYFUNCTION("""COMPUTED_VALUE"""),"20190131TXATA")</f>
        <v>20190131TXATA</v>
      </c>
      <c r="B1160" s="1" t="str">
        <f ca="1">IFERROR(__xludf.DUMMYFUNCTION("""COMPUTED_VALUE"""),"Wounded")</f>
        <v>Wounded</v>
      </c>
      <c r="C1160" s="1" t="str">
        <f ca="1">IFERROR(__xludf.DUMMYFUNCTION("""COMPUTED_VALUE"""),"Male")</f>
        <v>Male</v>
      </c>
      <c r="D1160" s="1" t="str">
        <f ca="1">IFERROR(__xludf.DUMMYFUNCTION("""COMPUTED_VALUE"""),"Student")</f>
        <v>Student</v>
      </c>
      <c r="E1160" s="1">
        <f ca="1">IFERROR(__xludf.DUMMYFUNCTION("""COMPUTED_VALUE"""),16)</f>
        <v>16</v>
      </c>
      <c r="F1160" s="1"/>
    </row>
    <row r="1161" spans="1:6" ht="12.5">
      <c r="A1161" s="1" t="str">
        <f ca="1">IFERROR(__xludf.DUMMYFUNCTION("""COMPUTED_VALUE"""),"20190131TNMAM")</f>
        <v>20190131TNMAM</v>
      </c>
      <c r="B1161" s="1" t="str">
        <f ca="1">IFERROR(__xludf.DUMMYFUNCTION("""COMPUTED_VALUE"""),"Wounded")</f>
        <v>Wounded</v>
      </c>
      <c r="C1161" s="1" t="str">
        <f ca="1">IFERROR(__xludf.DUMMYFUNCTION("""COMPUTED_VALUE"""),"Male")</f>
        <v>Male</v>
      </c>
      <c r="D1161" s="1" t="str">
        <f ca="1">IFERROR(__xludf.DUMMYFUNCTION("""COMPUTED_VALUE"""),"Student")</f>
        <v>Student</v>
      </c>
      <c r="E1161" s="1">
        <f ca="1">IFERROR(__xludf.DUMMYFUNCTION("""COMPUTED_VALUE"""),14)</f>
        <v>14</v>
      </c>
      <c r="F1161" s="1"/>
    </row>
    <row r="1162" spans="1:6" ht="12.5">
      <c r="A1162" s="1" t="str">
        <f ca="1">IFERROR(__xludf.DUMMYFUNCTION("""COMPUTED_VALUE"""),"20190130GAMIL")</f>
        <v>20190130GAMIL</v>
      </c>
      <c r="B1162" s="1" t="str">
        <f ca="1">IFERROR(__xludf.DUMMYFUNCTION("""COMPUTED_VALUE"""),"Wounded")</f>
        <v>Wounded</v>
      </c>
      <c r="C1162" s="1" t="str">
        <f ca="1">IFERROR(__xludf.DUMMYFUNCTION("""COMPUTED_VALUE"""),"Male")</f>
        <v>Male</v>
      </c>
      <c r="D1162" s="1" t="str">
        <f ca="1">IFERROR(__xludf.DUMMYFUNCTION("""COMPUTED_VALUE"""),"No Relation")</f>
        <v>No Relation</v>
      </c>
      <c r="E1162" s="1" t="str">
        <f ca="1">IFERROR(__xludf.DUMMYFUNCTION("""COMPUTED_VALUE"""),"Adult")</f>
        <v>Adult</v>
      </c>
      <c r="F1162" s="1"/>
    </row>
    <row r="1163" spans="1:6" ht="12.5">
      <c r="A1163" s="1" t="str">
        <f ca="1">IFERROR(__xludf.DUMMYFUNCTION("""COMPUTED_VALUE"""),"20190125TNMAM")</f>
        <v>20190125TNMAM</v>
      </c>
      <c r="B1163" s="1" t="str">
        <f ca="1">IFERROR(__xludf.DUMMYFUNCTION("""COMPUTED_VALUE"""),"None")</f>
        <v>None</v>
      </c>
      <c r="C1163" s="1"/>
      <c r="D1163" s="1"/>
      <c r="E1163" s="1"/>
      <c r="F1163" s="1"/>
    </row>
    <row r="1164" spans="1:6" ht="12.5">
      <c r="A1164" s="1" t="str">
        <f ca="1">IFERROR(__xludf.DUMMYFUNCTION("""COMPUTED_VALUE"""),"20190125ALDAM")</f>
        <v>20190125ALDAM</v>
      </c>
      <c r="B1164" s="1" t="str">
        <f ca="1">IFERROR(__xludf.DUMMYFUNCTION("""COMPUTED_VALUE"""),"Wounded")</f>
        <v>Wounded</v>
      </c>
      <c r="C1164" s="1" t="str">
        <f ca="1">IFERROR(__xludf.DUMMYFUNCTION("""COMPUTED_VALUE"""),"Male")</f>
        <v>Male</v>
      </c>
      <c r="D1164" s="1" t="str">
        <f ca="1">IFERROR(__xludf.DUMMYFUNCTION("""COMPUTED_VALUE"""),"Student")</f>
        <v>Student</v>
      </c>
      <c r="E1164" s="1">
        <f ca="1">IFERROR(__xludf.DUMMYFUNCTION("""COMPUTED_VALUE"""),17)</f>
        <v>17</v>
      </c>
      <c r="F1164" s="1"/>
    </row>
    <row r="1165" spans="1:6" ht="12.5">
      <c r="A1165" s="1" t="str">
        <f ca="1">IFERROR(__xludf.DUMMYFUNCTION("""COMPUTED_VALUE"""),"20190125ALDAM")</f>
        <v>20190125ALDAM</v>
      </c>
      <c r="B1165" s="1" t="str">
        <f ca="1">IFERROR(__xludf.DUMMYFUNCTION("""COMPUTED_VALUE"""),"Wounded")</f>
        <v>Wounded</v>
      </c>
      <c r="C1165" s="1" t="str">
        <f ca="1">IFERROR(__xludf.DUMMYFUNCTION("""COMPUTED_VALUE"""),"Male")</f>
        <v>Male</v>
      </c>
      <c r="D1165" s="1" t="str">
        <f ca="1">IFERROR(__xludf.DUMMYFUNCTION("""COMPUTED_VALUE"""),"Nonstudent Using Athletic Facilities/Attending Game")</f>
        <v>Nonstudent Using Athletic Facilities/Attending Game</v>
      </c>
      <c r="E1165" s="1">
        <f ca="1">IFERROR(__xludf.DUMMYFUNCTION("""COMPUTED_VALUE"""),20)</f>
        <v>20</v>
      </c>
      <c r="F1165" s="1"/>
    </row>
    <row r="1166" spans="1:6" ht="12.5">
      <c r="A1166" s="1" t="str">
        <f ca="1">IFERROR(__xludf.DUMMYFUNCTION("""COMPUTED_VALUE"""),"20190123LASOS")</f>
        <v>20190123LASOS</v>
      </c>
      <c r="B1166" s="1" t="str">
        <f ca="1">IFERROR(__xludf.DUMMYFUNCTION("""COMPUTED_VALUE"""),"Wounded")</f>
        <v>Wounded</v>
      </c>
      <c r="C1166" s="1" t="str">
        <f ca="1">IFERROR(__xludf.DUMMYFUNCTION("""COMPUTED_VALUE"""),"Male")</f>
        <v>Male</v>
      </c>
      <c r="D1166" s="1" t="str">
        <f ca="1">IFERROR(__xludf.DUMMYFUNCTION("""COMPUTED_VALUE"""),"No Relation")</f>
        <v>No Relation</v>
      </c>
      <c r="E1166" s="1" t="str">
        <f ca="1">IFERROR(__xludf.DUMMYFUNCTION("""COMPUTED_VALUE"""),"Adult")</f>
        <v>Adult</v>
      </c>
      <c r="F1166" s="1"/>
    </row>
    <row r="1167" spans="1:6" ht="12.5">
      <c r="A1167" s="1" t="str">
        <f ca="1">IFERROR(__xludf.DUMMYFUNCTION("""COMPUTED_VALUE"""),"20190119KSLAO")</f>
        <v>20190119KSLAO</v>
      </c>
      <c r="B1167" s="1" t="str">
        <f ca="1">IFERROR(__xludf.DUMMYFUNCTION("""COMPUTED_VALUE"""),"Wounded")</f>
        <v>Wounded</v>
      </c>
      <c r="C1167" s="1" t="str">
        <f ca="1">IFERROR(__xludf.DUMMYFUNCTION("""COMPUTED_VALUE"""),"Male")</f>
        <v>Male</v>
      </c>
      <c r="D1167" s="1" t="str">
        <f ca="1">IFERROR(__xludf.DUMMYFUNCTION("""COMPUTED_VALUE"""),"No Relation")</f>
        <v>No Relation</v>
      </c>
      <c r="E1167" s="1">
        <f ca="1">IFERROR(__xludf.DUMMYFUNCTION("""COMPUTED_VALUE"""),16)</f>
        <v>16</v>
      </c>
      <c r="F1167" s="1"/>
    </row>
    <row r="1168" spans="1:6" ht="12.5">
      <c r="A1168" s="1" t="str">
        <f ca="1">IFERROR(__xludf.DUMMYFUNCTION("""COMPUTED_VALUE"""),"20190119KSLAO")</f>
        <v>20190119KSLAO</v>
      </c>
      <c r="B1168" s="1" t="str">
        <f ca="1">IFERROR(__xludf.DUMMYFUNCTION("""COMPUTED_VALUE"""),"Wounded")</f>
        <v>Wounded</v>
      </c>
      <c r="C1168" s="1" t="str">
        <f ca="1">IFERROR(__xludf.DUMMYFUNCTION("""COMPUTED_VALUE"""),"Male")</f>
        <v>Male</v>
      </c>
      <c r="D1168" s="1" t="str">
        <f ca="1">IFERROR(__xludf.DUMMYFUNCTION("""COMPUTED_VALUE"""),"No Relation")</f>
        <v>No Relation</v>
      </c>
      <c r="E1168" s="1">
        <f ca="1">IFERROR(__xludf.DUMMYFUNCTION("""COMPUTED_VALUE"""),15)</f>
        <v>15</v>
      </c>
      <c r="F1168" s="1"/>
    </row>
    <row r="1169" spans="1:6" ht="12.5">
      <c r="A1169" s="1" t="str">
        <f ca="1">IFERROR(__xludf.DUMMYFUNCTION("""COMPUTED_VALUE"""),"20190118NCSHD")</f>
        <v>20190118NCSHD</v>
      </c>
      <c r="B1169" s="1" t="str">
        <f ca="1">IFERROR(__xludf.DUMMYFUNCTION("""COMPUTED_VALUE"""),"Wounded")</f>
        <v>Wounded</v>
      </c>
      <c r="C1169" s="1"/>
      <c r="D1169" s="1" t="str">
        <f ca="1">IFERROR(__xludf.DUMMYFUNCTION("""COMPUTED_VALUE"""),"Bus Driver")</f>
        <v>Bus Driver</v>
      </c>
      <c r="E1169" s="1" t="str">
        <f ca="1">IFERROR(__xludf.DUMMYFUNCTION("""COMPUTED_VALUE"""),"Adult")</f>
        <v>Adult</v>
      </c>
      <c r="F1169" s="1"/>
    </row>
    <row r="1170" spans="1:6" ht="12.5">
      <c r="A1170" s="1" t="str">
        <f ca="1">IFERROR(__xludf.DUMMYFUNCTION("""COMPUTED_VALUE"""),"20190118MOHAS")</f>
        <v>20190118MOHAS</v>
      </c>
      <c r="B1170" s="1" t="str">
        <f ca="1">IFERROR(__xludf.DUMMYFUNCTION("""COMPUTED_VALUE"""),"None")</f>
        <v>None</v>
      </c>
      <c r="C1170" s="1"/>
      <c r="D1170" s="1"/>
      <c r="E1170" s="1"/>
      <c r="F1170" s="1"/>
    </row>
    <row r="1171" spans="1:6" ht="12.5">
      <c r="A1171" s="1" t="str">
        <f ca="1">IFERROR(__xludf.DUMMYFUNCTION("""COMPUTED_VALUE"""),"20190118ALCET")</f>
        <v>20190118ALCET</v>
      </c>
      <c r="B1171" s="1" t="str">
        <f ca="1">IFERROR(__xludf.DUMMYFUNCTION("""COMPUTED_VALUE"""),"None")</f>
        <v>None</v>
      </c>
      <c r="C1171" s="1" t="str">
        <f ca="1">IFERROR(__xludf.DUMMYFUNCTION("""COMPUTED_VALUE"""),"Female")</f>
        <v>Female</v>
      </c>
      <c r="D1171" s="1" t="str">
        <f ca="1">IFERROR(__xludf.DUMMYFUNCTION("""COMPUTED_VALUE"""),"Intimate Relationship")</f>
        <v>Intimate Relationship</v>
      </c>
      <c r="E1171" s="1" t="str">
        <f ca="1">IFERROR(__xludf.DUMMYFUNCTION("""COMPUTED_VALUE"""),"Adult")</f>
        <v>Adult</v>
      </c>
      <c r="F1171" s="1"/>
    </row>
    <row r="1172" spans="1:6" ht="12.5">
      <c r="A1172" s="1" t="str">
        <f ca="1">IFERROR(__xludf.DUMMYFUNCTION("""COMPUTED_VALUE"""),"20190111ORCAE")</f>
        <v>20190111ORCAE</v>
      </c>
      <c r="B1172" s="1" t="str">
        <f ca="1">IFERROR(__xludf.DUMMYFUNCTION("""COMPUTED_VALUE"""),"Fatal")</f>
        <v>Fatal</v>
      </c>
      <c r="C1172" s="1" t="str">
        <f ca="1">IFERROR(__xludf.DUMMYFUNCTION("""COMPUTED_VALUE"""),"Male")</f>
        <v>Male</v>
      </c>
      <c r="D1172" s="1" t="str">
        <f ca="1">IFERROR(__xludf.DUMMYFUNCTION("""COMPUTED_VALUE"""),"Parent")</f>
        <v>Parent</v>
      </c>
      <c r="E1172" s="1">
        <f ca="1">IFERROR(__xludf.DUMMYFUNCTION("""COMPUTED_VALUE"""),30)</f>
        <v>30</v>
      </c>
      <c r="F1172" s="1"/>
    </row>
    <row r="1173" spans="1:6" ht="12.5">
      <c r="A1173" s="1" t="str">
        <f ca="1">IFERROR(__xludf.DUMMYFUNCTION("""COMPUTED_VALUE"""),"20190107CACEB")</f>
        <v>20190107CACEB</v>
      </c>
      <c r="B1173" s="1" t="str">
        <f ca="1">IFERROR(__xludf.DUMMYFUNCTION("""COMPUTED_VALUE"""),"Fatal")</f>
        <v>Fatal</v>
      </c>
      <c r="C1173" s="1" t="str">
        <f ca="1">IFERROR(__xludf.DUMMYFUNCTION("""COMPUTED_VALUE"""),"Male")</f>
        <v>Male</v>
      </c>
      <c r="D1173" s="1" t="str">
        <f ca="1">IFERROR(__xludf.DUMMYFUNCTION("""COMPUTED_VALUE"""),"No Relation")</f>
        <v>No Relation</v>
      </c>
      <c r="E1173" s="1">
        <f ca="1">IFERROR(__xludf.DUMMYFUNCTION("""COMPUTED_VALUE"""),17)</f>
        <v>17</v>
      </c>
      <c r="F1173" s="1" t="str">
        <f ca="1">IFERROR(__xludf.DUMMYFUNCTION("""COMPUTED_VALUE"""),"Unknown")</f>
        <v>Unknown</v>
      </c>
    </row>
    <row r="1174" spans="1:6" ht="12.5">
      <c r="A1174" s="1" t="str">
        <f ca="1">IFERROR(__xludf.DUMMYFUNCTION("""COMPUTED_VALUE"""),"20181218DEAIG")</f>
        <v>20181218DEAIG</v>
      </c>
      <c r="B1174" s="1" t="str">
        <f ca="1">IFERROR(__xludf.DUMMYFUNCTION("""COMPUTED_VALUE"""),"None")</f>
        <v>None</v>
      </c>
      <c r="C1174" s="1"/>
      <c r="D1174" s="1"/>
      <c r="E1174" s="1"/>
      <c r="F1174" s="1"/>
    </row>
    <row r="1175" spans="1:6" ht="12.5">
      <c r="A1175" s="1" t="str">
        <f ca="1">IFERROR(__xludf.DUMMYFUNCTION("""COMPUTED_VALUE"""),"20181214MOWIK")</f>
        <v>20181214MOWIK</v>
      </c>
      <c r="B1175" s="1" t="str">
        <f ca="1">IFERROR(__xludf.DUMMYFUNCTION("""COMPUTED_VALUE"""),"None")</f>
        <v>None</v>
      </c>
      <c r="C1175" s="1"/>
      <c r="D1175" s="1"/>
      <c r="E1175" s="1"/>
      <c r="F1175" s="1"/>
    </row>
    <row r="1176" spans="1:6" ht="12.5">
      <c r="A1176" s="1" t="str">
        <f ca="1">IFERROR(__xludf.DUMMYFUNCTION("""COMPUTED_VALUE"""),"20181213INDER")</f>
        <v>20181213INDER</v>
      </c>
      <c r="B1176" s="1" t="str">
        <f ca="1">IFERROR(__xludf.DUMMYFUNCTION("""COMPUTED_VALUE"""),"None")</f>
        <v>None</v>
      </c>
      <c r="C1176" s="1" t="str">
        <f ca="1">IFERROR(__xludf.DUMMYFUNCTION("""COMPUTED_VALUE"""),"Male")</f>
        <v>Male</v>
      </c>
      <c r="D1176" s="1" t="str">
        <f ca="1">IFERROR(__xludf.DUMMYFUNCTION("""COMPUTED_VALUE"""),"Student")</f>
        <v>Student</v>
      </c>
      <c r="E1176" s="1">
        <f ca="1">IFERROR(__xludf.DUMMYFUNCTION("""COMPUTED_VALUE"""),14)</f>
        <v>14</v>
      </c>
      <c r="F1176" s="1"/>
    </row>
    <row r="1177" spans="1:6" ht="12.5">
      <c r="A1177" s="1" t="str">
        <f ca="1">IFERROR(__xludf.DUMMYFUNCTION("""COMPUTED_VALUE"""),"20181211KYCAC")</f>
        <v>20181211KYCAC</v>
      </c>
      <c r="B1177" s="1" t="str">
        <f ca="1">IFERROR(__xludf.DUMMYFUNCTION("""COMPUTED_VALUE"""),"Wounded")</f>
        <v>Wounded</v>
      </c>
      <c r="C1177" s="1" t="str">
        <f ca="1">IFERROR(__xludf.DUMMYFUNCTION("""COMPUTED_VALUE"""),"Female")</f>
        <v>Female</v>
      </c>
      <c r="D1177" s="1" t="str">
        <f ca="1">IFERROR(__xludf.DUMMYFUNCTION("""COMPUTED_VALUE"""),"No Relation")</f>
        <v>No Relation</v>
      </c>
      <c r="E1177" s="1">
        <f ca="1">IFERROR(__xludf.DUMMYFUNCTION("""COMPUTED_VALUE"""),15)</f>
        <v>15</v>
      </c>
      <c r="F1177" s="1"/>
    </row>
    <row r="1178" spans="1:6" ht="12.5">
      <c r="A1178" s="1" t="str">
        <f ca="1">IFERROR(__xludf.DUMMYFUNCTION("""COMPUTED_VALUE"""),"20181211KYCAC")</f>
        <v>20181211KYCAC</v>
      </c>
      <c r="B1178" s="1" t="str">
        <f ca="1">IFERROR(__xludf.DUMMYFUNCTION("""COMPUTED_VALUE"""),"Wounded")</f>
        <v>Wounded</v>
      </c>
      <c r="C1178" s="1" t="str">
        <f ca="1">IFERROR(__xludf.DUMMYFUNCTION("""COMPUTED_VALUE"""),"Male")</f>
        <v>Male</v>
      </c>
      <c r="D1178" s="1" t="str">
        <f ca="1">IFERROR(__xludf.DUMMYFUNCTION("""COMPUTED_VALUE"""),"No Relation")</f>
        <v>No Relation</v>
      </c>
      <c r="E1178" s="1">
        <f ca="1">IFERROR(__xludf.DUMMYFUNCTION("""COMPUTED_VALUE"""),20)</f>
        <v>20</v>
      </c>
      <c r="F1178" s="1"/>
    </row>
    <row r="1179" spans="1:6" ht="12.5">
      <c r="A1179" s="1" t="str">
        <f ca="1">IFERROR(__xludf.DUMMYFUNCTION("""COMPUTED_VALUE"""),"20181210NYJEJ")</f>
        <v>20181210NYJEJ</v>
      </c>
      <c r="B1179" s="1" t="str">
        <f ca="1">IFERROR(__xludf.DUMMYFUNCTION("""COMPUTED_VALUE"""),"None")</f>
        <v>None</v>
      </c>
      <c r="C1179" s="1" t="str">
        <f ca="1">IFERROR(__xludf.DUMMYFUNCTION("""COMPUTED_VALUE"""),"Male")</f>
        <v>Male</v>
      </c>
      <c r="D1179" s="1" t="str">
        <f ca="1">IFERROR(__xludf.DUMMYFUNCTION("""COMPUTED_VALUE"""),"Student")</f>
        <v>Student</v>
      </c>
      <c r="E1179" s="1">
        <f ca="1">IFERROR(__xludf.DUMMYFUNCTION("""COMPUTED_VALUE"""),17)</f>
        <v>17</v>
      </c>
      <c r="F1179" s="1"/>
    </row>
    <row r="1180" spans="1:6" ht="12.5">
      <c r="A1180" s="1" t="str">
        <f ca="1">IFERROR(__xludf.DUMMYFUNCTION("""COMPUTED_VALUE"""),"20181128PASTP")</f>
        <v>20181128PASTP</v>
      </c>
      <c r="B1180" s="1" t="str">
        <f ca="1">IFERROR(__xludf.DUMMYFUNCTION("""COMPUTED_VALUE"""),"None")</f>
        <v>None</v>
      </c>
      <c r="C1180" s="1"/>
      <c r="D1180" s="1"/>
      <c r="E1180" s="1"/>
      <c r="F1180" s="1"/>
    </row>
    <row r="1181" spans="1:6" ht="12.5">
      <c r="A1181" s="1" t="str">
        <f ca="1">IFERROR(__xludf.DUMMYFUNCTION("""COMPUTED_VALUE"""),"20181124OHAFC")</f>
        <v>20181124OHAFC</v>
      </c>
      <c r="B1181" s="1" t="str">
        <f ca="1">IFERROR(__xludf.DUMMYFUNCTION("""COMPUTED_VALUE"""),"Wounded")</f>
        <v>Wounded</v>
      </c>
      <c r="C1181" s="1" t="str">
        <f ca="1">IFERROR(__xludf.DUMMYFUNCTION("""COMPUTED_VALUE"""),"Male")</f>
        <v>Male</v>
      </c>
      <c r="D1181" s="1" t="str">
        <f ca="1">IFERROR(__xludf.DUMMYFUNCTION("""COMPUTED_VALUE"""),"No Relation")</f>
        <v>No Relation</v>
      </c>
      <c r="E1181" s="1">
        <f ca="1">IFERROR(__xludf.DUMMYFUNCTION("""COMPUTED_VALUE"""),20)</f>
        <v>20</v>
      </c>
      <c r="F1181" s="1"/>
    </row>
    <row r="1182" spans="1:6" ht="12.5">
      <c r="A1182" s="1" t="str">
        <f ca="1">IFERROR(__xludf.DUMMYFUNCTION("""COMPUTED_VALUE"""),"20181124OHAFC")</f>
        <v>20181124OHAFC</v>
      </c>
      <c r="B1182" s="1" t="str">
        <f ca="1">IFERROR(__xludf.DUMMYFUNCTION("""COMPUTED_VALUE"""),"Wounded")</f>
        <v>Wounded</v>
      </c>
      <c r="C1182" s="1" t="str">
        <f ca="1">IFERROR(__xludf.DUMMYFUNCTION("""COMPUTED_VALUE"""),"Male")</f>
        <v>Male</v>
      </c>
      <c r="D1182" s="1" t="str">
        <f ca="1">IFERROR(__xludf.DUMMYFUNCTION("""COMPUTED_VALUE"""),"No Relation")</f>
        <v>No Relation</v>
      </c>
      <c r="E1182" s="1" t="str">
        <f ca="1">IFERROR(__xludf.DUMMYFUNCTION("""COMPUTED_VALUE"""),"Adult")</f>
        <v>Adult</v>
      </c>
      <c r="F1182" s="1"/>
    </row>
    <row r="1183" spans="1:6" ht="12.5">
      <c r="A1183" s="1" t="str">
        <f ca="1">IFERROR(__xludf.DUMMYFUNCTION("""COMPUTED_VALUE"""),"20181122WAMOD")</f>
        <v>20181122WAMOD</v>
      </c>
      <c r="B1183" s="1" t="str">
        <f ca="1">IFERROR(__xludf.DUMMYFUNCTION("""COMPUTED_VALUE"""),"Wounded")</f>
        <v>Wounded</v>
      </c>
      <c r="C1183" s="1" t="str">
        <f ca="1">IFERROR(__xludf.DUMMYFUNCTION("""COMPUTED_VALUE"""),"Male")</f>
        <v>Male</v>
      </c>
      <c r="D1183" s="1" t="str">
        <f ca="1">IFERROR(__xludf.DUMMYFUNCTION("""COMPUTED_VALUE"""),"No Relation")</f>
        <v>No Relation</v>
      </c>
      <c r="E1183" s="1">
        <f ca="1">IFERROR(__xludf.DUMMYFUNCTION("""COMPUTED_VALUE"""),21)</f>
        <v>21</v>
      </c>
      <c r="F1183" s="1"/>
    </row>
    <row r="1184" spans="1:6" ht="12.5">
      <c r="A1184" s="1" t="str">
        <f ca="1">IFERROR(__xludf.DUMMYFUNCTION("""COMPUTED_VALUE"""),"20181122TXSKD")</f>
        <v>20181122TXSKD</v>
      </c>
      <c r="B1184" s="1" t="str">
        <f ca="1">IFERROR(__xludf.DUMMYFUNCTION("""COMPUTED_VALUE"""),"Fatal")</f>
        <v>Fatal</v>
      </c>
      <c r="C1184" s="1" t="str">
        <f ca="1">IFERROR(__xludf.DUMMYFUNCTION("""COMPUTED_VALUE"""),"Male")</f>
        <v>Male</v>
      </c>
      <c r="D1184" s="1"/>
      <c r="E1184" s="1">
        <f ca="1">IFERROR(__xludf.DUMMYFUNCTION("""COMPUTED_VALUE"""),17)</f>
        <v>17</v>
      </c>
      <c r="F1184" s="1" t="str">
        <f ca="1">IFERROR(__xludf.DUMMYFUNCTION("""COMPUTED_VALUE"""),"Hispanic")</f>
        <v>Hispanic</v>
      </c>
    </row>
    <row r="1185" spans="1:6" ht="12.5">
      <c r="A1185" s="1" t="str">
        <f ca="1">IFERROR(__xludf.DUMMYFUNCTION("""COMPUTED_VALUE"""),"20181121MIPEP")</f>
        <v>20181121MIPEP</v>
      </c>
      <c r="B1185" s="1" t="str">
        <f ca="1">IFERROR(__xludf.DUMMYFUNCTION("""COMPUTED_VALUE"""),"None")</f>
        <v>None</v>
      </c>
      <c r="C1185" s="1"/>
      <c r="D1185" s="1"/>
      <c r="E1185" s="1"/>
      <c r="F1185" s="1"/>
    </row>
    <row r="1186" spans="1:6" ht="12.5">
      <c r="A1186" s="1" t="str">
        <f ca="1">IFERROR(__xludf.DUMMYFUNCTION("""COMPUTED_VALUE"""),"20181120VASIP")</f>
        <v>20181120VASIP</v>
      </c>
      <c r="B1186" s="1" t="str">
        <f ca="1">IFERROR(__xludf.DUMMYFUNCTION("""COMPUTED_VALUE"""),"Wounded")</f>
        <v>Wounded</v>
      </c>
      <c r="C1186" s="1" t="str">
        <f ca="1">IFERROR(__xludf.DUMMYFUNCTION("""COMPUTED_VALUE"""),"Female")</f>
        <v>Female</v>
      </c>
      <c r="D1186" s="1" t="str">
        <f ca="1">IFERROR(__xludf.DUMMYFUNCTION("""COMPUTED_VALUE"""),"Parent")</f>
        <v>Parent</v>
      </c>
      <c r="E1186" s="1" t="str">
        <f ca="1">IFERROR(__xludf.DUMMYFUNCTION("""COMPUTED_VALUE"""),"Adult")</f>
        <v>Adult</v>
      </c>
      <c r="F1186" s="1"/>
    </row>
    <row r="1187" spans="1:6" ht="12.5">
      <c r="A1187" s="1" t="str">
        <f ca="1">IFERROR(__xludf.DUMMYFUNCTION("""COMPUTED_VALUE"""),"20181112MDEAE")</f>
        <v>20181112MDEAE</v>
      </c>
      <c r="B1187" s="1" t="str">
        <f ca="1">IFERROR(__xludf.DUMMYFUNCTION("""COMPUTED_VALUE"""),"None")</f>
        <v>None</v>
      </c>
      <c r="C1187" s="1" t="str">
        <f ca="1">IFERROR(__xludf.DUMMYFUNCTION("""COMPUTED_VALUE"""),"Male")</f>
        <v>Male</v>
      </c>
      <c r="D1187" s="1" t="str">
        <f ca="1">IFERROR(__xludf.DUMMYFUNCTION("""COMPUTED_VALUE"""),"Police Officer/SRO")</f>
        <v>Police Officer/SRO</v>
      </c>
      <c r="E1187" s="1" t="str">
        <f ca="1">IFERROR(__xludf.DUMMYFUNCTION("""COMPUTED_VALUE"""),"Adult")</f>
        <v>Adult</v>
      </c>
      <c r="F1187" s="1"/>
    </row>
    <row r="1188" spans="1:6" ht="12.5">
      <c r="A1188" s="1" t="str">
        <f ca="1">IFERROR(__xludf.DUMMYFUNCTION("""COMPUTED_VALUE"""),"20181109GAGAM")</f>
        <v>20181109GAGAM</v>
      </c>
      <c r="B1188" s="1" t="str">
        <f ca="1">IFERROR(__xludf.DUMMYFUNCTION("""COMPUTED_VALUE"""),"None")</f>
        <v>None</v>
      </c>
      <c r="C1188" s="1"/>
      <c r="D1188" s="1"/>
      <c r="E1188" s="1"/>
      <c r="F1188" s="1"/>
    </row>
    <row r="1189" spans="1:6" ht="12.5">
      <c r="A1189" s="1" t="str">
        <f ca="1">IFERROR(__xludf.DUMMYFUNCTION("""COMPUTED_VALUE"""),"20181108CACLS")</f>
        <v>20181108CACLS</v>
      </c>
      <c r="B1189" s="1" t="str">
        <f ca="1">IFERROR(__xludf.DUMMYFUNCTION("""COMPUTED_VALUE"""),"Wounded")</f>
        <v>Wounded</v>
      </c>
      <c r="C1189" s="1" t="str">
        <f ca="1">IFERROR(__xludf.DUMMYFUNCTION("""COMPUTED_VALUE"""),"Male")</f>
        <v>Male</v>
      </c>
      <c r="D1189" s="1" t="str">
        <f ca="1">IFERROR(__xludf.DUMMYFUNCTION("""COMPUTED_VALUE"""),"No Relation")</f>
        <v>No Relation</v>
      </c>
      <c r="E1189" s="1" t="str">
        <f ca="1">IFERROR(__xludf.DUMMYFUNCTION("""COMPUTED_VALUE"""),"Adult")</f>
        <v>Adult</v>
      </c>
      <c r="F1189" s="1"/>
    </row>
    <row r="1190" spans="1:6" ht="12.5">
      <c r="A1190" s="1" t="str">
        <f ca="1">IFERROR(__xludf.DUMMYFUNCTION("""COMPUTED_VALUE"""),"20181105SCACC")</f>
        <v>20181105SCACC</v>
      </c>
      <c r="B1190" s="1" t="str">
        <f ca="1">IFERROR(__xludf.DUMMYFUNCTION("""COMPUTED_VALUE"""),"None")</f>
        <v>None</v>
      </c>
      <c r="C1190" s="1" t="str">
        <f ca="1">IFERROR(__xludf.DUMMYFUNCTION("""COMPUTED_VALUE"""),"Male")</f>
        <v>Male</v>
      </c>
      <c r="D1190" s="1" t="str">
        <f ca="1">IFERROR(__xludf.DUMMYFUNCTION("""COMPUTED_VALUE"""),"Student")</f>
        <v>Student</v>
      </c>
      <c r="E1190" s="1">
        <f ca="1">IFERROR(__xludf.DUMMYFUNCTION("""COMPUTED_VALUE"""),13)</f>
        <v>13</v>
      </c>
      <c r="F1190" s="1"/>
    </row>
    <row r="1191" spans="1:6" ht="12.5">
      <c r="A1191" s="1" t="str">
        <f ca="1">IFERROR(__xludf.DUMMYFUNCTION("""COMPUTED_VALUE"""),"20181104KYCRL")</f>
        <v>20181104KYCRL</v>
      </c>
      <c r="B1191" s="1" t="str">
        <f ca="1">IFERROR(__xludf.DUMMYFUNCTION("""COMPUTED_VALUE"""),"Fatal")</f>
        <v>Fatal</v>
      </c>
      <c r="C1191" s="1" t="str">
        <f ca="1">IFERROR(__xludf.DUMMYFUNCTION("""COMPUTED_VALUE"""),"Male")</f>
        <v>Male</v>
      </c>
      <c r="D1191" s="1" t="str">
        <f ca="1">IFERROR(__xludf.DUMMYFUNCTION("""COMPUTED_VALUE"""),"No Relation")</f>
        <v>No Relation</v>
      </c>
      <c r="E1191" s="1" t="str">
        <f ca="1">IFERROR(__xludf.DUMMYFUNCTION("""COMPUTED_VALUE"""),"Adult")</f>
        <v>Adult</v>
      </c>
      <c r="F1191" s="1"/>
    </row>
    <row r="1192" spans="1:6" ht="12.5">
      <c r="A1192" s="1" t="str">
        <f ca="1">IFERROR(__xludf.DUMMYFUNCTION("""COMPUTED_VALUE"""),"20181104KYCRL")</f>
        <v>20181104KYCRL</v>
      </c>
      <c r="B1192" s="1" t="str">
        <f ca="1">IFERROR(__xludf.DUMMYFUNCTION("""COMPUTED_VALUE"""),"Wounded")</f>
        <v>Wounded</v>
      </c>
      <c r="C1192" s="1" t="str">
        <f ca="1">IFERROR(__xludf.DUMMYFUNCTION("""COMPUTED_VALUE"""),"Male")</f>
        <v>Male</v>
      </c>
      <c r="D1192" s="1" t="str">
        <f ca="1">IFERROR(__xludf.DUMMYFUNCTION("""COMPUTED_VALUE"""),"No Relation")</f>
        <v>No Relation</v>
      </c>
      <c r="E1192" s="1" t="str">
        <f ca="1">IFERROR(__xludf.DUMMYFUNCTION("""COMPUTED_VALUE"""),"Adult")</f>
        <v>Adult</v>
      </c>
      <c r="F1192" s="1"/>
    </row>
    <row r="1193" spans="1:6" ht="12.5">
      <c r="A1193" s="1" t="str">
        <f ca="1">IFERROR(__xludf.DUMMYFUNCTION("""COMPUTED_VALUE"""),"20181029NCBUM")</f>
        <v>20181029NCBUM</v>
      </c>
      <c r="B1193" s="1" t="str">
        <f ca="1">IFERROR(__xludf.DUMMYFUNCTION("""COMPUTED_VALUE"""),"Fatal")</f>
        <v>Fatal</v>
      </c>
      <c r="C1193" s="1" t="str">
        <f ca="1">IFERROR(__xludf.DUMMYFUNCTION("""COMPUTED_VALUE"""),"Male")</f>
        <v>Male</v>
      </c>
      <c r="D1193" s="1" t="str">
        <f ca="1">IFERROR(__xludf.DUMMYFUNCTION("""COMPUTED_VALUE"""),"Student")</f>
        <v>Student</v>
      </c>
      <c r="E1193" s="1">
        <f ca="1">IFERROR(__xludf.DUMMYFUNCTION("""COMPUTED_VALUE"""),16)</f>
        <v>16</v>
      </c>
      <c r="F1193" s="1" t="str">
        <f ca="1">IFERROR(__xludf.DUMMYFUNCTION("""COMPUTED_VALUE"""),"Black")</f>
        <v>Black</v>
      </c>
    </row>
    <row r="1194" spans="1:6" ht="12.5">
      <c r="A1194" s="1" t="str">
        <f ca="1">IFERROR(__xludf.DUMMYFUNCTION("""COMPUTED_VALUE"""),"20181026FLSAO")</f>
        <v>20181026FLSAO</v>
      </c>
      <c r="B1194" s="1" t="str">
        <f ca="1">IFERROR(__xludf.DUMMYFUNCTION("""COMPUTED_VALUE"""),"Fatal")</f>
        <v>Fatal</v>
      </c>
      <c r="C1194" s="1" t="str">
        <f ca="1">IFERROR(__xludf.DUMMYFUNCTION("""COMPUTED_VALUE"""),"Male")</f>
        <v>Male</v>
      </c>
      <c r="D1194" s="1" t="str">
        <f ca="1">IFERROR(__xludf.DUMMYFUNCTION("""COMPUTED_VALUE"""),"No Relation")</f>
        <v>No Relation</v>
      </c>
      <c r="E1194" s="1">
        <f ca="1">IFERROR(__xludf.DUMMYFUNCTION("""COMPUTED_VALUE"""),18)</f>
        <v>18</v>
      </c>
      <c r="F1194" s="1"/>
    </row>
    <row r="1195" spans="1:6" ht="12.5">
      <c r="A1195" s="1" t="str">
        <f ca="1">IFERROR(__xludf.DUMMYFUNCTION("""COMPUTED_VALUE"""),"20181025MICOD")</f>
        <v>20181025MICOD</v>
      </c>
      <c r="B1195" s="1" t="str">
        <f ca="1">IFERROR(__xludf.DUMMYFUNCTION("""COMPUTED_VALUE"""),"None")</f>
        <v>None</v>
      </c>
      <c r="C1195" s="1" t="str">
        <f ca="1">IFERROR(__xludf.DUMMYFUNCTION("""COMPUTED_VALUE"""),"Male")</f>
        <v>Male</v>
      </c>
      <c r="D1195" s="1" t="str">
        <f ca="1">IFERROR(__xludf.DUMMYFUNCTION("""COMPUTED_VALUE"""),"Student")</f>
        <v>Student</v>
      </c>
      <c r="E1195" s="1">
        <f ca="1">IFERROR(__xludf.DUMMYFUNCTION("""COMPUTED_VALUE"""),15)</f>
        <v>15</v>
      </c>
      <c r="F1195" s="1"/>
    </row>
    <row r="1196" spans="1:6" ht="12.5">
      <c r="A1196" s="1" t="str">
        <f ca="1">IFERROR(__xludf.DUMMYFUNCTION("""COMPUTED_VALUE"""),"20181023NHGOM")</f>
        <v>20181023NHGOM</v>
      </c>
      <c r="B1196" s="1" t="str">
        <f ca="1">IFERROR(__xludf.DUMMYFUNCTION("""COMPUTED_VALUE"""),"Wounded")</f>
        <v>Wounded</v>
      </c>
      <c r="C1196" s="1" t="str">
        <f ca="1">IFERROR(__xludf.DUMMYFUNCTION("""COMPUTED_VALUE"""),"Female")</f>
        <v>Female</v>
      </c>
      <c r="D1196" s="1" t="str">
        <f ca="1">IFERROR(__xludf.DUMMYFUNCTION("""COMPUTED_VALUE"""),"Teacher")</f>
        <v>Teacher</v>
      </c>
      <c r="E1196" s="1" t="str">
        <f ca="1">IFERROR(__xludf.DUMMYFUNCTION("""COMPUTED_VALUE"""),"Adult")</f>
        <v>Adult</v>
      </c>
      <c r="F1196" s="1"/>
    </row>
    <row r="1197" spans="1:6" ht="12.5">
      <c r="A1197" s="1" t="str">
        <f ca="1">IFERROR(__xludf.DUMMYFUNCTION("""COMPUTED_VALUE"""),"20181022CTDUB")</f>
        <v>20181022CTDUB</v>
      </c>
      <c r="B1197" s="1" t="str">
        <f ca="1">IFERROR(__xludf.DUMMYFUNCTION("""COMPUTED_VALUE"""),"None")</f>
        <v>None</v>
      </c>
      <c r="C1197" s="1"/>
      <c r="D1197" s="1"/>
      <c r="E1197" s="1"/>
      <c r="F1197" s="1"/>
    </row>
    <row r="1198" spans="1:6" ht="12.5">
      <c r="A1198" s="1" t="str">
        <f ca="1">IFERROR(__xludf.DUMMYFUNCTION("""COMPUTED_VALUE"""),"20181020GASHS")</f>
        <v>20181020GASHS</v>
      </c>
      <c r="B1198" s="1" t="str">
        <f ca="1">IFERROR(__xludf.DUMMYFUNCTION("""COMPUTED_VALUE"""),"Fatal")</f>
        <v>Fatal</v>
      </c>
      <c r="C1198" s="1" t="str">
        <f ca="1">IFERROR(__xludf.DUMMYFUNCTION("""COMPUTED_VALUE"""),"Male")</f>
        <v>Male</v>
      </c>
      <c r="D1198" s="1" t="str">
        <f ca="1">IFERROR(__xludf.DUMMYFUNCTION("""COMPUTED_VALUE"""),"Police Officer/SRO")</f>
        <v>Police Officer/SRO</v>
      </c>
      <c r="E1198" s="1" t="str">
        <f ca="1">IFERROR(__xludf.DUMMYFUNCTION("""COMPUTED_VALUE"""),"Adult")</f>
        <v>Adult</v>
      </c>
      <c r="F1198" s="1" t="str">
        <f ca="1">IFERROR(__xludf.DUMMYFUNCTION("""COMPUTED_VALUE"""),"Black")</f>
        <v>Black</v>
      </c>
    </row>
    <row r="1199" spans="1:6" ht="12.5">
      <c r="A1199" s="1" t="str">
        <f ca="1">IFERROR(__xludf.DUMMYFUNCTION("""COMPUTED_VALUE"""),"20181013TNMCN")</f>
        <v>20181013TNMCN</v>
      </c>
      <c r="B1199" s="1" t="str">
        <f ca="1">IFERROR(__xludf.DUMMYFUNCTION("""COMPUTED_VALUE"""),"Wounded")</f>
        <v>Wounded</v>
      </c>
      <c r="C1199" s="1" t="str">
        <f ca="1">IFERROR(__xludf.DUMMYFUNCTION("""COMPUTED_VALUE"""),"Male")</f>
        <v>Male</v>
      </c>
      <c r="D1199" s="1"/>
      <c r="E1199" s="1" t="str">
        <f ca="1">IFERROR(__xludf.DUMMYFUNCTION("""COMPUTED_VALUE"""),"Adult")</f>
        <v>Adult</v>
      </c>
      <c r="F1199" s="1"/>
    </row>
    <row r="1200" spans="1:6" ht="12.5">
      <c r="A1200" s="1" t="str">
        <f ca="1">IFERROR(__xludf.DUMMYFUNCTION("""COMPUTED_VALUE"""),"20181013TNMCN")</f>
        <v>20181013TNMCN</v>
      </c>
      <c r="B1200" s="1" t="str">
        <f ca="1">IFERROR(__xludf.DUMMYFUNCTION("""COMPUTED_VALUE"""),"Fatal")</f>
        <v>Fatal</v>
      </c>
      <c r="C1200" s="1" t="str">
        <f ca="1">IFERROR(__xludf.DUMMYFUNCTION("""COMPUTED_VALUE"""),"Male")</f>
        <v>Male</v>
      </c>
      <c r="D1200" s="1"/>
      <c r="E1200" s="1">
        <f ca="1">IFERROR(__xludf.DUMMYFUNCTION("""COMPUTED_VALUE"""),18)</f>
        <v>18</v>
      </c>
      <c r="F1200" s="1"/>
    </row>
    <row r="1201" spans="1:6" ht="12.5">
      <c r="A1201" s="1" t="str">
        <f ca="1">IFERROR(__xludf.DUMMYFUNCTION("""COMPUTED_VALUE"""),"20181012MIBAB")</f>
        <v>20181012MIBAB</v>
      </c>
      <c r="B1201" s="1" t="str">
        <f ca="1">IFERROR(__xludf.DUMMYFUNCTION("""COMPUTED_VALUE"""),"None")</f>
        <v>None</v>
      </c>
      <c r="C1201" s="1"/>
      <c r="D1201" s="1"/>
      <c r="E1201" s="1"/>
      <c r="F1201" s="1"/>
    </row>
    <row r="1202" spans="1:6" ht="12.5">
      <c r="A1202" s="1" t="str">
        <f ca="1">IFERROR(__xludf.DUMMYFUNCTION("""COMPUTED_VALUE"""),"20181007VAVAH")</f>
        <v>20181007VAVAH</v>
      </c>
      <c r="B1202" s="1" t="str">
        <f ca="1">IFERROR(__xludf.DUMMYFUNCTION("""COMPUTED_VALUE"""),"Wounded")</f>
        <v>Wounded</v>
      </c>
      <c r="C1202" s="1" t="str">
        <f ca="1">IFERROR(__xludf.DUMMYFUNCTION("""COMPUTED_VALUE"""),"Male")</f>
        <v>Male</v>
      </c>
      <c r="D1202" s="1" t="str">
        <f ca="1">IFERROR(__xludf.DUMMYFUNCTION("""COMPUTED_VALUE"""),"Other Staff")</f>
        <v>Other Staff</v>
      </c>
      <c r="E1202" s="1" t="str">
        <f ca="1">IFERROR(__xludf.DUMMYFUNCTION("""COMPUTED_VALUE"""),"Adult")</f>
        <v>Adult</v>
      </c>
      <c r="F1202" s="1"/>
    </row>
    <row r="1203" spans="1:6" ht="12.5">
      <c r="A1203" s="1" t="str">
        <f ca="1">IFERROR(__xludf.DUMMYFUNCTION("""COMPUTED_VALUE"""),"20181005VALAN")</f>
        <v>20181005VALAN</v>
      </c>
      <c r="B1203" s="1" t="str">
        <f ca="1">IFERROR(__xludf.DUMMYFUNCTION("""COMPUTED_VALUE"""),"Wounded")</f>
        <v>Wounded</v>
      </c>
      <c r="C1203" s="1"/>
      <c r="D1203" s="1"/>
      <c r="E1203" s="1"/>
      <c r="F1203" s="1"/>
    </row>
    <row r="1204" spans="1:6" ht="12.5">
      <c r="A1204" s="1" t="str">
        <f ca="1">IFERROR(__xludf.DUMMYFUNCTION("""COMPUTED_VALUE"""),"20181005TNHAB")</f>
        <v>20181005TNHAB</v>
      </c>
      <c r="B1204" s="1" t="str">
        <f ca="1">IFERROR(__xludf.DUMMYFUNCTION("""COMPUTED_VALUE"""),"Wounded")</f>
        <v>Wounded</v>
      </c>
      <c r="C1204" s="1" t="str">
        <f ca="1">IFERROR(__xludf.DUMMYFUNCTION("""COMPUTED_VALUE"""),"Unknown")</f>
        <v>Unknown</v>
      </c>
      <c r="D1204" s="1" t="str">
        <f ca="1">IFERROR(__xludf.DUMMYFUNCTION("""COMPUTED_VALUE"""),"Student")</f>
        <v>Student</v>
      </c>
      <c r="E1204" s="1" t="str">
        <f ca="1">IFERROR(__xludf.DUMMYFUNCTION("""COMPUTED_VALUE"""),"Teen")</f>
        <v>Teen</v>
      </c>
      <c r="F1204" s="1"/>
    </row>
    <row r="1205" spans="1:6" ht="12.5">
      <c r="A1205" s="1" t="str">
        <f ca="1">IFERROR(__xludf.DUMMYFUNCTION("""COMPUTED_VALUE"""),"20181005TNHAB")</f>
        <v>20181005TNHAB</v>
      </c>
      <c r="B1205" s="1" t="str">
        <f ca="1">IFERROR(__xludf.DUMMYFUNCTION("""COMPUTED_VALUE"""),"Wounded")</f>
        <v>Wounded</v>
      </c>
      <c r="C1205" s="1" t="str">
        <f ca="1">IFERROR(__xludf.DUMMYFUNCTION("""COMPUTED_VALUE"""),"Unknown")</f>
        <v>Unknown</v>
      </c>
      <c r="D1205" s="1" t="str">
        <f ca="1">IFERROR(__xludf.DUMMYFUNCTION("""COMPUTED_VALUE"""),"Student")</f>
        <v>Student</v>
      </c>
      <c r="E1205" s="1" t="str">
        <f ca="1">IFERROR(__xludf.DUMMYFUNCTION("""COMPUTED_VALUE"""),"Teen")</f>
        <v>Teen</v>
      </c>
      <c r="F1205" s="1"/>
    </row>
    <row r="1206" spans="1:6" ht="12.5">
      <c r="A1206" s="1" t="str">
        <f ca="1">IFERROR(__xludf.DUMMYFUNCTION("""COMPUTED_VALUE"""),"20181004ORJAP")</f>
        <v>20181004ORJAP</v>
      </c>
      <c r="B1206" s="1" t="str">
        <f ca="1">IFERROR(__xludf.DUMMYFUNCTION("""COMPUTED_VALUE"""),"None")</f>
        <v>None</v>
      </c>
      <c r="C1206" s="1"/>
      <c r="D1206" s="1"/>
      <c r="E1206" s="1"/>
      <c r="F1206" s="1"/>
    </row>
    <row r="1207" spans="1:6" ht="12.5">
      <c r="A1207" s="1" t="str">
        <f ca="1">IFERROR(__xludf.DUMMYFUNCTION("""COMPUTED_VALUE"""),"20181003AKDEA")</f>
        <v>20181003AKDEA</v>
      </c>
      <c r="B1207" s="1" t="str">
        <f ca="1">IFERROR(__xludf.DUMMYFUNCTION("""COMPUTED_VALUE"""),"Wounded")</f>
        <v>Wounded</v>
      </c>
      <c r="C1207" s="1" t="str">
        <f ca="1">IFERROR(__xludf.DUMMYFUNCTION("""COMPUTED_VALUE"""),"Male")</f>
        <v>Male</v>
      </c>
      <c r="D1207" s="1" t="str">
        <f ca="1">IFERROR(__xludf.DUMMYFUNCTION("""COMPUTED_VALUE"""),"Relative")</f>
        <v>Relative</v>
      </c>
      <c r="E1207" s="1" t="str">
        <f ca="1">IFERROR(__xludf.DUMMYFUNCTION("""COMPUTED_VALUE"""),"Adult")</f>
        <v>Adult</v>
      </c>
      <c r="F1207" s="1"/>
    </row>
    <row r="1208" spans="1:6" ht="12.5">
      <c r="A1208" s="1" t="str">
        <f ca="1">IFERROR(__xludf.DUMMYFUNCTION("""COMPUTED_VALUE"""),"20181002ARCHL")</f>
        <v>20181002ARCHL</v>
      </c>
      <c r="B1208" s="1" t="str">
        <f ca="1">IFERROR(__xludf.DUMMYFUNCTION("""COMPUTED_VALUE"""),"None")</f>
        <v>None</v>
      </c>
      <c r="C1208" s="1"/>
      <c r="D1208" s="1"/>
      <c r="E1208" s="1"/>
      <c r="F1208" s="1"/>
    </row>
    <row r="1209" spans="1:6" ht="12.5">
      <c r="A1209" s="1" t="str">
        <f ca="1">IFERROR(__xludf.DUMMYFUNCTION("""COMPUTED_VALUE"""),"20180928SDCHC")</f>
        <v>20180928SDCHC</v>
      </c>
      <c r="B1209" s="1" t="str">
        <f ca="1">IFERROR(__xludf.DUMMYFUNCTION("""COMPUTED_VALUE"""),"None")</f>
        <v>None</v>
      </c>
      <c r="C1209" s="1" t="str">
        <f ca="1">IFERROR(__xludf.DUMMYFUNCTION("""COMPUTED_VALUE"""),"Male")</f>
        <v>Male</v>
      </c>
      <c r="D1209" s="1" t="str">
        <f ca="1">IFERROR(__xludf.DUMMYFUNCTION("""COMPUTED_VALUE"""),"No Relation")</f>
        <v>No Relation</v>
      </c>
      <c r="E1209" s="1">
        <f ca="1">IFERROR(__xludf.DUMMYFUNCTION("""COMPUTED_VALUE"""),20)</f>
        <v>20</v>
      </c>
      <c r="F1209" s="1"/>
    </row>
    <row r="1210" spans="1:6" ht="12.5">
      <c r="A1210" s="1" t="str">
        <f ca="1">IFERROR(__xludf.DUMMYFUNCTION("""COMPUTED_VALUE"""),"20180927TXHEC")</f>
        <v>20180927TXHEC</v>
      </c>
      <c r="B1210" s="1" t="str">
        <f ca="1">IFERROR(__xludf.DUMMYFUNCTION("""COMPUTED_VALUE"""),"Wounded")</f>
        <v>Wounded</v>
      </c>
      <c r="C1210" s="1" t="str">
        <f ca="1">IFERROR(__xludf.DUMMYFUNCTION("""COMPUTED_VALUE"""),"Male")</f>
        <v>Male</v>
      </c>
      <c r="D1210" s="1" t="str">
        <f ca="1">IFERROR(__xludf.DUMMYFUNCTION("""COMPUTED_VALUE"""),"Nonstudent")</f>
        <v>Nonstudent</v>
      </c>
      <c r="E1210" s="1">
        <f ca="1">IFERROR(__xludf.DUMMYFUNCTION("""COMPUTED_VALUE"""),31)</f>
        <v>31</v>
      </c>
      <c r="F1210" s="1"/>
    </row>
    <row r="1211" spans="1:6" ht="12.5">
      <c r="A1211" s="1" t="str">
        <f ca="1">IFERROR(__xludf.DUMMYFUNCTION("""COMPUTED_VALUE"""),"20180926MDMAB")</f>
        <v>20180926MDMAB</v>
      </c>
      <c r="B1211" s="1" t="str">
        <f ca="1">IFERROR(__xludf.DUMMYFUNCTION("""COMPUTED_VALUE"""),"None")</f>
        <v>None</v>
      </c>
      <c r="C1211" s="1"/>
      <c r="D1211" s="1"/>
      <c r="E1211" s="1"/>
      <c r="F1211" s="1"/>
    </row>
    <row r="1212" spans="1:6" ht="12.5">
      <c r="A1212" s="1" t="str">
        <f ca="1">IFERROR(__xludf.DUMMYFUNCTION("""COMPUTED_VALUE"""),"20180924PACEP")</f>
        <v>20180924PACEP</v>
      </c>
      <c r="B1212" s="1" t="str">
        <f ca="1">IFERROR(__xludf.DUMMYFUNCTION("""COMPUTED_VALUE"""),"Fatal")</f>
        <v>Fatal</v>
      </c>
      <c r="C1212" s="1" t="str">
        <f ca="1">IFERROR(__xludf.DUMMYFUNCTION("""COMPUTED_VALUE"""),"Female")</f>
        <v>Female</v>
      </c>
      <c r="D1212" s="1" t="str">
        <f ca="1">IFERROR(__xludf.DUMMYFUNCTION("""COMPUTED_VALUE"""),"Student")</f>
        <v>Student</v>
      </c>
      <c r="E1212" s="1">
        <f ca="1">IFERROR(__xludf.DUMMYFUNCTION("""COMPUTED_VALUE"""),17)</f>
        <v>17</v>
      </c>
      <c r="F1212" s="1"/>
    </row>
    <row r="1213" spans="1:6" ht="12.5">
      <c r="A1213" s="1" t="str">
        <f ca="1">IFERROR(__xludf.DUMMYFUNCTION("""COMPUTED_VALUE"""),"20180924NCLAC")</f>
        <v>20180924NCLAC</v>
      </c>
      <c r="B1213" s="1" t="str">
        <f ca="1">IFERROR(__xludf.DUMMYFUNCTION("""COMPUTED_VALUE"""),"None")</f>
        <v>None</v>
      </c>
      <c r="C1213" s="1"/>
      <c r="D1213" s="1"/>
      <c r="E1213" s="1"/>
      <c r="F1213" s="1"/>
    </row>
    <row r="1214" spans="1:6" ht="12.5">
      <c r="A1214" s="1" t="str">
        <f ca="1">IFERROR(__xludf.DUMMYFUNCTION("""COMPUTED_VALUE"""),"20180924GAAPB")</f>
        <v>20180924GAAPB</v>
      </c>
      <c r="B1214" s="1" t="str">
        <f ca="1">IFERROR(__xludf.DUMMYFUNCTION("""COMPUTED_VALUE"""),"None")</f>
        <v>None</v>
      </c>
      <c r="C1214" s="1" t="str">
        <f ca="1">IFERROR(__xludf.DUMMYFUNCTION("""COMPUTED_VALUE"""),"Male")</f>
        <v>Male</v>
      </c>
      <c r="D1214" s="1" t="str">
        <f ca="1">IFERROR(__xludf.DUMMYFUNCTION("""COMPUTED_VALUE"""),"Student")</f>
        <v>Student</v>
      </c>
      <c r="E1214" s="1" t="str">
        <f ca="1">IFERROR(__xludf.DUMMYFUNCTION("""COMPUTED_VALUE"""),"Teen")</f>
        <v>Teen</v>
      </c>
      <c r="F1214" s="1"/>
    </row>
    <row r="1215" spans="1:6" ht="12.5">
      <c r="A1215" s="1" t="str">
        <f ca="1">IFERROR(__xludf.DUMMYFUNCTION("""COMPUTED_VALUE"""),"20180920CAPOP")</f>
        <v>20180920CAPOP</v>
      </c>
      <c r="B1215" s="1" t="str">
        <f ca="1">IFERROR(__xludf.DUMMYFUNCTION("""COMPUTED_VALUE"""),"None")</f>
        <v>None</v>
      </c>
      <c r="C1215" s="1"/>
      <c r="D1215" s="1"/>
      <c r="E1215" s="1"/>
      <c r="F1215" s="1"/>
    </row>
    <row r="1216" spans="1:6" ht="12.5">
      <c r="A1216" s="1" t="str">
        <f ca="1">IFERROR(__xludf.DUMMYFUNCTION("""COMPUTED_VALUE"""),"20180920CACHL")</f>
        <v>20180920CACHL</v>
      </c>
      <c r="B1216" s="1" t="str">
        <f ca="1">IFERROR(__xludf.DUMMYFUNCTION("""COMPUTED_VALUE"""),"Wounded")</f>
        <v>Wounded</v>
      </c>
      <c r="C1216" s="1"/>
      <c r="D1216" s="1" t="str">
        <f ca="1">IFERROR(__xludf.DUMMYFUNCTION("""COMPUTED_VALUE"""),"Student")</f>
        <v>Student</v>
      </c>
      <c r="E1216" s="1" t="str">
        <f ca="1">IFERROR(__xludf.DUMMYFUNCTION("""COMPUTED_VALUE"""),"Teen")</f>
        <v>Teen</v>
      </c>
      <c r="F1216" s="1"/>
    </row>
    <row r="1217" spans="1:6" ht="12.5">
      <c r="A1217" s="1" t="str">
        <f ca="1">IFERROR(__xludf.DUMMYFUNCTION("""COMPUTED_VALUE"""),"20180920CACHL")</f>
        <v>20180920CACHL</v>
      </c>
      <c r="B1217" s="1" t="str">
        <f ca="1">IFERROR(__xludf.DUMMYFUNCTION("""COMPUTED_VALUE"""),"Wounded")</f>
        <v>Wounded</v>
      </c>
      <c r="C1217" s="1"/>
      <c r="D1217" s="1" t="str">
        <f ca="1">IFERROR(__xludf.DUMMYFUNCTION("""COMPUTED_VALUE"""),"Other Staff")</f>
        <v>Other Staff</v>
      </c>
      <c r="E1217" s="1" t="str">
        <f ca="1">IFERROR(__xludf.DUMMYFUNCTION("""COMPUTED_VALUE"""),"Adult")</f>
        <v>Adult</v>
      </c>
      <c r="F1217" s="1"/>
    </row>
    <row r="1218" spans="1:6" ht="12.5">
      <c r="A1218" s="1" t="str">
        <f ca="1">IFERROR(__xludf.DUMMYFUNCTION("""COMPUTED_VALUE"""),"20180917ALBLH")</f>
        <v>20180917ALBLH</v>
      </c>
      <c r="B1218" s="1" t="str">
        <f ca="1">IFERROR(__xludf.DUMMYFUNCTION("""COMPUTED_VALUE"""),"Wounded")</f>
        <v>Wounded</v>
      </c>
      <c r="C1218" s="1" t="str">
        <f ca="1">IFERROR(__xludf.DUMMYFUNCTION("""COMPUTED_VALUE"""),"Male")</f>
        <v>Male</v>
      </c>
      <c r="D1218" s="1" t="str">
        <f ca="1">IFERROR(__xludf.DUMMYFUNCTION("""COMPUTED_VALUE"""),"Student")</f>
        <v>Student</v>
      </c>
      <c r="E1218" s="1">
        <f ca="1">IFERROR(__xludf.DUMMYFUNCTION("""COMPUTED_VALUE"""),7)</f>
        <v>7</v>
      </c>
      <c r="F1218" s="1"/>
    </row>
    <row r="1219" spans="1:6" ht="12.5">
      <c r="A1219" s="1" t="str">
        <f ca="1">IFERROR(__xludf.DUMMYFUNCTION("""COMPUTED_VALUE"""),"20180914WAMAE")</f>
        <v>20180914WAMAE</v>
      </c>
      <c r="B1219" s="1" t="str">
        <f ca="1">IFERROR(__xludf.DUMMYFUNCTION("""COMPUTED_VALUE"""),"None")</f>
        <v>None</v>
      </c>
      <c r="C1219" s="1"/>
      <c r="D1219" s="1"/>
      <c r="E1219" s="1"/>
      <c r="F1219" s="1"/>
    </row>
    <row r="1220" spans="1:6" ht="12.5">
      <c r="A1220" s="1" t="str">
        <f ca="1">IFERROR(__xludf.DUMMYFUNCTION("""COMPUTED_VALUE"""),"20180914FLBOB")</f>
        <v>20180914FLBOB</v>
      </c>
      <c r="B1220" s="1" t="str">
        <f ca="1">IFERROR(__xludf.DUMMYFUNCTION("""COMPUTED_VALUE"""),"None")</f>
        <v>None</v>
      </c>
      <c r="C1220" s="1"/>
      <c r="D1220" s="1"/>
      <c r="E1220" s="1"/>
      <c r="F1220" s="1"/>
    </row>
    <row r="1221" spans="1:6" ht="12.5">
      <c r="A1221" s="1" t="str">
        <f ca="1">IFERROR(__xludf.DUMMYFUNCTION("""COMPUTED_VALUE"""),"20180911NVCAL")</f>
        <v>20180911NVCAL</v>
      </c>
      <c r="B1221" s="1" t="str">
        <f ca="1">IFERROR(__xludf.DUMMYFUNCTION("""COMPUTED_VALUE"""),"Fatal")</f>
        <v>Fatal</v>
      </c>
      <c r="C1221" s="1" t="str">
        <f ca="1">IFERROR(__xludf.DUMMYFUNCTION("""COMPUTED_VALUE"""),"Male")</f>
        <v>Male</v>
      </c>
      <c r="D1221" s="1" t="str">
        <f ca="1">IFERROR(__xludf.DUMMYFUNCTION("""COMPUTED_VALUE"""),"Student")</f>
        <v>Student</v>
      </c>
      <c r="E1221" s="1">
        <f ca="1">IFERROR(__xludf.DUMMYFUNCTION("""COMPUTED_VALUE"""),18)</f>
        <v>18</v>
      </c>
      <c r="F1221" s="1"/>
    </row>
    <row r="1222" spans="1:6" ht="12.5">
      <c r="A1222" s="1" t="str">
        <f ca="1">IFERROR(__xludf.DUMMYFUNCTION("""COMPUTED_VALUE"""),"20180910TNFAM")</f>
        <v>20180910TNFAM</v>
      </c>
      <c r="B1222" s="1" t="str">
        <f ca="1">IFERROR(__xludf.DUMMYFUNCTION("""COMPUTED_VALUE"""),"Wounded")</f>
        <v>Wounded</v>
      </c>
      <c r="C1222" s="1" t="str">
        <f ca="1">IFERROR(__xludf.DUMMYFUNCTION("""COMPUTED_VALUE"""),"Female")</f>
        <v>Female</v>
      </c>
      <c r="D1222" s="1" t="str">
        <f ca="1">IFERROR(__xludf.DUMMYFUNCTION("""COMPUTED_VALUE"""),"Student")</f>
        <v>Student</v>
      </c>
      <c r="E1222" s="1">
        <f ca="1">IFERROR(__xludf.DUMMYFUNCTION("""COMPUTED_VALUE"""),15)</f>
        <v>15</v>
      </c>
      <c r="F1222" s="1"/>
    </row>
    <row r="1223" spans="1:6" ht="12.5">
      <c r="A1223" s="1" t="str">
        <f ca="1">IFERROR(__xludf.DUMMYFUNCTION("""COMPUTED_VALUE"""),"20180910ILCHC")</f>
        <v>20180910ILCHC</v>
      </c>
      <c r="B1223" s="1" t="str">
        <f ca="1">IFERROR(__xludf.DUMMYFUNCTION("""COMPUTED_VALUE"""),"Wounded")</f>
        <v>Wounded</v>
      </c>
      <c r="C1223" s="1" t="str">
        <f ca="1">IFERROR(__xludf.DUMMYFUNCTION("""COMPUTED_VALUE"""),"Male")</f>
        <v>Male</v>
      </c>
      <c r="D1223" s="1" t="str">
        <f ca="1">IFERROR(__xludf.DUMMYFUNCTION("""COMPUTED_VALUE"""),"Student")</f>
        <v>Student</v>
      </c>
      <c r="E1223" s="1">
        <f ca="1">IFERROR(__xludf.DUMMYFUNCTION("""COMPUTED_VALUE"""),16)</f>
        <v>16</v>
      </c>
      <c r="F1223" s="1"/>
    </row>
    <row r="1224" spans="1:6" ht="12.5">
      <c r="A1224" s="1" t="str">
        <f ca="1">IFERROR(__xludf.DUMMYFUNCTION("""COMPUTED_VALUE"""),"20180910ILCHC")</f>
        <v>20180910ILCHC</v>
      </c>
      <c r="B1224" s="1" t="str">
        <f ca="1">IFERROR(__xludf.DUMMYFUNCTION("""COMPUTED_VALUE"""),"Wounded")</f>
        <v>Wounded</v>
      </c>
      <c r="C1224" s="1" t="str">
        <f ca="1">IFERROR(__xludf.DUMMYFUNCTION("""COMPUTED_VALUE"""),"Male")</f>
        <v>Male</v>
      </c>
      <c r="D1224" s="1" t="str">
        <f ca="1">IFERROR(__xludf.DUMMYFUNCTION("""COMPUTED_VALUE"""),"Student")</f>
        <v>Student</v>
      </c>
      <c r="E1224" s="1">
        <f ca="1">IFERROR(__xludf.DUMMYFUNCTION("""COMPUTED_VALUE"""),17)</f>
        <v>17</v>
      </c>
      <c r="F1224" s="1"/>
    </row>
    <row r="1225" spans="1:6" ht="12.5">
      <c r="A1225" s="1" t="str">
        <f ca="1">IFERROR(__xludf.DUMMYFUNCTION("""COMPUTED_VALUE"""),"20180910ILCHC")</f>
        <v>20180910ILCHC</v>
      </c>
      <c r="B1225" s="1" t="str">
        <f ca="1">IFERROR(__xludf.DUMMYFUNCTION("""COMPUTED_VALUE"""),"Wounded")</f>
        <v>Wounded</v>
      </c>
      <c r="C1225" s="1" t="str">
        <f ca="1">IFERROR(__xludf.DUMMYFUNCTION("""COMPUTED_VALUE"""),"Male")</f>
        <v>Male</v>
      </c>
      <c r="D1225" s="1" t="str">
        <f ca="1">IFERROR(__xludf.DUMMYFUNCTION("""COMPUTED_VALUE"""),"Student")</f>
        <v>Student</v>
      </c>
      <c r="E1225" s="1">
        <f ca="1">IFERROR(__xludf.DUMMYFUNCTION("""COMPUTED_VALUE"""),18)</f>
        <v>18</v>
      </c>
      <c r="F1225" s="1"/>
    </row>
    <row r="1226" spans="1:6" ht="12.5">
      <c r="A1226" s="1" t="str">
        <f ca="1">IFERROR(__xludf.DUMMYFUNCTION("""COMPUTED_VALUE"""),"20180909CAGIG")</f>
        <v>20180909CAGIG</v>
      </c>
      <c r="B1226" s="1" t="str">
        <f ca="1">IFERROR(__xludf.DUMMYFUNCTION("""COMPUTED_VALUE"""),"None")</f>
        <v>None</v>
      </c>
      <c r="C1226" s="1"/>
      <c r="D1226" s="1"/>
      <c r="E1226" s="1"/>
      <c r="F1226" s="1"/>
    </row>
    <row r="1227" spans="1:6" ht="12.5">
      <c r="A1227" s="1" t="str">
        <f ca="1">IFERROR(__xludf.DUMMYFUNCTION("""COMPUTED_VALUE"""),"20180907IAHED")</f>
        <v>20180907IAHED</v>
      </c>
      <c r="B1227" s="1" t="str">
        <f ca="1">IFERROR(__xludf.DUMMYFUNCTION("""COMPUTED_VALUE"""),"None")</f>
        <v>None</v>
      </c>
      <c r="C1227" s="1"/>
      <c r="D1227" s="1"/>
      <c r="E1227" s="1"/>
      <c r="F1227" s="1"/>
    </row>
    <row r="1228" spans="1:6" ht="12.5">
      <c r="A1228" s="1" t="str">
        <f ca="1">IFERROR(__xludf.DUMMYFUNCTION("""COMPUTED_VALUE"""),"20180905RIPRP")</f>
        <v>20180905RIPRP</v>
      </c>
      <c r="B1228" s="1" t="str">
        <f ca="1">IFERROR(__xludf.DUMMYFUNCTION("""COMPUTED_VALUE"""),"Fatal")</f>
        <v>Fatal</v>
      </c>
      <c r="C1228" s="1" t="str">
        <f ca="1">IFERROR(__xludf.DUMMYFUNCTION("""COMPUTED_VALUE"""),"Male")</f>
        <v>Male</v>
      </c>
      <c r="D1228" s="1" t="str">
        <f ca="1">IFERROR(__xludf.DUMMYFUNCTION("""COMPUTED_VALUE"""),"Visiting Student")</f>
        <v>Visiting Student</v>
      </c>
      <c r="E1228" s="1">
        <f ca="1">IFERROR(__xludf.DUMMYFUNCTION("""COMPUTED_VALUE"""),15)</f>
        <v>15</v>
      </c>
      <c r="F1228" s="1" t="str">
        <f ca="1">IFERROR(__xludf.DUMMYFUNCTION("""COMPUTED_VALUE"""),"Black")</f>
        <v>Black</v>
      </c>
    </row>
    <row r="1229" spans="1:6" ht="12.5">
      <c r="A1229" s="1" t="str">
        <f ca="1">IFERROR(__xludf.DUMMYFUNCTION("""COMPUTED_VALUE"""),"20180903NYLUN")</f>
        <v>20180903NYLUN</v>
      </c>
      <c r="B1229" s="1" t="str">
        <f ca="1">IFERROR(__xludf.DUMMYFUNCTION("""COMPUTED_VALUE"""),"Fatal")</f>
        <v>Fatal</v>
      </c>
      <c r="C1229" s="1" t="str">
        <f ca="1">IFERROR(__xludf.DUMMYFUNCTION("""COMPUTED_VALUE"""),"Male")</f>
        <v>Male</v>
      </c>
      <c r="D1229" s="1" t="str">
        <f ca="1">IFERROR(__xludf.DUMMYFUNCTION("""COMPUTED_VALUE"""),"No Relation")</f>
        <v>No Relation</v>
      </c>
      <c r="E1229" s="1">
        <f ca="1">IFERROR(__xludf.DUMMYFUNCTION("""COMPUTED_VALUE"""),34)</f>
        <v>34</v>
      </c>
      <c r="F1229" s="1" t="str">
        <f ca="1">IFERROR(__xludf.DUMMYFUNCTION("""COMPUTED_VALUE"""),"Black")</f>
        <v>Black</v>
      </c>
    </row>
    <row r="1230" spans="1:6" ht="12.5">
      <c r="A1230" s="1" t="str">
        <f ca="1">IFERROR(__xludf.DUMMYFUNCTION("""COMPUTED_VALUE"""),"20180831IANOE")</f>
        <v>20180831IANOE</v>
      </c>
      <c r="B1230" s="1" t="str">
        <f ca="1">IFERROR(__xludf.DUMMYFUNCTION("""COMPUTED_VALUE"""),"None")</f>
        <v>None</v>
      </c>
      <c r="C1230" s="1" t="str">
        <f ca="1">IFERROR(__xludf.DUMMYFUNCTION("""COMPUTED_VALUE"""),"Female")</f>
        <v>Female</v>
      </c>
      <c r="D1230" s="1" t="str">
        <f ca="1">IFERROR(__xludf.DUMMYFUNCTION("""COMPUTED_VALUE"""),"Teacher")</f>
        <v>Teacher</v>
      </c>
      <c r="E1230" s="1" t="str">
        <f ca="1">IFERROR(__xludf.DUMMYFUNCTION("""COMPUTED_VALUE"""),"Adult")</f>
        <v>Adult</v>
      </c>
      <c r="F1230" s="1"/>
    </row>
    <row r="1231" spans="1:6" ht="12.5">
      <c r="A1231" s="1" t="str">
        <f ca="1">IFERROR(__xludf.DUMMYFUNCTION("""COMPUTED_VALUE"""),"20180831CABAS")</f>
        <v>20180831CABAS</v>
      </c>
      <c r="B1231" s="1" t="str">
        <f ca="1">IFERROR(__xludf.DUMMYFUNCTION("""COMPUTED_VALUE"""),"None")</f>
        <v>None</v>
      </c>
      <c r="C1231" s="1"/>
      <c r="D1231" s="1"/>
      <c r="E1231" s="1"/>
      <c r="F1231" s="1"/>
    </row>
    <row r="1232" spans="1:6" ht="12.5">
      <c r="A1232" s="1" t="str">
        <f ca="1">IFERROR(__xludf.DUMMYFUNCTION("""COMPUTED_VALUE"""),"20180830NCVIC")</f>
        <v>20180830NCVIC</v>
      </c>
      <c r="B1232" s="1" t="str">
        <f ca="1">IFERROR(__xludf.DUMMYFUNCTION("""COMPUTED_VALUE"""),"None")</f>
        <v>None</v>
      </c>
      <c r="C1232" s="1" t="str">
        <f ca="1">IFERROR(__xludf.DUMMYFUNCTION("""COMPUTED_VALUE"""),"Female")</f>
        <v>Female</v>
      </c>
      <c r="D1232" s="1" t="str">
        <f ca="1">IFERROR(__xludf.DUMMYFUNCTION("""COMPUTED_VALUE"""),"Intimate Relationship")</f>
        <v>Intimate Relationship</v>
      </c>
      <c r="E1232" s="1" t="str">
        <f ca="1">IFERROR(__xludf.DUMMYFUNCTION("""COMPUTED_VALUE"""),"Adult")</f>
        <v>Adult</v>
      </c>
      <c r="F1232" s="1"/>
    </row>
    <row r="1233" spans="1:6" ht="12.5">
      <c r="A1233" s="1" t="str">
        <f ca="1">IFERROR(__xludf.DUMMYFUNCTION("""COMPUTED_VALUE"""),"20180830MIOTG")</f>
        <v>20180830MIOTG</v>
      </c>
      <c r="B1233" s="1" t="str">
        <f ca="1">IFERROR(__xludf.DUMMYFUNCTION("""COMPUTED_VALUE"""),"Wounded")</f>
        <v>Wounded</v>
      </c>
      <c r="C1233" s="1" t="str">
        <f ca="1">IFERROR(__xludf.DUMMYFUNCTION("""COMPUTED_VALUE"""),"Male")</f>
        <v>Male</v>
      </c>
      <c r="D1233" s="1" t="str">
        <f ca="1">IFERROR(__xludf.DUMMYFUNCTION("""COMPUTED_VALUE"""),"No Relation")</f>
        <v>No Relation</v>
      </c>
      <c r="E1233" s="1">
        <f ca="1">IFERROR(__xludf.DUMMYFUNCTION("""COMPUTED_VALUE"""),17)</f>
        <v>17</v>
      </c>
      <c r="F1233" s="1"/>
    </row>
    <row r="1234" spans="1:6" ht="12.5">
      <c r="A1234" s="1" t="str">
        <f ca="1">IFERROR(__xludf.DUMMYFUNCTION("""COMPUTED_VALUE"""),"20180829DETOD")</f>
        <v>20180829DETOD</v>
      </c>
      <c r="B1234" s="1" t="str">
        <f ca="1">IFERROR(__xludf.DUMMYFUNCTION("""COMPUTED_VALUE"""),"Fatal")</f>
        <v>Fatal</v>
      </c>
      <c r="C1234" s="1" t="str">
        <f ca="1">IFERROR(__xludf.DUMMYFUNCTION("""COMPUTED_VALUE"""),"Male")</f>
        <v>Male</v>
      </c>
      <c r="D1234" s="1" t="str">
        <f ca="1">IFERROR(__xludf.DUMMYFUNCTION("""COMPUTED_VALUE"""),"No Relation")</f>
        <v>No Relation</v>
      </c>
      <c r="E1234" s="1">
        <f ca="1">IFERROR(__xludf.DUMMYFUNCTION("""COMPUTED_VALUE"""),39)</f>
        <v>39</v>
      </c>
      <c r="F1234" s="1"/>
    </row>
    <row r="1235" spans="1:6" ht="12.5">
      <c r="A1235" s="1" t="str">
        <f ca="1">IFERROR(__xludf.DUMMYFUNCTION("""COMPUTED_VALUE"""),"20180828COCOD")</f>
        <v>20180828COCOD</v>
      </c>
      <c r="B1235" s="1" t="str">
        <f ca="1">IFERROR(__xludf.DUMMYFUNCTION("""COMPUTED_VALUE"""),"Wounded")</f>
        <v>Wounded</v>
      </c>
      <c r="C1235" s="1" t="str">
        <f ca="1">IFERROR(__xludf.DUMMYFUNCTION("""COMPUTED_VALUE"""),"Male")</f>
        <v>Male</v>
      </c>
      <c r="D1235" s="1" t="str">
        <f ca="1">IFERROR(__xludf.DUMMYFUNCTION("""COMPUTED_VALUE"""),"Student")</f>
        <v>Student</v>
      </c>
      <c r="E1235" s="1" t="str">
        <f ca="1">IFERROR(__xludf.DUMMYFUNCTION("""COMPUTED_VALUE"""),"Teen")</f>
        <v>Teen</v>
      </c>
      <c r="F1235" s="1"/>
    </row>
    <row r="1236" spans="1:6" ht="12.5">
      <c r="A1236" s="1" t="str">
        <f ca="1">IFERROR(__xludf.DUMMYFUNCTION("""COMPUTED_VALUE"""),"20180824ILMEC")</f>
        <v>20180824ILMEC</v>
      </c>
      <c r="B1236" s="1" t="str">
        <f ca="1">IFERROR(__xludf.DUMMYFUNCTION("""COMPUTED_VALUE"""),"Wounded")</f>
        <v>Wounded</v>
      </c>
      <c r="C1236" s="1" t="str">
        <f ca="1">IFERROR(__xludf.DUMMYFUNCTION("""COMPUTED_VALUE"""),"Male")</f>
        <v>Male</v>
      </c>
      <c r="D1236" s="1" t="str">
        <f ca="1">IFERROR(__xludf.DUMMYFUNCTION("""COMPUTED_VALUE"""),"Gang Member")</f>
        <v>Gang Member</v>
      </c>
      <c r="E1236" s="1" t="str">
        <f ca="1">IFERROR(__xludf.DUMMYFUNCTION("""COMPUTED_VALUE"""),"Adult")</f>
        <v>Adult</v>
      </c>
      <c r="F1236" s="1"/>
    </row>
    <row r="1237" spans="1:6" ht="12.5">
      <c r="A1237" s="1" t="str">
        <f ca="1">IFERROR(__xludf.DUMMYFUNCTION("""COMPUTED_VALUE"""),"20180824ILMEC")</f>
        <v>20180824ILMEC</v>
      </c>
      <c r="B1237" s="1" t="str">
        <f ca="1">IFERROR(__xludf.DUMMYFUNCTION("""COMPUTED_VALUE"""),"Wounded")</f>
        <v>Wounded</v>
      </c>
      <c r="C1237" s="1" t="str">
        <f ca="1">IFERROR(__xludf.DUMMYFUNCTION("""COMPUTED_VALUE"""),"Male")</f>
        <v>Male</v>
      </c>
      <c r="D1237" s="1" t="str">
        <f ca="1">IFERROR(__xludf.DUMMYFUNCTION("""COMPUTED_VALUE"""),"Gang Member")</f>
        <v>Gang Member</v>
      </c>
      <c r="E1237" s="1" t="str">
        <f ca="1">IFERROR(__xludf.DUMMYFUNCTION("""COMPUTED_VALUE"""),"Adult")</f>
        <v>Adult</v>
      </c>
      <c r="F1237" s="1"/>
    </row>
    <row r="1238" spans="1:6" ht="12.5">
      <c r="A1238" s="1" t="str">
        <f ca="1">IFERROR(__xludf.DUMMYFUNCTION("""COMPUTED_VALUE"""),"20180824ILMEC")</f>
        <v>20180824ILMEC</v>
      </c>
      <c r="B1238" s="1" t="str">
        <f ca="1">IFERROR(__xludf.DUMMYFUNCTION("""COMPUTED_VALUE"""),"Wounded")</f>
        <v>Wounded</v>
      </c>
      <c r="C1238" s="1" t="str">
        <f ca="1">IFERROR(__xludf.DUMMYFUNCTION("""COMPUTED_VALUE"""),"Male")</f>
        <v>Male</v>
      </c>
      <c r="D1238" s="1" t="str">
        <f ca="1">IFERROR(__xludf.DUMMYFUNCTION("""COMPUTED_VALUE"""),"Gang Member")</f>
        <v>Gang Member</v>
      </c>
      <c r="E1238" s="1" t="str">
        <f ca="1">IFERROR(__xludf.DUMMYFUNCTION("""COMPUTED_VALUE"""),"Adult")</f>
        <v>Adult</v>
      </c>
      <c r="F1238" s="1"/>
    </row>
    <row r="1239" spans="1:6" ht="12.5">
      <c r="A1239" s="1" t="str">
        <f ca="1">IFERROR(__xludf.DUMMYFUNCTION("""COMPUTED_VALUE"""),"20180824FLRAJ")</f>
        <v>20180824FLRAJ</v>
      </c>
      <c r="B1239" s="1" t="str">
        <f ca="1">IFERROR(__xludf.DUMMYFUNCTION("""COMPUTED_VALUE"""),"Fatal")</f>
        <v>Fatal</v>
      </c>
      <c r="C1239" s="1" t="str">
        <f ca="1">IFERROR(__xludf.DUMMYFUNCTION("""COMPUTED_VALUE"""),"Male")</f>
        <v>Male</v>
      </c>
      <c r="D1239" s="1" t="str">
        <f ca="1">IFERROR(__xludf.DUMMYFUNCTION("""COMPUTED_VALUE"""),"Nonstudent Using Athletic Facilities/Attending Game")</f>
        <v>Nonstudent Using Athletic Facilities/Attending Game</v>
      </c>
      <c r="E1239" s="1">
        <f ca="1">IFERROR(__xludf.DUMMYFUNCTION("""COMPUTED_VALUE"""),19)</f>
        <v>19</v>
      </c>
      <c r="F1239" s="1"/>
    </row>
    <row r="1240" spans="1:6" ht="12.5">
      <c r="A1240" s="1" t="str">
        <f ca="1">IFERROR(__xludf.DUMMYFUNCTION("""COMPUTED_VALUE"""),"20180824FLRAJ")</f>
        <v>20180824FLRAJ</v>
      </c>
      <c r="B1240" s="1" t="str">
        <f ca="1">IFERROR(__xludf.DUMMYFUNCTION("""COMPUTED_VALUE"""),"Wounded")</f>
        <v>Wounded</v>
      </c>
      <c r="C1240" s="1" t="str">
        <f ca="1">IFERROR(__xludf.DUMMYFUNCTION("""COMPUTED_VALUE"""),"Male")</f>
        <v>Male</v>
      </c>
      <c r="D1240" s="1" t="str">
        <f ca="1">IFERROR(__xludf.DUMMYFUNCTION("""COMPUTED_VALUE"""),"Student")</f>
        <v>Student</v>
      </c>
      <c r="E1240" s="1">
        <f ca="1">IFERROR(__xludf.DUMMYFUNCTION("""COMPUTED_VALUE"""),17)</f>
        <v>17</v>
      </c>
      <c r="F1240" s="1"/>
    </row>
    <row r="1241" spans="1:6" ht="12.5">
      <c r="A1241" s="1" t="str">
        <f ca="1">IFERROR(__xludf.DUMMYFUNCTION("""COMPUTED_VALUE"""),"20180824FLRAJ")</f>
        <v>20180824FLRAJ</v>
      </c>
      <c r="B1241" s="1" t="str">
        <f ca="1">IFERROR(__xludf.DUMMYFUNCTION("""COMPUTED_VALUE"""),"Wounded")</f>
        <v>Wounded</v>
      </c>
      <c r="C1241" s="1" t="str">
        <f ca="1">IFERROR(__xludf.DUMMYFUNCTION("""COMPUTED_VALUE"""),"Male")</f>
        <v>Male</v>
      </c>
      <c r="D1241" s="1" t="str">
        <f ca="1">IFERROR(__xludf.DUMMYFUNCTION("""COMPUTED_VALUE"""),"Student")</f>
        <v>Student</v>
      </c>
      <c r="E1241" s="1">
        <f ca="1">IFERROR(__xludf.DUMMYFUNCTION("""COMPUTED_VALUE"""),16)</f>
        <v>16</v>
      </c>
      <c r="F1241" s="1"/>
    </row>
    <row r="1242" spans="1:6" ht="12.5">
      <c r="A1242" s="1" t="str">
        <f ca="1">IFERROR(__xludf.DUMMYFUNCTION("""COMPUTED_VALUE"""),"20180823ALALM")</f>
        <v>20180823ALALM</v>
      </c>
      <c r="B1242" s="1" t="str">
        <f ca="1">IFERROR(__xludf.DUMMYFUNCTION("""COMPUTED_VALUE"""),"None")</f>
        <v>None</v>
      </c>
      <c r="C1242" s="1"/>
      <c r="D1242" s="1"/>
      <c r="E1242" s="1"/>
      <c r="F1242" s="1"/>
    </row>
    <row r="1243" spans="1:6" ht="12.5">
      <c r="A1243" s="1" t="str">
        <f ca="1">IFERROR(__xludf.DUMMYFUNCTION("""COMPUTED_VALUE"""),"20180817FLPAW")</f>
        <v>20180817FLPAW</v>
      </c>
      <c r="B1243" s="1" t="str">
        <f ca="1">IFERROR(__xludf.DUMMYFUNCTION("""COMPUTED_VALUE"""),"Wounded")</f>
        <v>Wounded</v>
      </c>
      <c r="C1243" s="1" t="str">
        <f ca="1">IFERROR(__xludf.DUMMYFUNCTION("""COMPUTED_VALUE"""),"Male")</f>
        <v>Male</v>
      </c>
      <c r="D1243" s="1" t="str">
        <f ca="1">IFERROR(__xludf.DUMMYFUNCTION("""COMPUTED_VALUE"""),"No Relation")</f>
        <v>No Relation</v>
      </c>
      <c r="E1243" s="1">
        <f ca="1">IFERROR(__xludf.DUMMYFUNCTION("""COMPUTED_VALUE"""),39)</f>
        <v>39</v>
      </c>
      <c r="F1243" s="1"/>
    </row>
    <row r="1244" spans="1:6" ht="12.5">
      <c r="A1244" s="1" t="str">
        <f ca="1">IFERROR(__xludf.DUMMYFUNCTION("""COMPUTED_VALUE"""),"20180817FLPAW")</f>
        <v>20180817FLPAW</v>
      </c>
      <c r="B1244" s="1" t="str">
        <f ca="1">IFERROR(__xludf.DUMMYFUNCTION("""COMPUTED_VALUE"""),"Wounded")</f>
        <v>Wounded</v>
      </c>
      <c r="C1244" s="1" t="str">
        <f ca="1">IFERROR(__xludf.DUMMYFUNCTION("""COMPUTED_VALUE"""),"Male")</f>
        <v>Male</v>
      </c>
      <c r="D1244" s="1" t="str">
        <f ca="1">IFERROR(__xludf.DUMMYFUNCTION("""COMPUTED_VALUE"""),"No Relation")</f>
        <v>No Relation</v>
      </c>
      <c r="E1244" s="1">
        <f ca="1">IFERROR(__xludf.DUMMYFUNCTION("""COMPUTED_VALUE"""),29)</f>
        <v>29</v>
      </c>
      <c r="F1244" s="1"/>
    </row>
    <row r="1245" spans="1:6" ht="12.5">
      <c r="A1245" s="1" t="str">
        <f ca="1">IFERROR(__xludf.DUMMYFUNCTION("""COMPUTED_VALUE"""),"20180811TNANN")</f>
        <v>20180811TNANN</v>
      </c>
      <c r="B1245" s="1" t="str">
        <f ca="1">IFERROR(__xludf.DUMMYFUNCTION("""COMPUTED_VALUE"""),"Wounded")</f>
        <v>Wounded</v>
      </c>
      <c r="C1245" s="1" t="str">
        <f ca="1">IFERROR(__xludf.DUMMYFUNCTION("""COMPUTED_VALUE"""),"Male")</f>
        <v>Male</v>
      </c>
      <c r="D1245" s="1" t="str">
        <f ca="1">IFERROR(__xludf.DUMMYFUNCTION("""COMPUTED_VALUE"""),"Other Staff")</f>
        <v>Other Staff</v>
      </c>
      <c r="E1245" s="1">
        <f ca="1">IFERROR(__xludf.DUMMYFUNCTION("""COMPUTED_VALUE"""),42)</f>
        <v>42</v>
      </c>
      <c r="F1245" s="1"/>
    </row>
    <row r="1246" spans="1:6" ht="12.5">
      <c r="A1246" s="1" t="str">
        <f ca="1">IFERROR(__xludf.DUMMYFUNCTION("""COMPUTED_VALUE"""),"20180809NJLAM")</f>
        <v>20180809NJLAM</v>
      </c>
      <c r="B1246" s="1" t="str">
        <f ca="1">IFERROR(__xludf.DUMMYFUNCTION("""COMPUTED_VALUE"""),"Fatal")</f>
        <v>Fatal</v>
      </c>
      <c r="C1246" s="1" t="str">
        <f ca="1">IFERROR(__xludf.DUMMYFUNCTION("""COMPUTED_VALUE"""),"Male")</f>
        <v>Male</v>
      </c>
      <c r="D1246" s="1" t="str">
        <f ca="1">IFERROR(__xludf.DUMMYFUNCTION("""COMPUTED_VALUE"""),"Parent")</f>
        <v>Parent</v>
      </c>
      <c r="E1246" s="1">
        <f ca="1">IFERROR(__xludf.DUMMYFUNCTION("""COMPUTED_VALUE"""),37)</f>
        <v>37</v>
      </c>
      <c r="F1246" s="1" t="str">
        <f ca="1">IFERROR(__xludf.DUMMYFUNCTION("""COMPUTED_VALUE"""),"Black")</f>
        <v>Black</v>
      </c>
    </row>
    <row r="1247" spans="1:6" ht="12.5">
      <c r="A1247" s="1" t="str">
        <f ca="1">IFERROR(__xludf.DUMMYFUNCTION("""COMPUTED_VALUE"""),"20180804MDEDE")</f>
        <v>20180804MDEDE</v>
      </c>
      <c r="B1247" s="1" t="str">
        <f ca="1">IFERROR(__xludf.DUMMYFUNCTION("""COMPUTED_VALUE"""),"Fatal")</f>
        <v>Fatal</v>
      </c>
      <c r="C1247" s="1" t="str">
        <f ca="1">IFERROR(__xludf.DUMMYFUNCTION("""COMPUTED_VALUE"""),"Male")</f>
        <v>Male</v>
      </c>
      <c r="D1247" s="1"/>
      <c r="E1247" s="1">
        <f ca="1">IFERROR(__xludf.DUMMYFUNCTION("""COMPUTED_VALUE"""),19)</f>
        <v>19</v>
      </c>
      <c r="F1247" s="1"/>
    </row>
    <row r="1248" spans="1:6" ht="12.5">
      <c r="A1248" s="1" t="str">
        <f ca="1">IFERROR(__xludf.DUMMYFUNCTION("""COMPUTED_VALUE"""),"20180719WAWEY")</f>
        <v>20180719WAWEY</v>
      </c>
      <c r="B1248" s="1" t="str">
        <f ca="1">IFERROR(__xludf.DUMMYFUNCTION("""COMPUTED_VALUE"""),"Fatal")</f>
        <v>Fatal</v>
      </c>
      <c r="C1248" s="1" t="str">
        <f ca="1">IFERROR(__xludf.DUMMYFUNCTION("""COMPUTED_VALUE"""),"Male")</f>
        <v>Male</v>
      </c>
      <c r="D1248" s="1" t="str">
        <f ca="1">IFERROR(__xludf.DUMMYFUNCTION("""COMPUTED_VALUE"""),"No Relation")</f>
        <v>No Relation</v>
      </c>
      <c r="E1248" s="1">
        <f ca="1">IFERROR(__xludf.DUMMYFUNCTION("""COMPUTED_VALUE"""),18)</f>
        <v>18</v>
      </c>
      <c r="F1248" s="1" t="str">
        <f ca="1">IFERROR(__xludf.DUMMYFUNCTION("""COMPUTED_VALUE"""),"Hispanic")</f>
        <v>Hispanic</v>
      </c>
    </row>
    <row r="1249" spans="1:6" ht="12.5">
      <c r="A1249" s="1" t="str">
        <f ca="1">IFERROR(__xludf.DUMMYFUNCTION("""COMPUTED_VALUE"""),"20180717WVHUH")</f>
        <v>20180717WVHUH</v>
      </c>
      <c r="B1249" s="1" t="str">
        <f ca="1">IFERROR(__xludf.DUMMYFUNCTION("""COMPUTED_VALUE"""),"None")</f>
        <v>None</v>
      </c>
      <c r="C1249" s="1"/>
      <c r="D1249" s="1"/>
      <c r="E1249" s="1"/>
      <c r="F1249" s="1"/>
    </row>
    <row r="1250" spans="1:6" ht="12.5">
      <c r="A1250" s="1" t="str">
        <f ca="1">IFERROR(__xludf.DUMMYFUNCTION("""COMPUTED_VALUE"""),"20180711OHMIM")</f>
        <v>20180711OHMIM</v>
      </c>
      <c r="B1250" s="1" t="str">
        <f ca="1">IFERROR(__xludf.DUMMYFUNCTION("""COMPUTED_VALUE"""),"Fatal")</f>
        <v>Fatal</v>
      </c>
      <c r="C1250" s="1" t="str">
        <f ca="1">IFERROR(__xludf.DUMMYFUNCTION("""COMPUTED_VALUE"""),"Male")</f>
        <v>Male</v>
      </c>
      <c r="D1250" s="1"/>
      <c r="E1250" s="1">
        <f ca="1">IFERROR(__xludf.DUMMYFUNCTION("""COMPUTED_VALUE"""),20)</f>
        <v>20</v>
      </c>
      <c r="F1250" s="1" t="str">
        <f ca="1">IFERROR(__xludf.DUMMYFUNCTION("""COMPUTED_VALUE"""),"Black")</f>
        <v>Black</v>
      </c>
    </row>
    <row r="1251" spans="1:6" ht="12.5">
      <c r="A1251" s="1" t="str">
        <f ca="1">IFERROR(__xludf.DUMMYFUNCTION("""COMPUTED_VALUE"""),"20180703KSSUO")</f>
        <v>20180703KSSUO</v>
      </c>
      <c r="B1251" s="1" t="str">
        <f ca="1">IFERROR(__xludf.DUMMYFUNCTION("""COMPUTED_VALUE"""),"Fatal")</f>
        <v>Fatal</v>
      </c>
      <c r="C1251" s="1" t="str">
        <f ca="1">IFERROR(__xludf.DUMMYFUNCTION("""COMPUTED_VALUE"""),"Male")</f>
        <v>Male</v>
      </c>
      <c r="D1251" s="1" t="str">
        <f ca="1">IFERROR(__xludf.DUMMYFUNCTION("""COMPUTED_VALUE"""),"No Relation")</f>
        <v>No Relation</v>
      </c>
      <c r="E1251" s="1">
        <f ca="1">IFERROR(__xludf.DUMMYFUNCTION("""COMPUTED_VALUE"""),47)</f>
        <v>47</v>
      </c>
      <c r="F1251" s="1"/>
    </row>
    <row r="1252" spans="1:6" ht="12.5">
      <c r="A1252" s="1" t="str">
        <f ca="1">IFERROR(__xludf.DUMMYFUNCTION("""COMPUTED_VALUE"""),"20180703KSSUO")</f>
        <v>20180703KSSUO</v>
      </c>
      <c r="B1252" s="1" t="str">
        <f ca="1">IFERROR(__xludf.DUMMYFUNCTION("""COMPUTED_VALUE"""),"Wounded")</f>
        <v>Wounded</v>
      </c>
      <c r="C1252" s="1" t="str">
        <f ca="1">IFERROR(__xludf.DUMMYFUNCTION("""COMPUTED_VALUE"""),"Male")</f>
        <v>Male</v>
      </c>
      <c r="D1252" s="1" t="str">
        <f ca="1">IFERROR(__xludf.DUMMYFUNCTION("""COMPUTED_VALUE"""),"No Relation")</f>
        <v>No Relation</v>
      </c>
      <c r="E1252" s="1" t="str">
        <f ca="1">IFERROR(__xludf.DUMMYFUNCTION("""COMPUTED_VALUE"""),"Adult")</f>
        <v>Adult</v>
      </c>
      <c r="F1252" s="1"/>
    </row>
    <row r="1253" spans="1:6" ht="12.5">
      <c r="A1253" s="1" t="str">
        <f ca="1">IFERROR(__xludf.DUMMYFUNCTION("""COMPUTED_VALUE"""),"20180701TNRAM")</f>
        <v>20180701TNRAM</v>
      </c>
      <c r="B1253" s="1" t="str">
        <f ca="1">IFERROR(__xludf.DUMMYFUNCTION("""COMPUTED_VALUE"""),"Fatal")</f>
        <v>Fatal</v>
      </c>
      <c r="C1253" s="1" t="str">
        <f ca="1">IFERROR(__xludf.DUMMYFUNCTION("""COMPUTED_VALUE"""),"Male")</f>
        <v>Male</v>
      </c>
      <c r="D1253" s="1" t="str">
        <f ca="1">IFERROR(__xludf.DUMMYFUNCTION("""COMPUTED_VALUE"""),"No Relation")</f>
        <v>No Relation</v>
      </c>
      <c r="E1253" s="1" t="str">
        <f ca="1">IFERROR(__xludf.DUMMYFUNCTION("""COMPUTED_VALUE"""),"Adult")</f>
        <v>Adult</v>
      </c>
      <c r="F1253" s="1"/>
    </row>
    <row r="1254" spans="1:6" ht="12.5">
      <c r="A1254" s="1" t="str">
        <f ca="1">IFERROR(__xludf.DUMMYFUNCTION("""COMPUTED_VALUE"""),"20180625OHFUS")</f>
        <v>20180625OHFUS</v>
      </c>
      <c r="B1254" s="1" t="str">
        <f ca="1">IFERROR(__xludf.DUMMYFUNCTION("""COMPUTED_VALUE"""),"Wounded")</f>
        <v>Wounded</v>
      </c>
      <c r="C1254" s="1" t="str">
        <f ca="1">IFERROR(__xludf.DUMMYFUNCTION("""COMPUTED_VALUE"""),"Male")</f>
        <v>Male</v>
      </c>
      <c r="D1254" s="1" t="str">
        <f ca="1">IFERROR(__xludf.DUMMYFUNCTION("""COMPUTED_VALUE"""),"No Relation")</f>
        <v>No Relation</v>
      </c>
      <c r="E1254" s="1" t="str">
        <f ca="1">IFERROR(__xludf.DUMMYFUNCTION("""COMPUTED_VALUE"""),"Adult")</f>
        <v>Adult</v>
      </c>
      <c r="F1254" s="1"/>
    </row>
    <row r="1255" spans="1:6" ht="12.5">
      <c r="A1255" s="1" t="str">
        <f ca="1">IFERROR(__xludf.DUMMYFUNCTION("""COMPUTED_VALUE"""),"20180624MTSEM")</f>
        <v>20180624MTSEM</v>
      </c>
      <c r="B1255" s="1" t="str">
        <f ca="1">IFERROR(__xludf.DUMMYFUNCTION("""COMPUTED_VALUE"""),"Wounded")</f>
        <v>Wounded</v>
      </c>
      <c r="C1255" s="1" t="str">
        <f ca="1">IFERROR(__xludf.DUMMYFUNCTION("""COMPUTED_VALUE"""),"Male")</f>
        <v>Male</v>
      </c>
      <c r="D1255" s="1" t="str">
        <f ca="1">IFERROR(__xludf.DUMMYFUNCTION("""COMPUTED_VALUE"""),"No Relation")</f>
        <v>No Relation</v>
      </c>
      <c r="E1255" s="1" t="str">
        <f ca="1">IFERROR(__xludf.DUMMYFUNCTION("""COMPUTED_VALUE"""),"Teen")</f>
        <v>Teen</v>
      </c>
      <c r="F1255" s="1"/>
    </row>
    <row r="1256" spans="1:6" ht="12.5">
      <c r="A1256" s="1" t="str">
        <f ca="1">IFERROR(__xludf.DUMMYFUNCTION("""COMPUTED_VALUE"""),"20180624MTSEM")</f>
        <v>20180624MTSEM</v>
      </c>
      <c r="B1256" s="1" t="str">
        <f ca="1">IFERROR(__xludf.DUMMYFUNCTION("""COMPUTED_VALUE"""),"Wounded")</f>
        <v>Wounded</v>
      </c>
      <c r="C1256" s="1" t="str">
        <f ca="1">IFERROR(__xludf.DUMMYFUNCTION("""COMPUTED_VALUE"""),"Male")</f>
        <v>Male</v>
      </c>
      <c r="D1256" s="1" t="str">
        <f ca="1">IFERROR(__xludf.DUMMYFUNCTION("""COMPUTED_VALUE"""),"No Relation")</f>
        <v>No Relation</v>
      </c>
      <c r="E1256" s="1" t="str">
        <f ca="1">IFERROR(__xludf.DUMMYFUNCTION("""COMPUTED_VALUE"""),"Teen")</f>
        <v>Teen</v>
      </c>
      <c r="F1256" s="1"/>
    </row>
    <row r="1257" spans="1:6" ht="12.5">
      <c r="A1257" s="1" t="str">
        <f ca="1">IFERROR(__xludf.DUMMYFUNCTION("""COMPUTED_VALUE"""),"20180621TXSKD")</f>
        <v>20180621TXSKD</v>
      </c>
      <c r="B1257" s="1" t="str">
        <f ca="1">IFERROR(__xludf.DUMMYFUNCTION("""COMPUTED_VALUE"""),"Wounded")</f>
        <v>Wounded</v>
      </c>
      <c r="C1257" s="1" t="str">
        <f ca="1">IFERROR(__xludf.DUMMYFUNCTION("""COMPUTED_VALUE"""),"Female")</f>
        <v>Female</v>
      </c>
      <c r="D1257" s="1" t="str">
        <f ca="1">IFERROR(__xludf.DUMMYFUNCTION("""COMPUTED_VALUE"""),"Student")</f>
        <v>Student</v>
      </c>
      <c r="E1257" s="1">
        <f ca="1">IFERROR(__xludf.DUMMYFUNCTION("""COMPUTED_VALUE"""),16)</f>
        <v>16</v>
      </c>
      <c r="F1257" s="1"/>
    </row>
    <row r="1258" spans="1:6" ht="12.5">
      <c r="A1258" s="1" t="str">
        <f ca="1">IFERROR(__xludf.DUMMYFUNCTION("""COMPUTED_VALUE"""),"20180617ORGRP")</f>
        <v>20180617ORGRP</v>
      </c>
      <c r="B1258" s="1" t="str">
        <f ca="1">IFERROR(__xludf.DUMMYFUNCTION("""COMPUTED_VALUE"""),"Fatal")</f>
        <v>Fatal</v>
      </c>
      <c r="C1258" s="1" t="str">
        <f ca="1">IFERROR(__xludf.DUMMYFUNCTION("""COMPUTED_VALUE"""),"Male")</f>
        <v>Male</v>
      </c>
      <c r="D1258" s="1" t="str">
        <f ca="1">IFERROR(__xludf.DUMMYFUNCTION("""COMPUTED_VALUE"""),"No Relation")</f>
        <v>No Relation</v>
      </c>
      <c r="E1258" s="1" t="str">
        <f ca="1">IFERROR(__xludf.DUMMYFUNCTION("""COMPUTED_VALUE"""),"Adult")</f>
        <v>Adult</v>
      </c>
      <c r="F1258" s="1"/>
    </row>
    <row r="1259" spans="1:6" ht="12.5">
      <c r="A1259" s="1" t="str">
        <f ca="1">IFERROR(__xludf.DUMMYFUNCTION("""COMPUTED_VALUE"""),"20180615OHVAB")</f>
        <v>20180615OHVAB</v>
      </c>
      <c r="B1259" s="1" t="str">
        <f ca="1">IFERROR(__xludf.DUMMYFUNCTION("""COMPUTED_VALUE"""),"None")</f>
        <v>None</v>
      </c>
      <c r="C1259" s="1" t="str">
        <f ca="1">IFERROR(__xludf.DUMMYFUNCTION("""COMPUTED_VALUE"""),"Female")</f>
        <v>Female</v>
      </c>
      <c r="D1259" s="1" t="str">
        <f ca="1">IFERROR(__xludf.DUMMYFUNCTION("""COMPUTED_VALUE"""),"Nonstudent Using Athletic Facilities/Attending Game")</f>
        <v>Nonstudent Using Athletic Facilities/Attending Game</v>
      </c>
      <c r="E1259" s="1" t="str">
        <f ca="1">IFERROR(__xludf.DUMMYFUNCTION("""COMPUTED_VALUE"""),"Teen")</f>
        <v>Teen</v>
      </c>
      <c r="F1259" s="1"/>
    </row>
    <row r="1260" spans="1:6" ht="12.5">
      <c r="A1260" s="1" t="str">
        <f ca="1">IFERROR(__xludf.DUMMYFUNCTION("""COMPUTED_VALUE"""),"20180601TXMCM")</f>
        <v>20180601TXMCM</v>
      </c>
      <c r="B1260" s="1" t="str">
        <f ca="1">IFERROR(__xludf.DUMMYFUNCTION("""COMPUTED_VALUE"""),"None")</f>
        <v>None</v>
      </c>
      <c r="C1260" s="1" t="str">
        <f ca="1">IFERROR(__xludf.DUMMYFUNCTION("""COMPUTED_VALUE"""),"Unknown")</f>
        <v>Unknown</v>
      </c>
      <c r="D1260" s="1" t="str">
        <f ca="1">IFERROR(__xludf.DUMMYFUNCTION("""COMPUTED_VALUE"""),"Student")</f>
        <v>Student</v>
      </c>
      <c r="E1260" s="1" t="str">
        <f ca="1">IFERROR(__xludf.DUMMYFUNCTION("""COMPUTED_VALUE"""),"Teen")</f>
        <v>Teen</v>
      </c>
      <c r="F1260" s="1"/>
    </row>
    <row r="1261" spans="1:6" ht="12.5">
      <c r="A1261" s="1" t="str">
        <f ca="1">IFERROR(__xludf.DUMMYFUNCTION("""COMPUTED_VALUE"""),"20180525INNON")</f>
        <v>20180525INNON</v>
      </c>
      <c r="B1261" s="1" t="str">
        <f ca="1">IFERROR(__xludf.DUMMYFUNCTION("""COMPUTED_VALUE"""),"Wounded")</f>
        <v>Wounded</v>
      </c>
      <c r="C1261" s="1" t="str">
        <f ca="1">IFERROR(__xludf.DUMMYFUNCTION("""COMPUTED_VALUE"""),"Female")</f>
        <v>Female</v>
      </c>
      <c r="D1261" s="1" t="str">
        <f ca="1">IFERROR(__xludf.DUMMYFUNCTION("""COMPUTED_VALUE"""),"Student")</f>
        <v>Student</v>
      </c>
      <c r="E1261" s="1" t="str">
        <f ca="1">IFERROR(__xludf.DUMMYFUNCTION("""COMPUTED_VALUE"""),"Adult")</f>
        <v>Adult</v>
      </c>
      <c r="F1261" s="1" t="str">
        <f ca="1">IFERROR(__xludf.DUMMYFUNCTION("""COMPUTED_VALUE"""),"White")</f>
        <v>White</v>
      </c>
    </row>
    <row r="1262" spans="1:6" ht="12.5">
      <c r="A1262" s="1" t="str">
        <f ca="1">IFERROR(__xludf.DUMMYFUNCTION("""COMPUTED_VALUE"""),"20180525INNON")</f>
        <v>20180525INNON</v>
      </c>
      <c r="B1262" s="1" t="str">
        <f ca="1">IFERROR(__xludf.DUMMYFUNCTION("""COMPUTED_VALUE"""),"Wounded")</f>
        <v>Wounded</v>
      </c>
      <c r="C1262" s="1" t="str">
        <f ca="1">IFERROR(__xludf.DUMMYFUNCTION("""COMPUTED_VALUE"""),"Male")</f>
        <v>Male</v>
      </c>
      <c r="D1262" s="1" t="str">
        <f ca="1">IFERROR(__xludf.DUMMYFUNCTION("""COMPUTED_VALUE"""),"Teacher")</f>
        <v>Teacher</v>
      </c>
      <c r="E1262" s="1" t="str">
        <f ca="1">IFERROR(__xludf.DUMMYFUNCTION("""COMPUTED_VALUE"""),"Teen")</f>
        <v>Teen</v>
      </c>
      <c r="F1262" s="1" t="str">
        <f ca="1">IFERROR(__xludf.DUMMYFUNCTION("""COMPUTED_VALUE"""),"White")</f>
        <v>White</v>
      </c>
    </row>
    <row r="1263" spans="1:6" ht="12.5">
      <c r="A1263" s="1" t="str">
        <f ca="1">IFERROR(__xludf.DUMMYFUNCTION("""COMPUTED_VALUE"""),"20180521GABEG")</f>
        <v>20180521GABEG</v>
      </c>
      <c r="B1263" s="1" t="str">
        <f ca="1">IFERROR(__xludf.DUMMYFUNCTION("""COMPUTED_VALUE"""),"Wounded")</f>
        <v>Wounded</v>
      </c>
      <c r="C1263" s="1" t="str">
        <f ca="1">IFERROR(__xludf.DUMMYFUNCTION("""COMPUTED_VALUE"""),"Female")</f>
        <v>Female</v>
      </c>
      <c r="D1263" s="1" t="str">
        <f ca="1">IFERROR(__xludf.DUMMYFUNCTION("""COMPUTED_VALUE"""),"Parent")</f>
        <v>Parent</v>
      </c>
      <c r="E1263" s="1" t="str">
        <f ca="1">IFERROR(__xludf.DUMMYFUNCTION("""COMPUTED_VALUE"""),"Adult")</f>
        <v>Adult</v>
      </c>
      <c r="F1263" s="1"/>
    </row>
    <row r="1264" spans="1:6" ht="12.5">
      <c r="A1264" s="1" t="str">
        <f ca="1">IFERROR(__xludf.DUMMYFUNCTION("""COMPUTED_VALUE"""),"20180518TXSAS")</f>
        <v>20180518TXSAS</v>
      </c>
      <c r="B1264" s="1" t="str">
        <f ca="1">IFERROR(__xludf.DUMMYFUNCTION("""COMPUTED_VALUE"""),"Wounded")</f>
        <v>Wounded</v>
      </c>
      <c r="C1264" s="1"/>
      <c r="D1264" s="1" t="str">
        <f ca="1">IFERROR(__xludf.DUMMYFUNCTION("""COMPUTED_VALUE"""),"Student")</f>
        <v>Student</v>
      </c>
      <c r="E1264" s="1" t="str">
        <f ca="1">IFERROR(__xludf.DUMMYFUNCTION("""COMPUTED_VALUE"""),"Teen")</f>
        <v>Teen</v>
      </c>
      <c r="F1264" s="1"/>
    </row>
    <row r="1265" spans="1:6" ht="12.5">
      <c r="A1265" s="1" t="str">
        <f ca="1">IFERROR(__xludf.DUMMYFUNCTION("""COMPUTED_VALUE"""),"20180518TXSAS")</f>
        <v>20180518TXSAS</v>
      </c>
      <c r="B1265" s="1" t="str">
        <f ca="1">IFERROR(__xludf.DUMMYFUNCTION("""COMPUTED_VALUE"""),"Fatal")</f>
        <v>Fatal</v>
      </c>
      <c r="C1265" s="1" t="str">
        <f ca="1">IFERROR(__xludf.DUMMYFUNCTION("""COMPUTED_VALUE"""),"Male")</f>
        <v>Male</v>
      </c>
      <c r="D1265" s="1" t="str">
        <f ca="1">IFERROR(__xludf.DUMMYFUNCTION("""COMPUTED_VALUE"""),"Student")</f>
        <v>Student</v>
      </c>
      <c r="E1265" s="1">
        <f ca="1">IFERROR(__xludf.DUMMYFUNCTION("""COMPUTED_VALUE"""),17)</f>
        <v>17</v>
      </c>
      <c r="F1265" s="1"/>
    </row>
    <row r="1266" spans="1:6" ht="12.5">
      <c r="A1266" s="1" t="str">
        <f ca="1">IFERROR(__xludf.DUMMYFUNCTION("""COMPUTED_VALUE"""),"20180518TXSAS")</f>
        <v>20180518TXSAS</v>
      </c>
      <c r="B1266" s="1" t="str">
        <f ca="1">IFERROR(__xludf.DUMMYFUNCTION("""COMPUTED_VALUE"""),"Fatal")</f>
        <v>Fatal</v>
      </c>
      <c r="C1266" s="1" t="str">
        <f ca="1">IFERROR(__xludf.DUMMYFUNCTION("""COMPUTED_VALUE"""),"Female")</f>
        <v>Female</v>
      </c>
      <c r="D1266" s="1" t="str">
        <f ca="1">IFERROR(__xludf.DUMMYFUNCTION("""COMPUTED_VALUE"""),"Teacher")</f>
        <v>Teacher</v>
      </c>
      <c r="E1266" s="1">
        <f ca="1">IFERROR(__xludf.DUMMYFUNCTION("""COMPUTED_VALUE"""),63)</f>
        <v>63</v>
      </c>
      <c r="F1266" s="1"/>
    </row>
    <row r="1267" spans="1:6" ht="12.5">
      <c r="A1267" s="1" t="str">
        <f ca="1">IFERROR(__xludf.DUMMYFUNCTION("""COMPUTED_VALUE"""),"20180518TXSAS")</f>
        <v>20180518TXSAS</v>
      </c>
      <c r="B1267" s="1" t="str">
        <f ca="1">IFERROR(__xludf.DUMMYFUNCTION("""COMPUTED_VALUE"""),"Fatal")</f>
        <v>Fatal</v>
      </c>
      <c r="C1267" s="1" t="str">
        <f ca="1">IFERROR(__xludf.DUMMYFUNCTION("""COMPUTED_VALUE"""),"Male")</f>
        <v>Male</v>
      </c>
      <c r="D1267" s="1" t="str">
        <f ca="1">IFERROR(__xludf.DUMMYFUNCTION("""COMPUTED_VALUE"""),"Student")</f>
        <v>Student</v>
      </c>
      <c r="E1267" s="1">
        <f ca="1">IFERROR(__xludf.DUMMYFUNCTION("""COMPUTED_VALUE"""),17)</f>
        <v>17</v>
      </c>
      <c r="F1267" s="1"/>
    </row>
    <row r="1268" spans="1:6" ht="12.5">
      <c r="A1268" s="1" t="str">
        <f ca="1">IFERROR(__xludf.DUMMYFUNCTION("""COMPUTED_VALUE"""),"20180518TXSAS")</f>
        <v>20180518TXSAS</v>
      </c>
      <c r="B1268" s="1" t="str">
        <f ca="1">IFERROR(__xludf.DUMMYFUNCTION("""COMPUTED_VALUE"""),"Fatal")</f>
        <v>Fatal</v>
      </c>
      <c r="C1268" s="1" t="str">
        <f ca="1">IFERROR(__xludf.DUMMYFUNCTION("""COMPUTED_VALUE"""),"Female")</f>
        <v>Female</v>
      </c>
      <c r="D1268" s="1" t="str">
        <f ca="1">IFERROR(__xludf.DUMMYFUNCTION("""COMPUTED_VALUE"""),"Teacher")</f>
        <v>Teacher</v>
      </c>
      <c r="E1268" s="1">
        <f ca="1">IFERROR(__xludf.DUMMYFUNCTION("""COMPUTED_VALUE"""),64)</f>
        <v>64</v>
      </c>
      <c r="F1268" s="1"/>
    </row>
    <row r="1269" spans="1:6" ht="12.5">
      <c r="A1269" s="1" t="str">
        <f ca="1">IFERROR(__xludf.DUMMYFUNCTION("""COMPUTED_VALUE"""),"20180518TXSAS")</f>
        <v>20180518TXSAS</v>
      </c>
      <c r="B1269" s="1" t="str">
        <f ca="1">IFERROR(__xludf.DUMMYFUNCTION("""COMPUTED_VALUE"""),"Fatal")</f>
        <v>Fatal</v>
      </c>
      <c r="C1269" s="1" t="str">
        <f ca="1">IFERROR(__xludf.DUMMYFUNCTION("""COMPUTED_VALUE"""),"Male")</f>
        <v>Male</v>
      </c>
      <c r="D1269" s="1" t="str">
        <f ca="1">IFERROR(__xludf.DUMMYFUNCTION("""COMPUTED_VALUE"""),"Student")</f>
        <v>Student</v>
      </c>
      <c r="E1269" s="1">
        <f ca="1">IFERROR(__xludf.DUMMYFUNCTION("""COMPUTED_VALUE"""),17)</f>
        <v>17</v>
      </c>
      <c r="F1269" s="1"/>
    </row>
    <row r="1270" spans="1:6" ht="12.5">
      <c r="A1270" s="1" t="str">
        <f ca="1">IFERROR(__xludf.DUMMYFUNCTION("""COMPUTED_VALUE"""),"20180518TXSAS")</f>
        <v>20180518TXSAS</v>
      </c>
      <c r="B1270" s="1" t="str">
        <f ca="1">IFERROR(__xludf.DUMMYFUNCTION("""COMPUTED_VALUE"""),"Wounded")</f>
        <v>Wounded</v>
      </c>
      <c r="C1270" s="1"/>
      <c r="D1270" s="1" t="str">
        <f ca="1">IFERROR(__xludf.DUMMYFUNCTION("""COMPUTED_VALUE"""),"Student")</f>
        <v>Student</v>
      </c>
      <c r="E1270" s="1" t="str">
        <f ca="1">IFERROR(__xludf.DUMMYFUNCTION("""COMPUTED_VALUE"""),"Teen")</f>
        <v>Teen</v>
      </c>
      <c r="F1270" s="1"/>
    </row>
    <row r="1271" spans="1:6" ht="12.5">
      <c r="A1271" s="1" t="str">
        <f ca="1">IFERROR(__xludf.DUMMYFUNCTION("""COMPUTED_VALUE"""),"20180518TXSAS")</f>
        <v>20180518TXSAS</v>
      </c>
      <c r="B1271" s="1" t="str">
        <f ca="1">IFERROR(__xludf.DUMMYFUNCTION("""COMPUTED_VALUE"""),"Fatal")</f>
        <v>Fatal</v>
      </c>
      <c r="C1271" s="1" t="str">
        <f ca="1">IFERROR(__xludf.DUMMYFUNCTION("""COMPUTED_VALUE"""),"Female")</f>
        <v>Female</v>
      </c>
      <c r="D1271" s="1" t="str">
        <f ca="1">IFERROR(__xludf.DUMMYFUNCTION("""COMPUTED_VALUE"""),"Student")</f>
        <v>Student</v>
      </c>
      <c r="E1271" s="1">
        <f ca="1">IFERROR(__xludf.DUMMYFUNCTION("""COMPUTED_VALUE"""),14)</f>
        <v>14</v>
      </c>
      <c r="F1271" s="1"/>
    </row>
    <row r="1272" spans="1:6" ht="12.5">
      <c r="A1272" s="1" t="str">
        <f ca="1">IFERROR(__xludf.DUMMYFUNCTION("""COMPUTED_VALUE"""),"20180518TXSAS")</f>
        <v>20180518TXSAS</v>
      </c>
      <c r="B1272" s="1" t="str">
        <f ca="1">IFERROR(__xludf.DUMMYFUNCTION("""COMPUTED_VALUE"""),"Fatal")</f>
        <v>Fatal</v>
      </c>
      <c r="C1272" s="1" t="str">
        <f ca="1">IFERROR(__xludf.DUMMYFUNCTION("""COMPUTED_VALUE"""),"Female")</f>
        <v>Female</v>
      </c>
      <c r="D1272" s="1" t="str">
        <f ca="1">IFERROR(__xludf.DUMMYFUNCTION("""COMPUTED_VALUE"""),"Student")</f>
        <v>Student</v>
      </c>
      <c r="E1272" s="1">
        <f ca="1">IFERROR(__xludf.DUMMYFUNCTION("""COMPUTED_VALUE"""),16)</f>
        <v>16</v>
      </c>
      <c r="F1272" s="1"/>
    </row>
    <row r="1273" spans="1:6" ht="12.5">
      <c r="A1273" s="1" t="str">
        <f ca="1">IFERROR(__xludf.DUMMYFUNCTION("""COMPUTED_VALUE"""),"20180518TXSAS")</f>
        <v>20180518TXSAS</v>
      </c>
      <c r="B1273" s="1" t="str">
        <f ca="1">IFERROR(__xludf.DUMMYFUNCTION("""COMPUTED_VALUE"""),"Wounded")</f>
        <v>Wounded</v>
      </c>
      <c r="C1273" s="1"/>
      <c r="D1273" s="1" t="str">
        <f ca="1">IFERROR(__xludf.DUMMYFUNCTION("""COMPUTED_VALUE"""),"Student")</f>
        <v>Student</v>
      </c>
      <c r="E1273" s="1" t="str">
        <f ca="1">IFERROR(__xludf.DUMMYFUNCTION("""COMPUTED_VALUE"""),"Teen")</f>
        <v>Teen</v>
      </c>
      <c r="F1273" s="1"/>
    </row>
    <row r="1274" spans="1:6" ht="12.5">
      <c r="A1274" s="1" t="str">
        <f ca="1">IFERROR(__xludf.DUMMYFUNCTION("""COMPUTED_VALUE"""),"20180518TXSAS")</f>
        <v>20180518TXSAS</v>
      </c>
      <c r="B1274" s="1" t="str">
        <f ca="1">IFERROR(__xludf.DUMMYFUNCTION("""COMPUTED_VALUE"""),"Wounded")</f>
        <v>Wounded</v>
      </c>
      <c r="C1274" s="1"/>
      <c r="D1274" s="1" t="str">
        <f ca="1">IFERROR(__xludf.DUMMYFUNCTION("""COMPUTED_VALUE"""),"Student")</f>
        <v>Student</v>
      </c>
      <c r="E1274" s="1" t="str">
        <f ca="1">IFERROR(__xludf.DUMMYFUNCTION("""COMPUTED_VALUE"""),"Teen")</f>
        <v>Teen</v>
      </c>
      <c r="F1274" s="1"/>
    </row>
    <row r="1275" spans="1:6" ht="12.5">
      <c r="A1275" s="1" t="str">
        <f ca="1">IFERROR(__xludf.DUMMYFUNCTION("""COMPUTED_VALUE"""),"20180518TXSAS")</f>
        <v>20180518TXSAS</v>
      </c>
      <c r="B1275" s="1" t="str">
        <f ca="1">IFERROR(__xludf.DUMMYFUNCTION("""COMPUTED_VALUE"""),"Wounded")</f>
        <v>Wounded</v>
      </c>
      <c r="C1275" s="1"/>
      <c r="D1275" s="1" t="str">
        <f ca="1">IFERROR(__xludf.DUMMYFUNCTION("""COMPUTED_VALUE"""),"Student")</f>
        <v>Student</v>
      </c>
      <c r="E1275" s="1" t="str">
        <f ca="1">IFERROR(__xludf.DUMMYFUNCTION("""COMPUTED_VALUE"""),"Teen")</f>
        <v>Teen</v>
      </c>
      <c r="F1275" s="1"/>
    </row>
    <row r="1276" spans="1:6" ht="12.5">
      <c r="A1276" s="1" t="str">
        <f ca="1">IFERROR(__xludf.DUMMYFUNCTION("""COMPUTED_VALUE"""),"20180518TXSAS")</f>
        <v>20180518TXSAS</v>
      </c>
      <c r="B1276" s="1" t="str">
        <f ca="1">IFERROR(__xludf.DUMMYFUNCTION("""COMPUTED_VALUE"""),"Fatal")</f>
        <v>Fatal</v>
      </c>
      <c r="C1276" s="1" t="str">
        <f ca="1">IFERROR(__xludf.DUMMYFUNCTION("""COMPUTED_VALUE"""),"Male")</f>
        <v>Male</v>
      </c>
      <c r="D1276" s="1" t="str">
        <f ca="1">IFERROR(__xludf.DUMMYFUNCTION("""COMPUTED_VALUE"""),"Student")</f>
        <v>Student</v>
      </c>
      <c r="E1276" s="1">
        <f ca="1">IFERROR(__xludf.DUMMYFUNCTION("""COMPUTED_VALUE"""),15)</f>
        <v>15</v>
      </c>
      <c r="F1276" s="1"/>
    </row>
    <row r="1277" spans="1:6" ht="12.5">
      <c r="A1277" s="1" t="str">
        <f ca="1">IFERROR(__xludf.DUMMYFUNCTION("""COMPUTED_VALUE"""),"20180518TXSAS")</f>
        <v>20180518TXSAS</v>
      </c>
      <c r="B1277" s="1" t="str">
        <f ca="1">IFERROR(__xludf.DUMMYFUNCTION("""COMPUTED_VALUE"""),"Wounded")</f>
        <v>Wounded</v>
      </c>
      <c r="C1277" s="1"/>
      <c r="D1277" s="1" t="str">
        <f ca="1">IFERROR(__xludf.DUMMYFUNCTION("""COMPUTED_VALUE"""),"Student")</f>
        <v>Student</v>
      </c>
      <c r="E1277" s="1" t="str">
        <f ca="1">IFERROR(__xludf.DUMMYFUNCTION("""COMPUTED_VALUE"""),"Teen")</f>
        <v>Teen</v>
      </c>
      <c r="F1277" s="1"/>
    </row>
    <row r="1278" spans="1:6" ht="12.5">
      <c r="A1278" s="1" t="str">
        <f ca="1">IFERROR(__xludf.DUMMYFUNCTION("""COMPUTED_VALUE"""),"20180518TXSAS")</f>
        <v>20180518TXSAS</v>
      </c>
      <c r="B1278" s="1" t="str">
        <f ca="1">IFERROR(__xludf.DUMMYFUNCTION("""COMPUTED_VALUE"""),"Wounded")</f>
        <v>Wounded</v>
      </c>
      <c r="C1278" s="1"/>
      <c r="D1278" s="1" t="str">
        <f ca="1">IFERROR(__xludf.DUMMYFUNCTION("""COMPUTED_VALUE"""),"Student")</f>
        <v>Student</v>
      </c>
      <c r="E1278" s="1" t="str">
        <f ca="1">IFERROR(__xludf.DUMMYFUNCTION("""COMPUTED_VALUE"""),"Teen")</f>
        <v>Teen</v>
      </c>
      <c r="F1278" s="1"/>
    </row>
    <row r="1279" spans="1:6" ht="12.5">
      <c r="A1279" s="1" t="str">
        <f ca="1">IFERROR(__xludf.DUMMYFUNCTION("""COMPUTED_VALUE"""),"20180518TXSAS")</f>
        <v>20180518TXSAS</v>
      </c>
      <c r="B1279" s="1" t="str">
        <f ca="1">IFERROR(__xludf.DUMMYFUNCTION("""COMPUTED_VALUE"""),"Wounded")</f>
        <v>Wounded</v>
      </c>
      <c r="C1279" s="1"/>
      <c r="D1279" s="1" t="str">
        <f ca="1">IFERROR(__xludf.DUMMYFUNCTION("""COMPUTED_VALUE"""),"Student")</f>
        <v>Student</v>
      </c>
      <c r="E1279" s="1" t="str">
        <f ca="1">IFERROR(__xludf.DUMMYFUNCTION("""COMPUTED_VALUE"""),"Teen")</f>
        <v>Teen</v>
      </c>
      <c r="F1279" s="1"/>
    </row>
    <row r="1280" spans="1:6" ht="12.5">
      <c r="A1280" s="1" t="str">
        <f ca="1">IFERROR(__xludf.DUMMYFUNCTION("""COMPUTED_VALUE"""),"20180518TXSAS")</f>
        <v>20180518TXSAS</v>
      </c>
      <c r="B1280" s="1" t="str">
        <f ca="1">IFERROR(__xludf.DUMMYFUNCTION("""COMPUTED_VALUE"""),"Fatal")</f>
        <v>Fatal</v>
      </c>
      <c r="C1280" s="1" t="str">
        <f ca="1">IFERROR(__xludf.DUMMYFUNCTION("""COMPUTED_VALUE"""),"Male")</f>
        <v>Male</v>
      </c>
      <c r="D1280" s="1" t="str">
        <f ca="1">IFERROR(__xludf.DUMMYFUNCTION("""COMPUTED_VALUE"""),"Student")</f>
        <v>Student</v>
      </c>
      <c r="E1280" s="1">
        <f ca="1">IFERROR(__xludf.DUMMYFUNCTION("""COMPUTED_VALUE"""),15)</f>
        <v>15</v>
      </c>
      <c r="F1280" s="1"/>
    </row>
    <row r="1281" spans="1:6" ht="12.5">
      <c r="A1281" s="1" t="str">
        <f ca="1">IFERROR(__xludf.DUMMYFUNCTION("""COMPUTED_VALUE"""),"20180518TXSAS")</f>
        <v>20180518TXSAS</v>
      </c>
      <c r="B1281" s="1" t="str">
        <f ca="1">IFERROR(__xludf.DUMMYFUNCTION("""COMPUTED_VALUE"""),"Wounded")</f>
        <v>Wounded</v>
      </c>
      <c r="C1281" s="1"/>
      <c r="D1281" s="1" t="str">
        <f ca="1">IFERROR(__xludf.DUMMYFUNCTION("""COMPUTED_VALUE"""),"Student")</f>
        <v>Student</v>
      </c>
      <c r="E1281" s="1" t="str">
        <f ca="1">IFERROR(__xludf.DUMMYFUNCTION("""COMPUTED_VALUE"""),"Teen")</f>
        <v>Teen</v>
      </c>
      <c r="F1281" s="1"/>
    </row>
    <row r="1282" spans="1:6" ht="12.5">
      <c r="A1282" s="1" t="str">
        <f ca="1">IFERROR(__xludf.DUMMYFUNCTION("""COMPUTED_VALUE"""),"20180518TXSAS")</f>
        <v>20180518TXSAS</v>
      </c>
      <c r="B1282" s="1" t="str">
        <f ca="1">IFERROR(__xludf.DUMMYFUNCTION("""COMPUTED_VALUE"""),"Wounded")</f>
        <v>Wounded</v>
      </c>
      <c r="C1282" s="1"/>
      <c r="D1282" s="1" t="str">
        <f ca="1">IFERROR(__xludf.DUMMYFUNCTION("""COMPUTED_VALUE"""),"Student")</f>
        <v>Student</v>
      </c>
      <c r="E1282" s="1" t="str">
        <f ca="1">IFERROR(__xludf.DUMMYFUNCTION("""COMPUTED_VALUE"""),"Teen")</f>
        <v>Teen</v>
      </c>
      <c r="F1282" s="1"/>
    </row>
    <row r="1283" spans="1:6" ht="12.5">
      <c r="A1283" s="1" t="str">
        <f ca="1">IFERROR(__xludf.DUMMYFUNCTION("""COMPUTED_VALUE"""),"20180518TXSAS")</f>
        <v>20180518TXSAS</v>
      </c>
      <c r="B1283" s="1" t="str">
        <f ca="1">IFERROR(__xludf.DUMMYFUNCTION("""COMPUTED_VALUE"""),"Wounded")</f>
        <v>Wounded</v>
      </c>
      <c r="C1283" s="1"/>
      <c r="D1283" s="1" t="str">
        <f ca="1">IFERROR(__xludf.DUMMYFUNCTION("""COMPUTED_VALUE"""),"Student")</f>
        <v>Student</v>
      </c>
      <c r="E1283" s="1" t="str">
        <f ca="1">IFERROR(__xludf.DUMMYFUNCTION("""COMPUTED_VALUE"""),"Teen")</f>
        <v>Teen</v>
      </c>
      <c r="F1283" s="1"/>
    </row>
    <row r="1284" spans="1:6" ht="12.5">
      <c r="A1284" s="1" t="str">
        <f ca="1">IFERROR(__xludf.DUMMYFUNCTION("""COMPUTED_VALUE"""),"20180518TXSAS")</f>
        <v>20180518TXSAS</v>
      </c>
      <c r="B1284" s="1" t="str">
        <f ca="1">IFERROR(__xludf.DUMMYFUNCTION("""COMPUTED_VALUE"""),"Fatal")</f>
        <v>Fatal</v>
      </c>
      <c r="C1284" s="1" t="str">
        <f ca="1">IFERROR(__xludf.DUMMYFUNCTION("""COMPUTED_VALUE"""),"Female")</f>
        <v>Female</v>
      </c>
      <c r="D1284" s="1" t="str">
        <f ca="1">IFERROR(__xludf.DUMMYFUNCTION("""COMPUTED_VALUE"""),"Student")</f>
        <v>Student</v>
      </c>
      <c r="E1284" s="1">
        <f ca="1">IFERROR(__xludf.DUMMYFUNCTION("""COMPUTED_VALUE"""),15)</f>
        <v>15</v>
      </c>
      <c r="F1284" s="1"/>
    </row>
    <row r="1285" spans="1:6" ht="12.5">
      <c r="A1285" s="1" t="str">
        <f ca="1">IFERROR(__xludf.DUMMYFUNCTION("""COMPUTED_VALUE"""),"20180518TXSAS")</f>
        <v>20180518TXSAS</v>
      </c>
      <c r="B1285" s="1" t="str">
        <f ca="1">IFERROR(__xludf.DUMMYFUNCTION("""COMPUTED_VALUE"""),"Wounded")</f>
        <v>Wounded</v>
      </c>
      <c r="C1285" s="1"/>
      <c r="D1285" s="1" t="str">
        <f ca="1">IFERROR(__xludf.DUMMYFUNCTION("""COMPUTED_VALUE"""),"Student")</f>
        <v>Student</v>
      </c>
      <c r="E1285" s="1" t="str">
        <f ca="1">IFERROR(__xludf.DUMMYFUNCTION("""COMPUTED_VALUE"""),"Teen")</f>
        <v>Teen</v>
      </c>
      <c r="F1285" s="1"/>
    </row>
    <row r="1286" spans="1:6" ht="12.5">
      <c r="A1286" s="1" t="str">
        <f ca="1">IFERROR(__xludf.DUMMYFUNCTION("""COMPUTED_VALUE"""),"20180518TXSAS")</f>
        <v>20180518TXSAS</v>
      </c>
      <c r="B1286" s="1" t="str">
        <f ca="1">IFERROR(__xludf.DUMMYFUNCTION("""COMPUTED_VALUE"""),"Wounded")</f>
        <v>Wounded</v>
      </c>
      <c r="C1286" s="1"/>
      <c r="D1286" s="1" t="str">
        <f ca="1">IFERROR(__xludf.DUMMYFUNCTION("""COMPUTED_VALUE"""),"Student")</f>
        <v>Student</v>
      </c>
      <c r="E1286" s="1" t="str">
        <f ca="1">IFERROR(__xludf.DUMMYFUNCTION("""COMPUTED_VALUE"""),"Teen")</f>
        <v>Teen</v>
      </c>
      <c r="F1286" s="1"/>
    </row>
    <row r="1287" spans="1:6" ht="12.5">
      <c r="A1287" s="1" t="str">
        <f ca="1">IFERROR(__xludf.DUMMYFUNCTION("""COMPUTED_VALUE"""),"20180518GAMOA")</f>
        <v>20180518GAMOA</v>
      </c>
      <c r="B1287" s="1" t="str">
        <f ca="1">IFERROR(__xludf.DUMMYFUNCTION("""COMPUTED_VALUE"""),"Fatal")</f>
        <v>Fatal</v>
      </c>
      <c r="C1287" s="1" t="str">
        <f ca="1">IFERROR(__xludf.DUMMYFUNCTION("""COMPUTED_VALUE"""),"Female")</f>
        <v>Female</v>
      </c>
      <c r="D1287" s="1" t="str">
        <f ca="1">IFERROR(__xludf.DUMMYFUNCTION("""COMPUTED_VALUE"""),"Relative")</f>
        <v>Relative</v>
      </c>
      <c r="E1287" s="1">
        <f ca="1">IFERROR(__xludf.DUMMYFUNCTION("""COMPUTED_VALUE"""),40)</f>
        <v>40</v>
      </c>
      <c r="F1287" s="1"/>
    </row>
    <row r="1288" spans="1:6" ht="12.5">
      <c r="A1288" s="1" t="str">
        <f ca="1">IFERROR(__xludf.DUMMYFUNCTION("""COMPUTED_VALUE"""),"20180518GAMOA")</f>
        <v>20180518GAMOA</v>
      </c>
      <c r="B1288" s="1" t="str">
        <f ca="1">IFERROR(__xludf.DUMMYFUNCTION("""COMPUTED_VALUE"""),"Wounded")</f>
        <v>Wounded</v>
      </c>
      <c r="C1288" s="1" t="str">
        <f ca="1">IFERROR(__xludf.DUMMYFUNCTION("""COMPUTED_VALUE"""),"Female")</f>
        <v>Female</v>
      </c>
      <c r="D1288" s="1" t="str">
        <f ca="1">IFERROR(__xludf.DUMMYFUNCTION("""COMPUTED_VALUE"""),"Relative")</f>
        <v>Relative</v>
      </c>
      <c r="E1288" s="1">
        <f ca="1">IFERROR(__xludf.DUMMYFUNCTION("""COMPUTED_VALUE"""),21)</f>
        <v>21</v>
      </c>
      <c r="F1288" s="1"/>
    </row>
    <row r="1289" spans="1:6" ht="12.5">
      <c r="A1289" s="1" t="str">
        <f ca="1">IFERROR(__xludf.DUMMYFUNCTION("""COMPUTED_VALUE"""),"20180518GAMOA")</f>
        <v>20180518GAMOA</v>
      </c>
      <c r="B1289" s="1" t="str">
        <f ca="1">IFERROR(__xludf.DUMMYFUNCTION("""COMPUTED_VALUE"""),"Wounded")</f>
        <v>Wounded</v>
      </c>
      <c r="C1289" s="1" t="str">
        <f ca="1">IFERROR(__xludf.DUMMYFUNCTION("""COMPUTED_VALUE"""),"Female")</f>
        <v>Female</v>
      </c>
      <c r="D1289" s="1" t="str">
        <f ca="1">IFERROR(__xludf.DUMMYFUNCTION("""COMPUTED_VALUE"""),"Relative")</f>
        <v>Relative</v>
      </c>
      <c r="E1289" s="1" t="str">
        <f ca="1">IFERROR(__xludf.DUMMYFUNCTION("""COMPUTED_VALUE"""),"Adult")</f>
        <v>Adult</v>
      </c>
      <c r="F1289" s="1"/>
    </row>
    <row r="1290" spans="1:6" ht="12.5">
      <c r="A1290" s="1" t="str">
        <f ca="1">IFERROR(__xludf.DUMMYFUNCTION("""COMPUTED_VALUE"""),"20180517MOCEK")</f>
        <v>20180517MOCEK</v>
      </c>
      <c r="B1290" s="1" t="str">
        <f ca="1">IFERROR(__xludf.DUMMYFUNCTION("""COMPUTED_VALUE"""),"Wounded")</f>
        <v>Wounded</v>
      </c>
      <c r="C1290" s="1"/>
      <c r="D1290" s="1" t="str">
        <f ca="1">IFERROR(__xludf.DUMMYFUNCTION("""COMPUTED_VALUE"""),"Relative")</f>
        <v>Relative</v>
      </c>
      <c r="E1290" s="1" t="str">
        <f ca="1">IFERROR(__xludf.DUMMYFUNCTION("""COMPUTED_VALUE"""),"Adult")</f>
        <v>Adult</v>
      </c>
      <c r="F1290" s="1"/>
    </row>
    <row r="1291" spans="1:6" ht="12.5">
      <c r="A1291" s="1" t="str">
        <f ca="1">IFERROR(__xludf.DUMMYFUNCTION("""COMPUTED_VALUE"""),"20180517MOCEK")</f>
        <v>20180517MOCEK</v>
      </c>
      <c r="B1291" s="1" t="str">
        <f ca="1">IFERROR(__xludf.DUMMYFUNCTION("""COMPUTED_VALUE"""),"Wounded")</f>
        <v>Wounded</v>
      </c>
      <c r="C1291" s="1"/>
      <c r="D1291" s="1" t="str">
        <f ca="1">IFERROR(__xludf.DUMMYFUNCTION("""COMPUTED_VALUE"""),"Student")</f>
        <v>Student</v>
      </c>
      <c r="E1291" s="1" t="str">
        <f ca="1">IFERROR(__xludf.DUMMYFUNCTION("""COMPUTED_VALUE"""),"Teen")</f>
        <v>Teen</v>
      </c>
      <c r="F1291" s="1"/>
    </row>
    <row r="1292" spans="1:6" ht="12.5">
      <c r="A1292" s="1" t="str">
        <f ca="1">IFERROR(__xludf.DUMMYFUNCTION("""COMPUTED_VALUE"""),"20180516ILDID")</f>
        <v>20180516ILDID</v>
      </c>
      <c r="B1292" s="1" t="str">
        <f ca="1">IFERROR(__xludf.DUMMYFUNCTION("""COMPUTED_VALUE"""),"Wounded")</f>
        <v>Wounded</v>
      </c>
      <c r="C1292" s="1" t="str">
        <f ca="1">IFERROR(__xludf.DUMMYFUNCTION("""COMPUTED_VALUE"""),"Male")</f>
        <v>Male</v>
      </c>
      <c r="D1292" s="1" t="str">
        <f ca="1">IFERROR(__xludf.DUMMYFUNCTION("""COMPUTED_VALUE"""),"Student")</f>
        <v>Student</v>
      </c>
      <c r="E1292" s="1"/>
      <c r="F1292" s="1"/>
    </row>
    <row r="1293" spans="1:6" ht="12.5">
      <c r="A1293" s="1" t="str">
        <f ca="1">IFERROR(__xludf.DUMMYFUNCTION("""COMPUTED_VALUE"""),"20180511CAHIP")</f>
        <v>20180511CAHIP</v>
      </c>
      <c r="B1293" s="1" t="str">
        <f ca="1">IFERROR(__xludf.DUMMYFUNCTION("""COMPUTED_VALUE"""),"Wounded")</f>
        <v>Wounded</v>
      </c>
      <c r="C1293" s="1" t="str">
        <f ca="1">IFERROR(__xludf.DUMMYFUNCTION("""COMPUTED_VALUE"""),"Male")</f>
        <v>Male</v>
      </c>
      <c r="D1293" s="1" t="str">
        <f ca="1">IFERROR(__xludf.DUMMYFUNCTION("""COMPUTED_VALUE"""),"Student")</f>
        <v>Student</v>
      </c>
      <c r="E1293" s="1">
        <f ca="1">IFERROR(__xludf.DUMMYFUNCTION("""COMPUTED_VALUE"""),15)</f>
        <v>15</v>
      </c>
      <c r="F1293" s="1"/>
    </row>
    <row r="1294" spans="1:6" ht="12.5">
      <c r="A1294" s="1" t="str">
        <f ca="1">IFERROR(__xludf.DUMMYFUNCTION("""COMPUTED_VALUE"""),"20180505MIFOF")</f>
        <v>20180505MIFOF</v>
      </c>
      <c r="B1294" s="1" t="str">
        <f ca="1">IFERROR(__xludf.DUMMYFUNCTION("""COMPUTED_VALUE"""),"None")</f>
        <v>None</v>
      </c>
      <c r="C1294" s="1"/>
      <c r="D1294" s="1"/>
      <c r="E1294" s="1"/>
      <c r="F1294" s="1"/>
    </row>
    <row r="1295" spans="1:6" ht="12.5">
      <c r="A1295" s="1" t="str">
        <f ca="1">IFERROR(__xludf.DUMMYFUNCTION("""COMPUTED_VALUE"""),"20180503TNWAW")</f>
        <v>20180503TNWAW</v>
      </c>
      <c r="B1295" s="1" t="str">
        <f ca="1">IFERROR(__xludf.DUMMYFUNCTION("""COMPUTED_VALUE"""),"None")</f>
        <v>None</v>
      </c>
      <c r="C1295" s="1"/>
      <c r="D1295" s="1"/>
      <c r="E1295" s="1"/>
      <c r="F1295" s="1"/>
    </row>
    <row r="1296" spans="1:6" ht="12.5">
      <c r="A1296" s="1" t="str">
        <f ca="1">IFERROR(__xludf.DUMMYFUNCTION("""COMPUTED_VALUE"""),"20180503SDENW")</f>
        <v>20180503SDENW</v>
      </c>
      <c r="B1296" s="1" t="str">
        <f ca="1">IFERROR(__xludf.DUMMYFUNCTION("""COMPUTED_VALUE"""),"Wounded")</f>
        <v>Wounded</v>
      </c>
      <c r="C1296" s="1" t="str">
        <f ca="1">IFERROR(__xludf.DUMMYFUNCTION("""COMPUTED_VALUE"""),"Male")</f>
        <v>Male</v>
      </c>
      <c r="D1296" s="1" t="str">
        <f ca="1">IFERROR(__xludf.DUMMYFUNCTION("""COMPUTED_VALUE"""),"Other Staff")</f>
        <v>Other Staff</v>
      </c>
      <c r="E1296" s="1">
        <f ca="1">IFERROR(__xludf.DUMMYFUNCTION("""COMPUTED_VALUE"""),19)</f>
        <v>19</v>
      </c>
      <c r="F1296" s="1"/>
    </row>
    <row r="1297" spans="1:6" ht="12.5">
      <c r="A1297" s="1" t="str">
        <f ca="1">IFERROR(__xludf.DUMMYFUNCTION("""COMPUTED_VALUE"""),"20180425NMHIA")</f>
        <v>20180425NMHIA</v>
      </c>
      <c r="B1297" s="1" t="str">
        <f ca="1">IFERROR(__xludf.DUMMYFUNCTION("""COMPUTED_VALUE"""),"Wounded")</f>
        <v>Wounded</v>
      </c>
      <c r="C1297" s="1" t="str">
        <f ca="1">IFERROR(__xludf.DUMMYFUNCTION("""COMPUTED_VALUE"""),"Male")</f>
        <v>Male</v>
      </c>
      <c r="D1297" s="1" t="str">
        <f ca="1">IFERROR(__xludf.DUMMYFUNCTION("""COMPUTED_VALUE"""),"Parent")</f>
        <v>Parent</v>
      </c>
      <c r="E1297" s="1" t="str">
        <f ca="1">IFERROR(__xludf.DUMMYFUNCTION("""COMPUTED_VALUE"""),"Adult")</f>
        <v>Adult</v>
      </c>
      <c r="F1297" s="1"/>
    </row>
    <row r="1298" spans="1:6" ht="12.5">
      <c r="A1298" s="1" t="str">
        <f ca="1">IFERROR(__xludf.DUMMYFUNCTION("""COMPUTED_VALUE"""),"20180423GABEA")</f>
        <v>20180423GABEA</v>
      </c>
      <c r="B1298" s="1" t="str">
        <f ca="1">IFERROR(__xludf.DUMMYFUNCTION("""COMPUTED_VALUE"""),"None")</f>
        <v>None</v>
      </c>
      <c r="C1298" s="1"/>
      <c r="D1298" s="1"/>
      <c r="E1298" s="1"/>
      <c r="F1298" s="1"/>
    </row>
    <row r="1299" spans="1:6" ht="12.5">
      <c r="A1299" s="1" t="str">
        <f ca="1">IFERROR(__xludf.DUMMYFUNCTION("""COMPUTED_VALUE"""),"20180420FLFOO")</f>
        <v>20180420FLFOO</v>
      </c>
      <c r="B1299" s="1" t="str">
        <f ca="1">IFERROR(__xludf.DUMMYFUNCTION("""COMPUTED_VALUE"""),"Wounded")</f>
        <v>Wounded</v>
      </c>
      <c r="C1299" s="1" t="str">
        <f ca="1">IFERROR(__xludf.DUMMYFUNCTION("""COMPUTED_VALUE"""),"Male")</f>
        <v>Male</v>
      </c>
      <c r="D1299" s="1" t="str">
        <f ca="1">IFERROR(__xludf.DUMMYFUNCTION("""COMPUTED_VALUE"""),"Student")</f>
        <v>Student</v>
      </c>
      <c r="E1299" s="1" t="str">
        <f ca="1">IFERROR(__xludf.DUMMYFUNCTION("""COMPUTED_VALUE"""),"Teen")</f>
        <v>Teen</v>
      </c>
      <c r="F1299" s="1"/>
    </row>
    <row r="1300" spans="1:6" ht="12.5">
      <c r="A1300" s="1" t="str">
        <f ca="1">IFERROR(__xludf.DUMMYFUNCTION("""COMPUTED_VALUE"""),"20180419MIJAJ")</f>
        <v>20180419MIJAJ</v>
      </c>
      <c r="B1300" s="1" t="str">
        <f ca="1">IFERROR(__xludf.DUMMYFUNCTION("""COMPUTED_VALUE"""),"None")</f>
        <v>None</v>
      </c>
      <c r="C1300" s="1"/>
      <c r="D1300" s="1"/>
      <c r="E1300" s="1"/>
      <c r="F1300" s="1"/>
    </row>
    <row r="1301" spans="1:6" ht="12.5">
      <c r="A1301" s="1" t="str">
        <f ca="1">IFERROR(__xludf.DUMMYFUNCTION("""COMPUTED_VALUE"""),"20180412MORAR")</f>
        <v>20180412MORAR</v>
      </c>
      <c r="B1301" s="1" t="str">
        <f ca="1">IFERROR(__xludf.DUMMYFUNCTION("""COMPUTED_VALUE"""),"Wounded")</f>
        <v>Wounded</v>
      </c>
      <c r="C1301" s="1" t="str">
        <f ca="1">IFERROR(__xludf.DUMMYFUNCTION("""COMPUTED_VALUE"""),"Male")</f>
        <v>Male</v>
      </c>
      <c r="D1301" s="1" t="str">
        <f ca="1">IFERROR(__xludf.DUMMYFUNCTION("""COMPUTED_VALUE"""),"Parent")</f>
        <v>Parent</v>
      </c>
      <c r="E1301" s="1" t="str">
        <f ca="1">IFERROR(__xludf.DUMMYFUNCTION("""COMPUTED_VALUE"""),"Adult")</f>
        <v>Adult</v>
      </c>
      <c r="F1301" s="1"/>
    </row>
    <row r="1302" spans="1:6" ht="12.5">
      <c r="A1302" s="1" t="str">
        <f ca="1">IFERROR(__xludf.DUMMYFUNCTION("""COMPUTED_VALUE"""),"20180409NYGLG")</f>
        <v>20180409NYGLG</v>
      </c>
      <c r="B1302" s="1" t="str">
        <f ca="1">IFERROR(__xludf.DUMMYFUNCTION("""COMPUTED_VALUE"""),"Wounded")</f>
        <v>Wounded</v>
      </c>
      <c r="C1302" s="1" t="str">
        <f ca="1">IFERROR(__xludf.DUMMYFUNCTION("""COMPUTED_VALUE"""),"Male")</f>
        <v>Male</v>
      </c>
      <c r="D1302" s="1" t="str">
        <f ca="1">IFERROR(__xludf.DUMMYFUNCTION("""COMPUTED_VALUE"""),"Student")</f>
        <v>Student</v>
      </c>
      <c r="E1302" s="1" t="str">
        <f ca="1">IFERROR(__xludf.DUMMYFUNCTION("""COMPUTED_VALUE"""),"Teen")</f>
        <v>Teen</v>
      </c>
      <c r="F1302" s="1"/>
    </row>
    <row r="1303" spans="1:6" ht="12.5">
      <c r="A1303" s="1" t="str">
        <f ca="1">IFERROR(__xludf.DUMMYFUNCTION("""COMPUTED_VALUE"""),"20180329KYJOE")</f>
        <v>20180329KYJOE</v>
      </c>
      <c r="B1303" s="1" t="str">
        <f ca="1">IFERROR(__xludf.DUMMYFUNCTION("""COMPUTED_VALUE"""),"None")</f>
        <v>None</v>
      </c>
      <c r="C1303" s="1" t="str">
        <f ca="1">IFERROR(__xludf.DUMMYFUNCTION("""COMPUTED_VALUE"""),"Male")</f>
        <v>Male</v>
      </c>
      <c r="D1303" s="1" t="str">
        <f ca="1">IFERROR(__xludf.DUMMYFUNCTION("""COMPUTED_VALUE"""),"Parent")</f>
        <v>Parent</v>
      </c>
      <c r="E1303" s="1">
        <f ca="1">IFERROR(__xludf.DUMMYFUNCTION("""COMPUTED_VALUE"""),51)</f>
        <v>51</v>
      </c>
      <c r="F1303" s="1" t="str">
        <f ca="1">IFERROR(__xludf.DUMMYFUNCTION("""COMPUTED_VALUE"""),"White")</f>
        <v>White</v>
      </c>
    </row>
    <row r="1304" spans="1:6" ht="12.5">
      <c r="A1304" s="1" t="str">
        <f ca="1">IFERROR(__xludf.DUMMYFUNCTION("""COMPUTED_VALUE"""),"20180328MSEUE")</f>
        <v>20180328MSEUE</v>
      </c>
      <c r="B1304" s="1" t="str">
        <f ca="1">IFERROR(__xludf.DUMMYFUNCTION("""COMPUTED_VALUE"""),"None")</f>
        <v>None</v>
      </c>
      <c r="C1304" s="1"/>
      <c r="D1304" s="1"/>
      <c r="E1304" s="1"/>
      <c r="F1304" s="1"/>
    </row>
    <row r="1305" spans="1:6" ht="12.5">
      <c r="A1305" s="1" t="str">
        <f ca="1">IFERROR(__xludf.DUMMYFUNCTION("""COMPUTED_VALUE"""),"20180320MDGRG")</f>
        <v>20180320MDGRG</v>
      </c>
      <c r="B1305" s="1" t="str">
        <f ca="1">IFERROR(__xludf.DUMMYFUNCTION("""COMPUTED_VALUE"""),"Fatal")</f>
        <v>Fatal</v>
      </c>
      <c r="C1305" s="1" t="str">
        <f ca="1">IFERROR(__xludf.DUMMYFUNCTION("""COMPUTED_VALUE"""),"Male")</f>
        <v>Male</v>
      </c>
      <c r="D1305" s="1" t="str">
        <f ca="1">IFERROR(__xludf.DUMMYFUNCTION("""COMPUTED_VALUE"""),"Student")</f>
        <v>Student</v>
      </c>
      <c r="E1305" s="1" t="str">
        <f ca="1">IFERROR(__xludf.DUMMYFUNCTION("""COMPUTED_VALUE"""),"Teen")</f>
        <v>Teen</v>
      </c>
      <c r="F1305" s="1" t="str">
        <f ca="1">IFERROR(__xludf.DUMMYFUNCTION("""COMPUTED_VALUE"""),"White")</f>
        <v>White</v>
      </c>
    </row>
    <row r="1306" spans="1:6" ht="12.5">
      <c r="A1306" s="1" t="str">
        <f ca="1">IFERROR(__xludf.DUMMYFUNCTION("""COMPUTED_VALUE"""),"20180320MDGRG")</f>
        <v>20180320MDGRG</v>
      </c>
      <c r="B1306" s="1" t="str">
        <f ca="1">IFERROR(__xludf.DUMMYFUNCTION("""COMPUTED_VALUE"""),"Wounded")</f>
        <v>Wounded</v>
      </c>
      <c r="C1306" s="1" t="str">
        <f ca="1">IFERROR(__xludf.DUMMYFUNCTION("""COMPUTED_VALUE"""),"Female")</f>
        <v>Female</v>
      </c>
      <c r="D1306" s="1" t="str">
        <f ca="1">IFERROR(__xludf.DUMMYFUNCTION("""COMPUTED_VALUE"""),"Student")</f>
        <v>Student</v>
      </c>
      <c r="E1306" s="1" t="str">
        <f ca="1">IFERROR(__xludf.DUMMYFUNCTION("""COMPUTED_VALUE"""),"Teen")</f>
        <v>Teen</v>
      </c>
      <c r="F1306" s="1" t="str">
        <f ca="1">IFERROR(__xludf.DUMMYFUNCTION("""COMPUTED_VALUE"""),"White")</f>
        <v>White</v>
      </c>
    </row>
    <row r="1307" spans="1:6" ht="12.5">
      <c r="A1307" s="1" t="str">
        <f ca="1">IFERROR(__xludf.DUMMYFUNCTION("""COMPUTED_VALUE"""),"20180319VADOP")</f>
        <v>20180319VADOP</v>
      </c>
      <c r="B1307" s="1" t="str">
        <f ca="1">IFERROR(__xludf.DUMMYFUNCTION("""COMPUTED_VALUE"""),"Wounded")</f>
        <v>Wounded</v>
      </c>
      <c r="C1307" s="1" t="str">
        <f ca="1">IFERROR(__xludf.DUMMYFUNCTION("""COMPUTED_VALUE"""),"Female")</f>
        <v>Female</v>
      </c>
      <c r="D1307" s="1" t="str">
        <f ca="1">IFERROR(__xludf.DUMMYFUNCTION("""COMPUTED_VALUE"""),"Parent")</f>
        <v>Parent</v>
      </c>
      <c r="E1307" s="1" t="str">
        <f ca="1">IFERROR(__xludf.DUMMYFUNCTION("""COMPUTED_VALUE"""),"Adult")</f>
        <v>Adult</v>
      </c>
      <c r="F1307" s="1"/>
    </row>
    <row r="1308" spans="1:6" ht="12.5">
      <c r="A1308" s="1" t="str">
        <f ca="1">IFERROR(__xludf.DUMMYFUNCTION("""COMPUTED_VALUE"""),"20180316MTBIM")</f>
        <v>20180316MTBIM</v>
      </c>
      <c r="B1308" s="1" t="str">
        <f ca="1">IFERROR(__xludf.DUMMYFUNCTION("""COMPUTED_VALUE"""),"None")</f>
        <v>None</v>
      </c>
      <c r="C1308" s="1"/>
      <c r="D1308" s="1"/>
      <c r="E1308" s="1"/>
      <c r="F1308" s="1"/>
    </row>
    <row r="1309" spans="1:6" ht="12.5">
      <c r="A1309" s="1" t="str">
        <f ca="1">IFERROR(__xludf.DUMMYFUNCTION("""COMPUTED_VALUE"""),"20180313VAGEA")</f>
        <v>20180313VAGEA</v>
      </c>
      <c r="B1309" s="1" t="str">
        <f ca="1">IFERROR(__xludf.DUMMYFUNCTION("""COMPUTED_VALUE"""),"None")</f>
        <v>None</v>
      </c>
      <c r="C1309" s="1"/>
      <c r="D1309" s="1"/>
      <c r="E1309" s="1"/>
      <c r="F1309" s="1"/>
    </row>
    <row r="1310" spans="1:6" ht="12.5">
      <c r="A1310" s="1" t="str">
        <f ca="1">IFERROR(__xludf.DUMMYFUNCTION("""COMPUTED_VALUE"""),"20180313CASES")</f>
        <v>20180313CASES</v>
      </c>
      <c r="B1310" s="1" t="str">
        <f ca="1">IFERROR(__xludf.DUMMYFUNCTION("""COMPUTED_VALUE"""),"Wounded")</f>
        <v>Wounded</v>
      </c>
      <c r="C1310" s="1"/>
      <c r="D1310" s="1" t="str">
        <f ca="1">IFERROR(__xludf.DUMMYFUNCTION("""COMPUTED_VALUE"""),"Student")</f>
        <v>Student</v>
      </c>
      <c r="E1310" s="1" t="str">
        <f ca="1">IFERROR(__xludf.DUMMYFUNCTION("""COMPUTED_VALUE"""),"Teen")</f>
        <v>Teen</v>
      </c>
      <c r="F1310" s="1"/>
    </row>
    <row r="1311" spans="1:6" ht="12.5">
      <c r="A1311" s="1" t="str">
        <f ca="1">IFERROR(__xludf.DUMMYFUNCTION("""COMPUTED_VALUE"""),"20180313CASES")</f>
        <v>20180313CASES</v>
      </c>
      <c r="B1311" s="1" t="str">
        <f ca="1">IFERROR(__xludf.DUMMYFUNCTION("""COMPUTED_VALUE"""),"Non-gunshot Injury")</f>
        <v>Non-gunshot Injury</v>
      </c>
      <c r="C1311" s="1"/>
      <c r="D1311" s="1" t="str">
        <f ca="1">IFERROR(__xludf.DUMMYFUNCTION("""COMPUTED_VALUE"""),"Student")</f>
        <v>Student</v>
      </c>
      <c r="E1311" s="1" t="str">
        <f ca="1">IFERROR(__xludf.DUMMYFUNCTION("""COMPUTED_VALUE"""),"Teen")</f>
        <v>Teen</v>
      </c>
      <c r="F1311" s="1"/>
    </row>
    <row r="1312" spans="1:6" ht="12.5">
      <c r="A1312" s="1" t="str">
        <f ca="1">IFERROR(__xludf.DUMMYFUNCTION("""COMPUTED_VALUE"""),"20180313CASES")</f>
        <v>20180313CASES</v>
      </c>
      <c r="B1312" s="1" t="str">
        <f ca="1">IFERROR(__xludf.DUMMYFUNCTION("""COMPUTED_VALUE"""),"Non-gunshot Injury")</f>
        <v>Non-gunshot Injury</v>
      </c>
      <c r="C1312" s="1"/>
      <c r="D1312" s="1" t="str">
        <f ca="1">IFERROR(__xludf.DUMMYFUNCTION("""COMPUTED_VALUE"""),"Student")</f>
        <v>Student</v>
      </c>
      <c r="E1312" s="1" t="str">
        <f ca="1">IFERROR(__xludf.DUMMYFUNCTION("""COMPUTED_VALUE"""),"Teen")</f>
        <v>Teen</v>
      </c>
      <c r="F1312" s="1"/>
    </row>
    <row r="1313" spans="1:6" ht="12.5">
      <c r="A1313" s="1" t="str">
        <f ca="1">IFERROR(__xludf.DUMMYFUNCTION("""COMPUTED_VALUE"""),"20180309KYFRL")</f>
        <v>20180309KYFRL</v>
      </c>
      <c r="B1313" s="1" t="str">
        <f ca="1">IFERROR(__xludf.DUMMYFUNCTION("""COMPUTED_VALUE"""),"None")</f>
        <v>None</v>
      </c>
      <c r="C1313" s="1" t="str">
        <f ca="1">IFERROR(__xludf.DUMMYFUNCTION("""COMPUTED_VALUE"""),"Male")</f>
        <v>Male</v>
      </c>
      <c r="D1313" s="1" t="str">
        <f ca="1">IFERROR(__xludf.DUMMYFUNCTION("""COMPUTED_VALUE"""),"Student")</f>
        <v>Student</v>
      </c>
      <c r="E1313" s="1" t="str">
        <f ca="1">IFERROR(__xludf.DUMMYFUNCTION("""COMPUTED_VALUE"""),"Teen")</f>
        <v>Teen</v>
      </c>
      <c r="F1313" s="1"/>
    </row>
    <row r="1314" spans="1:6" ht="12.5">
      <c r="A1314" s="1" t="str">
        <f ca="1">IFERROR(__xludf.DUMMYFUNCTION("""COMPUTED_VALUE"""),"20180307ALHUB")</f>
        <v>20180307ALHUB</v>
      </c>
      <c r="B1314" s="1" t="str">
        <f ca="1">IFERROR(__xludf.DUMMYFUNCTION("""COMPUTED_VALUE"""),"Fatal")</f>
        <v>Fatal</v>
      </c>
      <c r="C1314" s="1" t="str">
        <f ca="1">IFERROR(__xludf.DUMMYFUNCTION("""COMPUTED_VALUE"""),"Female")</f>
        <v>Female</v>
      </c>
      <c r="D1314" s="1" t="str">
        <f ca="1">IFERROR(__xludf.DUMMYFUNCTION("""COMPUTED_VALUE"""),"Student")</f>
        <v>Student</v>
      </c>
      <c r="E1314" s="1" t="str">
        <f ca="1">IFERROR(__xludf.DUMMYFUNCTION("""COMPUTED_VALUE"""),"Teen")</f>
        <v>Teen</v>
      </c>
      <c r="F1314" s="1" t="str">
        <f ca="1">IFERROR(__xludf.DUMMYFUNCTION("""COMPUTED_VALUE"""),"Black")</f>
        <v>Black</v>
      </c>
    </row>
    <row r="1315" spans="1:6" ht="12.5">
      <c r="A1315" s="1" t="str">
        <f ca="1">IFERROR(__xludf.DUMMYFUNCTION("""COMPUTED_VALUE"""),"20180305MOKIC")</f>
        <v>20180305MOKIC</v>
      </c>
      <c r="B1315" s="1" t="str">
        <f ca="1">IFERROR(__xludf.DUMMYFUNCTION("""COMPUTED_VALUE"""),"None")</f>
        <v>None</v>
      </c>
      <c r="C1315" s="1"/>
      <c r="D1315" s="1"/>
      <c r="E1315" s="1"/>
      <c r="F1315" s="1"/>
    </row>
    <row r="1316" spans="1:6" ht="12.5">
      <c r="A1316" s="1" t="str">
        <f ca="1">IFERROR(__xludf.DUMMYFUNCTION("""COMPUTED_VALUE"""),"20180228GADAD")</f>
        <v>20180228GADAD</v>
      </c>
      <c r="B1316" s="1" t="str">
        <f ca="1">IFERROR(__xludf.DUMMYFUNCTION("""COMPUTED_VALUE"""),"None")</f>
        <v>None</v>
      </c>
      <c r="C1316" s="1"/>
      <c r="D1316" s="1"/>
      <c r="E1316" s="1"/>
      <c r="F1316" s="1"/>
    </row>
    <row r="1317" spans="1:6" ht="12.5">
      <c r="A1317" s="1" t="str">
        <f ca="1">IFERROR(__xludf.DUMMYFUNCTION("""COMPUTED_VALUE"""),"20180226WAOAT")</f>
        <v>20180226WAOAT</v>
      </c>
      <c r="B1317" s="1" t="str">
        <f ca="1">IFERROR(__xludf.DUMMYFUNCTION("""COMPUTED_VALUE"""),"None")</f>
        <v>None</v>
      </c>
      <c r="C1317" s="1"/>
      <c r="D1317" s="1"/>
      <c r="E1317" s="1"/>
      <c r="F1317" s="1"/>
    </row>
    <row r="1318" spans="1:6" ht="12.5">
      <c r="A1318" s="1" t="str">
        <f ca="1">IFERROR(__xludf.DUMMYFUNCTION("""COMPUTED_VALUE"""),"20180220OHJAM")</f>
        <v>20180220OHJAM</v>
      </c>
      <c r="B1318" s="1" t="str">
        <f ca="1">IFERROR(__xludf.DUMMYFUNCTION("""COMPUTED_VALUE"""),"None")</f>
        <v>None</v>
      </c>
      <c r="C1318" s="1" t="str">
        <f ca="1">IFERROR(__xludf.DUMMYFUNCTION("""COMPUTED_VALUE"""),"Male")</f>
        <v>Male</v>
      </c>
      <c r="D1318" s="1" t="str">
        <f ca="1">IFERROR(__xludf.DUMMYFUNCTION("""COMPUTED_VALUE"""),"Student")</f>
        <v>Student</v>
      </c>
      <c r="E1318" s="1">
        <f ca="1">IFERROR(__xludf.DUMMYFUNCTION("""COMPUTED_VALUE"""),13)</f>
        <v>13</v>
      </c>
      <c r="F1318" s="1"/>
    </row>
    <row r="1319" spans="1:6" ht="12.5">
      <c r="A1319" s="1" t="str">
        <f ca="1">IFERROR(__xludf.DUMMYFUNCTION("""COMPUTED_VALUE"""),"20180215FLNOC")</f>
        <v>20180215FLNOC</v>
      </c>
      <c r="B1319" s="1" t="str">
        <f ca="1">IFERROR(__xludf.DUMMYFUNCTION("""COMPUTED_VALUE"""),"None")</f>
        <v>None</v>
      </c>
      <c r="C1319" s="1"/>
      <c r="D1319" s="1"/>
      <c r="E1319" s="1"/>
      <c r="F1319" s="1"/>
    </row>
    <row r="1320" spans="1:6" ht="12.5">
      <c r="A1320" s="1" t="str">
        <f ca="1">IFERROR(__xludf.DUMMYFUNCTION("""COMPUTED_VALUE"""),"20180214FLMAP")</f>
        <v>20180214FLMAP</v>
      </c>
      <c r="B1320" s="1" t="str">
        <f ca="1">IFERROR(__xludf.DUMMYFUNCTION("""COMPUTED_VALUE"""),"Wounded")</f>
        <v>Wounded</v>
      </c>
      <c r="C1320" s="1" t="str">
        <f ca="1">IFERROR(__xludf.DUMMYFUNCTION("""COMPUTED_VALUE"""),"Female")</f>
        <v>Female</v>
      </c>
      <c r="D1320" s="1" t="str">
        <f ca="1">IFERROR(__xludf.DUMMYFUNCTION("""COMPUTED_VALUE"""),"Teacher")</f>
        <v>Teacher</v>
      </c>
      <c r="E1320" s="1">
        <f ca="1">IFERROR(__xludf.DUMMYFUNCTION("""COMPUTED_VALUE"""),50)</f>
        <v>50</v>
      </c>
      <c r="F1320" s="1"/>
    </row>
    <row r="1321" spans="1:6" ht="12.5">
      <c r="A1321" s="1" t="str">
        <f ca="1">IFERROR(__xludf.DUMMYFUNCTION("""COMPUTED_VALUE"""),"20180214FLMAP")</f>
        <v>20180214FLMAP</v>
      </c>
      <c r="B1321" s="1" t="str">
        <f ca="1">IFERROR(__xludf.DUMMYFUNCTION("""COMPUTED_VALUE"""),"Fatal")</f>
        <v>Fatal</v>
      </c>
      <c r="C1321" s="1" t="str">
        <f ca="1">IFERROR(__xludf.DUMMYFUNCTION("""COMPUTED_VALUE"""),"Female")</f>
        <v>Female</v>
      </c>
      <c r="D1321" s="1" t="str">
        <f ca="1">IFERROR(__xludf.DUMMYFUNCTION("""COMPUTED_VALUE"""),"Student")</f>
        <v>Student</v>
      </c>
      <c r="E1321" s="1">
        <f ca="1">IFERROR(__xludf.DUMMYFUNCTION("""COMPUTED_VALUE"""),14)</f>
        <v>14</v>
      </c>
      <c r="F1321" s="1"/>
    </row>
    <row r="1322" spans="1:6" ht="12.5">
      <c r="A1322" s="1" t="str">
        <f ca="1">IFERROR(__xludf.DUMMYFUNCTION("""COMPUTED_VALUE"""),"20180214FLMAP")</f>
        <v>20180214FLMAP</v>
      </c>
      <c r="B1322" s="1" t="str">
        <f ca="1">IFERROR(__xludf.DUMMYFUNCTION("""COMPUTED_VALUE"""),"Wounded")</f>
        <v>Wounded</v>
      </c>
      <c r="C1322" s="1" t="str">
        <f ca="1">IFERROR(__xludf.DUMMYFUNCTION("""COMPUTED_VALUE"""),"Female")</f>
        <v>Female</v>
      </c>
      <c r="D1322" s="1" t="str">
        <f ca="1">IFERROR(__xludf.DUMMYFUNCTION("""COMPUTED_VALUE"""),"Student")</f>
        <v>Student</v>
      </c>
      <c r="E1322" s="1">
        <f ca="1">IFERROR(__xludf.DUMMYFUNCTION("""COMPUTED_VALUE"""),18)</f>
        <v>18</v>
      </c>
      <c r="F1322" s="1"/>
    </row>
    <row r="1323" spans="1:6" ht="12.5">
      <c r="A1323" s="1" t="str">
        <f ca="1">IFERROR(__xludf.DUMMYFUNCTION("""COMPUTED_VALUE"""),"20180214FLMAP")</f>
        <v>20180214FLMAP</v>
      </c>
      <c r="B1323" s="1" t="str">
        <f ca="1">IFERROR(__xludf.DUMMYFUNCTION("""COMPUTED_VALUE"""),"Wounded")</f>
        <v>Wounded</v>
      </c>
      <c r="C1323" s="1" t="str">
        <f ca="1">IFERROR(__xludf.DUMMYFUNCTION("""COMPUTED_VALUE"""),"Female")</f>
        <v>Female</v>
      </c>
      <c r="D1323" s="1" t="str">
        <f ca="1">IFERROR(__xludf.DUMMYFUNCTION("""COMPUTED_VALUE"""),"Student")</f>
        <v>Student</v>
      </c>
      <c r="E1323" s="1" t="str">
        <f ca="1">IFERROR(__xludf.DUMMYFUNCTION("""COMPUTED_VALUE"""),"Teen")</f>
        <v>Teen</v>
      </c>
      <c r="F1323" s="1"/>
    </row>
    <row r="1324" spans="1:6" ht="12.5">
      <c r="A1324" s="1" t="str">
        <f ca="1">IFERROR(__xludf.DUMMYFUNCTION("""COMPUTED_VALUE"""),"20180214FLMAP")</f>
        <v>20180214FLMAP</v>
      </c>
      <c r="B1324" s="1" t="str">
        <f ca="1">IFERROR(__xludf.DUMMYFUNCTION("""COMPUTED_VALUE"""),"Fatal")</f>
        <v>Fatal</v>
      </c>
      <c r="C1324" s="1" t="str">
        <f ca="1">IFERROR(__xludf.DUMMYFUNCTION("""COMPUTED_VALUE"""),"Female")</f>
        <v>Female</v>
      </c>
      <c r="D1324" s="1" t="str">
        <f ca="1">IFERROR(__xludf.DUMMYFUNCTION("""COMPUTED_VALUE"""),"Student")</f>
        <v>Student</v>
      </c>
      <c r="E1324" s="1">
        <f ca="1">IFERROR(__xludf.DUMMYFUNCTION("""COMPUTED_VALUE"""),18)</f>
        <v>18</v>
      </c>
      <c r="F1324" s="1"/>
    </row>
    <row r="1325" spans="1:6" ht="12.5">
      <c r="A1325" s="1" t="str">
        <f ca="1">IFERROR(__xludf.DUMMYFUNCTION("""COMPUTED_VALUE"""),"20180214FLMAP")</f>
        <v>20180214FLMAP</v>
      </c>
      <c r="B1325" s="1" t="str">
        <f ca="1">IFERROR(__xludf.DUMMYFUNCTION("""COMPUTED_VALUE"""),"Wounded")</f>
        <v>Wounded</v>
      </c>
      <c r="C1325" s="1" t="str">
        <f ca="1">IFERROR(__xludf.DUMMYFUNCTION("""COMPUTED_VALUE"""),"Female")</f>
        <v>Female</v>
      </c>
      <c r="D1325" s="1" t="str">
        <f ca="1">IFERROR(__xludf.DUMMYFUNCTION("""COMPUTED_VALUE"""),"Student")</f>
        <v>Student</v>
      </c>
      <c r="E1325" s="1" t="str">
        <f ca="1">IFERROR(__xludf.DUMMYFUNCTION("""COMPUTED_VALUE"""),"Teen")</f>
        <v>Teen</v>
      </c>
      <c r="F1325" s="1"/>
    </row>
    <row r="1326" spans="1:6" ht="12.5">
      <c r="A1326" s="1" t="str">
        <f ca="1">IFERROR(__xludf.DUMMYFUNCTION("""COMPUTED_VALUE"""),"20180214FLMAP")</f>
        <v>20180214FLMAP</v>
      </c>
      <c r="B1326" s="1" t="str">
        <f ca="1">IFERROR(__xludf.DUMMYFUNCTION("""COMPUTED_VALUE"""),"Wounded")</f>
        <v>Wounded</v>
      </c>
      <c r="C1326" s="1" t="str">
        <f ca="1">IFERROR(__xludf.DUMMYFUNCTION("""COMPUTED_VALUE"""),"Female")</f>
        <v>Female</v>
      </c>
      <c r="D1326" s="1" t="str">
        <f ca="1">IFERROR(__xludf.DUMMYFUNCTION("""COMPUTED_VALUE"""),"Student")</f>
        <v>Student</v>
      </c>
      <c r="E1326" s="1">
        <f ca="1">IFERROR(__xludf.DUMMYFUNCTION("""COMPUTED_VALUE"""),17)</f>
        <v>17</v>
      </c>
      <c r="F1326" s="1"/>
    </row>
    <row r="1327" spans="1:6" ht="12.5">
      <c r="A1327" s="1" t="str">
        <f ca="1">IFERROR(__xludf.DUMMYFUNCTION("""COMPUTED_VALUE"""),"20180214FLMAP")</f>
        <v>20180214FLMAP</v>
      </c>
      <c r="B1327" s="1" t="str">
        <f ca="1">IFERROR(__xludf.DUMMYFUNCTION("""COMPUTED_VALUE"""),"Fatal")</f>
        <v>Fatal</v>
      </c>
      <c r="C1327" s="1" t="str">
        <f ca="1">IFERROR(__xludf.DUMMYFUNCTION("""COMPUTED_VALUE"""),"Male")</f>
        <v>Male</v>
      </c>
      <c r="D1327" s="1" t="str">
        <f ca="1">IFERROR(__xludf.DUMMYFUNCTION("""COMPUTED_VALUE"""),"Teacher")</f>
        <v>Teacher</v>
      </c>
      <c r="E1327" s="1">
        <f ca="1">IFERROR(__xludf.DUMMYFUNCTION("""COMPUTED_VALUE"""),49)</f>
        <v>49</v>
      </c>
      <c r="F1327" s="1"/>
    </row>
    <row r="1328" spans="1:6" ht="12.5">
      <c r="A1328" s="1" t="str">
        <f ca="1">IFERROR(__xludf.DUMMYFUNCTION("""COMPUTED_VALUE"""),"20180214FLMAP")</f>
        <v>20180214FLMAP</v>
      </c>
      <c r="B1328" s="1" t="str">
        <f ca="1">IFERROR(__xludf.DUMMYFUNCTION("""COMPUTED_VALUE"""),"Wounded")</f>
        <v>Wounded</v>
      </c>
      <c r="C1328" s="1" t="str">
        <f ca="1">IFERROR(__xludf.DUMMYFUNCTION("""COMPUTED_VALUE"""),"Female")</f>
        <v>Female</v>
      </c>
      <c r="D1328" s="1" t="str">
        <f ca="1">IFERROR(__xludf.DUMMYFUNCTION("""COMPUTED_VALUE"""),"Student")</f>
        <v>Student</v>
      </c>
      <c r="E1328" s="1">
        <f ca="1">IFERROR(__xludf.DUMMYFUNCTION("""COMPUTED_VALUE"""),17)</f>
        <v>17</v>
      </c>
      <c r="F1328" s="1"/>
    </row>
    <row r="1329" spans="1:6" ht="12.5">
      <c r="A1329" s="1" t="str">
        <f ca="1">IFERROR(__xludf.DUMMYFUNCTION("""COMPUTED_VALUE"""),"20180214FLMAP")</f>
        <v>20180214FLMAP</v>
      </c>
      <c r="B1329" s="1" t="str">
        <f ca="1">IFERROR(__xludf.DUMMYFUNCTION("""COMPUTED_VALUE"""),"Wounded")</f>
        <v>Wounded</v>
      </c>
      <c r="C1329" s="1" t="str">
        <f ca="1">IFERROR(__xludf.DUMMYFUNCTION("""COMPUTED_VALUE"""),"Male")</f>
        <v>Male</v>
      </c>
      <c r="D1329" s="1" t="str">
        <f ca="1">IFERROR(__xludf.DUMMYFUNCTION("""COMPUTED_VALUE"""),"Student")</f>
        <v>Student</v>
      </c>
      <c r="E1329" s="1" t="str">
        <f ca="1">IFERROR(__xludf.DUMMYFUNCTION("""COMPUTED_VALUE"""),"Teen")</f>
        <v>Teen</v>
      </c>
      <c r="F1329" s="1"/>
    </row>
    <row r="1330" spans="1:6" ht="12.5">
      <c r="A1330" s="1" t="str">
        <f ca="1">IFERROR(__xludf.DUMMYFUNCTION("""COMPUTED_VALUE"""),"20180214FLMAP")</f>
        <v>20180214FLMAP</v>
      </c>
      <c r="B1330" s="1" t="str">
        <f ca="1">IFERROR(__xludf.DUMMYFUNCTION("""COMPUTED_VALUE"""),"Fatal")</f>
        <v>Fatal</v>
      </c>
      <c r="C1330" s="1" t="str">
        <f ca="1">IFERROR(__xludf.DUMMYFUNCTION("""COMPUTED_VALUE"""),"Female")</f>
        <v>Female</v>
      </c>
      <c r="D1330" s="1" t="str">
        <f ca="1">IFERROR(__xludf.DUMMYFUNCTION("""COMPUTED_VALUE"""),"Student")</f>
        <v>Student</v>
      </c>
      <c r="E1330" s="1">
        <f ca="1">IFERROR(__xludf.DUMMYFUNCTION("""COMPUTED_VALUE"""),17)</f>
        <v>17</v>
      </c>
      <c r="F1330" s="1"/>
    </row>
    <row r="1331" spans="1:6" ht="12.5">
      <c r="A1331" s="1" t="str">
        <f ca="1">IFERROR(__xludf.DUMMYFUNCTION("""COMPUTED_VALUE"""),"20180214FLMAP")</f>
        <v>20180214FLMAP</v>
      </c>
      <c r="B1331" s="1" t="str">
        <f ca="1">IFERROR(__xludf.DUMMYFUNCTION("""COMPUTED_VALUE"""),"Wounded")</f>
        <v>Wounded</v>
      </c>
      <c r="C1331" s="1" t="str">
        <f ca="1">IFERROR(__xludf.DUMMYFUNCTION("""COMPUTED_VALUE"""),"Female")</f>
        <v>Female</v>
      </c>
      <c r="D1331" s="1" t="str">
        <f ca="1">IFERROR(__xludf.DUMMYFUNCTION("""COMPUTED_VALUE"""),"Student")</f>
        <v>Student</v>
      </c>
      <c r="E1331" s="1" t="str">
        <f ca="1">IFERROR(__xludf.DUMMYFUNCTION("""COMPUTED_VALUE"""),"Teen")</f>
        <v>Teen</v>
      </c>
      <c r="F1331" s="1"/>
    </row>
    <row r="1332" spans="1:6" ht="12.5">
      <c r="A1332" s="1" t="str">
        <f ca="1">IFERROR(__xludf.DUMMYFUNCTION("""COMPUTED_VALUE"""),"20180214FLMAP")</f>
        <v>20180214FLMAP</v>
      </c>
      <c r="B1332" s="1" t="str">
        <f ca="1">IFERROR(__xludf.DUMMYFUNCTION("""COMPUTED_VALUE"""),"Fatal")</f>
        <v>Fatal</v>
      </c>
      <c r="C1332" s="1" t="str">
        <f ca="1">IFERROR(__xludf.DUMMYFUNCTION("""COMPUTED_VALUE"""),"Female")</f>
        <v>Female</v>
      </c>
      <c r="D1332" s="1" t="str">
        <f ca="1">IFERROR(__xludf.DUMMYFUNCTION("""COMPUTED_VALUE"""),"Student")</f>
        <v>Student</v>
      </c>
      <c r="E1332" s="1">
        <f ca="1">IFERROR(__xludf.DUMMYFUNCTION("""COMPUTED_VALUE"""),14)</f>
        <v>14</v>
      </c>
      <c r="F1332" s="1"/>
    </row>
    <row r="1333" spans="1:6" ht="12.5">
      <c r="A1333" s="1" t="str">
        <f ca="1">IFERROR(__xludf.DUMMYFUNCTION("""COMPUTED_VALUE"""),"20180214FLMAP")</f>
        <v>20180214FLMAP</v>
      </c>
      <c r="B1333" s="1" t="str">
        <f ca="1">IFERROR(__xludf.DUMMYFUNCTION("""COMPUTED_VALUE"""),"Wounded")</f>
        <v>Wounded</v>
      </c>
      <c r="C1333" s="1" t="str">
        <f ca="1">IFERROR(__xludf.DUMMYFUNCTION("""COMPUTED_VALUE"""),"Male")</f>
        <v>Male</v>
      </c>
      <c r="D1333" s="1" t="str">
        <f ca="1">IFERROR(__xludf.DUMMYFUNCTION("""COMPUTED_VALUE"""),"Student")</f>
        <v>Student</v>
      </c>
      <c r="E1333" s="1">
        <f ca="1">IFERROR(__xludf.DUMMYFUNCTION("""COMPUTED_VALUE"""),15)</f>
        <v>15</v>
      </c>
      <c r="F1333" s="1"/>
    </row>
    <row r="1334" spans="1:6" ht="12.5">
      <c r="A1334" s="1" t="str">
        <f ca="1">IFERROR(__xludf.DUMMYFUNCTION("""COMPUTED_VALUE"""),"20180214FLMAP")</f>
        <v>20180214FLMAP</v>
      </c>
      <c r="B1334" s="1" t="str">
        <f ca="1">IFERROR(__xludf.DUMMYFUNCTION("""COMPUTED_VALUE"""),"Fatal")</f>
        <v>Fatal</v>
      </c>
      <c r="C1334" s="1" t="str">
        <f ca="1">IFERROR(__xludf.DUMMYFUNCTION("""COMPUTED_VALUE"""),"Male")</f>
        <v>Male</v>
      </c>
      <c r="D1334" s="1" t="str">
        <f ca="1">IFERROR(__xludf.DUMMYFUNCTION("""COMPUTED_VALUE"""),"Student")</f>
        <v>Student</v>
      </c>
      <c r="E1334" s="1">
        <f ca="1">IFERROR(__xludf.DUMMYFUNCTION("""COMPUTED_VALUE"""),15)</f>
        <v>15</v>
      </c>
      <c r="F1334" s="1"/>
    </row>
    <row r="1335" spans="1:6" ht="12.5">
      <c r="A1335" s="1" t="str">
        <f ca="1">IFERROR(__xludf.DUMMYFUNCTION("""COMPUTED_VALUE"""),"20180214FLMAP")</f>
        <v>20180214FLMAP</v>
      </c>
      <c r="B1335" s="1" t="str">
        <f ca="1">IFERROR(__xludf.DUMMYFUNCTION("""COMPUTED_VALUE"""),"Fatal")</f>
        <v>Fatal</v>
      </c>
      <c r="C1335" s="1" t="str">
        <f ca="1">IFERROR(__xludf.DUMMYFUNCTION("""COMPUTED_VALUE"""),"Male")</f>
        <v>Male</v>
      </c>
      <c r="D1335" s="1" t="str">
        <f ca="1">IFERROR(__xludf.DUMMYFUNCTION("""COMPUTED_VALUE"""),"Teacher")</f>
        <v>Teacher</v>
      </c>
      <c r="E1335" s="1">
        <f ca="1">IFERROR(__xludf.DUMMYFUNCTION("""COMPUTED_VALUE"""),35)</f>
        <v>35</v>
      </c>
      <c r="F1335" s="1"/>
    </row>
    <row r="1336" spans="1:6" ht="12.5">
      <c r="A1336" s="1" t="str">
        <f ca="1">IFERROR(__xludf.DUMMYFUNCTION("""COMPUTED_VALUE"""),"20180214FLMAP")</f>
        <v>20180214FLMAP</v>
      </c>
      <c r="B1336" s="1" t="str">
        <f ca="1">IFERROR(__xludf.DUMMYFUNCTION("""COMPUTED_VALUE"""),"Wounded")</f>
        <v>Wounded</v>
      </c>
      <c r="C1336" s="1"/>
      <c r="D1336" s="1" t="str">
        <f ca="1">IFERROR(__xludf.DUMMYFUNCTION("""COMPUTED_VALUE"""),"Student")</f>
        <v>Student</v>
      </c>
      <c r="E1336" s="1" t="str">
        <f ca="1">IFERROR(__xludf.DUMMYFUNCTION("""COMPUTED_VALUE"""),"Teen")</f>
        <v>Teen</v>
      </c>
      <c r="F1336" s="1"/>
    </row>
    <row r="1337" spans="1:6" ht="12.5">
      <c r="A1337" s="1" t="str">
        <f ca="1">IFERROR(__xludf.DUMMYFUNCTION("""COMPUTED_VALUE"""),"20180214FLMAP")</f>
        <v>20180214FLMAP</v>
      </c>
      <c r="B1337" s="1" t="str">
        <f ca="1">IFERROR(__xludf.DUMMYFUNCTION("""COMPUTED_VALUE"""),"Fatal")</f>
        <v>Fatal</v>
      </c>
      <c r="C1337" s="1" t="str">
        <f ca="1">IFERROR(__xludf.DUMMYFUNCTION("""COMPUTED_VALUE"""),"Male")</f>
        <v>Male</v>
      </c>
      <c r="D1337" s="1" t="str">
        <f ca="1">IFERROR(__xludf.DUMMYFUNCTION("""COMPUTED_VALUE"""),"Student")</f>
        <v>Student</v>
      </c>
      <c r="E1337" s="1">
        <f ca="1">IFERROR(__xludf.DUMMYFUNCTION("""COMPUTED_VALUE"""),14)</f>
        <v>14</v>
      </c>
      <c r="F1337" s="1"/>
    </row>
    <row r="1338" spans="1:6" ht="12.5">
      <c r="A1338" s="1" t="str">
        <f ca="1">IFERROR(__xludf.DUMMYFUNCTION("""COMPUTED_VALUE"""),"20180214FLMAP")</f>
        <v>20180214FLMAP</v>
      </c>
      <c r="B1338" s="1" t="str">
        <f ca="1">IFERROR(__xludf.DUMMYFUNCTION("""COMPUTED_VALUE"""),"Fatal")</f>
        <v>Fatal</v>
      </c>
      <c r="C1338" s="1" t="str">
        <f ca="1">IFERROR(__xludf.DUMMYFUNCTION("""COMPUTED_VALUE"""),"Male")</f>
        <v>Male</v>
      </c>
      <c r="D1338" s="1" t="str">
        <f ca="1">IFERROR(__xludf.DUMMYFUNCTION("""COMPUTED_VALUE"""),"Student")</f>
        <v>Student</v>
      </c>
      <c r="E1338" s="1">
        <f ca="1">IFERROR(__xludf.DUMMYFUNCTION("""COMPUTED_VALUE"""),14)</f>
        <v>14</v>
      </c>
      <c r="F1338" s="1"/>
    </row>
    <row r="1339" spans="1:6" ht="12.5">
      <c r="A1339" s="1" t="str">
        <f ca="1">IFERROR(__xludf.DUMMYFUNCTION("""COMPUTED_VALUE"""),"20180214FLMAP")</f>
        <v>20180214FLMAP</v>
      </c>
      <c r="B1339" s="1" t="str">
        <f ca="1">IFERROR(__xludf.DUMMYFUNCTION("""COMPUTED_VALUE"""),"Fatal")</f>
        <v>Fatal</v>
      </c>
      <c r="C1339" s="1" t="str">
        <f ca="1">IFERROR(__xludf.DUMMYFUNCTION("""COMPUTED_VALUE"""),"Female")</f>
        <v>Female</v>
      </c>
      <c r="D1339" s="1" t="str">
        <f ca="1">IFERROR(__xludf.DUMMYFUNCTION("""COMPUTED_VALUE"""),"Student")</f>
        <v>Student</v>
      </c>
      <c r="E1339" s="1">
        <f ca="1">IFERROR(__xludf.DUMMYFUNCTION("""COMPUTED_VALUE"""),14)</f>
        <v>14</v>
      </c>
      <c r="F1339" s="1"/>
    </row>
    <row r="1340" spans="1:6" ht="12.5">
      <c r="A1340" s="1" t="str">
        <f ca="1">IFERROR(__xludf.DUMMYFUNCTION("""COMPUTED_VALUE"""),"20180214FLMAP")</f>
        <v>20180214FLMAP</v>
      </c>
      <c r="B1340" s="1" t="str">
        <f ca="1">IFERROR(__xludf.DUMMYFUNCTION("""COMPUTED_VALUE"""),"Wounded")</f>
        <v>Wounded</v>
      </c>
      <c r="C1340" s="1" t="str">
        <f ca="1">IFERROR(__xludf.DUMMYFUNCTION("""COMPUTED_VALUE"""),"Male")</f>
        <v>Male</v>
      </c>
      <c r="D1340" s="1" t="str">
        <f ca="1">IFERROR(__xludf.DUMMYFUNCTION("""COMPUTED_VALUE"""),"Student")</f>
        <v>Student</v>
      </c>
      <c r="E1340" s="1">
        <f ca="1">IFERROR(__xludf.DUMMYFUNCTION("""COMPUTED_VALUE"""),15)</f>
        <v>15</v>
      </c>
      <c r="F1340" s="1"/>
    </row>
    <row r="1341" spans="1:6" ht="12.5">
      <c r="A1341" s="1" t="str">
        <f ca="1">IFERROR(__xludf.DUMMYFUNCTION("""COMPUTED_VALUE"""),"20180214FLMAP")</f>
        <v>20180214FLMAP</v>
      </c>
      <c r="B1341" s="1" t="str">
        <f ca="1">IFERROR(__xludf.DUMMYFUNCTION("""COMPUTED_VALUE"""),"Fatal")</f>
        <v>Fatal</v>
      </c>
      <c r="C1341" s="1" t="str">
        <f ca="1">IFERROR(__xludf.DUMMYFUNCTION("""COMPUTED_VALUE"""),"Female")</f>
        <v>Female</v>
      </c>
      <c r="D1341" s="1" t="str">
        <f ca="1">IFERROR(__xludf.DUMMYFUNCTION("""COMPUTED_VALUE"""),"Student")</f>
        <v>Student</v>
      </c>
      <c r="E1341" s="1">
        <f ca="1">IFERROR(__xludf.DUMMYFUNCTION("""COMPUTED_VALUE"""),14)</f>
        <v>14</v>
      </c>
      <c r="F1341" s="1"/>
    </row>
    <row r="1342" spans="1:6" ht="12.5">
      <c r="A1342" s="1" t="str">
        <f ca="1">IFERROR(__xludf.DUMMYFUNCTION("""COMPUTED_VALUE"""),"20180214FLMAP")</f>
        <v>20180214FLMAP</v>
      </c>
      <c r="B1342" s="1" t="str">
        <f ca="1">IFERROR(__xludf.DUMMYFUNCTION("""COMPUTED_VALUE"""),"Wounded")</f>
        <v>Wounded</v>
      </c>
      <c r="C1342" s="1" t="str">
        <f ca="1">IFERROR(__xludf.DUMMYFUNCTION("""COMPUTED_VALUE"""),"Male")</f>
        <v>Male</v>
      </c>
      <c r="D1342" s="1" t="str">
        <f ca="1">IFERROR(__xludf.DUMMYFUNCTION("""COMPUTED_VALUE"""),"Student")</f>
        <v>Student</v>
      </c>
      <c r="E1342" s="1">
        <f ca="1">IFERROR(__xludf.DUMMYFUNCTION("""COMPUTED_VALUE"""),15)</f>
        <v>15</v>
      </c>
      <c r="F1342" s="1"/>
    </row>
    <row r="1343" spans="1:6" ht="12.5">
      <c r="A1343" s="1" t="str">
        <f ca="1">IFERROR(__xludf.DUMMYFUNCTION("""COMPUTED_VALUE"""),"20180214FLMAP")</f>
        <v>20180214FLMAP</v>
      </c>
      <c r="B1343" s="1" t="str">
        <f ca="1">IFERROR(__xludf.DUMMYFUNCTION("""COMPUTED_VALUE"""),"Fatal")</f>
        <v>Fatal</v>
      </c>
      <c r="C1343" s="1" t="str">
        <f ca="1">IFERROR(__xludf.DUMMYFUNCTION("""COMPUTED_VALUE"""),"Male")</f>
        <v>Male</v>
      </c>
      <c r="D1343" s="1" t="str">
        <f ca="1">IFERROR(__xludf.DUMMYFUNCTION("""COMPUTED_VALUE"""),"Student")</f>
        <v>Student</v>
      </c>
      <c r="E1343" s="1">
        <f ca="1">IFERROR(__xludf.DUMMYFUNCTION("""COMPUTED_VALUE"""),17)</f>
        <v>17</v>
      </c>
      <c r="F1343" s="1"/>
    </row>
    <row r="1344" spans="1:6" ht="12.5">
      <c r="A1344" s="1" t="str">
        <f ca="1">IFERROR(__xludf.DUMMYFUNCTION("""COMPUTED_VALUE"""),"20180214FLMAP")</f>
        <v>20180214FLMAP</v>
      </c>
      <c r="B1344" s="1" t="str">
        <f ca="1">IFERROR(__xludf.DUMMYFUNCTION("""COMPUTED_VALUE"""),"Fatal")</f>
        <v>Fatal</v>
      </c>
      <c r="C1344" s="1" t="str">
        <f ca="1">IFERROR(__xludf.DUMMYFUNCTION("""COMPUTED_VALUE"""),"Female")</f>
        <v>Female</v>
      </c>
      <c r="D1344" s="1" t="str">
        <f ca="1">IFERROR(__xludf.DUMMYFUNCTION("""COMPUTED_VALUE"""),"Student")</f>
        <v>Student</v>
      </c>
      <c r="E1344" s="1">
        <f ca="1">IFERROR(__xludf.DUMMYFUNCTION("""COMPUTED_VALUE"""),16)</f>
        <v>16</v>
      </c>
      <c r="F1344" s="1"/>
    </row>
    <row r="1345" spans="1:6" ht="12.5">
      <c r="A1345" s="1" t="str">
        <f ca="1">IFERROR(__xludf.DUMMYFUNCTION("""COMPUTED_VALUE"""),"20180214FLMAP")</f>
        <v>20180214FLMAP</v>
      </c>
      <c r="B1345" s="1" t="str">
        <f ca="1">IFERROR(__xludf.DUMMYFUNCTION("""COMPUTED_VALUE"""),"Wounded")</f>
        <v>Wounded</v>
      </c>
      <c r="C1345" s="1" t="str">
        <f ca="1">IFERROR(__xludf.DUMMYFUNCTION("""COMPUTED_VALUE"""),"Female")</f>
        <v>Female</v>
      </c>
      <c r="D1345" s="1" t="str">
        <f ca="1">IFERROR(__xludf.DUMMYFUNCTION("""COMPUTED_VALUE"""),"Student")</f>
        <v>Student</v>
      </c>
      <c r="E1345" s="1" t="str">
        <f ca="1">IFERROR(__xludf.DUMMYFUNCTION("""COMPUTED_VALUE"""),"Teen")</f>
        <v>Teen</v>
      </c>
      <c r="F1345" s="1"/>
    </row>
    <row r="1346" spans="1:6" ht="12.5">
      <c r="A1346" s="1" t="str">
        <f ca="1">IFERROR(__xludf.DUMMYFUNCTION("""COMPUTED_VALUE"""),"20180214FLMAP")</f>
        <v>20180214FLMAP</v>
      </c>
      <c r="B1346" s="1" t="str">
        <f ca="1">IFERROR(__xludf.DUMMYFUNCTION("""COMPUTED_VALUE"""),"Fatal")</f>
        <v>Fatal</v>
      </c>
      <c r="C1346" s="1" t="str">
        <f ca="1">IFERROR(__xludf.DUMMYFUNCTION("""COMPUTED_VALUE"""),"Male")</f>
        <v>Male</v>
      </c>
      <c r="D1346" s="1" t="str">
        <f ca="1">IFERROR(__xludf.DUMMYFUNCTION("""COMPUTED_VALUE"""),"Student")</f>
        <v>Student</v>
      </c>
      <c r="E1346" s="1">
        <f ca="1">IFERROR(__xludf.DUMMYFUNCTION("""COMPUTED_VALUE"""),17)</f>
        <v>17</v>
      </c>
      <c r="F1346" s="1"/>
    </row>
    <row r="1347" spans="1:6" ht="12.5">
      <c r="A1347" s="1" t="str">
        <f ca="1">IFERROR(__xludf.DUMMYFUNCTION("""COMPUTED_VALUE"""),"20180214FLMAP")</f>
        <v>20180214FLMAP</v>
      </c>
      <c r="B1347" s="1" t="str">
        <f ca="1">IFERROR(__xludf.DUMMYFUNCTION("""COMPUTED_VALUE"""),"Wounded")</f>
        <v>Wounded</v>
      </c>
      <c r="C1347" s="1" t="str">
        <f ca="1">IFERROR(__xludf.DUMMYFUNCTION("""COMPUTED_VALUE"""),"Female")</f>
        <v>Female</v>
      </c>
      <c r="D1347" s="1" t="str">
        <f ca="1">IFERROR(__xludf.DUMMYFUNCTION("""COMPUTED_VALUE"""),"Student")</f>
        <v>Student</v>
      </c>
      <c r="E1347" s="1" t="str">
        <f ca="1">IFERROR(__xludf.DUMMYFUNCTION("""COMPUTED_VALUE"""),"Teen")</f>
        <v>Teen</v>
      </c>
      <c r="F1347" s="1"/>
    </row>
    <row r="1348" spans="1:6" ht="12.5">
      <c r="A1348" s="1" t="str">
        <f ca="1">IFERROR(__xludf.DUMMYFUNCTION("""COMPUTED_VALUE"""),"20180214FLMAP")</f>
        <v>20180214FLMAP</v>
      </c>
      <c r="B1348" s="1" t="str">
        <f ca="1">IFERROR(__xludf.DUMMYFUNCTION("""COMPUTED_VALUE"""),"Wounded")</f>
        <v>Wounded</v>
      </c>
      <c r="C1348" s="1" t="str">
        <f ca="1">IFERROR(__xludf.DUMMYFUNCTION("""COMPUTED_VALUE"""),"Female")</f>
        <v>Female</v>
      </c>
      <c r="D1348" s="1" t="str">
        <f ca="1">IFERROR(__xludf.DUMMYFUNCTION("""COMPUTED_VALUE"""),"Student")</f>
        <v>Student</v>
      </c>
      <c r="E1348" s="1">
        <f ca="1">IFERROR(__xludf.DUMMYFUNCTION("""COMPUTED_VALUE"""),17)</f>
        <v>17</v>
      </c>
      <c r="F1348" s="1"/>
    </row>
    <row r="1349" spans="1:6" ht="12.5">
      <c r="A1349" s="1" t="str">
        <f ca="1">IFERROR(__xludf.DUMMYFUNCTION("""COMPUTED_VALUE"""),"20180214FLMAP")</f>
        <v>20180214FLMAP</v>
      </c>
      <c r="B1349" s="1" t="str">
        <f ca="1">IFERROR(__xludf.DUMMYFUNCTION("""COMPUTED_VALUE"""),"Fatal")</f>
        <v>Fatal</v>
      </c>
      <c r="C1349" s="1" t="str">
        <f ca="1">IFERROR(__xludf.DUMMYFUNCTION("""COMPUTED_VALUE"""),"Female")</f>
        <v>Female</v>
      </c>
      <c r="D1349" s="1" t="str">
        <f ca="1">IFERROR(__xludf.DUMMYFUNCTION("""COMPUTED_VALUE"""),"Teacher")</f>
        <v>Teacher</v>
      </c>
      <c r="E1349" s="1">
        <f ca="1">IFERROR(__xludf.DUMMYFUNCTION("""COMPUTED_VALUE"""),37)</f>
        <v>37</v>
      </c>
      <c r="F1349" s="1"/>
    </row>
    <row r="1350" spans="1:6" ht="12.5">
      <c r="A1350" s="1" t="str">
        <f ca="1">IFERROR(__xludf.DUMMYFUNCTION("""COMPUTED_VALUE"""),"20180214FLMAP")</f>
        <v>20180214FLMAP</v>
      </c>
      <c r="B1350" s="1" t="str">
        <f ca="1">IFERROR(__xludf.DUMMYFUNCTION("""COMPUTED_VALUE"""),"Fatal")</f>
        <v>Fatal</v>
      </c>
      <c r="C1350" s="1" t="str">
        <f ca="1">IFERROR(__xludf.DUMMYFUNCTION("""COMPUTED_VALUE"""),"Male")</f>
        <v>Male</v>
      </c>
      <c r="D1350" s="1" t="str">
        <f ca="1">IFERROR(__xludf.DUMMYFUNCTION("""COMPUTED_VALUE"""),"Student")</f>
        <v>Student</v>
      </c>
      <c r="E1350" s="1">
        <f ca="1">IFERROR(__xludf.DUMMYFUNCTION("""COMPUTED_VALUE"""),15)</f>
        <v>15</v>
      </c>
      <c r="F1350" s="1"/>
    </row>
    <row r="1351" spans="1:6" ht="12.5">
      <c r="A1351" s="1" t="str">
        <f ca="1">IFERROR(__xludf.DUMMYFUNCTION("""COMPUTED_VALUE"""),"20180214FLMAP")</f>
        <v>20180214FLMAP</v>
      </c>
      <c r="B1351" s="1" t="str">
        <f ca="1">IFERROR(__xludf.DUMMYFUNCTION("""COMPUTED_VALUE"""),"Wounded")</f>
        <v>Wounded</v>
      </c>
      <c r="C1351" s="1" t="str">
        <f ca="1">IFERROR(__xludf.DUMMYFUNCTION("""COMPUTED_VALUE"""),"Male")</f>
        <v>Male</v>
      </c>
      <c r="D1351" s="1" t="str">
        <f ca="1">IFERROR(__xludf.DUMMYFUNCTION("""COMPUTED_VALUE"""),"Student")</f>
        <v>Student</v>
      </c>
      <c r="E1351" s="1" t="str">
        <f ca="1">IFERROR(__xludf.DUMMYFUNCTION("""COMPUTED_VALUE"""),"Teen")</f>
        <v>Teen</v>
      </c>
      <c r="F1351" s="1"/>
    </row>
    <row r="1352" spans="1:6" ht="12.5">
      <c r="A1352" s="1" t="str">
        <f ca="1">IFERROR(__xludf.DUMMYFUNCTION("""COMPUTED_VALUE"""),"20180214FLMAP")</f>
        <v>20180214FLMAP</v>
      </c>
      <c r="B1352" s="1" t="str">
        <f ca="1">IFERROR(__xludf.DUMMYFUNCTION("""COMPUTED_VALUE"""),"Fatal")</f>
        <v>Fatal</v>
      </c>
      <c r="C1352" s="1" t="str">
        <f ca="1">IFERROR(__xludf.DUMMYFUNCTION("""COMPUTED_VALUE"""),"Female")</f>
        <v>Female</v>
      </c>
      <c r="D1352" s="1" t="str">
        <f ca="1">IFERROR(__xludf.DUMMYFUNCTION("""COMPUTED_VALUE"""),"Student")</f>
        <v>Student</v>
      </c>
      <c r="E1352" s="1">
        <f ca="1">IFERROR(__xludf.DUMMYFUNCTION("""COMPUTED_VALUE"""),14)</f>
        <v>14</v>
      </c>
      <c r="F1352" s="1"/>
    </row>
    <row r="1353" spans="1:6" ht="12.5">
      <c r="A1353" s="1" t="str">
        <f ca="1">IFERROR(__xludf.DUMMYFUNCTION("""COMPUTED_VALUE"""),"20180214FLMAP")</f>
        <v>20180214FLMAP</v>
      </c>
      <c r="B1353" s="1" t="str">
        <f ca="1">IFERROR(__xludf.DUMMYFUNCTION("""COMPUTED_VALUE"""),"Wounded")</f>
        <v>Wounded</v>
      </c>
      <c r="C1353" s="1" t="str">
        <f ca="1">IFERROR(__xludf.DUMMYFUNCTION("""COMPUTED_VALUE"""),"Male")</f>
        <v>Male</v>
      </c>
      <c r="D1353" s="1" t="str">
        <f ca="1">IFERROR(__xludf.DUMMYFUNCTION("""COMPUTED_VALUE"""),"Student")</f>
        <v>Student</v>
      </c>
      <c r="E1353" s="1" t="str">
        <f ca="1">IFERROR(__xludf.DUMMYFUNCTION("""COMPUTED_VALUE"""),"Teen")</f>
        <v>Teen</v>
      </c>
      <c r="F1353" s="1"/>
    </row>
    <row r="1354" spans="1:6" ht="12.5">
      <c r="A1354" s="1" t="str">
        <f ca="1">IFERROR(__xludf.DUMMYFUNCTION("""COMPUTED_VALUE"""),"20180209TNPEN")</f>
        <v>20180209TNPEN</v>
      </c>
      <c r="B1354" s="1" t="str">
        <f ca="1">IFERROR(__xludf.DUMMYFUNCTION("""COMPUTED_VALUE"""),"Wounded")</f>
        <v>Wounded</v>
      </c>
      <c r="C1354" s="1" t="str">
        <f ca="1">IFERROR(__xludf.DUMMYFUNCTION("""COMPUTED_VALUE"""),"Male")</f>
        <v>Male</v>
      </c>
      <c r="D1354" s="1" t="str">
        <f ca="1">IFERROR(__xludf.DUMMYFUNCTION("""COMPUTED_VALUE"""),"No Relation")</f>
        <v>No Relation</v>
      </c>
      <c r="E1354" s="1">
        <f ca="1">IFERROR(__xludf.DUMMYFUNCTION("""COMPUTED_VALUE"""),17)</f>
        <v>17</v>
      </c>
      <c r="F1354" s="1" t="str">
        <f ca="1">IFERROR(__xludf.DUMMYFUNCTION("""COMPUTED_VALUE"""),"Black")</f>
        <v>Black</v>
      </c>
    </row>
    <row r="1355" spans="1:6" ht="12.5">
      <c r="A1355" s="1" t="str">
        <f ca="1">IFERROR(__xludf.DUMMYFUNCTION("""COMPUTED_VALUE"""),"20180208NYTHN")</f>
        <v>20180208NYTHN</v>
      </c>
      <c r="B1355" s="1" t="str">
        <f ca="1">IFERROR(__xludf.DUMMYFUNCTION("""COMPUTED_VALUE"""),"None")</f>
        <v>None</v>
      </c>
      <c r="C1355" s="1"/>
      <c r="D1355" s="1"/>
      <c r="E1355" s="1"/>
      <c r="F1355" s="1"/>
    </row>
    <row r="1356" spans="1:6" ht="12.5">
      <c r="A1356" s="1" t="str">
        <f ca="1">IFERROR(__xludf.DUMMYFUNCTION("""COMPUTED_VALUE"""),"20180205MNHAM")</f>
        <v>20180205MNHAM</v>
      </c>
      <c r="B1356" s="1" t="str">
        <f ca="1">IFERROR(__xludf.DUMMYFUNCTION("""COMPUTED_VALUE"""),"None")</f>
        <v>None</v>
      </c>
      <c r="C1356" s="1"/>
      <c r="D1356" s="1"/>
      <c r="E1356" s="1"/>
      <c r="F1356" s="1"/>
    </row>
    <row r="1357" spans="1:6" ht="12.5">
      <c r="A1357" s="1" t="str">
        <f ca="1">IFERROR(__xludf.DUMMYFUNCTION("""COMPUTED_VALUE"""),"20180205MDOXO")</f>
        <v>20180205MDOXO</v>
      </c>
      <c r="B1357" s="1" t="str">
        <f ca="1">IFERROR(__xludf.DUMMYFUNCTION("""COMPUTED_VALUE"""),"Wounded")</f>
        <v>Wounded</v>
      </c>
      <c r="C1357" s="1" t="str">
        <f ca="1">IFERROR(__xludf.DUMMYFUNCTION("""COMPUTED_VALUE"""),"Male")</f>
        <v>Male</v>
      </c>
      <c r="D1357" s="1" t="str">
        <f ca="1">IFERROR(__xludf.DUMMYFUNCTION("""COMPUTED_VALUE"""),"Student")</f>
        <v>Student</v>
      </c>
      <c r="E1357" s="1">
        <f ca="1">IFERROR(__xludf.DUMMYFUNCTION("""COMPUTED_VALUE"""),17)</f>
        <v>17</v>
      </c>
      <c r="F1357" s="1"/>
    </row>
    <row r="1358" spans="1:6" ht="12.5">
      <c r="A1358" s="1" t="str">
        <f ca="1">IFERROR(__xludf.DUMMYFUNCTION("""COMPUTED_VALUE"""),"20180201CASAL")</f>
        <v>20180201CASAL</v>
      </c>
      <c r="B1358" s="1" t="str">
        <f ca="1">IFERROR(__xludf.DUMMYFUNCTION("""COMPUTED_VALUE"""),"Non-gunshot Injury")</f>
        <v>Non-gunshot Injury</v>
      </c>
      <c r="C1358" s="1"/>
      <c r="D1358" s="1" t="str">
        <f ca="1">IFERROR(__xludf.DUMMYFUNCTION("""COMPUTED_VALUE"""),"Student")</f>
        <v>Student</v>
      </c>
      <c r="E1358" s="1" t="str">
        <f ca="1">IFERROR(__xludf.DUMMYFUNCTION("""COMPUTED_VALUE"""),"Teen")</f>
        <v>Teen</v>
      </c>
      <c r="F1358" s="1"/>
    </row>
    <row r="1359" spans="1:6" ht="12.5">
      <c r="A1359" s="1" t="str">
        <f ca="1">IFERROR(__xludf.DUMMYFUNCTION("""COMPUTED_VALUE"""),"20180201CASAL")</f>
        <v>20180201CASAL</v>
      </c>
      <c r="B1359" s="1" t="str">
        <f ca="1">IFERROR(__xludf.DUMMYFUNCTION("""COMPUTED_VALUE"""),"Non-gunshot Injury")</f>
        <v>Non-gunshot Injury</v>
      </c>
      <c r="C1359" s="1"/>
      <c r="D1359" s="1" t="str">
        <f ca="1">IFERROR(__xludf.DUMMYFUNCTION("""COMPUTED_VALUE"""),"Student")</f>
        <v>Student</v>
      </c>
      <c r="E1359" s="1" t="str">
        <f ca="1">IFERROR(__xludf.DUMMYFUNCTION("""COMPUTED_VALUE"""),"Teen")</f>
        <v>Teen</v>
      </c>
      <c r="F1359" s="1"/>
    </row>
    <row r="1360" spans="1:6" ht="12.5">
      <c r="A1360" s="1" t="str">
        <f ca="1">IFERROR(__xludf.DUMMYFUNCTION("""COMPUTED_VALUE"""),"20180201CASAL")</f>
        <v>20180201CASAL</v>
      </c>
      <c r="B1360" s="1" t="str">
        <f ca="1">IFERROR(__xludf.DUMMYFUNCTION("""COMPUTED_VALUE"""),"Wounded")</f>
        <v>Wounded</v>
      </c>
      <c r="C1360" s="1" t="str">
        <f ca="1">IFERROR(__xludf.DUMMYFUNCTION("""COMPUTED_VALUE"""),"Female")</f>
        <v>Female</v>
      </c>
      <c r="D1360" s="1" t="str">
        <f ca="1">IFERROR(__xludf.DUMMYFUNCTION("""COMPUTED_VALUE"""),"Student")</f>
        <v>Student</v>
      </c>
      <c r="E1360" s="1">
        <f ca="1">IFERROR(__xludf.DUMMYFUNCTION("""COMPUTED_VALUE"""),15)</f>
        <v>15</v>
      </c>
      <c r="F1360" s="1"/>
    </row>
    <row r="1361" spans="1:6" ht="12.5">
      <c r="A1361" s="1" t="str">
        <f ca="1">IFERROR(__xludf.DUMMYFUNCTION("""COMPUTED_VALUE"""),"20180201CASAL")</f>
        <v>20180201CASAL</v>
      </c>
      <c r="B1361" s="1" t="str">
        <f ca="1">IFERROR(__xludf.DUMMYFUNCTION("""COMPUTED_VALUE"""),"Wounded")</f>
        <v>Wounded</v>
      </c>
      <c r="C1361" s="1" t="str">
        <f ca="1">IFERROR(__xludf.DUMMYFUNCTION("""COMPUTED_VALUE"""),"Male")</f>
        <v>Male</v>
      </c>
      <c r="D1361" s="1" t="str">
        <f ca="1">IFERROR(__xludf.DUMMYFUNCTION("""COMPUTED_VALUE"""),"Student")</f>
        <v>Student</v>
      </c>
      <c r="E1361" s="1">
        <f ca="1">IFERROR(__xludf.DUMMYFUNCTION("""COMPUTED_VALUE"""),15)</f>
        <v>15</v>
      </c>
      <c r="F1361" s="1"/>
    </row>
    <row r="1362" spans="1:6" ht="12.5">
      <c r="A1362" s="1" t="str">
        <f ca="1">IFERROR(__xludf.DUMMYFUNCTION("""COMPUTED_VALUE"""),"20180201CASAL")</f>
        <v>20180201CASAL</v>
      </c>
      <c r="B1362" s="1" t="str">
        <f ca="1">IFERROR(__xludf.DUMMYFUNCTION("""COMPUTED_VALUE"""),"Non-gunshot Injury")</f>
        <v>Non-gunshot Injury</v>
      </c>
      <c r="C1362" s="1"/>
      <c r="D1362" s="1" t="str">
        <f ca="1">IFERROR(__xludf.DUMMYFUNCTION("""COMPUTED_VALUE"""),"Teacher")</f>
        <v>Teacher</v>
      </c>
      <c r="E1362" s="1">
        <f ca="1">IFERROR(__xludf.DUMMYFUNCTION("""COMPUTED_VALUE"""),30)</f>
        <v>30</v>
      </c>
      <c r="F1362" s="1"/>
    </row>
    <row r="1363" spans="1:6" ht="12.5">
      <c r="A1363" s="1" t="str">
        <f ca="1">IFERROR(__xludf.DUMMYFUNCTION("""COMPUTED_VALUE"""),"20180131PALIP")</f>
        <v>20180131PALIP</v>
      </c>
      <c r="B1363" s="1" t="str">
        <f ca="1">IFERROR(__xludf.DUMMYFUNCTION("""COMPUTED_VALUE"""),"Fatal")</f>
        <v>Fatal</v>
      </c>
      <c r="C1363" s="1" t="str">
        <f ca="1">IFERROR(__xludf.DUMMYFUNCTION("""COMPUTED_VALUE"""),"Male")</f>
        <v>Male</v>
      </c>
      <c r="D1363" s="1" t="str">
        <f ca="1">IFERROR(__xludf.DUMMYFUNCTION("""COMPUTED_VALUE"""),"No Relation")</f>
        <v>No Relation</v>
      </c>
      <c r="E1363" s="1">
        <f ca="1">IFERROR(__xludf.DUMMYFUNCTION("""COMPUTED_VALUE"""),32)</f>
        <v>32</v>
      </c>
      <c r="F1363" s="1"/>
    </row>
    <row r="1364" spans="1:6" ht="12.5">
      <c r="A1364" s="1" t="str">
        <f ca="1">IFERROR(__xludf.DUMMYFUNCTION("""COMPUTED_VALUE"""),"20180126MIDED")</f>
        <v>20180126MIDED</v>
      </c>
      <c r="B1364" s="1" t="str">
        <f ca="1">IFERROR(__xludf.DUMMYFUNCTION("""COMPUTED_VALUE"""),"None")</f>
        <v>None</v>
      </c>
      <c r="C1364" s="1"/>
      <c r="D1364" s="1"/>
      <c r="E1364" s="1"/>
      <c r="F1364" s="1"/>
    </row>
    <row r="1365" spans="1:6" ht="12.5">
      <c r="A1365" s="1" t="str">
        <f ca="1">IFERROR(__xludf.DUMMYFUNCTION("""COMPUTED_VALUE"""),"20180125ALMUM")</f>
        <v>20180125ALMUM</v>
      </c>
      <c r="B1365" s="1" t="str">
        <f ca="1">IFERROR(__xludf.DUMMYFUNCTION("""COMPUTED_VALUE"""),"None")</f>
        <v>None</v>
      </c>
      <c r="C1365" s="1"/>
      <c r="D1365" s="1"/>
      <c r="E1365" s="1"/>
      <c r="F1365" s="1"/>
    </row>
    <row r="1366" spans="1:6" ht="12.5">
      <c r="A1366" s="1" t="str">
        <f ca="1">IFERROR(__xludf.DUMMYFUNCTION("""COMPUTED_VALUE"""),"20180123KYMAB")</f>
        <v>20180123KYMAB</v>
      </c>
      <c r="B1366" s="1" t="str">
        <f ca="1">IFERROR(__xludf.DUMMYFUNCTION("""COMPUTED_VALUE"""),"Fatal")</f>
        <v>Fatal</v>
      </c>
      <c r="C1366" s="1" t="str">
        <f ca="1">IFERROR(__xludf.DUMMYFUNCTION("""COMPUTED_VALUE"""),"Male")</f>
        <v>Male</v>
      </c>
      <c r="D1366" s="1" t="str">
        <f ca="1">IFERROR(__xludf.DUMMYFUNCTION("""COMPUTED_VALUE"""),"Student")</f>
        <v>Student</v>
      </c>
      <c r="E1366" s="1">
        <f ca="1">IFERROR(__xludf.DUMMYFUNCTION("""COMPUTED_VALUE"""),15)</f>
        <v>15</v>
      </c>
      <c r="F1366" s="1"/>
    </row>
    <row r="1367" spans="1:6" ht="12.5">
      <c r="A1367" s="1" t="str">
        <f ca="1">IFERROR(__xludf.DUMMYFUNCTION("""COMPUTED_VALUE"""),"20180123KYMAB")</f>
        <v>20180123KYMAB</v>
      </c>
      <c r="B1367" s="1" t="str">
        <f ca="1">IFERROR(__xludf.DUMMYFUNCTION("""COMPUTED_VALUE"""),"Wounded")</f>
        <v>Wounded</v>
      </c>
      <c r="C1367" s="1" t="str">
        <f ca="1">IFERROR(__xludf.DUMMYFUNCTION("""COMPUTED_VALUE"""),"Male")</f>
        <v>Male</v>
      </c>
      <c r="D1367" s="1" t="str">
        <f ca="1">IFERROR(__xludf.DUMMYFUNCTION("""COMPUTED_VALUE"""),"Student")</f>
        <v>Student</v>
      </c>
      <c r="E1367" s="1" t="str">
        <f ca="1">IFERROR(__xludf.DUMMYFUNCTION("""COMPUTED_VALUE"""),"Teen")</f>
        <v>Teen</v>
      </c>
      <c r="F1367" s="1"/>
    </row>
    <row r="1368" spans="1:6" ht="12.5">
      <c r="A1368" s="1" t="str">
        <f ca="1">IFERROR(__xludf.DUMMYFUNCTION("""COMPUTED_VALUE"""),"20180123KYMAB")</f>
        <v>20180123KYMAB</v>
      </c>
      <c r="B1368" s="1" t="str">
        <f ca="1">IFERROR(__xludf.DUMMYFUNCTION("""COMPUTED_VALUE"""),"Fatal")</f>
        <v>Fatal</v>
      </c>
      <c r="C1368" s="1" t="str">
        <f ca="1">IFERROR(__xludf.DUMMYFUNCTION("""COMPUTED_VALUE"""),"Male")</f>
        <v>Male</v>
      </c>
      <c r="D1368" s="1" t="str">
        <f ca="1">IFERROR(__xludf.DUMMYFUNCTION("""COMPUTED_VALUE"""),"Student")</f>
        <v>Student</v>
      </c>
      <c r="E1368" s="1">
        <f ca="1">IFERROR(__xludf.DUMMYFUNCTION("""COMPUTED_VALUE"""),15)</f>
        <v>15</v>
      </c>
      <c r="F1368" s="1"/>
    </row>
    <row r="1369" spans="1:6" ht="12.5">
      <c r="A1369" s="1" t="str">
        <f ca="1">IFERROR(__xludf.DUMMYFUNCTION("""COMPUTED_VALUE"""),"20180123KYMAB")</f>
        <v>20180123KYMAB</v>
      </c>
      <c r="B1369" s="1" t="str">
        <f ca="1">IFERROR(__xludf.DUMMYFUNCTION("""COMPUTED_VALUE"""),"Wounded")</f>
        <v>Wounded</v>
      </c>
      <c r="C1369" s="1" t="str">
        <f ca="1">IFERROR(__xludf.DUMMYFUNCTION("""COMPUTED_VALUE"""),"Male")</f>
        <v>Male</v>
      </c>
      <c r="D1369" s="1" t="str">
        <f ca="1">IFERROR(__xludf.DUMMYFUNCTION("""COMPUTED_VALUE"""),"Student")</f>
        <v>Student</v>
      </c>
      <c r="E1369" s="1" t="str">
        <f ca="1">IFERROR(__xludf.DUMMYFUNCTION("""COMPUTED_VALUE"""),"Teen")</f>
        <v>Teen</v>
      </c>
      <c r="F1369" s="1"/>
    </row>
    <row r="1370" spans="1:6" ht="12.5">
      <c r="A1370" s="1" t="str">
        <f ca="1">IFERROR(__xludf.DUMMYFUNCTION("""COMPUTED_VALUE"""),"20180123KYMAB")</f>
        <v>20180123KYMAB</v>
      </c>
      <c r="B1370" s="1" t="str">
        <f ca="1">IFERROR(__xludf.DUMMYFUNCTION("""COMPUTED_VALUE"""),"Wounded")</f>
        <v>Wounded</v>
      </c>
      <c r="C1370" s="1" t="str">
        <f ca="1">IFERROR(__xludf.DUMMYFUNCTION("""COMPUTED_VALUE"""),"Male")</f>
        <v>Male</v>
      </c>
      <c r="D1370" s="1" t="str">
        <f ca="1">IFERROR(__xludf.DUMMYFUNCTION("""COMPUTED_VALUE"""),"Student")</f>
        <v>Student</v>
      </c>
      <c r="E1370" s="1" t="str">
        <f ca="1">IFERROR(__xludf.DUMMYFUNCTION("""COMPUTED_VALUE"""),"Teen")</f>
        <v>Teen</v>
      </c>
      <c r="F1370" s="1"/>
    </row>
    <row r="1371" spans="1:6" ht="12.5">
      <c r="A1371" s="1" t="str">
        <f ca="1">IFERROR(__xludf.DUMMYFUNCTION("""COMPUTED_VALUE"""),"20180123KYMAB")</f>
        <v>20180123KYMAB</v>
      </c>
      <c r="B1371" s="1" t="str">
        <f ca="1">IFERROR(__xludf.DUMMYFUNCTION("""COMPUTED_VALUE"""),"Wounded")</f>
        <v>Wounded</v>
      </c>
      <c r="C1371" s="1" t="str">
        <f ca="1">IFERROR(__xludf.DUMMYFUNCTION("""COMPUTED_VALUE"""),"Male")</f>
        <v>Male</v>
      </c>
      <c r="D1371" s="1" t="str">
        <f ca="1">IFERROR(__xludf.DUMMYFUNCTION("""COMPUTED_VALUE"""),"Student")</f>
        <v>Student</v>
      </c>
      <c r="E1371" s="1" t="str">
        <f ca="1">IFERROR(__xludf.DUMMYFUNCTION("""COMPUTED_VALUE"""),"Teen")</f>
        <v>Teen</v>
      </c>
      <c r="F1371" s="1"/>
    </row>
    <row r="1372" spans="1:6" ht="12.5">
      <c r="A1372" s="1" t="str">
        <f ca="1">IFERROR(__xludf.DUMMYFUNCTION("""COMPUTED_VALUE"""),"20180123KYMAB")</f>
        <v>20180123KYMAB</v>
      </c>
      <c r="B1372" s="1" t="str">
        <f ca="1">IFERROR(__xludf.DUMMYFUNCTION("""COMPUTED_VALUE"""),"Wounded")</f>
        <v>Wounded</v>
      </c>
      <c r="C1372" s="1" t="str">
        <f ca="1">IFERROR(__xludf.DUMMYFUNCTION("""COMPUTED_VALUE"""),"Female")</f>
        <v>Female</v>
      </c>
      <c r="D1372" s="1" t="str">
        <f ca="1">IFERROR(__xludf.DUMMYFUNCTION("""COMPUTED_VALUE"""),"Student")</f>
        <v>Student</v>
      </c>
      <c r="E1372" s="1" t="str">
        <f ca="1">IFERROR(__xludf.DUMMYFUNCTION("""COMPUTED_VALUE"""),"Teen")</f>
        <v>Teen</v>
      </c>
      <c r="F1372" s="1"/>
    </row>
    <row r="1373" spans="1:6" ht="12.5">
      <c r="A1373" s="1" t="str">
        <f ca="1">IFERROR(__xludf.DUMMYFUNCTION("""COMPUTED_VALUE"""),"20180123KYMAB")</f>
        <v>20180123KYMAB</v>
      </c>
      <c r="B1373" s="1" t="str">
        <f ca="1">IFERROR(__xludf.DUMMYFUNCTION("""COMPUTED_VALUE"""),"Wounded")</f>
        <v>Wounded</v>
      </c>
      <c r="C1373" s="1" t="str">
        <f ca="1">IFERROR(__xludf.DUMMYFUNCTION("""COMPUTED_VALUE"""),"Female")</f>
        <v>Female</v>
      </c>
      <c r="D1373" s="1" t="str">
        <f ca="1">IFERROR(__xludf.DUMMYFUNCTION("""COMPUTED_VALUE"""),"Student")</f>
        <v>Student</v>
      </c>
      <c r="E1373" s="1" t="str">
        <f ca="1">IFERROR(__xludf.DUMMYFUNCTION("""COMPUTED_VALUE"""),"Teen")</f>
        <v>Teen</v>
      </c>
      <c r="F1373" s="1"/>
    </row>
    <row r="1374" spans="1:6" ht="12.5">
      <c r="A1374" s="1" t="str">
        <f ca="1">IFERROR(__xludf.DUMMYFUNCTION("""COMPUTED_VALUE"""),"20180123KYMAB")</f>
        <v>20180123KYMAB</v>
      </c>
      <c r="B1374" s="1" t="str">
        <f ca="1">IFERROR(__xludf.DUMMYFUNCTION("""COMPUTED_VALUE"""),"Wounded")</f>
        <v>Wounded</v>
      </c>
      <c r="C1374" s="1" t="str">
        <f ca="1">IFERROR(__xludf.DUMMYFUNCTION("""COMPUTED_VALUE"""),"Male")</f>
        <v>Male</v>
      </c>
      <c r="D1374" s="1" t="str">
        <f ca="1">IFERROR(__xludf.DUMMYFUNCTION("""COMPUTED_VALUE"""),"Student")</f>
        <v>Student</v>
      </c>
      <c r="E1374" s="1" t="str">
        <f ca="1">IFERROR(__xludf.DUMMYFUNCTION("""COMPUTED_VALUE"""),"Teen")</f>
        <v>Teen</v>
      </c>
      <c r="F1374" s="1"/>
    </row>
    <row r="1375" spans="1:6" ht="12.5">
      <c r="A1375" s="1" t="str">
        <f ca="1">IFERROR(__xludf.DUMMYFUNCTION("""COMPUTED_VALUE"""),"20180123KYMAB")</f>
        <v>20180123KYMAB</v>
      </c>
      <c r="B1375" s="1" t="str">
        <f ca="1">IFERROR(__xludf.DUMMYFUNCTION("""COMPUTED_VALUE"""),"Wounded")</f>
        <v>Wounded</v>
      </c>
      <c r="C1375" s="1" t="str">
        <f ca="1">IFERROR(__xludf.DUMMYFUNCTION("""COMPUTED_VALUE"""),"Male")</f>
        <v>Male</v>
      </c>
      <c r="D1375" s="1" t="str">
        <f ca="1">IFERROR(__xludf.DUMMYFUNCTION("""COMPUTED_VALUE"""),"Student")</f>
        <v>Student</v>
      </c>
      <c r="E1375" s="1" t="str">
        <f ca="1">IFERROR(__xludf.DUMMYFUNCTION("""COMPUTED_VALUE"""),"Teen")</f>
        <v>Teen</v>
      </c>
      <c r="F1375" s="1"/>
    </row>
    <row r="1376" spans="1:6" ht="12.5">
      <c r="A1376" s="1" t="str">
        <f ca="1">IFERROR(__xludf.DUMMYFUNCTION("""COMPUTED_VALUE"""),"20180123KYMAB")</f>
        <v>20180123KYMAB</v>
      </c>
      <c r="B1376" s="1" t="str">
        <f ca="1">IFERROR(__xludf.DUMMYFUNCTION("""COMPUTED_VALUE"""),"Wounded")</f>
        <v>Wounded</v>
      </c>
      <c r="C1376" s="1" t="str">
        <f ca="1">IFERROR(__xludf.DUMMYFUNCTION("""COMPUTED_VALUE"""),"Male")</f>
        <v>Male</v>
      </c>
      <c r="D1376" s="1" t="str">
        <f ca="1">IFERROR(__xludf.DUMMYFUNCTION("""COMPUTED_VALUE"""),"Student")</f>
        <v>Student</v>
      </c>
      <c r="E1376" s="1" t="str">
        <f ca="1">IFERROR(__xludf.DUMMYFUNCTION("""COMPUTED_VALUE"""),"Teen")</f>
        <v>Teen</v>
      </c>
      <c r="F1376" s="1"/>
    </row>
    <row r="1377" spans="1:6" ht="12.5">
      <c r="A1377" s="1" t="str">
        <f ca="1">IFERROR(__xludf.DUMMYFUNCTION("""COMPUTED_VALUE"""),"20180123KYMAB")</f>
        <v>20180123KYMAB</v>
      </c>
      <c r="B1377" s="1" t="str">
        <f ca="1">IFERROR(__xludf.DUMMYFUNCTION("""COMPUTED_VALUE"""),"Wounded")</f>
        <v>Wounded</v>
      </c>
      <c r="C1377" s="1" t="str">
        <f ca="1">IFERROR(__xludf.DUMMYFUNCTION("""COMPUTED_VALUE"""),"Female")</f>
        <v>Female</v>
      </c>
      <c r="D1377" s="1" t="str">
        <f ca="1">IFERROR(__xludf.DUMMYFUNCTION("""COMPUTED_VALUE"""),"Student")</f>
        <v>Student</v>
      </c>
      <c r="E1377" s="1" t="str">
        <f ca="1">IFERROR(__xludf.DUMMYFUNCTION("""COMPUTED_VALUE"""),"Teen")</f>
        <v>Teen</v>
      </c>
      <c r="F1377" s="1"/>
    </row>
    <row r="1378" spans="1:6" ht="12.5">
      <c r="A1378" s="1" t="str">
        <f ca="1">IFERROR(__xludf.DUMMYFUNCTION("""COMPUTED_VALUE"""),"20180123KYMAB")</f>
        <v>20180123KYMAB</v>
      </c>
      <c r="B1378" s="1" t="str">
        <f ca="1">IFERROR(__xludf.DUMMYFUNCTION("""COMPUTED_VALUE"""),"Wounded")</f>
        <v>Wounded</v>
      </c>
      <c r="C1378" s="1" t="str">
        <f ca="1">IFERROR(__xludf.DUMMYFUNCTION("""COMPUTED_VALUE"""),"Male")</f>
        <v>Male</v>
      </c>
      <c r="D1378" s="1" t="str">
        <f ca="1">IFERROR(__xludf.DUMMYFUNCTION("""COMPUTED_VALUE"""),"Student")</f>
        <v>Student</v>
      </c>
      <c r="E1378" s="1" t="str">
        <f ca="1">IFERROR(__xludf.DUMMYFUNCTION("""COMPUTED_VALUE"""),"Teen")</f>
        <v>Teen</v>
      </c>
      <c r="F1378" s="1"/>
    </row>
    <row r="1379" spans="1:6" ht="12.5">
      <c r="A1379" s="1" t="str">
        <f ca="1">IFERROR(__xludf.DUMMYFUNCTION("""COMPUTED_VALUE"""),"20180123KYMAB")</f>
        <v>20180123KYMAB</v>
      </c>
      <c r="B1379" s="1" t="str">
        <f ca="1">IFERROR(__xludf.DUMMYFUNCTION("""COMPUTED_VALUE"""),"Wounded")</f>
        <v>Wounded</v>
      </c>
      <c r="C1379" s="1" t="str">
        <f ca="1">IFERROR(__xludf.DUMMYFUNCTION("""COMPUTED_VALUE"""),"Male")</f>
        <v>Male</v>
      </c>
      <c r="D1379" s="1" t="str">
        <f ca="1">IFERROR(__xludf.DUMMYFUNCTION("""COMPUTED_VALUE"""),"Student")</f>
        <v>Student</v>
      </c>
      <c r="E1379" s="1" t="str">
        <f ca="1">IFERROR(__xludf.DUMMYFUNCTION("""COMPUTED_VALUE"""),"Teen")</f>
        <v>Teen</v>
      </c>
      <c r="F1379" s="1"/>
    </row>
    <row r="1380" spans="1:6" ht="12.5">
      <c r="A1380" s="1" t="str">
        <f ca="1">IFERROR(__xludf.DUMMYFUNCTION("""COMPUTED_VALUE"""),"20180123KYMAB")</f>
        <v>20180123KYMAB</v>
      </c>
      <c r="B1380" s="1" t="str">
        <f ca="1">IFERROR(__xludf.DUMMYFUNCTION("""COMPUTED_VALUE"""),"Wounded")</f>
        <v>Wounded</v>
      </c>
      <c r="C1380" s="1" t="str">
        <f ca="1">IFERROR(__xludf.DUMMYFUNCTION("""COMPUTED_VALUE"""),"Male")</f>
        <v>Male</v>
      </c>
      <c r="D1380" s="1" t="str">
        <f ca="1">IFERROR(__xludf.DUMMYFUNCTION("""COMPUTED_VALUE"""),"Student")</f>
        <v>Student</v>
      </c>
      <c r="E1380" s="1" t="str">
        <f ca="1">IFERROR(__xludf.DUMMYFUNCTION("""COMPUTED_VALUE"""),"Teen")</f>
        <v>Teen</v>
      </c>
      <c r="F1380" s="1"/>
    </row>
    <row r="1381" spans="1:6" ht="12.5">
      <c r="A1381" s="1" t="str">
        <f ca="1">IFERROR(__xludf.DUMMYFUNCTION("""COMPUTED_VALUE"""),"20180123KYMAB")</f>
        <v>20180123KYMAB</v>
      </c>
      <c r="B1381" s="1" t="str">
        <f ca="1">IFERROR(__xludf.DUMMYFUNCTION("""COMPUTED_VALUE"""),"Wounded")</f>
        <v>Wounded</v>
      </c>
      <c r="C1381" s="1" t="str">
        <f ca="1">IFERROR(__xludf.DUMMYFUNCTION("""COMPUTED_VALUE"""),"Female")</f>
        <v>Female</v>
      </c>
      <c r="D1381" s="1" t="str">
        <f ca="1">IFERROR(__xludf.DUMMYFUNCTION("""COMPUTED_VALUE"""),"Student")</f>
        <v>Student</v>
      </c>
      <c r="E1381" s="1" t="str">
        <f ca="1">IFERROR(__xludf.DUMMYFUNCTION("""COMPUTED_VALUE"""),"Teen")</f>
        <v>Teen</v>
      </c>
      <c r="F1381" s="1"/>
    </row>
    <row r="1382" spans="1:6" ht="12.5">
      <c r="A1382" s="1" t="str">
        <f ca="1">IFERROR(__xludf.DUMMYFUNCTION("""COMPUTED_VALUE"""),"20180123KYMAB")</f>
        <v>20180123KYMAB</v>
      </c>
      <c r="B1382" s="1" t="str">
        <f ca="1">IFERROR(__xludf.DUMMYFUNCTION("""COMPUTED_VALUE"""),"Wounded")</f>
        <v>Wounded</v>
      </c>
      <c r="C1382" s="1" t="str">
        <f ca="1">IFERROR(__xludf.DUMMYFUNCTION("""COMPUTED_VALUE"""),"Male")</f>
        <v>Male</v>
      </c>
      <c r="D1382" s="1" t="str">
        <f ca="1">IFERROR(__xludf.DUMMYFUNCTION("""COMPUTED_VALUE"""),"Student")</f>
        <v>Student</v>
      </c>
      <c r="E1382" s="1" t="str">
        <f ca="1">IFERROR(__xludf.DUMMYFUNCTION("""COMPUTED_VALUE"""),"Teen")</f>
        <v>Teen</v>
      </c>
      <c r="F1382" s="1"/>
    </row>
    <row r="1383" spans="1:6" ht="12.5">
      <c r="A1383" s="1" t="str">
        <f ca="1">IFERROR(__xludf.DUMMYFUNCTION("""COMPUTED_VALUE"""),"20180123KYMAB")</f>
        <v>20180123KYMAB</v>
      </c>
      <c r="B1383" s="1" t="str">
        <f ca="1">IFERROR(__xludf.DUMMYFUNCTION("""COMPUTED_VALUE"""),"Wounded")</f>
        <v>Wounded</v>
      </c>
      <c r="C1383" s="1" t="str">
        <f ca="1">IFERROR(__xludf.DUMMYFUNCTION("""COMPUTED_VALUE"""),"Male")</f>
        <v>Male</v>
      </c>
      <c r="D1383" s="1" t="str">
        <f ca="1">IFERROR(__xludf.DUMMYFUNCTION("""COMPUTED_VALUE"""),"Student")</f>
        <v>Student</v>
      </c>
      <c r="E1383" s="1" t="str">
        <f ca="1">IFERROR(__xludf.DUMMYFUNCTION("""COMPUTED_VALUE"""),"Teen")</f>
        <v>Teen</v>
      </c>
      <c r="F1383" s="1"/>
    </row>
    <row r="1384" spans="1:6" ht="12.5">
      <c r="A1384" s="1" t="str">
        <f ca="1">IFERROR(__xludf.DUMMYFUNCTION("""COMPUTED_VALUE"""),"20180123KYMAB")</f>
        <v>20180123KYMAB</v>
      </c>
      <c r="B1384" s="1" t="str">
        <f ca="1">IFERROR(__xludf.DUMMYFUNCTION("""COMPUTED_VALUE"""),"Wounded")</f>
        <v>Wounded</v>
      </c>
      <c r="C1384" s="1" t="str">
        <f ca="1">IFERROR(__xludf.DUMMYFUNCTION("""COMPUTED_VALUE"""),"Female")</f>
        <v>Female</v>
      </c>
      <c r="D1384" s="1" t="str">
        <f ca="1">IFERROR(__xludf.DUMMYFUNCTION("""COMPUTED_VALUE"""),"Student")</f>
        <v>Student</v>
      </c>
      <c r="E1384" s="1" t="str">
        <f ca="1">IFERROR(__xludf.DUMMYFUNCTION("""COMPUTED_VALUE"""),"Teen")</f>
        <v>Teen</v>
      </c>
      <c r="F1384" s="1"/>
    </row>
    <row r="1385" spans="1:6" ht="12.5">
      <c r="A1385" s="1" t="str">
        <f ca="1">IFERROR(__xludf.DUMMYFUNCTION("""COMPUTED_VALUE"""),"20180123KYMAB")</f>
        <v>20180123KYMAB</v>
      </c>
      <c r="B1385" s="1" t="str">
        <f ca="1">IFERROR(__xludf.DUMMYFUNCTION("""COMPUTED_VALUE"""),"Wounded")</f>
        <v>Wounded</v>
      </c>
      <c r="C1385" s="1" t="str">
        <f ca="1">IFERROR(__xludf.DUMMYFUNCTION("""COMPUTED_VALUE"""),"Male")</f>
        <v>Male</v>
      </c>
      <c r="D1385" s="1" t="str">
        <f ca="1">IFERROR(__xludf.DUMMYFUNCTION("""COMPUTED_VALUE"""),"Student")</f>
        <v>Student</v>
      </c>
      <c r="E1385" s="1" t="str">
        <f ca="1">IFERROR(__xludf.DUMMYFUNCTION("""COMPUTED_VALUE"""),"Teen")</f>
        <v>Teen</v>
      </c>
      <c r="F1385" s="1"/>
    </row>
    <row r="1386" spans="1:6" ht="12.5">
      <c r="A1386" s="1" t="str">
        <f ca="1">IFERROR(__xludf.DUMMYFUNCTION("""COMPUTED_VALUE"""),"20180122TXITI")</f>
        <v>20180122TXITI</v>
      </c>
      <c r="B1386" s="1" t="str">
        <f ca="1">IFERROR(__xludf.DUMMYFUNCTION("""COMPUTED_VALUE"""),"Wounded")</f>
        <v>Wounded</v>
      </c>
      <c r="C1386" s="1" t="str">
        <f ca="1">IFERROR(__xludf.DUMMYFUNCTION("""COMPUTED_VALUE"""),"Female")</f>
        <v>Female</v>
      </c>
      <c r="D1386" s="1" t="str">
        <f ca="1">IFERROR(__xludf.DUMMYFUNCTION("""COMPUTED_VALUE"""),"Student")</f>
        <v>Student</v>
      </c>
      <c r="E1386" s="1" t="str">
        <f ca="1">IFERROR(__xludf.DUMMYFUNCTION("""COMPUTED_VALUE"""),"Teen")</f>
        <v>Teen</v>
      </c>
      <c r="F1386" s="1"/>
    </row>
    <row r="1387" spans="1:6" ht="12.5">
      <c r="A1387" s="1" t="str">
        <f ca="1">IFERROR(__xludf.DUMMYFUNCTION("""COMPUTED_VALUE"""),"20180122LANEN")</f>
        <v>20180122LANEN</v>
      </c>
      <c r="B1387" s="1" t="str">
        <f ca="1">IFERROR(__xludf.DUMMYFUNCTION("""COMPUTED_VALUE"""),"None")</f>
        <v>None</v>
      </c>
      <c r="C1387" s="1"/>
      <c r="D1387" s="1"/>
      <c r="E1387" s="1"/>
      <c r="F1387" s="1"/>
    </row>
    <row r="1388" spans="1:6" ht="12.5">
      <c r="A1388" s="1" t="str">
        <f ca="1">IFERROR(__xludf.DUMMYFUNCTION("""COMPUTED_VALUE"""),"20180116VTMOM")</f>
        <v>20180116VTMOM</v>
      </c>
      <c r="B1388" s="1" t="str">
        <f ca="1">IFERROR(__xludf.DUMMYFUNCTION("""COMPUTED_VALUE"""),"None")</f>
        <v>None</v>
      </c>
      <c r="C1388" s="1" t="str">
        <f ca="1">IFERROR(__xludf.DUMMYFUNCTION("""COMPUTED_VALUE"""),"Male")</f>
        <v>Male</v>
      </c>
      <c r="D1388" s="1" t="str">
        <f ca="1">IFERROR(__xludf.DUMMYFUNCTION("""COMPUTED_VALUE"""),"No Relation")</f>
        <v>No Relation</v>
      </c>
      <c r="E1388" s="1">
        <f ca="1">IFERROR(__xludf.DUMMYFUNCTION("""COMPUTED_VALUE"""),32)</f>
        <v>32</v>
      </c>
      <c r="F1388" s="1" t="str">
        <f ca="1">IFERROR(__xludf.DUMMYFUNCTION("""COMPUTED_VALUE"""),"White")</f>
        <v>White</v>
      </c>
    </row>
    <row r="1389" spans="1:6" ht="12.5">
      <c r="A1389" s="1" t="str">
        <f ca="1">IFERROR(__xludf.DUMMYFUNCTION("""COMPUTED_VALUE"""),"20180109AZCOS")</f>
        <v>20180109AZCOS</v>
      </c>
      <c r="B1389" s="1" t="str">
        <f ca="1">IFERROR(__xludf.DUMMYFUNCTION("""COMPUTED_VALUE"""),"None")</f>
        <v>None</v>
      </c>
      <c r="C1389" s="1" t="str">
        <f ca="1">IFERROR(__xludf.DUMMYFUNCTION("""COMPUTED_VALUE"""),"Male")</f>
        <v>Male</v>
      </c>
      <c r="D1389" s="1" t="str">
        <f ca="1">IFERROR(__xludf.DUMMYFUNCTION("""COMPUTED_VALUE"""),"Student")</f>
        <v>Student</v>
      </c>
      <c r="E1389" s="1" t="str">
        <f ca="1">IFERROR(__xludf.DUMMYFUNCTION("""COMPUTED_VALUE"""),"Teen")</f>
        <v>Teen</v>
      </c>
      <c r="F1389" s="1"/>
    </row>
    <row r="1390" spans="1:6" ht="12.5">
      <c r="A1390" s="1" t="str">
        <f ca="1">IFERROR(__xludf.DUMMYFUNCTION("""COMPUTED_VALUE"""),"20180105IAFOF")</f>
        <v>20180105IAFOF</v>
      </c>
      <c r="B1390" s="1" t="str">
        <f ca="1">IFERROR(__xludf.DUMMYFUNCTION("""COMPUTED_VALUE"""),"None")</f>
        <v>None</v>
      </c>
      <c r="C1390" s="1"/>
      <c r="D1390" s="1"/>
      <c r="E1390" s="1"/>
      <c r="F1390" s="1"/>
    </row>
    <row r="1391" spans="1:6" ht="12.5">
      <c r="A1391" s="1" t="str">
        <f ca="1">IFERROR(__xludf.DUMMYFUNCTION("""COMPUTED_VALUE"""),"20180104WANES")</f>
        <v>20180104WANES</v>
      </c>
      <c r="B1391" s="1" t="str">
        <f ca="1">IFERROR(__xludf.DUMMYFUNCTION("""COMPUTED_VALUE"""),"None")</f>
        <v>None</v>
      </c>
      <c r="C1391" s="1"/>
      <c r="D1391" s="1"/>
      <c r="E1391" s="1"/>
      <c r="F1391" s="1"/>
    </row>
    <row r="1392" spans="1:6" ht="12.5">
      <c r="A1392" s="1"/>
      <c r="B1392" s="1"/>
      <c r="C1392" s="1"/>
      <c r="D1392" s="1"/>
      <c r="E1392" s="1"/>
      <c r="F1392" s="1"/>
    </row>
    <row r="1393" spans="1:6" ht="12.5">
      <c r="A1393" s="1"/>
      <c r="B1393" s="1"/>
      <c r="C1393" s="1"/>
      <c r="D1393" s="1"/>
      <c r="E1393" s="1"/>
      <c r="F1393" s="1"/>
    </row>
    <row r="1394" spans="1:6" ht="12.5">
      <c r="A1394" s="1"/>
      <c r="B1394" s="1"/>
      <c r="C1394" s="1"/>
      <c r="D1394" s="1"/>
      <c r="E1394" s="1"/>
      <c r="F1394" s="1"/>
    </row>
    <row r="1395" spans="1:6" ht="12.5">
      <c r="A1395" s="1"/>
      <c r="B1395" s="1"/>
      <c r="C1395" s="1"/>
      <c r="D1395" s="1"/>
      <c r="E1395" s="1"/>
      <c r="F1395" s="1"/>
    </row>
    <row r="1396" spans="1:6" ht="12.5">
      <c r="A1396" s="1"/>
      <c r="B1396" s="1"/>
      <c r="C1396" s="1"/>
      <c r="D1396" s="1"/>
      <c r="E1396" s="1"/>
      <c r="F1396" s="1"/>
    </row>
    <row r="1397" spans="1:6" ht="12.5">
      <c r="A1397" s="1"/>
      <c r="B1397" s="1"/>
      <c r="C1397" s="1"/>
      <c r="D1397" s="1"/>
      <c r="E1397" s="1"/>
      <c r="F1397" s="1"/>
    </row>
    <row r="1398" spans="1:6" ht="12.5">
      <c r="A1398" s="1"/>
      <c r="B1398" s="1"/>
      <c r="C1398" s="1"/>
      <c r="D1398" s="1"/>
      <c r="E1398" s="1"/>
      <c r="F1398" s="1"/>
    </row>
    <row r="1399" spans="1:6" ht="12.5">
      <c r="A1399" s="1"/>
      <c r="B1399" s="1"/>
      <c r="C1399" s="1"/>
      <c r="D1399" s="1"/>
      <c r="E1399" s="1"/>
      <c r="F1399" s="1"/>
    </row>
    <row r="1400" spans="1:6" ht="12.5">
      <c r="A1400" s="1"/>
      <c r="B1400" s="1"/>
      <c r="C1400" s="1"/>
      <c r="D1400" s="1"/>
      <c r="E1400" s="1"/>
      <c r="F1400" s="1"/>
    </row>
    <row r="1401" spans="1:6" ht="12.5">
      <c r="A1401" s="1"/>
      <c r="B1401" s="1"/>
      <c r="C1401" s="1"/>
      <c r="D1401" s="1"/>
      <c r="E1401" s="1"/>
      <c r="F1401" s="1"/>
    </row>
    <row r="1402" spans="1:6" ht="12.5">
      <c r="A1402" s="1"/>
      <c r="B1402" s="1"/>
      <c r="C1402" s="1"/>
      <c r="D1402" s="1"/>
      <c r="E1402" s="1"/>
      <c r="F1402" s="1"/>
    </row>
    <row r="1403" spans="1:6" ht="12.5">
      <c r="A1403" s="1"/>
      <c r="B1403" s="1"/>
      <c r="C1403" s="1"/>
      <c r="D1403" s="1"/>
      <c r="E1403" s="1"/>
      <c r="F1403" s="1"/>
    </row>
    <row r="1404" spans="1:6" ht="12.5">
      <c r="A1404" s="1"/>
      <c r="B1404" s="1"/>
      <c r="C1404" s="1"/>
      <c r="D1404" s="1"/>
      <c r="E1404" s="1"/>
      <c r="F1404" s="1"/>
    </row>
    <row r="1405" spans="1:6" ht="12.5">
      <c r="A1405" s="1"/>
      <c r="B1405" s="1"/>
      <c r="C1405" s="1"/>
      <c r="D1405" s="1"/>
      <c r="E1405" s="1"/>
      <c r="F1405" s="1"/>
    </row>
    <row r="1406" spans="1:6" ht="12.5">
      <c r="A1406" s="1"/>
      <c r="B1406" s="1"/>
      <c r="C1406" s="1"/>
      <c r="D1406" s="1"/>
      <c r="E1406" s="1"/>
      <c r="F1406" s="1"/>
    </row>
    <row r="1407" spans="1:6" ht="12.5">
      <c r="A1407" s="1"/>
      <c r="B1407" s="1"/>
      <c r="C1407" s="1"/>
      <c r="D1407" s="1"/>
      <c r="E1407" s="1"/>
      <c r="F1407" s="1"/>
    </row>
    <row r="1408" spans="1:6" ht="12.5">
      <c r="A1408" s="1"/>
      <c r="B1408" s="1"/>
      <c r="C1408" s="1"/>
      <c r="D1408" s="1"/>
      <c r="E1408" s="1"/>
      <c r="F1408" s="1"/>
    </row>
    <row r="1409" spans="1:6" ht="12.5">
      <c r="A1409" s="1"/>
      <c r="B1409" s="1"/>
      <c r="C1409" s="1"/>
      <c r="D1409" s="1"/>
      <c r="E1409" s="1"/>
      <c r="F1409" s="1"/>
    </row>
    <row r="1410" spans="1:6" ht="12.5">
      <c r="A1410" s="1"/>
      <c r="B1410" s="1"/>
      <c r="C1410" s="1"/>
      <c r="D1410" s="1"/>
      <c r="E1410" s="1"/>
      <c r="F1410" s="1"/>
    </row>
    <row r="1411" spans="1:6" ht="12.5">
      <c r="A1411" s="1"/>
      <c r="B1411" s="1"/>
      <c r="C1411" s="1"/>
      <c r="D1411" s="1"/>
      <c r="E1411" s="1"/>
      <c r="F1411" s="1"/>
    </row>
    <row r="1412" spans="1:6" ht="12.5">
      <c r="A1412" s="1"/>
      <c r="B1412" s="1"/>
      <c r="C1412" s="1"/>
      <c r="D1412" s="1"/>
      <c r="E1412" s="1"/>
      <c r="F1412" s="1"/>
    </row>
    <row r="1413" spans="1:6" ht="12.5">
      <c r="A1413" s="1"/>
      <c r="B1413" s="1"/>
      <c r="C1413" s="1"/>
      <c r="D1413" s="1"/>
      <c r="E1413" s="1"/>
      <c r="F1413" s="1"/>
    </row>
    <row r="1414" spans="1:6" ht="12.5">
      <c r="A1414" s="1"/>
      <c r="B1414" s="1"/>
      <c r="C1414" s="1"/>
      <c r="D1414" s="1"/>
      <c r="E1414" s="1"/>
      <c r="F1414" s="1"/>
    </row>
    <row r="1415" spans="1:6" ht="12.5">
      <c r="A1415" s="1"/>
      <c r="B1415" s="1"/>
      <c r="C1415" s="1"/>
      <c r="D1415" s="1"/>
      <c r="E1415" s="1"/>
      <c r="F1415" s="1"/>
    </row>
    <row r="1416" spans="1:6" ht="12.5">
      <c r="A1416" s="1"/>
      <c r="B1416" s="1"/>
      <c r="C1416" s="1"/>
      <c r="D1416" s="1"/>
      <c r="E1416" s="1"/>
      <c r="F1416" s="1"/>
    </row>
    <row r="1417" spans="1:6" ht="12.5">
      <c r="A1417" s="1"/>
      <c r="B1417" s="1"/>
      <c r="C1417" s="1"/>
      <c r="D1417" s="1"/>
      <c r="E1417" s="1"/>
      <c r="F1417" s="1"/>
    </row>
    <row r="1418" spans="1:6" ht="12.5">
      <c r="A1418" s="1"/>
      <c r="B1418" s="1"/>
      <c r="C1418" s="1"/>
      <c r="D1418" s="1"/>
      <c r="E1418" s="1"/>
      <c r="F1418" s="1"/>
    </row>
    <row r="1419" spans="1:6" ht="12.5">
      <c r="A1419" s="1"/>
      <c r="B1419" s="1"/>
      <c r="C1419" s="1"/>
      <c r="D1419" s="1"/>
      <c r="E1419" s="1"/>
      <c r="F1419" s="1"/>
    </row>
    <row r="1420" spans="1:6" ht="12.5">
      <c r="A1420" s="1"/>
      <c r="B1420" s="1"/>
      <c r="C1420" s="1"/>
      <c r="D1420" s="1"/>
      <c r="E1420" s="1"/>
      <c r="F1420" s="1"/>
    </row>
    <row r="1421" spans="1:6" ht="12.5">
      <c r="A1421" s="1"/>
      <c r="B1421" s="1"/>
      <c r="C1421" s="1"/>
      <c r="D1421" s="1"/>
      <c r="E1421" s="1"/>
      <c r="F1421" s="1"/>
    </row>
    <row r="1422" spans="1:6" ht="12.5">
      <c r="A1422" s="1"/>
      <c r="B1422" s="1"/>
      <c r="C1422" s="1"/>
      <c r="D1422" s="1"/>
      <c r="E1422" s="1"/>
      <c r="F1422" s="1"/>
    </row>
    <row r="1423" spans="1:6" ht="12.5">
      <c r="A1423" s="1"/>
      <c r="B1423" s="1"/>
      <c r="C1423" s="1"/>
      <c r="D1423" s="1"/>
      <c r="E1423" s="1"/>
      <c r="F1423" s="1"/>
    </row>
    <row r="1424" spans="1:6" ht="12.5">
      <c r="A1424" s="1"/>
      <c r="B1424" s="1"/>
      <c r="C1424" s="1"/>
      <c r="D1424" s="1"/>
      <c r="E1424" s="1"/>
      <c r="F1424" s="1"/>
    </row>
    <row r="1425" spans="1:6" ht="12.5">
      <c r="A1425" s="1"/>
      <c r="B1425" s="1"/>
      <c r="C1425" s="1"/>
      <c r="D1425" s="1"/>
      <c r="E1425" s="1"/>
      <c r="F1425" s="1"/>
    </row>
    <row r="1426" spans="1:6" ht="12.5">
      <c r="A1426" s="1"/>
      <c r="B1426" s="1"/>
      <c r="C1426" s="1"/>
      <c r="D1426" s="1"/>
      <c r="E1426" s="1"/>
      <c r="F1426" s="1"/>
    </row>
    <row r="1427" spans="1:6" ht="12.5">
      <c r="A1427" s="1"/>
      <c r="B1427" s="1"/>
      <c r="C1427" s="1"/>
      <c r="D1427" s="1"/>
      <c r="E1427" s="1"/>
      <c r="F1427" s="1"/>
    </row>
    <row r="1428" spans="1:6" ht="12.5">
      <c r="A1428" s="1"/>
      <c r="B1428" s="1"/>
      <c r="C1428" s="1"/>
      <c r="D1428" s="1"/>
      <c r="E1428" s="1"/>
      <c r="F1428" s="1"/>
    </row>
    <row r="1429" spans="1:6" ht="12.5">
      <c r="A1429" s="1"/>
      <c r="B1429" s="1"/>
      <c r="C1429" s="1"/>
      <c r="D1429" s="1"/>
      <c r="E1429" s="1"/>
      <c r="F1429" s="1"/>
    </row>
    <row r="1430" spans="1:6" ht="12.5">
      <c r="A1430" s="1"/>
      <c r="B1430" s="1"/>
      <c r="C1430" s="1"/>
      <c r="D1430" s="1"/>
      <c r="E1430" s="1"/>
      <c r="F1430" s="1"/>
    </row>
    <row r="1431" spans="1:6" ht="12.5">
      <c r="A1431" s="1"/>
      <c r="B1431" s="1"/>
      <c r="C1431" s="1"/>
      <c r="D1431" s="1"/>
      <c r="E1431" s="1"/>
      <c r="F1431" s="1"/>
    </row>
    <row r="1432" spans="1:6" ht="12.5">
      <c r="A1432" s="1"/>
      <c r="B1432" s="1"/>
      <c r="C1432" s="1"/>
      <c r="D1432" s="1"/>
      <c r="E1432" s="1"/>
      <c r="F1432" s="1"/>
    </row>
    <row r="1433" spans="1:6" ht="12.5">
      <c r="A1433" s="1"/>
      <c r="B1433" s="1"/>
      <c r="C1433" s="1"/>
      <c r="D1433" s="1"/>
      <c r="E1433" s="1"/>
      <c r="F1433" s="1"/>
    </row>
    <row r="1434" spans="1:6" ht="12.5">
      <c r="A1434" s="1"/>
      <c r="B1434" s="1"/>
      <c r="C1434" s="1"/>
      <c r="D1434" s="1"/>
      <c r="E1434" s="1"/>
      <c r="F1434" s="1"/>
    </row>
    <row r="1435" spans="1:6" ht="12.5">
      <c r="A1435" s="1"/>
      <c r="B1435" s="1"/>
      <c r="C1435" s="1"/>
      <c r="D1435" s="1"/>
      <c r="E1435" s="1"/>
      <c r="F1435" s="1"/>
    </row>
    <row r="1436" spans="1:6" ht="12.5">
      <c r="A1436" s="1"/>
      <c r="B1436" s="1"/>
      <c r="C1436" s="1"/>
      <c r="D1436" s="1"/>
      <c r="E1436" s="1"/>
      <c r="F1436" s="1"/>
    </row>
    <row r="1437" spans="1:6" ht="12.5">
      <c r="A1437" s="1"/>
      <c r="B1437" s="1"/>
      <c r="C1437" s="1"/>
      <c r="D1437" s="1"/>
      <c r="E1437" s="1"/>
      <c r="F1437" s="1"/>
    </row>
    <row r="1438" spans="1:6" ht="12.5">
      <c r="A1438" s="1"/>
      <c r="B1438" s="1"/>
      <c r="C1438" s="1"/>
      <c r="D1438" s="1"/>
      <c r="E1438" s="1"/>
      <c r="F1438" s="1"/>
    </row>
    <row r="1439" spans="1:6" ht="12.5">
      <c r="A1439" s="1"/>
      <c r="B1439" s="1"/>
      <c r="C1439" s="1"/>
      <c r="D1439" s="1"/>
      <c r="E1439" s="1"/>
      <c r="F1439" s="1"/>
    </row>
    <row r="1440" spans="1:6" ht="12.5">
      <c r="A1440" s="1"/>
      <c r="B1440" s="1"/>
      <c r="C1440" s="1"/>
      <c r="D1440" s="1"/>
      <c r="E1440" s="1"/>
      <c r="F1440" s="1"/>
    </row>
    <row r="1441" spans="1:6" ht="12.5">
      <c r="A1441" s="1"/>
      <c r="B1441" s="1"/>
      <c r="C1441" s="1"/>
      <c r="D1441" s="1"/>
      <c r="E1441" s="1"/>
      <c r="F1441" s="1"/>
    </row>
    <row r="1442" spans="1:6" ht="12.5">
      <c r="A1442" s="1"/>
      <c r="B1442" s="1"/>
      <c r="C1442" s="1"/>
      <c r="D1442" s="1"/>
      <c r="E1442" s="1"/>
      <c r="F1442" s="1"/>
    </row>
    <row r="1443" spans="1:6" ht="12.5">
      <c r="A1443" s="1"/>
      <c r="B1443" s="1"/>
      <c r="C1443" s="1"/>
      <c r="D1443" s="1"/>
      <c r="E1443" s="1"/>
      <c r="F1443" s="1"/>
    </row>
    <row r="1444" spans="1:6" ht="12.5">
      <c r="A1444" s="1"/>
      <c r="B1444" s="1"/>
      <c r="C1444" s="1"/>
      <c r="D1444" s="1"/>
      <c r="E1444" s="1"/>
      <c r="F1444" s="1"/>
    </row>
    <row r="1445" spans="1:6" ht="12.5">
      <c r="A1445" s="1"/>
      <c r="B1445" s="1"/>
      <c r="C1445" s="1"/>
      <c r="D1445" s="1"/>
      <c r="E1445" s="1"/>
      <c r="F1445" s="1"/>
    </row>
    <row r="1446" spans="1:6" ht="12.5">
      <c r="A1446" s="1"/>
      <c r="B1446" s="1"/>
      <c r="C1446" s="1"/>
      <c r="D1446" s="1"/>
      <c r="E1446" s="1"/>
      <c r="F1446" s="1"/>
    </row>
    <row r="1447" spans="1:6" ht="12.5">
      <c r="A1447" s="1"/>
      <c r="B1447" s="1"/>
      <c r="C1447" s="1"/>
      <c r="D1447" s="1"/>
      <c r="E1447" s="1"/>
      <c r="F1447" s="1"/>
    </row>
    <row r="1448" spans="1:6" ht="12.5">
      <c r="A1448" s="1"/>
      <c r="B1448" s="1"/>
      <c r="C1448" s="1"/>
      <c r="D1448" s="1"/>
      <c r="E1448" s="1"/>
      <c r="F1448" s="1"/>
    </row>
    <row r="1449" spans="1:6" ht="12.5">
      <c r="A1449" s="1"/>
      <c r="B1449" s="1"/>
      <c r="C1449" s="1"/>
      <c r="D1449" s="1"/>
      <c r="E1449" s="1"/>
      <c r="F1449" s="1"/>
    </row>
    <row r="1450" spans="1:6" ht="12.5">
      <c r="A1450" s="1"/>
      <c r="B1450" s="1"/>
      <c r="C1450" s="1"/>
      <c r="D1450" s="1"/>
      <c r="E1450" s="1"/>
      <c r="F1450" s="1"/>
    </row>
    <row r="1451" spans="1:6" ht="12.5">
      <c r="A1451" s="1"/>
      <c r="B1451" s="1"/>
      <c r="C1451" s="1"/>
      <c r="D1451" s="1"/>
      <c r="E1451" s="1"/>
      <c r="F1451" s="1"/>
    </row>
    <row r="1452" spans="1:6" ht="12.5">
      <c r="A1452" s="1"/>
      <c r="B1452" s="1"/>
      <c r="C1452" s="1"/>
      <c r="D1452" s="1"/>
      <c r="E1452" s="1"/>
      <c r="F1452" s="1"/>
    </row>
    <row r="1453" spans="1:6" ht="12.5">
      <c r="A1453" s="1"/>
      <c r="B1453" s="1"/>
      <c r="C1453" s="1"/>
      <c r="D1453" s="1"/>
      <c r="E1453" s="1"/>
      <c r="F1453" s="1"/>
    </row>
    <row r="1454" spans="1:6" ht="12.5">
      <c r="A1454" s="1"/>
      <c r="B1454" s="1"/>
      <c r="C1454" s="1"/>
      <c r="D1454" s="1"/>
      <c r="E1454" s="1"/>
      <c r="F1454" s="1"/>
    </row>
    <row r="1455" spans="1:6" ht="12.5">
      <c r="A1455" s="1"/>
      <c r="B1455" s="1"/>
      <c r="C1455" s="1"/>
      <c r="D1455" s="1"/>
      <c r="E1455" s="1"/>
      <c r="F1455" s="1"/>
    </row>
    <row r="1456" spans="1:6" ht="12.5">
      <c r="A1456" s="1"/>
      <c r="B1456" s="1"/>
      <c r="C1456" s="1"/>
      <c r="D1456" s="1"/>
      <c r="E1456" s="1"/>
      <c r="F1456" s="1"/>
    </row>
    <row r="1457" spans="1:6" ht="12.5">
      <c r="A1457" s="1"/>
      <c r="B1457" s="1"/>
      <c r="C1457" s="1"/>
      <c r="D1457" s="1"/>
      <c r="E1457" s="1"/>
      <c r="F1457" s="1"/>
    </row>
    <row r="1458" spans="1:6" ht="12.5">
      <c r="A1458" s="1"/>
      <c r="B1458" s="1"/>
      <c r="C1458" s="1"/>
      <c r="D1458" s="1"/>
      <c r="E1458" s="1"/>
      <c r="F1458" s="1"/>
    </row>
    <row r="1459" spans="1:6" ht="12.5">
      <c r="A1459" s="1"/>
      <c r="B1459" s="1"/>
      <c r="C1459" s="1"/>
      <c r="D1459" s="1"/>
      <c r="E1459" s="1"/>
      <c r="F1459" s="1"/>
    </row>
    <row r="1460" spans="1:6" ht="12.5">
      <c r="A1460" s="1"/>
      <c r="B1460" s="1"/>
      <c r="C1460" s="1"/>
      <c r="D1460" s="1"/>
      <c r="E1460" s="1"/>
      <c r="F1460" s="1"/>
    </row>
    <row r="1461" spans="1:6" ht="12.5">
      <c r="A1461" s="1"/>
      <c r="B1461" s="1"/>
      <c r="C1461" s="1"/>
      <c r="D1461" s="1"/>
      <c r="E1461" s="1"/>
      <c r="F1461" s="1"/>
    </row>
    <row r="1462" spans="1:6" ht="12.5">
      <c r="A1462" s="1"/>
      <c r="B1462" s="1"/>
      <c r="C1462" s="1"/>
      <c r="D1462" s="1"/>
      <c r="E1462" s="1"/>
      <c r="F1462" s="1"/>
    </row>
    <row r="1463" spans="1:6" ht="12.5">
      <c r="A1463" s="1"/>
      <c r="B1463" s="1"/>
      <c r="C1463" s="1"/>
      <c r="D1463" s="1"/>
      <c r="E1463" s="1"/>
      <c r="F1463" s="1"/>
    </row>
    <row r="1464" spans="1:6" ht="12.5">
      <c r="A1464" s="1"/>
      <c r="B1464" s="1"/>
      <c r="C1464" s="1"/>
      <c r="D1464" s="1"/>
      <c r="E1464" s="1"/>
      <c r="F1464" s="1"/>
    </row>
    <row r="1465" spans="1:6" ht="12.5">
      <c r="A1465" s="1"/>
      <c r="B1465" s="1"/>
      <c r="C1465" s="1"/>
      <c r="D1465" s="1"/>
      <c r="E1465" s="1"/>
      <c r="F1465" s="1"/>
    </row>
    <row r="1466" spans="1:6" ht="12.5">
      <c r="A1466" s="1"/>
      <c r="B1466" s="1"/>
      <c r="C1466" s="1"/>
      <c r="D1466" s="1"/>
      <c r="E1466" s="1"/>
      <c r="F1466" s="1"/>
    </row>
    <row r="1467" spans="1:6" ht="12.5">
      <c r="A1467" s="1"/>
      <c r="B1467" s="1"/>
      <c r="C1467" s="1"/>
      <c r="D1467" s="1"/>
      <c r="E1467" s="1"/>
      <c r="F1467" s="1"/>
    </row>
    <row r="1468" spans="1:6" ht="12.5">
      <c r="A1468" s="1"/>
      <c r="B1468" s="1"/>
      <c r="C1468" s="1"/>
      <c r="D1468" s="1"/>
      <c r="E1468" s="1"/>
      <c r="F1468" s="1"/>
    </row>
    <row r="1469" spans="1:6" ht="12.5">
      <c r="A1469" s="1"/>
      <c r="B1469" s="1"/>
      <c r="C1469" s="1"/>
      <c r="D1469" s="1"/>
      <c r="E1469" s="1"/>
      <c r="F1469" s="1"/>
    </row>
    <row r="1470" spans="1:6" ht="12.5">
      <c r="A1470" s="1"/>
      <c r="B1470" s="1"/>
      <c r="C1470" s="1"/>
      <c r="D1470" s="1"/>
      <c r="E1470" s="1"/>
      <c r="F1470" s="1"/>
    </row>
    <row r="1471" spans="1:6" ht="12.5">
      <c r="A1471" s="1"/>
      <c r="B1471" s="1"/>
      <c r="C1471" s="1"/>
      <c r="D1471" s="1"/>
      <c r="E1471" s="1"/>
      <c r="F1471" s="1"/>
    </row>
    <row r="1472" spans="1:6" ht="12.5">
      <c r="A1472" s="1"/>
      <c r="B1472" s="1"/>
      <c r="C1472" s="1"/>
      <c r="D1472" s="1"/>
      <c r="E1472" s="1"/>
      <c r="F1472" s="1"/>
    </row>
    <row r="1473" spans="1:6" ht="12.5">
      <c r="A1473" s="1"/>
      <c r="B1473" s="1"/>
      <c r="C1473" s="1"/>
      <c r="D1473" s="1"/>
      <c r="E1473" s="1"/>
      <c r="F1473" s="1"/>
    </row>
    <row r="1474" spans="1:6" ht="12.5">
      <c r="A1474" s="1"/>
      <c r="B1474" s="1"/>
      <c r="C1474" s="1"/>
      <c r="D1474" s="1"/>
      <c r="E1474" s="1"/>
      <c r="F1474" s="1"/>
    </row>
    <row r="1475" spans="1:6" ht="12.5">
      <c r="A1475" s="1"/>
      <c r="B1475" s="1"/>
      <c r="C1475" s="1"/>
      <c r="D1475" s="1"/>
      <c r="E1475" s="1"/>
      <c r="F1475" s="1"/>
    </row>
    <row r="1476" spans="1:6" ht="12.5">
      <c r="A1476" s="1"/>
      <c r="B1476" s="1"/>
      <c r="C1476" s="1"/>
      <c r="D1476" s="1"/>
      <c r="E1476" s="1"/>
      <c r="F1476" s="1"/>
    </row>
    <row r="1477" spans="1:6" ht="12.5">
      <c r="A1477" s="1"/>
      <c r="B1477" s="1"/>
      <c r="C1477" s="1"/>
      <c r="D1477" s="1"/>
      <c r="E1477" s="1"/>
      <c r="F1477" s="1"/>
    </row>
    <row r="1478" spans="1:6" ht="12.5">
      <c r="A1478" s="1"/>
      <c r="B1478" s="1"/>
      <c r="C1478" s="1"/>
      <c r="D1478" s="1"/>
      <c r="E1478" s="1"/>
      <c r="F1478" s="1"/>
    </row>
    <row r="1479" spans="1:6" ht="12.5">
      <c r="A1479" s="1"/>
      <c r="B1479" s="1"/>
      <c r="C1479" s="1"/>
      <c r="D1479" s="1"/>
      <c r="E1479" s="1"/>
      <c r="F1479" s="1"/>
    </row>
    <row r="1480" spans="1:6" ht="12.5">
      <c r="A1480" s="1"/>
      <c r="B1480" s="1"/>
      <c r="C1480" s="1"/>
      <c r="D1480" s="1"/>
      <c r="E1480" s="1"/>
      <c r="F1480" s="1"/>
    </row>
    <row r="1481" spans="1:6" ht="12.5">
      <c r="A1481" s="1"/>
      <c r="B1481" s="1"/>
      <c r="C1481" s="1"/>
      <c r="D1481" s="1"/>
      <c r="E1481" s="1"/>
      <c r="F1481" s="1"/>
    </row>
    <row r="1482" spans="1:6" ht="12.5">
      <c r="A1482" s="1"/>
      <c r="B1482" s="1"/>
      <c r="C1482" s="1"/>
      <c r="D1482" s="1"/>
      <c r="E1482" s="1"/>
      <c r="F1482" s="1"/>
    </row>
    <row r="1483" spans="1:6" ht="12.5">
      <c r="A1483" s="1"/>
      <c r="B1483" s="1"/>
      <c r="C1483" s="1"/>
      <c r="D1483" s="1"/>
      <c r="E1483" s="1"/>
      <c r="F1483" s="1"/>
    </row>
    <row r="1484" spans="1:6" ht="12.5">
      <c r="A1484" s="1"/>
      <c r="B1484" s="1"/>
      <c r="C1484" s="1"/>
      <c r="D1484" s="1"/>
      <c r="E1484" s="1"/>
      <c r="F1484" s="1"/>
    </row>
    <row r="1485" spans="1:6" ht="12.5">
      <c r="A1485" s="1"/>
      <c r="B1485" s="1"/>
      <c r="C1485" s="1"/>
      <c r="D1485" s="1"/>
      <c r="E1485" s="1"/>
      <c r="F1485" s="1"/>
    </row>
    <row r="1486" spans="1:6" ht="12.5">
      <c r="A1486" s="1"/>
      <c r="B1486" s="1"/>
      <c r="C1486" s="1"/>
      <c r="D1486" s="1"/>
      <c r="E1486" s="1"/>
      <c r="F1486" s="1"/>
    </row>
    <row r="1487" spans="1:6" ht="12.5">
      <c r="A1487" s="1"/>
      <c r="B1487" s="1"/>
      <c r="C1487" s="1"/>
      <c r="D1487" s="1"/>
      <c r="E1487" s="1"/>
      <c r="F1487" s="1"/>
    </row>
    <row r="1488" spans="1:6" ht="12.5">
      <c r="A1488" s="1"/>
      <c r="B1488" s="1"/>
      <c r="C1488" s="1"/>
      <c r="D1488" s="1"/>
      <c r="E1488" s="1"/>
      <c r="F1488" s="1"/>
    </row>
    <row r="1489" spans="1:6" ht="12.5">
      <c r="A1489" s="1"/>
      <c r="B1489" s="1"/>
      <c r="C1489" s="1"/>
      <c r="D1489" s="1"/>
      <c r="E1489" s="1"/>
      <c r="F1489" s="1"/>
    </row>
    <row r="1490" spans="1:6" ht="12.5">
      <c r="A1490" s="1"/>
      <c r="B1490" s="1"/>
      <c r="C1490" s="1"/>
      <c r="D1490" s="1"/>
      <c r="E1490" s="1"/>
      <c r="F1490" s="1"/>
    </row>
    <row r="1491" spans="1:6" ht="12.5">
      <c r="A1491" s="1"/>
      <c r="B1491" s="1"/>
      <c r="C1491" s="1"/>
      <c r="D1491" s="1"/>
      <c r="E1491" s="1"/>
      <c r="F1491" s="1"/>
    </row>
    <row r="1492" spans="1:6" ht="12.5">
      <c r="A1492" s="1"/>
      <c r="B1492" s="1"/>
      <c r="C1492" s="1"/>
      <c r="D1492" s="1"/>
      <c r="E1492" s="1"/>
      <c r="F1492" s="1"/>
    </row>
    <row r="1493" spans="1:6" ht="12.5">
      <c r="A1493" s="1"/>
      <c r="B1493" s="1"/>
      <c r="C1493" s="1"/>
      <c r="D1493" s="1"/>
      <c r="E1493" s="1"/>
      <c r="F1493" s="1"/>
    </row>
    <row r="1494" spans="1:6" ht="12.5">
      <c r="A1494" s="1"/>
      <c r="B1494" s="1"/>
      <c r="C1494" s="1"/>
      <c r="D1494" s="1"/>
      <c r="E1494" s="1"/>
      <c r="F1494" s="1"/>
    </row>
    <row r="1495" spans="1:6" ht="12.5">
      <c r="A1495" s="1"/>
      <c r="B1495" s="1"/>
      <c r="C1495" s="1"/>
      <c r="D1495" s="1"/>
      <c r="E1495" s="1"/>
      <c r="F1495" s="1"/>
    </row>
    <row r="1496" spans="1:6" ht="12.5">
      <c r="A1496" s="1"/>
      <c r="B1496" s="1"/>
      <c r="C1496" s="1"/>
      <c r="D1496" s="1"/>
      <c r="E1496" s="1"/>
      <c r="F1496" s="1"/>
    </row>
    <row r="1497" spans="1:6" ht="12.5">
      <c r="A1497" s="1"/>
      <c r="B1497" s="1"/>
      <c r="C1497" s="1"/>
      <c r="D1497" s="1"/>
      <c r="E1497" s="1"/>
      <c r="F1497" s="1"/>
    </row>
    <row r="1498" spans="1:6" ht="12.5">
      <c r="A1498" s="1"/>
      <c r="B1498" s="1"/>
      <c r="C1498" s="1"/>
      <c r="D1498" s="1"/>
      <c r="E1498" s="1"/>
      <c r="F1498" s="1"/>
    </row>
    <row r="1499" spans="1:6" ht="12.5">
      <c r="A1499" s="1"/>
      <c r="B1499" s="1"/>
      <c r="C1499" s="1"/>
      <c r="D1499" s="1"/>
      <c r="E1499" s="1"/>
      <c r="F1499" s="1"/>
    </row>
    <row r="1500" spans="1:6" ht="12.5">
      <c r="A1500" s="1"/>
      <c r="B1500" s="1"/>
      <c r="C1500" s="1"/>
      <c r="D1500" s="1"/>
      <c r="E1500" s="1"/>
      <c r="F1500" s="1"/>
    </row>
    <row r="1501" spans="1:6" ht="12.5">
      <c r="A1501" s="1"/>
      <c r="B1501" s="1"/>
      <c r="C1501" s="1"/>
      <c r="D1501" s="1"/>
      <c r="E1501" s="1"/>
      <c r="F1501" s="1"/>
    </row>
    <row r="1502" spans="1:6" ht="12.5">
      <c r="A1502" s="1"/>
      <c r="B1502" s="1"/>
      <c r="C1502" s="1"/>
      <c r="D1502" s="1"/>
      <c r="E1502" s="1"/>
      <c r="F1502" s="1"/>
    </row>
    <row r="1503" spans="1:6" ht="12.5">
      <c r="A1503" s="1"/>
      <c r="B1503" s="1"/>
      <c r="C1503" s="1"/>
      <c r="D1503" s="1"/>
      <c r="E1503" s="1"/>
      <c r="F1503" s="1"/>
    </row>
    <row r="1504" spans="1:6" ht="12.5">
      <c r="A1504" s="1"/>
      <c r="B1504" s="1"/>
      <c r="C1504" s="1"/>
      <c r="D1504" s="1"/>
      <c r="E1504" s="1"/>
      <c r="F1504" s="1"/>
    </row>
    <row r="1505" spans="1:6" ht="12.5">
      <c r="A1505" s="1"/>
      <c r="B1505" s="1"/>
      <c r="C1505" s="1"/>
      <c r="D1505" s="1"/>
      <c r="E1505" s="1"/>
      <c r="F1505" s="1"/>
    </row>
    <row r="1506" spans="1:6" ht="12.5">
      <c r="A1506" s="1"/>
      <c r="B1506" s="1"/>
      <c r="C1506" s="1"/>
      <c r="D1506" s="1"/>
      <c r="E1506" s="1"/>
      <c r="F1506" s="1"/>
    </row>
    <row r="1507" spans="1:6" ht="12.5">
      <c r="A1507" s="1"/>
      <c r="B1507" s="1"/>
      <c r="C1507" s="1"/>
      <c r="D1507" s="1"/>
      <c r="E1507" s="1"/>
      <c r="F1507" s="1"/>
    </row>
    <row r="1508" spans="1:6" ht="12.5">
      <c r="A1508" s="1"/>
      <c r="B1508" s="1"/>
      <c r="C1508" s="1"/>
      <c r="D1508" s="1"/>
      <c r="E1508" s="1"/>
      <c r="F1508" s="1"/>
    </row>
    <row r="1509" spans="1:6" ht="12.5">
      <c r="A1509" s="1"/>
      <c r="B1509" s="1"/>
      <c r="C1509" s="1"/>
      <c r="D1509" s="1"/>
      <c r="E1509" s="1"/>
      <c r="F1509" s="1"/>
    </row>
    <row r="1510" spans="1:6" ht="12.5">
      <c r="A1510" s="1"/>
      <c r="B1510" s="1"/>
      <c r="C1510" s="1"/>
      <c r="D1510" s="1"/>
      <c r="E1510" s="1"/>
      <c r="F1510" s="1"/>
    </row>
    <row r="1511" spans="1:6" ht="12.5">
      <c r="A1511" s="1"/>
      <c r="B1511" s="1"/>
      <c r="C1511" s="1"/>
      <c r="D1511" s="1"/>
      <c r="E1511" s="1"/>
      <c r="F1511" s="1"/>
    </row>
    <row r="1512" spans="1:6" ht="12.5">
      <c r="A1512" s="1"/>
      <c r="B1512" s="1"/>
      <c r="C1512" s="1"/>
      <c r="D1512" s="1"/>
      <c r="E1512" s="1"/>
      <c r="F1512" s="1"/>
    </row>
    <row r="1513" spans="1:6" ht="12.5">
      <c r="A1513" s="1"/>
      <c r="B1513" s="1"/>
      <c r="C1513" s="1"/>
      <c r="D1513" s="1"/>
      <c r="E1513" s="1"/>
      <c r="F1513" s="1"/>
    </row>
    <row r="1514" spans="1:6" ht="12.5">
      <c r="A1514" s="1"/>
      <c r="B1514" s="1"/>
      <c r="C1514" s="1"/>
      <c r="D1514" s="1"/>
      <c r="E1514" s="1"/>
      <c r="F1514" s="1"/>
    </row>
    <row r="1515" spans="1:6" ht="12.5">
      <c r="A1515" s="1"/>
      <c r="B1515" s="1"/>
      <c r="C1515" s="1"/>
      <c r="D1515" s="1"/>
      <c r="E1515" s="1"/>
      <c r="F1515" s="1"/>
    </row>
    <row r="1516" spans="1:6" ht="12.5">
      <c r="A1516" s="1"/>
      <c r="B1516" s="1"/>
      <c r="C1516" s="1"/>
      <c r="D1516" s="1"/>
      <c r="E1516" s="1"/>
      <c r="F1516" s="1"/>
    </row>
    <row r="1517" spans="1:6" ht="12.5">
      <c r="A1517" s="1"/>
      <c r="B1517" s="1"/>
      <c r="C1517" s="1"/>
      <c r="D1517" s="1"/>
      <c r="E1517" s="1"/>
      <c r="F1517" s="1"/>
    </row>
    <row r="1518" spans="1:6" ht="12.5">
      <c r="A1518" s="1"/>
      <c r="B1518" s="1"/>
      <c r="C1518" s="1"/>
      <c r="D1518" s="1"/>
      <c r="E1518" s="1"/>
      <c r="F1518" s="1"/>
    </row>
    <row r="1519" spans="1:6" ht="12.5">
      <c r="A1519" s="1"/>
      <c r="B1519" s="1"/>
      <c r="C1519" s="1"/>
      <c r="D1519" s="1"/>
      <c r="E1519" s="1"/>
      <c r="F1519" s="1"/>
    </row>
    <row r="1520" spans="1:6" ht="12.5">
      <c r="A1520" s="1"/>
      <c r="B1520" s="1"/>
      <c r="C1520" s="1"/>
      <c r="D1520" s="1"/>
      <c r="E1520" s="1"/>
      <c r="F1520" s="1"/>
    </row>
    <row r="1521" spans="1:6" ht="12.5">
      <c r="A1521" s="1"/>
      <c r="B1521" s="1"/>
      <c r="C1521" s="1"/>
      <c r="D1521" s="1"/>
      <c r="E1521" s="1"/>
      <c r="F1521" s="1"/>
    </row>
    <row r="1522" spans="1:6" ht="12.5">
      <c r="A1522" s="1"/>
      <c r="B1522" s="1"/>
      <c r="C1522" s="1"/>
      <c r="D1522" s="1"/>
      <c r="E1522" s="1"/>
      <c r="F1522" s="1"/>
    </row>
    <row r="1523" spans="1:6" ht="12.5">
      <c r="A1523" s="1"/>
      <c r="B1523" s="1"/>
      <c r="C1523" s="1"/>
      <c r="D1523" s="1"/>
      <c r="E1523" s="1"/>
      <c r="F1523" s="1"/>
    </row>
    <row r="1524" spans="1:6" ht="12.5">
      <c r="A1524" s="1"/>
      <c r="B1524" s="1"/>
      <c r="C1524" s="1"/>
      <c r="D1524" s="1"/>
      <c r="E1524" s="1"/>
      <c r="F1524" s="1"/>
    </row>
    <row r="1525" spans="1:6" ht="12.5">
      <c r="A1525" s="1"/>
      <c r="B1525" s="1"/>
      <c r="C1525" s="1"/>
      <c r="D1525" s="1"/>
      <c r="E1525" s="1"/>
      <c r="F1525" s="1"/>
    </row>
    <row r="1526" spans="1:6" ht="12.5">
      <c r="A1526" s="1"/>
      <c r="B1526" s="1"/>
      <c r="C1526" s="1"/>
      <c r="D1526" s="1"/>
      <c r="E1526" s="1"/>
      <c r="F1526" s="1"/>
    </row>
    <row r="1527" spans="1:6" ht="12.5">
      <c r="A1527" s="1"/>
      <c r="B1527" s="1"/>
      <c r="C1527" s="1"/>
      <c r="D1527" s="1"/>
      <c r="E1527" s="1"/>
      <c r="F1527" s="1"/>
    </row>
    <row r="1528" spans="1:6" ht="12.5">
      <c r="A1528" s="1"/>
      <c r="B1528" s="1"/>
      <c r="C1528" s="1"/>
      <c r="D1528" s="1"/>
      <c r="E1528" s="1"/>
      <c r="F1528" s="1"/>
    </row>
    <row r="1529" spans="1:6" ht="12.5">
      <c r="A1529" s="1"/>
      <c r="B1529" s="1"/>
      <c r="C1529" s="1"/>
      <c r="D1529" s="1"/>
      <c r="E1529" s="1"/>
      <c r="F1529" s="1"/>
    </row>
    <row r="1530" spans="1:6" ht="12.5">
      <c r="A1530" s="1"/>
      <c r="B1530" s="1"/>
      <c r="C1530" s="1"/>
      <c r="D1530" s="1"/>
      <c r="E1530" s="1"/>
      <c r="F1530" s="1"/>
    </row>
    <row r="1531" spans="1:6" ht="12.5">
      <c r="A1531" s="1"/>
      <c r="B1531" s="1"/>
      <c r="C1531" s="1"/>
      <c r="D1531" s="1"/>
      <c r="E1531" s="1"/>
      <c r="F1531" s="1"/>
    </row>
    <row r="1532" spans="1:6" ht="12.5">
      <c r="A1532" s="1"/>
      <c r="B1532" s="1"/>
      <c r="C1532" s="1"/>
      <c r="D1532" s="1"/>
      <c r="E1532" s="1"/>
      <c r="F1532" s="1"/>
    </row>
    <row r="1533" spans="1:6" ht="12.5">
      <c r="A1533" s="1"/>
      <c r="B1533" s="1"/>
      <c r="C1533" s="1"/>
      <c r="D1533" s="1"/>
      <c r="E1533" s="1"/>
      <c r="F1533" s="1"/>
    </row>
    <row r="1534" spans="1:6" ht="12.5">
      <c r="A1534" s="1"/>
      <c r="B1534" s="1"/>
      <c r="C1534" s="1"/>
      <c r="D1534" s="1"/>
      <c r="E1534" s="1"/>
      <c r="F1534" s="1"/>
    </row>
    <row r="1535" spans="1:6" ht="12.5">
      <c r="A1535" s="1"/>
      <c r="B1535" s="1"/>
      <c r="C1535" s="1"/>
      <c r="D1535" s="1"/>
      <c r="E1535" s="1"/>
      <c r="F1535" s="1"/>
    </row>
    <row r="1536" spans="1:6" ht="12.5">
      <c r="A1536" s="1"/>
      <c r="B1536" s="1"/>
      <c r="C1536" s="1"/>
      <c r="D1536" s="1"/>
      <c r="E1536" s="1"/>
      <c r="F1536" s="1"/>
    </row>
    <row r="1537" spans="1:6" ht="12.5">
      <c r="A1537" s="1"/>
      <c r="B1537" s="1"/>
      <c r="C1537" s="1"/>
      <c r="D1537" s="1"/>
      <c r="E1537" s="1"/>
      <c r="F1537" s="1"/>
    </row>
    <row r="1538" spans="1:6" ht="12.5">
      <c r="A1538" s="1"/>
      <c r="B1538" s="1"/>
      <c r="C1538" s="1"/>
      <c r="D1538" s="1"/>
      <c r="E1538" s="1"/>
      <c r="F1538" s="1"/>
    </row>
    <row r="1539" spans="1:6" ht="12.5">
      <c r="A1539" s="1"/>
      <c r="B1539" s="1"/>
      <c r="C1539" s="1"/>
      <c r="D1539" s="1"/>
      <c r="E1539" s="1"/>
      <c r="F1539" s="1"/>
    </row>
    <row r="1540" spans="1:6" ht="12.5">
      <c r="A1540" s="1"/>
      <c r="B1540" s="1"/>
      <c r="C1540" s="1"/>
      <c r="D1540" s="1"/>
      <c r="E1540" s="1"/>
      <c r="F1540" s="1"/>
    </row>
    <row r="1541" spans="1:6" ht="12.5">
      <c r="A1541" s="1"/>
      <c r="B1541" s="1"/>
      <c r="C1541" s="1"/>
      <c r="D1541" s="1"/>
      <c r="E1541" s="1"/>
      <c r="F1541" s="1"/>
    </row>
    <row r="1542" spans="1:6" ht="12.5">
      <c r="A1542" s="1"/>
      <c r="B1542" s="1"/>
      <c r="C1542" s="1"/>
      <c r="D1542" s="1"/>
      <c r="E1542" s="1"/>
      <c r="F1542" s="1"/>
    </row>
    <row r="1543" spans="1:6" ht="12.5">
      <c r="A1543" s="1"/>
      <c r="B1543" s="1"/>
      <c r="C1543" s="1"/>
      <c r="D1543" s="1"/>
      <c r="E1543" s="1"/>
      <c r="F1543" s="1"/>
    </row>
    <row r="1544" spans="1:6" ht="12.5">
      <c r="A1544" s="1"/>
      <c r="B1544" s="1"/>
      <c r="C1544" s="1"/>
      <c r="D1544" s="1"/>
      <c r="E1544" s="1"/>
      <c r="F1544" s="1"/>
    </row>
    <row r="1545" spans="1:6" ht="12.5">
      <c r="A1545" s="1"/>
      <c r="B1545" s="1"/>
      <c r="C1545" s="1"/>
      <c r="D1545" s="1"/>
      <c r="E1545" s="1"/>
      <c r="F1545" s="1"/>
    </row>
    <row r="1546" spans="1:6" ht="12.5">
      <c r="A1546" s="1"/>
      <c r="B1546" s="1"/>
      <c r="C1546" s="1"/>
      <c r="D1546" s="1"/>
      <c r="E1546" s="1"/>
      <c r="F1546" s="1"/>
    </row>
    <row r="1547" spans="1:6" ht="12.5">
      <c r="A1547" s="1"/>
      <c r="B1547" s="1"/>
      <c r="C1547" s="1"/>
      <c r="D1547" s="1"/>
      <c r="E1547" s="1"/>
      <c r="F1547" s="1"/>
    </row>
    <row r="1548" spans="1:6" ht="12.5">
      <c r="A1548" s="1"/>
      <c r="B1548" s="1"/>
      <c r="C1548" s="1"/>
      <c r="D1548" s="1"/>
      <c r="E1548" s="1"/>
      <c r="F1548" s="1"/>
    </row>
    <row r="1549" spans="1:6" ht="12.5">
      <c r="A1549" s="1"/>
      <c r="B1549" s="1"/>
      <c r="C1549" s="1"/>
      <c r="D1549" s="1"/>
      <c r="E1549" s="1"/>
      <c r="F1549" s="1"/>
    </row>
    <row r="1550" spans="1:6" ht="12.5">
      <c r="A1550" s="1"/>
      <c r="B1550" s="1"/>
      <c r="C1550" s="1"/>
      <c r="D1550" s="1"/>
      <c r="E1550" s="1"/>
      <c r="F1550" s="1"/>
    </row>
    <row r="1551" spans="1:6" ht="12.5">
      <c r="A1551" s="1"/>
      <c r="B1551" s="1"/>
      <c r="C1551" s="1"/>
      <c r="D1551" s="1"/>
      <c r="E1551" s="1"/>
      <c r="F1551" s="1"/>
    </row>
    <row r="1552" spans="1:6" ht="12.5">
      <c r="A1552" s="1"/>
      <c r="B1552" s="1"/>
      <c r="C1552" s="1"/>
      <c r="D1552" s="1"/>
      <c r="E1552" s="1"/>
      <c r="F1552" s="1"/>
    </row>
    <row r="1553" spans="1:6" ht="12.5">
      <c r="A1553" s="1"/>
      <c r="B1553" s="1"/>
      <c r="C1553" s="1"/>
      <c r="D1553" s="1"/>
      <c r="E1553" s="1"/>
      <c r="F1553" s="1"/>
    </row>
    <row r="1554" spans="1:6" ht="12.5">
      <c r="A1554" s="1"/>
      <c r="B1554" s="1"/>
      <c r="C1554" s="1"/>
      <c r="D1554" s="1"/>
      <c r="E1554" s="1"/>
      <c r="F1554" s="1"/>
    </row>
    <row r="1555" spans="1:6" ht="12.5">
      <c r="A1555" s="1"/>
      <c r="B1555" s="1"/>
      <c r="C1555" s="1"/>
      <c r="D1555" s="1"/>
      <c r="E1555" s="1"/>
      <c r="F1555" s="1"/>
    </row>
    <row r="1556" spans="1:6" ht="12.5">
      <c r="A1556" s="1"/>
      <c r="B1556" s="1"/>
      <c r="C1556" s="1"/>
      <c r="D1556" s="1"/>
      <c r="E1556" s="1"/>
      <c r="F1556" s="1"/>
    </row>
    <row r="1557" spans="1:6" ht="12.5">
      <c r="A1557" s="1"/>
      <c r="B1557" s="1"/>
      <c r="C1557" s="1"/>
      <c r="D1557" s="1"/>
      <c r="E1557" s="1"/>
      <c r="F1557" s="1"/>
    </row>
    <row r="1558" spans="1:6" ht="12.5">
      <c r="A1558" s="1"/>
      <c r="B1558" s="1"/>
      <c r="C1558" s="1"/>
      <c r="D1558" s="1"/>
      <c r="E1558" s="1"/>
      <c r="F1558" s="1"/>
    </row>
    <row r="1559" spans="1:6" ht="12.5">
      <c r="A1559" s="1"/>
      <c r="B1559" s="1"/>
      <c r="C1559" s="1"/>
      <c r="D1559" s="1"/>
      <c r="E1559" s="1"/>
      <c r="F1559" s="1"/>
    </row>
    <row r="1560" spans="1:6" ht="12.5">
      <c r="A1560" s="1"/>
      <c r="B1560" s="1"/>
      <c r="C1560" s="1"/>
      <c r="D1560" s="1"/>
      <c r="E1560" s="1"/>
      <c r="F1560" s="1"/>
    </row>
    <row r="1561" spans="1:6" ht="12.5">
      <c r="A1561" s="1"/>
      <c r="B1561" s="1"/>
      <c r="C1561" s="1"/>
      <c r="D1561" s="1"/>
      <c r="E1561" s="1"/>
      <c r="F1561" s="1"/>
    </row>
    <row r="1562" spans="1:6" ht="12.5">
      <c r="A1562" s="1"/>
      <c r="B1562" s="1"/>
      <c r="C1562" s="1"/>
      <c r="D1562" s="1"/>
      <c r="E1562" s="1"/>
      <c r="F1562" s="1"/>
    </row>
    <row r="1563" spans="1:6" ht="12.5">
      <c r="A1563" s="1"/>
      <c r="B1563" s="1"/>
      <c r="C1563" s="1"/>
      <c r="D1563" s="1"/>
      <c r="E1563" s="1"/>
      <c r="F1563" s="1"/>
    </row>
    <row r="1564" spans="1:6" ht="12.5">
      <c r="A1564" s="1"/>
      <c r="B1564" s="1"/>
      <c r="C1564" s="1"/>
      <c r="D1564" s="1"/>
      <c r="E1564" s="1"/>
      <c r="F1564" s="1"/>
    </row>
    <row r="1565" spans="1:6" ht="12.5">
      <c r="A1565" s="1"/>
      <c r="B1565" s="1"/>
      <c r="C1565" s="1"/>
      <c r="D1565" s="1"/>
      <c r="E1565" s="1"/>
      <c r="F1565" s="1"/>
    </row>
    <row r="1566" spans="1:6" ht="12.5">
      <c r="A1566" s="1"/>
      <c r="B1566" s="1"/>
      <c r="C1566" s="1"/>
      <c r="D1566" s="1"/>
      <c r="E1566" s="1"/>
      <c r="F1566" s="1"/>
    </row>
    <row r="1567" spans="1:6" ht="12.5">
      <c r="A1567" s="1"/>
      <c r="B1567" s="1"/>
      <c r="C1567" s="1"/>
      <c r="D1567" s="1"/>
      <c r="E1567" s="1"/>
      <c r="F1567" s="1"/>
    </row>
    <row r="1568" spans="1:6" ht="12.5">
      <c r="A1568" s="1"/>
      <c r="B1568" s="1"/>
      <c r="C1568" s="1"/>
      <c r="D1568" s="1"/>
      <c r="E1568" s="1"/>
      <c r="F1568" s="1"/>
    </row>
    <row r="1569" spans="1:6" ht="12.5">
      <c r="A1569" s="1"/>
      <c r="B1569" s="1"/>
      <c r="C1569" s="1"/>
      <c r="D1569" s="1"/>
      <c r="E1569" s="1"/>
      <c r="F1569" s="1"/>
    </row>
    <row r="1570" spans="1:6" ht="12.5">
      <c r="A1570" s="1"/>
      <c r="B1570" s="1"/>
      <c r="C1570" s="1"/>
      <c r="D1570" s="1"/>
      <c r="E1570" s="1"/>
      <c r="F1570" s="1"/>
    </row>
    <row r="1571" spans="1:6" ht="12.5">
      <c r="A1571" s="1"/>
      <c r="B1571" s="1"/>
      <c r="C1571" s="1"/>
      <c r="D1571" s="1"/>
      <c r="E1571" s="1"/>
      <c r="F1571" s="1"/>
    </row>
    <row r="1572" spans="1:6" ht="12.5">
      <c r="A1572" s="1"/>
      <c r="B1572" s="1"/>
      <c r="C1572" s="1"/>
      <c r="D1572" s="1"/>
      <c r="E1572" s="1"/>
      <c r="F1572" s="1"/>
    </row>
    <row r="1573" spans="1:6" ht="12.5">
      <c r="A1573" s="1"/>
      <c r="B1573" s="1"/>
      <c r="C1573" s="1"/>
      <c r="D1573" s="1"/>
      <c r="E1573" s="1"/>
      <c r="F1573" s="1"/>
    </row>
    <row r="1574" spans="1:6" ht="12.5">
      <c r="A1574" s="1"/>
      <c r="B1574" s="1"/>
      <c r="C1574" s="1"/>
      <c r="D1574" s="1"/>
      <c r="E1574" s="1"/>
      <c r="F1574" s="1"/>
    </row>
    <row r="1575" spans="1:6" ht="12.5">
      <c r="A1575" s="1"/>
      <c r="B1575" s="1"/>
      <c r="C1575" s="1"/>
      <c r="D1575" s="1"/>
      <c r="E1575" s="1"/>
      <c r="F1575" s="1"/>
    </row>
    <row r="1576" spans="1:6" ht="12.5">
      <c r="A1576" s="1"/>
      <c r="B1576" s="1"/>
      <c r="C1576" s="1"/>
      <c r="D1576" s="1"/>
      <c r="E1576" s="1"/>
      <c r="F1576" s="1"/>
    </row>
    <row r="1577" spans="1:6" ht="12.5">
      <c r="A1577" s="1"/>
      <c r="B1577" s="1"/>
      <c r="C1577" s="1"/>
      <c r="D1577" s="1"/>
      <c r="E1577" s="1"/>
      <c r="F1577" s="1"/>
    </row>
    <row r="1578" spans="1:6" ht="12.5">
      <c r="A1578" s="1"/>
      <c r="B1578" s="1"/>
      <c r="C1578" s="1"/>
      <c r="D1578" s="1"/>
      <c r="E1578" s="1"/>
      <c r="F1578" s="1"/>
    </row>
    <row r="1579" spans="1:6" ht="12.5">
      <c r="A1579" s="1"/>
      <c r="B1579" s="1"/>
      <c r="C1579" s="1"/>
      <c r="D1579" s="1"/>
      <c r="E1579" s="1"/>
      <c r="F1579" s="1"/>
    </row>
    <row r="1580" spans="1:6" ht="12.5">
      <c r="A1580" s="1"/>
      <c r="B1580" s="1"/>
      <c r="C1580" s="1"/>
      <c r="D1580" s="1"/>
      <c r="E1580" s="1"/>
      <c r="F1580" s="1"/>
    </row>
    <row r="1581" spans="1:6" ht="12.5">
      <c r="A1581" s="1"/>
      <c r="B1581" s="1"/>
      <c r="C1581" s="1"/>
      <c r="D1581" s="1"/>
      <c r="E1581" s="1"/>
      <c r="F1581" s="1"/>
    </row>
    <row r="1582" spans="1:6" ht="12.5">
      <c r="A1582" s="1"/>
      <c r="B1582" s="1"/>
      <c r="C1582" s="1"/>
      <c r="D1582" s="1"/>
      <c r="E1582" s="1"/>
      <c r="F1582" s="1"/>
    </row>
    <row r="1583" spans="1:6" ht="12.5">
      <c r="A1583" s="1"/>
      <c r="B1583" s="1"/>
      <c r="C1583" s="1"/>
      <c r="D1583" s="1"/>
      <c r="E1583" s="1"/>
      <c r="F1583" s="1"/>
    </row>
    <row r="1584" spans="1:6" ht="12.5">
      <c r="A1584" s="1"/>
      <c r="B1584" s="1"/>
      <c r="C1584" s="1"/>
      <c r="D1584" s="1"/>
      <c r="E1584" s="1"/>
      <c r="F1584" s="1"/>
    </row>
    <row r="1585" spans="1:6" ht="12.5">
      <c r="A1585" s="1"/>
      <c r="B1585" s="1"/>
      <c r="C1585" s="1"/>
      <c r="D1585" s="1"/>
      <c r="E1585" s="1"/>
      <c r="F1585" s="1"/>
    </row>
    <row r="1586" spans="1:6" ht="12.5">
      <c r="A1586" s="1"/>
      <c r="B1586" s="1"/>
      <c r="C1586" s="1"/>
      <c r="D1586" s="1"/>
      <c r="E1586" s="1"/>
      <c r="F1586" s="1"/>
    </row>
    <row r="1587" spans="1:6" ht="12.5">
      <c r="A1587" s="1"/>
      <c r="B1587" s="1"/>
      <c r="C1587" s="1"/>
      <c r="D1587" s="1"/>
      <c r="E1587" s="1"/>
      <c r="F1587" s="1"/>
    </row>
    <row r="1588" spans="1:6" ht="12.5">
      <c r="A1588" s="1"/>
      <c r="B1588" s="1"/>
      <c r="C1588" s="1"/>
      <c r="D1588" s="1"/>
      <c r="E1588" s="1"/>
      <c r="F1588" s="1"/>
    </row>
    <row r="1589" spans="1:6" ht="12.5">
      <c r="A1589" s="1"/>
      <c r="B1589" s="1"/>
      <c r="C1589" s="1"/>
      <c r="D1589" s="1"/>
      <c r="E1589" s="1"/>
      <c r="F1589" s="1"/>
    </row>
    <row r="1590" spans="1:6" ht="12.5">
      <c r="A1590" s="1"/>
      <c r="B1590" s="1"/>
      <c r="C1590" s="1"/>
      <c r="D1590" s="1"/>
      <c r="E1590" s="1"/>
      <c r="F1590" s="1"/>
    </row>
    <row r="1591" spans="1:6" ht="12.5">
      <c r="A1591" s="1"/>
      <c r="B1591" s="1"/>
      <c r="C1591" s="1"/>
      <c r="D1591" s="1"/>
      <c r="E1591" s="1"/>
      <c r="F1591" s="1"/>
    </row>
    <row r="1592" spans="1:6" ht="12.5">
      <c r="A1592" s="1"/>
      <c r="B1592" s="1"/>
      <c r="C1592" s="1"/>
      <c r="D1592" s="1"/>
      <c r="E1592" s="1"/>
      <c r="F1592" s="1"/>
    </row>
    <row r="1593" spans="1:6" ht="12.5">
      <c r="A1593" s="1"/>
      <c r="B1593" s="1"/>
      <c r="C1593" s="1"/>
      <c r="D1593" s="1"/>
      <c r="E1593" s="1"/>
      <c r="F1593" s="1"/>
    </row>
    <row r="1594" spans="1:6" ht="12.5">
      <c r="A1594" s="1"/>
      <c r="B1594" s="1"/>
      <c r="C1594" s="1"/>
      <c r="D1594" s="1"/>
      <c r="E1594" s="1"/>
      <c r="F1594" s="1"/>
    </row>
    <row r="1595" spans="1:6" ht="12.5">
      <c r="A1595" s="1"/>
      <c r="B1595" s="1"/>
      <c r="C1595" s="1"/>
      <c r="D1595" s="1"/>
      <c r="E1595" s="1"/>
      <c r="F1595" s="1"/>
    </row>
    <row r="1596" spans="1:6" ht="12.5">
      <c r="A1596" s="1"/>
      <c r="B1596" s="1"/>
      <c r="C1596" s="1"/>
      <c r="D1596" s="1"/>
      <c r="E1596" s="1"/>
      <c r="F1596" s="1"/>
    </row>
    <row r="1597" spans="1:6" ht="12.5">
      <c r="A1597" s="1"/>
      <c r="B1597" s="1"/>
      <c r="C1597" s="1"/>
      <c r="D1597" s="1"/>
      <c r="E1597" s="1"/>
      <c r="F1597" s="1"/>
    </row>
    <row r="1598" spans="1:6" ht="12.5">
      <c r="A1598" s="1"/>
      <c r="B1598" s="1"/>
      <c r="C1598" s="1"/>
      <c r="D1598" s="1"/>
      <c r="E1598" s="1"/>
      <c r="F1598" s="1"/>
    </row>
    <row r="1599" spans="1:6" ht="12.5">
      <c r="A1599" s="1"/>
      <c r="B1599" s="1"/>
      <c r="C1599" s="1"/>
      <c r="D1599" s="1"/>
      <c r="E1599" s="1"/>
      <c r="F1599" s="1"/>
    </row>
    <row r="1600" spans="1:6" ht="12.5">
      <c r="A1600" s="1"/>
      <c r="B1600" s="1"/>
      <c r="C1600" s="1"/>
      <c r="D1600" s="1"/>
      <c r="E1600" s="1"/>
      <c r="F1600" s="1"/>
    </row>
    <row r="1601" spans="1:6" ht="12.5">
      <c r="A1601" s="1"/>
      <c r="B1601" s="1"/>
      <c r="C1601" s="1"/>
      <c r="D1601" s="1"/>
      <c r="E1601" s="1"/>
      <c r="F1601" s="1"/>
    </row>
    <row r="1602" spans="1:6" ht="12.5">
      <c r="A1602" s="1"/>
      <c r="B1602" s="1"/>
      <c r="C1602" s="1"/>
      <c r="D1602" s="1"/>
      <c r="E1602" s="1"/>
      <c r="F1602" s="1"/>
    </row>
    <row r="1603" spans="1:6" ht="12.5">
      <c r="A1603" s="1"/>
      <c r="B1603" s="1"/>
      <c r="C1603" s="1"/>
      <c r="D1603" s="1"/>
      <c r="E1603" s="1"/>
      <c r="F1603" s="1"/>
    </row>
    <row r="1604" spans="1:6" ht="12.5">
      <c r="A1604" s="1"/>
      <c r="B1604" s="1"/>
      <c r="C1604" s="1"/>
      <c r="D1604" s="1"/>
      <c r="E1604" s="1"/>
      <c r="F1604" s="1"/>
    </row>
    <row r="1605" spans="1:6" ht="12.5">
      <c r="A1605" s="1"/>
      <c r="B1605" s="1"/>
      <c r="C1605" s="1"/>
      <c r="D1605" s="1"/>
      <c r="E1605" s="1"/>
      <c r="F1605" s="1"/>
    </row>
    <row r="1606" spans="1:6" ht="12.5">
      <c r="A1606" s="1"/>
      <c r="B1606" s="1"/>
      <c r="C1606" s="1"/>
      <c r="D1606" s="1"/>
      <c r="E1606" s="1"/>
      <c r="F1606" s="1"/>
    </row>
    <row r="1607" spans="1:6" ht="12.5">
      <c r="A1607" s="1"/>
      <c r="B1607" s="1"/>
      <c r="C1607" s="1"/>
      <c r="D1607" s="1"/>
      <c r="E1607" s="1"/>
      <c r="F1607" s="1"/>
    </row>
    <row r="1608" spans="1:6" ht="12.5">
      <c r="A1608" s="1"/>
      <c r="B1608" s="1"/>
      <c r="C1608" s="1"/>
      <c r="D1608" s="1"/>
      <c r="E1608" s="1"/>
      <c r="F1608" s="1"/>
    </row>
    <row r="1609" spans="1:6" ht="12.5">
      <c r="A1609" s="1"/>
      <c r="B1609" s="1"/>
      <c r="C1609" s="1"/>
      <c r="D1609" s="1"/>
      <c r="E1609" s="1"/>
      <c r="F1609" s="1"/>
    </row>
    <row r="1610" spans="1:6" ht="12.5">
      <c r="A1610" s="1"/>
      <c r="B1610" s="1"/>
      <c r="C1610" s="1"/>
      <c r="D1610" s="1"/>
      <c r="E1610" s="1"/>
      <c r="F1610" s="1"/>
    </row>
    <row r="1611" spans="1:6" ht="12.5">
      <c r="A1611" s="1"/>
      <c r="B1611" s="1"/>
      <c r="C1611" s="1"/>
      <c r="D1611" s="1"/>
      <c r="E1611" s="1"/>
      <c r="F1611" s="1"/>
    </row>
    <row r="1612" spans="1:6" ht="12.5">
      <c r="A1612" s="1"/>
      <c r="B1612" s="1"/>
      <c r="C1612" s="1"/>
      <c r="D1612" s="1"/>
      <c r="E1612" s="1"/>
      <c r="F1612" s="1"/>
    </row>
    <row r="1613" spans="1:6" ht="12.5">
      <c r="A1613" s="1"/>
      <c r="B1613" s="1"/>
      <c r="C1613" s="1"/>
      <c r="D1613" s="1"/>
      <c r="E1613" s="1"/>
      <c r="F1613" s="1"/>
    </row>
    <row r="1614" spans="1:6" ht="12.5">
      <c r="A1614" s="1"/>
      <c r="B1614" s="1"/>
      <c r="C1614" s="1"/>
      <c r="D1614" s="1"/>
      <c r="E1614" s="1"/>
      <c r="F1614" s="1"/>
    </row>
    <row r="1615" spans="1:6" ht="12.5">
      <c r="A1615" s="1"/>
      <c r="B1615" s="1"/>
      <c r="C1615" s="1"/>
      <c r="D1615" s="1"/>
      <c r="E1615" s="1"/>
      <c r="F1615" s="1"/>
    </row>
    <row r="1616" spans="1:6" ht="12.5">
      <c r="A1616" s="1"/>
      <c r="B1616" s="1"/>
      <c r="C1616" s="1"/>
      <c r="D1616" s="1"/>
      <c r="E1616" s="1"/>
      <c r="F1616" s="1"/>
    </row>
    <row r="1617" spans="1:6" ht="12.5">
      <c r="A1617" s="1"/>
      <c r="B1617" s="1"/>
      <c r="C1617" s="1"/>
      <c r="D1617" s="1"/>
      <c r="E1617" s="1"/>
      <c r="F1617" s="1"/>
    </row>
    <row r="1618" spans="1:6" ht="12.5">
      <c r="A1618" s="1"/>
      <c r="B1618" s="1"/>
      <c r="C1618" s="1"/>
      <c r="D1618" s="1"/>
      <c r="E1618" s="1"/>
      <c r="F1618" s="1"/>
    </row>
    <row r="1619" spans="1:6" ht="12.5">
      <c r="A1619" s="1"/>
      <c r="B1619" s="1"/>
      <c r="C1619" s="1"/>
      <c r="D1619" s="1"/>
      <c r="E1619" s="1"/>
      <c r="F1619" s="1"/>
    </row>
    <row r="1620" spans="1:6" ht="12.5">
      <c r="A1620" s="1"/>
      <c r="B1620" s="1"/>
      <c r="C1620" s="1"/>
      <c r="D1620" s="1"/>
      <c r="E1620" s="1"/>
      <c r="F1620" s="1"/>
    </row>
    <row r="1621" spans="1:6" ht="12.5">
      <c r="A1621" s="1"/>
      <c r="B1621" s="1"/>
      <c r="C1621" s="1"/>
      <c r="D1621" s="1"/>
      <c r="E1621" s="1"/>
      <c r="F1621" s="1"/>
    </row>
    <row r="1622" spans="1:6" ht="12.5">
      <c r="A1622" s="1"/>
      <c r="B1622" s="1"/>
      <c r="C1622" s="1"/>
      <c r="D1622" s="1"/>
      <c r="E1622" s="1"/>
      <c r="F1622" s="1"/>
    </row>
    <row r="1623" spans="1:6" ht="12.5">
      <c r="A1623" s="1"/>
      <c r="B1623" s="1"/>
      <c r="C1623" s="1"/>
      <c r="D1623" s="1"/>
      <c r="E1623" s="1"/>
      <c r="F1623" s="1"/>
    </row>
    <row r="1624" spans="1:6" ht="12.5">
      <c r="A1624" s="1"/>
      <c r="B1624" s="1"/>
      <c r="C1624" s="1"/>
      <c r="D1624" s="1"/>
      <c r="E1624" s="1"/>
      <c r="F1624" s="1"/>
    </row>
    <row r="1625" spans="1:6" ht="12.5">
      <c r="A1625" s="1"/>
      <c r="B1625" s="1"/>
      <c r="C1625" s="1"/>
      <c r="D1625" s="1"/>
      <c r="E1625" s="1"/>
      <c r="F1625" s="1"/>
    </row>
    <row r="1626" spans="1:6" ht="12.5">
      <c r="A1626" s="1"/>
      <c r="B1626" s="1"/>
      <c r="C1626" s="1"/>
      <c r="D1626" s="1"/>
      <c r="E1626" s="1"/>
      <c r="F1626" s="1"/>
    </row>
    <row r="1627" spans="1:6" ht="12.5">
      <c r="A1627" s="1"/>
      <c r="B1627" s="1"/>
      <c r="C1627" s="1"/>
      <c r="D1627" s="1"/>
      <c r="E1627" s="1"/>
      <c r="F1627" s="1"/>
    </row>
    <row r="1628" spans="1:6" ht="12.5">
      <c r="A1628" s="1"/>
      <c r="B1628" s="1"/>
      <c r="C1628" s="1"/>
      <c r="D1628" s="1"/>
      <c r="E1628" s="1"/>
      <c r="F1628" s="1"/>
    </row>
    <row r="1629" spans="1:6" ht="12.5">
      <c r="A1629" s="1"/>
      <c r="B1629" s="1"/>
      <c r="C1629" s="1"/>
      <c r="D1629" s="1"/>
      <c r="E1629" s="1"/>
      <c r="F1629" s="1"/>
    </row>
    <row r="1630" spans="1:6" ht="12.5">
      <c r="A1630" s="1"/>
      <c r="B1630" s="1"/>
      <c r="C1630" s="1"/>
      <c r="D1630" s="1"/>
      <c r="E1630" s="1"/>
      <c r="F1630" s="1"/>
    </row>
    <row r="1631" spans="1:6" ht="12.5">
      <c r="A1631" s="1"/>
      <c r="B1631" s="1"/>
      <c r="C1631" s="1"/>
      <c r="D1631" s="1"/>
      <c r="E1631" s="1"/>
      <c r="F1631" s="1"/>
    </row>
    <row r="1632" spans="1:6" ht="12.5">
      <c r="A1632" s="1"/>
      <c r="B1632" s="1"/>
      <c r="C1632" s="1"/>
      <c r="D1632" s="1"/>
      <c r="E1632" s="1"/>
      <c r="F1632" s="1"/>
    </row>
    <row r="1633" spans="1:6" ht="12.5">
      <c r="A1633" s="1"/>
      <c r="B1633" s="1"/>
      <c r="C1633" s="1"/>
      <c r="D1633" s="1"/>
      <c r="E1633" s="1"/>
      <c r="F1633" s="1"/>
    </row>
    <row r="1634" spans="1:6" ht="12.5">
      <c r="A1634" s="1"/>
      <c r="B1634" s="1"/>
      <c r="C1634" s="1"/>
      <c r="D1634" s="1"/>
      <c r="E1634" s="1"/>
      <c r="F1634" s="1"/>
    </row>
    <row r="1635" spans="1:6" ht="12.5">
      <c r="A1635" s="1"/>
      <c r="B1635" s="1"/>
      <c r="C1635" s="1"/>
      <c r="D1635" s="1"/>
      <c r="E1635" s="1"/>
      <c r="F1635" s="1"/>
    </row>
    <row r="1636" spans="1:6" ht="12.5">
      <c r="A1636" s="1"/>
      <c r="B1636" s="1"/>
      <c r="C1636" s="1"/>
      <c r="D1636" s="1"/>
      <c r="E1636" s="1"/>
      <c r="F1636" s="1"/>
    </row>
    <row r="1637" spans="1:6" ht="12.5">
      <c r="A1637" s="1"/>
      <c r="B1637" s="1"/>
      <c r="C1637" s="1"/>
      <c r="D1637" s="1"/>
      <c r="E1637" s="1"/>
      <c r="F1637" s="1"/>
    </row>
    <row r="1638" spans="1:6" ht="12.5">
      <c r="A1638" s="1"/>
      <c r="B1638" s="1"/>
      <c r="C1638" s="1"/>
      <c r="D1638" s="1"/>
      <c r="E1638" s="1"/>
      <c r="F1638" s="1"/>
    </row>
    <row r="1639" spans="1:6" ht="12.5">
      <c r="A1639" s="1"/>
      <c r="B1639" s="1"/>
      <c r="C1639" s="1"/>
      <c r="D1639" s="1"/>
      <c r="E1639" s="1"/>
      <c r="F1639" s="1"/>
    </row>
    <row r="1640" spans="1:6" ht="12.5">
      <c r="A1640" s="1"/>
      <c r="B1640" s="1"/>
      <c r="C1640" s="1"/>
      <c r="D1640" s="1"/>
      <c r="E1640" s="1"/>
      <c r="F1640" s="1"/>
    </row>
    <row r="1641" spans="1:6" ht="12.5">
      <c r="A1641" s="1"/>
      <c r="B1641" s="1"/>
      <c r="C1641" s="1"/>
      <c r="D1641" s="1"/>
      <c r="E1641" s="1"/>
      <c r="F1641" s="1"/>
    </row>
    <row r="1642" spans="1:6" ht="12.5">
      <c r="A1642" s="1"/>
      <c r="B1642" s="1"/>
      <c r="C1642" s="1"/>
      <c r="D1642" s="1"/>
      <c r="E1642" s="1"/>
      <c r="F1642" s="1"/>
    </row>
    <row r="1643" spans="1:6" ht="12.5">
      <c r="A1643" s="1"/>
      <c r="B1643" s="1"/>
      <c r="C1643" s="1"/>
      <c r="D1643" s="1"/>
      <c r="E1643" s="1"/>
      <c r="F1643" s="1"/>
    </row>
    <row r="1644" spans="1:6" ht="12.5">
      <c r="A1644" s="1"/>
      <c r="B1644" s="1"/>
      <c r="C1644" s="1"/>
      <c r="D1644" s="1"/>
      <c r="E1644" s="1"/>
      <c r="F1644" s="1"/>
    </row>
    <row r="1645" spans="1:6" ht="12.5">
      <c r="A1645" s="1"/>
      <c r="B1645" s="1"/>
      <c r="C1645" s="1"/>
      <c r="D1645" s="1"/>
      <c r="E1645" s="1"/>
      <c r="F1645" s="1"/>
    </row>
    <row r="1646" spans="1:6" ht="12.5">
      <c r="A1646" s="1"/>
      <c r="B1646" s="1"/>
      <c r="C1646" s="1"/>
      <c r="D1646" s="1"/>
      <c r="E1646" s="1"/>
      <c r="F1646" s="1"/>
    </row>
    <row r="1647" spans="1:6" ht="12.5">
      <c r="A1647" s="1"/>
      <c r="B1647" s="1"/>
      <c r="C1647" s="1"/>
      <c r="D1647" s="1"/>
      <c r="E1647" s="1"/>
      <c r="F1647" s="1"/>
    </row>
    <row r="1648" spans="1:6" ht="12.5">
      <c r="A1648" s="1"/>
      <c r="B1648" s="1"/>
      <c r="C1648" s="1"/>
      <c r="D1648" s="1"/>
      <c r="E1648" s="1"/>
      <c r="F1648" s="1"/>
    </row>
    <row r="1649" spans="1:6" ht="12.5">
      <c r="A1649" s="1"/>
      <c r="B1649" s="1"/>
      <c r="C1649" s="1"/>
      <c r="D1649" s="1"/>
      <c r="E1649" s="1"/>
      <c r="F1649" s="1"/>
    </row>
    <row r="1650" spans="1:6" ht="12.5">
      <c r="A1650" s="1"/>
      <c r="B1650" s="1"/>
      <c r="C1650" s="1"/>
      <c r="D1650" s="1"/>
      <c r="E1650" s="1"/>
      <c r="F1650" s="1"/>
    </row>
    <row r="1651" spans="1:6" ht="12.5">
      <c r="A1651" s="1"/>
      <c r="B1651" s="1"/>
      <c r="C1651" s="1"/>
      <c r="D1651" s="1"/>
      <c r="E1651" s="1"/>
      <c r="F1651" s="1"/>
    </row>
    <row r="1652" spans="1:6" ht="12.5">
      <c r="A1652" s="1"/>
      <c r="B1652" s="1"/>
      <c r="C1652" s="1"/>
      <c r="D1652" s="1"/>
      <c r="E1652" s="1"/>
      <c r="F1652" s="1"/>
    </row>
    <row r="1653" spans="1:6" ht="12.5">
      <c r="A1653" s="1"/>
      <c r="B1653" s="1"/>
      <c r="C1653" s="1"/>
      <c r="D1653" s="1"/>
      <c r="E1653" s="1"/>
      <c r="F1653" s="1"/>
    </row>
    <row r="1654" spans="1:6" ht="12.5">
      <c r="A1654" s="1"/>
      <c r="B1654" s="1"/>
      <c r="C1654" s="1"/>
      <c r="D1654" s="1"/>
      <c r="E1654" s="1"/>
      <c r="F1654" s="1"/>
    </row>
    <row r="1655" spans="1:6" ht="12.5">
      <c r="A1655" s="1"/>
      <c r="B1655" s="1"/>
      <c r="C1655" s="1"/>
      <c r="D1655" s="1"/>
      <c r="E1655" s="1"/>
      <c r="F1655" s="1"/>
    </row>
    <row r="1656" spans="1:6" ht="12.5">
      <c r="A1656" s="1"/>
      <c r="B1656" s="1"/>
      <c r="C1656" s="1"/>
      <c r="D1656" s="1"/>
      <c r="E1656" s="1"/>
      <c r="F1656" s="1"/>
    </row>
    <row r="1657" spans="1:6" ht="12.5">
      <c r="A1657" s="1"/>
      <c r="B1657" s="1"/>
      <c r="C1657" s="1"/>
      <c r="D1657" s="1"/>
      <c r="E1657" s="1"/>
      <c r="F1657" s="1"/>
    </row>
    <row r="1658" spans="1:6" ht="12.5">
      <c r="A1658" s="1"/>
      <c r="B1658" s="1"/>
      <c r="C1658" s="1"/>
      <c r="D1658" s="1"/>
      <c r="E1658" s="1"/>
      <c r="F1658" s="1"/>
    </row>
    <row r="1659" spans="1:6" ht="12.5">
      <c r="A1659" s="1"/>
      <c r="B1659" s="1"/>
      <c r="C1659" s="1"/>
      <c r="D1659" s="1"/>
      <c r="E1659" s="1"/>
      <c r="F1659" s="1"/>
    </row>
    <row r="1660" spans="1:6" ht="12.5">
      <c r="A1660" s="1"/>
      <c r="B1660" s="1"/>
      <c r="C1660" s="1"/>
      <c r="D1660" s="1"/>
      <c r="E1660" s="1"/>
      <c r="F1660" s="1"/>
    </row>
    <row r="1661" spans="1:6" ht="12.5">
      <c r="A1661" s="1"/>
      <c r="B1661" s="1"/>
      <c r="C1661" s="1"/>
      <c r="D1661" s="1"/>
      <c r="E1661" s="1"/>
      <c r="F1661" s="1"/>
    </row>
    <row r="1662" spans="1:6" ht="12.5">
      <c r="A1662" s="1"/>
      <c r="B1662" s="1"/>
      <c r="C1662" s="1"/>
      <c r="D1662" s="1"/>
      <c r="E1662" s="1"/>
      <c r="F1662" s="1"/>
    </row>
    <row r="1663" spans="1:6" ht="12.5">
      <c r="A1663" s="1"/>
      <c r="B1663" s="1"/>
      <c r="C1663" s="1"/>
      <c r="D1663" s="1"/>
      <c r="E1663" s="1"/>
      <c r="F1663" s="1"/>
    </row>
    <row r="1664" spans="1:6" ht="12.5">
      <c r="A1664" s="1"/>
      <c r="B1664" s="1"/>
      <c r="C1664" s="1"/>
      <c r="D1664" s="1"/>
      <c r="E1664" s="1"/>
      <c r="F1664" s="1"/>
    </row>
    <row r="1665" spans="1:6" ht="12.5">
      <c r="A1665" s="1"/>
      <c r="B1665" s="1"/>
      <c r="C1665" s="1"/>
      <c r="D1665" s="1"/>
      <c r="E1665" s="1"/>
      <c r="F1665" s="1"/>
    </row>
    <row r="1666" spans="1:6" ht="12.5">
      <c r="A1666" s="1"/>
      <c r="B1666" s="1"/>
      <c r="C1666" s="1"/>
      <c r="D1666" s="1"/>
      <c r="E1666" s="1"/>
      <c r="F1666" s="1"/>
    </row>
    <row r="1667" spans="1:6" ht="12.5">
      <c r="A1667" s="1"/>
      <c r="B1667" s="1"/>
      <c r="C1667" s="1"/>
      <c r="D1667" s="1"/>
      <c r="E1667" s="1"/>
      <c r="F1667" s="1"/>
    </row>
    <row r="1668" spans="1:6" ht="12.5">
      <c r="A1668" s="1"/>
      <c r="B1668" s="1"/>
      <c r="C1668" s="1"/>
      <c r="D1668" s="1"/>
      <c r="E1668" s="1"/>
      <c r="F1668" s="1"/>
    </row>
    <row r="1669" spans="1:6" ht="12.5">
      <c r="A1669" s="1"/>
      <c r="B1669" s="1"/>
      <c r="C1669" s="1"/>
      <c r="D1669" s="1"/>
      <c r="E1669" s="1"/>
      <c r="F1669" s="1"/>
    </row>
    <row r="1670" spans="1:6" ht="12.5">
      <c r="A1670" s="1"/>
      <c r="B1670" s="1"/>
      <c r="C1670" s="1"/>
      <c r="D1670" s="1"/>
      <c r="E1670" s="1"/>
      <c r="F1670" s="1"/>
    </row>
    <row r="1671" spans="1:6" ht="12.5">
      <c r="A1671" s="1"/>
      <c r="B1671" s="1"/>
      <c r="C1671" s="1"/>
      <c r="D1671" s="1"/>
      <c r="E1671" s="1"/>
      <c r="F1671" s="1"/>
    </row>
    <row r="1672" spans="1:6" ht="12.5">
      <c r="A1672" s="1"/>
      <c r="B1672" s="1"/>
      <c r="C1672" s="1"/>
      <c r="D1672" s="1"/>
      <c r="E1672" s="1"/>
      <c r="F1672" s="1"/>
    </row>
    <row r="1673" spans="1:6" ht="12.5">
      <c r="A1673" s="1"/>
      <c r="B1673" s="1"/>
      <c r="C1673" s="1"/>
      <c r="D1673" s="1"/>
      <c r="E1673" s="1"/>
      <c r="F1673" s="1"/>
    </row>
    <row r="1674" spans="1:6" ht="12.5">
      <c r="A1674" s="1"/>
      <c r="B1674" s="1"/>
      <c r="C1674" s="1"/>
      <c r="D1674" s="1"/>
      <c r="E1674" s="1"/>
      <c r="F1674" s="1"/>
    </row>
    <row r="1675" spans="1:6" ht="12.5">
      <c r="A1675" s="1"/>
      <c r="B1675" s="1"/>
      <c r="C1675" s="1"/>
      <c r="D1675" s="1"/>
      <c r="E1675" s="1"/>
      <c r="F1675" s="1"/>
    </row>
    <row r="1676" spans="1:6" ht="12.5">
      <c r="A1676" s="1"/>
      <c r="B1676" s="1"/>
      <c r="C1676" s="1"/>
      <c r="D1676" s="1"/>
      <c r="E1676" s="1"/>
      <c r="F1676" s="1"/>
    </row>
    <row r="1677" spans="1:6" ht="12.5">
      <c r="A1677" s="1"/>
      <c r="B1677" s="1"/>
      <c r="C1677" s="1"/>
      <c r="D1677" s="1"/>
      <c r="E1677" s="1"/>
      <c r="F1677" s="1"/>
    </row>
    <row r="1678" spans="1:6" ht="12.5">
      <c r="A1678" s="1"/>
      <c r="B1678" s="1"/>
      <c r="C1678" s="1"/>
      <c r="D1678" s="1"/>
      <c r="E1678" s="1"/>
      <c r="F1678" s="1"/>
    </row>
    <row r="1679" spans="1:6" ht="12.5">
      <c r="A1679" s="1"/>
      <c r="B1679" s="1"/>
      <c r="C1679" s="1"/>
      <c r="D1679" s="1"/>
      <c r="E1679" s="1"/>
      <c r="F1679" s="1"/>
    </row>
    <row r="1680" spans="1:6" ht="12.5">
      <c r="A1680" s="1"/>
      <c r="B1680" s="1"/>
      <c r="C1680" s="1"/>
      <c r="D1680" s="1"/>
      <c r="E1680" s="1"/>
      <c r="F1680" s="1"/>
    </row>
    <row r="1681" spans="1:6" ht="12.5">
      <c r="A1681" s="1"/>
      <c r="B1681" s="1"/>
      <c r="C1681" s="1"/>
      <c r="D1681" s="1"/>
      <c r="E1681" s="1"/>
      <c r="F1681" s="1"/>
    </row>
    <row r="1682" spans="1:6" ht="12.5">
      <c r="A1682" s="1"/>
      <c r="B1682" s="1"/>
      <c r="C1682" s="1"/>
      <c r="D1682" s="1"/>
      <c r="E1682" s="1"/>
      <c r="F1682" s="1"/>
    </row>
    <row r="1683" spans="1:6" ht="12.5">
      <c r="A1683" s="1"/>
      <c r="B1683" s="1"/>
      <c r="C1683" s="1"/>
      <c r="D1683" s="1"/>
      <c r="E1683" s="1"/>
      <c r="F1683" s="1"/>
    </row>
    <row r="1684" spans="1:6" ht="12.5">
      <c r="A1684" s="1"/>
      <c r="B1684" s="1"/>
      <c r="C1684" s="1"/>
      <c r="D1684" s="1"/>
      <c r="E1684" s="1"/>
      <c r="F1684" s="1"/>
    </row>
    <row r="1685" spans="1:6" ht="12.5">
      <c r="A1685" s="1"/>
      <c r="B1685" s="1"/>
      <c r="C1685" s="1"/>
      <c r="D1685" s="1"/>
      <c r="E1685" s="1"/>
      <c r="F1685" s="1"/>
    </row>
    <row r="1686" spans="1:6" ht="12.5">
      <c r="A1686" s="1"/>
      <c r="B1686" s="1"/>
      <c r="C1686" s="1"/>
      <c r="D1686" s="1"/>
      <c r="E1686" s="1"/>
      <c r="F1686" s="1"/>
    </row>
    <row r="1687" spans="1:6" ht="12.5">
      <c r="A1687" s="1"/>
      <c r="B1687" s="1"/>
      <c r="C1687" s="1"/>
      <c r="D1687" s="1"/>
      <c r="E1687" s="1"/>
      <c r="F1687" s="1"/>
    </row>
    <row r="1688" spans="1:6" ht="12.5">
      <c r="A1688" s="1"/>
      <c r="B1688" s="1"/>
      <c r="C1688" s="1"/>
      <c r="D1688" s="1"/>
      <c r="E1688" s="1"/>
      <c r="F1688" s="1"/>
    </row>
    <row r="1689" spans="1:6" ht="12.5">
      <c r="A1689" s="1"/>
      <c r="B1689" s="1"/>
      <c r="C1689" s="1"/>
      <c r="D1689" s="1"/>
      <c r="E1689" s="1"/>
      <c r="F1689" s="1"/>
    </row>
    <row r="1690" spans="1:6" ht="12.5">
      <c r="A1690" s="1"/>
      <c r="B1690" s="1"/>
      <c r="C1690" s="1"/>
      <c r="D1690" s="1"/>
      <c r="E1690" s="1"/>
      <c r="F1690" s="1"/>
    </row>
    <row r="1691" spans="1:6" ht="12.5">
      <c r="A1691" s="1"/>
      <c r="B1691" s="1"/>
      <c r="C1691" s="1"/>
      <c r="D1691" s="1"/>
      <c r="E1691" s="1"/>
      <c r="F1691" s="1"/>
    </row>
    <row r="1692" spans="1:6" ht="12.5">
      <c r="A1692" s="1"/>
      <c r="B1692" s="1"/>
      <c r="C1692" s="1"/>
      <c r="D1692" s="1"/>
      <c r="E1692" s="1"/>
      <c r="F1692" s="1"/>
    </row>
    <row r="1693" spans="1:6" ht="12.5">
      <c r="A1693" s="1"/>
      <c r="B1693" s="1"/>
      <c r="C1693" s="1"/>
      <c r="D1693" s="1"/>
      <c r="E1693" s="1"/>
      <c r="F1693" s="1"/>
    </row>
    <row r="1694" spans="1:6" ht="12.5">
      <c r="A1694" s="1"/>
      <c r="B1694" s="1"/>
      <c r="C1694" s="1"/>
      <c r="D1694" s="1"/>
      <c r="E1694" s="1"/>
      <c r="F1694" s="1"/>
    </row>
    <row r="1695" spans="1:6" ht="12.5">
      <c r="A1695" s="1"/>
      <c r="B1695" s="1"/>
      <c r="C1695" s="1"/>
      <c r="D1695" s="1"/>
      <c r="E1695" s="1"/>
      <c r="F1695" s="1"/>
    </row>
    <row r="1696" spans="1:6" ht="12.5">
      <c r="A1696" s="1"/>
      <c r="B1696" s="1"/>
      <c r="C1696" s="1"/>
      <c r="D1696" s="1"/>
      <c r="E1696" s="1"/>
      <c r="F1696" s="1"/>
    </row>
    <row r="1697" spans="1:6" ht="12.5">
      <c r="A1697" s="1"/>
      <c r="B1697" s="1"/>
      <c r="C1697" s="1"/>
      <c r="D1697" s="1"/>
      <c r="E1697" s="1"/>
      <c r="F1697" s="1"/>
    </row>
    <row r="1698" spans="1:6" ht="12.5">
      <c r="A1698" s="1"/>
      <c r="B1698" s="1"/>
      <c r="C1698" s="1"/>
      <c r="D1698" s="1"/>
      <c r="E1698" s="1"/>
      <c r="F1698" s="1"/>
    </row>
    <row r="1699" spans="1:6" ht="12.5">
      <c r="A1699" s="1"/>
      <c r="B1699" s="1"/>
      <c r="C1699" s="1"/>
      <c r="D1699" s="1"/>
      <c r="E1699" s="1"/>
      <c r="F1699" s="1"/>
    </row>
    <row r="1700" spans="1:6" ht="12.5">
      <c r="A1700" s="1"/>
      <c r="B1700" s="1"/>
      <c r="C1700" s="1"/>
      <c r="D1700" s="1"/>
      <c r="E1700" s="1"/>
      <c r="F1700" s="1"/>
    </row>
    <row r="1701" spans="1:6" ht="12.5">
      <c r="A1701" s="1"/>
      <c r="B1701" s="1"/>
      <c r="C1701" s="1"/>
      <c r="D1701" s="1"/>
      <c r="E1701" s="1"/>
      <c r="F1701" s="1"/>
    </row>
    <row r="1702" spans="1:6" ht="12.5">
      <c r="A1702" s="1"/>
      <c r="B1702" s="1"/>
      <c r="C1702" s="1"/>
      <c r="D1702" s="1"/>
      <c r="E1702" s="1"/>
      <c r="F1702" s="1"/>
    </row>
    <row r="1703" spans="1:6" ht="12.5">
      <c r="A1703" s="1"/>
      <c r="B1703" s="1"/>
      <c r="C1703" s="1"/>
      <c r="D1703" s="1"/>
      <c r="E1703" s="1"/>
      <c r="F1703" s="1"/>
    </row>
    <row r="1704" spans="1:6" ht="12.5">
      <c r="A1704" s="1"/>
      <c r="B1704" s="1"/>
      <c r="C1704" s="1"/>
      <c r="D1704" s="1"/>
      <c r="E1704" s="1"/>
      <c r="F1704" s="1"/>
    </row>
    <row r="1705" spans="1:6" ht="12.5">
      <c r="A1705" s="1"/>
      <c r="B1705" s="1"/>
      <c r="C1705" s="1"/>
      <c r="D1705" s="1"/>
      <c r="E1705" s="1"/>
      <c r="F1705" s="1"/>
    </row>
    <row r="1706" spans="1:6" ht="12.5">
      <c r="A1706" s="1"/>
      <c r="B1706" s="1"/>
      <c r="C1706" s="1"/>
      <c r="D1706" s="1"/>
      <c r="E1706" s="1"/>
      <c r="F1706" s="1"/>
    </row>
    <row r="1707" spans="1:6" ht="12.5">
      <c r="A1707" s="1"/>
      <c r="B1707" s="1"/>
      <c r="C1707" s="1"/>
      <c r="D1707" s="1"/>
      <c r="E1707" s="1"/>
      <c r="F1707" s="1"/>
    </row>
    <row r="1708" spans="1:6" ht="12.5">
      <c r="A1708" s="1"/>
      <c r="B1708" s="1"/>
      <c r="C1708" s="1"/>
      <c r="D1708" s="1"/>
      <c r="E1708" s="1"/>
      <c r="F1708" s="1"/>
    </row>
    <row r="1709" spans="1:6" ht="12.5">
      <c r="A1709" s="1"/>
      <c r="B1709" s="1"/>
      <c r="C1709" s="1"/>
      <c r="D1709" s="1"/>
      <c r="E1709" s="1"/>
      <c r="F1709" s="1"/>
    </row>
    <row r="1710" spans="1:6" ht="12.5">
      <c r="A1710" s="1"/>
      <c r="B1710" s="1"/>
      <c r="C1710" s="1"/>
      <c r="D1710" s="1"/>
      <c r="E1710" s="1"/>
      <c r="F1710" s="1"/>
    </row>
    <row r="1711" spans="1:6" ht="12.5">
      <c r="A1711" s="1"/>
      <c r="B1711" s="1"/>
      <c r="C1711" s="1"/>
      <c r="D1711" s="1"/>
      <c r="E1711" s="1"/>
      <c r="F1711" s="1"/>
    </row>
    <row r="1712" spans="1:6" ht="12.5">
      <c r="A1712" s="1"/>
      <c r="B1712" s="1"/>
      <c r="C1712" s="1"/>
      <c r="D1712" s="1"/>
      <c r="E1712" s="1"/>
      <c r="F1712" s="1"/>
    </row>
    <row r="1713" spans="1:6" ht="12.5">
      <c r="A1713" s="1"/>
      <c r="B1713" s="1"/>
      <c r="C1713" s="1"/>
      <c r="D1713" s="1"/>
      <c r="E1713" s="1"/>
      <c r="F1713" s="1"/>
    </row>
    <row r="1714" spans="1:6" ht="12.5">
      <c r="A1714" s="1"/>
      <c r="B1714" s="1"/>
      <c r="C1714" s="1"/>
      <c r="D1714" s="1"/>
      <c r="E1714" s="1"/>
      <c r="F1714" s="1"/>
    </row>
    <row r="1715" spans="1:6" ht="12.5">
      <c r="A1715" s="1"/>
      <c r="B1715" s="1"/>
      <c r="C1715" s="1"/>
      <c r="D1715" s="1"/>
      <c r="E1715" s="1"/>
      <c r="F1715" s="1"/>
    </row>
    <row r="1716" spans="1:6" ht="12.5">
      <c r="A1716" s="1"/>
      <c r="B1716" s="1"/>
      <c r="C1716" s="1"/>
      <c r="D1716" s="1"/>
      <c r="E1716" s="1"/>
      <c r="F1716" s="1"/>
    </row>
    <row r="1717" spans="1:6" ht="12.5">
      <c r="A1717" s="1"/>
      <c r="B1717" s="1"/>
      <c r="C1717" s="1"/>
      <c r="D1717" s="1"/>
      <c r="E1717" s="1"/>
      <c r="F1717" s="1"/>
    </row>
    <row r="1718" spans="1:6" ht="12.5">
      <c r="A1718" s="1"/>
      <c r="B1718" s="1"/>
      <c r="C1718" s="1"/>
      <c r="D1718" s="1"/>
      <c r="E1718" s="1"/>
      <c r="F1718" s="1"/>
    </row>
    <row r="1719" spans="1:6" ht="12.5">
      <c r="A1719" s="1"/>
      <c r="B1719" s="1"/>
      <c r="C1719" s="1"/>
      <c r="D1719" s="1"/>
      <c r="E1719" s="1"/>
      <c r="F1719" s="1"/>
    </row>
    <row r="1720" spans="1:6" ht="12.5">
      <c r="A1720" s="1"/>
      <c r="B1720" s="1"/>
      <c r="C1720" s="1"/>
      <c r="D1720" s="1"/>
      <c r="E1720" s="1"/>
      <c r="F1720" s="1"/>
    </row>
    <row r="1721" spans="1:6" ht="12.5">
      <c r="A1721" s="1"/>
      <c r="B1721" s="1"/>
      <c r="C1721" s="1"/>
      <c r="D1721" s="1"/>
      <c r="E1721" s="1"/>
      <c r="F1721" s="1"/>
    </row>
    <row r="1722" spans="1:6" ht="12.5">
      <c r="A1722" s="1"/>
      <c r="B1722" s="1"/>
      <c r="C1722" s="1"/>
      <c r="D1722" s="1"/>
      <c r="E1722" s="1"/>
      <c r="F1722" s="1"/>
    </row>
    <row r="1723" spans="1:6" ht="12.5">
      <c r="A1723" s="1"/>
      <c r="B1723" s="1"/>
      <c r="C1723" s="1"/>
      <c r="D1723" s="1"/>
      <c r="E1723" s="1"/>
      <c r="F1723" s="1"/>
    </row>
    <row r="1724" spans="1:6" ht="12.5">
      <c r="A1724" s="1"/>
      <c r="B1724" s="1"/>
      <c r="C1724" s="1"/>
      <c r="D1724" s="1"/>
      <c r="E1724" s="1"/>
      <c r="F1724" s="1"/>
    </row>
    <row r="1725" spans="1:6" ht="12.5">
      <c r="A1725" s="1"/>
      <c r="B1725" s="1"/>
      <c r="C1725" s="1"/>
      <c r="D1725" s="1"/>
      <c r="E1725" s="1"/>
      <c r="F1725" s="1"/>
    </row>
    <row r="1726" spans="1:6" ht="12.5">
      <c r="A1726" s="1"/>
      <c r="B1726" s="1"/>
      <c r="C1726" s="1"/>
      <c r="D1726" s="1"/>
      <c r="E1726" s="1"/>
      <c r="F1726" s="1"/>
    </row>
    <row r="1727" spans="1:6" ht="12.5">
      <c r="A1727" s="1"/>
      <c r="B1727" s="1"/>
      <c r="C1727" s="1"/>
      <c r="D1727" s="1"/>
      <c r="E1727" s="1"/>
      <c r="F1727" s="1"/>
    </row>
    <row r="1728" spans="1:6" ht="12.5">
      <c r="A1728" s="1"/>
      <c r="B1728" s="1"/>
      <c r="C1728" s="1"/>
      <c r="D1728" s="1"/>
      <c r="E1728" s="1"/>
      <c r="F1728" s="1"/>
    </row>
    <row r="1729" spans="1:6" ht="12.5">
      <c r="A1729" s="1"/>
      <c r="B1729" s="1"/>
      <c r="C1729" s="1"/>
      <c r="D1729" s="1"/>
      <c r="E1729" s="1"/>
      <c r="F1729" s="1"/>
    </row>
    <row r="1730" spans="1:6" ht="12.5">
      <c r="A1730" s="1"/>
      <c r="B1730" s="1"/>
      <c r="C1730" s="1"/>
      <c r="D1730" s="1"/>
      <c r="E1730" s="1"/>
      <c r="F1730" s="1"/>
    </row>
    <row r="1731" spans="1:6" ht="12.5">
      <c r="A1731" s="1"/>
      <c r="B1731" s="1"/>
      <c r="C1731" s="1"/>
      <c r="D1731" s="1"/>
      <c r="E1731" s="1"/>
      <c r="F1731" s="1"/>
    </row>
    <row r="1732" spans="1:6" ht="12.5">
      <c r="A1732" s="1"/>
      <c r="B1732" s="1"/>
      <c r="C1732" s="1"/>
      <c r="D1732" s="1"/>
      <c r="E1732" s="1"/>
      <c r="F1732" s="1"/>
    </row>
    <row r="1733" spans="1:6" ht="12.5">
      <c r="A1733" s="1"/>
      <c r="B1733" s="1"/>
      <c r="C1733" s="1"/>
      <c r="D1733" s="1"/>
      <c r="E1733" s="1"/>
      <c r="F1733" s="1"/>
    </row>
    <row r="1734" spans="1:6" ht="12.5">
      <c r="A1734" s="1"/>
      <c r="B1734" s="1"/>
      <c r="C1734" s="1"/>
      <c r="D1734" s="1"/>
      <c r="E1734" s="1"/>
      <c r="F1734" s="1"/>
    </row>
    <row r="1735" spans="1:6" ht="12.5">
      <c r="A1735" s="1"/>
      <c r="B1735" s="1"/>
      <c r="C1735" s="1"/>
      <c r="D1735" s="1"/>
      <c r="E1735" s="1"/>
      <c r="F1735" s="1"/>
    </row>
    <row r="1736" spans="1:6" ht="12.5">
      <c r="A1736" s="1"/>
      <c r="B1736" s="1"/>
      <c r="C1736" s="1"/>
      <c r="D1736" s="1"/>
      <c r="E1736" s="1"/>
      <c r="F1736" s="1"/>
    </row>
    <row r="1737" spans="1:6" ht="12.5">
      <c r="A1737" s="1"/>
      <c r="B1737" s="1"/>
      <c r="C1737" s="1"/>
      <c r="D1737" s="1"/>
      <c r="E1737" s="1"/>
      <c r="F1737" s="1"/>
    </row>
    <row r="1738" spans="1:6" ht="12.5">
      <c r="A1738" s="1"/>
      <c r="B1738" s="1"/>
      <c r="C1738" s="1"/>
      <c r="D1738" s="1"/>
      <c r="E1738" s="1"/>
      <c r="F1738" s="1"/>
    </row>
    <row r="1739" spans="1:6" ht="12.5">
      <c r="A1739" s="1"/>
      <c r="B1739" s="1"/>
      <c r="C1739" s="1"/>
      <c r="D1739" s="1"/>
      <c r="E1739" s="1"/>
      <c r="F1739" s="1"/>
    </row>
    <row r="1740" spans="1:6" ht="12.5">
      <c r="A1740" s="1"/>
      <c r="B1740" s="1"/>
      <c r="C1740" s="1"/>
      <c r="D1740" s="1"/>
      <c r="E1740" s="1"/>
      <c r="F1740" s="1"/>
    </row>
    <row r="1741" spans="1:6" ht="12.5">
      <c r="A1741" s="1"/>
      <c r="B1741" s="1"/>
      <c r="C1741" s="1"/>
      <c r="D1741" s="1"/>
      <c r="E1741" s="1"/>
      <c r="F1741" s="1"/>
    </row>
    <row r="1742" spans="1:6" ht="12.5">
      <c r="A1742" s="1"/>
      <c r="B1742" s="1"/>
      <c r="C1742" s="1"/>
      <c r="D1742" s="1"/>
      <c r="E1742" s="1"/>
      <c r="F1742" s="1"/>
    </row>
    <row r="1743" spans="1:6" ht="12.5">
      <c r="A1743" s="1"/>
      <c r="B1743" s="1"/>
      <c r="C1743" s="1"/>
      <c r="D1743" s="1"/>
      <c r="E1743" s="1"/>
      <c r="F1743" s="1"/>
    </row>
    <row r="1744" spans="1:6" ht="12.5">
      <c r="A1744" s="1"/>
      <c r="B1744" s="1"/>
      <c r="C1744" s="1"/>
      <c r="D1744" s="1"/>
      <c r="E1744" s="1"/>
      <c r="F1744" s="1"/>
    </row>
    <row r="1745" spans="1:6" ht="12.5">
      <c r="A1745" s="1"/>
      <c r="B1745" s="1"/>
      <c r="C1745" s="1"/>
      <c r="D1745" s="1"/>
      <c r="E1745" s="1"/>
      <c r="F1745" s="1"/>
    </row>
    <row r="1746" spans="1:6" ht="12.5">
      <c r="A1746" s="1"/>
      <c r="B1746" s="1"/>
      <c r="C1746" s="1"/>
      <c r="D1746" s="1"/>
      <c r="E1746" s="1"/>
      <c r="F1746" s="1"/>
    </row>
    <row r="1747" spans="1:6" ht="12.5">
      <c r="A1747" s="1"/>
      <c r="B1747" s="1"/>
      <c r="C1747" s="1"/>
      <c r="D1747" s="1"/>
      <c r="E1747" s="1"/>
      <c r="F1747" s="1"/>
    </row>
    <row r="1748" spans="1:6" ht="12.5">
      <c r="A1748" s="1"/>
      <c r="B1748" s="1"/>
      <c r="C1748" s="1"/>
      <c r="D1748" s="1"/>
      <c r="E1748" s="1"/>
      <c r="F1748" s="1"/>
    </row>
    <row r="1749" spans="1:6" ht="12.5">
      <c r="A1749" s="1"/>
      <c r="B1749" s="1"/>
      <c r="C1749" s="1"/>
      <c r="D1749" s="1"/>
      <c r="E1749" s="1"/>
      <c r="F1749" s="1"/>
    </row>
    <row r="1750" spans="1:6" ht="12.5">
      <c r="A1750" s="1"/>
      <c r="B1750" s="1"/>
      <c r="C1750" s="1"/>
      <c r="D1750" s="1"/>
      <c r="E1750" s="1"/>
      <c r="F1750" s="1"/>
    </row>
    <row r="1751" spans="1:6" ht="12.5">
      <c r="A1751" s="1"/>
      <c r="B1751" s="1"/>
      <c r="C1751" s="1"/>
      <c r="D1751" s="1"/>
      <c r="E1751" s="1"/>
      <c r="F1751" s="1"/>
    </row>
    <row r="1752" spans="1:6" ht="12.5">
      <c r="A1752" s="1"/>
      <c r="B1752" s="1"/>
      <c r="C1752" s="1"/>
      <c r="D1752" s="1"/>
      <c r="E1752" s="1"/>
      <c r="F1752" s="1"/>
    </row>
    <row r="1753" spans="1:6" ht="12.5">
      <c r="A1753" s="1"/>
      <c r="B1753" s="1"/>
      <c r="C1753" s="1"/>
      <c r="D1753" s="1"/>
      <c r="E1753" s="1"/>
      <c r="F1753" s="1"/>
    </row>
    <row r="1754" spans="1:6" ht="12.5">
      <c r="A1754" s="1"/>
      <c r="B1754" s="1"/>
      <c r="C1754" s="1"/>
      <c r="D1754" s="1"/>
      <c r="E1754" s="1"/>
      <c r="F1754" s="1"/>
    </row>
    <row r="1755" spans="1:6" ht="12.5">
      <c r="A1755" s="1"/>
      <c r="B1755" s="1"/>
      <c r="C1755" s="1"/>
      <c r="D1755" s="1"/>
      <c r="E1755" s="1"/>
      <c r="F1755" s="1"/>
    </row>
    <row r="1756" spans="1:6" ht="12.5">
      <c r="A1756" s="1"/>
      <c r="B1756" s="1"/>
      <c r="C1756" s="1"/>
      <c r="D1756" s="1"/>
      <c r="E1756" s="1"/>
      <c r="F1756" s="1"/>
    </row>
    <row r="1757" spans="1:6" ht="12.5">
      <c r="A1757" s="1"/>
      <c r="B1757" s="1"/>
      <c r="C1757" s="1"/>
      <c r="D1757" s="1"/>
      <c r="E1757" s="1"/>
      <c r="F1757" s="1"/>
    </row>
    <row r="1758" spans="1:6" ht="12.5">
      <c r="A1758" s="1"/>
      <c r="B1758" s="1"/>
      <c r="C1758" s="1"/>
      <c r="D1758" s="1"/>
      <c r="E1758" s="1"/>
      <c r="F1758" s="1"/>
    </row>
    <row r="1759" spans="1:6" ht="12.5">
      <c r="A1759" s="1"/>
      <c r="B1759" s="1"/>
      <c r="C1759" s="1"/>
      <c r="D1759" s="1"/>
      <c r="E1759" s="1"/>
      <c r="F1759" s="1"/>
    </row>
    <row r="1760" spans="1:6" ht="12.5">
      <c r="A1760" s="1"/>
      <c r="B1760" s="1"/>
      <c r="C1760" s="1"/>
      <c r="D1760" s="1"/>
      <c r="E1760" s="1"/>
      <c r="F1760" s="1"/>
    </row>
    <row r="1761" spans="1:6" ht="12.5">
      <c r="A1761" s="1"/>
      <c r="B1761" s="1"/>
      <c r="C1761" s="1"/>
      <c r="D1761" s="1"/>
      <c r="E1761" s="1"/>
      <c r="F1761" s="1"/>
    </row>
    <row r="1762" spans="1:6" ht="12.5">
      <c r="A1762" s="1"/>
      <c r="B1762" s="1"/>
      <c r="C1762" s="1"/>
      <c r="D1762" s="1"/>
      <c r="E1762" s="1"/>
      <c r="F1762" s="1"/>
    </row>
    <row r="1763" spans="1:6" ht="12.5">
      <c r="A1763" s="1"/>
      <c r="B1763" s="1"/>
      <c r="C1763" s="1"/>
      <c r="D1763" s="1"/>
      <c r="E1763" s="1"/>
      <c r="F1763" s="1"/>
    </row>
    <row r="1764" spans="1:6" ht="12.5">
      <c r="A1764" s="1"/>
      <c r="B1764" s="1"/>
      <c r="C1764" s="1"/>
      <c r="D1764" s="1"/>
      <c r="E1764" s="1"/>
      <c r="F1764" s="1"/>
    </row>
    <row r="1765" spans="1:6" ht="12.5">
      <c r="A1765" s="1"/>
      <c r="B1765" s="1"/>
      <c r="C1765" s="1"/>
      <c r="D1765" s="1"/>
      <c r="E1765" s="1"/>
      <c r="F1765" s="1"/>
    </row>
    <row r="1766" spans="1:6" ht="12.5">
      <c r="A1766" s="1"/>
      <c r="B1766" s="1"/>
      <c r="C1766" s="1"/>
      <c r="D1766" s="1"/>
      <c r="E1766" s="1"/>
      <c r="F1766" s="1"/>
    </row>
    <row r="1767" spans="1:6" ht="12.5">
      <c r="A1767" s="1"/>
      <c r="B1767" s="1"/>
      <c r="C1767" s="1"/>
      <c r="D1767" s="1"/>
      <c r="E1767" s="1"/>
      <c r="F1767" s="1"/>
    </row>
    <row r="1768" spans="1:6" ht="12.5">
      <c r="A1768" s="1"/>
      <c r="B1768" s="1"/>
      <c r="C1768" s="1"/>
      <c r="D1768" s="1"/>
      <c r="E1768" s="1"/>
      <c r="F1768" s="1"/>
    </row>
    <row r="1769" spans="1:6" ht="12.5">
      <c r="A1769" s="1"/>
      <c r="B1769" s="1"/>
      <c r="C1769" s="1"/>
      <c r="D1769" s="1"/>
      <c r="E1769" s="1"/>
      <c r="F1769" s="1"/>
    </row>
    <row r="1770" spans="1:6" ht="12.5">
      <c r="A1770" s="1"/>
      <c r="B1770" s="1"/>
      <c r="C1770" s="1"/>
      <c r="D1770" s="1"/>
      <c r="E1770" s="1"/>
      <c r="F1770" s="1"/>
    </row>
    <row r="1771" spans="1:6" ht="12.5">
      <c r="A1771" s="1"/>
      <c r="B1771" s="1"/>
      <c r="C1771" s="1"/>
      <c r="D1771" s="1"/>
      <c r="E1771" s="1"/>
      <c r="F1771" s="1"/>
    </row>
    <row r="1772" spans="1:6" ht="12.5">
      <c r="A1772" s="1"/>
      <c r="B1772" s="1"/>
      <c r="C1772" s="1"/>
      <c r="D1772" s="1"/>
      <c r="E1772" s="1"/>
      <c r="F1772" s="1"/>
    </row>
    <row r="1773" spans="1:6" ht="12.5">
      <c r="A1773" s="1"/>
      <c r="B1773" s="1"/>
      <c r="C1773" s="1"/>
      <c r="D1773" s="1"/>
      <c r="E1773" s="1"/>
      <c r="F1773" s="1"/>
    </row>
    <row r="1774" spans="1:6" ht="12.5">
      <c r="A1774" s="1"/>
      <c r="B1774" s="1"/>
      <c r="C1774" s="1"/>
      <c r="D1774" s="1"/>
      <c r="E1774" s="1"/>
      <c r="F1774" s="1"/>
    </row>
    <row r="1775" spans="1:6" ht="12.5">
      <c r="A1775" s="1"/>
      <c r="B1775" s="1"/>
      <c r="C1775" s="1"/>
      <c r="D1775" s="1"/>
      <c r="E1775" s="1"/>
      <c r="F1775" s="1"/>
    </row>
    <row r="1776" spans="1:6" ht="12.5">
      <c r="A1776" s="1"/>
      <c r="B1776" s="1"/>
      <c r="C1776" s="1"/>
      <c r="D1776" s="1"/>
      <c r="E1776" s="1"/>
      <c r="F1776" s="1"/>
    </row>
    <row r="1777" spans="1:6" ht="12.5">
      <c r="A1777" s="1"/>
      <c r="B1777" s="1"/>
      <c r="C1777" s="1"/>
      <c r="D1777" s="1"/>
      <c r="E1777" s="1"/>
      <c r="F1777" s="1"/>
    </row>
    <row r="1778" spans="1:6" ht="12.5">
      <c r="A1778" s="1"/>
      <c r="B1778" s="1"/>
      <c r="C1778" s="1"/>
      <c r="D1778" s="1"/>
      <c r="E1778" s="1"/>
      <c r="F1778" s="1"/>
    </row>
    <row r="1779" spans="1:6" ht="12.5">
      <c r="A1779" s="1"/>
      <c r="B1779" s="1"/>
      <c r="C1779" s="1"/>
      <c r="D1779" s="1"/>
      <c r="E1779" s="1"/>
      <c r="F1779" s="1"/>
    </row>
    <row r="1780" spans="1:6" ht="12.5">
      <c r="A1780" s="1"/>
      <c r="B1780" s="1"/>
      <c r="C1780" s="1"/>
      <c r="D1780" s="1"/>
      <c r="E1780" s="1"/>
      <c r="F1780" s="1"/>
    </row>
    <row r="1781" spans="1:6" ht="12.5">
      <c r="A1781" s="1"/>
      <c r="B1781" s="1"/>
      <c r="C1781" s="1"/>
      <c r="D1781" s="1"/>
      <c r="E1781" s="1"/>
      <c r="F1781" s="1"/>
    </row>
    <row r="1782" spans="1:6" ht="12.5">
      <c r="A1782" s="1"/>
      <c r="B1782" s="1"/>
      <c r="C1782" s="1"/>
      <c r="D1782" s="1"/>
      <c r="E1782" s="1"/>
      <c r="F1782" s="1"/>
    </row>
    <row r="1783" spans="1:6" ht="12.5">
      <c r="A1783" s="1"/>
      <c r="B1783" s="1"/>
      <c r="C1783" s="1"/>
      <c r="D1783" s="1"/>
      <c r="E1783" s="1"/>
      <c r="F1783" s="1"/>
    </row>
    <row r="1784" spans="1:6" ht="12.5">
      <c r="A1784" s="1"/>
      <c r="B1784" s="1"/>
      <c r="C1784" s="1"/>
      <c r="D1784" s="1"/>
      <c r="E1784" s="1"/>
      <c r="F1784" s="1"/>
    </row>
    <row r="1785" spans="1:6" ht="12.5">
      <c r="A1785" s="1"/>
      <c r="B1785" s="1"/>
      <c r="C1785" s="1"/>
      <c r="D1785" s="1"/>
      <c r="E1785" s="1"/>
      <c r="F1785" s="1"/>
    </row>
    <row r="1786" spans="1:6" ht="12.5">
      <c r="A1786" s="1"/>
      <c r="B1786" s="1"/>
      <c r="C1786" s="1"/>
      <c r="D1786" s="1"/>
      <c r="E1786" s="1"/>
      <c r="F1786" s="1"/>
    </row>
    <row r="1787" spans="1:6" ht="12.5">
      <c r="A1787" s="1"/>
      <c r="B1787" s="1"/>
      <c r="C1787" s="1"/>
      <c r="D1787" s="1"/>
      <c r="E1787" s="1"/>
      <c r="F1787" s="1"/>
    </row>
    <row r="1788" spans="1:6" ht="12.5">
      <c r="A1788" s="1"/>
      <c r="B1788" s="1"/>
      <c r="C1788" s="1"/>
      <c r="D1788" s="1"/>
      <c r="E1788" s="1"/>
      <c r="F1788" s="1"/>
    </row>
    <row r="1789" spans="1:6" ht="12.5">
      <c r="A1789" s="1"/>
      <c r="B1789" s="1"/>
      <c r="C1789" s="1"/>
      <c r="D1789" s="1"/>
      <c r="E1789" s="1"/>
      <c r="F1789" s="1"/>
    </row>
    <row r="1790" spans="1:6" ht="12.5">
      <c r="A1790" s="1"/>
      <c r="B1790" s="1"/>
      <c r="C1790" s="1"/>
      <c r="D1790" s="1"/>
      <c r="E1790" s="1"/>
      <c r="F1790" s="1"/>
    </row>
    <row r="1791" spans="1:6" ht="12.5">
      <c r="A1791" s="1"/>
      <c r="B1791" s="1"/>
      <c r="C1791" s="1"/>
      <c r="D1791" s="1"/>
      <c r="E1791" s="1"/>
      <c r="F1791" s="1"/>
    </row>
    <row r="1792" spans="1:6" ht="12.5">
      <c r="A1792" s="1"/>
      <c r="B1792" s="1"/>
      <c r="C1792" s="1"/>
      <c r="D1792" s="1"/>
      <c r="E1792" s="1"/>
      <c r="F1792" s="1"/>
    </row>
    <row r="1793" spans="1:6" ht="12.5">
      <c r="A1793" s="1"/>
      <c r="B1793" s="1"/>
      <c r="C1793" s="1"/>
      <c r="D1793" s="1"/>
      <c r="E1793" s="1"/>
      <c r="F1793" s="1"/>
    </row>
    <row r="1794" spans="1:6" ht="12.5">
      <c r="A1794" s="1"/>
      <c r="B1794" s="1"/>
      <c r="C1794" s="1"/>
      <c r="D1794" s="1"/>
      <c r="E1794" s="1"/>
      <c r="F1794" s="1"/>
    </row>
    <row r="1795" spans="1:6" ht="12.5">
      <c r="A1795" s="1"/>
      <c r="B1795" s="1"/>
      <c r="C1795" s="1"/>
      <c r="D1795" s="1"/>
      <c r="E1795" s="1"/>
      <c r="F1795" s="1"/>
    </row>
    <row r="1796" spans="1:6" ht="12.5">
      <c r="A1796" s="1"/>
      <c r="B1796" s="1"/>
      <c r="C1796" s="1"/>
      <c r="D1796" s="1"/>
      <c r="E1796" s="1"/>
      <c r="F1796" s="1"/>
    </row>
    <row r="1797" spans="1:6" ht="12.5">
      <c r="A1797" s="1"/>
      <c r="B1797" s="1"/>
      <c r="C1797" s="1"/>
      <c r="D1797" s="1"/>
      <c r="E1797" s="1"/>
      <c r="F1797" s="1"/>
    </row>
    <row r="1798" spans="1:6" ht="12.5">
      <c r="A1798" s="1"/>
      <c r="B1798" s="1"/>
      <c r="C1798" s="1"/>
      <c r="D1798" s="1"/>
      <c r="E1798" s="1"/>
      <c r="F1798" s="1"/>
    </row>
    <row r="1799" spans="1:6" ht="12.5">
      <c r="A1799" s="1"/>
      <c r="B1799" s="1"/>
      <c r="C1799" s="1"/>
      <c r="D1799" s="1"/>
      <c r="E1799" s="1"/>
      <c r="F1799" s="1"/>
    </row>
    <row r="1800" spans="1:6" ht="12.5">
      <c r="A1800" s="1"/>
      <c r="B1800" s="1"/>
      <c r="C1800" s="1"/>
      <c r="D1800" s="1"/>
      <c r="E1800" s="1"/>
      <c r="F1800" s="1"/>
    </row>
    <row r="1801" spans="1:6" ht="12.5">
      <c r="A1801" s="1"/>
      <c r="B1801" s="1"/>
      <c r="C1801" s="1"/>
      <c r="D1801" s="1"/>
      <c r="E1801" s="1"/>
      <c r="F1801" s="1"/>
    </row>
    <row r="1802" spans="1:6" ht="12.5">
      <c r="A1802" s="1"/>
      <c r="B1802" s="1"/>
      <c r="C1802" s="1"/>
      <c r="D1802" s="1"/>
      <c r="E1802" s="1"/>
      <c r="F1802" s="1"/>
    </row>
    <row r="1803" spans="1:6" ht="12.5">
      <c r="A1803" s="1"/>
      <c r="B1803" s="1"/>
      <c r="C1803" s="1"/>
      <c r="D1803" s="1"/>
      <c r="E1803" s="1"/>
      <c r="F1803" s="1"/>
    </row>
    <row r="1804" spans="1:6" ht="12.5">
      <c r="A1804" s="1"/>
      <c r="B1804" s="1"/>
      <c r="C1804" s="1"/>
      <c r="D1804" s="1"/>
      <c r="E1804" s="1"/>
      <c r="F1804" s="1"/>
    </row>
    <row r="1805" spans="1:6" ht="12.5">
      <c r="A1805" s="1"/>
      <c r="B1805" s="1"/>
      <c r="C1805" s="1"/>
      <c r="D1805" s="1"/>
      <c r="E1805" s="1"/>
      <c r="F1805" s="1"/>
    </row>
    <row r="1806" spans="1:6" ht="12.5">
      <c r="A1806" s="1"/>
      <c r="B1806" s="1"/>
      <c r="C1806" s="1"/>
      <c r="D1806" s="1"/>
      <c r="E1806" s="1"/>
      <c r="F1806" s="1"/>
    </row>
    <row r="1807" spans="1:6" ht="12.5">
      <c r="A1807" s="1"/>
      <c r="B1807" s="1"/>
      <c r="C1807" s="1"/>
      <c r="D1807" s="1"/>
      <c r="E1807" s="1"/>
      <c r="F1807" s="1"/>
    </row>
    <row r="1808" spans="1:6" ht="12.5">
      <c r="A1808" s="1"/>
      <c r="B1808" s="1"/>
      <c r="C1808" s="1"/>
      <c r="D1808" s="1"/>
      <c r="E1808" s="1"/>
      <c r="F1808" s="1"/>
    </row>
    <row r="1809" spans="1:6" ht="12.5">
      <c r="A1809" s="1"/>
      <c r="B1809" s="1"/>
      <c r="C1809" s="1"/>
      <c r="D1809" s="1"/>
      <c r="E1809" s="1"/>
      <c r="F1809" s="1"/>
    </row>
    <row r="1810" spans="1:6" ht="12.5">
      <c r="A1810" s="1"/>
      <c r="B1810" s="1"/>
      <c r="C1810" s="1"/>
      <c r="D1810" s="1"/>
      <c r="E1810" s="1"/>
      <c r="F1810" s="1"/>
    </row>
    <row r="1811" spans="1:6" ht="12.5">
      <c r="A1811" s="1"/>
      <c r="B1811" s="1"/>
      <c r="C1811" s="1"/>
      <c r="D1811" s="1"/>
      <c r="E1811" s="1"/>
      <c r="F1811" s="1"/>
    </row>
    <row r="1812" spans="1:6" ht="12.5">
      <c r="A1812" s="1"/>
      <c r="B1812" s="1"/>
      <c r="C1812" s="1"/>
      <c r="D1812" s="1"/>
      <c r="E1812" s="1"/>
      <c r="F1812" s="1"/>
    </row>
    <row r="1813" spans="1:6" ht="12.5">
      <c r="A1813" s="1"/>
      <c r="B1813" s="1"/>
      <c r="C1813" s="1"/>
      <c r="D1813" s="1"/>
      <c r="E1813" s="1"/>
      <c r="F1813" s="1"/>
    </row>
    <row r="1814" spans="1:6" ht="12.5">
      <c r="A1814" s="1"/>
      <c r="B1814" s="1"/>
      <c r="C1814" s="1"/>
      <c r="D1814" s="1"/>
      <c r="E1814" s="1"/>
      <c r="F1814" s="1"/>
    </row>
    <row r="1815" spans="1:6" ht="12.5">
      <c r="A1815" s="1"/>
      <c r="B1815" s="1"/>
      <c r="C1815" s="1"/>
      <c r="D1815" s="1"/>
      <c r="E1815" s="1"/>
      <c r="F1815" s="1"/>
    </row>
    <row r="1816" spans="1:6" ht="12.5">
      <c r="A1816" s="1"/>
      <c r="B1816" s="1"/>
      <c r="C1816" s="1"/>
      <c r="D1816" s="1"/>
      <c r="E1816" s="1"/>
      <c r="F1816" s="1"/>
    </row>
    <row r="1817" spans="1:6" ht="12.5">
      <c r="A1817" s="1"/>
      <c r="B1817" s="1"/>
      <c r="C1817" s="1"/>
      <c r="D1817" s="1"/>
      <c r="E1817" s="1"/>
      <c r="F1817" s="1"/>
    </row>
    <row r="1818" spans="1:6" ht="12.5">
      <c r="A1818" s="1"/>
      <c r="B1818" s="1"/>
      <c r="C1818" s="1"/>
      <c r="D1818" s="1"/>
      <c r="E1818" s="1"/>
      <c r="F1818" s="1"/>
    </row>
    <row r="1819" spans="1:6" ht="12.5">
      <c r="A1819" s="1"/>
      <c r="B1819" s="1"/>
      <c r="C1819" s="1"/>
      <c r="D1819" s="1"/>
      <c r="E1819" s="1"/>
      <c r="F1819" s="1"/>
    </row>
    <row r="1820" spans="1:6" ht="12.5">
      <c r="A1820" s="1"/>
      <c r="B1820" s="1"/>
      <c r="C1820" s="1"/>
      <c r="D1820" s="1"/>
      <c r="E1820" s="1"/>
      <c r="F1820" s="1"/>
    </row>
    <row r="1821" spans="1:6" ht="12.5">
      <c r="A1821" s="1"/>
      <c r="B1821" s="1"/>
      <c r="C1821" s="1"/>
      <c r="D1821" s="1"/>
      <c r="E1821" s="1"/>
      <c r="F1821" s="1"/>
    </row>
    <row r="1822" spans="1:6" ht="12.5">
      <c r="A1822" s="1"/>
      <c r="B1822" s="1"/>
      <c r="C1822" s="1"/>
      <c r="D1822" s="1"/>
      <c r="E1822" s="1"/>
      <c r="F1822" s="1"/>
    </row>
    <row r="1823" spans="1:6" ht="12.5">
      <c r="A1823" s="1"/>
      <c r="B1823" s="1"/>
      <c r="C1823" s="1"/>
      <c r="D1823" s="1"/>
      <c r="E1823" s="1"/>
      <c r="F1823" s="1"/>
    </row>
    <row r="1824" spans="1:6" ht="12.5">
      <c r="A1824" s="1"/>
      <c r="B1824" s="1"/>
      <c r="C1824" s="1"/>
      <c r="D1824" s="1"/>
      <c r="E1824" s="1"/>
      <c r="F1824" s="1"/>
    </row>
    <row r="1825" spans="1:6" ht="12.5">
      <c r="A1825" s="1"/>
      <c r="B1825" s="1"/>
      <c r="C1825" s="1"/>
      <c r="D1825" s="1"/>
      <c r="E1825" s="1"/>
      <c r="F1825" s="1"/>
    </row>
    <row r="1826" spans="1:6" ht="12.5">
      <c r="A1826" s="1"/>
      <c r="B1826" s="1"/>
      <c r="C1826" s="1"/>
      <c r="D1826" s="1"/>
      <c r="E1826" s="1"/>
      <c r="F1826" s="1"/>
    </row>
    <row r="1827" spans="1:6" ht="12.5">
      <c r="A1827" s="1"/>
      <c r="B1827" s="1"/>
      <c r="C1827" s="1"/>
      <c r="D1827" s="1"/>
      <c r="E1827" s="1"/>
      <c r="F1827" s="1"/>
    </row>
    <row r="1828" spans="1:6" ht="12.5">
      <c r="A1828" s="1"/>
      <c r="B1828" s="1"/>
      <c r="C1828" s="1"/>
      <c r="D1828" s="1"/>
      <c r="E1828" s="1"/>
      <c r="F1828" s="1"/>
    </row>
    <row r="1829" spans="1:6" ht="12.5">
      <c r="A1829" s="1"/>
      <c r="B1829" s="1"/>
      <c r="C1829" s="1"/>
      <c r="D1829" s="1"/>
      <c r="E1829" s="1"/>
      <c r="F1829" s="1"/>
    </row>
    <row r="1830" spans="1:6" ht="12.5">
      <c r="A1830" s="1"/>
      <c r="B1830" s="1"/>
      <c r="C1830" s="1"/>
      <c r="D1830" s="1"/>
      <c r="E1830" s="1"/>
      <c r="F1830" s="1"/>
    </row>
    <row r="1831" spans="1:6" ht="12.5">
      <c r="A1831" s="1"/>
      <c r="B1831" s="1"/>
      <c r="C1831" s="1"/>
      <c r="D1831" s="1"/>
      <c r="E1831" s="1"/>
      <c r="F1831" s="1"/>
    </row>
    <row r="1832" spans="1:6" ht="12.5">
      <c r="A1832" s="1"/>
      <c r="B1832" s="1"/>
      <c r="C1832" s="1"/>
      <c r="D1832" s="1"/>
      <c r="E1832" s="1"/>
      <c r="F1832" s="1"/>
    </row>
    <row r="1833" spans="1:6" ht="12.5">
      <c r="A1833" s="1"/>
      <c r="B1833" s="1"/>
      <c r="C1833" s="1"/>
      <c r="D1833" s="1"/>
      <c r="E1833" s="1"/>
      <c r="F1833" s="1"/>
    </row>
    <row r="1834" spans="1:6" ht="12.5">
      <c r="A1834" s="1"/>
      <c r="B1834" s="1"/>
      <c r="C1834" s="1"/>
      <c r="D1834" s="1"/>
      <c r="E1834" s="1"/>
      <c r="F1834" s="1"/>
    </row>
    <row r="1835" spans="1:6" ht="12.5">
      <c r="A1835" s="1"/>
      <c r="B1835" s="1"/>
      <c r="C1835" s="1"/>
      <c r="D1835" s="1"/>
      <c r="E1835" s="1"/>
      <c r="F1835" s="1"/>
    </row>
    <row r="1836" spans="1:6" ht="12.5">
      <c r="A1836" s="1"/>
      <c r="B1836" s="1"/>
      <c r="C1836" s="1"/>
      <c r="D1836" s="1"/>
      <c r="E1836" s="1"/>
      <c r="F1836" s="1"/>
    </row>
    <row r="1837" spans="1:6" ht="12.5">
      <c r="A1837" s="1"/>
      <c r="B1837" s="1"/>
      <c r="C1837" s="1"/>
      <c r="D1837" s="1"/>
      <c r="E1837" s="1"/>
      <c r="F1837" s="1"/>
    </row>
    <row r="1838" spans="1:6" ht="12.5">
      <c r="A1838" s="1"/>
      <c r="B1838" s="1"/>
      <c r="C1838" s="1"/>
      <c r="D1838" s="1"/>
      <c r="E1838" s="1"/>
      <c r="F1838" s="1"/>
    </row>
    <row r="1839" spans="1:6" ht="12.5">
      <c r="A1839" s="1"/>
      <c r="B1839" s="1"/>
      <c r="C1839" s="1"/>
      <c r="D1839" s="1"/>
      <c r="E1839" s="1"/>
      <c r="F1839" s="1"/>
    </row>
    <row r="1840" spans="1:6" ht="12.5">
      <c r="A1840" s="1"/>
      <c r="B1840" s="1"/>
      <c r="C1840" s="1"/>
      <c r="D1840" s="1"/>
      <c r="E1840" s="1"/>
      <c r="F1840" s="1"/>
    </row>
    <row r="1841" spans="1:6" ht="12.5">
      <c r="A1841" s="1"/>
      <c r="B1841" s="1"/>
      <c r="C1841" s="1"/>
      <c r="D1841" s="1"/>
      <c r="E1841" s="1"/>
      <c r="F1841" s="1"/>
    </row>
    <row r="1842" spans="1:6" ht="12.5">
      <c r="A1842" s="1"/>
      <c r="B1842" s="1"/>
      <c r="C1842" s="1"/>
      <c r="D1842" s="1"/>
      <c r="E1842" s="1"/>
      <c r="F1842" s="1"/>
    </row>
    <row r="1843" spans="1:6" ht="12.5">
      <c r="A1843" s="1"/>
      <c r="B1843" s="1"/>
      <c r="C1843" s="1"/>
      <c r="D1843" s="1"/>
      <c r="E1843" s="1"/>
      <c r="F1843" s="1"/>
    </row>
    <row r="1844" spans="1:6" ht="12.5">
      <c r="A1844" s="1"/>
      <c r="B1844" s="1"/>
      <c r="C1844" s="1"/>
      <c r="D1844" s="1"/>
      <c r="E1844" s="1"/>
      <c r="F1844" s="1"/>
    </row>
    <row r="1845" spans="1:6" ht="12.5">
      <c r="A1845" s="1"/>
      <c r="B1845" s="1"/>
      <c r="C1845" s="1"/>
      <c r="D1845" s="1"/>
      <c r="E1845" s="1"/>
      <c r="F1845" s="1"/>
    </row>
    <row r="1846" spans="1:6" ht="12.5">
      <c r="A1846" s="1"/>
      <c r="B1846" s="1"/>
      <c r="C1846" s="1"/>
      <c r="D1846" s="1"/>
      <c r="E1846" s="1"/>
      <c r="F1846" s="1"/>
    </row>
    <row r="1847" spans="1:6" ht="12.5">
      <c r="A1847" s="1"/>
      <c r="B1847" s="1"/>
      <c r="C1847" s="1"/>
      <c r="D1847" s="1"/>
      <c r="E1847" s="1"/>
      <c r="F1847" s="1"/>
    </row>
    <row r="1848" spans="1:6" ht="12.5">
      <c r="A1848" s="1"/>
      <c r="B1848" s="1"/>
      <c r="C1848" s="1"/>
      <c r="D1848" s="1"/>
      <c r="E1848" s="1"/>
      <c r="F1848" s="1"/>
    </row>
    <row r="1849" spans="1:6" ht="12.5">
      <c r="A1849" s="1"/>
      <c r="B1849" s="1"/>
      <c r="C1849" s="1"/>
      <c r="D1849" s="1"/>
      <c r="E1849" s="1"/>
      <c r="F1849" s="1"/>
    </row>
    <row r="1850" spans="1:6" ht="12.5">
      <c r="A1850" s="1"/>
      <c r="B1850" s="1"/>
      <c r="C1850" s="1"/>
      <c r="D1850" s="1"/>
      <c r="E1850" s="1"/>
      <c r="F1850" s="1"/>
    </row>
    <row r="1851" spans="1:6" ht="12.5">
      <c r="A1851" s="1"/>
      <c r="B1851" s="1"/>
      <c r="C1851" s="1"/>
      <c r="D1851" s="1"/>
      <c r="E1851" s="1"/>
      <c r="F1851" s="1"/>
    </row>
    <row r="1852" spans="1:6" ht="12.5">
      <c r="A1852" s="1"/>
      <c r="B1852" s="1"/>
      <c r="C1852" s="1"/>
      <c r="D1852" s="1"/>
      <c r="E1852" s="1"/>
      <c r="F1852" s="1"/>
    </row>
    <row r="1853" spans="1:6" ht="12.5">
      <c r="A1853" s="1"/>
      <c r="B1853" s="1"/>
      <c r="C1853" s="1"/>
      <c r="D1853" s="1"/>
      <c r="E1853" s="1"/>
      <c r="F1853" s="1"/>
    </row>
    <row r="1854" spans="1:6" ht="12.5">
      <c r="A1854" s="1"/>
      <c r="B1854" s="1"/>
      <c r="C1854" s="1"/>
      <c r="D1854" s="1"/>
      <c r="E1854" s="1"/>
      <c r="F1854" s="1"/>
    </row>
    <row r="1855" spans="1:6" ht="12.5">
      <c r="A1855" s="1"/>
      <c r="B1855" s="1"/>
      <c r="C1855" s="1"/>
      <c r="D1855" s="1"/>
      <c r="E1855" s="1"/>
      <c r="F1855" s="1"/>
    </row>
    <row r="1856" spans="1:6" ht="12.5">
      <c r="A1856" s="1"/>
      <c r="B1856" s="1"/>
      <c r="C1856" s="1"/>
      <c r="D1856" s="1"/>
      <c r="E1856" s="1"/>
      <c r="F1856" s="1"/>
    </row>
    <row r="1857" spans="1:6" ht="12.5">
      <c r="A1857" s="1"/>
      <c r="B1857" s="1"/>
      <c r="C1857" s="1"/>
      <c r="D1857" s="1"/>
      <c r="E1857" s="1"/>
      <c r="F1857" s="1"/>
    </row>
    <row r="1858" spans="1:6" ht="12.5">
      <c r="A1858" s="1"/>
      <c r="B1858" s="1"/>
      <c r="C1858" s="1"/>
      <c r="D1858" s="1"/>
      <c r="E1858" s="1"/>
      <c r="F1858" s="1"/>
    </row>
    <row r="1859" spans="1:6" ht="12.5">
      <c r="A1859" s="1"/>
      <c r="B1859" s="1"/>
      <c r="C1859" s="1"/>
      <c r="D1859" s="1"/>
      <c r="E1859" s="1"/>
      <c r="F1859" s="1"/>
    </row>
    <row r="1860" spans="1:6" ht="12.5">
      <c r="A1860" s="1"/>
      <c r="B1860" s="1"/>
      <c r="C1860" s="1"/>
      <c r="D1860" s="1"/>
      <c r="E1860" s="1"/>
      <c r="F1860" s="1"/>
    </row>
    <row r="1861" spans="1:6" ht="12.5">
      <c r="A1861" s="1"/>
      <c r="B1861" s="1"/>
      <c r="C1861" s="1"/>
      <c r="D1861" s="1"/>
      <c r="E1861" s="1"/>
      <c r="F1861" s="1"/>
    </row>
    <row r="1862" spans="1:6" ht="12.5">
      <c r="A1862" s="1"/>
      <c r="B1862" s="1"/>
      <c r="C1862" s="1"/>
      <c r="D1862" s="1"/>
      <c r="E1862" s="1"/>
      <c r="F1862" s="1"/>
    </row>
    <row r="1863" spans="1:6" ht="12.5">
      <c r="A1863" s="1"/>
      <c r="B1863" s="1"/>
      <c r="C1863" s="1"/>
      <c r="D1863" s="1"/>
      <c r="E1863" s="1"/>
      <c r="F1863" s="1"/>
    </row>
    <row r="1864" spans="1:6" ht="12.5">
      <c r="A1864" s="1"/>
      <c r="B1864" s="1"/>
      <c r="C1864" s="1"/>
      <c r="D1864" s="1"/>
      <c r="E1864" s="1"/>
      <c r="F1864" s="1"/>
    </row>
    <row r="1865" spans="1:6" ht="12.5">
      <c r="A1865" s="1"/>
      <c r="B1865" s="1"/>
      <c r="C1865" s="1"/>
      <c r="D1865" s="1"/>
      <c r="E1865" s="1"/>
      <c r="F1865" s="1"/>
    </row>
    <row r="1866" spans="1:6" ht="12.5">
      <c r="A1866" s="1"/>
      <c r="B1866" s="1"/>
      <c r="C1866" s="1"/>
      <c r="D1866" s="1"/>
      <c r="E1866" s="1"/>
      <c r="F1866" s="1"/>
    </row>
    <row r="1867" spans="1:6" ht="12.5">
      <c r="A1867" s="1"/>
      <c r="B1867" s="1"/>
      <c r="C1867" s="1"/>
      <c r="D1867" s="1"/>
      <c r="E1867" s="1"/>
      <c r="F1867" s="1"/>
    </row>
    <row r="1868" spans="1:6" ht="12.5">
      <c r="A1868" s="1"/>
      <c r="B1868" s="1"/>
      <c r="C1868" s="1"/>
      <c r="D1868" s="1"/>
      <c r="E1868" s="1"/>
      <c r="F1868" s="1"/>
    </row>
    <row r="1869" spans="1:6" ht="12.5">
      <c r="A1869" s="1"/>
      <c r="B1869" s="1"/>
      <c r="C1869" s="1"/>
      <c r="D1869" s="1"/>
      <c r="E1869" s="1"/>
      <c r="F1869" s="1"/>
    </row>
    <row r="1870" spans="1:6" ht="12.5">
      <c r="A1870" s="1"/>
      <c r="B1870" s="1"/>
      <c r="C1870" s="1"/>
      <c r="D1870" s="1"/>
      <c r="E1870" s="1"/>
      <c r="F1870" s="1"/>
    </row>
    <row r="1871" spans="1:6" ht="12.5">
      <c r="A1871" s="1"/>
      <c r="B1871" s="1"/>
      <c r="C1871" s="1"/>
      <c r="D1871" s="1"/>
      <c r="E1871" s="1"/>
      <c r="F1871" s="1"/>
    </row>
    <row r="1872" spans="1:6" ht="12.5">
      <c r="A1872" s="1"/>
      <c r="B1872" s="1"/>
      <c r="C1872" s="1"/>
      <c r="D1872" s="1"/>
      <c r="E1872" s="1"/>
      <c r="F1872" s="1"/>
    </row>
    <row r="1873" spans="1:6" ht="12.5">
      <c r="A1873" s="1"/>
      <c r="B1873" s="1"/>
      <c r="C1873" s="1"/>
      <c r="D1873" s="1"/>
      <c r="E1873" s="1"/>
      <c r="F1873" s="1"/>
    </row>
    <row r="1874" spans="1:6" ht="12.5">
      <c r="A1874" s="1"/>
      <c r="B1874" s="1"/>
      <c r="C1874" s="1"/>
      <c r="D1874" s="1"/>
      <c r="E1874" s="1"/>
      <c r="F1874" s="1"/>
    </row>
    <row r="1875" spans="1:6" ht="12.5">
      <c r="A1875" s="1"/>
      <c r="B1875" s="1"/>
      <c r="C1875" s="1"/>
      <c r="D1875" s="1"/>
      <c r="E1875" s="1"/>
      <c r="F1875" s="1"/>
    </row>
    <row r="1876" spans="1:6" ht="12.5">
      <c r="A1876" s="1"/>
      <c r="B1876" s="1"/>
      <c r="C1876" s="1"/>
      <c r="D1876" s="1"/>
      <c r="E1876" s="1"/>
      <c r="F1876" s="1"/>
    </row>
    <row r="1877" spans="1:6" ht="12.5">
      <c r="A1877" s="1"/>
      <c r="B1877" s="1"/>
      <c r="C1877" s="1"/>
      <c r="D1877" s="1"/>
      <c r="E1877" s="1"/>
      <c r="F1877" s="1"/>
    </row>
    <row r="1878" spans="1:6" ht="12.5">
      <c r="A1878" s="1"/>
      <c r="B1878" s="1"/>
      <c r="C1878" s="1"/>
      <c r="D1878" s="1"/>
      <c r="E1878" s="1"/>
      <c r="F1878" s="1"/>
    </row>
    <row r="1879" spans="1:6" ht="12.5">
      <c r="A1879" s="1"/>
      <c r="B1879" s="1"/>
      <c r="C1879" s="1"/>
      <c r="D1879" s="1"/>
      <c r="E1879" s="1"/>
      <c r="F1879" s="1"/>
    </row>
    <row r="1880" spans="1:6" ht="12.5">
      <c r="A1880" s="1"/>
      <c r="B1880" s="1"/>
      <c r="C1880" s="1"/>
      <c r="D1880" s="1"/>
      <c r="E1880" s="1"/>
      <c r="F1880" s="1"/>
    </row>
    <row r="1881" spans="1:6" ht="12.5">
      <c r="A1881" s="1"/>
      <c r="B1881" s="1"/>
      <c r="C1881" s="1"/>
      <c r="D1881" s="1"/>
      <c r="E1881" s="1"/>
      <c r="F1881" s="1"/>
    </row>
    <row r="1882" spans="1:6" ht="12.5">
      <c r="A1882" s="1"/>
      <c r="B1882" s="1"/>
      <c r="C1882" s="1"/>
      <c r="D1882" s="1"/>
      <c r="E1882" s="1"/>
      <c r="F1882" s="1"/>
    </row>
    <row r="1883" spans="1:6" ht="12.5">
      <c r="A1883" s="1"/>
      <c r="B1883" s="1"/>
      <c r="C1883" s="1"/>
      <c r="D1883" s="1"/>
      <c r="E1883" s="1"/>
      <c r="F1883" s="1"/>
    </row>
    <row r="1884" spans="1:6" ht="12.5">
      <c r="A1884" s="1"/>
      <c r="B1884" s="1"/>
      <c r="C1884" s="1"/>
      <c r="D1884" s="1"/>
      <c r="E1884" s="1"/>
      <c r="F1884" s="1"/>
    </row>
    <row r="1885" spans="1:6" ht="12.5">
      <c r="A1885" s="1"/>
      <c r="B1885" s="1"/>
      <c r="C1885" s="1"/>
      <c r="D1885" s="1"/>
      <c r="E1885" s="1"/>
      <c r="F1885" s="1"/>
    </row>
    <row r="1886" spans="1:6" ht="12.5">
      <c r="A1886" s="1"/>
      <c r="B1886" s="1"/>
      <c r="C1886" s="1"/>
      <c r="D1886" s="1"/>
      <c r="E1886" s="1"/>
      <c r="F1886" s="1"/>
    </row>
    <row r="1887" spans="1:6" ht="12.5">
      <c r="A1887" s="1"/>
      <c r="B1887" s="1"/>
      <c r="C1887" s="1"/>
      <c r="D1887" s="1"/>
      <c r="E1887" s="1"/>
      <c r="F1887" s="1"/>
    </row>
    <row r="1888" spans="1:6" ht="12.5">
      <c r="A1888" s="1"/>
      <c r="B1888" s="1"/>
      <c r="C1888" s="1"/>
      <c r="D1888" s="1"/>
      <c r="E1888" s="1"/>
      <c r="F1888" s="1"/>
    </row>
    <row r="1889" spans="1:6" ht="12.5">
      <c r="A1889" s="1"/>
      <c r="B1889" s="1"/>
      <c r="C1889" s="1"/>
      <c r="D1889" s="1"/>
      <c r="E1889" s="1"/>
      <c r="F1889" s="1"/>
    </row>
    <row r="1890" spans="1:6" ht="12.5">
      <c r="A1890" s="1"/>
      <c r="B1890" s="1"/>
      <c r="C1890" s="1"/>
      <c r="D1890" s="1"/>
      <c r="E1890" s="1"/>
      <c r="F1890" s="1"/>
    </row>
    <row r="1891" spans="1:6" ht="12.5">
      <c r="A1891" s="1"/>
      <c r="B1891" s="1"/>
      <c r="C1891" s="1"/>
      <c r="D1891" s="1"/>
      <c r="E1891" s="1"/>
      <c r="F1891" s="1"/>
    </row>
    <row r="1892" spans="1:6" ht="12.5">
      <c r="A1892" s="1"/>
      <c r="B1892" s="1"/>
      <c r="C1892" s="1"/>
      <c r="D1892" s="1"/>
      <c r="E1892" s="1"/>
      <c r="F1892" s="1"/>
    </row>
    <row r="1893" spans="1:6" ht="12.5">
      <c r="A1893" s="1"/>
      <c r="B1893" s="1"/>
      <c r="C1893" s="1"/>
      <c r="D1893" s="1"/>
      <c r="E1893" s="1"/>
      <c r="F1893" s="1"/>
    </row>
    <row r="1894" spans="1:6" ht="12.5">
      <c r="A1894" s="1"/>
      <c r="B1894" s="1"/>
      <c r="C1894" s="1"/>
      <c r="D1894" s="1"/>
      <c r="E1894" s="1"/>
      <c r="F1894" s="1"/>
    </row>
    <row r="1895" spans="1:6" ht="12.5">
      <c r="A1895" s="1"/>
      <c r="B1895" s="1"/>
      <c r="C1895" s="1"/>
      <c r="D1895" s="1"/>
      <c r="E1895" s="1"/>
      <c r="F1895" s="1"/>
    </row>
    <row r="1896" spans="1:6" ht="12.5">
      <c r="A1896" s="1"/>
      <c r="B1896" s="1"/>
      <c r="C1896" s="1"/>
      <c r="D1896" s="1"/>
      <c r="E1896" s="1"/>
      <c r="F1896" s="1"/>
    </row>
    <row r="1897" spans="1:6" ht="12.5">
      <c r="A1897" s="1"/>
      <c r="B1897" s="1"/>
      <c r="C1897" s="1"/>
      <c r="D1897" s="1"/>
      <c r="E1897" s="1"/>
      <c r="F1897" s="1"/>
    </row>
    <row r="1898" spans="1:6" ht="12.5">
      <c r="A1898" s="1"/>
      <c r="B1898" s="1"/>
      <c r="C1898" s="1"/>
      <c r="D1898" s="1"/>
      <c r="E1898" s="1"/>
      <c r="F1898" s="1"/>
    </row>
    <row r="1899" spans="1:6" ht="12.5">
      <c r="A1899" s="1"/>
      <c r="B1899" s="1"/>
      <c r="C1899" s="1"/>
      <c r="D1899" s="1"/>
      <c r="E1899" s="1"/>
      <c r="F1899" s="1"/>
    </row>
    <row r="1900" spans="1:6" ht="12.5">
      <c r="A1900" s="1"/>
      <c r="B1900" s="1"/>
      <c r="C1900" s="1"/>
      <c r="D1900" s="1"/>
      <c r="E1900" s="1"/>
      <c r="F1900" s="1"/>
    </row>
    <row r="1901" spans="1:6" ht="12.5">
      <c r="A1901" s="1"/>
      <c r="B1901" s="1"/>
      <c r="C1901" s="1"/>
      <c r="D1901" s="1"/>
      <c r="E1901" s="1"/>
      <c r="F1901" s="1"/>
    </row>
    <row r="1902" spans="1:6" ht="12.5">
      <c r="A1902" s="1"/>
      <c r="B1902" s="1"/>
      <c r="C1902" s="1"/>
      <c r="D1902" s="1"/>
      <c r="E1902" s="1"/>
      <c r="F1902" s="1"/>
    </row>
    <row r="1903" spans="1:6" ht="12.5">
      <c r="A1903" s="1"/>
      <c r="B1903" s="1"/>
      <c r="C1903" s="1"/>
      <c r="D1903" s="1"/>
      <c r="E1903" s="1"/>
      <c r="F1903" s="1"/>
    </row>
    <row r="1904" spans="1:6" ht="12.5">
      <c r="A1904" s="1"/>
      <c r="B1904" s="1"/>
      <c r="C1904" s="1"/>
      <c r="D1904" s="1"/>
      <c r="E1904" s="1"/>
      <c r="F1904" s="1"/>
    </row>
    <row r="1905" spans="1:6" ht="12.5">
      <c r="A1905" s="1"/>
      <c r="B1905" s="1"/>
      <c r="C1905" s="1"/>
      <c r="D1905" s="1"/>
      <c r="E1905" s="1"/>
      <c r="F1905" s="1"/>
    </row>
    <row r="1906" spans="1:6" ht="12.5">
      <c r="A1906" s="1"/>
      <c r="B1906" s="1"/>
      <c r="C1906" s="1"/>
      <c r="D1906" s="1"/>
      <c r="E1906" s="1"/>
      <c r="F1906" s="1"/>
    </row>
    <row r="1907" spans="1:6" ht="12.5">
      <c r="A1907" s="1"/>
      <c r="B1907" s="1"/>
      <c r="C1907" s="1"/>
      <c r="D1907" s="1"/>
      <c r="E1907" s="1"/>
      <c r="F1907" s="1"/>
    </row>
    <row r="1908" spans="1:6" ht="12.5">
      <c r="A1908" s="1"/>
      <c r="B1908" s="1"/>
      <c r="C1908" s="1"/>
      <c r="D1908" s="1"/>
      <c r="E1908" s="1"/>
      <c r="F1908" s="1"/>
    </row>
    <row r="1909" spans="1:6" ht="12.5">
      <c r="A1909" s="1"/>
      <c r="B1909" s="1"/>
      <c r="C1909" s="1"/>
      <c r="D1909" s="1"/>
      <c r="E1909" s="1"/>
      <c r="F1909" s="1"/>
    </row>
    <row r="1910" spans="1:6" ht="12.5">
      <c r="A1910" s="1"/>
      <c r="B1910" s="1"/>
      <c r="C1910" s="1"/>
      <c r="D1910" s="1"/>
      <c r="E1910" s="1"/>
      <c r="F1910" s="1"/>
    </row>
    <row r="1911" spans="1:6" ht="12.5">
      <c r="A1911" s="1"/>
      <c r="B1911" s="1"/>
      <c r="C1911" s="1"/>
      <c r="D1911" s="1"/>
      <c r="E1911" s="1"/>
      <c r="F1911" s="1"/>
    </row>
    <row r="1912" spans="1:6" ht="12.5">
      <c r="A1912" s="1"/>
      <c r="B1912" s="1"/>
      <c r="C1912" s="1"/>
      <c r="D1912" s="1"/>
      <c r="E1912" s="1"/>
      <c r="F1912" s="1"/>
    </row>
    <row r="1913" spans="1:6" ht="12.5">
      <c r="A1913" s="1"/>
      <c r="B1913" s="1"/>
      <c r="C1913" s="1"/>
      <c r="D1913" s="1"/>
      <c r="E1913" s="1"/>
      <c r="F1913" s="1"/>
    </row>
    <row r="1914" spans="1:6" ht="12.5">
      <c r="A1914" s="1"/>
      <c r="B1914" s="1"/>
      <c r="C1914" s="1"/>
      <c r="D1914" s="1"/>
      <c r="E1914" s="1"/>
      <c r="F1914" s="1"/>
    </row>
    <row r="1915" spans="1:6" ht="12.5">
      <c r="A1915" s="1"/>
      <c r="B1915" s="1"/>
      <c r="C1915" s="1"/>
      <c r="D1915" s="1"/>
      <c r="E1915" s="1"/>
      <c r="F1915" s="1"/>
    </row>
    <row r="1916" spans="1:6" ht="12.5">
      <c r="A1916" s="1"/>
      <c r="B1916" s="1"/>
      <c r="C1916" s="1"/>
      <c r="D1916" s="1"/>
      <c r="E1916" s="1"/>
      <c r="F1916" s="1"/>
    </row>
    <row r="1917" spans="1:6" ht="12.5">
      <c r="A1917" s="1"/>
      <c r="B1917" s="1"/>
      <c r="C1917" s="1"/>
      <c r="D1917" s="1"/>
      <c r="E1917" s="1"/>
      <c r="F1917" s="1"/>
    </row>
    <row r="1918" spans="1:6" ht="12.5">
      <c r="A1918" s="1"/>
      <c r="B1918" s="1"/>
      <c r="C1918" s="1"/>
      <c r="D1918" s="1"/>
      <c r="E1918" s="1"/>
      <c r="F1918" s="1"/>
    </row>
    <row r="1919" spans="1:6" ht="12.5">
      <c r="A1919" s="1"/>
      <c r="B1919" s="1"/>
      <c r="C1919" s="1"/>
      <c r="D1919" s="1"/>
      <c r="E1919" s="1"/>
      <c r="F1919" s="1"/>
    </row>
    <row r="1920" spans="1:6" ht="12.5">
      <c r="A1920" s="1"/>
      <c r="B1920" s="1"/>
      <c r="C1920" s="1"/>
      <c r="D1920" s="1"/>
      <c r="E1920" s="1"/>
      <c r="F1920" s="1"/>
    </row>
    <row r="1921" spans="1:6" ht="12.5">
      <c r="A1921" s="1"/>
      <c r="B1921" s="1"/>
      <c r="C1921" s="1"/>
      <c r="D1921" s="1"/>
      <c r="E1921" s="1"/>
      <c r="F1921" s="1"/>
    </row>
    <row r="1922" spans="1:6" ht="12.5">
      <c r="A1922" s="1"/>
      <c r="B1922" s="1"/>
      <c r="C1922" s="1"/>
      <c r="D1922" s="1"/>
      <c r="E1922" s="1"/>
      <c r="F1922" s="1"/>
    </row>
    <row r="1923" spans="1:6" ht="12.5">
      <c r="A1923" s="1"/>
      <c r="B1923" s="1"/>
      <c r="C1923" s="1"/>
      <c r="D1923" s="1"/>
      <c r="E1923" s="1"/>
      <c r="F1923" s="1"/>
    </row>
    <row r="1924" spans="1:6" ht="12.5">
      <c r="A1924" s="1"/>
      <c r="B1924" s="1"/>
      <c r="C1924" s="1"/>
      <c r="D1924" s="1"/>
      <c r="E1924" s="1"/>
      <c r="F1924" s="1"/>
    </row>
    <row r="1925" spans="1:6" ht="12.5">
      <c r="A1925" s="1"/>
      <c r="B1925" s="1"/>
      <c r="C1925" s="1"/>
      <c r="D1925" s="1"/>
      <c r="E1925" s="1"/>
      <c r="F1925" s="1"/>
    </row>
    <row r="1926" spans="1:6" ht="12.5">
      <c r="A1926" s="1"/>
      <c r="B1926" s="1"/>
      <c r="C1926" s="1"/>
      <c r="D1926" s="1"/>
      <c r="E1926" s="1"/>
      <c r="F1926" s="1"/>
    </row>
    <row r="1927" spans="1:6" ht="12.5">
      <c r="A1927" s="1"/>
      <c r="B1927" s="1"/>
      <c r="C1927" s="1"/>
      <c r="D1927" s="1"/>
      <c r="E1927" s="1"/>
      <c r="F1927" s="1"/>
    </row>
    <row r="1928" spans="1:6" ht="12.5">
      <c r="A1928" s="1"/>
      <c r="B1928" s="1"/>
      <c r="C1928" s="1"/>
      <c r="D1928" s="1"/>
      <c r="E1928" s="1"/>
      <c r="F1928" s="1"/>
    </row>
    <row r="1929" spans="1:6" ht="12.5">
      <c r="A1929" s="1"/>
      <c r="B1929" s="1"/>
      <c r="C1929" s="1"/>
      <c r="D1929" s="1"/>
      <c r="E1929" s="1"/>
      <c r="F1929" s="1"/>
    </row>
    <row r="1930" spans="1:6" ht="12.5">
      <c r="A1930" s="1"/>
      <c r="B1930" s="1"/>
      <c r="C1930" s="1"/>
      <c r="D1930" s="1"/>
      <c r="E1930" s="1"/>
      <c r="F1930" s="1"/>
    </row>
    <row r="1931" spans="1:6" ht="12.5">
      <c r="A1931" s="1"/>
      <c r="B1931" s="1"/>
      <c r="C1931" s="1"/>
      <c r="D1931" s="1"/>
      <c r="E1931" s="1"/>
      <c r="F1931" s="1"/>
    </row>
    <row r="1932" spans="1:6" ht="12.5">
      <c r="A1932" s="1"/>
      <c r="B1932" s="1"/>
      <c r="C1932" s="1"/>
      <c r="D1932" s="1"/>
      <c r="E1932" s="1"/>
      <c r="F1932" s="1"/>
    </row>
    <row r="1933" spans="1:6" ht="12.5">
      <c r="A1933" s="1"/>
      <c r="B1933" s="1"/>
      <c r="C1933" s="1"/>
      <c r="D1933" s="1"/>
      <c r="E1933" s="1"/>
      <c r="F1933" s="1"/>
    </row>
    <row r="1934" spans="1:6" ht="12.5">
      <c r="A1934" s="1"/>
      <c r="B1934" s="1"/>
      <c r="C1934" s="1"/>
      <c r="D1934" s="1"/>
      <c r="E1934" s="1"/>
      <c r="F1934" s="1"/>
    </row>
    <row r="1935" spans="1:6" ht="12.5">
      <c r="A1935" s="1"/>
      <c r="B1935" s="1"/>
      <c r="C1935" s="1"/>
      <c r="D1935" s="1"/>
      <c r="E1935" s="1"/>
      <c r="F1935" s="1"/>
    </row>
    <row r="1936" spans="1:6" ht="12.5">
      <c r="A1936" s="1"/>
      <c r="B1936" s="1"/>
      <c r="C1936" s="1"/>
      <c r="D1936" s="1"/>
      <c r="E1936" s="1"/>
      <c r="F1936" s="1"/>
    </row>
    <row r="1937" spans="1:6" ht="12.5">
      <c r="A1937" s="1"/>
      <c r="B1937" s="1"/>
      <c r="C1937" s="1"/>
      <c r="D1937" s="1"/>
      <c r="E1937" s="1"/>
      <c r="F1937" s="1"/>
    </row>
    <row r="1938" spans="1:6" ht="12.5">
      <c r="A1938" s="1"/>
      <c r="B1938" s="1"/>
      <c r="C1938" s="1"/>
      <c r="D1938" s="1"/>
      <c r="E1938" s="1"/>
      <c r="F1938" s="1"/>
    </row>
    <row r="1939" spans="1:6" ht="12.5">
      <c r="A1939" s="1"/>
      <c r="B1939" s="1"/>
      <c r="C1939" s="1"/>
      <c r="D1939" s="1"/>
      <c r="E1939" s="1"/>
      <c r="F1939" s="1"/>
    </row>
    <row r="1940" spans="1:6" ht="12.5">
      <c r="A1940" s="1"/>
      <c r="B1940" s="1"/>
      <c r="C1940" s="1"/>
      <c r="D1940" s="1"/>
      <c r="E1940" s="1"/>
      <c r="F1940" s="1"/>
    </row>
    <row r="1941" spans="1:6" ht="12.5">
      <c r="A1941" s="1"/>
      <c r="B1941" s="1"/>
      <c r="C1941" s="1"/>
      <c r="D1941" s="1"/>
      <c r="E1941" s="1"/>
      <c r="F1941" s="1"/>
    </row>
    <row r="1942" spans="1:6" ht="12.5">
      <c r="A1942" s="1"/>
      <c r="B1942" s="1"/>
      <c r="C1942" s="1"/>
      <c r="D1942" s="1"/>
      <c r="E1942" s="1"/>
      <c r="F1942" s="1"/>
    </row>
    <row r="1943" spans="1:6" ht="12.5">
      <c r="A1943" s="1"/>
      <c r="B1943" s="1"/>
      <c r="C1943" s="1"/>
      <c r="D1943" s="1"/>
      <c r="E1943" s="1"/>
      <c r="F1943" s="1"/>
    </row>
    <row r="1944" spans="1:6" ht="12.5">
      <c r="A1944" s="1"/>
      <c r="B1944" s="1"/>
      <c r="C1944" s="1"/>
      <c r="D1944" s="1"/>
      <c r="E1944" s="1"/>
      <c r="F1944" s="1"/>
    </row>
    <row r="1945" spans="1:6" ht="12.5">
      <c r="A1945" s="1"/>
      <c r="B1945" s="1"/>
      <c r="C1945" s="1"/>
      <c r="D1945" s="1"/>
      <c r="E1945" s="1"/>
      <c r="F1945" s="1"/>
    </row>
    <row r="1946" spans="1:6" ht="12.5">
      <c r="A1946" s="1"/>
      <c r="B1946" s="1"/>
      <c r="C1946" s="1"/>
      <c r="D1946" s="1"/>
      <c r="E1946" s="1"/>
      <c r="F1946" s="1"/>
    </row>
    <row r="1947" spans="1:6" ht="12.5">
      <c r="A1947" s="1"/>
      <c r="B1947" s="1"/>
      <c r="C1947" s="1"/>
      <c r="D1947" s="1"/>
      <c r="E1947" s="1"/>
      <c r="F1947" s="1"/>
    </row>
    <row r="1948" spans="1:6" ht="12.5">
      <c r="A1948" s="1"/>
      <c r="B1948" s="1"/>
      <c r="C1948" s="1"/>
      <c r="D1948" s="1"/>
      <c r="E1948" s="1"/>
      <c r="F1948" s="1"/>
    </row>
    <row r="1949" spans="1:6" ht="12.5">
      <c r="A1949" s="1"/>
      <c r="B1949" s="1"/>
      <c r="C1949" s="1"/>
      <c r="D1949" s="1"/>
      <c r="E1949" s="1"/>
      <c r="F1949" s="1"/>
    </row>
    <row r="1950" spans="1:6" ht="12.5">
      <c r="A1950" s="1"/>
      <c r="B1950" s="1"/>
      <c r="C1950" s="1"/>
      <c r="D1950" s="1"/>
      <c r="E1950" s="1"/>
      <c r="F1950" s="1"/>
    </row>
    <row r="1951" spans="1:6" ht="12.5">
      <c r="A1951" s="1"/>
      <c r="B1951" s="1"/>
      <c r="C1951" s="1"/>
      <c r="D1951" s="1"/>
      <c r="E1951" s="1"/>
      <c r="F1951" s="1"/>
    </row>
    <row r="1952" spans="1:6" ht="12.5">
      <c r="A1952" s="1"/>
      <c r="B1952" s="1"/>
      <c r="C1952" s="1"/>
      <c r="D1952" s="1"/>
      <c r="E1952" s="1"/>
      <c r="F1952" s="1"/>
    </row>
    <row r="1953" spans="1:6" ht="12.5">
      <c r="A1953" s="1"/>
      <c r="B1953" s="1"/>
      <c r="C1953" s="1"/>
      <c r="D1953" s="1"/>
      <c r="E1953" s="1"/>
      <c r="F1953" s="1"/>
    </row>
    <row r="1954" spans="1:6" ht="12.5">
      <c r="A1954" s="1"/>
      <c r="B1954" s="1"/>
      <c r="C1954" s="1"/>
      <c r="D1954" s="1"/>
      <c r="E1954" s="1"/>
      <c r="F1954" s="1"/>
    </row>
    <row r="1955" spans="1:6" ht="12.5">
      <c r="A1955" s="1"/>
      <c r="B1955" s="1"/>
      <c r="C1955" s="1"/>
      <c r="D1955" s="1"/>
      <c r="E1955" s="1"/>
      <c r="F1955" s="1"/>
    </row>
    <row r="1956" spans="1:6" ht="12.5">
      <c r="A1956" s="1"/>
      <c r="B1956" s="1"/>
      <c r="C1956" s="1"/>
      <c r="D1956" s="1"/>
      <c r="E1956" s="1"/>
      <c r="F1956" s="1"/>
    </row>
    <row r="1957" spans="1:6" ht="12.5">
      <c r="A1957" s="1"/>
      <c r="B1957" s="1"/>
      <c r="C1957" s="1"/>
      <c r="D1957" s="1"/>
      <c r="E1957" s="1"/>
      <c r="F1957" s="1"/>
    </row>
    <row r="1958" spans="1:6" ht="12.5">
      <c r="A1958" s="1"/>
      <c r="B1958" s="1"/>
      <c r="C1958" s="1"/>
      <c r="D1958" s="1"/>
      <c r="E1958" s="1"/>
      <c r="F1958" s="1"/>
    </row>
    <row r="1959" spans="1:6" ht="12.5">
      <c r="A1959" s="1"/>
      <c r="B1959" s="1"/>
      <c r="C1959" s="1"/>
      <c r="D1959" s="1"/>
      <c r="E1959" s="1"/>
      <c r="F1959" s="1"/>
    </row>
    <row r="1960" spans="1:6" ht="12.5">
      <c r="A1960" s="1"/>
      <c r="B1960" s="1"/>
      <c r="C1960" s="1"/>
      <c r="D1960" s="1"/>
      <c r="E1960" s="1"/>
      <c r="F1960" s="1"/>
    </row>
    <row r="1961" spans="1:6" ht="12.5">
      <c r="A1961" s="1"/>
      <c r="B1961" s="1"/>
      <c r="C1961" s="1"/>
      <c r="D1961" s="1"/>
      <c r="E1961" s="1"/>
      <c r="F1961" s="1"/>
    </row>
    <row r="1962" spans="1:6" ht="12.5">
      <c r="A1962" s="1"/>
      <c r="B1962" s="1"/>
      <c r="C1962" s="1"/>
      <c r="D1962" s="1"/>
      <c r="E1962" s="1"/>
      <c r="F1962" s="1"/>
    </row>
    <row r="1963" spans="1:6" ht="12.5">
      <c r="A1963" s="1"/>
      <c r="B1963" s="1"/>
      <c r="C1963" s="1"/>
      <c r="D1963" s="1"/>
      <c r="E1963" s="1"/>
      <c r="F1963" s="1"/>
    </row>
    <row r="1964" spans="1:6" ht="12.5">
      <c r="A1964" s="1"/>
      <c r="B1964" s="1"/>
      <c r="C1964" s="1"/>
      <c r="D1964" s="1"/>
      <c r="E1964" s="1"/>
      <c r="F1964" s="1"/>
    </row>
    <row r="1965" spans="1:6" ht="12.5">
      <c r="A1965" s="1"/>
      <c r="B1965" s="1"/>
      <c r="C1965" s="1"/>
      <c r="D1965" s="1"/>
      <c r="E1965" s="1"/>
      <c r="F1965" s="1"/>
    </row>
    <row r="1966" spans="1:6" ht="12.5">
      <c r="A1966" s="1"/>
      <c r="B1966" s="1"/>
      <c r="C1966" s="1"/>
      <c r="D1966" s="1"/>
      <c r="E1966" s="1"/>
      <c r="F1966" s="1"/>
    </row>
    <row r="1967" spans="1:6" ht="12.5">
      <c r="A1967" s="1"/>
      <c r="B1967" s="1"/>
      <c r="C1967" s="1"/>
      <c r="D1967" s="1"/>
      <c r="E1967" s="1"/>
      <c r="F1967" s="1"/>
    </row>
    <row r="1968" spans="1:6" ht="12.5">
      <c r="A1968" s="1"/>
      <c r="B1968" s="1"/>
      <c r="C1968" s="1"/>
      <c r="D1968" s="1"/>
      <c r="E1968" s="1"/>
      <c r="F1968" s="1"/>
    </row>
    <row r="1969" spans="1:6" ht="12.5">
      <c r="A1969" s="1"/>
      <c r="B1969" s="1"/>
      <c r="C1969" s="1"/>
      <c r="D1969" s="1"/>
      <c r="E1969" s="1"/>
      <c r="F1969" s="1"/>
    </row>
    <row r="1970" spans="1:6" ht="12.5">
      <c r="A1970" s="1"/>
      <c r="B1970" s="1"/>
      <c r="C1970" s="1"/>
      <c r="D1970" s="1"/>
      <c r="E1970" s="1"/>
      <c r="F1970" s="1"/>
    </row>
    <row r="1971" spans="1:6" ht="12.5">
      <c r="A1971" s="1"/>
      <c r="B1971" s="1"/>
      <c r="C1971" s="1"/>
      <c r="D1971" s="1"/>
      <c r="E1971" s="1"/>
      <c r="F1971" s="1"/>
    </row>
    <row r="1972" spans="1:6" ht="12.5">
      <c r="A1972" s="1"/>
      <c r="B1972" s="1"/>
      <c r="C1972" s="1"/>
      <c r="D1972" s="1"/>
      <c r="E1972" s="1"/>
      <c r="F1972" s="1"/>
    </row>
    <row r="1973" spans="1:6" ht="12.5">
      <c r="A1973" s="1"/>
      <c r="B1973" s="1"/>
      <c r="C1973" s="1"/>
      <c r="D1973" s="1"/>
      <c r="E1973" s="1"/>
      <c r="F1973" s="1"/>
    </row>
    <row r="1974" spans="1:6" ht="12.5">
      <c r="A1974" s="1"/>
      <c r="B1974" s="1"/>
      <c r="C1974" s="1"/>
      <c r="D1974" s="1"/>
      <c r="E1974" s="1"/>
      <c r="F1974" s="1"/>
    </row>
    <row r="1975" spans="1:6" ht="12.5">
      <c r="A1975" s="1"/>
      <c r="B1975" s="1"/>
      <c r="C1975" s="1"/>
      <c r="D1975" s="1"/>
      <c r="E1975" s="1"/>
      <c r="F1975" s="1"/>
    </row>
    <row r="1976" spans="1:6" ht="12.5">
      <c r="A1976" s="1"/>
      <c r="B1976" s="1"/>
      <c r="C1976" s="1"/>
      <c r="D1976" s="1"/>
      <c r="E1976" s="1"/>
      <c r="F1976" s="1"/>
    </row>
    <row r="1977" spans="1:6" ht="12.5">
      <c r="A1977" s="1"/>
      <c r="B1977" s="1"/>
      <c r="C1977" s="1"/>
      <c r="D1977" s="1"/>
      <c r="E1977" s="1"/>
      <c r="F1977" s="1"/>
    </row>
    <row r="1978" spans="1:6" ht="12.5">
      <c r="A1978" s="1"/>
      <c r="B1978" s="1"/>
      <c r="C1978" s="1"/>
      <c r="D1978" s="1"/>
      <c r="E1978" s="1"/>
      <c r="F1978" s="1"/>
    </row>
    <row r="1979" spans="1:6" ht="12.5">
      <c r="A1979" s="1"/>
      <c r="B1979" s="1"/>
      <c r="C1979" s="1"/>
      <c r="D1979" s="1"/>
      <c r="E1979" s="1"/>
      <c r="F1979" s="1"/>
    </row>
    <row r="1980" spans="1:6" ht="12.5">
      <c r="A1980" s="1"/>
      <c r="B1980" s="1"/>
      <c r="C1980" s="1"/>
      <c r="D1980" s="1"/>
      <c r="E1980" s="1"/>
      <c r="F1980" s="1"/>
    </row>
    <row r="1981" spans="1:6" ht="12.5">
      <c r="A1981" s="1"/>
      <c r="B1981" s="1"/>
      <c r="C1981" s="1"/>
      <c r="D1981" s="1"/>
      <c r="E1981" s="1"/>
      <c r="F1981" s="1"/>
    </row>
    <row r="1982" spans="1:6" ht="12.5">
      <c r="A1982" s="1"/>
      <c r="B1982" s="1"/>
      <c r="C1982" s="1"/>
      <c r="D1982" s="1"/>
      <c r="E1982" s="1"/>
      <c r="F1982" s="1"/>
    </row>
    <row r="1983" spans="1:6" ht="12.5">
      <c r="A1983" s="1"/>
      <c r="B1983" s="1"/>
      <c r="C1983" s="1"/>
      <c r="D1983" s="1"/>
      <c r="E1983" s="1"/>
      <c r="F1983" s="1"/>
    </row>
    <row r="1984" spans="1:6" ht="12.5">
      <c r="A1984" s="1"/>
      <c r="B1984" s="1"/>
      <c r="C1984" s="1"/>
      <c r="D1984" s="1"/>
      <c r="E1984" s="1"/>
      <c r="F1984" s="1"/>
    </row>
    <row r="1985" spans="1:6" ht="12.5">
      <c r="A1985" s="1"/>
      <c r="B1985" s="1"/>
      <c r="C1985" s="1"/>
      <c r="D1985" s="1"/>
      <c r="E1985" s="1"/>
      <c r="F1985" s="1"/>
    </row>
    <row r="1986" spans="1:6" ht="12.5">
      <c r="A1986" s="1"/>
      <c r="B1986" s="1"/>
      <c r="C1986" s="1"/>
      <c r="D1986" s="1"/>
      <c r="E1986" s="1"/>
      <c r="F1986" s="1"/>
    </row>
    <row r="1987" spans="1:6" ht="12.5">
      <c r="A1987" s="1"/>
      <c r="B1987" s="1"/>
      <c r="C1987" s="1"/>
      <c r="D1987" s="1"/>
      <c r="E1987" s="1"/>
      <c r="F1987" s="1"/>
    </row>
    <row r="1988" spans="1:6" ht="12.5">
      <c r="A1988" s="1"/>
      <c r="B1988" s="1"/>
      <c r="C1988" s="1"/>
      <c r="D1988" s="1"/>
      <c r="E1988" s="1"/>
      <c r="F1988" s="1"/>
    </row>
    <row r="1989" spans="1:6" ht="12.5">
      <c r="A1989" s="1"/>
      <c r="B1989" s="1"/>
      <c r="C1989" s="1"/>
      <c r="D1989" s="1"/>
      <c r="E1989" s="1"/>
      <c r="F1989" s="1"/>
    </row>
    <row r="1990" spans="1:6" ht="12.5">
      <c r="A1990" s="1"/>
      <c r="B1990" s="1"/>
      <c r="C1990" s="1"/>
      <c r="D1990" s="1"/>
      <c r="E1990" s="1"/>
      <c r="F1990" s="1"/>
    </row>
    <row r="1991" spans="1:6" ht="12.5">
      <c r="A1991" s="1"/>
      <c r="B1991" s="1"/>
      <c r="C1991" s="1"/>
      <c r="D1991" s="1"/>
      <c r="E1991" s="1"/>
      <c r="F1991" s="1"/>
    </row>
    <row r="1992" spans="1:6" ht="12.5">
      <c r="A1992" s="1"/>
      <c r="B1992" s="1"/>
      <c r="C1992" s="1"/>
      <c r="D1992" s="1"/>
      <c r="E1992" s="1"/>
      <c r="F1992" s="1"/>
    </row>
    <row r="1993" spans="1:6" ht="12.5">
      <c r="A1993" s="1"/>
      <c r="B1993" s="1"/>
      <c r="C1993" s="1"/>
      <c r="D1993" s="1"/>
      <c r="E1993" s="1"/>
      <c r="F1993" s="1"/>
    </row>
    <row r="1994" spans="1:6" ht="12.5">
      <c r="A1994" s="1"/>
      <c r="B1994" s="1"/>
      <c r="C1994" s="1"/>
      <c r="D1994" s="1"/>
      <c r="E1994" s="1"/>
      <c r="F1994" s="1"/>
    </row>
    <row r="1995" spans="1:6" ht="12.5">
      <c r="A1995" s="1"/>
      <c r="B1995" s="1"/>
      <c r="C1995" s="1"/>
      <c r="D1995" s="1"/>
      <c r="E1995" s="1"/>
      <c r="F1995" s="1"/>
    </row>
    <row r="1996" spans="1:6" ht="12.5">
      <c r="A1996" s="1"/>
      <c r="B1996" s="1"/>
      <c r="C1996" s="1"/>
      <c r="D1996" s="1"/>
      <c r="E1996" s="1"/>
      <c r="F1996" s="1"/>
    </row>
    <row r="1997" spans="1:6" ht="12.5">
      <c r="A1997" s="1"/>
      <c r="B1997" s="1"/>
      <c r="C1997" s="1"/>
      <c r="D1997" s="1"/>
      <c r="E1997" s="1"/>
      <c r="F1997" s="1"/>
    </row>
    <row r="1998" spans="1:6" ht="12.5">
      <c r="A1998" s="1"/>
      <c r="B1998" s="1"/>
      <c r="C1998" s="1"/>
      <c r="D1998" s="1"/>
      <c r="E1998" s="1"/>
      <c r="F1998" s="1"/>
    </row>
    <row r="1999" spans="1:6" ht="12.5">
      <c r="A1999" s="1"/>
      <c r="B1999" s="1"/>
      <c r="C1999" s="1"/>
      <c r="D1999" s="1"/>
      <c r="E1999" s="1"/>
      <c r="F1999" s="1"/>
    </row>
    <row r="2000" spans="1:6" ht="12.5">
      <c r="A2000" s="1"/>
      <c r="B2000" s="1"/>
      <c r="C2000" s="1"/>
      <c r="D2000" s="1"/>
      <c r="E2000" s="1"/>
      <c r="F2000" s="1"/>
    </row>
    <row r="2001" spans="1:6" ht="12.5">
      <c r="A2001" s="1"/>
      <c r="B2001" s="1"/>
      <c r="C2001" s="1"/>
      <c r="D2001" s="1"/>
      <c r="E2001" s="1"/>
      <c r="F2001" s="1"/>
    </row>
    <row r="2002" spans="1:6" ht="12.5">
      <c r="A2002" s="1"/>
      <c r="B2002" s="1"/>
      <c r="C2002" s="1"/>
      <c r="D2002" s="1"/>
      <c r="E2002" s="1"/>
      <c r="F2002" s="1"/>
    </row>
    <row r="2003" spans="1:6" ht="12.5">
      <c r="A2003" s="1"/>
      <c r="B2003" s="1"/>
      <c r="C2003" s="1"/>
      <c r="D2003" s="1"/>
      <c r="E2003" s="1"/>
      <c r="F2003" s="1"/>
    </row>
    <row r="2004" spans="1:6" ht="12.5">
      <c r="A2004" s="1"/>
      <c r="B2004" s="1"/>
      <c r="C2004" s="1"/>
      <c r="D2004" s="1"/>
      <c r="E2004" s="1"/>
      <c r="F2004" s="1"/>
    </row>
    <row r="2005" spans="1:6" ht="12.5">
      <c r="A2005" s="1"/>
      <c r="B2005" s="1"/>
      <c r="C2005" s="1"/>
      <c r="D2005" s="1"/>
      <c r="E2005" s="1"/>
      <c r="F2005" s="1"/>
    </row>
    <row r="2006" spans="1:6" ht="12.5">
      <c r="A2006" s="1"/>
      <c r="B2006" s="1"/>
      <c r="C2006" s="1"/>
      <c r="D2006" s="1"/>
      <c r="E2006" s="1"/>
      <c r="F2006" s="1"/>
    </row>
    <row r="2007" spans="1:6" ht="12.5">
      <c r="A2007" s="1"/>
      <c r="B2007" s="1"/>
      <c r="C2007" s="1"/>
      <c r="D2007" s="1"/>
      <c r="E2007" s="1"/>
      <c r="F2007" s="1"/>
    </row>
    <row r="2008" spans="1:6" ht="12.5">
      <c r="A2008" s="1"/>
      <c r="B2008" s="1"/>
      <c r="C2008" s="1"/>
      <c r="D2008" s="1"/>
      <c r="E2008" s="1"/>
      <c r="F2008" s="1"/>
    </row>
    <row r="2009" spans="1:6" ht="12.5">
      <c r="A2009" s="1"/>
      <c r="B2009" s="1"/>
      <c r="C2009" s="1"/>
      <c r="D2009" s="1"/>
      <c r="E2009" s="1"/>
      <c r="F2009" s="1"/>
    </row>
    <row r="2010" spans="1:6" ht="12.5">
      <c r="A2010" s="1"/>
      <c r="B2010" s="1"/>
      <c r="C2010" s="1"/>
      <c r="D2010" s="1"/>
      <c r="E2010" s="1"/>
      <c r="F2010" s="1"/>
    </row>
    <row r="2011" spans="1:6" ht="12.5">
      <c r="A2011" s="1"/>
      <c r="B2011" s="1"/>
      <c r="C2011" s="1"/>
      <c r="D2011" s="1"/>
      <c r="E2011" s="1"/>
      <c r="F2011" s="1"/>
    </row>
    <row r="2012" spans="1:6" ht="12.5">
      <c r="A2012" s="1"/>
      <c r="B2012" s="1"/>
      <c r="C2012" s="1"/>
      <c r="D2012" s="1"/>
      <c r="E2012" s="1"/>
      <c r="F2012" s="1"/>
    </row>
    <row r="2013" spans="1:6" ht="12.5">
      <c r="A2013" s="1"/>
      <c r="B2013" s="1"/>
      <c r="C2013" s="1"/>
      <c r="D2013" s="1"/>
      <c r="E2013" s="1"/>
      <c r="F2013" s="1"/>
    </row>
    <row r="2014" spans="1:6" ht="12.5">
      <c r="A2014" s="1"/>
      <c r="B2014" s="1"/>
      <c r="C2014" s="1"/>
      <c r="D2014" s="1"/>
      <c r="E2014" s="1"/>
      <c r="F2014" s="1"/>
    </row>
    <row r="2015" spans="1:6" ht="12.5">
      <c r="A2015" s="1"/>
      <c r="B2015" s="1"/>
      <c r="C2015" s="1"/>
      <c r="D2015" s="1"/>
      <c r="E2015" s="1"/>
      <c r="F2015" s="1"/>
    </row>
    <row r="2016" spans="1:6" ht="12.5">
      <c r="A2016" s="1"/>
      <c r="B2016" s="1"/>
      <c r="C2016" s="1"/>
      <c r="D2016" s="1"/>
      <c r="E2016" s="1"/>
      <c r="F2016" s="1"/>
    </row>
    <row r="2017" spans="1:6" ht="12.5">
      <c r="A2017" s="1"/>
      <c r="B2017" s="1"/>
      <c r="C2017" s="1"/>
      <c r="D2017" s="1"/>
      <c r="E2017" s="1"/>
      <c r="F2017" s="1"/>
    </row>
    <row r="2018" spans="1:6" ht="12.5">
      <c r="A2018" s="1"/>
      <c r="B2018" s="1"/>
      <c r="C2018" s="1"/>
      <c r="D2018" s="1"/>
      <c r="E2018" s="1"/>
      <c r="F2018" s="1"/>
    </row>
    <row r="2019" spans="1:6" ht="12.5">
      <c r="A2019" s="1"/>
      <c r="B2019" s="1"/>
      <c r="C2019" s="1"/>
      <c r="D2019" s="1"/>
      <c r="E2019" s="1"/>
      <c r="F2019" s="1"/>
    </row>
    <row r="2020" spans="1:6" ht="12.5">
      <c r="A2020" s="1"/>
      <c r="B2020" s="1"/>
      <c r="C2020" s="1"/>
      <c r="D2020" s="1"/>
      <c r="E2020" s="1"/>
      <c r="F2020" s="1"/>
    </row>
    <row r="2021" spans="1:6" ht="12.5">
      <c r="A2021" s="1"/>
      <c r="B2021" s="1"/>
      <c r="C2021" s="1"/>
      <c r="D2021" s="1"/>
      <c r="E2021" s="1"/>
      <c r="F2021" s="1"/>
    </row>
    <row r="2022" spans="1:6" ht="12.5">
      <c r="A2022" s="1"/>
      <c r="B2022" s="1"/>
      <c r="C2022" s="1"/>
      <c r="D2022" s="1"/>
      <c r="E2022" s="1"/>
      <c r="F2022" s="1"/>
    </row>
    <row r="2023" spans="1:6" ht="12.5">
      <c r="A2023" s="1"/>
      <c r="B2023" s="1"/>
      <c r="C2023" s="1"/>
      <c r="D2023" s="1"/>
      <c r="E2023" s="1"/>
      <c r="F2023" s="1"/>
    </row>
    <row r="2024" spans="1:6" ht="12.5">
      <c r="A2024" s="1"/>
      <c r="B2024" s="1"/>
      <c r="C2024" s="1"/>
      <c r="D2024" s="1"/>
      <c r="E2024" s="1"/>
      <c r="F2024" s="1"/>
    </row>
    <row r="2025" spans="1:6" ht="12.5">
      <c r="A2025" s="1"/>
      <c r="B2025" s="1"/>
      <c r="C2025" s="1"/>
      <c r="D2025" s="1"/>
      <c r="E2025" s="1"/>
      <c r="F2025" s="1"/>
    </row>
    <row r="2026" spans="1:6" ht="12.5">
      <c r="A2026" s="1"/>
      <c r="B2026" s="1"/>
      <c r="C2026" s="1"/>
      <c r="D2026" s="1"/>
      <c r="E2026" s="1"/>
      <c r="F2026" s="1"/>
    </row>
    <row r="2027" spans="1:6" ht="12.5">
      <c r="A2027" s="1"/>
      <c r="B2027" s="1"/>
      <c r="C2027" s="1"/>
      <c r="D2027" s="1"/>
      <c r="E2027" s="1"/>
      <c r="F2027" s="1"/>
    </row>
    <row r="2028" spans="1:6" ht="12.5">
      <c r="A2028" s="1"/>
      <c r="B2028" s="1"/>
      <c r="C2028" s="1"/>
      <c r="D2028" s="1"/>
      <c r="E2028" s="1"/>
      <c r="F2028" s="1"/>
    </row>
    <row r="2029" spans="1:6" ht="12.5">
      <c r="A2029" s="1"/>
      <c r="B2029" s="1"/>
      <c r="C2029" s="1"/>
      <c r="D2029" s="1"/>
      <c r="E2029" s="1"/>
      <c r="F2029" s="1"/>
    </row>
    <row r="2030" spans="1:6" ht="12.5">
      <c r="A2030" s="1"/>
      <c r="B2030" s="1"/>
      <c r="C2030" s="1"/>
      <c r="D2030" s="1"/>
      <c r="E2030" s="1"/>
      <c r="F2030" s="1"/>
    </row>
    <row r="2031" spans="1:6" ht="12.5">
      <c r="A2031" s="1"/>
      <c r="B2031" s="1"/>
      <c r="C2031" s="1"/>
      <c r="D2031" s="1"/>
      <c r="E2031" s="1"/>
      <c r="F2031" s="1"/>
    </row>
    <row r="2032" spans="1:6" ht="12.5">
      <c r="A2032" s="1"/>
      <c r="B2032" s="1"/>
      <c r="C2032" s="1"/>
      <c r="D2032" s="1"/>
      <c r="E2032" s="1"/>
      <c r="F2032" s="1"/>
    </row>
    <row r="2033" spans="1:6" ht="12.5">
      <c r="A2033" s="1"/>
      <c r="B2033" s="1"/>
      <c r="C2033" s="1"/>
      <c r="D2033" s="1"/>
      <c r="E2033" s="1"/>
      <c r="F2033" s="1"/>
    </row>
    <row r="2034" spans="1:6" ht="12.5">
      <c r="A2034" s="1"/>
      <c r="B2034" s="1"/>
      <c r="C2034" s="1"/>
      <c r="D2034" s="1"/>
      <c r="E2034" s="1"/>
      <c r="F2034" s="1"/>
    </row>
    <row r="2035" spans="1:6" ht="12.5">
      <c r="A2035" s="1"/>
      <c r="B2035" s="1"/>
      <c r="C2035" s="1"/>
      <c r="D2035" s="1"/>
      <c r="E2035" s="1"/>
      <c r="F2035" s="1"/>
    </row>
    <row r="2036" spans="1:6" ht="12.5">
      <c r="A2036" s="1"/>
      <c r="B2036" s="1"/>
      <c r="C2036" s="1"/>
      <c r="D2036" s="1"/>
      <c r="E2036" s="1"/>
      <c r="F2036" s="1"/>
    </row>
    <row r="2037" spans="1:6" ht="12.5">
      <c r="A2037" s="1"/>
      <c r="B2037" s="1"/>
      <c r="C2037" s="1"/>
      <c r="D2037" s="1"/>
      <c r="E2037" s="1"/>
      <c r="F2037" s="1"/>
    </row>
    <row r="2038" spans="1:6" ht="12.5">
      <c r="A2038" s="1"/>
      <c r="B2038" s="1"/>
      <c r="C2038" s="1"/>
      <c r="D2038" s="1"/>
      <c r="E2038" s="1"/>
      <c r="F2038" s="1"/>
    </row>
    <row r="2039" spans="1:6" ht="12.5">
      <c r="A2039" s="1"/>
      <c r="B2039" s="1"/>
      <c r="C2039" s="1"/>
      <c r="D2039" s="1"/>
      <c r="E2039" s="1"/>
      <c r="F2039" s="1"/>
    </row>
    <row r="2040" spans="1:6" ht="12.5">
      <c r="A2040" s="1"/>
      <c r="B2040" s="1"/>
      <c r="C2040" s="1"/>
      <c r="D2040" s="1"/>
      <c r="E2040" s="1"/>
      <c r="F2040" s="1"/>
    </row>
    <row r="2041" spans="1:6" ht="12.5">
      <c r="A2041" s="1"/>
      <c r="B2041" s="1"/>
      <c r="C2041" s="1"/>
      <c r="D2041" s="1"/>
      <c r="E2041" s="1"/>
      <c r="F2041" s="1"/>
    </row>
    <row r="2042" spans="1:6" ht="12.5">
      <c r="A2042" s="1"/>
      <c r="B2042" s="1"/>
      <c r="C2042" s="1"/>
      <c r="D2042" s="1"/>
      <c r="E2042" s="1"/>
      <c r="F2042" s="1"/>
    </row>
    <row r="2043" spans="1:6" ht="12.5">
      <c r="A2043" s="1"/>
      <c r="B2043" s="1"/>
      <c r="C2043" s="1"/>
      <c r="D2043" s="1"/>
      <c r="E2043" s="1"/>
      <c r="F2043" s="1"/>
    </row>
    <row r="2044" spans="1:6" ht="12.5">
      <c r="A2044" s="1"/>
      <c r="B2044" s="1"/>
      <c r="C2044" s="1"/>
      <c r="D2044" s="1"/>
      <c r="E2044" s="1"/>
      <c r="F2044" s="1"/>
    </row>
    <row r="2045" spans="1:6" ht="12.5">
      <c r="A2045" s="1"/>
      <c r="B2045" s="1"/>
      <c r="C2045" s="1"/>
      <c r="D2045" s="1"/>
      <c r="E2045" s="1"/>
      <c r="F2045" s="1"/>
    </row>
    <row r="2046" spans="1:6" ht="12.5">
      <c r="A2046" s="1"/>
      <c r="B2046" s="1"/>
      <c r="C2046" s="1"/>
      <c r="D2046" s="1"/>
      <c r="E2046" s="1"/>
      <c r="F2046" s="1"/>
    </row>
    <row r="2047" spans="1:6" ht="12.5">
      <c r="A2047" s="1"/>
      <c r="B2047" s="1"/>
      <c r="C2047" s="1"/>
      <c r="D2047" s="1"/>
      <c r="E2047" s="1"/>
      <c r="F2047" s="1"/>
    </row>
    <row r="2048" spans="1:6" ht="12.5">
      <c r="A2048" s="1"/>
      <c r="B2048" s="1"/>
      <c r="C2048" s="1"/>
      <c r="D2048" s="1"/>
      <c r="E2048" s="1"/>
      <c r="F2048" s="1"/>
    </row>
    <row r="2049" spans="1:6" ht="12.5">
      <c r="A2049" s="1"/>
      <c r="B2049" s="1"/>
      <c r="C2049" s="1"/>
      <c r="D2049" s="1"/>
      <c r="E2049" s="1"/>
      <c r="F2049" s="1"/>
    </row>
    <row r="2050" spans="1:6" ht="12.5">
      <c r="A2050" s="1"/>
      <c r="B2050" s="1"/>
      <c r="C2050" s="1"/>
      <c r="D2050" s="1"/>
      <c r="E2050" s="1"/>
      <c r="F2050" s="1"/>
    </row>
    <row r="2051" spans="1:6" ht="12.5">
      <c r="A2051" s="1"/>
      <c r="B2051" s="1"/>
      <c r="C2051" s="1"/>
      <c r="D2051" s="1"/>
      <c r="E2051" s="1"/>
      <c r="F2051" s="1"/>
    </row>
    <row r="2052" spans="1:6" ht="12.5">
      <c r="A2052" s="1"/>
      <c r="B2052" s="1"/>
      <c r="C2052" s="1"/>
      <c r="D2052" s="1"/>
      <c r="E2052" s="1"/>
      <c r="F2052" s="1"/>
    </row>
    <row r="2053" spans="1:6" ht="12.5">
      <c r="A2053" s="1"/>
      <c r="B2053" s="1"/>
      <c r="C2053" s="1"/>
      <c r="D2053" s="1"/>
      <c r="E2053" s="1"/>
      <c r="F2053" s="1"/>
    </row>
    <row r="2054" spans="1:6" ht="12.5">
      <c r="A2054" s="1"/>
      <c r="B2054" s="1"/>
      <c r="C2054" s="1"/>
      <c r="D2054" s="1"/>
      <c r="E2054" s="1"/>
      <c r="F2054" s="1"/>
    </row>
    <row r="2055" spans="1:6" ht="12.5">
      <c r="A2055" s="1"/>
      <c r="B2055" s="1"/>
      <c r="C2055" s="1"/>
      <c r="D2055" s="1"/>
      <c r="E2055" s="1"/>
      <c r="F2055" s="1"/>
    </row>
    <row r="2056" spans="1:6" ht="12.5">
      <c r="A2056" s="1"/>
      <c r="B2056" s="1"/>
      <c r="C2056" s="1"/>
      <c r="D2056" s="1"/>
      <c r="E2056" s="1"/>
      <c r="F2056" s="1"/>
    </row>
    <row r="2057" spans="1:6" ht="12.5">
      <c r="A2057" s="1"/>
      <c r="B2057" s="1"/>
      <c r="C2057" s="1"/>
      <c r="D2057" s="1"/>
      <c r="E2057" s="1"/>
      <c r="F2057" s="1"/>
    </row>
    <row r="2058" spans="1:6" ht="12.5">
      <c r="A2058" s="1"/>
      <c r="B2058" s="1"/>
      <c r="C2058" s="1"/>
      <c r="D2058" s="1"/>
      <c r="E2058" s="1"/>
      <c r="F2058" s="1"/>
    </row>
    <row r="2059" spans="1:6" ht="12.5">
      <c r="A2059" s="1"/>
      <c r="B2059" s="1"/>
      <c r="C2059" s="1"/>
      <c r="D2059" s="1"/>
      <c r="E2059" s="1"/>
      <c r="F2059" s="1"/>
    </row>
    <row r="2060" spans="1:6" ht="12.5">
      <c r="A2060" s="1"/>
      <c r="B2060" s="1"/>
      <c r="C2060" s="1"/>
      <c r="D2060" s="1"/>
      <c r="E2060" s="1"/>
      <c r="F2060" s="1"/>
    </row>
    <row r="2061" spans="1:6" ht="12.5">
      <c r="A2061" s="1"/>
      <c r="B2061" s="1"/>
      <c r="C2061" s="1"/>
      <c r="D2061" s="1"/>
      <c r="E2061" s="1"/>
      <c r="F2061" s="1"/>
    </row>
    <row r="2062" spans="1:6" ht="12.5">
      <c r="A2062" s="1"/>
      <c r="B2062" s="1"/>
      <c r="C2062" s="1"/>
      <c r="D2062" s="1"/>
      <c r="E2062" s="1"/>
      <c r="F2062" s="1"/>
    </row>
    <row r="2063" spans="1:6" ht="12.5">
      <c r="A2063" s="1"/>
      <c r="B2063" s="1"/>
      <c r="C2063" s="1"/>
      <c r="D2063" s="1"/>
      <c r="E2063" s="1"/>
      <c r="F2063" s="1"/>
    </row>
    <row r="2064" spans="1:6" ht="12.5">
      <c r="A2064" s="1"/>
      <c r="B2064" s="1"/>
      <c r="C2064" s="1"/>
      <c r="D2064" s="1"/>
      <c r="E2064" s="1"/>
      <c r="F2064" s="1"/>
    </row>
    <row r="2065" spans="1:6" ht="12.5">
      <c r="A2065" s="1"/>
      <c r="B2065" s="1"/>
      <c r="C2065" s="1"/>
      <c r="D2065" s="1"/>
      <c r="E2065" s="1"/>
      <c r="F2065" s="1"/>
    </row>
    <row r="2066" spans="1:6" ht="12.5">
      <c r="A2066" s="1"/>
      <c r="B2066" s="1"/>
      <c r="C2066" s="1"/>
      <c r="D2066" s="1"/>
      <c r="E2066" s="1"/>
      <c r="F2066" s="1"/>
    </row>
    <row r="2067" spans="1:6" ht="12.5">
      <c r="A2067" s="1"/>
      <c r="B2067" s="1"/>
      <c r="C2067" s="1"/>
      <c r="D2067" s="1"/>
      <c r="E2067" s="1"/>
      <c r="F2067" s="1"/>
    </row>
    <row r="2068" spans="1:6" ht="12.5">
      <c r="A2068" s="1"/>
      <c r="B2068" s="1"/>
      <c r="C2068" s="1"/>
      <c r="D2068" s="1"/>
      <c r="E2068" s="1"/>
      <c r="F2068" s="1"/>
    </row>
    <row r="2069" spans="1:6" ht="12.5">
      <c r="A2069" s="1"/>
      <c r="B2069" s="1"/>
      <c r="C2069" s="1"/>
      <c r="D2069" s="1"/>
      <c r="E2069" s="1"/>
      <c r="F2069" s="1"/>
    </row>
    <row r="2070" spans="1:6" ht="12.5">
      <c r="A2070" s="1"/>
      <c r="B2070" s="1"/>
      <c r="C2070" s="1"/>
      <c r="D2070" s="1"/>
      <c r="E2070" s="1"/>
      <c r="F2070" s="1"/>
    </row>
    <row r="2071" spans="1:6" ht="12.5">
      <c r="A2071" s="1"/>
      <c r="B2071" s="1"/>
      <c r="C2071" s="1"/>
      <c r="D2071" s="1"/>
      <c r="E2071" s="1"/>
      <c r="F2071" s="1"/>
    </row>
    <row r="2072" spans="1:6" ht="12.5">
      <c r="A2072" s="1"/>
      <c r="B2072" s="1"/>
      <c r="C2072" s="1"/>
      <c r="D2072" s="1"/>
      <c r="E2072" s="1"/>
      <c r="F2072" s="1"/>
    </row>
    <row r="2073" spans="1:6" ht="12.5">
      <c r="A2073" s="1"/>
      <c r="B2073" s="1"/>
      <c r="C2073" s="1"/>
      <c r="D2073" s="1"/>
      <c r="E2073" s="1"/>
      <c r="F2073" s="1"/>
    </row>
    <row r="2074" spans="1:6" ht="12.5">
      <c r="A2074" s="1"/>
      <c r="B2074" s="1"/>
      <c r="C2074" s="1"/>
      <c r="D2074" s="1"/>
      <c r="E2074" s="1"/>
      <c r="F2074" s="1"/>
    </row>
    <row r="2075" spans="1:6" ht="12.5">
      <c r="A2075" s="1"/>
      <c r="B2075" s="1"/>
      <c r="C2075" s="1"/>
      <c r="D2075" s="1"/>
      <c r="E2075" s="1"/>
      <c r="F2075" s="1"/>
    </row>
    <row r="2076" spans="1:6" ht="12.5">
      <c r="A2076" s="1"/>
      <c r="B2076" s="1"/>
      <c r="C2076" s="1"/>
      <c r="D2076" s="1"/>
      <c r="E2076" s="1"/>
      <c r="F2076" s="1"/>
    </row>
    <row r="2077" spans="1:6" ht="12.5">
      <c r="A2077" s="1"/>
      <c r="B2077" s="1"/>
      <c r="C2077" s="1"/>
      <c r="D2077" s="1"/>
      <c r="E2077" s="1"/>
      <c r="F2077" s="1"/>
    </row>
    <row r="2078" spans="1:6" ht="12.5">
      <c r="A2078" s="1"/>
      <c r="B2078" s="1"/>
      <c r="C2078" s="1"/>
      <c r="D2078" s="1"/>
      <c r="E2078" s="1"/>
      <c r="F2078" s="1"/>
    </row>
    <row r="2079" spans="1:6" ht="12.5">
      <c r="A2079" s="1"/>
      <c r="B2079" s="1"/>
      <c r="C2079" s="1"/>
      <c r="D2079" s="1"/>
      <c r="E2079" s="1"/>
      <c r="F2079" s="1"/>
    </row>
    <row r="2080" spans="1:6" ht="12.5">
      <c r="A2080" s="1"/>
      <c r="B2080" s="1"/>
      <c r="C2080" s="1"/>
      <c r="D2080" s="1"/>
      <c r="E2080" s="1"/>
      <c r="F2080" s="1"/>
    </row>
    <row r="2081" spans="1:6" ht="12.5">
      <c r="A2081" s="1"/>
      <c r="B2081" s="1"/>
      <c r="C2081" s="1"/>
      <c r="D2081" s="1"/>
      <c r="E2081" s="1"/>
      <c r="F2081" s="1"/>
    </row>
    <row r="2082" spans="1:6" ht="12.5">
      <c r="A2082" s="1"/>
      <c r="B2082" s="1"/>
      <c r="C2082" s="1"/>
      <c r="D2082" s="1"/>
      <c r="E2082" s="1"/>
      <c r="F2082" s="1"/>
    </row>
    <row r="2083" spans="1:6" ht="12.5">
      <c r="A2083" s="1"/>
      <c r="B2083" s="1"/>
      <c r="C2083" s="1"/>
      <c r="D2083" s="1"/>
      <c r="E2083" s="1"/>
      <c r="F2083" s="1"/>
    </row>
    <row r="2084" spans="1:6" ht="12.5">
      <c r="A2084" s="1"/>
      <c r="B2084" s="1"/>
      <c r="C2084" s="1"/>
      <c r="D2084" s="1"/>
      <c r="E2084" s="1"/>
      <c r="F2084" s="1"/>
    </row>
    <row r="2085" spans="1:6" ht="12.5">
      <c r="A2085" s="1"/>
      <c r="B2085" s="1"/>
      <c r="C2085" s="1"/>
      <c r="D2085" s="1"/>
      <c r="E2085" s="1"/>
      <c r="F2085" s="1"/>
    </row>
    <row r="2086" spans="1:6" ht="12.5">
      <c r="A2086" s="1"/>
      <c r="B2086" s="1"/>
      <c r="C2086" s="1"/>
      <c r="D2086" s="1"/>
      <c r="E2086" s="1"/>
      <c r="F2086" s="1"/>
    </row>
    <row r="2087" spans="1:6" ht="12.5">
      <c r="A2087" s="1"/>
      <c r="B2087" s="1"/>
      <c r="C2087" s="1"/>
      <c r="D2087" s="1"/>
      <c r="E2087" s="1"/>
      <c r="F2087" s="1"/>
    </row>
    <row r="2088" spans="1:6" ht="12.5">
      <c r="A2088" s="1"/>
      <c r="B2088" s="1"/>
      <c r="C2088" s="1"/>
      <c r="D2088" s="1"/>
      <c r="E2088" s="1"/>
      <c r="F2088" s="1"/>
    </row>
    <row r="2089" spans="1:6" ht="12.5">
      <c r="A2089" s="1"/>
      <c r="B2089" s="1"/>
      <c r="C2089" s="1"/>
      <c r="D2089" s="1"/>
      <c r="E2089" s="1"/>
      <c r="F2089" s="1"/>
    </row>
    <row r="2090" spans="1:6" ht="12.5">
      <c r="A2090" s="1"/>
      <c r="B2090" s="1"/>
      <c r="C2090" s="1"/>
      <c r="D2090" s="1"/>
      <c r="E2090" s="1"/>
      <c r="F2090" s="1"/>
    </row>
    <row r="2091" spans="1:6" ht="12.5">
      <c r="A2091" s="1"/>
      <c r="B2091" s="1"/>
      <c r="C2091" s="1"/>
      <c r="D2091" s="1"/>
      <c r="E2091" s="1"/>
      <c r="F2091" s="1"/>
    </row>
    <row r="2092" spans="1:6" ht="12.5">
      <c r="A2092" s="1"/>
      <c r="B2092" s="1"/>
      <c r="C2092" s="1"/>
      <c r="D2092" s="1"/>
      <c r="E2092" s="1"/>
      <c r="F2092" s="1"/>
    </row>
    <row r="2093" spans="1:6" ht="12.5">
      <c r="A2093" s="1"/>
      <c r="B2093" s="1"/>
      <c r="C2093" s="1"/>
      <c r="D2093" s="1"/>
      <c r="E2093" s="1"/>
      <c r="F2093" s="1"/>
    </row>
    <row r="2094" spans="1:6" ht="12.5">
      <c r="A2094" s="1"/>
      <c r="B2094" s="1"/>
      <c r="C2094" s="1"/>
      <c r="D2094" s="1"/>
      <c r="E2094" s="1"/>
      <c r="F2094" s="1"/>
    </row>
    <row r="2095" spans="1:6" ht="12.5">
      <c r="A2095" s="1"/>
      <c r="B2095" s="1"/>
      <c r="C2095" s="1"/>
      <c r="D2095" s="1"/>
      <c r="E2095" s="1"/>
      <c r="F2095" s="1"/>
    </row>
    <row r="2096" spans="1:6" ht="12.5">
      <c r="A2096" s="1"/>
      <c r="B2096" s="1"/>
      <c r="C2096" s="1"/>
      <c r="D2096" s="1"/>
      <c r="E2096" s="1"/>
      <c r="F2096" s="1"/>
    </row>
    <row r="2097" spans="1:6" ht="12.5">
      <c r="A2097" s="1"/>
      <c r="B2097" s="1"/>
      <c r="C2097" s="1"/>
      <c r="D2097" s="1"/>
      <c r="E2097" s="1"/>
      <c r="F2097" s="1"/>
    </row>
    <row r="2098" spans="1:6" ht="12.5">
      <c r="A2098" s="1"/>
      <c r="B2098" s="1"/>
      <c r="C2098" s="1"/>
      <c r="D2098" s="1"/>
      <c r="E2098" s="1"/>
      <c r="F2098" s="1"/>
    </row>
    <row r="2099" spans="1:6" ht="12.5">
      <c r="A2099" s="1"/>
      <c r="B2099" s="1"/>
      <c r="C2099" s="1"/>
      <c r="D2099" s="1"/>
      <c r="E2099" s="1"/>
      <c r="F2099" s="1"/>
    </row>
    <row r="2100" spans="1:6" ht="12.5">
      <c r="A2100" s="1"/>
      <c r="B2100" s="1"/>
      <c r="C2100" s="1"/>
      <c r="D2100" s="1"/>
      <c r="E2100" s="1"/>
      <c r="F2100" s="1"/>
    </row>
    <row r="2101" spans="1:6" ht="12.5">
      <c r="A2101" s="1"/>
      <c r="B2101" s="1"/>
      <c r="C2101" s="1"/>
      <c r="D2101" s="1"/>
      <c r="E2101" s="1"/>
      <c r="F2101" s="1"/>
    </row>
    <row r="2102" spans="1:6" ht="12.5">
      <c r="A2102" s="1"/>
      <c r="B2102" s="1"/>
      <c r="C2102" s="1"/>
      <c r="D2102" s="1"/>
      <c r="E2102" s="1"/>
      <c r="F2102" s="1"/>
    </row>
    <row r="2103" spans="1:6" ht="12.5">
      <c r="A2103" s="1"/>
      <c r="B2103" s="1"/>
      <c r="C2103" s="1"/>
      <c r="D2103" s="1"/>
      <c r="E2103" s="1"/>
      <c r="F2103" s="1"/>
    </row>
    <row r="2104" spans="1:6" ht="12.5">
      <c r="A2104" s="1"/>
      <c r="B2104" s="1"/>
      <c r="C2104" s="1"/>
      <c r="D2104" s="1"/>
      <c r="E2104" s="1"/>
      <c r="F2104" s="1"/>
    </row>
    <row r="2105" spans="1:6" ht="12.5">
      <c r="A2105" s="1"/>
      <c r="B2105" s="1"/>
      <c r="C2105" s="1"/>
      <c r="D2105" s="1"/>
      <c r="E2105" s="1"/>
      <c r="F2105" s="1"/>
    </row>
    <row r="2106" spans="1:6" ht="12.5">
      <c r="A2106" s="1"/>
      <c r="B2106" s="1"/>
      <c r="C2106" s="1"/>
      <c r="D2106" s="1"/>
      <c r="E2106" s="1"/>
      <c r="F2106" s="1"/>
    </row>
    <row r="2107" spans="1:6" ht="12.5">
      <c r="A2107" s="1"/>
      <c r="B2107" s="1"/>
      <c r="C2107" s="1"/>
      <c r="D2107" s="1"/>
      <c r="E2107" s="1"/>
      <c r="F2107" s="1"/>
    </row>
    <row r="2108" spans="1:6" ht="12.5">
      <c r="A2108" s="1"/>
      <c r="B2108" s="1"/>
      <c r="C2108" s="1"/>
      <c r="D2108" s="1"/>
      <c r="E2108" s="1"/>
      <c r="F2108" s="1"/>
    </row>
    <row r="2109" spans="1:6" ht="12.5">
      <c r="A2109" s="1"/>
      <c r="B2109" s="1"/>
      <c r="C2109" s="1"/>
      <c r="D2109" s="1"/>
      <c r="E2109" s="1"/>
      <c r="F2109" s="1"/>
    </row>
    <row r="2110" spans="1:6" ht="12.5">
      <c r="A2110" s="1"/>
      <c r="B2110" s="1"/>
      <c r="C2110" s="1"/>
      <c r="D2110" s="1"/>
      <c r="E2110" s="1"/>
      <c r="F2110" s="1"/>
    </row>
    <row r="2111" spans="1:6" ht="12.5">
      <c r="A2111" s="1"/>
      <c r="B2111" s="1"/>
      <c r="C2111" s="1"/>
      <c r="D2111" s="1"/>
      <c r="E2111" s="1"/>
      <c r="F2111" s="1"/>
    </row>
    <row r="2112" spans="1:6" ht="12.5">
      <c r="A2112" s="1"/>
      <c r="B2112" s="1"/>
      <c r="C2112" s="1"/>
      <c r="D2112" s="1"/>
      <c r="E2112" s="1"/>
      <c r="F2112" s="1"/>
    </row>
    <row r="2113" spans="1:6" ht="12.5">
      <c r="A2113" s="1"/>
      <c r="B2113" s="1"/>
      <c r="C2113" s="1"/>
      <c r="D2113" s="1"/>
      <c r="E2113" s="1"/>
      <c r="F2113" s="1"/>
    </row>
    <row r="2114" spans="1:6" ht="12.5">
      <c r="A2114" s="1"/>
      <c r="B2114" s="1"/>
      <c r="C2114" s="1"/>
      <c r="D2114" s="1"/>
      <c r="E2114" s="1"/>
      <c r="F2114" s="1"/>
    </row>
    <row r="2115" spans="1:6" ht="12.5">
      <c r="A2115" s="1"/>
      <c r="B2115" s="1"/>
      <c r="C2115" s="1"/>
      <c r="D2115" s="1"/>
      <c r="E2115" s="1"/>
      <c r="F2115" s="1"/>
    </row>
    <row r="2116" spans="1:6" ht="12.5">
      <c r="A2116" s="1"/>
      <c r="B2116" s="1"/>
      <c r="C2116" s="1"/>
      <c r="D2116" s="1"/>
      <c r="E2116" s="1"/>
      <c r="F2116" s="1"/>
    </row>
    <row r="2117" spans="1:6" ht="12.5">
      <c r="A2117" s="1"/>
      <c r="B2117" s="1"/>
      <c r="C2117" s="1"/>
      <c r="D2117" s="1"/>
      <c r="E2117" s="1"/>
      <c r="F2117" s="1"/>
    </row>
    <row r="2118" spans="1:6" ht="12.5">
      <c r="A2118" s="1"/>
      <c r="B2118" s="1"/>
      <c r="C2118" s="1"/>
      <c r="D2118" s="1"/>
      <c r="E2118" s="1"/>
      <c r="F2118" s="1"/>
    </row>
    <row r="2119" spans="1:6" ht="12.5">
      <c r="A2119" s="1"/>
      <c r="B2119" s="1"/>
      <c r="C2119" s="1"/>
      <c r="D2119" s="1"/>
      <c r="E2119" s="1"/>
      <c r="F2119" s="1"/>
    </row>
    <row r="2120" spans="1:6" ht="12.5">
      <c r="A2120" s="1"/>
      <c r="B2120" s="1"/>
      <c r="C2120" s="1"/>
      <c r="D2120" s="1"/>
      <c r="E2120" s="1"/>
      <c r="F2120" s="1"/>
    </row>
    <row r="2121" spans="1:6" ht="12.5">
      <c r="A2121" s="1"/>
      <c r="B2121" s="1"/>
      <c r="C2121" s="1"/>
      <c r="D2121" s="1"/>
      <c r="E2121" s="1"/>
      <c r="F2121" s="1"/>
    </row>
    <row r="2122" spans="1:6" ht="12.5">
      <c r="A2122" s="1"/>
      <c r="B2122" s="1"/>
      <c r="C2122" s="1"/>
      <c r="D2122" s="1"/>
      <c r="E2122" s="1"/>
      <c r="F2122" s="1"/>
    </row>
    <row r="2123" spans="1:6" ht="12.5">
      <c r="A2123" s="1"/>
      <c r="B2123" s="1"/>
      <c r="C2123" s="1"/>
      <c r="D2123" s="1"/>
      <c r="E2123" s="1"/>
      <c r="F2123" s="1"/>
    </row>
    <row r="2124" spans="1:6" ht="12.5">
      <c r="A2124" s="1"/>
      <c r="B2124" s="1"/>
      <c r="C2124" s="1"/>
      <c r="D2124" s="1"/>
      <c r="E2124" s="1"/>
      <c r="F2124" s="1"/>
    </row>
    <row r="2125" spans="1:6" ht="12.5">
      <c r="A2125" s="1"/>
      <c r="B2125" s="1"/>
      <c r="C2125" s="1"/>
      <c r="D2125" s="1"/>
      <c r="E2125" s="1"/>
      <c r="F2125" s="1"/>
    </row>
    <row r="2126" spans="1:6" ht="12.5">
      <c r="A2126" s="1"/>
      <c r="B2126" s="1"/>
      <c r="C2126" s="1"/>
      <c r="D2126" s="1"/>
      <c r="E2126" s="1"/>
      <c r="F2126" s="1"/>
    </row>
    <row r="2127" spans="1:6" ht="12.5">
      <c r="A2127" s="1"/>
      <c r="B2127" s="1"/>
      <c r="C2127" s="1"/>
      <c r="D2127" s="1"/>
      <c r="E2127" s="1"/>
      <c r="F2127" s="1"/>
    </row>
    <row r="2128" spans="1:6" ht="12.5">
      <c r="A2128" s="1"/>
      <c r="B2128" s="1"/>
      <c r="C2128" s="1"/>
      <c r="D2128" s="1"/>
      <c r="E2128" s="1"/>
      <c r="F2128" s="1"/>
    </row>
    <row r="2129" spans="1:6" ht="12.5">
      <c r="A2129" s="1"/>
      <c r="B2129" s="1"/>
      <c r="C2129" s="1"/>
      <c r="D2129" s="1"/>
      <c r="E2129" s="1"/>
      <c r="F2129" s="1"/>
    </row>
    <row r="2130" spans="1:6" ht="12.5">
      <c r="A2130" s="1"/>
      <c r="B2130" s="1"/>
      <c r="C2130" s="1"/>
      <c r="D2130" s="1"/>
      <c r="E2130" s="1"/>
      <c r="F2130" s="1"/>
    </row>
    <row r="2131" spans="1:6" ht="12.5">
      <c r="A2131" s="1"/>
      <c r="B2131" s="1"/>
      <c r="C2131" s="1"/>
      <c r="D2131" s="1"/>
      <c r="E2131" s="1"/>
      <c r="F2131" s="1"/>
    </row>
    <row r="2132" spans="1:6" ht="12.5">
      <c r="A2132" s="1"/>
      <c r="B2132" s="1"/>
      <c r="C2132" s="1"/>
      <c r="D2132" s="1"/>
      <c r="E2132" s="1"/>
      <c r="F2132" s="1"/>
    </row>
    <row r="2133" spans="1:6" ht="12.5">
      <c r="A2133" s="1"/>
      <c r="B2133" s="1"/>
      <c r="C2133" s="1"/>
      <c r="D2133" s="1"/>
      <c r="E2133" s="1"/>
      <c r="F2133" s="1"/>
    </row>
    <row r="2134" spans="1:6" ht="12.5">
      <c r="A2134" s="1"/>
      <c r="B2134" s="1"/>
      <c r="C2134" s="1"/>
      <c r="D2134" s="1"/>
      <c r="E2134" s="1"/>
      <c r="F2134" s="1"/>
    </row>
    <row r="2135" spans="1:6" ht="12.5">
      <c r="A2135" s="1"/>
      <c r="B2135" s="1"/>
      <c r="C2135" s="1"/>
      <c r="D2135" s="1"/>
      <c r="E2135" s="1"/>
      <c r="F2135" s="1"/>
    </row>
    <row r="2136" spans="1:6" ht="12.5">
      <c r="A2136" s="1"/>
      <c r="B2136" s="1"/>
      <c r="C2136" s="1"/>
      <c r="D2136" s="1"/>
      <c r="E2136" s="1"/>
      <c r="F2136" s="1"/>
    </row>
    <row r="2137" spans="1:6" ht="12.5">
      <c r="A2137" s="1"/>
      <c r="B2137" s="1"/>
      <c r="C2137" s="1"/>
      <c r="D2137" s="1"/>
      <c r="E2137" s="1"/>
      <c r="F2137" s="1"/>
    </row>
    <row r="2138" spans="1:6" ht="12.5">
      <c r="A2138" s="1"/>
      <c r="B2138" s="1"/>
      <c r="C2138" s="1"/>
      <c r="D2138" s="1"/>
      <c r="E2138" s="1"/>
      <c r="F2138" s="1"/>
    </row>
    <row r="2139" spans="1:6" ht="12.5">
      <c r="A2139" s="1"/>
      <c r="B2139" s="1"/>
      <c r="C2139" s="1"/>
      <c r="D2139" s="1"/>
      <c r="E2139" s="1"/>
      <c r="F2139" s="1"/>
    </row>
    <row r="2140" spans="1:6" ht="12.5">
      <c r="A2140" s="1"/>
      <c r="B2140" s="1"/>
      <c r="C2140" s="1"/>
      <c r="D2140" s="1"/>
      <c r="E2140" s="1"/>
      <c r="F2140" s="1"/>
    </row>
    <row r="2141" spans="1:6" ht="12.5">
      <c r="A2141" s="1"/>
      <c r="B2141" s="1"/>
      <c r="C2141" s="1"/>
      <c r="D2141" s="1"/>
      <c r="E2141" s="1"/>
      <c r="F2141" s="1"/>
    </row>
    <row r="2142" spans="1:6" ht="12.5">
      <c r="A2142" s="1"/>
      <c r="B2142" s="1"/>
      <c r="C2142" s="1"/>
      <c r="D2142" s="1"/>
      <c r="E2142" s="1"/>
      <c r="F2142" s="1"/>
    </row>
    <row r="2143" spans="1:6" ht="12.5">
      <c r="A2143" s="1"/>
      <c r="B2143" s="1"/>
      <c r="C2143" s="1"/>
      <c r="D2143" s="1"/>
      <c r="E2143" s="1"/>
      <c r="F2143" s="1"/>
    </row>
    <row r="2144" spans="1:6" ht="12.5">
      <c r="A2144" s="1"/>
      <c r="B2144" s="1"/>
      <c r="C2144" s="1"/>
      <c r="D2144" s="1"/>
      <c r="E2144" s="1"/>
      <c r="F2144" s="1"/>
    </row>
    <row r="2145" spans="1:6" ht="12.5">
      <c r="A2145" s="1"/>
      <c r="B2145" s="1"/>
      <c r="C2145" s="1"/>
      <c r="D2145" s="1"/>
      <c r="E2145" s="1"/>
      <c r="F2145" s="1"/>
    </row>
    <row r="2146" spans="1:6" ht="12.5">
      <c r="A2146" s="1"/>
      <c r="B2146" s="1"/>
      <c r="C2146" s="1"/>
      <c r="D2146" s="1"/>
      <c r="E2146" s="1"/>
      <c r="F2146" s="1"/>
    </row>
    <row r="2147" spans="1:6" ht="12.5">
      <c r="A2147" s="1"/>
      <c r="B2147" s="1"/>
      <c r="C2147" s="1"/>
      <c r="D2147" s="1"/>
      <c r="E2147" s="1"/>
      <c r="F2147" s="1"/>
    </row>
    <row r="2148" spans="1:6" ht="12.5">
      <c r="A2148" s="1"/>
      <c r="B2148" s="1"/>
      <c r="C2148" s="1"/>
      <c r="D2148" s="1"/>
      <c r="E2148" s="1"/>
      <c r="F2148" s="1"/>
    </row>
    <row r="2149" spans="1:6" ht="12.5">
      <c r="A2149" s="1"/>
      <c r="B2149" s="1"/>
      <c r="C2149" s="1"/>
      <c r="D2149" s="1"/>
      <c r="E2149" s="1"/>
      <c r="F2149" s="1"/>
    </row>
    <row r="2150" spans="1:6" ht="12.5">
      <c r="A2150" s="1"/>
      <c r="B2150" s="1"/>
      <c r="C2150" s="1"/>
      <c r="D2150" s="1"/>
      <c r="E2150" s="1"/>
      <c r="F2150" s="1"/>
    </row>
    <row r="2151" spans="1:6" ht="12.5">
      <c r="A2151" s="1"/>
      <c r="B2151" s="1"/>
      <c r="C2151" s="1"/>
      <c r="D2151" s="1"/>
      <c r="E2151" s="1"/>
      <c r="F2151" s="1"/>
    </row>
    <row r="2152" spans="1:6" ht="12.5">
      <c r="A2152" s="1"/>
      <c r="B2152" s="1"/>
      <c r="C2152" s="1"/>
      <c r="D2152" s="1"/>
      <c r="E2152" s="1"/>
      <c r="F2152" s="1"/>
    </row>
    <row r="2153" spans="1:6" ht="12.5">
      <c r="A2153" s="1"/>
      <c r="B2153" s="1"/>
      <c r="C2153" s="1"/>
      <c r="D2153" s="1"/>
      <c r="E2153" s="1"/>
      <c r="F2153" s="1"/>
    </row>
    <row r="2154" spans="1:6" ht="12.5">
      <c r="A2154" s="1"/>
      <c r="B2154" s="1"/>
      <c r="C2154" s="1"/>
      <c r="D2154" s="1"/>
      <c r="E2154" s="1"/>
      <c r="F2154" s="1"/>
    </row>
    <row r="2155" spans="1:6" ht="12.5">
      <c r="A2155" s="1"/>
      <c r="B2155" s="1"/>
      <c r="C2155" s="1"/>
      <c r="D2155" s="1"/>
      <c r="E2155" s="1"/>
      <c r="F2155" s="1"/>
    </row>
    <row r="2156" spans="1:6" ht="12.5">
      <c r="A2156" s="1"/>
      <c r="B2156" s="1"/>
      <c r="C2156" s="1"/>
      <c r="D2156" s="1"/>
      <c r="E2156" s="1"/>
      <c r="F2156" s="1"/>
    </row>
    <row r="2157" spans="1:6" ht="12.5">
      <c r="A2157" s="1"/>
      <c r="B2157" s="1"/>
      <c r="C2157" s="1"/>
      <c r="D2157" s="1"/>
      <c r="E2157" s="1"/>
      <c r="F2157" s="1"/>
    </row>
    <row r="2158" spans="1:6" ht="12.5">
      <c r="A2158" s="1"/>
      <c r="B2158" s="1"/>
      <c r="C2158" s="1"/>
      <c r="D2158" s="1"/>
      <c r="E2158" s="1"/>
      <c r="F2158" s="1"/>
    </row>
    <row r="2159" spans="1:6" ht="12.5">
      <c r="A2159" s="1"/>
      <c r="B2159" s="1"/>
      <c r="C2159" s="1"/>
      <c r="D2159" s="1"/>
      <c r="E2159" s="1"/>
      <c r="F2159" s="1"/>
    </row>
    <row r="2160" spans="1:6" ht="12.5">
      <c r="A2160" s="1"/>
      <c r="B2160" s="1"/>
      <c r="C2160" s="1"/>
      <c r="D2160" s="1"/>
      <c r="E2160" s="1"/>
      <c r="F2160" s="1"/>
    </row>
    <row r="2161" spans="1:6" ht="12.5">
      <c r="A2161" s="1"/>
      <c r="B2161" s="1"/>
      <c r="C2161" s="1"/>
      <c r="D2161" s="1"/>
      <c r="E2161" s="1"/>
      <c r="F2161" s="1"/>
    </row>
    <row r="2162" spans="1:6" ht="12.5">
      <c r="A2162" s="1"/>
      <c r="B2162" s="1"/>
      <c r="C2162" s="1"/>
      <c r="D2162" s="1"/>
      <c r="E2162" s="1"/>
      <c r="F2162" s="1"/>
    </row>
    <row r="2163" spans="1:6" ht="12.5">
      <c r="A2163" s="1"/>
      <c r="B2163" s="1"/>
      <c r="C2163" s="1"/>
      <c r="D2163" s="1"/>
      <c r="E2163" s="1"/>
      <c r="F2163" s="1"/>
    </row>
    <row r="2164" spans="1:6" ht="12.5">
      <c r="A2164" s="1"/>
      <c r="B2164" s="1"/>
      <c r="C2164" s="1"/>
      <c r="D2164" s="1"/>
      <c r="E2164" s="1"/>
      <c r="F2164" s="1"/>
    </row>
    <row r="2165" spans="1:6" ht="12.5">
      <c r="A2165" s="1"/>
      <c r="B2165" s="1"/>
      <c r="C2165" s="1"/>
      <c r="D2165" s="1"/>
      <c r="E2165" s="1"/>
      <c r="F2165" s="1"/>
    </row>
    <row r="2166" spans="1:6" ht="12.5">
      <c r="A2166" s="1"/>
      <c r="B2166" s="1"/>
      <c r="C2166" s="1"/>
      <c r="D2166" s="1"/>
      <c r="E2166" s="1"/>
      <c r="F2166" s="1"/>
    </row>
    <row r="2167" spans="1:6" ht="12.5">
      <c r="A2167" s="1"/>
      <c r="B2167" s="1"/>
      <c r="C2167" s="1"/>
      <c r="D2167" s="1"/>
      <c r="E2167" s="1"/>
      <c r="F2167" s="1"/>
    </row>
    <row r="2168" spans="1:6" ht="12.5">
      <c r="A2168" s="1"/>
      <c r="B2168" s="1"/>
      <c r="C2168" s="1"/>
      <c r="D2168" s="1"/>
      <c r="E2168" s="1"/>
      <c r="F2168" s="1"/>
    </row>
    <row r="2169" spans="1:6" ht="12.5">
      <c r="A2169" s="1"/>
      <c r="B2169" s="1"/>
      <c r="C2169" s="1"/>
      <c r="D2169" s="1"/>
      <c r="E2169" s="1"/>
      <c r="F2169" s="1"/>
    </row>
    <row r="2170" spans="1:6" ht="12.5">
      <c r="A2170" s="1"/>
      <c r="B2170" s="1"/>
      <c r="C2170" s="1"/>
      <c r="D2170" s="1"/>
      <c r="E2170" s="1"/>
      <c r="F2170" s="1"/>
    </row>
    <row r="2171" spans="1:6" ht="12.5">
      <c r="A2171" s="1"/>
      <c r="B2171" s="1"/>
      <c r="C2171" s="1"/>
      <c r="D2171" s="1"/>
      <c r="E2171" s="1"/>
      <c r="F2171" s="1"/>
    </row>
    <row r="2172" spans="1:6" ht="12.5">
      <c r="A2172" s="1"/>
      <c r="B2172" s="1"/>
      <c r="C2172" s="1"/>
      <c r="D2172" s="1"/>
      <c r="E2172" s="1"/>
      <c r="F2172" s="1"/>
    </row>
    <row r="2173" spans="1:6" ht="12.5">
      <c r="A2173" s="1"/>
      <c r="B2173" s="1"/>
      <c r="C2173" s="1"/>
      <c r="D2173" s="1"/>
      <c r="E2173" s="1"/>
      <c r="F2173" s="1"/>
    </row>
    <row r="2174" spans="1:6" ht="12.5">
      <c r="A2174" s="1"/>
      <c r="B2174" s="1"/>
      <c r="C2174" s="1"/>
      <c r="D2174" s="1"/>
      <c r="E2174" s="1"/>
      <c r="F2174" s="1"/>
    </row>
    <row r="2175" spans="1:6" ht="12.5">
      <c r="A2175" s="1"/>
      <c r="B2175" s="1"/>
      <c r="C2175" s="1"/>
      <c r="D2175" s="1"/>
      <c r="E2175" s="1"/>
      <c r="F2175" s="1"/>
    </row>
    <row r="2176" spans="1:6" ht="12.5">
      <c r="A2176" s="1"/>
      <c r="B2176" s="1"/>
      <c r="C2176" s="1"/>
      <c r="D2176" s="1"/>
      <c r="E2176" s="1"/>
      <c r="F2176" s="1"/>
    </row>
    <row r="2177" spans="1:6" ht="12.5">
      <c r="A2177" s="1"/>
      <c r="B2177" s="1"/>
      <c r="C2177" s="1"/>
      <c r="D2177" s="1"/>
      <c r="E2177" s="1"/>
      <c r="F2177" s="1"/>
    </row>
    <row r="2178" spans="1:6" ht="12.5">
      <c r="A2178" s="1"/>
      <c r="B2178" s="1"/>
      <c r="C2178" s="1"/>
      <c r="D2178" s="1"/>
      <c r="E2178" s="1"/>
      <c r="F2178" s="1"/>
    </row>
    <row r="2179" spans="1:6" ht="12.5">
      <c r="A2179" s="1"/>
      <c r="B2179" s="1"/>
      <c r="C2179" s="1"/>
      <c r="D2179" s="1"/>
      <c r="E2179" s="1"/>
      <c r="F2179" s="1"/>
    </row>
    <row r="2180" spans="1:6" ht="12.5">
      <c r="A2180" s="1"/>
      <c r="B2180" s="1"/>
      <c r="C2180" s="1"/>
      <c r="D2180" s="1"/>
      <c r="E2180" s="1"/>
      <c r="F2180" s="1"/>
    </row>
    <row r="2181" spans="1:6" ht="12.5">
      <c r="A2181" s="1"/>
      <c r="B2181" s="1"/>
      <c r="C2181" s="1"/>
      <c r="D2181" s="1"/>
      <c r="E2181" s="1"/>
      <c r="F2181" s="1"/>
    </row>
    <row r="2182" spans="1:6" ht="12.5">
      <c r="A2182" s="1"/>
      <c r="B2182" s="1"/>
      <c r="C2182" s="1"/>
      <c r="D2182" s="1"/>
      <c r="E2182" s="1"/>
      <c r="F2182" s="1"/>
    </row>
    <row r="2183" spans="1:6" ht="12.5">
      <c r="A2183" s="1"/>
      <c r="B2183" s="1"/>
      <c r="C2183" s="1"/>
      <c r="D2183" s="1"/>
      <c r="E2183" s="1"/>
      <c r="F2183" s="1"/>
    </row>
    <row r="2184" spans="1:6" ht="12.5">
      <c r="A2184" s="1"/>
      <c r="B2184" s="1"/>
      <c r="C2184" s="1"/>
      <c r="D2184" s="1"/>
      <c r="E2184" s="1"/>
      <c r="F2184" s="1"/>
    </row>
    <row r="2185" spans="1:6" ht="12.5">
      <c r="A2185" s="1"/>
      <c r="B2185" s="1"/>
      <c r="C2185" s="1"/>
      <c r="D2185" s="1"/>
      <c r="E2185" s="1"/>
      <c r="F2185" s="1"/>
    </row>
    <row r="2186" spans="1:6" ht="12.5">
      <c r="A2186" s="1"/>
      <c r="B2186" s="1"/>
      <c r="C2186" s="1"/>
      <c r="D2186" s="1"/>
      <c r="E2186" s="1"/>
      <c r="F2186" s="1"/>
    </row>
    <row r="2187" spans="1:6" ht="12.5">
      <c r="A2187" s="1"/>
      <c r="B2187" s="1"/>
      <c r="C2187" s="1"/>
      <c r="D2187" s="1"/>
      <c r="E2187" s="1"/>
      <c r="F2187" s="1"/>
    </row>
    <row r="2188" spans="1:6" ht="12.5">
      <c r="A2188" s="1"/>
      <c r="B2188" s="1"/>
      <c r="C2188" s="1"/>
      <c r="D2188" s="1"/>
      <c r="E2188" s="1"/>
      <c r="F2188" s="1"/>
    </row>
    <row r="2189" spans="1:6" ht="12.5">
      <c r="A2189" s="1"/>
      <c r="B2189" s="1"/>
      <c r="C2189" s="1"/>
      <c r="D2189" s="1"/>
      <c r="E2189" s="1"/>
      <c r="F2189" s="1"/>
    </row>
    <row r="2190" spans="1:6" ht="12.5">
      <c r="A2190" s="1"/>
      <c r="B2190" s="1"/>
      <c r="C2190" s="1"/>
      <c r="D2190" s="1"/>
      <c r="E2190" s="1"/>
      <c r="F2190" s="1"/>
    </row>
    <row r="2191" spans="1:6" ht="12.5">
      <c r="A2191" s="1"/>
      <c r="B2191" s="1"/>
      <c r="C2191" s="1"/>
      <c r="D2191" s="1"/>
      <c r="E2191" s="1"/>
      <c r="F2191" s="1"/>
    </row>
    <row r="2192" spans="1:6" ht="12.5">
      <c r="A2192" s="1"/>
      <c r="B2192" s="1"/>
      <c r="C2192" s="1"/>
      <c r="D2192" s="1"/>
      <c r="E2192" s="1"/>
      <c r="F2192" s="1"/>
    </row>
    <row r="2193" spans="1:6" ht="12.5">
      <c r="A2193" s="1"/>
      <c r="B2193" s="1"/>
      <c r="C2193" s="1"/>
      <c r="D2193" s="1"/>
      <c r="E2193" s="1"/>
      <c r="F2193" s="1"/>
    </row>
    <row r="2194" spans="1:6" ht="12.5">
      <c r="A2194" s="1"/>
      <c r="B2194" s="1"/>
      <c r="C2194" s="1"/>
      <c r="D2194" s="1"/>
      <c r="E2194" s="1"/>
      <c r="F2194" s="1"/>
    </row>
    <row r="2195" spans="1:6" ht="12.5">
      <c r="A2195" s="1"/>
      <c r="B2195" s="1"/>
      <c r="C2195" s="1"/>
      <c r="D2195" s="1"/>
      <c r="E2195" s="1"/>
      <c r="F2195" s="1"/>
    </row>
    <row r="2196" spans="1:6" ht="12.5">
      <c r="A2196" s="1"/>
      <c r="B2196" s="1"/>
      <c r="C2196" s="1"/>
      <c r="D2196" s="1"/>
      <c r="E2196" s="1"/>
      <c r="F2196" s="1"/>
    </row>
    <row r="2197" spans="1:6" ht="12.5">
      <c r="A2197" s="1"/>
      <c r="B2197" s="1"/>
      <c r="C2197" s="1"/>
      <c r="D2197" s="1"/>
      <c r="E2197" s="1"/>
      <c r="F2197" s="1"/>
    </row>
    <row r="2198" spans="1:6" ht="12.5">
      <c r="A2198" s="1"/>
      <c r="B2198" s="1"/>
      <c r="C2198" s="1"/>
      <c r="D2198" s="1"/>
      <c r="E2198" s="1"/>
      <c r="F2198" s="1"/>
    </row>
    <row r="2199" spans="1:6" ht="12.5">
      <c r="A2199" s="1"/>
      <c r="B2199" s="1"/>
      <c r="C2199" s="1"/>
      <c r="D2199" s="1"/>
      <c r="E2199" s="1"/>
      <c r="F2199" s="1"/>
    </row>
    <row r="2200" spans="1:6" ht="12.5">
      <c r="A2200" s="1"/>
      <c r="B2200" s="1"/>
      <c r="C2200" s="1"/>
      <c r="D2200" s="1"/>
      <c r="E2200" s="1"/>
      <c r="F2200" s="1"/>
    </row>
    <row r="2201" spans="1:6" ht="12.5">
      <c r="A2201" s="1"/>
      <c r="B2201" s="1"/>
      <c r="C2201" s="1"/>
      <c r="D2201" s="1"/>
      <c r="E2201" s="1"/>
      <c r="F2201" s="1"/>
    </row>
    <row r="2202" spans="1:6" ht="12.5">
      <c r="A2202" s="1"/>
      <c r="B2202" s="1"/>
      <c r="C2202" s="1"/>
      <c r="D2202" s="1"/>
      <c r="E2202" s="1"/>
      <c r="F2202" s="1"/>
    </row>
    <row r="2203" spans="1:6" ht="12.5">
      <c r="A2203" s="1"/>
      <c r="B2203" s="1"/>
      <c r="C2203" s="1"/>
      <c r="D2203" s="1"/>
      <c r="E2203" s="1"/>
      <c r="F2203" s="1"/>
    </row>
    <row r="2204" spans="1:6" ht="12.5">
      <c r="A2204" s="1"/>
      <c r="B2204" s="1"/>
      <c r="C2204" s="1"/>
      <c r="D2204" s="1"/>
      <c r="E2204" s="1"/>
      <c r="F2204" s="1"/>
    </row>
    <row r="2205" spans="1:6" ht="12.5">
      <c r="A2205" s="1"/>
      <c r="B2205" s="1"/>
      <c r="C2205" s="1"/>
      <c r="D2205" s="1"/>
      <c r="E2205" s="1"/>
      <c r="F2205" s="1"/>
    </row>
    <row r="2206" spans="1:6" ht="12.5">
      <c r="A2206" s="1"/>
      <c r="B2206" s="1"/>
      <c r="C2206" s="1"/>
      <c r="D2206" s="1"/>
      <c r="E2206" s="1"/>
      <c r="F2206" s="1"/>
    </row>
    <row r="2207" spans="1:6" ht="12.5">
      <c r="A2207" s="1"/>
      <c r="B2207" s="1"/>
      <c r="C2207" s="1"/>
      <c r="D2207" s="1"/>
      <c r="E2207" s="1"/>
      <c r="F2207" s="1"/>
    </row>
    <row r="2208" spans="1:6" ht="12.5">
      <c r="A2208" s="1"/>
      <c r="B2208" s="1"/>
      <c r="C2208" s="1"/>
      <c r="D2208" s="1"/>
      <c r="E2208" s="1"/>
      <c r="F2208" s="1"/>
    </row>
    <row r="2209" spans="1:6" ht="12.5">
      <c r="A2209" s="1"/>
      <c r="B2209" s="1"/>
      <c r="C2209" s="1"/>
      <c r="D2209" s="1"/>
      <c r="E2209" s="1"/>
      <c r="F2209" s="1"/>
    </row>
    <row r="2210" spans="1:6" ht="12.5">
      <c r="A2210" s="1"/>
      <c r="B2210" s="1"/>
      <c r="C2210" s="1"/>
      <c r="D2210" s="1"/>
      <c r="E2210" s="1"/>
      <c r="F2210" s="1"/>
    </row>
    <row r="2211" spans="1:6" ht="12.5">
      <c r="A2211" s="1"/>
      <c r="B2211" s="1"/>
      <c r="C2211" s="1"/>
      <c r="D2211" s="1"/>
      <c r="E2211" s="1"/>
      <c r="F2211" s="1"/>
    </row>
    <row r="2212" spans="1:6" ht="12.5">
      <c r="A2212" s="1"/>
      <c r="B2212" s="1"/>
      <c r="C2212" s="1"/>
      <c r="D2212" s="1"/>
      <c r="E2212" s="1"/>
      <c r="F2212" s="1"/>
    </row>
    <row r="2213" spans="1:6" ht="12.5">
      <c r="A2213" s="1"/>
      <c r="B2213" s="1"/>
      <c r="C2213" s="1"/>
      <c r="D2213" s="1"/>
      <c r="E2213" s="1"/>
      <c r="F2213" s="1"/>
    </row>
    <row r="2214" spans="1:6" ht="12.5">
      <c r="A2214" s="1"/>
      <c r="B2214" s="1"/>
      <c r="C2214" s="1"/>
      <c r="D2214" s="1"/>
      <c r="E2214" s="1"/>
      <c r="F2214" s="1"/>
    </row>
    <row r="2215" spans="1:6" ht="12.5">
      <c r="A2215" s="1"/>
      <c r="B2215" s="1"/>
      <c r="C2215" s="1"/>
      <c r="D2215" s="1"/>
      <c r="E2215" s="1"/>
      <c r="F2215" s="1"/>
    </row>
    <row r="2216" spans="1:6" ht="12.5">
      <c r="A2216" s="1"/>
      <c r="B2216" s="1"/>
      <c r="C2216" s="1"/>
      <c r="D2216" s="1"/>
      <c r="E2216" s="1"/>
      <c r="F2216" s="1"/>
    </row>
    <row r="2217" spans="1:6" ht="12.5">
      <c r="A2217" s="1"/>
      <c r="B2217" s="1"/>
      <c r="C2217" s="1"/>
      <c r="D2217" s="1"/>
      <c r="E2217" s="1"/>
      <c r="F2217" s="1"/>
    </row>
    <row r="2218" spans="1:6" ht="12.5">
      <c r="A2218" s="1"/>
      <c r="B2218" s="1"/>
      <c r="C2218" s="1"/>
      <c r="D2218" s="1"/>
      <c r="E2218" s="1"/>
      <c r="F2218" s="1"/>
    </row>
    <row r="2219" spans="1:6" ht="12.5">
      <c r="A2219" s="1"/>
      <c r="B2219" s="1"/>
      <c r="C2219" s="1"/>
      <c r="D2219" s="1"/>
      <c r="E2219" s="1"/>
      <c r="F2219" s="1"/>
    </row>
    <row r="2220" spans="1:6" ht="12.5">
      <c r="A2220" s="1"/>
      <c r="B2220" s="1"/>
      <c r="C2220" s="1"/>
      <c r="D2220" s="1"/>
      <c r="E2220" s="1"/>
      <c r="F2220" s="1"/>
    </row>
    <row r="2221" spans="1:6" ht="12.5">
      <c r="A2221" s="1"/>
      <c r="B2221" s="1"/>
      <c r="C2221" s="1"/>
      <c r="D2221" s="1"/>
      <c r="E2221" s="1"/>
      <c r="F2221" s="1"/>
    </row>
    <row r="2222" spans="1:6" ht="12.5">
      <c r="A2222" s="1"/>
      <c r="B2222" s="1"/>
      <c r="C2222" s="1"/>
      <c r="D2222" s="1"/>
      <c r="E2222" s="1"/>
      <c r="F2222" s="1"/>
    </row>
    <row r="2223" spans="1:6" ht="12.5">
      <c r="A2223" s="1"/>
      <c r="B2223" s="1"/>
      <c r="C2223" s="1"/>
      <c r="D2223" s="1"/>
      <c r="E2223" s="1"/>
      <c r="F2223" s="1"/>
    </row>
    <row r="2224" spans="1:6" ht="12.5">
      <c r="A2224" s="1"/>
      <c r="B2224" s="1"/>
      <c r="C2224" s="1"/>
      <c r="D2224" s="1"/>
      <c r="E2224" s="1"/>
      <c r="F2224" s="1"/>
    </row>
    <row r="2225" spans="1:6" ht="12.5">
      <c r="A2225" s="1"/>
      <c r="B2225" s="1"/>
      <c r="C2225" s="1"/>
      <c r="D2225" s="1"/>
      <c r="E2225" s="1"/>
      <c r="F2225" s="1"/>
    </row>
    <row r="2226" spans="1:6" ht="12.5">
      <c r="A2226" s="1"/>
      <c r="B2226" s="1"/>
      <c r="C2226" s="1"/>
      <c r="D2226" s="1"/>
      <c r="E2226" s="1"/>
      <c r="F2226" s="1"/>
    </row>
    <row r="2227" spans="1:6" ht="12.5">
      <c r="A2227" s="1"/>
      <c r="B2227" s="1"/>
      <c r="C2227" s="1"/>
      <c r="D2227" s="1"/>
      <c r="E2227" s="1"/>
      <c r="F2227" s="1"/>
    </row>
    <row r="2228" spans="1:6" ht="12.5">
      <c r="A2228" s="1"/>
      <c r="B2228" s="1"/>
      <c r="C2228" s="1"/>
      <c r="D2228" s="1"/>
      <c r="E2228" s="1"/>
      <c r="F2228" s="1"/>
    </row>
    <row r="2229" spans="1:6" ht="12.5">
      <c r="A2229" s="1"/>
      <c r="B2229" s="1"/>
      <c r="C2229" s="1"/>
      <c r="D2229" s="1"/>
      <c r="E2229" s="1"/>
      <c r="F2229" s="1"/>
    </row>
    <row r="2230" spans="1:6" ht="12.5">
      <c r="A2230" s="1"/>
      <c r="B2230" s="1"/>
      <c r="C2230" s="1"/>
      <c r="D2230" s="1"/>
      <c r="E2230" s="1"/>
      <c r="F2230" s="1"/>
    </row>
    <row r="2231" spans="1:6" ht="12.5">
      <c r="A2231" s="1"/>
      <c r="B2231" s="1"/>
      <c r="C2231" s="1"/>
      <c r="D2231" s="1"/>
      <c r="E2231" s="1"/>
      <c r="F2231" s="1"/>
    </row>
    <row r="2232" spans="1:6" ht="12.5">
      <c r="A2232" s="1"/>
      <c r="B2232" s="1"/>
      <c r="C2232" s="1"/>
      <c r="D2232" s="1"/>
      <c r="E2232" s="1"/>
      <c r="F2232" s="1"/>
    </row>
    <row r="2233" spans="1:6" ht="12.5">
      <c r="A2233" s="1"/>
      <c r="B2233" s="1"/>
      <c r="C2233" s="1"/>
      <c r="D2233" s="1"/>
      <c r="E2233" s="1"/>
      <c r="F2233" s="1"/>
    </row>
    <row r="2234" spans="1:6" ht="12.5">
      <c r="A2234" s="1"/>
      <c r="B2234" s="1"/>
      <c r="C2234" s="1"/>
      <c r="D2234" s="1"/>
      <c r="E2234" s="1"/>
      <c r="F2234" s="1"/>
    </row>
    <row r="2235" spans="1:6" ht="12.5">
      <c r="A2235" s="1"/>
      <c r="B2235" s="1"/>
      <c r="C2235" s="1"/>
      <c r="D2235" s="1"/>
      <c r="E2235" s="1"/>
      <c r="F2235" s="1"/>
    </row>
    <row r="2236" spans="1:6" ht="12.5">
      <c r="A2236" s="1"/>
      <c r="B2236" s="1"/>
      <c r="C2236" s="1"/>
      <c r="D2236" s="1"/>
      <c r="E2236" s="1"/>
      <c r="F2236" s="1"/>
    </row>
    <row r="2237" spans="1:6" ht="12.5">
      <c r="A2237" s="1"/>
      <c r="B2237" s="1"/>
      <c r="C2237" s="1"/>
      <c r="D2237" s="1"/>
      <c r="E2237" s="1"/>
      <c r="F2237" s="1"/>
    </row>
    <row r="2238" spans="1:6" ht="12.5">
      <c r="A2238" s="1"/>
      <c r="B2238" s="1"/>
      <c r="C2238" s="1"/>
      <c r="D2238" s="1"/>
      <c r="E2238" s="1"/>
      <c r="F2238" s="1"/>
    </row>
    <row r="2239" spans="1:6" ht="12.5">
      <c r="A2239" s="1"/>
      <c r="B2239" s="1"/>
      <c r="C2239" s="1"/>
      <c r="D2239" s="1"/>
      <c r="E2239" s="1"/>
      <c r="F2239" s="1"/>
    </row>
    <row r="2240" spans="1:6" ht="12.5">
      <c r="A2240" s="1"/>
      <c r="B2240" s="1"/>
      <c r="C2240" s="1"/>
      <c r="D2240" s="1"/>
      <c r="E2240" s="1"/>
      <c r="F2240" s="1"/>
    </row>
    <row r="2241" spans="1:6" ht="12.5">
      <c r="A2241" s="1"/>
      <c r="B2241" s="1"/>
      <c r="C2241" s="1"/>
      <c r="D2241" s="1"/>
      <c r="E2241" s="1"/>
      <c r="F2241" s="1"/>
    </row>
    <row r="2242" spans="1:6" ht="12.5">
      <c r="A2242" s="1"/>
      <c r="B2242" s="1"/>
      <c r="C2242" s="1"/>
      <c r="D2242" s="1"/>
      <c r="E2242" s="1"/>
      <c r="F2242" s="1"/>
    </row>
    <row r="2243" spans="1:6" ht="12.5">
      <c r="A2243" s="1"/>
      <c r="B2243" s="1"/>
      <c r="C2243" s="1"/>
      <c r="D2243" s="1"/>
      <c r="E2243" s="1"/>
      <c r="F2243" s="1"/>
    </row>
    <row r="2244" spans="1:6" ht="12.5">
      <c r="A2244" s="1"/>
      <c r="B2244" s="1"/>
      <c r="C2244" s="1"/>
      <c r="D2244" s="1"/>
      <c r="E2244" s="1"/>
      <c r="F2244" s="1"/>
    </row>
    <row r="2245" spans="1:6" ht="12.5">
      <c r="A2245" s="1"/>
      <c r="B2245" s="1"/>
      <c r="C2245" s="1"/>
      <c r="D2245" s="1"/>
      <c r="E2245" s="1"/>
      <c r="F2245" s="1"/>
    </row>
    <row r="2246" spans="1:6" ht="12.5">
      <c r="A2246" s="1"/>
      <c r="B2246" s="1"/>
      <c r="C2246" s="1"/>
      <c r="D2246" s="1"/>
      <c r="E2246" s="1"/>
      <c r="F2246" s="1"/>
    </row>
    <row r="2247" spans="1:6" ht="12.5">
      <c r="A2247" s="1"/>
      <c r="B2247" s="1"/>
      <c r="C2247" s="1"/>
      <c r="D2247" s="1"/>
      <c r="E2247" s="1"/>
      <c r="F2247" s="1"/>
    </row>
    <row r="2248" spans="1:6" ht="12.5">
      <c r="A2248" s="1"/>
      <c r="B2248" s="1"/>
      <c r="C2248" s="1"/>
      <c r="D2248" s="1"/>
      <c r="E2248" s="1"/>
      <c r="F2248" s="1"/>
    </row>
    <row r="2249" spans="1:6" ht="12.5">
      <c r="A2249" s="1"/>
      <c r="B2249" s="1"/>
      <c r="C2249" s="1"/>
      <c r="D2249" s="1"/>
      <c r="E2249" s="1"/>
      <c r="F2249" s="1"/>
    </row>
    <row r="2250" spans="1:6" ht="12.5">
      <c r="A2250" s="1"/>
      <c r="B2250" s="1"/>
      <c r="C2250" s="1"/>
      <c r="D2250" s="1"/>
      <c r="E2250" s="1"/>
      <c r="F2250" s="1"/>
    </row>
    <row r="2251" spans="1:6" ht="12.5">
      <c r="A2251" s="1"/>
      <c r="B2251" s="1"/>
      <c r="C2251" s="1"/>
      <c r="D2251" s="1"/>
      <c r="E2251" s="1"/>
      <c r="F2251" s="1"/>
    </row>
    <row r="2252" spans="1:6" ht="12.5">
      <c r="A2252" s="1"/>
      <c r="B2252" s="1"/>
      <c r="C2252" s="1"/>
      <c r="D2252" s="1"/>
      <c r="E2252" s="1"/>
      <c r="F2252" s="1"/>
    </row>
    <row r="2253" spans="1:6" ht="12.5">
      <c r="A2253" s="1"/>
      <c r="B2253" s="1"/>
      <c r="C2253" s="1"/>
      <c r="D2253" s="1"/>
      <c r="E2253" s="1"/>
      <c r="F2253" s="1"/>
    </row>
    <row r="2254" spans="1:6" ht="12.5">
      <c r="A2254" s="1"/>
      <c r="B2254" s="1"/>
      <c r="C2254" s="1"/>
      <c r="D2254" s="1"/>
      <c r="E2254" s="1"/>
      <c r="F2254" s="1"/>
    </row>
    <row r="2255" spans="1:6" ht="12.5">
      <c r="A2255" s="1"/>
      <c r="B2255" s="1"/>
      <c r="C2255" s="1"/>
      <c r="D2255" s="1"/>
      <c r="E2255" s="1"/>
      <c r="F2255" s="1"/>
    </row>
    <row r="2256" spans="1:6" ht="12.5">
      <c r="A2256" s="1"/>
      <c r="B2256" s="1"/>
      <c r="C2256" s="1"/>
      <c r="D2256" s="1"/>
      <c r="E2256" s="1"/>
      <c r="F2256" s="1"/>
    </row>
    <row r="2257" spans="1:6" ht="12.5">
      <c r="A2257" s="1"/>
      <c r="B2257" s="1"/>
      <c r="C2257" s="1"/>
      <c r="D2257" s="1"/>
      <c r="E2257" s="1"/>
      <c r="F2257" s="1"/>
    </row>
    <row r="2258" spans="1:6" ht="12.5">
      <c r="A2258" s="1"/>
      <c r="B2258" s="1"/>
      <c r="C2258" s="1"/>
      <c r="D2258" s="1"/>
      <c r="E2258" s="1"/>
      <c r="F2258" s="1"/>
    </row>
    <row r="2259" spans="1:6" ht="12.5">
      <c r="A2259" s="1"/>
      <c r="B2259" s="1"/>
      <c r="C2259" s="1"/>
      <c r="D2259" s="1"/>
      <c r="E2259" s="1"/>
      <c r="F2259" s="1"/>
    </row>
    <row r="2260" spans="1:6" ht="12.5">
      <c r="A2260" s="1"/>
      <c r="B2260" s="1"/>
      <c r="C2260" s="1"/>
      <c r="D2260" s="1"/>
      <c r="E2260" s="1"/>
      <c r="F2260" s="1"/>
    </row>
    <row r="2261" spans="1:6" ht="12.5">
      <c r="A2261" s="1"/>
      <c r="B2261" s="1"/>
      <c r="C2261" s="1"/>
      <c r="D2261" s="1"/>
      <c r="E2261" s="1"/>
      <c r="F2261" s="1"/>
    </row>
    <row r="2262" spans="1:6" ht="12.5">
      <c r="A2262" s="1"/>
      <c r="B2262" s="1"/>
      <c r="C2262" s="1"/>
      <c r="D2262" s="1"/>
      <c r="E2262" s="1"/>
      <c r="F2262" s="1"/>
    </row>
    <row r="2263" spans="1:6" ht="12.5">
      <c r="A2263" s="1"/>
      <c r="B2263" s="1"/>
      <c r="C2263" s="1"/>
      <c r="D2263" s="1"/>
      <c r="E2263" s="1"/>
      <c r="F2263" s="1"/>
    </row>
    <row r="2264" spans="1:6" ht="12.5">
      <c r="A2264" s="1"/>
      <c r="B2264" s="1"/>
      <c r="C2264" s="1"/>
      <c r="D2264" s="1"/>
      <c r="E2264" s="1"/>
      <c r="F2264" s="1"/>
    </row>
    <row r="2265" spans="1:6" ht="12.5">
      <c r="A2265" s="1"/>
      <c r="B2265" s="1"/>
      <c r="C2265" s="1"/>
      <c r="D2265" s="1"/>
      <c r="E2265" s="1"/>
      <c r="F2265" s="1"/>
    </row>
    <row r="2266" spans="1:6" ht="12.5">
      <c r="A2266" s="1"/>
      <c r="B2266" s="1"/>
      <c r="C2266" s="1"/>
      <c r="D2266" s="1"/>
      <c r="E2266" s="1"/>
      <c r="F2266" s="1"/>
    </row>
    <row r="2267" spans="1:6" ht="12.5">
      <c r="A2267" s="1"/>
      <c r="B2267" s="1"/>
      <c r="C2267" s="1"/>
      <c r="D2267" s="1"/>
      <c r="E2267" s="1"/>
      <c r="F2267" s="1"/>
    </row>
    <row r="2268" spans="1:6" ht="12.5">
      <c r="A2268" s="1"/>
      <c r="B2268" s="1"/>
      <c r="C2268" s="1"/>
      <c r="D2268" s="1"/>
      <c r="E2268" s="1"/>
      <c r="F2268" s="1"/>
    </row>
    <row r="2269" spans="1:6" ht="12.5">
      <c r="A2269" s="1"/>
      <c r="B2269" s="1"/>
      <c r="C2269" s="1"/>
      <c r="D2269" s="1"/>
      <c r="E2269" s="1"/>
      <c r="F2269" s="1"/>
    </row>
    <row r="2270" spans="1:6" ht="12.5">
      <c r="A2270" s="1"/>
      <c r="B2270" s="1"/>
      <c r="C2270" s="1"/>
      <c r="D2270" s="1"/>
      <c r="E2270" s="1"/>
      <c r="F2270" s="1"/>
    </row>
    <row r="2271" spans="1:6" ht="12.5">
      <c r="A2271" s="1"/>
      <c r="B2271" s="1"/>
      <c r="C2271" s="1"/>
      <c r="D2271" s="1"/>
      <c r="E2271" s="1"/>
      <c r="F2271" s="1"/>
    </row>
    <row r="2272" spans="1:6" ht="12.5">
      <c r="A2272" s="1"/>
      <c r="B2272" s="1"/>
      <c r="C2272" s="1"/>
      <c r="D2272" s="1"/>
      <c r="E2272" s="1"/>
      <c r="F2272" s="1"/>
    </row>
    <row r="2273" spans="1:6" ht="12.5">
      <c r="A2273" s="1"/>
      <c r="B2273" s="1"/>
      <c r="C2273" s="1"/>
      <c r="D2273" s="1"/>
      <c r="E2273" s="1"/>
      <c r="F2273" s="1"/>
    </row>
    <row r="2274" spans="1:6" ht="12.5">
      <c r="A2274" s="1"/>
      <c r="B2274" s="1"/>
      <c r="C2274" s="1"/>
      <c r="D2274" s="1"/>
      <c r="E2274" s="1"/>
      <c r="F2274" s="1"/>
    </row>
    <row r="2275" spans="1:6" ht="12.5">
      <c r="A2275" s="1"/>
      <c r="B2275" s="1"/>
      <c r="C2275" s="1"/>
      <c r="D2275" s="1"/>
      <c r="E2275" s="1"/>
      <c r="F2275" s="1"/>
    </row>
    <row r="2276" spans="1:6" ht="12.5">
      <c r="A2276" s="1"/>
      <c r="B2276" s="1"/>
      <c r="C2276" s="1"/>
      <c r="D2276" s="1"/>
      <c r="E2276" s="1"/>
      <c r="F2276" s="1"/>
    </row>
    <row r="2277" spans="1:6" ht="12.5">
      <c r="A2277" s="1"/>
      <c r="B2277" s="1"/>
      <c r="C2277" s="1"/>
      <c r="D2277" s="1"/>
      <c r="E2277" s="1"/>
      <c r="F2277" s="1"/>
    </row>
    <row r="2278" spans="1:6" ht="12.5">
      <c r="A2278" s="1"/>
      <c r="B2278" s="1"/>
      <c r="C2278" s="1"/>
      <c r="D2278" s="1"/>
      <c r="E2278" s="1"/>
      <c r="F2278" s="1"/>
    </row>
    <row r="2279" spans="1:6" ht="12.5">
      <c r="A2279" s="1"/>
      <c r="B2279" s="1"/>
      <c r="C2279" s="1"/>
      <c r="D2279" s="1"/>
      <c r="E2279" s="1"/>
      <c r="F2279" s="1"/>
    </row>
    <row r="2280" spans="1:6" ht="12.5">
      <c r="A2280" s="1"/>
      <c r="B2280" s="1"/>
      <c r="C2280" s="1"/>
      <c r="D2280" s="1"/>
      <c r="E2280" s="1"/>
      <c r="F2280" s="1"/>
    </row>
    <row r="2281" spans="1:6" ht="12.5">
      <c r="A2281" s="1"/>
      <c r="B2281" s="1"/>
      <c r="C2281" s="1"/>
      <c r="D2281" s="1"/>
      <c r="E2281" s="1"/>
      <c r="F2281" s="1"/>
    </row>
    <row r="2282" spans="1:6" ht="12.5">
      <c r="A2282" s="1"/>
      <c r="B2282" s="1"/>
      <c r="C2282" s="1"/>
      <c r="D2282" s="1"/>
      <c r="E2282" s="1"/>
      <c r="F2282" s="1"/>
    </row>
    <row r="2283" spans="1:6" ht="12.5">
      <c r="A2283" s="1"/>
      <c r="B2283" s="1"/>
      <c r="C2283" s="1"/>
      <c r="D2283" s="1"/>
      <c r="E2283" s="1"/>
      <c r="F2283" s="1"/>
    </row>
    <row r="2284" spans="1:6" ht="12.5">
      <c r="A2284" s="1"/>
      <c r="B2284" s="1"/>
      <c r="C2284" s="1"/>
      <c r="D2284" s="1"/>
      <c r="E2284" s="1"/>
      <c r="F2284" s="1"/>
    </row>
    <row r="2285" spans="1:6" ht="12.5">
      <c r="A2285" s="1"/>
      <c r="B2285" s="1"/>
      <c r="C2285" s="1"/>
      <c r="D2285" s="1"/>
      <c r="E2285" s="1"/>
      <c r="F2285" s="1"/>
    </row>
    <row r="2286" spans="1:6" ht="12.5">
      <c r="A2286" s="1"/>
      <c r="B2286" s="1"/>
      <c r="C2286" s="1"/>
      <c r="D2286" s="1"/>
      <c r="E2286" s="1"/>
      <c r="F2286" s="1"/>
    </row>
    <row r="2287" spans="1:6" ht="12.5">
      <c r="A2287" s="1"/>
      <c r="B2287" s="1"/>
      <c r="C2287" s="1"/>
      <c r="D2287" s="1"/>
      <c r="E2287" s="1"/>
      <c r="F2287" s="1"/>
    </row>
    <row r="2288" spans="1:6" ht="12.5">
      <c r="A2288" s="1"/>
      <c r="B2288" s="1"/>
      <c r="C2288" s="1"/>
      <c r="D2288" s="1"/>
      <c r="E2288" s="1"/>
      <c r="F2288" s="1"/>
    </row>
    <row r="2289" spans="1:6" ht="12.5">
      <c r="A2289" s="1"/>
      <c r="B2289" s="1"/>
      <c r="C2289" s="1"/>
      <c r="D2289" s="1"/>
      <c r="E2289" s="1"/>
      <c r="F2289" s="1"/>
    </row>
    <row r="2290" spans="1:6" ht="12.5">
      <c r="A2290" s="1"/>
      <c r="B2290" s="1"/>
      <c r="C2290" s="1"/>
      <c r="D2290" s="1"/>
      <c r="E2290" s="1"/>
      <c r="F2290" s="1"/>
    </row>
    <row r="2291" spans="1:6" ht="12.5">
      <c r="A2291" s="1"/>
      <c r="B2291" s="1"/>
      <c r="C2291" s="1"/>
      <c r="D2291" s="1"/>
      <c r="E2291" s="1"/>
      <c r="F2291" s="1"/>
    </row>
    <row r="2292" spans="1:6" ht="12.5">
      <c r="A2292" s="1"/>
      <c r="B2292" s="1"/>
      <c r="C2292" s="1"/>
      <c r="D2292" s="1"/>
      <c r="E2292" s="1"/>
      <c r="F2292" s="1"/>
    </row>
    <row r="2293" spans="1:6" ht="12.5">
      <c r="A2293" s="1"/>
      <c r="B2293" s="1"/>
      <c r="C2293" s="1"/>
      <c r="D2293" s="1"/>
      <c r="E2293" s="1"/>
      <c r="F2293" s="1"/>
    </row>
    <row r="2294" spans="1:6" ht="12.5">
      <c r="A2294" s="1"/>
      <c r="B2294" s="1"/>
      <c r="C2294" s="1"/>
      <c r="D2294" s="1"/>
      <c r="E2294" s="1"/>
      <c r="F2294" s="1"/>
    </row>
    <row r="2295" spans="1:6" ht="12.5">
      <c r="A2295" s="1"/>
      <c r="B2295" s="1"/>
      <c r="C2295" s="1"/>
      <c r="D2295" s="1"/>
      <c r="E2295" s="1"/>
      <c r="F2295" s="1"/>
    </row>
    <row r="2296" spans="1:6" ht="12.5">
      <c r="A2296" s="1"/>
      <c r="B2296" s="1"/>
      <c r="C2296" s="1"/>
      <c r="D2296" s="1"/>
      <c r="E2296" s="1"/>
      <c r="F2296" s="1"/>
    </row>
    <row r="2297" spans="1:6" ht="12.5">
      <c r="A2297" s="1"/>
      <c r="B2297" s="1"/>
      <c r="C2297" s="1"/>
      <c r="D2297" s="1"/>
      <c r="E2297" s="1"/>
      <c r="F2297" s="1"/>
    </row>
    <row r="2298" spans="1:6" ht="12.5">
      <c r="A2298" s="1"/>
      <c r="B2298" s="1"/>
      <c r="C2298" s="1"/>
      <c r="D2298" s="1"/>
      <c r="E2298" s="1"/>
      <c r="F2298" s="1"/>
    </row>
    <row r="2299" spans="1:6" ht="12.5">
      <c r="A2299" s="1"/>
      <c r="B2299" s="1"/>
      <c r="C2299" s="1"/>
      <c r="D2299" s="1"/>
      <c r="E2299" s="1"/>
      <c r="F2299" s="1"/>
    </row>
    <row r="2300" spans="1:6" ht="12.5">
      <c r="A2300" s="1"/>
      <c r="B2300" s="1"/>
      <c r="C2300" s="1"/>
      <c r="D2300" s="1"/>
      <c r="E2300" s="1"/>
      <c r="F2300" s="1"/>
    </row>
    <row r="2301" spans="1:6" ht="12.5">
      <c r="A2301" s="1"/>
      <c r="B2301" s="1"/>
      <c r="C2301" s="1"/>
      <c r="D2301" s="1"/>
      <c r="E2301" s="1"/>
      <c r="F2301" s="1"/>
    </row>
    <row r="2302" spans="1:6" ht="12.5">
      <c r="A2302" s="1"/>
      <c r="B2302" s="1"/>
      <c r="C2302" s="1"/>
      <c r="D2302" s="1"/>
      <c r="E2302" s="1"/>
      <c r="F2302" s="1"/>
    </row>
    <row r="2303" spans="1:6" ht="12.5">
      <c r="A2303" s="1"/>
      <c r="B2303" s="1"/>
      <c r="C2303" s="1"/>
      <c r="D2303" s="1"/>
      <c r="E2303" s="1"/>
      <c r="F2303" s="1"/>
    </row>
    <row r="2304" spans="1:6" ht="12.5">
      <c r="A2304" s="1"/>
      <c r="B2304" s="1"/>
      <c r="C2304" s="1"/>
      <c r="D2304" s="1"/>
      <c r="E2304" s="1"/>
      <c r="F2304" s="1"/>
    </row>
    <row r="2305" spans="1:6" ht="12.5">
      <c r="A2305" s="1"/>
      <c r="B2305" s="1"/>
      <c r="C2305" s="1"/>
      <c r="D2305" s="1"/>
      <c r="E2305" s="1"/>
      <c r="F2305" s="1"/>
    </row>
    <row r="2306" spans="1:6" ht="12.5">
      <c r="A2306" s="1"/>
      <c r="B2306" s="1"/>
      <c r="C2306" s="1"/>
      <c r="D2306" s="1"/>
      <c r="E2306" s="1"/>
      <c r="F2306" s="1"/>
    </row>
    <row r="2307" spans="1:6" ht="12.5">
      <c r="A2307" s="1"/>
      <c r="B2307" s="1"/>
      <c r="C2307" s="1"/>
      <c r="D2307" s="1"/>
      <c r="E2307" s="1"/>
      <c r="F2307" s="1"/>
    </row>
    <row r="2308" spans="1:6" ht="12.5">
      <c r="A2308" s="1"/>
      <c r="B2308" s="1"/>
      <c r="C2308" s="1"/>
      <c r="D2308" s="1"/>
      <c r="E2308" s="1"/>
      <c r="F2308" s="1"/>
    </row>
    <row r="2309" spans="1:6" ht="12.5">
      <c r="A2309" s="1"/>
      <c r="B2309" s="1"/>
      <c r="C2309" s="1"/>
      <c r="D2309" s="1"/>
      <c r="E2309" s="1"/>
      <c r="F2309" s="1"/>
    </row>
    <row r="2310" spans="1:6" ht="12.5">
      <c r="A2310" s="1"/>
      <c r="B2310" s="1"/>
      <c r="C2310" s="1"/>
      <c r="D2310" s="1"/>
      <c r="E2310" s="1"/>
      <c r="F2310" s="1"/>
    </row>
    <row r="2311" spans="1:6" ht="12.5">
      <c r="A2311" s="1"/>
      <c r="B2311" s="1"/>
      <c r="C2311" s="1"/>
      <c r="D2311" s="1"/>
      <c r="E2311" s="1"/>
      <c r="F2311" s="1"/>
    </row>
    <row r="2312" spans="1:6" ht="12.5">
      <c r="A2312" s="1"/>
      <c r="B2312" s="1"/>
      <c r="C2312" s="1"/>
      <c r="D2312" s="1"/>
      <c r="E2312" s="1"/>
      <c r="F2312" s="1"/>
    </row>
    <row r="2313" spans="1:6" ht="12.5">
      <c r="A2313" s="1"/>
      <c r="B2313" s="1"/>
      <c r="C2313" s="1"/>
      <c r="D2313" s="1"/>
      <c r="E2313" s="1"/>
      <c r="F2313" s="1"/>
    </row>
    <row r="2314" spans="1:6" ht="12.5">
      <c r="A2314" s="1"/>
      <c r="B2314" s="1"/>
      <c r="C2314" s="1"/>
      <c r="D2314" s="1"/>
      <c r="E2314" s="1"/>
      <c r="F2314" s="1"/>
    </row>
    <row r="2315" spans="1:6" ht="12.5">
      <c r="A2315" s="1"/>
      <c r="B2315" s="1"/>
      <c r="C2315" s="1"/>
      <c r="D2315" s="1"/>
      <c r="E2315" s="1"/>
      <c r="F2315" s="1"/>
    </row>
    <row r="2316" spans="1:6" ht="12.5">
      <c r="A2316" s="1"/>
      <c r="B2316" s="1"/>
      <c r="C2316" s="1"/>
      <c r="D2316" s="1"/>
      <c r="E2316" s="1"/>
      <c r="F2316" s="1"/>
    </row>
    <row r="2317" spans="1:6" ht="12.5">
      <c r="A2317" s="1"/>
      <c r="B2317" s="1"/>
      <c r="C2317" s="1"/>
      <c r="D2317" s="1"/>
      <c r="E2317" s="1"/>
      <c r="F2317" s="1"/>
    </row>
    <row r="2318" spans="1:6" ht="12.5">
      <c r="A2318" s="1"/>
      <c r="B2318" s="1"/>
      <c r="C2318" s="1"/>
      <c r="D2318" s="1"/>
      <c r="E2318" s="1"/>
      <c r="F2318" s="1"/>
    </row>
    <row r="2319" spans="1:6" ht="12.5">
      <c r="A2319" s="1"/>
      <c r="B2319" s="1"/>
      <c r="C2319" s="1"/>
      <c r="D2319" s="1"/>
      <c r="E2319" s="1"/>
      <c r="F2319" s="1"/>
    </row>
    <row r="2320" spans="1:6" ht="12.5">
      <c r="A2320" s="1"/>
      <c r="B2320" s="1"/>
      <c r="C2320" s="1"/>
      <c r="D2320" s="1"/>
      <c r="E2320" s="1"/>
      <c r="F2320" s="1"/>
    </row>
    <row r="2321" spans="1:6" ht="12.5">
      <c r="A2321" s="1"/>
      <c r="B2321" s="1"/>
      <c r="C2321" s="1"/>
      <c r="D2321" s="1"/>
      <c r="E2321" s="1"/>
      <c r="F2321" s="1"/>
    </row>
    <row r="2322" spans="1:6" ht="12.5">
      <c r="A2322" s="1"/>
      <c r="B2322" s="1"/>
      <c r="C2322" s="1"/>
      <c r="D2322" s="1"/>
      <c r="E2322" s="1"/>
      <c r="F2322" s="1"/>
    </row>
    <row r="2323" spans="1:6" ht="12.5">
      <c r="A2323" s="1"/>
      <c r="B2323" s="1"/>
      <c r="C2323" s="1"/>
      <c r="D2323" s="1"/>
      <c r="E2323" s="1"/>
      <c r="F2323" s="1"/>
    </row>
    <row r="2324" spans="1:6" ht="12.5">
      <c r="A2324" s="1"/>
      <c r="B2324" s="1"/>
      <c r="C2324" s="1"/>
      <c r="D2324" s="1"/>
      <c r="E2324" s="1"/>
      <c r="F2324" s="1"/>
    </row>
    <row r="2325" spans="1:6" ht="12.5">
      <c r="A2325" s="1"/>
      <c r="B2325" s="1"/>
      <c r="C2325" s="1"/>
      <c r="D2325" s="1"/>
      <c r="E2325" s="1"/>
      <c r="F2325" s="1"/>
    </row>
    <row r="2326" spans="1:6" ht="12.5">
      <c r="A2326" s="1"/>
      <c r="B2326" s="1"/>
      <c r="C2326" s="1"/>
      <c r="D2326" s="1"/>
      <c r="E2326" s="1"/>
      <c r="F2326" s="1"/>
    </row>
    <row r="2327" spans="1:6" ht="12.5">
      <c r="A2327" s="1"/>
      <c r="B2327" s="1"/>
      <c r="C2327" s="1"/>
      <c r="D2327" s="1"/>
      <c r="E2327" s="1"/>
      <c r="F2327" s="1"/>
    </row>
    <row r="2328" spans="1:6" ht="12.5">
      <c r="A2328" s="1"/>
      <c r="B2328" s="1"/>
      <c r="C2328" s="1"/>
      <c r="D2328" s="1"/>
      <c r="E2328" s="1"/>
      <c r="F2328" s="1"/>
    </row>
    <row r="2329" spans="1:6" ht="12.5">
      <c r="A2329" s="1"/>
      <c r="B2329" s="1"/>
      <c r="C2329" s="1"/>
      <c r="D2329" s="1"/>
      <c r="E2329" s="1"/>
      <c r="F2329" s="1"/>
    </row>
    <row r="2330" spans="1:6" ht="12.5">
      <c r="A2330" s="1"/>
      <c r="B2330" s="1"/>
      <c r="C2330" s="1"/>
      <c r="D2330" s="1"/>
      <c r="E2330" s="1"/>
      <c r="F2330" s="1"/>
    </row>
    <row r="2331" spans="1:6" ht="12.5">
      <c r="A2331" s="1"/>
      <c r="B2331" s="1"/>
      <c r="C2331" s="1"/>
      <c r="D2331" s="1"/>
      <c r="E2331" s="1"/>
      <c r="F2331" s="1"/>
    </row>
    <row r="2332" spans="1:6" ht="12.5">
      <c r="A2332" s="1"/>
      <c r="B2332" s="1"/>
      <c r="C2332" s="1"/>
      <c r="D2332" s="1"/>
      <c r="E2332" s="1"/>
      <c r="F2332" s="1"/>
    </row>
    <row r="2333" spans="1:6" ht="12.5">
      <c r="A2333" s="1"/>
      <c r="B2333" s="1"/>
      <c r="C2333" s="1"/>
      <c r="D2333" s="1"/>
      <c r="E2333" s="1"/>
      <c r="F2333" s="1"/>
    </row>
    <row r="2334" spans="1:6" ht="12.5">
      <c r="A2334" s="1"/>
      <c r="B2334" s="1"/>
      <c r="C2334" s="1"/>
      <c r="D2334" s="1"/>
      <c r="E2334" s="1"/>
      <c r="F2334" s="1"/>
    </row>
    <row r="2335" spans="1:6" ht="12.5">
      <c r="A2335" s="1"/>
      <c r="B2335" s="1"/>
      <c r="C2335" s="1"/>
      <c r="D2335" s="1"/>
      <c r="E2335" s="1"/>
      <c r="F2335" s="1"/>
    </row>
    <row r="2336" spans="1:6" ht="12.5">
      <c r="A2336" s="1"/>
      <c r="B2336" s="1"/>
      <c r="C2336" s="1"/>
      <c r="D2336" s="1"/>
      <c r="E2336" s="1"/>
      <c r="F2336" s="1"/>
    </row>
    <row r="2337" spans="1:6" ht="12.5">
      <c r="A2337" s="1"/>
      <c r="B2337" s="1"/>
      <c r="C2337" s="1"/>
      <c r="D2337" s="1"/>
      <c r="E2337" s="1"/>
      <c r="F2337" s="1"/>
    </row>
    <row r="2338" spans="1:6" ht="12.5">
      <c r="A2338" s="1"/>
      <c r="B2338" s="1"/>
      <c r="C2338" s="1"/>
      <c r="D2338" s="1"/>
      <c r="E2338" s="1"/>
      <c r="F2338" s="1"/>
    </row>
    <row r="2339" spans="1:6" ht="12.5">
      <c r="A2339" s="1"/>
      <c r="B2339" s="1"/>
      <c r="C2339" s="1"/>
      <c r="D2339" s="1"/>
      <c r="E2339" s="1"/>
      <c r="F2339" s="1"/>
    </row>
    <row r="2340" spans="1:6" ht="12.5">
      <c r="A2340" s="1"/>
      <c r="B2340" s="1"/>
      <c r="C2340" s="1"/>
      <c r="D2340" s="1"/>
      <c r="E2340" s="1"/>
      <c r="F2340" s="1"/>
    </row>
    <row r="2341" spans="1:6" ht="12.5">
      <c r="A2341" s="1"/>
      <c r="B2341" s="1"/>
      <c r="C2341" s="1"/>
      <c r="D2341" s="1"/>
      <c r="E2341" s="1"/>
      <c r="F2341" s="1"/>
    </row>
    <row r="2342" spans="1:6" ht="12.5">
      <c r="A2342" s="1"/>
      <c r="B2342" s="1"/>
      <c r="C2342" s="1"/>
      <c r="D2342" s="1"/>
      <c r="E2342" s="1"/>
      <c r="F2342" s="1"/>
    </row>
    <row r="2343" spans="1:6" ht="12.5">
      <c r="A2343" s="1"/>
      <c r="B2343" s="1"/>
      <c r="C2343" s="1"/>
      <c r="D2343" s="1"/>
      <c r="E2343" s="1"/>
      <c r="F2343" s="1"/>
    </row>
    <row r="2344" spans="1:6" ht="12.5">
      <c r="A2344" s="1"/>
      <c r="B2344" s="1"/>
      <c r="C2344" s="1"/>
      <c r="D2344" s="1"/>
      <c r="E2344" s="1"/>
      <c r="F2344" s="1"/>
    </row>
    <row r="2345" spans="1:6" ht="12.5">
      <c r="A2345" s="1"/>
      <c r="B2345" s="1"/>
      <c r="C2345" s="1"/>
      <c r="D2345" s="1"/>
      <c r="E2345" s="1"/>
      <c r="F2345" s="1"/>
    </row>
    <row r="2346" spans="1:6" ht="12.5">
      <c r="A2346" s="1"/>
      <c r="B2346" s="1"/>
      <c r="C2346" s="1"/>
      <c r="D2346" s="1"/>
      <c r="E2346" s="1"/>
      <c r="F2346" s="1"/>
    </row>
    <row r="2347" spans="1:6" ht="12.5">
      <c r="A2347" s="1"/>
      <c r="B2347" s="1"/>
      <c r="C2347" s="1"/>
      <c r="D2347" s="1"/>
      <c r="E2347" s="1"/>
      <c r="F2347" s="1"/>
    </row>
    <row r="2348" spans="1:6" ht="12.5">
      <c r="A2348" s="1"/>
      <c r="B2348" s="1"/>
      <c r="C2348" s="1"/>
      <c r="D2348" s="1"/>
      <c r="E2348" s="1"/>
      <c r="F2348" s="1"/>
    </row>
    <row r="2349" spans="1:6" ht="12.5">
      <c r="A2349" s="1"/>
      <c r="B2349" s="1"/>
      <c r="C2349" s="1"/>
      <c r="D2349" s="1"/>
      <c r="E2349" s="1"/>
      <c r="F2349" s="1"/>
    </row>
    <row r="2350" spans="1:6" ht="12.5">
      <c r="A2350" s="1"/>
      <c r="B2350" s="1"/>
      <c r="C2350" s="1"/>
      <c r="D2350" s="1"/>
      <c r="E2350" s="1"/>
      <c r="F2350" s="1"/>
    </row>
    <row r="2351" spans="1:6" ht="12.5">
      <c r="A2351" s="1"/>
      <c r="B2351" s="1"/>
      <c r="C2351" s="1"/>
      <c r="D2351" s="1"/>
      <c r="E2351" s="1"/>
      <c r="F2351" s="1"/>
    </row>
    <row r="2352" spans="1:6" ht="12.5">
      <c r="A2352" s="1"/>
      <c r="B2352" s="1"/>
      <c r="C2352" s="1"/>
      <c r="D2352" s="1"/>
      <c r="E2352" s="1"/>
      <c r="F2352" s="1"/>
    </row>
    <row r="2353" spans="1:6" ht="12.5">
      <c r="A2353" s="1"/>
      <c r="B2353" s="1"/>
      <c r="C2353" s="1"/>
      <c r="D2353" s="1"/>
      <c r="E2353" s="1"/>
      <c r="F2353" s="1"/>
    </row>
    <row r="2354" spans="1:6" ht="12.5">
      <c r="A2354" s="1"/>
      <c r="B2354" s="1"/>
      <c r="C2354" s="1"/>
      <c r="D2354" s="1"/>
      <c r="E2354" s="1"/>
      <c r="F2354" s="1"/>
    </row>
    <row r="2355" spans="1:6" ht="12.5">
      <c r="A2355" s="1"/>
      <c r="B2355" s="1"/>
      <c r="C2355" s="1"/>
      <c r="D2355" s="1"/>
      <c r="E2355" s="1"/>
      <c r="F2355" s="1"/>
    </row>
    <row r="2356" spans="1:6" ht="12.5">
      <c r="A2356" s="1"/>
      <c r="B2356" s="1"/>
      <c r="C2356" s="1"/>
      <c r="D2356" s="1"/>
      <c r="E2356" s="1"/>
      <c r="F2356" s="1"/>
    </row>
    <row r="2357" spans="1:6" ht="12.5">
      <c r="A2357" s="1"/>
      <c r="B2357" s="1"/>
      <c r="C2357" s="1"/>
      <c r="D2357" s="1"/>
      <c r="E2357" s="1"/>
      <c r="F2357" s="1"/>
    </row>
    <row r="2358" spans="1:6" ht="12.5">
      <c r="A2358" s="1"/>
      <c r="B2358" s="1"/>
      <c r="C2358" s="1"/>
      <c r="D2358" s="1"/>
      <c r="E2358" s="1"/>
      <c r="F2358" s="1"/>
    </row>
    <row r="2359" spans="1:6" ht="12.5">
      <c r="A2359" s="1"/>
      <c r="B2359" s="1"/>
      <c r="C2359" s="1"/>
      <c r="D2359" s="1"/>
      <c r="E2359" s="1"/>
      <c r="F2359" s="1"/>
    </row>
    <row r="2360" spans="1:6" ht="12.5">
      <c r="A2360" s="1"/>
      <c r="B2360" s="1"/>
      <c r="C2360" s="1"/>
      <c r="D2360" s="1"/>
      <c r="E2360" s="1"/>
      <c r="F2360" s="1"/>
    </row>
    <row r="2361" spans="1:6" ht="12.5">
      <c r="A2361" s="1"/>
      <c r="B2361" s="1"/>
      <c r="C2361" s="1"/>
      <c r="D2361" s="1"/>
      <c r="E2361" s="1"/>
      <c r="F2361" s="1"/>
    </row>
    <row r="2362" spans="1:6" ht="12.5">
      <c r="A2362" s="1"/>
      <c r="B2362" s="1"/>
      <c r="C2362" s="1"/>
      <c r="D2362" s="1"/>
      <c r="E2362" s="1"/>
      <c r="F2362" s="1"/>
    </row>
    <row r="2363" spans="1:6" ht="12.5">
      <c r="A2363" s="1"/>
      <c r="B2363" s="1"/>
      <c r="C2363" s="1"/>
      <c r="D2363" s="1"/>
      <c r="E2363" s="1"/>
      <c r="F2363" s="1"/>
    </row>
    <row r="2364" spans="1:6" ht="12.5">
      <c r="A2364" s="1"/>
      <c r="B2364" s="1"/>
      <c r="C2364" s="1"/>
      <c r="D2364" s="1"/>
      <c r="E2364" s="1"/>
      <c r="F2364" s="1"/>
    </row>
    <row r="2365" spans="1:6" ht="12.5">
      <c r="A2365" s="1"/>
      <c r="B2365" s="1"/>
      <c r="C2365" s="1"/>
      <c r="D2365" s="1"/>
      <c r="E2365" s="1"/>
      <c r="F2365" s="1"/>
    </row>
    <row r="2366" spans="1:6" ht="12.5">
      <c r="A2366" s="1"/>
      <c r="B2366" s="1"/>
      <c r="C2366" s="1"/>
      <c r="D2366" s="1"/>
      <c r="E2366" s="1"/>
      <c r="F2366" s="1"/>
    </row>
    <row r="2367" spans="1:6" ht="12.5">
      <c r="A2367" s="1"/>
      <c r="B2367" s="1"/>
      <c r="C2367" s="1"/>
      <c r="D2367" s="1"/>
      <c r="E2367" s="1"/>
      <c r="F2367" s="1"/>
    </row>
    <row r="2368" spans="1:6" ht="12.5">
      <c r="A2368" s="1"/>
      <c r="B2368" s="1"/>
      <c r="C2368" s="1"/>
      <c r="D2368" s="1"/>
      <c r="E2368" s="1"/>
      <c r="F2368" s="1"/>
    </row>
    <row r="2369" spans="1:6" ht="12.5">
      <c r="A2369" s="1"/>
      <c r="B2369" s="1"/>
      <c r="C2369" s="1"/>
      <c r="D2369" s="1"/>
      <c r="E2369" s="1"/>
      <c r="F2369" s="1"/>
    </row>
    <row r="2370" spans="1:6" ht="12.5">
      <c r="A2370" s="1"/>
      <c r="B2370" s="1"/>
      <c r="C2370" s="1"/>
      <c r="D2370" s="1"/>
      <c r="E2370" s="1"/>
      <c r="F2370" s="1"/>
    </row>
    <row r="2371" spans="1:6" ht="12.5">
      <c r="A2371" s="1"/>
      <c r="B2371" s="1"/>
      <c r="C2371" s="1"/>
      <c r="D2371" s="1"/>
      <c r="E2371" s="1"/>
      <c r="F2371" s="1"/>
    </row>
    <row r="2372" spans="1:6" ht="12.5">
      <c r="A2372" s="1"/>
      <c r="B2372" s="1"/>
      <c r="C2372" s="1"/>
      <c r="D2372" s="1"/>
      <c r="E2372" s="1"/>
      <c r="F2372" s="1"/>
    </row>
    <row r="2373" spans="1:6" ht="12.5">
      <c r="A2373" s="1"/>
      <c r="B2373" s="1"/>
      <c r="C2373" s="1"/>
      <c r="D2373" s="1"/>
      <c r="E2373" s="1"/>
      <c r="F2373" s="1"/>
    </row>
    <row r="2374" spans="1:6" ht="12.5">
      <c r="A2374" s="1"/>
      <c r="B2374" s="1"/>
      <c r="C2374" s="1"/>
      <c r="D2374" s="1"/>
      <c r="E2374" s="1"/>
      <c r="F2374" s="1"/>
    </row>
    <row r="2375" spans="1:6" ht="12.5">
      <c r="A2375" s="1"/>
      <c r="B2375" s="1"/>
      <c r="C2375" s="1"/>
      <c r="D2375" s="1"/>
      <c r="E2375" s="1"/>
      <c r="F2375" s="1"/>
    </row>
    <row r="2376" spans="1:6" ht="12.5">
      <c r="A2376" s="1"/>
      <c r="B2376" s="1"/>
      <c r="C2376" s="1"/>
      <c r="D2376" s="1"/>
      <c r="E2376" s="1"/>
      <c r="F2376" s="1"/>
    </row>
    <row r="2377" spans="1:6" ht="12.5">
      <c r="A2377" s="1"/>
      <c r="B2377" s="1"/>
      <c r="C2377" s="1"/>
      <c r="D2377" s="1"/>
      <c r="E2377" s="1"/>
      <c r="F2377" s="1"/>
    </row>
    <row r="2378" spans="1:6" ht="12.5">
      <c r="A2378" s="1"/>
      <c r="B2378" s="1"/>
      <c r="C2378" s="1"/>
      <c r="D2378" s="1"/>
      <c r="E2378" s="1"/>
      <c r="F2378" s="1"/>
    </row>
    <row r="2379" spans="1:6" ht="12.5">
      <c r="A2379" s="1"/>
      <c r="B2379" s="1"/>
      <c r="C2379" s="1"/>
      <c r="D2379" s="1"/>
      <c r="E2379" s="1"/>
      <c r="F2379" s="1"/>
    </row>
    <row r="2380" spans="1:6" ht="12.5">
      <c r="A2380" s="1"/>
      <c r="B2380" s="1"/>
      <c r="C2380" s="1"/>
      <c r="D2380" s="1"/>
      <c r="E2380" s="1"/>
      <c r="F2380" s="1"/>
    </row>
    <row r="2381" spans="1:6" ht="12.5">
      <c r="A2381" s="1"/>
      <c r="B2381" s="1"/>
      <c r="C2381" s="1"/>
      <c r="D2381" s="1"/>
      <c r="E2381" s="1"/>
      <c r="F2381" s="1"/>
    </row>
    <row r="2382" spans="1:6" ht="12.5">
      <c r="A2382" s="1"/>
      <c r="B2382" s="1"/>
      <c r="C2382" s="1"/>
      <c r="D2382" s="1"/>
      <c r="E2382" s="1"/>
      <c r="F2382" s="1"/>
    </row>
    <row r="2383" spans="1:6" ht="12.5">
      <c r="A2383" s="1"/>
      <c r="B2383" s="1"/>
      <c r="C2383" s="1"/>
      <c r="D2383" s="1"/>
      <c r="E2383" s="1"/>
      <c r="F2383" s="1"/>
    </row>
    <row r="2384" spans="1:6" ht="12.5">
      <c r="A2384" s="1"/>
      <c r="B2384" s="1"/>
      <c r="C2384" s="1"/>
      <c r="D2384" s="1"/>
      <c r="E2384" s="1"/>
      <c r="F2384" s="1"/>
    </row>
    <row r="2385" spans="1:6" ht="12.5">
      <c r="A2385" s="1"/>
      <c r="B2385" s="1"/>
      <c r="C2385" s="1"/>
      <c r="D2385" s="1"/>
      <c r="E2385" s="1"/>
      <c r="F2385" s="1"/>
    </row>
    <row r="2386" spans="1:6" ht="12.5">
      <c r="A2386" s="1"/>
      <c r="B2386" s="1"/>
      <c r="C2386" s="1"/>
      <c r="D2386" s="1"/>
      <c r="E2386" s="1"/>
      <c r="F2386" s="1"/>
    </row>
    <row r="2387" spans="1:6" ht="12.5">
      <c r="A2387" s="1"/>
      <c r="B2387" s="1"/>
      <c r="C2387" s="1"/>
      <c r="D2387" s="1"/>
      <c r="E2387" s="1"/>
      <c r="F2387" s="1"/>
    </row>
    <row r="2388" spans="1:6" ht="12.5">
      <c r="A2388" s="1"/>
      <c r="B2388" s="1"/>
      <c r="C2388" s="1"/>
      <c r="D2388" s="1"/>
      <c r="E2388" s="1"/>
      <c r="F2388" s="1"/>
    </row>
    <row r="2389" spans="1:6" ht="12.5">
      <c r="A2389" s="1"/>
      <c r="B2389" s="1"/>
      <c r="C2389" s="1"/>
      <c r="D2389" s="1"/>
      <c r="E2389" s="1"/>
      <c r="F2389" s="1"/>
    </row>
    <row r="2390" spans="1:6" ht="12.5">
      <c r="A2390" s="1"/>
      <c r="B2390" s="1"/>
      <c r="C2390" s="1"/>
      <c r="D2390" s="1"/>
      <c r="E2390" s="1"/>
      <c r="F2390" s="1"/>
    </row>
    <row r="2391" spans="1:6" ht="12.5">
      <c r="A2391" s="1"/>
      <c r="B2391" s="1"/>
      <c r="C2391" s="1"/>
      <c r="D2391" s="1"/>
      <c r="E2391" s="1"/>
      <c r="F2391" s="1"/>
    </row>
    <row r="2392" spans="1:6" ht="12.5">
      <c r="A2392" s="1"/>
      <c r="B2392" s="1"/>
      <c r="C2392" s="1"/>
      <c r="D2392" s="1"/>
      <c r="E2392" s="1"/>
      <c r="F2392" s="1"/>
    </row>
    <row r="2393" spans="1:6" ht="12.5">
      <c r="A2393" s="1"/>
      <c r="B2393" s="1"/>
      <c r="C2393" s="1"/>
      <c r="D2393" s="1"/>
      <c r="E2393" s="1"/>
      <c r="F2393" s="1"/>
    </row>
    <row r="2394" spans="1:6" ht="12.5">
      <c r="A2394" s="1"/>
      <c r="B2394" s="1"/>
      <c r="C2394" s="1"/>
      <c r="D2394" s="1"/>
      <c r="E2394" s="1"/>
      <c r="F2394" s="1"/>
    </row>
    <row r="2395" spans="1:6" ht="12.5">
      <c r="A2395" s="1"/>
      <c r="B2395" s="1"/>
      <c r="C2395" s="1"/>
      <c r="D2395" s="1"/>
      <c r="E2395" s="1"/>
      <c r="F2395" s="1"/>
    </row>
    <row r="2396" spans="1:6" ht="12.5">
      <c r="A2396" s="1"/>
      <c r="B2396" s="1"/>
      <c r="C2396" s="1"/>
      <c r="D2396" s="1"/>
      <c r="E2396" s="1"/>
      <c r="F2396" s="1"/>
    </row>
    <row r="2397" spans="1:6" ht="12.5">
      <c r="A2397" s="1"/>
      <c r="B2397" s="1"/>
      <c r="C2397" s="1"/>
      <c r="D2397" s="1"/>
      <c r="E2397" s="1"/>
      <c r="F2397" s="1"/>
    </row>
    <row r="2398" spans="1:6" ht="12.5">
      <c r="A2398" s="1"/>
      <c r="B2398" s="1"/>
      <c r="C2398" s="1"/>
      <c r="D2398" s="1"/>
      <c r="E2398" s="1"/>
      <c r="F2398" s="1"/>
    </row>
    <row r="2399" spans="1:6" ht="12.5">
      <c r="A2399" s="1"/>
      <c r="B2399" s="1"/>
      <c r="C2399" s="1"/>
      <c r="D2399" s="1"/>
      <c r="E2399" s="1"/>
      <c r="F2399" s="1"/>
    </row>
    <row r="2400" spans="1:6" ht="12.5">
      <c r="A2400" s="1"/>
      <c r="B2400" s="1"/>
      <c r="C2400" s="1"/>
      <c r="D2400" s="1"/>
      <c r="E2400" s="1"/>
      <c r="F2400" s="1"/>
    </row>
    <row r="2401" spans="1:6" ht="12.5">
      <c r="A2401" s="1"/>
      <c r="B2401" s="1"/>
      <c r="C2401" s="1"/>
      <c r="D2401" s="1"/>
      <c r="E2401" s="1"/>
      <c r="F2401" s="1"/>
    </row>
    <row r="2402" spans="1:6" ht="12.5">
      <c r="A2402" s="1"/>
      <c r="B2402" s="1"/>
      <c r="C2402" s="1"/>
      <c r="D2402" s="1"/>
      <c r="E2402" s="1"/>
      <c r="F2402" s="1"/>
    </row>
    <row r="2403" spans="1:6" ht="12.5">
      <c r="A2403" s="1"/>
      <c r="B2403" s="1"/>
      <c r="C2403" s="1"/>
      <c r="D2403" s="1"/>
      <c r="E2403" s="1"/>
      <c r="F2403" s="1"/>
    </row>
    <row r="2404" spans="1:6" ht="12.5">
      <c r="A2404" s="1"/>
      <c r="B2404" s="1"/>
      <c r="C2404" s="1"/>
      <c r="D2404" s="1"/>
      <c r="E2404" s="1"/>
      <c r="F2404" s="1"/>
    </row>
    <row r="2405" spans="1:6" ht="12.5">
      <c r="A2405" s="1"/>
      <c r="B2405" s="1"/>
      <c r="C2405" s="1"/>
      <c r="D2405" s="1"/>
      <c r="E2405" s="1"/>
      <c r="F2405" s="1"/>
    </row>
    <row r="2406" spans="1:6" ht="12.5">
      <c r="A2406" s="1"/>
      <c r="B2406" s="1"/>
      <c r="C2406" s="1"/>
      <c r="D2406" s="1"/>
      <c r="E2406" s="1"/>
      <c r="F2406" s="1"/>
    </row>
    <row r="2407" spans="1:6" ht="12.5">
      <c r="A2407" s="1"/>
      <c r="B2407" s="1"/>
      <c r="C2407" s="1"/>
      <c r="D2407" s="1"/>
      <c r="E2407" s="1"/>
      <c r="F2407" s="1"/>
    </row>
    <row r="2408" spans="1:6" ht="12.5">
      <c r="A2408" s="1"/>
      <c r="B2408" s="1"/>
      <c r="C2408" s="1"/>
      <c r="D2408" s="1"/>
      <c r="E2408" s="1"/>
      <c r="F2408" s="1"/>
    </row>
    <row r="2409" spans="1:6" ht="12.5">
      <c r="A2409" s="1"/>
      <c r="B2409" s="1"/>
      <c r="C2409" s="1"/>
      <c r="D2409" s="1"/>
      <c r="E2409" s="1"/>
      <c r="F2409" s="1"/>
    </row>
    <row r="2410" spans="1:6" ht="12.5">
      <c r="A2410" s="1"/>
      <c r="B2410" s="1"/>
      <c r="C2410" s="1"/>
      <c r="D2410" s="1"/>
      <c r="E2410" s="1"/>
      <c r="F2410" s="1"/>
    </row>
    <row r="2411" spans="1:6" ht="12.5">
      <c r="A2411" s="1"/>
      <c r="B2411" s="1"/>
      <c r="C2411" s="1"/>
      <c r="D2411" s="1"/>
      <c r="E2411" s="1"/>
      <c r="F2411" s="1"/>
    </row>
    <row r="2412" spans="1:6" ht="12.5">
      <c r="A2412" s="1"/>
      <c r="B2412" s="1"/>
      <c r="C2412" s="1"/>
      <c r="D2412" s="1"/>
      <c r="E2412" s="1"/>
      <c r="F2412" s="1"/>
    </row>
    <row r="2413" spans="1:6" ht="12.5">
      <c r="A2413" s="1"/>
      <c r="B2413" s="1"/>
      <c r="C2413" s="1"/>
      <c r="D2413" s="1"/>
      <c r="E2413" s="1"/>
      <c r="F2413" s="1"/>
    </row>
    <row r="2414" spans="1:6" ht="12.5">
      <c r="A2414" s="1"/>
      <c r="B2414" s="1"/>
      <c r="C2414" s="1"/>
      <c r="D2414" s="1"/>
      <c r="E2414" s="1"/>
      <c r="F2414" s="1"/>
    </row>
    <row r="2415" spans="1:6" ht="12.5">
      <c r="A2415" s="1"/>
      <c r="B2415" s="1"/>
      <c r="C2415" s="1"/>
      <c r="D2415" s="1"/>
      <c r="E2415" s="1"/>
      <c r="F2415" s="1"/>
    </row>
    <row r="2416" spans="1:6" ht="12.5">
      <c r="A2416" s="1"/>
      <c r="B2416" s="1"/>
      <c r="C2416" s="1"/>
      <c r="D2416" s="1"/>
      <c r="E2416" s="1"/>
      <c r="F2416" s="1"/>
    </row>
    <row r="2417" spans="1:6" ht="12.5">
      <c r="A2417" s="1"/>
      <c r="B2417" s="1"/>
      <c r="C2417" s="1"/>
      <c r="D2417" s="1"/>
      <c r="E2417" s="1"/>
      <c r="F2417" s="1"/>
    </row>
    <row r="2418" spans="1:6" ht="12.5">
      <c r="A2418" s="1"/>
      <c r="B2418" s="1"/>
      <c r="C2418" s="1"/>
      <c r="D2418" s="1"/>
      <c r="E2418" s="1"/>
      <c r="F2418" s="1"/>
    </row>
    <row r="2419" spans="1:6" ht="12.5">
      <c r="A2419" s="1"/>
      <c r="B2419" s="1"/>
      <c r="C2419" s="1"/>
      <c r="D2419" s="1"/>
      <c r="E2419" s="1"/>
      <c r="F2419" s="1"/>
    </row>
    <row r="2420" spans="1:6" ht="12.5">
      <c r="A2420" s="1"/>
      <c r="B2420" s="1"/>
      <c r="C2420" s="1"/>
      <c r="D2420" s="1"/>
      <c r="E2420" s="1"/>
      <c r="F2420" s="1"/>
    </row>
    <row r="2421" spans="1:6" ht="12.5">
      <c r="A2421" s="1"/>
      <c r="B2421" s="1"/>
      <c r="C2421" s="1"/>
      <c r="D2421" s="1"/>
      <c r="E2421" s="1"/>
      <c r="F2421" s="1"/>
    </row>
    <row r="2422" spans="1:6" ht="12.5">
      <c r="A2422" s="1"/>
      <c r="B2422" s="1"/>
      <c r="C2422" s="1"/>
      <c r="D2422" s="1"/>
      <c r="E2422" s="1"/>
      <c r="F2422" s="1"/>
    </row>
    <row r="2423" spans="1:6" ht="12.5">
      <c r="A2423" s="1"/>
      <c r="B2423" s="1"/>
      <c r="C2423" s="1"/>
      <c r="D2423" s="1"/>
      <c r="E2423" s="1"/>
      <c r="F2423" s="1"/>
    </row>
    <row r="2424" spans="1:6" ht="12.5">
      <c r="A2424" s="1"/>
      <c r="B2424" s="1"/>
      <c r="C2424" s="1"/>
      <c r="D2424" s="1"/>
      <c r="E2424" s="1"/>
      <c r="F2424" s="1"/>
    </row>
    <row r="2425" spans="1:6" ht="12.5">
      <c r="A2425" s="1"/>
      <c r="B2425" s="1"/>
      <c r="C2425" s="1"/>
      <c r="D2425" s="1"/>
      <c r="E2425" s="1"/>
      <c r="F2425" s="1"/>
    </row>
    <row r="2426" spans="1:6" ht="12.5">
      <c r="A2426" s="1"/>
      <c r="B2426" s="1"/>
      <c r="C2426" s="1"/>
      <c r="D2426" s="1"/>
      <c r="E2426" s="1"/>
      <c r="F2426" s="1"/>
    </row>
    <row r="2427" spans="1:6" ht="12.5">
      <c r="A2427" s="1"/>
      <c r="B2427" s="1"/>
      <c r="C2427" s="1"/>
      <c r="D2427" s="1"/>
      <c r="E2427" s="1"/>
      <c r="F2427" s="1"/>
    </row>
    <row r="2428" spans="1:6" ht="12.5">
      <c r="A2428" s="1"/>
      <c r="B2428" s="1"/>
      <c r="C2428" s="1"/>
      <c r="D2428" s="1"/>
      <c r="E2428" s="1"/>
      <c r="F2428" s="1"/>
    </row>
    <row r="2429" spans="1:6" ht="12.5">
      <c r="A2429" s="1"/>
      <c r="B2429" s="1"/>
      <c r="C2429" s="1"/>
      <c r="D2429" s="1"/>
      <c r="E2429" s="1"/>
      <c r="F2429" s="1"/>
    </row>
    <row r="2430" spans="1:6" ht="12.5">
      <c r="A2430" s="1"/>
      <c r="B2430" s="1"/>
      <c r="C2430" s="1"/>
      <c r="D2430" s="1"/>
      <c r="E2430" s="1"/>
      <c r="F2430" s="1"/>
    </row>
    <row r="2431" spans="1:6" ht="12.5">
      <c r="A2431" s="1"/>
      <c r="B2431" s="1"/>
      <c r="C2431" s="1"/>
      <c r="D2431" s="1"/>
      <c r="E2431" s="1"/>
      <c r="F2431" s="1"/>
    </row>
    <row r="2432" spans="1:6" ht="12.5">
      <c r="A2432" s="1"/>
      <c r="B2432" s="1"/>
      <c r="C2432" s="1"/>
      <c r="D2432" s="1"/>
      <c r="E2432" s="1"/>
      <c r="F2432" s="1"/>
    </row>
    <row r="2433" spans="1:6" ht="12.5">
      <c r="A2433" s="1"/>
      <c r="B2433" s="1"/>
      <c r="C2433" s="1"/>
      <c r="D2433" s="1"/>
      <c r="E2433" s="1"/>
      <c r="F2433" s="1"/>
    </row>
    <row r="2434" spans="1:6" ht="12.5">
      <c r="A2434" s="1"/>
      <c r="B2434" s="1"/>
      <c r="C2434" s="1"/>
      <c r="D2434" s="1"/>
      <c r="E2434" s="1"/>
      <c r="F2434" s="1"/>
    </row>
    <row r="2435" spans="1:6" ht="12.5">
      <c r="A2435" s="1"/>
      <c r="B2435" s="1"/>
      <c r="C2435" s="1"/>
      <c r="D2435" s="1"/>
      <c r="E2435" s="1"/>
      <c r="F2435" s="1"/>
    </row>
    <row r="2436" spans="1:6" ht="12.5">
      <c r="A2436" s="1"/>
      <c r="B2436" s="1"/>
      <c r="C2436" s="1"/>
      <c r="D2436" s="1"/>
      <c r="E2436" s="1"/>
      <c r="F2436" s="1"/>
    </row>
    <row r="2437" spans="1:6" ht="12.5">
      <c r="A2437" s="1"/>
      <c r="B2437" s="1"/>
      <c r="C2437" s="1"/>
      <c r="D2437" s="1"/>
      <c r="E2437" s="1"/>
      <c r="F2437" s="1"/>
    </row>
    <row r="2438" spans="1:6" ht="12.5">
      <c r="A2438" s="1"/>
      <c r="B2438" s="1"/>
      <c r="C2438" s="1"/>
      <c r="D2438" s="1"/>
      <c r="E2438" s="1"/>
      <c r="F2438" s="1"/>
    </row>
    <row r="2439" spans="1:6" ht="12.5">
      <c r="A2439" s="1"/>
      <c r="B2439" s="1"/>
      <c r="C2439" s="1"/>
      <c r="D2439" s="1"/>
      <c r="E2439" s="1"/>
      <c r="F2439" s="1"/>
    </row>
    <row r="2440" spans="1:6" ht="12.5">
      <c r="A2440" s="1"/>
      <c r="B2440" s="1"/>
      <c r="C2440" s="1"/>
      <c r="D2440" s="1"/>
      <c r="E2440" s="1"/>
      <c r="F2440" s="1"/>
    </row>
    <row r="2441" spans="1:6" ht="12.5">
      <c r="A2441" s="1"/>
      <c r="B2441" s="1"/>
      <c r="C2441" s="1"/>
      <c r="D2441" s="1"/>
      <c r="E2441" s="1"/>
      <c r="F2441" s="1"/>
    </row>
    <row r="2442" spans="1:6" ht="12.5">
      <c r="A2442" s="1"/>
      <c r="B2442" s="1"/>
      <c r="C2442" s="1"/>
      <c r="D2442" s="1"/>
      <c r="E2442" s="1"/>
      <c r="F2442" s="1"/>
    </row>
    <row r="2443" spans="1:6" ht="12.5">
      <c r="A2443" s="1"/>
      <c r="B2443" s="1"/>
      <c r="C2443" s="1"/>
      <c r="D2443" s="1"/>
      <c r="E2443" s="1"/>
      <c r="F2443" s="1"/>
    </row>
    <row r="2444" spans="1:6" ht="12.5">
      <c r="A2444" s="1"/>
      <c r="B2444" s="1"/>
      <c r="C2444" s="1"/>
      <c r="D2444" s="1"/>
      <c r="E2444" s="1"/>
      <c r="F2444" s="1"/>
    </row>
    <row r="2445" spans="1:6" ht="12.5">
      <c r="A2445" s="1"/>
      <c r="B2445" s="1"/>
      <c r="C2445" s="1"/>
      <c r="D2445" s="1"/>
      <c r="E2445" s="1"/>
      <c r="F2445" s="1"/>
    </row>
    <row r="2446" spans="1:6" ht="12.5">
      <c r="A2446" s="1"/>
      <c r="B2446" s="1"/>
      <c r="C2446" s="1"/>
      <c r="D2446" s="1"/>
      <c r="E2446" s="1"/>
      <c r="F2446" s="1"/>
    </row>
    <row r="2447" spans="1:6" ht="12.5">
      <c r="A2447" s="1"/>
      <c r="B2447" s="1"/>
      <c r="C2447" s="1"/>
      <c r="D2447" s="1"/>
      <c r="E2447" s="1"/>
      <c r="F2447" s="1"/>
    </row>
    <row r="2448" spans="1:6" ht="12.5">
      <c r="A2448" s="1"/>
      <c r="B2448" s="1"/>
      <c r="C2448" s="1"/>
      <c r="D2448" s="1"/>
      <c r="E2448" s="1"/>
      <c r="F2448" s="1"/>
    </row>
    <row r="2449" spans="1:6" ht="12.5">
      <c r="A2449" s="1"/>
      <c r="B2449" s="1"/>
      <c r="C2449" s="1"/>
      <c r="D2449" s="1"/>
      <c r="E2449" s="1"/>
      <c r="F2449" s="1"/>
    </row>
    <row r="2450" spans="1:6" ht="12.5">
      <c r="A2450" s="1"/>
      <c r="B2450" s="1"/>
      <c r="C2450" s="1"/>
      <c r="D2450" s="1"/>
      <c r="E2450" s="1"/>
      <c r="F2450" s="1"/>
    </row>
    <row r="2451" spans="1:6" ht="12.5">
      <c r="A2451" s="1"/>
      <c r="B2451" s="1"/>
      <c r="C2451" s="1"/>
      <c r="D2451" s="1"/>
      <c r="E2451" s="1"/>
      <c r="F2451" s="1"/>
    </row>
    <row r="2452" spans="1:6" ht="12.5">
      <c r="A2452" s="1"/>
      <c r="B2452" s="1"/>
      <c r="C2452" s="1"/>
      <c r="D2452" s="1"/>
      <c r="E2452" s="1"/>
      <c r="F2452" s="1"/>
    </row>
    <row r="2453" spans="1:6" ht="12.5">
      <c r="A2453" s="1"/>
      <c r="B2453" s="1"/>
      <c r="C2453" s="1"/>
      <c r="D2453" s="1"/>
      <c r="E2453" s="1"/>
      <c r="F2453" s="1"/>
    </row>
    <row r="2454" spans="1:6" ht="12.5">
      <c r="A2454" s="1"/>
      <c r="B2454" s="1"/>
      <c r="C2454" s="1"/>
      <c r="D2454" s="1"/>
      <c r="E2454" s="1"/>
      <c r="F2454" s="1"/>
    </row>
    <row r="2455" spans="1:6" ht="12.5">
      <c r="A2455" s="1"/>
      <c r="B2455" s="1"/>
      <c r="C2455" s="1"/>
      <c r="D2455" s="1"/>
      <c r="E2455" s="1"/>
      <c r="F2455" s="1"/>
    </row>
    <row r="2456" spans="1:6" ht="12.5">
      <c r="A2456" s="1"/>
      <c r="B2456" s="1"/>
      <c r="C2456" s="1"/>
      <c r="D2456" s="1"/>
      <c r="E2456" s="1"/>
      <c r="F2456" s="1"/>
    </row>
    <row r="2457" spans="1:6" ht="12.5">
      <c r="A2457" s="1"/>
      <c r="B2457" s="1"/>
      <c r="C2457" s="1"/>
      <c r="D2457" s="1"/>
      <c r="E2457" s="1"/>
      <c r="F2457" s="1"/>
    </row>
    <row r="2458" spans="1:6" ht="12.5">
      <c r="A2458" s="1"/>
      <c r="B2458" s="1"/>
      <c r="C2458" s="1"/>
      <c r="D2458" s="1"/>
      <c r="E2458" s="1"/>
      <c r="F2458" s="1"/>
    </row>
    <row r="2459" spans="1:6" ht="12.5">
      <c r="A2459" s="1"/>
      <c r="B2459" s="1"/>
      <c r="C2459" s="1"/>
      <c r="D2459" s="1"/>
      <c r="E2459" s="1"/>
      <c r="F2459" s="1"/>
    </row>
    <row r="2460" spans="1:6" ht="12.5">
      <c r="A2460" s="1"/>
      <c r="B2460" s="1"/>
      <c r="C2460" s="1"/>
      <c r="D2460" s="1"/>
      <c r="E2460" s="1"/>
      <c r="F2460" s="1"/>
    </row>
    <row r="2461" spans="1:6" ht="12.5">
      <c r="A2461" s="1"/>
      <c r="B2461" s="1"/>
      <c r="C2461" s="1"/>
      <c r="D2461" s="1"/>
      <c r="E2461" s="1"/>
      <c r="F2461" s="1"/>
    </row>
    <row r="2462" spans="1:6" ht="12.5">
      <c r="A2462" s="1"/>
      <c r="B2462" s="1"/>
      <c r="C2462" s="1"/>
      <c r="D2462" s="1"/>
      <c r="E2462" s="1"/>
      <c r="F2462" s="1"/>
    </row>
    <row r="2463" spans="1:6" ht="12.5">
      <c r="A2463" s="1"/>
      <c r="B2463" s="1"/>
      <c r="C2463" s="1"/>
      <c r="D2463" s="1"/>
      <c r="E2463" s="1"/>
      <c r="F2463" s="1"/>
    </row>
    <row r="2464" spans="1:6" ht="12.5">
      <c r="A2464" s="1"/>
      <c r="B2464" s="1"/>
      <c r="C2464" s="1"/>
      <c r="D2464" s="1"/>
      <c r="E2464" s="1"/>
      <c r="F2464" s="1"/>
    </row>
    <row r="2465" spans="1:6" ht="12.5">
      <c r="A2465" s="1"/>
      <c r="B2465" s="1"/>
      <c r="C2465" s="1"/>
      <c r="D2465" s="1"/>
      <c r="E2465" s="1"/>
      <c r="F2465" s="1"/>
    </row>
    <row r="2466" spans="1:6" ht="12.5">
      <c r="A2466" s="1"/>
      <c r="B2466" s="1"/>
      <c r="C2466" s="1"/>
      <c r="D2466" s="1"/>
      <c r="E2466" s="1"/>
      <c r="F2466" s="1"/>
    </row>
    <row r="2467" spans="1:6" ht="12.5">
      <c r="A2467" s="1"/>
      <c r="B2467" s="1"/>
      <c r="C2467" s="1"/>
      <c r="D2467" s="1"/>
      <c r="E2467" s="1"/>
      <c r="F2467" s="1"/>
    </row>
    <row r="2468" spans="1:6" ht="12.5">
      <c r="A2468" s="1"/>
      <c r="B2468" s="1"/>
      <c r="C2468" s="1"/>
      <c r="D2468" s="1"/>
      <c r="E2468" s="1"/>
      <c r="F2468" s="1"/>
    </row>
    <row r="2469" spans="1:6" ht="12.5">
      <c r="A2469" s="1"/>
      <c r="B2469" s="1"/>
      <c r="C2469" s="1"/>
      <c r="D2469" s="1"/>
      <c r="E2469" s="1"/>
      <c r="F2469" s="1"/>
    </row>
    <row r="2470" spans="1:6" ht="12.5">
      <c r="A2470" s="1"/>
      <c r="B2470" s="1"/>
      <c r="C2470" s="1"/>
      <c r="D2470" s="1"/>
      <c r="E2470" s="1"/>
      <c r="F2470" s="1"/>
    </row>
    <row r="2471" spans="1:6" ht="12.5">
      <c r="A2471" s="1"/>
      <c r="B2471" s="1"/>
      <c r="C2471" s="1"/>
      <c r="D2471" s="1"/>
      <c r="E2471" s="1"/>
      <c r="F2471" s="1"/>
    </row>
    <row r="2472" spans="1:6" ht="12.5">
      <c r="A2472" s="1"/>
      <c r="B2472" s="1"/>
      <c r="C2472" s="1"/>
      <c r="D2472" s="1"/>
      <c r="E2472" s="1"/>
      <c r="F2472" s="1"/>
    </row>
    <row r="2473" spans="1:6" ht="12.5">
      <c r="A2473" s="1"/>
      <c r="B2473" s="1"/>
      <c r="C2473" s="1"/>
      <c r="D2473" s="1"/>
      <c r="E2473" s="1"/>
      <c r="F2473" s="1"/>
    </row>
    <row r="2474" spans="1:6" ht="12.5">
      <c r="A2474" s="1"/>
      <c r="B2474" s="1"/>
      <c r="C2474" s="1"/>
      <c r="D2474" s="1"/>
      <c r="E2474" s="1"/>
      <c r="F2474" s="1"/>
    </row>
    <row r="2475" spans="1:6" ht="12.5">
      <c r="A2475" s="1"/>
      <c r="B2475" s="1"/>
      <c r="C2475" s="1"/>
      <c r="D2475" s="1"/>
      <c r="E2475" s="1"/>
      <c r="F2475" s="1"/>
    </row>
    <row r="2476" spans="1:6" ht="12.5">
      <c r="A2476" s="1"/>
      <c r="B2476" s="1"/>
      <c r="C2476" s="1"/>
      <c r="D2476" s="1"/>
      <c r="E2476" s="1"/>
      <c r="F2476" s="1"/>
    </row>
    <row r="2477" spans="1:6" ht="12.5">
      <c r="A2477" s="1"/>
      <c r="B2477" s="1"/>
      <c r="C2477" s="1"/>
      <c r="D2477" s="1"/>
      <c r="E2477" s="1"/>
      <c r="F2477" s="1"/>
    </row>
    <row r="2478" spans="1:6" ht="12.5">
      <c r="A2478" s="1"/>
      <c r="B2478" s="1"/>
      <c r="C2478" s="1"/>
      <c r="D2478" s="1"/>
      <c r="E2478" s="1"/>
      <c r="F2478" s="1"/>
    </row>
    <row r="2479" spans="1:6" ht="12.5">
      <c r="A2479" s="1"/>
      <c r="B2479" s="1"/>
      <c r="C2479" s="1"/>
      <c r="D2479" s="1"/>
      <c r="E2479" s="1"/>
      <c r="F2479" s="1"/>
    </row>
    <row r="2480" spans="1:6" ht="12.5">
      <c r="A2480" s="1"/>
      <c r="B2480" s="1"/>
      <c r="C2480" s="1"/>
      <c r="D2480" s="1"/>
      <c r="E2480" s="1"/>
      <c r="F2480" s="1"/>
    </row>
    <row r="2481" spans="1:6" ht="12.5">
      <c r="A2481" s="1"/>
      <c r="B2481" s="1"/>
      <c r="C2481" s="1"/>
      <c r="D2481" s="1"/>
      <c r="E2481" s="1"/>
      <c r="F2481" s="1"/>
    </row>
    <row r="2482" spans="1:6" ht="12.5">
      <c r="A2482" s="1"/>
      <c r="B2482" s="1"/>
      <c r="C2482" s="1"/>
      <c r="D2482" s="1"/>
      <c r="E2482" s="1"/>
      <c r="F2482" s="1"/>
    </row>
    <row r="2483" spans="1:6" ht="12.5">
      <c r="A2483" s="1"/>
      <c r="B2483" s="1"/>
      <c r="C2483" s="1"/>
      <c r="D2483" s="1"/>
      <c r="E2483" s="1"/>
      <c r="F2483" s="1"/>
    </row>
    <row r="2484" spans="1:6" ht="12.5">
      <c r="A2484" s="1"/>
      <c r="B2484" s="1"/>
      <c r="C2484" s="1"/>
      <c r="D2484" s="1"/>
      <c r="E2484" s="1"/>
      <c r="F2484" s="1"/>
    </row>
    <row r="2485" spans="1:6" ht="12.5">
      <c r="A2485" s="1"/>
      <c r="B2485" s="1"/>
      <c r="C2485" s="1"/>
      <c r="D2485" s="1"/>
      <c r="E2485" s="1"/>
      <c r="F2485" s="1"/>
    </row>
    <row r="2486" spans="1:6" ht="12.5">
      <c r="A2486" s="1"/>
      <c r="B2486" s="1"/>
      <c r="C2486" s="1"/>
      <c r="D2486" s="1"/>
      <c r="E2486" s="1"/>
      <c r="F2486" s="1"/>
    </row>
    <row r="2487" spans="1:6" ht="12.5">
      <c r="A2487" s="1"/>
      <c r="B2487" s="1"/>
      <c r="C2487" s="1"/>
      <c r="D2487" s="1"/>
      <c r="E2487" s="1"/>
      <c r="F2487" s="1"/>
    </row>
    <row r="2488" spans="1:6" ht="12.5">
      <c r="A2488" s="1"/>
      <c r="B2488" s="1"/>
      <c r="C2488" s="1"/>
      <c r="D2488" s="1"/>
      <c r="E2488" s="1"/>
      <c r="F2488" s="1"/>
    </row>
    <row r="2489" spans="1:6" ht="12.5">
      <c r="A2489" s="1"/>
      <c r="B2489" s="1"/>
      <c r="C2489" s="1"/>
      <c r="D2489" s="1"/>
      <c r="E2489" s="1"/>
      <c r="F2489" s="1"/>
    </row>
    <row r="2490" spans="1:6" ht="12.5">
      <c r="A2490" s="1"/>
      <c r="B2490" s="1"/>
      <c r="C2490" s="1"/>
      <c r="D2490" s="1"/>
      <c r="E2490" s="1"/>
      <c r="F2490" s="1"/>
    </row>
    <row r="2491" spans="1:6" ht="12.5">
      <c r="A2491" s="1"/>
      <c r="B2491" s="1"/>
      <c r="C2491" s="1"/>
      <c r="D2491" s="1"/>
      <c r="E2491" s="1"/>
      <c r="F2491" s="1"/>
    </row>
    <row r="2492" spans="1:6" ht="12.5">
      <c r="A2492" s="1"/>
      <c r="B2492" s="1"/>
      <c r="C2492" s="1"/>
      <c r="D2492" s="1"/>
      <c r="E2492" s="1"/>
      <c r="F2492" s="1"/>
    </row>
    <row r="2493" spans="1:6" ht="12.5">
      <c r="A2493" s="1"/>
      <c r="B2493" s="1"/>
      <c r="C2493" s="1"/>
      <c r="D2493" s="1"/>
      <c r="E2493" s="1"/>
      <c r="F2493" s="1"/>
    </row>
    <row r="2494" spans="1:6" ht="12.5">
      <c r="A2494" s="1"/>
      <c r="B2494" s="1"/>
      <c r="C2494" s="1"/>
      <c r="D2494" s="1"/>
      <c r="E2494" s="1"/>
      <c r="F2494" s="1"/>
    </row>
    <row r="2495" spans="1:6" ht="12.5">
      <c r="A2495" s="1"/>
      <c r="B2495" s="1"/>
      <c r="C2495" s="1"/>
      <c r="D2495" s="1"/>
      <c r="E2495" s="1"/>
      <c r="F2495" s="1"/>
    </row>
    <row r="2496" spans="1:6" ht="12.5">
      <c r="A2496" s="1"/>
      <c r="B2496" s="1"/>
      <c r="C2496" s="1"/>
      <c r="D2496" s="1"/>
      <c r="E2496" s="1"/>
      <c r="F2496" s="1"/>
    </row>
    <row r="2497" spans="1:6" ht="12.5">
      <c r="A2497" s="1"/>
      <c r="B2497" s="1"/>
      <c r="C2497" s="1"/>
      <c r="D2497" s="1"/>
      <c r="E2497" s="1"/>
      <c r="F2497" s="1"/>
    </row>
    <row r="2498" spans="1:6" ht="12.5">
      <c r="A2498" s="1"/>
      <c r="B2498" s="1"/>
      <c r="C2498" s="1"/>
      <c r="D2498" s="1"/>
      <c r="E2498" s="1"/>
      <c r="F2498" s="1"/>
    </row>
    <row r="2499" spans="1:6" ht="12.5">
      <c r="A2499" s="1"/>
      <c r="B2499" s="1"/>
      <c r="C2499" s="1"/>
      <c r="D2499" s="1"/>
      <c r="E2499" s="1"/>
      <c r="F2499" s="1"/>
    </row>
    <row r="2500" spans="1:6" ht="12.5">
      <c r="A2500" s="1"/>
      <c r="B2500" s="1"/>
      <c r="C2500" s="1"/>
      <c r="D2500" s="1"/>
      <c r="E2500" s="1"/>
      <c r="F2500" s="1"/>
    </row>
    <row r="2501" spans="1:6" ht="12.5">
      <c r="A2501" s="1"/>
      <c r="B2501" s="1"/>
      <c r="C2501" s="1"/>
      <c r="D2501" s="1"/>
      <c r="E2501" s="1"/>
      <c r="F2501" s="1"/>
    </row>
    <row r="2502" spans="1:6" ht="12.5">
      <c r="A2502" s="1"/>
      <c r="B2502" s="1"/>
      <c r="C2502" s="1"/>
      <c r="D2502" s="1"/>
      <c r="E2502" s="1"/>
      <c r="F2502" s="1"/>
    </row>
    <row r="2503" spans="1:6" ht="12.5">
      <c r="A2503" s="1"/>
      <c r="B2503" s="1"/>
      <c r="C2503" s="1"/>
      <c r="D2503" s="1"/>
      <c r="E2503" s="1"/>
      <c r="F2503" s="1"/>
    </row>
    <row r="2504" spans="1:6" ht="12.5">
      <c r="A2504" s="1"/>
      <c r="B2504" s="1"/>
      <c r="C2504" s="1"/>
      <c r="D2504" s="1"/>
      <c r="E2504" s="1"/>
      <c r="F2504" s="1"/>
    </row>
    <row r="2505" spans="1:6" ht="12.5">
      <c r="A2505" s="1"/>
      <c r="B2505" s="1"/>
      <c r="C2505" s="1"/>
      <c r="D2505" s="1"/>
      <c r="E2505" s="1"/>
      <c r="F2505" s="1"/>
    </row>
    <row r="2506" spans="1:6" ht="12.5">
      <c r="A2506" s="1"/>
      <c r="B2506" s="1"/>
      <c r="C2506" s="1"/>
      <c r="D2506" s="1"/>
      <c r="E2506" s="1"/>
      <c r="F2506" s="1"/>
    </row>
    <row r="2507" spans="1:6" ht="12.5">
      <c r="A2507" s="1"/>
      <c r="B2507" s="1"/>
      <c r="C2507" s="1"/>
      <c r="D2507" s="1"/>
      <c r="E2507" s="1"/>
      <c r="F2507" s="1"/>
    </row>
    <row r="2508" spans="1:6" ht="12.5">
      <c r="A2508" s="1"/>
      <c r="B2508" s="1"/>
      <c r="C2508" s="1"/>
      <c r="D2508" s="1"/>
      <c r="E2508" s="1"/>
      <c r="F2508" s="1"/>
    </row>
    <row r="2509" spans="1:6" ht="12.5">
      <c r="A2509" s="1"/>
      <c r="B2509" s="1"/>
      <c r="C2509" s="1"/>
      <c r="D2509" s="1"/>
      <c r="E2509" s="1"/>
      <c r="F2509" s="1"/>
    </row>
    <row r="2510" spans="1:6" ht="12.5">
      <c r="A2510" s="1"/>
      <c r="B2510" s="1"/>
      <c r="C2510" s="1"/>
      <c r="D2510" s="1"/>
      <c r="E2510" s="1"/>
      <c r="F2510" s="1"/>
    </row>
    <row r="2511" spans="1:6" ht="12.5">
      <c r="A2511" s="1"/>
      <c r="B2511" s="1"/>
      <c r="C2511" s="1"/>
      <c r="D2511" s="1"/>
      <c r="E2511" s="1"/>
      <c r="F2511" s="1"/>
    </row>
    <row r="2512" spans="1:6" ht="12.5">
      <c r="A2512" s="1"/>
      <c r="B2512" s="1"/>
      <c r="C2512" s="1"/>
      <c r="D2512" s="1"/>
      <c r="E2512" s="1"/>
      <c r="F2512" s="1"/>
    </row>
    <row r="2513" spans="1:6" ht="12.5">
      <c r="A2513" s="1"/>
      <c r="B2513" s="1"/>
      <c r="C2513" s="1"/>
      <c r="D2513" s="1"/>
      <c r="E2513" s="1"/>
      <c r="F2513" s="1"/>
    </row>
    <row r="2514" spans="1:6" ht="12.5">
      <c r="A2514" s="1"/>
      <c r="B2514" s="1"/>
      <c r="C2514" s="1"/>
      <c r="D2514" s="1"/>
      <c r="E2514" s="1"/>
      <c r="F2514" s="1"/>
    </row>
    <row r="2515" spans="1:6" ht="12.5">
      <c r="A2515" s="1"/>
      <c r="B2515" s="1"/>
      <c r="C2515" s="1"/>
      <c r="D2515" s="1"/>
      <c r="E2515" s="1"/>
      <c r="F2515" s="1"/>
    </row>
    <row r="2516" spans="1:6" ht="12.5">
      <c r="A2516" s="1"/>
      <c r="B2516" s="1"/>
      <c r="C2516" s="1"/>
      <c r="D2516" s="1"/>
      <c r="E2516" s="1"/>
      <c r="F2516" s="1"/>
    </row>
    <row r="2517" spans="1:6" ht="12.5">
      <c r="A2517" s="1"/>
      <c r="B2517" s="1"/>
      <c r="C2517" s="1"/>
      <c r="D2517" s="1"/>
      <c r="E2517" s="1"/>
      <c r="F2517" s="1"/>
    </row>
    <row r="2518" spans="1:6" ht="12.5">
      <c r="A2518" s="1"/>
      <c r="B2518" s="1"/>
      <c r="C2518" s="1"/>
      <c r="D2518" s="1"/>
      <c r="E2518" s="1"/>
      <c r="F2518" s="1"/>
    </row>
    <row r="2519" spans="1:6" ht="12.5">
      <c r="A2519" s="1"/>
      <c r="B2519" s="1"/>
      <c r="C2519" s="1"/>
      <c r="D2519" s="1"/>
      <c r="E2519" s="1"/>
      <c r="F2519" s="1"/>
    </row>
    <row r="2520" spans="1:6" ht="12.5">
      <c r="A2520" s="1"/>
      <c r="B2520" s="1"/>
      <c r="C2520" s="1"/>
      <c r="D2520" s="1"/>
      <c r="E2520" s="1"/>
      <c r="F2520" s="1"/>
    </row>
    <row r="2521" spans="1:6" ht="12.5">
      <c r="A2521" s="1"/>
      <c r="B2521" s="1"/>
      <c r="C2521" s="1"/>
      <c r="D2521" s="1"/>
      <c r="E2521" s="1"/>
      <c r="F2521" s="1"/>
    </row>
    <row r="2522" spans="1:6" ht="12.5">
      <c r="A2522" s="1"/>
      <c r="B2522" s="1"/>
      <c r="C2522" s="1"/>
      <c r="D2522" s="1"/>
      <c r="E2522" s="1"/>
      <c r="F2522" s="1"/>
    </row>
    <row r="2523" spans="1:6" ht="12.5">
      <c r="A2523" s="1"/>
      <c r="B2523" s="1"/>
      <c r="C2523" s="1"/>
      <c r="D2523" s="1"/>
      <c r="E2523" s="1"/>
      <c r="F2523" s="1"/>
    </row>
    <row r="2524" spans="1:6" ht="12.5">
      <c r="A2524" s="1"/>
      <c r="B2524" s="1"/>
      <c r="C2524" s="1"/>
      <c r="D2524" s="1"/>
      <c r="E2524" s="1"/>
      <c r="F2524" s="1"/>
    </row>
    <row r="2525" spans="1:6" ht="12.5">
      <c r="A2525" s="1"/>
      <c r="B2525" s="1"/>
      <c r="C2525" s="1"/>
      <c r="D2525" s="1"/>
      <c r="E2525" s="1"/>
      <c r="F2525" s="1"/>
    </row>
    <row r="2526" spans="1:6" ht="12.5">
      <c r="A2526" s="1"/>
      <c r="B2526" s="1"/>
      <c r="C2526" s="1"/>
      <c r="D2526" s="1"/>
      <c r="E2526" s="1"/>
      <c r="F2526" s="1"/>
    </row>
    <row r="2527" spans="1:6" ht="12.5">
      <c r="A2527" s="1"/>
      <c r="B2527" s="1"/>
      <c r="C2527" s="1"/>
      <c r="D2527" s="1"/>
      <c r="E2527" s="1"/>
      <c r="F2527" s="1"/>
    </row>
    <row r="2528" spans="1:6" ht="12.5">
      <c r="A2528" s="1"/>
      <c r="B2528" s="1"/>
      <c r="C2528" s="1"/>
      <c r="D2528" s="1"/>
      <c r="E2528" s="1"/>
      <c r="F2528" s="1"/>
    </row>
    <row r="2529" spans="1:6" ht="12.5">
      <c r="A2529" s="1"/>
      <c r="B2529" s="1"/>
      <c r="C2529" s="1"/>
      <c r="D2529" s="1"/>
      <c r="E2529" s="1"/>
      <c r="F2529" s="1"/>
    </row>
    <row r="2530" spans="1:6" ht="12.5">
      <c r="A2530" s="1"/>
      <c r="B2530" s="1"/>
      <c r="C2530" s="1"/>
      <c r="D2530" s="1"/>
      <c r="E2530" s="1"/>
      <c r="F2530" s="1"/>
    </row>
    <row r="2531" spans="1:6" ht="12.5">
      <c r="A2531" s="1"/>
      <c r="B2531" s="1"/>
      <c r="C2531" s="1"/>
      <c r="D2531" s="1"/>
      <c r="E2531" s="1"/>
      <c r="F2531" s="1"/>
    </row>
    <row r="2532" spans="1:6" ht="12.5">
      <c r="A2532" s="1"/>
      <c r="B2532" s="1"/>
      <c r="C2532" s="1"/>
      <c r="D2532" s="1"/>
      <c r="E2532" s="1"/>
      <c r="F2532" s="1"/>
    </row>
    <row r="2533" spans="1:6" ht="12.5">
      <c r="A2533" s="1"/>
      <c r="B2533" s="1"/>
      <c r="C2533" s="1"/>
      <c r="D2533" s="1"/>
      <c r="E2533" s="1"/>
      <c r="F2533" s="1"/>
    </row>
    <row r="2534" spans="1:6" ht="12.5">
      <c r="A2534" s="1"/>
      <c r="B2534" s="1"/>
      <c r="C2534" s="1"/>
      <c r="D2534" s="1"/>
      <c r="E2534" s="1"/>
      <c r="F2534" s="1"/>
    </row>
    <row r="2535" spans="1:6" ht="12.5">
      <c r="A2535" s="1"/>
      <c r="B2535" s="1"/>
      <c r="C2535" s="1"/>
      <c r="D2535" s="1"/>
      <c r="E2535" s="1"/>
      <c r="F2535" s="1"/>
    </row>
    <row r="2536" spans="1:6" ht="12.5">
      <c r="A2536" s="1"/>
      <c r="B2536" s="1"/>
      <c r="C2536" s="1"/>
      <c r="D2536" s="1"/>
      <c r="E2536" s="1"/>
      <c r="F2536" s="1"/>
    </row>
    <row r="2537" spans="1:6" ht="12.5">
      <c r="A2537" s="1"/>
      <c r="B2537" s="1"/>
      <c r="C2537" s="1"/>
      <c r="D2537" s="1"/>
      <c r="E2537" s="1"/>
      <c r="F2537" s="1"/>
    </row>
    <row r="2538" spans="1:6" ht="12.5">
      <c r="A2538" s="1"/>
      <c r="B2538" s="1"/>
      <c r="C2538" s="1"/>
      <c r="D2538" s="1"/>
      <c r="E2538" s="1"/>
      <c r="F2538" s="1"/>
    </row>
    <row r="2539" spans="1:6" ht="12.5">
      <c r="A2539" s="1"/>
      <c r="B2539" s="1"/>
      <c r="C2539" s="1"/>
      <c r="D2539" s="1"/>
      <c r="E2539" s="1"/>
      <c r="F2539" s="1"/>
    </row>
    <row r="2540" spans="1:6" ht="12.5">
      <c r="A2540" s="1"/>
      <c r="B2540" s="1"/>
      <c r="C2540" s="1"/>
      <c r="D2540" s="1"/>
      <c r="E2540" s="1"/>
      <c r="F2540" s="1"/>
    </row>
    <row r="2541" spans="1:6" ht="12.5">
      <c r="A2541" s="1"/>
      <c r="B2541" s="1"/>
      <c r="C2541" s="1"/>
      <c r="D2541" s="1"/>
      <c r="E2541" s="1"/>
      <c r="F2541" s="1"/>
    </row>
    <row r="2542" spans="1:6" ht="12.5">
      <c r="A2542" s="1"/>
      <c r="B2542" s="1"/>
      <c r="C2542" s="1"/>
      <c r="D2542" s="1"/>
      <c r="E2542" s="1"/>
      <c r="F2542" s="1"/>
    </row>
    <row r="2543" spans="1:6" ht="12.5">
      <c r="A2543" s="1"/>
      <c r="B2543" s="1"/>
      <c r="C2543" s="1"/>
      <c r="D2543" s="1"/>
      <c r="E2543" s="1"/>
      <c r="F2543" s="1"/>
    </row>
    <row r="2544" spans="1:6" ht="12.5">
      <c r="A2544" s="1"/>
      <c r="B2544" s="1"/>
      <c r="C2544" s="1"/>
      <c r="D2544" s="1"/>
      <c r="E2544" s="1"/>
      <c r="F2544" s="1"/>
    </row>
    <row r="2545" spans="1:6" ht="12.5">
      <c r="A2545" s="1"/>
      <c r="B2545" s="1"/>
      <c r="C2545" s="1"/>
      <c r="D2545" s="1"/>
      <c r="E2545" s="1"/>
      <c r="F2545" s="1"/>
    </row>
    <row r="2546" spans="1:6" ht="12.5">
      <c r="A2546" s="1"/>
      <c r="B2546" s="1"/>
      <c r="C2546" s="1"/>
      <c r="D2546" s="1"/>
      <c r="E2546" s="1"/>
      <c r="F2546" s="1"/>
    </row>
    <row r="2547" spans="1:6" ht="12.5">
      <c r="A2547" s="1"/>
      <c r="B2547" s="1"/>
      <c r="C2547" s="1"/>
      <c r="D2547" s="1"/>
      <c r="E2547" s="1"/>
      <c r="F2547" s="1"/>
    </row>
    <row r="2548" spans="1:6" ht="12.5">
      <c r="A2548" s="1"/>
      <c r="B2548" s="1"/>
      <c r="C2548" s="1"/>
      <c r="D2548" s="1"/>
      <c r="E2548" s="1"/>
      <c r="F2548" s="1"/>
    </row>
    <row r="2549" spans="1:6" ht="12.5">
      <c r="A2549" s="1"/>
      <c r="B2549" s="1"/>
      <c r="C2549" s="1"/>
      <c r="D2549" s="1"/>
      <c r="E2549" s="1"/>
      <c r="F2549" s="1"/>
    </row>
    <row r="2550" spans="1:6" ht="12.5">
      <c r="A2550" s="1"/>
      <c r="B2550" s="1"/>
      <c r="C2550" s="1"/>
      <c r="D2550" s="1"/>
      <c r="E2550" s="1"/>
      <c r="F2550" s="1"/>
    </row>
    <row r="2551" spans="1:6" ht="12.5">
      <c r="A2551" s="1"/>
      <c r="B2551" s="1"/>
      <c r="C2551" s="1"/>
      <c r="D2551" s="1"/>
      <c r="E2551" s="1"/>
      <c r="F2551" s="1"/>
    </row>
    <row r="2552" spans="1:6" ht="12.5">
      <c r="A2552" s="1"/>
      <c r="B2552" s="1"/>
      <c r="C2552" s="1"/>
      <c r="D2552" s="1"/>
      <c r="E2552" s="1"/>
      <c r="F2552" s="1"/>
    </row>
    <row r="2553" spans="1:6" ht="12.5">
      <c r="A2553" s="1"/>
      <c r="B2553" s="1"/>
      <c r="C2553" s="1"/>
      <c r="D2553" s="1"/>
      <c r="E2553" s="1"/>
      <c r="F2553" s="1"/>
    </row>
    <row r="2554" spans="1:6" ht="12.5">
      <c r="A2554" s="1"/>
      <c r="B2554" s="1"/>
      <c r="C2554" s="1"/>
      <c r="D2554" s="1"/>
      <c r="E2554" s="1"/>
      <c r="F2554" s="1"/>
    </row>
    <row r="2555" spans="1:6" ht="12.5">
      <c r="A2555" s="1"/>
      <c r="B2555" s="1"/>
      <c r="C2555" s="1"/>
      <c r="D2555" s="1"/>
      <c r="E2555" s="1"/>
      <c r="F2555" s="1"/>
    </row>
    <row r="2556" spans="1:6" ht="12.5">
      <c r="A2556" s="1"/>
      <c r="B2556" s="1"/>
      <c r="C2556" s="1"/>
      <c r="D2556" s="1"/>
      <c r="E2556" s="1"/>
      <c r="F2556" s="1"/>
    </row>
    <row r="2557" spans="1:6" ht="12.5">
      <c r="A2557" s="1"/>
      <c r="B2557" s="1"/>
      <c r="C2557" s="1"/>
      <c r="D2557" s="1"/>
      <c r="E2557" s="1"/>
      <c r="F2557" s="1"/>
    </row>
    <row r="2558" spans="1:6" ht="12.5">
      <c r="A2558" s="1"/>
      <c r="B2558" s="1"/>
      <c r="C2558" s="1"/>
      <c r="D2558" s="1"/>
      <c r="E2558" s="1"/>
      <c r="F2558" s="1"/>
    </row>
    <row r="2559" spans="1:6" ht="12.5">
      <c r="A2559" s="1"/>
      <c r="B2559" s="1"/>
      <c r="C2559" s="1"/>
      <c r="D2559" s="1"/>
      <c r="E2559" s="1"/>
      <c r="F2559" s="1"/>
    </row>
    <row r="2560" spans="1:6" ht="12.5">
      <c r="A2560" s="1"/>
      <c r="B2560" s="1"/>
      <c r="C2560" s="1"/>
      <c r="D2560" s="1"/>
      <c r="E2560" s="1"/>
      <c r="F2560" s="1"/>
    </row>
    <row r="2561" spans="1:6" ht="12.5">
      <c r="A2561" s="1"/>
      <c r="B2561" s="1"/>
      <c r="C2561" s="1"/>
      <c r="D2561" s="1"/>
      <c r="E2561" s="1"/>
      <c r="F2561" s="1"/>
    </row>
    <row r="2562" spans="1:6" ht="12.5">
      <c r="A2562" s="1"/>
      <c r="B2562" s="1"/>
      <c r="C2562" s="1"/>
      <c r="D2562" s="1"/>
      <c r="E2562" s="1"/>
      <c r="F2562" s="1"/>
    </row>
    <row r="2563" spans="1:6" ht="12.5">
      <c r="A2563" s="1"/>
      <c r="B2563" s="1"/>
      <c r="C2563" s="1"/>
      <c r="D2563" s="1"/>
      <c r="E2563" s="1"/>
      <c r="F2563" s="1"/>
    </row>
    <row r="2564" spans="1:6" ht="12.5">
      <c r="A2564" s="1"/>
      <c r="B2564" s="1"/>
      <c r="C2564" s="1"/>
      <c r="D2564" s="1"/>
      <c r="E2564" s="1"/>
      <c r="F2564" s="1"/>
    </row>
    <row r="2565" spans="1:6" ht="12.5">
      <c r="A2565" s="1"/>
      <c r="B2565" s="1"/>
      <c r="C2565" s="1"/>
      <c r="D2565" s="1"/>
      <c r="E2565" s="1"/>
      <c r="F2565" s="1"/>
    </row>
    <row r="2566" spans="1:6" ht="12.5">
      <c r="A2566" s="1"/>
      <c r="B2566" s="1"/>
      <c r="C2566" s="1"/>
      <c r="D2566" s="1"/>
      <c r="E2566" s="1"/>
      <c r="F2566" s="1"/>
    </row>
    <row r="2567" spans="1:6" ht="12.5">
      <c r="A2567" s="1"/>
      <c r="B2567" s="1"/>
      <c r="C2567" s="1"/>
      <c r="D2567" s="1"/>
      <c r="E2567" s="1"/>
      <c r="F2567" s="1"/>
    </row>
    <row r="2568" spans="1:6" ht="12.5">
      <c r="A2568" s="1"/>
      <c r="B2568" s="1"/>
      <c r="C2568" s="1"/>
      <c r="D2568" s="1"/>
      <c r="E2568" s="1"/>
      <c r="F2568" s="1"/>
    </row>
    <row r="2569" spans="1:6" ht="12.5">
      <c r="A2569" s="1"/>
      <c r="B2569" s="1"/>
      <c r="C2569" s="1"/>
      <c r="D2569" s="1"/>
      <c r="E2569" s="1"/>
      <c r="F2569" s="1"/>
    </row>
    <row r="2570" spans="1:6" ht="12.5">
      <c r="A2570" s="1"/>
      <c r="B2570" s="1"/>
      <c r="C2570" s="1"/>
      <c r="D2570" s="1"/>
      <c r="E2570" s="1"/>
      <c r="F2570" s="1"/>
    </row>
    <row r="2571" spans="1:6" ht="12.5">
      <c r="A2571" s="1"/>
      <c r="B2571" s="1"/>
      <c r="C2571" s="1"/>
      <c r="D2571" s="1"/>
      <c r="E2571" s="1"/>
      <c r="F2571" s="1"/>
    </row>
    <row r="2572" spans="1:6" ht="12.5">
      <c r="A2572" s="1"/>
      <c r="B2572" s="1"/>
      <c r="C2572" s="1"/>
      <c r="D2572" s="1"/>
      <c r="E2572" s="1"/>
      <c r="F2572" s="1"/>
    </row>
    <row r="2573" spans="1:6" ht="12.5">
      <c r="A2573" s="1"/>
      <c r="B2573" s="1"/>
      <c r="C2573" s="1"/>
      <c r="D2573" s="1"/>
      <c r="E2573" s="1"/>
      <c r="F2573" s="1"/>
    </row>
    <row r="2574" spans="1:6" ht="12.5">
      <c r="A2574" s="1"/>
      <c r="B2574" s="1"/>
      <c r="C2574" s="1"/>
      <c r="D2574" s="1"/>
      <c r="E2574" s="1"/>
      <c r="F2574" s="1"/>
    </row>
    <row r="2575" spans="1:6" ht="12.5">
      <c r="A2575" s="1"/>
      <c r="B2575" s="1"/>
      <c r="C2575" s="1"/>
      <c r="D2575" s="1"/>
      <c r="E2575" s="1"/>
      <c r="F2575" s="1"/>
    </row>
    <row r="2576" spans="1:6" ht="12.5">
      <c r="A2576" s="1"/>
      <c r="B2576" s="1"/>
      <c r="C2576" s="1"/>
      <c r="D2576" s="1"/>
      <c r="E2576" s="1"/>
      <c r="F2576" s="1"/>
    </row>
    <row r="2577" spans="1:6" ht="12.5">
      <c r="A2577" s="1"/>
      <c r="B2577" s="1"/>
      <c r="C2577" s="1"/>
      <c r="D2577" s="1"/>
      <c r="E2577" s="1"/>
      <c r="F2577" s="1"/>
    </row>
    <row r="2578" spans="1:6" ht="12.5">
      <c r="A2578" s="1"/>
      <c r="B2578" s="1"/>
      <c r="C2578" s="1"/>
      <c r="D2578" s="1"/>
      <c r="E2578" s="1"/>
      <c r="F2578" s="1"/>
    </row>
    <row r="2579" spans="1:6" ht="12.5">
      <c r="A2579" s="1"/>
      <c r="B2579" s="1"/>
      <c r="C2579" s="1"/>
      <c r="D2579" s="1"/>
      <c r="E2579" s="1"/>
      <c r="F2579" s="1"/>
    </row>
    <row r="2580" spans="1:6" ht="12.5">
      <c r="A2580" s="1"/>
      <c r="B2580" s="1"/>
      <c r="C2580" s="1"/>
      <c r="D2580" s="1"/>
      <c r="E2580" s="1"/>
      <c r="F2580" s="1"/>
    </row>
    <row r="2581" spans="1:6" ht="12.5">
      <c r="A2581" s="1"/>
      <c r="B2581" s="1"/>
      <c r="C2581" s="1"/>
      <c r="D2581" s="1"/>
      <c r="E2581" s="1"/>
      <c r="F2581" s="1"/>
    </row>
    <row r="2582" spans="1:6" ht="12.5">
      <c r="A2582" s="1"/>
      <c r="B2582" s="1"/>
      <c r="C2582" s="1"/>
      <c r="D2582" s="1"/>
      <c r="E2582" s="1"/>
      <c r="F2582" s="1"/>
    </row>
    <row r="2583" spans="1:6" ht="12.5">
      <c r="A2583" s="1"/>
      <c r="B2583" s="1"/>
      <c r="C2583" s="1"/>
      <c r="D2583" s="1"/>
      <c r="E2583" s="1"/>
      <c r="F2583" s="1"/>
    </row>
    <row r="2584" spans="1:6" ht="12.5">
      <c r="A2584" s="1"/>
      <c r="B2584" s="1"/>
      <c r="C2584" s="1"/>
      <c r="D2584" s="1"/>
      <c r="E2584" s="1"/>
      <c r="F2584" s="1"/>
    </row>
    <row r="2585" spans="1:6" ht="12.5">
      <c r="A2585" s="1"/>
      <c r="B2585" s="1"/>
      <c r="C2585" s="1"/>
      <c r="D2585" s="1"/>
      <c r="E2585" s="1"/>
      <c r="F2585" s="1"/>
    </row>
    <row r="2586" spans="1:6" ht="12.5">
      <c r="A2586" s="1"/>
      <c r="B2586" s="1"/>
      <c r="C2586" s="1"/>
      <c r="D2586" s="1"/>
      <c r="E2586" s="1"/>
      <c r="F2586" s="1"/>
    </row>
    <row r="2587" spans="1:6" ht="12.5">
      <c r="A2587" s="1"/>
      <c r="B2587" s="1"/>
      <c r="C2587" s="1"/>
      <c r="D2587" s="1"/>
      <c r="E2587" s="1"/>
      <c r="F2587" s="1"/>
    </row>
    <row r="2588" spans="1:6" ht="12.5">
      <c r="A2588" s="1"/>
      <c r="B2588" s="1"/>
      <c r="C2588" s="1"/>
      <c r="D2588" s="1"/>
      <c r="E2588" s="1"/>
      <c r="F2588" s="1"/>
    </row>
    <row r="2589" spans="1:6" ht="12.5">
      <c r="A2589" s="1"/>
      <c r="B2589" s="1"/>
      <c r="C2589" s="1"/>
      <c r="D2589" s="1"/>
      <c r="E2589" s="1"/>
      <c r="F2589" s="1"/>
    </row>
    <row r="2590" spans="1:6" ht="12.5">
      <c r="A2590" s="1"/>
      <c r="B2590" s="1"/>
      <c r="C2590" s="1"/>
      <c r="D2590" s="1"/>
      <c r="E2590" s="1"/>
      <c r="F2590" s="1"/>
    </row>
    <row r="2591" spans="1:6" ht="12.5">
      <c r="A2591" s="1"/>
      <c r="B2591" s="1"/>
      <c r="C2591" s="1"/>
      <c r="D2591" s="1"/>
      <c r="E2591" s="1"/>
      <c r="F2591" s="1"/>
    </row>
    <row r="2592" spans="1:6" ht="12.5">
      <c r="A2592" s="1"/>
      <c r="B2592" s="1"/>
      <c r="C2592" s="1"/>
      <c r="D2592" s="1"/>
      <c r="E2592" s="1"/>
      <c r="F2592" s="1"/>
    </row>
    <row r="2593" spans="1:6" ht="12.5">
      <c r="A2593" s="1"/>
      <c r="B2593" s="1"/>
      <c r="C2593" s="1"/>
      <c r="D2593" s="1"/>
      <c r="E2593" s="1"/>
      <c r="F2593" s="1"/>
    </row>
    <row r="2594" spans="1:6" ht="12.5">
      <c r="A2594" s="1"/>
      <c r="B2594" s="1"/>
      <c r="C2594" s="1"/>
      <c r="D2594" s="1"/>
      <c r="E2594" s="1"/>
      <c r="F2594" s="1"/>
    </row>
    <row r="2595" spans="1:6" ht="12.5">
      <c r="A2595" s="1"/>
      <c r="B2595" s="1"/>
      <c r="C2595" s="1"/>
      <c r="D2595" s="1"/>
      <c r="E2595" s="1"/>
      <c r="F2595" s="1"/>
    </row>
    <row r="2596" spans="1:6" ht="12.5">
      <c r="A2596" s="1"/>
      <c r="B2596" s="1"/>
      <c r="C2596" s="1"/>
      <c r="D2596" s="1"/>
      <c r="E2596" s="1"/>
      <c r="F2596" s="1"/>
    </row>
    <row r="2597" spans="1:6" ht="12.5">
      <c r="A2597" s="1"/>
      <c r="B2597" s="1"/>
      <c r="C2597" s="1"/>
      <c r="D2597" s="1"/>
      <c r="E2597" s="1"/>
      <c r="F2597" s="1"/>
    </row>
    <row r="2598" spans="1:6" ht="12.5">
      <c r="A2598" s="1"/>
      <c r="B2598" s="1"/>
      <c r="C2598" s="1"/>
      <c r="D2598" s="1"/>
      <c r="E2598" s="1"/>
      <c r="F2598" s="1"/>
    </row>
    <row r="2599" spans="1:6" ht="12.5">
      <c r="A2599" s="1"/>
      <c r="B2599" s="1"/>
      <c r="C2599" s="1"/>
      <c r="D2599" s="1"/>
      <c r="E2599" s="1"/>
      <c r="F2599" s="1"/>
    </row>
    <row r="2600" spans="1:6" ht="12.5">
      <c r="A2600" s="1"/>
      <c r="B2600" s="1"/>
      <c r="C2600" s="1"/>
      <c r="D2600" s="1"/>
      <c r="E2600" s="1"/>
      <c r="F2600" s="1"/>
    </row>
    <row r="2601" spans="1:6" ht="12.5">
      <c r="A2601" s="1"/>
      <c r="B2601" s="1"/>
      <c r="C2601" s="1"/>
      <c r="D2601" s="1"/>
      <c r="E2601" s="1"/>
      <c r="F2601" s="1"/>
    </row>
    <row r="2602" spans="1:6" ht="12.5">
      <c r="A2602" s="1"/>
      <c r="B2602" s="1"/>
      <c r="C2602" s="1"/>
      <c r="D2602" s="1"/>
      <c r="E2602" s="1"/>
      <c r="F2602" s="1"/>
    </row>
    <row r="2603" spans="1:6" ht="12.5">
      <c r="A2603" s="1"/>
      <c r="B2603" s="1"/>
      <c r="C2603" s="1"/>
      <c r="D2603" s="1"/>
      <c r="E2603" s="1"/>
      <c r="F2603" s="1"/>
    </row>
    <row r="2604" spans="1:6" ht="12.5">
      <c r="A2604" s="1"/>
      <c r="B2604" s="1"/>
      <c r="C2604" s="1"/>
      <c r="D2604" s="1"/>
      <c r="E2604" s="1"/>
      <c r="F2604" s="1"/>
    </row>
    <row r="2605" spans="1:6" ht="12.5">
      <c r="A2605" s="1"/>
      <c r="B2605" s="1"/>
      <c r="C2605" s="1"/>
      <c r="D2605" s="1"/>
      <c r="E2605" s="1"/>
      <c r="F2605" s="1"/>
    </row>
    <row r="2606" spans="1:6" ht="12.5">
      <c r="A2606" s="1"/>
      <c r="B2606" s="1"/>
      <c r="C2606" s="1"/>
      <c r="D2606" s="1"/>
      <c r="E2606" s="1"/>
      <c r="F2606" s="1"/>
    </row>
    <row r="2607" spans="1:6" ht="12.5">
      <c r="A2607" s="1"/>
      <c r="B2607" s="1"/>
      <c r="C2607" s="1"/>
      <c r="D2607" s="1"/>
      <c r="E2607" s="1"/>
      <c r="F2607" s="1"/>
    </row>
    <row r="2608" spans="1:6" ht="12.5">
      <c r="A2608" s="1"/>
      <c r="B2608" s="1"/>
      <c r="C2608" s="1"/>
      <c r="D2608" s="1"/>
      <c r="E2608" s="1"/>
      <c r="F2608" s="1"/>
    </row>
    <row r="2609" spans="1:6" ht="12.5">
      <c r="A2609" s="1"/>
      <c r="B2609" s="1"/>
      <c r="C2609" s="1"/>
      <c r="D2609" s="1"/>
      <c r="E2609" s="1"/>
      <c r="F2609" s="1"/>
    </row>
    <row r="2610" spans="1:6" ht="12.5">
      <c r="A2610" s="1"/>
      <c r="B2610" s="1"/>
      <c r="C2610" s="1"/>
      <c r="D2610" s="1"/>
      <c r="E2610" s="1"/>
      <c r="F2610" s="1"/>
    </row>
    <row r="2611" spans="1:6" ht="12.5">
      <c r="A2611" s="1"/>
      <c r="B2611" s="1"/>
      <c r="C2611" s="1"/>
      <c r="D2611" s="1"/>
      <c r="E2611" s="1"/>
      <c r="F2611" s="1"/>
    </row>
    <row r="2612" spans="1:6" ht="12.5">
      <c r="A2612" s="1"/>
      <c r="B2612" s="1"/>
      <c r="C2612" s="1"/>
      <c r="D2612" s="1"/>
      <c r="E2612" s="1"/>
      <c r="F2612" s="1"/>
    </row>
    <row r="2613" spans="1:6" ht="12.5">
      <c r="A2613" s="1"/>
      <c r="B2613" s="1"/>
      <c r="C2613" s="1"/>
      <c r="D2613" s="1"/>
      <c r="E2613" s="1"/>
      <c r="F2613" s="1"/>
    </row>
    <row r="2614" spans="1:6" ht="12.5">
      <c r="A2614" s="1"/>
      <c r="B2614" s="1"/>
      <c r="C2614" s="1"/>
      <c r="D2614" s="1"/>
      <c r="E2614" s="1"/>
      <c r="F2614" s="1"/>
    </row>
    <row r="2615" spans="1:6" ht="12.5">
      <c r="A2615" s="1"/>
      <c r="B2615" s="1"/>
      <c r="C2615" s="1"/>
      <c r="D2615" s="1"/>
      <c r="E2615" s="1"/>
      <c r="F2615" s="1"/>
    </row>
    <row r="2616" spans="1:6" ht="12.5">
      <c r="A2616" s="1"/>
      <c r="B2616" s="1"/>
      <c r="C2616" s="1"/>
      <c r="D2616" s="1"/>
      <c r="E2616" s="1"/>
      <c r="F2616" s="1"/>
    </row>
    <row r="2617" spans="1:6" ht="12.5">
      <c r="A2617" s="1"/>
      <c r="B2617" s="1"/>
      <c r="C2617" s="1"/>
      <c r="D2617" s="1"/>
      <c r="E2617" s="1"/>
      <c r="F2617" s="1"/>
    </row>
    <row r="2618" spans="1:6" ht="12.5">
      <c r="A2618" s="1"/>
      <c r="B2618" s="1"/>
      <c r="C2618" s="1"/>
      <c r="D2618" s="1"/>
      <c r="E2618" s="1"/>
      <c r="F2618" s="1"/>
    </row>
    <row r="2619" spans="1:6" ht="12.5">
      <c r="A2619" s="1"/>
      <c r="B2619" s="1"/>
      <c r="C2619" s="1"/>
      <c r="D2619" s="1"/>
      <c r="E2619" s="1"/>
      <c r="F2619" s="1"/>
    </row>
    <row r="2620" spans="1:6" ht="12.5">
      <c r="A2620" s="1"/>
      <c r="B2620" s="1"/>
      <c r="C2620" s="1"/>
      <c r="D2620" s="1"/>
      <c r="E2620" s="1"/>
      <c r="F2620" s="1"/>
    </row>
    <row r="2621" spans="1:6" ht="12.5">
      <c r="A2621" s="1"/>
      <c r="B2621" s="1"/>
      <c r="C2621" s="1"/>
      <c r="D2621" s="1"/>
      <c r="E2621" s="1"/>
      <c r="F2621" s="1"/>
    </row>
    <row r="2622" spans="1:6" ht="12.5">
      <c r="A2622" s="1"/>
      <c r="B2622" s="1"/>
      <c r="C2622" s="1"/>
      <c r="D2622" s="1"/>
      <c r="E2622" s="1"/>
      <c r="F2622" s="1"/>
    </row>
    <row r="2623" spans="1:6" ht="12.5">
      <c r="A2623" s="1"/>
      <c r="B2623" s="1"/>
      <c r="C2623" s="1"/>
      <c r="D2623" s="1"/>
      <c r="E2623" s="1"/>
      <c r="F2623" s="1"/>
    </row>
    <row r="2624" spans="1:6" ht="12.5">
      <c r="A2624" s="1"/>
      <c r="B2624" s="1"/>
      <c r="C2624" s="1"/>
      <c r="D2624" s="1"/>
      <c r="E2624" s="1"/>
      <c r="F2624" s="1"/>
    </row>
    <row r="2625" spans="1:6" ht="12.5">
      <c r="A2625" s="1"/>
      <c r="B2625" s="1"/>
      <c r="C2625" s="1"/>
      <c r="D2625" s="1"/>
      <c r="E2625" s="1"/>
      <c r="F2625" s="1"/>
    </row>
    <row r="2626" spans="1:6" ht="12.5">
      <c r="A2626" s="1"/>
      <c r="B2626" s="1"/>
      <c r="C2626" s="1"/>
      <c r="D2626" s="1"/>
      <c r="E2626" s="1"/>
      <c r="F2626" s="1"/>
    </row>
    <row r="2627" spans="1:6" ht="12.5">
      <c r="A2627" s="1"/>
      <c r="B2627" s="1"/>
      <c r="C2627" s="1"/>
      <c r="D2627" s="1"/>
      <c r="E2627" s="1"/>
      <c r="F2627" s="1"/>
    </row>
    <row r="2628" spans="1:6" ht="12.5">
      <c r="A2628" s="1"/>
      <c r="B2628" s="1"/>
      <c r="C2628" s="1"/>
      <c r="D2628" s="1"/>
      <c r="E2628" s="1"/>
      <c r="F2628" s="1"/>
    </row>
    <row r="2629" spans="1:6" ht="12.5">
      <c r="A2629" s="1"/>
      <c r="B2629" s="1"/>
      <c r="C2629" s="1"/>
      <c r="D2629" s="1"/>
      <c r="E2629" s="1"/>
      <c r="F2629" s="1"/>
    </row>
    <row r="2630" spans="1:6" ht="12.5">
      <c r="A2630" s="1"/>
      <c r="B2630" s="1"/>
      <c r="C2630" s="1"/>
      <c r="D2630" s="1"/>
      <c r="E2630" s="1"/>
      <c r="F2630" s="1"/>
    </row>
    <row r="2631" spans="1:6" ht="12.5">
      <c r="A2631" s="1"/>
      <c r="B2631" s="1"/>
      <c r="C2631" s="1"/>
      <c r="D2631" s="1"/>
      <c r="E2631" s="1"/>
      <c r="F2631" s="1"/>
    </row>
    <row r="2632" spans="1:6" ht="12.5">
      <c r="A2632" s="1"/>
      <c r="B2632" s="1"/>
      <c r="C2632" s="1"/>
      <c r="D2632" s="1"/>
      <c r="E2632" s="1"/>
      <c r="F2632" s="1"/>
    </row>
    <row r="2633" spans="1:6" ht="12.5">
      <c r="A2633" s="1"/>
      <c r="B2633" s="1"/>
      <c r="C2633" s="1"/>
      <c r="D2633" s="1"/>
      <c r="E2633" s="1"/>
      <c r="F2633" s="1"/>
    </row>
    <row r="2634" spans="1:6" ht="12.5">
      <c r="A2634" s="1"/>
      <c r="B2634" s="1"/>
      <c r="C2634" s="1"/>
      <c r="D2634" s="1"/>
      <c r="E2634" s="1"/>
      <c r="F2634" s="1"/>
    </row>
    <row r="2635" spans="1:6" ht="12.5">
      <c r="A2635" s="1"/>
      <c r="B2635" s="1"/>
      <c r="C2635" s="1"/>
      <c r="D2635" s="1"/>
      <c r="E2635" s="1"/>
      <c r="F2635" s="1"/>
    </row>
    <row r="2636" spans="1:6" ht="12.5">
      <c r="A2636" s="1"/>
      <c r="B2636" s="1"/>
      <c r="C2636" s="1"/>
      <c r="D2636" s="1"/>
      <c r="E2636" s="1"/>
      <c r="F2636" s="1"/>
    </row>
    <row r="2637" spans="1:6" ht="12.5">
      <c r="A2637" s="1"/>
      <c r="B2637" s="1"/>
      <c r="C2637" s="1"/>
      <c r="D2637" s="1"/>
      <c r="E2637" s="1"/>
      <c r="F2637" s="1"/>
    </row>
    <row r="2638" spans="1:6" ht="12.5">
      <c r="A2638" s="1"/>
      <c r="B2638" s="1"/>
      <c r="C2638" s="1"/>
      <c r="D2638" s="1"/>
      <c r="E2638" s="1"/>
      <c r="F2638" s="1"/>
    </row>
    <row r="2639" spans="1:6" ht="12.5">
      <c r="A2639" s="1"/>
      <c r="B2639" s="1"/>
      <c r="C2639" s="1"/>
      <c r="D2639" s="1"/>
      <c r="E2639" s="1"/>
      <c r="F2639" s="1"/>
    </row>
    <row r="2640" spans="1:6" ht="12.5">
      <c r="A2640" s="1"/>
      <c r="B2640" s="1"/>
      <c r="C2640" s="1"/>
      <c r="D2640" s="1"/>
      <c r="E2640" s="1"/>
      <c r="F2640" s="1"/>
    </row>
    <row r="2641" spans="1:6" ht="12.5">
      <c r="A2641" s="1"/>
      <c r="B2641" s="1"/>
      <c r="C2641" s="1"/>
      <c r="D2641" s="1"/>
      <c r="E2641" s="1"/>
      <c r="F2641" s="1"/>
    </row>
    <row r="2642" spans="1:6" ht="12.5">
      <c r="A2642" s="1"/>
      <c r="B2642" s="1"/>
      <c r="C2642" s="1"/>
      <c r="D2642" s="1"/>
      <c r="E2642" s="1"/>
      <c r="F2642" s="1"/>
    </row>
    <row r="2643" spans="1:6" ht="12.5">
      <c r="A2643" s="1"/>
      <c r="B2643" s="1"/>
      <c r="C2643" s="1"/>
      <c r="D2643" s="1"/>
      <c r="E2643" s="1"/>
      <c r="F2643" s="1"/>
    </row>
    <row r="2644" spans="1:6" ht="12.5">
      <c r="A2644" s="1"/>
      <c r="B2644" s="1"/>
      <c r="C2644" s="1"/>
      <c r="D2644" s="1"/>
      <c r="E2644" s="1"/>
      <c r="F2644" s="1"/>
    </row>
    <row r="2645" spans="1:6" ht="12.5">
      <c r="A2645" s="1"/>
      <c r="B2645" s="1"/>
      <c r="C2645" s="1"/>
      <c r="D2645" s="1"/>
      <c r="E2645" s="1"/>
      <c r="F2645" s="1"/>
    </row>
    <row r="2646" spans="1:6" ht="12.5">
      <c r="A2646" s="1"/>
      <c r="B2646" s="1"/>
      <c r="C2646" s="1"/>
      <c r="D2646" s="1"/>
      <c r="E2646" s="1"/>
      <c r="F2646" s="1"/>
    </row>
    <row r="2647" spans="1:6" ht="12.5">
      <c r="A2647" s="1"/>
      <c r="B2647" s="1"/>
      <c r="C2647" s="1"/>
      <c r="D2647" s="1"/>
      <c r="E2647" s="1"/>
      <c r="F2647" s="1"/>
    </row>
    <row r="2648" spans="1:6" ht="12.5">
      <c r="A2648" s="1"/>
      <c r="B2648" s="1"/>
      <c r="C2648" s="1"/>
      <c r="D2648" s="1"/>
      <c r="E2648" s="1"/>
      <c r="F2648" s="1"/>
    </row>
    <row r="2649" spans="1:6" ht="12.5">
      <c r="A2649" s="1"/>
      <c r="B2649" s="1"/>
      <c r="C2649" s="1"/>
      <c r="D2649" s="1"/>
      <c r="E2649" s="1"/>
      <c r="F2649" s="1"/>
    </row>
    <row r="2650" spans="1:6" ht="12.5">
      <c r="A2650" s="1"/>
      <c r="B2650" s="1"/>
      <c r="C2650" s="1"/>
      <c r="D2650" s="1"/>
      <c r="E2650" s="1"/>
      <c r="F2650" s="1"/>
    </row>
    <row r="2651" spans="1:6" ht="12.5">
      <c r="A2651" s="1"/>
      <c r="B2651" s="1"/>
      <c r="C2651" s="1"/>
      <c r="D2651" s="1"/>
      <c r="E2651" s="1"/>
      <c r="F2651" s="1"/>
    </row>
    <row r="2652" spans="1:6" ht="12.5">
      <c r="A2652" s="1"/>
      <c r="B2652" s="1"/>
      <c r="C2652" s="1"/>
      <c r="D2652" s="1"/>
      <c r="E2652" s="1"/>
      <c r="F2652" s="1"/>
    </row>
    <row r="2653" spans="1:6" ht="12.5">
      <c r="A2653" s="1"/>
      <c r="B2653" s="1"/>
      <c r="C2653" s="1"/>
      <c r="D2653" s="1"/>
      <c r="E2653" s="1"/>
      <c r="F2653" s="1"/>
    </row>
    <row r="2654" spans="1:6" ht="12.5">
      <c r="A2654" s="1"/>
      <c r="B2654" s="1"/>
      <c r="C2654" s="1"/>
      <c r="D2654" s="1"/>
      <c r="E2654" s="1"/>
      <c r="F2654" s="1"/>
    </row>
    <row r="2655" spans="1:6" ht="12.5">
      <c r="A2655" s="1"/>
      <c r="B2655" s="1"/>
      <c r="C2655" s="1"/>
      <c r="D2655" s="1"/>
      <c r="E2655" s="1"/>
      <c r="F2655" s="1"/>
    </row>
    <row r="2656" spans="1:6" ht="12.5">
      <c r="A2656" s="1"/>
      <c r="B2656" s="1"/>
      <c r="C2656" s="1"/>
      <c r="D2656" s="1"/>
      <c r="E2656" s="1"/>
      <c r="F2656" s="1"/>
    </row>
    <row r="2657" spans="1:6" ht="12.5">
      <c r="A2657" s="1"/>
      <c r="B2657" s="1"/>
      <c r="C2657" s="1"/>
      <c r="D2657" s="1"/>
      <c r="E2657" s="1"/>
      <c r="F2657" s="1"/>
    </row>
    <row r="2658" spans="1:6" ht="12.5">
      <c r="A2658" s="1"/>
      <c r="B2658" s="1"/>
      <c r="C2658" s="1"/>
      <c r="D2658" s="1"/>
      <c r="E2658" s="1"/>
      <c r="F2658" s="1"/>
    </row>
    <row r="2659" spans="1:6" ht="12.5">
      <c r="A2659" s="1"/>
      <c r="B2659" s="1"/>
      <c r="C2659" s="1"/>
      <c r="D2659" s="1"/>
      <c r="E2659" s="1"/>
      <c r="F2659" s="1"/>
    </row>
    <row r="2660" spans="1:6" ht="12.5">
      <c r="A2660" s="1"/>
      <c r="B2660" s="1"/>
      <c r="C2660" s="1"/>
      <c r="D2660" s="1"/>
      <c r="E2660" s="1"/>
      <c r="F2660" s="1"/>
    </row>
    <row r="2661" spans="1:6" ht="12.5">
      <c r="A2661" s="1"/>
      <c r="B2661" s="1"/>
      <c r="C2661" s="1"/>
      <c r="D2661" s="1"/>
      <c r="E2661" s="1"/>
      <c r="F2661" s="1"/>
    </row>
    <row r="2662" spans="1:6" ht="12.5">
      <c r="A2662" s="1"/>
      <c r="B2662" s="1"/>
      <c r="C2662" s="1"/>
      <c r="D2662" s="1"/>
      <c r="E2662" s="1"/>
      <c r="F2662" s="1"/>
    </row>
    <row r="2663" spans="1:6" ht="12.5">
      <c r="A2663" s="1"/>
      <c r="B2663" s="1"/>
      <c r="C2663" s="1"/>
      <c r="D2663" s="1"/>
      <c r="E2663" s="1"/>
      <c r="F2663" s="1"/>
    </row>
    <row r="2664" spans="1:6" ht="12.5">
      <c r="A2664" s="1"/>
      <c r="B2664" s="1"/>
      <c r="C2664" s="1"/>
      <c r="D2664" s="1"/>
      <c r="E2664" s="1"/>
      <c r="F2664" s="1"/>
    </row>
    <row r="2665" spans="1:6" ht="12.5">
      <c r="A2665" s="1"/>
      <c r="B2665" s="1"/>
      <c r="C2665" s="1"/>
      <c r="D2665" s="1"/>
      <c r="E2665" s="1"/>
      <c r="F2665" s="1"/>
    </row>
    <row r="2666" spans="1:6" ht="12.5">
      <c r="A2666" s="1"/>
      <c r="B2666" s="1"/>
      <c r="C2666" s="1"/>
      <c r="D2666" s="1"/>
      <c r="E2666" s="1"/>
      <c r="F2666" s="1"/>
    </row>
    <row r="2667" spans="1:6" ht="12.5">
      <c r="A2667" s="1"/>
      <c r="B2667" s="1"/>
      <c r="C2667" s="1"/>
      <c r="D2667" s="1"/>
      <c r="E2667" s="1"/>
      <c r="F2667" s="1"/>
    </row>
    <row r="2668" spans="1:6" ht="12.5">
      <c r="A2668" s="1"/>
      <c r="B2668" s="1"/>
      <c r="C2668" s="1"/>
      <c r="D2668" s="1"/>
      <c r="E2668" s="1"/>
      <c r="F2668" s="1"/>
    </row>
    <row r="2669" spans="1:6" ht="12.5">
      <c r="A2669" s="1"/>
      <c r="B2669" s="1"/>
      <c r="C2669" s="1"/>
      <c r="D2669" s="1"/>
      <c r="E2669" s="1"/>
      <c r="F2669" s="1"/>
    </row>
    <row r="2670" spans="1:6" ht="12.5">
      <c r="A2670" s="1"/>
      <c r="B2670" s="1"/>
      <c r="C2670" s="1"/>
      <c r="D2670" s="1"/>
      <c r="E2670" s="1"/>
      <c r="F2670" s="1"/>
    </row>
    <row r="2671" spans="1:6" ht="12.5">
      <c r="A2671" s="1"/>
      <c r="B2671" s="1"/>
      <c r="C2671" s="1"/>
      <c r="D2671" s="1"/>
      <c r="E2671" s="1"/>
      <c r="F2671" s="1"/>
    </row>
    <row r="2672" spans="1:6" ht="12.5">
      <c r="A2672" s="1"/>
      <c r="B2672" s="1"/>
      <c r="C2672" s="1"/>
      <c r="D2672" s="1"/>
      <c r="E2672" s="1"/>
      <c r="F2672" s="1"/>
    </row>
    <row r="2673" spans="1:6" ht="12.5">
      <c r="A2673" s="1"/>
      <c r="B2673" s="1"/>
      <c r="C2673" s="1"/>
      <c r="D2673" s="1"/>
      <c r="E2673" s="1"/>
      <c r="F2673" s="1"/>
    </row>
    <row r="2674" spans="1:6" ht="12.5">
      <c r="A2674" s="1"/>
      <c r="B2674" s="1"/>
      <c r="C2674" s="1"/>
      <c r="D2674" s="1"/>
      <c r="E2674" s="1"/>
      <c r="F2674" s="1"/>
    </row>
    <row r="2675" spans="1:6" ht="12.5">
      <c r="A2675" s="1"/>
      <c r="B2675" s="1"/>
      <c r="C2675" s="1"/>
      <c r="D2675" s="1"/>
      <c r="E2675" s="1"/>
      <c r="F2675" s="1"/>
    </row>
    <row r="2676" spans="1:6" ht="12.5">
      <c r="A2676" s="1"/>
      <c r="B2676" s="1"/>
      <c r="C2676" s="1"/>
      <c r="D2676" s="1"/>
      <c r="E2676" s="1"/>
      <c r="F2676" s="1"/>
    </row>
    <row r="2677" spans="1:6" ht="12.5">
      <c r="A2677" s="1"/>
      <c r="B2677" s="1"/>
      <c r="C2677" s="1"/>
      <c r="D2677" s="1"/>
      <c r="E2677" s="1"/>
      <c r="F2677" s="1"/>
    </row>
    <row r="2678" spans="1:6" ht="12.5">
      <c r="A2678" s="1"/>
      <c r="B2678" s="1"/>
      <c r="C2678" s="1"/>
      <c r="D2678" s="1"/>
      <c r="E2678" s="1"/>
      <c r="F2678" s="1"/>
    </row>
    <row r="2679" spans="1:6" ht="12.5">
      <c r="A2679" s="1"/>
      <c r="B2679" s="1"/>
      <c r="C2679" s="1"/>
      <c r="D2679" s="1"/>
      <c r="E2679" s="1"/>
      <c r="F2679" s="1"/>
    </row>
    <row r="2680" spans="1:6" ht="12.5">
      <c r="A2680" s="1"/>
      <c r="B2680" s="1"/>
      <c r="C2680" s="1"/>
      <c r="D2680" s="1"/>
      <c r="E2680" s="1"/>
      <c r="F2680" s="1"/>
    </row>
    <row r="2681" spans="1:6" ht="12.5">
      <c r="A2681" s="1"/>
      <c r="B2681" s="1"/>
      <c r="C2681" s="1"/>
      <c r="D2681" s="1"/>
      <c r="E2681" s="1"/>
      <c r="F2681" s="1"/>
    </row>
    <row r="2682" spans="1:6" ht="12.5">
      <c r="A2682" s="1"/>
      <c r="B2682" s="1"/>
      <c r="C2682" s="1"/>
      <c r="D2682" s="1"/>
      <c r="E2682" s="1"/>
      <c r="F2682" s="1"/>
    </row>
    <row r="2683" spans="1:6" ht="12.5">
      <c r="A2683" s="1"/>
      <c r="B2683" s="1"/>
      <c r="C2683" s="1"/>
      <c r="D2683" s="1"/>
      <c r="E2683" s="1"/>
      <c r="F2683" s="1"/>
    </row>
    <row r="2684" spans="1:6" ht="12.5">
      <c r="A2684" s="1"/>
      <c r="B2684" s="1"/>
      <c r="C2684" s="1"/>
      <c r="D2684" s="1"/>
      <c r="E2684" s="1"/>
      <c r="F2684" s="1"/>
    </row>
    <row r="2685" spans="1:6" ht="12.5">
      <c r="A2685" s="1"/>
      <c r="B2685" s="1"/>
      <c r="C2685" s="1"/>
      <c r="D2685" s="1"/>
      <c r="E2685" s="1"/>
      <c r="F2685" s="1"/>
    </row>
    <row r="2686" spans="1:6" ht="12.5">
      <c r="A2686" s="1"/>
      <c r="B2686" s="1"/>
      <c r="C2686" s="1"/>
      <c r="D2686" s="1"/>
      <c r="E2686" s="1"/>
      <c r="F2686" s="1"/>
    </row>
    <row r="2687" spans="1:6" ht="12.5">
      <c r="A2687" s="1"/>
      <c r="B2687" s="1"/>
      <c r="C2687" s="1"/>
      <c r="D2687" s="1"/>
      <c r="E2687" s="1"/>
      <c r="F2687" s="1"/>
    </row>
    <row r="2688" spans="1:6" ht="12.5">
      <c r="A2688" s="1"/>
      <c r="B2688" s="1"/>
      <c r="C2688" s="1"/>
      <c r="D2688" s="1"/>
      <c r="E2688" s="1"/>
      <c r="F2688" s="1"/>
    </row>
    <row r="2689" spans="1:6" ht="12.5">
      <c r="A2689" s="1"/>
      <c r="B2689" s="1"/>
      <c r="C2689" s="1"/>
      <c r="D2689" s="1"/>
      <c r="E2689" s="1"/>
      <c r="F2689" s="1"/>
    </row>
    <row r="2690" spans="1:6" ht="12.5">
      <c r="A2690" s="1"/>
      <c r="B2690" s="1"/>
      <c r="C2690" s="1"/>
      <c r="D2690" s="1"/>
      <c r="E2690" s="1"/>
      <c r="F2690" s="1"/>
    </row>
    <row r="2691" spans="1:6" ht="12.5">
      <c r="A2691" s="1"/>
      <c r="B2691" s="1"/>
      <c r="C2691" s="1"/>
      <c r="D2691" s="1"/>
      <c r="E2691" s="1"/>
      <c r="F2691" s="1"/>
    </row>
    <row r="2692" spans="1:6" ht="12.5">
      <c r="A2692" s="1"/>
      <c r="B2692" s="1"/>
      <c r="C2692" s="1"/>
      <c r="D2692" s="1"/>
      <c r="E2692" s="1"/>
      <c r="F2692" s="1"/>
    </row>
    <row r="2693" spans="1:6" ht="12.5">
      <c r="A2693" s="1"/>
      <c r="B2693" s="1"/>
      <c r="C2693" s="1"/>
      <c r="D2693" s="1"/>
      <c r="E2693" s="1"/>
      <c r="F2693" s="1"/>
    </row>
    <row r="2694" spans="1:6" ht="12.5">
      <c r="A2694" s="1"/>
      <c r="B2694" s="1"/>
      <c r="C2694" s="1"/>
      <c r="D2694" s="1"/>
      <c r="E2694" s="1"/>
      <c r="F2694" s="1"/>
    </row>
    <row r="2695" spans="1:6" ht="12.5">
      <c r="A2695" s="1"/>
      <c r="B2695" s="1"/>
      <c r="C2695" s="1"/>
      <c r="D2695" s="1"/>
      <c r="E2695" s="1"/>
      <c r="F2695" s="1"/>
    </row>
    <row r="2696" spans="1:6" ht="12.5">
      <c r="A2696" s="1"/>
      <c r="B2696" s="1"/>
      <c r="C2696" s="1"/>
      <c r="D2696" s="1"/>
      <c r="E2696" s="1"/>
      <c r="F2696" s="1"/>
    </row>
    <row r="2697" spans="1:6" ht="12.5">
      <c r="A2697" s="1"/>
      <c r="B2697" s="1"/>
      <c r="C2697" s="1"/>
      <c r="D2697" s="1"/>
      <c r="E2697" s="1"/>
      <c r="F2697" s="1"/>
    </row>
    <row r="2698" spans="1:6" ht="12.5">
      <c r="A2698" s="1"/>
      <c r="B2698" s="1"/>
      <c r="C2698" s="1"/>
      <c r="D2698" s="1"/>
      <c r="E2698" s="1"/>
      <c r="F2698" s="1"/>
    </row>
    <row r="2699" spans="1:6" ht="12.5">
      <c r="A2699" s="1"/>
      <c r="B2699" s="1"/>
      <c r="C2699" s="1"/>
      <c r="D2699" s="1"/>
      <c r="E2699" s="1"/>
      <c r="F2699" s="1"/>
    </row>
    <row r="2700" spans="1:6" ht="12.5">
      <c r="A2700" s="1"/>
      <c r="B2700" s="1"/>
      <c r="C2700" s="1"/>
      <c r="D2700" s="1"/>
      <c r="E2700" s="1"/>
      <c r="F2700" s="1"/>
    </row>
    <row r="2701" spans="1:6" ht="12.5">
      <c r="A2701" s="1"/>
      <c r="B2701" s="1"/>
      <c r="C2701" s="1"/>
      <c r="D2701" s="1"/>
      <c r="E2701" s="1"/>
      <c r="F2701" s="1"/>
    </row>
    <row r="2702" spans="1:6" ht="12.5">
      <c r="A2702" s="1"/>
      <c r="B2702" s="1"/>
      <c r="C2702" s="1"/>
      <c r="D2702" s="1"/>
      <c r="E2702" s="1"/>
      <c r="F2702" s="1"/>
    </row>
    <row r="2703" spans="1:6" ht="12.5">
      <c r="A2703" s="1"/>
      <c r="B2703" s="1"/>
      <c r="C2703" s="1"/>
      <c r="D2703" s="1"/>
      <c r="E2703" s="1"/>
      <c r="F2703" s="1"/>
    </row>
    <row r="2704" spans="1:6" ht="12.5">
      <c r="A2704" s="1"/>
      <c r="B2704" s="1"/>
      <c r="C2704" s="1"/>
      <c r="D2704" s="1"/>
      <c r="E2704" s="1"/>
      <c r="F2704" s="1"/>
    </row>
    <row r="2705" spans="1:6" ht="12.5">
      <c r="A2705" s="1"/>
      <c r="B2705" s="1"/>
      <c r="C2705" s="1"/>
      <c r="D2705" s="1"/>
      <c r="E2705" s="1"/>
      <c r="F2705" s="1"/>
    </row>
    <row r="2706" spans="1:6" ht="12.5">
      <c r="A2706" s="1"/>
      <c r="B2706" s="1"/>
      <c r="C2706" s="1"/>
      <c r="D2706" s="1"/>
      <c r="E2706" s="1"/>
      <c r="F2706" s="1"/>
    </row>
    <row r="2707" spans="1:6" ht="12.5">
      <c r="A2707" s="1"/>
      <c r="B2707" s="1"/>
      <c r="C2707" s="1"/>
      <c r="D2707" s="1"/>
      <c r="E2707" s="1"/>
      <c r="F2707" s="1"/>
    </row>
    <row r="2708" spans="1:6" ht="12.5">
      <c r="A2708" s="1"/>
      <c r="B2708" s="1"/>
      <c r="C2708" s="1"/>
      <c r="D2708" s="1"/>
      <c r="E2708" s="1"/>
      <c r="F2708" s="1"/>
    </row>
    <row r="2709" spans="1:6" ht="12.5">
      <c r="A2709" s="1"/>
      <c r="B2709" s="1"/>
      <c r="C2709" s="1"/>
      <c r="D2709" s="1"/>
      <c r="E2709" s="1"/>
      <c r="F2709" s="1"/>
    </row>
    <row r="2710" spans="1:6" ht="12.5">
      <c r="A2710" s="1"/>
      <c r="B2710" s="1"/>
      <c r="C2710" s="1"/>
      <c r="D2710" s="1"/>
      <c r="E2710" s="1"/>
      <c r="F2710" s="1"/>
    </row>
    <row r="2711" spans="1:6" ht="12.5">
      <c r="A2711" s="1"/>
      <c r="B2711" s="1"/>
      <c r="C2711" s="1"/>
      <c r="D2711" s="1"/>
      <c r="E2711" s="1"/>
      <c r="F2711" s="1"/>
    </row>
    <row r="2712" spans="1:6" ht="12.5">
      <c r="A2712" s="1"/>
      <c r="B2712" s="1"/>
      <c r="C2712" s="1"/>
      <c r="D2712" s="1"/>
      <c r="E2712" s="1"/>
      <c r="F2712" s="1"/>
    </row>
    <row r="2713" spans="1:6" ht="12.5">
      <c r="A2713" s="1"/>
      <c r="B2713" s="1"/>
      <c r="C2713" s="1"/>
      <c r="D2713" s="1"/>
      <c r="E2713" s="1"/>
      <c r="F2713" s="1"/>
    </row>
    <row r="2714" spans="1:6" ht="12.5">
      <c r="A2714" s="1"/>
      <c r="B2714" s="1"/>
      <c r="C2714" s="1"/>
      <c r="D2714" s="1"/>
      <c r="E2714" s="1"/>
      <c r="F2714" s="1"/>
    </row>
    <row r="2715" spans="1:6" ht="12.5">
      <c r="A2715" s="1"/>
      <c r="B2715" s="1"/>
      <c r="C2715" s="1"/>
      <c r="D2715" s="1"/>
      <c r="E2715" s="1"/>
      <c r="F2715" s="1"/>
    </row>
    <row r="2716" spans="1:6" ht="12.5">
      <c r="A2716" s="1"/>
      <c r="B2716" s="1"/>
      <c r="C2716" s="1"/>
      <c r="D2716" s="1"/>
      <c r="E2716" s="1"/>
      <c r="F2716" s="1"/>
    </row>
    <row r="2717" spans="1:6" ht="12.5">
      <c r="A2717" s="1"/>
      <c r="B2717" s="1"/>
      <c r="C2717" s="1"/>
      <c r="D2717" s="1"/>
      <c r="E2717" s="1"/>
      <c r="F2717" s="1"/>
    </row>
    <row r="2718" spans="1:6" ht="12.5">
      <c r="A2718" s="1"/>
      <c r="B2718" s="1"/>
      <c r="C2718" s="1"/>
      <c r="D2718" s="1"/>
      <c r="E2718" s="1"/>
      <c r="F2718" s="1"/>
    </row>
    <row r="2719" spans="1:6" ht="12.5">
      <c r="A2719" s="1"/>
      <c r="B2719" s="1"/>
      <c r="C2719" s="1"/>
      <c r="D2719" s="1"/>
      <c r="E2719" s="1"/>
      <c r="F2719" s="1"/>
    </row>
    <row r="2720" spans="1:6" ht="12.5">
      <c r="A2720" s="1"/>
      <c r="B2720" s="1"/>
      <c r="C2720" s="1"/>
      <c r="D2720" s="1"/>
      <c r="E2720" s="1"/>
      <c r="F2720" s="1"/>
    </row>
    <row r="2721" spans="1:6" ht="12.5">
      <c r="A2721" s="1"/>
      <c r="B2721" s="1"/>
      <c r="C2721" s="1"/>
      <c r="D2721" s="1"/>
      <c r="E2721" s="1"/>
      <c r="F2721" s="1"/>
    </row>
    <row r="2722" spans="1:6" ht="12.5">
      <c r="A2722" s="1"/>
      <c r="B2722" s="1"/>
      <c r="C2722" s="1"/>
      <c r="D2722" s="1"/>
      <c r="E2722" s="1"/>
      <c r="F2722" s="1"/>
    </row>
    <row r="2723" spans="1:6" ht="12.5">
      <c r="A2723" s="1"/>
      <c r="B2723" s="1"/>
      <c r="C2723" s="1"/>
      <c r="D2723" s="1"/>
      <c r="E2723" s="1"/>
      <c r="F2723" s="1"/>
    </row>
    <row r="2724" spans="1:6" ht="12.5">
      <c r="A2724" s="1"/>
      <c r="B2724" s="1"/>
      <c r="C2724" s="1"/>
      <c r="D2724" s="1"/>
      <c r="E2724" s="1"/>
      <c r="F2724" s="1"/>
    </row>
    <row r="2725" spans="1:6" ht="12.5">
      <c r="A2725" s="1"/>
      <c r="B2725" s="1"/>
      <c r="C2725" s="1"/>
      <c r="D2725" s="1"/>
      <c r="E2725" s="1"/>
      <c r="F2725" s="1"/>
    </row>
    <row r="2726" spans="1:6" ht="12.5">
      <c r="A2726" s="1"/>
      <c r="B2726" s="1"/>
      <c r="C2726" s="1"/>
      <c r="D2726" s="1"/>
      <c r="E2726" s="1"/>
      <c r="F2726" s="1"/>
    </row>
    <row r="2727" spans="1:6" ht="12.5">
      <c r="A2727" s="1"/>
      <c r="B2727" s="1"/>
      <c r="C2727" s="1"/>
      <c r="D2727" s="1"/>
      <c r="E2727" s="1"/>
      <c r="F2727" s="1"/>
    </row>
    <row r="2728" spans="1:6" ht="12.5">
      <c r="A2728" s="1"/>
      <c r="B2728" s="1"/>
      <c r="C2728" s="1"/>
      <c r="D2728" s="1"/>
      <c r="E2728" s="1"/>
      <c r="F2728" s="1"/>
    </row>
    <row r="2729" spans="1:6" ht="12.5">
      <c r="A2729" s="1"/>
      <c r="B2729" s="1"/>
      <c r="C2729" s="1"/>
      <c r="D2729" s="1"/>
      <c r="E2729" s="1"/>
      <c r="F2729" s="1"/>
    </row>
    <row r="2730" spans="1:6" ht="12.5">
      <c r="A2730" s="1"/>
      <c r="B2730" s="1"/>
      <c r="C2730" s="1"/>
      <c r="D2730" s="1"/>
      <c r="E2730" s="1"/>
      <c r="F2730" s="1"/>
    </row>
    <row r="2731" spans="1:6" ht="12.5">
      <c r="A2731" s="1"/>
      <c r="B2731" s="1"/>
      <c r="C2731" s="1"/>
      <c r="D2731" s="1"/>
      <c r="E2731" s="1"/>
      <c r="F2731" s="1"/>
    </row>
    <row r="2732" spans="1:6" ht="12.5">
      <c r="A2732" s="1"/>
      <c r="B2732" s="1"/>
      <c r="C2732" s="1"/>
      <c r="D2732" s="1"/>
      <c r="E2732" s="1"/>
      <c r="F2732" s="1"/>
    </row>
    <row r="2733" spans="1:6" ht="12.5">
      <c r="A2733" s="1"/>
      <c r="B2733" s="1"/>
      <c r="C2733" s="1"/>
      <c r="D2733" s="1"/>
      <c r="E2733" s="1"/>
      <c r="F2733" s="1"/>
    </row>
    <row r="2734" spans="1:6" ht="12.5">
      <c r="A2734" s="1"/>
      <c r="B2734" s="1"/>
      <c r="C2734" s="1"/>
      <c r="D2734" s="1"/>
      <c r="E2734" s="1"/>
      <c r="F2734" s="1"/>
    </row>
    <row r="2735" spans="1:6" ht="12.5">
      <c r="A2735" s="1"/>
      <c r="B2735" s="1"/>
      <c r="C2735" s="1"/>
      <c r="D2735" s="1"/>
      <c r="E2735" s="1"/>
      <c r="F2735" s="1"/>
    </row>
    <row r="2736" spans="1:6" ht="12.5">
      <c r="A2736" s="1"/>
      <c r="B2736" s="1"/>
      <c r="C2736" s="1"/>
      <c r="D2736" s="1"/>
      <c r="E2736" s="1"/>
      <c r="F2736" s="1"/>
    </row>
    <row r="2737" spans="1:6" ht="12.5">
      <c r="A2737" s="1"/>
      <c r="B2737" s="1"/>
      <c r="C2737" s="1"/>
      <c r="D2737" s="1"/>
      <c r="E2737" s="1"/>
      <c r="F2737" s="1"/>
    </row>
    <row r="2738" spans="1:6" ht="12.5">
      <c r="A2738" s="1"/>
      <c r="B2738" s="1"/>
      <c r="C2738" s="1"/>
      <c r="D2738" s="1"/>
      <c r="E2738" s="1"/>
      <c r="F2738" s="1"/>
    </row>
    <row r="2739" spans="1:6" ht="12.5">
      <c r="A2739" s="1"/>
      <c r="B2739" s="1"/>
      <c r="C2739" s="1"/>
      <c r="D2739" s="1"/>
      <c r="E2739" s="1"/>
      <c r="F2739" s="1"/>
    </row>
    <row r="2740" spans="1:6" ht="12.5">
      <c r="A2740" s="1"/>
      <c r="B2740" s="1"/>
      <c r="C2740" s="1"/>
      <c r="D2740" s="1"/>
      <c r="E2740" s="1"/>
      <c r="F2740" s="1"/>
    </row>
    <row r="2741" spans="1:6" ht="12.5">
      <c r="A2741" s="1"/>
      <c r="B2741" s="1"/>
      <c r="C2741" s="1"/>
      <c r="D2741" s="1"/>
      <c r="E2741" s="1"/>
      <c r="F2741" s="1"/>
    </row>
    <row r="2742" spans="1:6" ht="12.5">
      <c r="A2742" s="1"/>
      <c r="B2742" s="1"/>
      <c r="C2742" s="1"/>
      <c r="D2742" s="1"/>
      <c r="E2742" s="1"/>
      <c r="F2742" s="1"/>
    </row>
    <row r="2743" spans="1:6" ht="12.5">
      <c r="A2743" s="1"/>
      <c r="B2743" s="1"/>
      <c r="C2743" s="1"/>
      <c r="D2743" s="1"/>
      <c r="E2743" s="1"/>
      <c r="F2743" s="1"/>
    </row>
    <row r="2744" spans="1:6" ht="12.5">
      <c r="A2744" s="1"/>
      <c r="B2744" s="1"/>
      <c r="C2744" s="1"/>
      <c r="D2744" s="1"/>
      <c r="E2744" s="1"/>
      <c r="F2744" s="1"/>
    </row>
    <row r="2745" spans="1:6" ht="12.5">
      <c r="A2745" s="1"/>
      <c r="B2745" s="1"/>
      <c r="C2745" s="1"/>
      <c r="D2745" s="1"/>
      <c r="E2745" s="1"/>
      <c r="F2745" s="1"/>
    </row>
    <row r="2746" spans="1:6" ht="12.5">
      <c r="A2746" s="1"/>
      <c r="B2746" s="1"/>
      <c r="C2746" s="1"/>
      <c r="D2746" s="1"/>
      <c r="E2746" s="1"/>
      <c r="F2746" s="1"/>
    </row>
    <row r="2747" spans="1:6" ht="12.5">
      <c r="A2747" s="1"/>
      <c r="B2747" s="1"/>
      <c r="C2747" s="1"/>
      <c r="D2747" s="1"/>
      <c r="E2747" s="1"/>
      <c r="F2747" s="1"/>
    </row>
    <row r="2748" spans="1:6" ht="12.5">
      <c r="A2748" s="1"/>
      <c r="B2748" s="1"/>
      <c r="C2748" s="1"/>
      <c r="D2748" s="1"/>
      <c r="E2748" s="1"/>
      <c r="F2748" s="1"/>
    </row>
    <row r="2749" spans="1:6" ht="12.5">
      <c r="A2749" s="1"/>
      <c r="B2749" s="1"/>
      <c r="C2749" s="1"/>
      <c r="D2749" s="1"/>
      <c r="E2749" s="1"/>
      <c r="F2749" s="1"/>
    </row>
    <row r="2750" spans="1:6" ht="12.5">
      <c r="A2750" s="1"/>
      <c r="B2750" s="1"/>
      <c r="C2750" s="1"/>
      <c r="D2750" s="1"/>
      <c r="E2750" s="1"/>
      <c r="F2750" s="1"/>
    </row>
    <row r="2751" spans="1:6" ht="12.5">
      <c r="A2751" s="1"/>
      <c r="B2751" s="1"/>
      <c r="C2751" s="1"/>
      <c r="D2751" s="1"/>
      <c r="E2751" s="1"/>
      <c r="F2751" s="1"/>
    </row>
    <row r="2752" spans="1:6" ht="12.5">
      <c r="A2752" s="1"/>
      <c r="B2752" s="1"/>
      <c r="C2752" s="1"/>
      <c r="D2752" s="1"/>
      <c r="E2752" s="1"/>
      <c r="F2752" s="1"/>
    </row>
    <row r="2753" spans="1:6" ht="12.5">
      <c r="A2753" s="1"/>
      <c r="B2753" s="1"/>
      <c r="C2753" s="1"/>
      <c r="D2753" s="1"/>
      <c r="E2753" s="1"/>
      <c r="F2753" s="1"/>
    </row>
    <row r="2754" spans="1:6" ht="12.5">
      <c r="A2754" s="1"/>
      <c r="B2754" s="1"/>
      <c r="C2754" s="1"/>
      <c r="D2754" s="1"/>
      <c r="E2754" s="1"/>
      <c r="F2754" s="1"/>
    </row>
    <row r="2755" spans="1:6" ht="12.5">
      <c r="A2755" s="1"/>
      <c r="B2755" s="1"/>
      <c r="C2755" s="1"/>
      <c r="D2755" s="1"/>
      <c r="E2755" s="1"/>
      <c r="F2755" s="1"/>
    </row>
    <row r="2756" spans="1:6" ht="12.5">
      <c r="A2756" s="1"/>
      <c r="B2756" s="1"/>
      <c r="C2756" s="1"/>
      <c r="D2756" s="1"/>
      <c r="E2756" s="1"/>
      <c r="F2756" s="1"/>
    </row>
    <row r="2757" spans="1:6" ht="12.5">
      <c r="A2757" s="1"/>
      <c r="B2757" s="1"/>
      <c r="C2757" s="1"/>
      <c r="D2757" s="1"/>
      <c r="E2757" s="1"/>
      <c r="F2757" s="1"/>
    </row>
    <row r="2758" spans="1:6" ht="12.5">
      <c r="A2758" s="1"/>
      <c r="B2758" s="1"/>
      <c r="C2758" s="1"/>
      <c r="D2758" s="1"/>
      <c r="E2758" s="1"/>
      <c r="F2758" s="1"/>
    </row>
    <row r="2759" spans="1:6" ht="12.5">
      <c r="A2759" s="1"/>
      <c r="B2759" s="1"/>
      <c r="C2759" s="1"/>
      <c r="D2759" s="1"/>
      <c r="E2759" s="1"/>
      <c r="F2759" s="1"/>
    </row>
    <row r="2760" spans="1:6" ht="12.5">
      <c r="A2760" s="1"/>
      <c r="B2760" s="1"/>
      <c r="C2760" s="1"/>
      <c r="D2760" s="1"/>
      <c r="E2760" s="1"/>
      <c r="F2760" s="1"/>
    </row>
    <row r="2761" spans="1:6" ht="12.5">
      <c r="A2761" s="1"/>
      <c r="B2761" s="1"/>
      <c r="C2761" s="1"/>
      <c r="D2761" s="1"/>
      <c r="E2761" s="1"/>
      <c r="F2761" s="1"/>
    </row>
    <row r="2762" spans="1:6" ht="12.5">
      <c r="A2762" s="1"/>
      <c r="B2762" s="1"/>
      <c r="C2762" s="1"/>
      <c r="D2762" s="1"/>
      <c r="E2762" s="1"/>
      <c r="F2762" s="1"/>
    </row>
    <row r="2763" spans="1:6" ht="12.5">
      <c r="A2763" s="1"/>
      <c r="B2763" s="1"/>
      <c r="C2763" s="1"/>
      <c r="D2763" s="1"/>
      <c r="E2763" s="1"/>
      <c r="F2763" s="1"/>
    </row>
    <row r="2764" spans="1:6" ht="12.5">
      <c r="A2764" s="1"/>
      <c r="B2764" s="1"/>
      <c r="C2764" s="1"/>
      <c r="D2764" s="1"/>
      <c r="E2764" s="1"/>
      <c r="F2764" s="1"/>
    </row>
    <row r="2765" spans="1:6" ht="12.5">
      <c r="A2765" s="1"/>
      <c r="B2765" s="1"/>
      <c r="C2765" s="1"/>
      <c r="D2765" s="1"/>
      <c r="E2765" s="1"/>
      <c r="F2765" s="1"/>
    </row>
    <row r="2766" spans="1:6" ht="12.5">
      <c r="A2766" s="1"/>
      <c r="B2766" s="1"/>
      <c r="C2766" s="1"/>
      <c r="D2766" s="1"/>
      <c r="E2766" s="1"/>
      <c r="F2766" s="1"/>
    </row>
    <row r="2767" spans="1:6" ht="12.5">
      <c r="A2767" s="1"/>
      <c r="B2767" s="1"/>
      <c r="C2767" s="1"/>
      <c r="D2767" s="1"/>
      <c r="E2767" s="1"/>
      <c r="F2767" s="1"/>
    </row>
    <row r="2768" spans="1:6" ht="12.5">
      <c r="A2768" s="1"/>
      <c r="B2768" s="1"/>
      <c r="C2768" s="1"/>
      <c r="D2768" s="1"/>
      <c r="E2768" s="1"/>
      <c r="F2768" s="1"/>
    </row>
    <row r="2769" spans="1:6" ht="12.5">
      <c r="A2769" s="1"/>
      <c r="B2769" s="1"/>
      <c r="C2769" s="1"/>
      <c r="D2769" s="1"/>
      <c r="E2769" s="1"/>
      <c r="F2769" s="1"/>
    </row>
    <row r="2770" spans="1:6" ht="12.5">
      <c r="A2770" s="1"/>
      <c r="B2770" s="1"/>
      <c r="C2770" s="1"/>
      <c r="D2770" s="1"/>
      <c r="E2770" s="1"/>
      <c r="F2770" s="1"/>
    </row>
    <row r="2771" spans="1:6" ht="12.5">
      <c r="A2771" s="1"/>
      <c r="B2771" s="1"/>
      <c r="C2771" s="1"/>
      <c r="D2771" s="1"/>
      <c r="E2771" s="1"/>
      <c r="F2771" s="1"/>
    </row>
    <row r="2772" spans="1:6" ht="12.5">
      <c r="A2772" s="1"/>
      <c r="B2772" s="1"/>
      <c r="C2772" s="1"/>
      <c r="D2772" s="1"/>
      <c r="E2772" s="1"/>
      <c r="F2772" s="1"/>
    </row>
    <row r="2773" spans="1:6" ht="12.5">
      <c r="A2773" s="1"/>
      <c r="B2773" s="1"/>
      <c r="C2773" s="1"/>
      <c r="D2773" s="1"/>
      <c r="E2773" s="1"/>
      <c r="F2773" s="1"/>
    </row>
    <row r="2774" spans="1:6" ht="12.5">
      <c r="A2774" s="1"/>
      <c r="B2774" s="1"/>
      <c r="C2774" s="1"/>
      <c r="D2774" s="1"/>
      <c r="E2774" s="1"/>
      <c r="F2774" s="1"/>
    </row>
    <row r="2775" spans="1:6" ht="12.5">
      <c r="A2775" s="1"/>
      <c r="B2775" s="1"/>
      <c r="C2775" s="1"/>
      <c r="D2775" s="1"/>
      <c r="E2775" s="1"/>
      <c r="F2775" s="1"/>
    </row>
    <row r="2776" spans="1:6" ht="12.5">
      <c r="A2776" s="1"/>
      <c r="B2776" s="1"/>
      <c r="C2776" s="1"/>
      <c r="D2776" s="1"/>
      <c r="E2776" s="1"/>
      <c r="F2776" s="1"/>
    </row>
    <row r="2777" spans="1:6" ht="12.5">
      <c r="A2777" s="1"/>
      <c r="B2777" s="1"/>
      <c r="C2777" s="1"/>
      <c r="D2777" s="1"/>
      <c r="E2777" s="1"/>
      <c r="F2777" s="1"/>
    </row>
    <row r="2778" spans="1:6" ht="12.5">
      <c r="A2778" s="1"/>
      <c r="B2778" s="1"/>
      <c r="C2778" s="1"/>
      <c r="D2778" s="1"/>
      <c r="E2778" s="1"/>
      <c r="F2778" s="1"/>
    </row>
    <row r="2779" spans="1:6" ht="12.5">
      <c r="A2779" s="1"/>
      <c r="B2779" s="1"/>
      <c r="C2779" s="1"/>
      <c r="D2779" s="1"/>
      <c r="E2779" s="1"/>
      <c r="F2779" s="1"/>
    </row>
    <row r="2780" spans="1:6" ht="12.5">
      <c r="A2780" s="1"/>
      <c r="B2780" s="1"/>
      <c r="C2780" s="1"/>
      <c r="D2780" s="1"/>
      <c r="E2780" s="1"/>
      <c r="F2780" s="1"/>
    </row>
    <row r="2781" spans="1:6" ht="12.5">
      <c r="A2781" s="1"/>
      <c r="B2781" s="1"/>
      <c r="C2781" s="1"/>
      <c r="D2781" s="1"/>
      <c r="E2781" s="1"/>
      <c r="F2781" s="1"/>
    </row>
    <row r="2782" spans="1:6" ht="12.5">
      <c r="A2782" s="1"/>
      <c r="B2782" s="1"/>
      <c r="C2782" s="1"/>
      <c r="D2782" s="1"/>
      <c r="E2782" s="1"/>
      <c r="F2782" s="1"/>
    </row>
    <row r="2783" spans="1:6" ht="12.5">
      <c r="A2783" s="1"/>
      <c r="B2783" s="1"/>
      <c r="C2783" s="1"/>
      <c r="D2783" s="1"/>
      <c r="E2783" s="1"/>
      <c r="F2783" s="1"/>
    </row>
    <row r="2784" spans="1:6" ht="12.5">
      <c r="A2784" s="1"/>
      <c r="B2784" s="1"/>
      <c r="C2784" s="1"/>
      <c r="D2784" s="1"/>
      <c r="E2784" s="1"/>
      <c r="F2784" s="1"/>
    </row>
    <row r="2785" spans="1:6" ht="12.5">
      <c r="A2785" s="1"/>
      <c r="B2785" s="1"/>
      <c r="C2785" s="1"/>
      <c r="D2785" s="1"/>
      <c r="E2785" s="1"/>
      <c r="F2785" s="1"/>
    </row>
    <row r="2786" spans="1:6" ht="12.5">
      <c r="A2786" s="1"/>
      <c r="B2786" s="1"/>
      <c r="C2786" s="1"/>
      <c r="D2786" s="1"/>
      <c r="E2786" s="1"/>
      <c r="F2786" s="1"/>
    </row>
    <row r="2787" spans="1:6" ht="12.5">
      <c r="A2787" s="1"/>
      <c r="B2787" s="1"/>
      <c r="C2787" s="1"/>
      <c r="D2787" s="1"/>
      <c r="E2787" s="1"/>
      <c r="F2787" s="1"/>
    </row>
    <row r="2788" spans="1:6" ht="12.5">
      <c r="A2788" s="1"/>
      <c r="B2788" s="1"/>
      <c r="C2788" s="1"/>
      <c r="D2788" s="1"/>
      <c r="E2788" s="1"/>
      <c r="F2788" s="1"/>
    </row>
    <row r="2789" spans="1:6" ht="12.5">
      <c r="A2789" s="1"/>
      <c r="B2789" s="1"/>
      <c r="C2789" s="1"/>
      <c r="D2789" s="1"/>
      <c r="E2789" s="1"/>
      <c r="F2789" s="1"/>
    </row>
    <row r="2790" spans="1:6" ht="12.5">
      <c r="A2790" s="1"/>
      <c r="B2790" s="1"/>
      <c r="C2790" s="1"/>
      <c r="D2790" s="1"/>
      <c r="E2790" s="1"/>
      <c r="F2790" s="1"/>
    </row>
    <row r="2791" spans="1:6" ht="12.5">
      <c r="A2791" s="1"/>
      <c r="B2791" s="1"/>
      <c r="C2791" s="1"/>
      <c r="D2791" s="1"/>
      <c r="E2791" s="1"/>
      <c r="F2791" s="1"/>
    </row>
    <row r="2792" spans="1:6" ht="12.5">
      <c r="A2792" s="1"/>
      <c r="B2792" s="1"/>
      <c r="C2792" s="1"/>
      <c r="D2792" s="1"/>
      <c r="E2792" s="1"/>
      <c r="F2792" s="1"/>
    </row>
    <row r="2793" spans="1:6" ht="12.5">
      <c r="A2793" s="1"/>
      <c r="B2793" s="1"/>
      <c r="C2793" s="1"/>
      <c r="D2793" s="1"/>
      <c r="E2793" s="1"/>
      <c r="F2793" s="1"/>
    </row>
    <row r="2794" spans="1:6" ht="12.5">
      <c r="A2794" s="1"/>
      <c r="B2794" s="1"/>
      <c r="C2794" s="1"/>
      <c r="D2794" s="1"/>
      <c r="E2794" s="1"/>
      <c r="F2794" s="1"/>
    </row>
    <row r="2795" spans="1:6" ht="12.5">
      <c r="A2795" s="1"/>
      <c r="B2795" s="1"/>
      <c r="C2795" s="1"/>
      <c r="D2795" s="1"/>
      <c r="E2795" s="1"/>
      <c r="F2795" s="1"/>
    </row>
    <row r="2796" spans="1:6" ht="12.5">
      <c r="A2796" s="1"/>
      <c r="B2796" s="1"/>
      <c r="C2796" s="1"/>
      <c r="D2796" s="1"/>
      <c r="E2796" s="1"/>
      <c r="F2796" s="1"/>
    </row>
    <row r="2797" spans="1:6" ht="12.5">
      <c r="A2797" s="1"/>
      <c r="B2797" s="1"/>
      <c r="C2797" s="1"/>
      <c r="D2797" s="1"/>
      <c r="E2797" s="1"/>
      <c r="F2797" s="1"/>
    </row>
    <row r="2798" spans="1:6" ht="12.5">
      <c r="A2798" s="1"/>
      <c r="B2798" s="1"/>
      <c r="C2798" s="1"/>
      <c r="D2798" s="1"/>
      <c r="E2798" s="1"/>
      <c r="F2798" s="1"/>
    </row>
    <row r="2799" spans="1:6" ht="12.5">
      <c r="A2799" s="1"/>
      <c r="B2799" s="1"/>
      <c r="C2799" s="1"/>
      <c r="D2799" s="1"/>
      <c r="E2799" s="1"/>
      <c r="F2799" s="1"/>
    </row>
    <row r="2800" spans="1:6" ht="12.5">
      <c r="A2800" s="1"/>
      <c r="B2800" s="1"/>
      <c r="C2800" s="1"/>
      <c r="D2800" s="1"/>
      <c r="E2800" s="1"/>
      <c r="F2800" s="1"/>
    </row>
    <row r="2801" spans="1:6" ht="12.5">
      <c r="A2801" s="1"/>
      <c r="B2801" s="1"/>
      <c r="C2801" s="1"/>
      <c r="D2801" s="1"/>
      <c r="E2801" s="1"/>
      <c r="F2801" s="1"/>
    </row>
    <row r="2802" spans="1:6" ht="12.5">
      <c r="A2802" s="1"/>
      <c r="B2802" s="1"/>
      <c r="C2802" s="1"/>
      <c r="D2802" s="1"/>
      <c r="E2802" s="1"/>
      <c r="F2802" s="1"/>
    </row>
    <row r="2803" spans="1:6" ht="12.5">
      <c r="A2803" s="1"/>
      <c r="B2803" s="1"/>
      <c r="C2803" s="1"/>
      <c r="D2803" s="1"/>
      <c r="E2803" s="1"/>
      <c r="F2803" s="1"/>
    </row>
    <row r="2804" spans="1:6" ht="12.5">
      <c r="A2804" s="1"/>
      <c r="B2804" s="1"/>
      <c r="C2804" s="1"/>
      <c r="D2804" s="1"/>
      <c r="E2804" s="1"/>
      <c r="F2804" s="1"/>
    </row>
    <row r="2805" spans="1:6" ht="12.5">
      <c r="A2805" s="1"/>
      <c r="B2805" s="1"/>
      <c r="C2805" s="1"/>
      <c r="D2805" s="1"/>
      <c r="E2805" s="1"/>
      <c r="F2805" s="1"/>
    </row>
    <row r="2806" spans="1:6" ht="12.5">
      <c r="A2806" s="1"/>
      <c r="B2806" s="1"/>
      <c r="C2806" s="1"/>
      <c r="D2806" s="1"/>
      <c r="E2806" s="1"/>
      <c r="F2806" s="1"/>
    </row>
    <row r="2807" spans="1:6" ht="12.5">
      <c r="A2807" s="1"/>
      <c r="B2807" s="1"/>
      <c r="C2807" s="1"/>
      <c r="D2807" s="1"/>
      <c r="E2807" s="1"/>
      <c r="F2807" s="1"/>
    </row>
    <row r="2808" spans="1:6" ht="12.5">
      <c r="A2808" s="1"/>
      <c r="B2808" s="1"/>
      <c r="C2808" s="1"/>
      <c r="D2808" s="1"/>
      <c r="E2808" s="1"/>
      <c r="F2808" s="1"/>
    </row>
    <row r="2809" spans="1:6" ht="12.5">
      <c r="A2809" s="1"/>
      <c r="B2809" s="1"/>
      <c r="C2809" s="1"/>
      <c r="D2809" s="1"/>
      <c r="E2809" s="1"/>
      <c r="F2809" s="1"/>
    </row>
    <row r="2810" spans="1:6" ht="12.5">
      <c r="A2810" s="1"/>
      <c r="B2810" s="1"/>
      <c r="C2810" s="1"/>
      <c r="D2810" s="1"/>
      <c r="E2810" s="1"/>
      <c r="F2810" s="1"/>
    </row>
    <row r="2811" spans="1:6" ht="12.5">
      <c r="A2811" s="1"/>
      <c r="B2811" s="1"/>
      <c r="C2811" s="1"/>
      <c r="D2811" s="1"/>
      <c r="E2811" s="1"/>
      <c r="F2811" s="1"/>
    </row>
    <row r="2812" spans="1:6" ht="12.5">
      <c r="A2812" s="1"/>
      <c r="B2812" s="1"/>
      <c r="C2812" s="1"/>
      <c r="D2812" s="1"/>
      <c r="E2812" s="1"/>
      <c r="F2812" s="1"/>
    </row>
    <row r="2813" spans="1:6" ht="12.5">
      <c r="A2813" s="1"/>
      <c r="B2813" s="1"/>
      <c r="C2813" s="1"/>
      <c r="D2813" s="1"/>
      <c r="E2813" s="1"/>
      <c r="F2813" s="1"/>
    </row>
    <row r="2814" spans="1:6" ht="12.5">
      <c r="A2814" s="1"/>
      <c r="B2814" s="1"/>
      <c r="C2814" s="1"/>
      <c r="D2814" s="1"/>
      <c r="E2814" s="1"/>
      <c r="F2814" s="1"/>
    </row>
    <row r="2815" spans="1:6" ht="12.5">
      <c r="A2815" s="1"/>
      <c r="B2815" s="1"/>
      <c r="C2815" s="1"/>
      <c r="D2815" s="1"/>
      <c r="E2815" s="1"/>
      <c r="F2815" s="1"/>
    </row>
    <row r="2816" spans="1:6" ht="12.5">
      <c r="A2816" s="1"/>
      <c r="B2816" s="1"/>
      <c r="C2816" s="1"/>
      <c r="D2816" s="1"/>
      <c r="E2816" s="1"/>
      <c r="F2816" s="1"/>
    </row>
    <row r="2817" spans="1:6" ht="12.5">
      <c r="A2817" s="1"/>
      <c r="B2817" s="1"/>
      <c r="C2817" s="1"/>
      <c r="D2817" s="1"/>
      <c r="E2817" s="1"/>
      <c r="F2817" s="1"/>
    </row>
    <row r="2818" spans="1:6" ht="12.5">
      <c r="A2818" s="1"/>
      <c r="B2818" s="1"/>
      <c r="C2818" s="1"/>
      <c r="D2818" s="1"/>
      <c r="E2818" s="1"/>
      <c r="F2818" s="1"/>
    </row>
    <row r="2819" spans="1:6" ht="12.5">
      <c r="A2819" s="1"/>
      <c r="B2819" s="1"/>
      <c r="C2819" s="1"/>
      <c r="D2819" s="1"/>
      <c r="E2819" s="1"/>
      <c r="F2819" s="1"/>
    </row>
    <row r="2820" spans="1:6" ht="12.5">
      <c r="A2820" s="1"/>
      <c r="B2820" s="1"/>
      <c r="C2820" s="1"/>
      <c r="D2820" s="1"/>
      <c r="E2820" s="1"/>
      <c r="F2820" s="1"/>
    </row>
    <row r="2821" spans="1:6" ht="12.5">
      <c r="A2821" s="1"/>
      <c r="B2821" s="1"/>
      <c r="C2821" s="1"/>
      <c r="D2821" s="1"/>
      <c r="E2821" s="1"/>
      <c r="F2821" s="1"/>
    </row>
    <row r="2822" spans="1:6" ht="12.5">
      <c r="A2822" s="1"/>
      <c r="B2822" s="1"/>
      <c r="C2822" s="1"/>
      <c r="D2822" s="1"/>
      <c r="E2822" s="1"/>
      <c r="F2822" s="1"/>
    </row>
    <row r="2823" spans="1:6" ht="12.5">
      <c r="A2823" s="1"/>
      <c r="B2823" s="1"/>
      <c r="C2823" s="1"/>
      <c r="D2823" s="1"/>
      <c r="E2823" s="1"/>
      <c r="F2823" s="1"/>
    </row>
    <row r="2824" spans="1:6" ht="12.5">
      <c r="A2824" s="1"/>
      <c r="B2824" s="1"/>
      <c r="C2824" s="1"/>
      <c r="D2824" s="1"/>
      <c r="E2824" s="1"/>
      <c r="F2824" s="1"/>
    </row>
    <row r="2825" spans="1:6" ht="12.5">
      <c r="A2825" s="1"/>
      <c r="B2825" s="1"/>
      <c r="C2825" s="1"/>
      <c r="D2825" s="1"/>
      <c r="E2825" s="1"/>
      <c r="F2825" s="1"/>
    </row>
    <row r="2826" spans="1:6" ht="12.5">
      <c r="A2826" s="1"/>
      <c r="B2826" s="1"/>
      <c r="C2826" s="1"/>
      <c r="D2826" s="1"/>
      <c r="E2826" s="1"/>
      <c r="F2826" s="1"/>
    </row>
    <row r="2827" spans="1:6" ht="12.5">
      <c r="A2827" s="1"/>
      <c r="B2827" s="1"/>
      <c r="C2827" s="1"/>
      <c r="D2827" s="1"/>
      <c r="E2827" s="1"/>
      <c r="F2827" s="1"/>
    </row>
    <row r="2828" spans="1:6" ht="12.5">
      <c r="A2828" s="1"/>
      <c r="B2828" s="1"/>
      <c r="C2828" s="1"/>
      <c r="D2828" s="1"/>
      <c r="E2828" s="1"/>
      <c r="F2828" s="1"/>
    </row>
    <row r="2829" spans="1:6" ht="12.5">
      <c r="A2829" s="1"/>
      <c r="B2829" s="1"/>
      <c r="C2829" s="1"/>
      <c r="D2829" s="1"/>
      <c r="E2829" s="1"/>
      <c r="F2829" s="1"/>
    </row>
    <row r="2830" spans="1:6" ht="12.5">
      <c r="A2830" s="1"/>
      <c r="B2830" s="1"/>
      <c r="C2830" s="1"/>
      <c r="D2830" s="1"/>
      <c r="E2830" s="1"/>
      <c r="F2830" s="1"/>
    </row>
    <row r="2831" spans="1:6" ht="12.5">
      <c r="A2831" s="1"/>
      <c r="B2831" s="1"/>
      <c r="C2831" s="1"/>
      <c r="D2831" s="1"/>
      <c r="E2831" s="1"/>
      <c r="F2831" s="1"/>
    </row>
    <row r="2832" spans="1:6" ht="12.5">
      <c r="A2832" s="1"/>
      <c r="B2832" s="1"/>
      <c r="C2832" s="1"/>
      <c r="D2832" s="1"/>
      <c r="E2832" s="1"/>
      <c r="F2832" s="1"/>
    </row>
    <row r="2833" spans="1:6" ht="12.5">
      <c r="A2833" s="1"/>
      <c r="B2833" s="1"/>
      <c r="C2833" s="1"/>
      <c r="D2833" s="1"/>
      <c r="E2833" s="1"/>
      <c r="F2833" s="1"/>
    </row>
    <row r="2834" spans="1:6" ht="12.5">
      <c r="A2834" s="1"/>
      <c r="B2834" s="1"/>
      <c r="C2834" s="1"/>
      <c r="D2834" s="1"/>
      <c r="E2834" s="1"/>
      <c r="F2834" s="1"/>
    </row>
    <row r="2835" spans="1:6" ht="12.5">
      <c r="A2835" s="1"/>
      <c r="B2835" s="1"/>
      <c r="C2835" s="1"/>
      <c r="D2835" s="1"/>
      <c r="E2835" s="1"/>
      <c r="F2835" s="1"/>
    </row>
    <row r="2836" spans="1:6" ht="12.5">
      <c r="A2836" s="1"/>
      <c r="B2836" s="1"/>
      <c r="C2836" s="1"/>
      <c r="D2836" s="1"/>
      <c r="E2836" s="1"/>
      <c r="F2836" s="1"/>
    </row>
    <row r="2837" spans="1:6" ht="12.5">
      <c r="A2837" s="1"/>
      <c r="B2837" s="1"/>
      <c r="C2837" s="1"/>
      <c r="D2837" s="1"/>
      <c r="E2837" s="1"/>
      <c r="F2837" s="1"/>
    </row>
    <row r="2838" spans="1:6" ht="12.5">
      <c r="A2838" s="1"/>
      <c r="B2838" s="1"/>
      <c r="C2838" s="1"/>
      <c r="D2838" s="1"/>
      <c r="E2838" s="1"/>
      <c r="F2838" s="1"/>
    </row>
    <row r="2839" spans="1:6" ht="12.5">
      <c r="A2839" s="1"/>
      <c r="B2839" s="1"/>
      <c r="C2839" s="1"/>
      <c r="D2839" s="1"/>
      <c r="E2839" s="1"/>
      <c r="F2839" s="1"/>
    </row>
    <row r="2840" spans="1:6" ht="12.5">
      <c r="A2840" s="1"/>
      <c r="B2840" s="1"/>
      <c r="C2840" s="1"/>
      <c r="D2840" s="1"/>
      <c r="E2840" s="1"/>
      <c r="F2840" s="1"/>
    </row>
    <row r="2841" spans="1:6" ht="12.5">
      <c r="A2841" s="1"/>
      <c r="B2841" s="1"/>
      <c r="C2841" s="1"/>
      <c r="D2841" s="1"/>
      <c r="E2841" s="1"/>
      <c r="F2841" s="1"/>
    </row>
    <row r="2842" spans="1:6" ht="12.5">
      <c r="A2842" s="1"/>
      <c r="B2842" s="1"/>
      <c r="C2842" s="1"/>
      <c r="D2842" s="1"/>
      <c r="E2842" s="1"/>
      <c r="F2842" s="1"/>
    </row>
    <row r="2843" spans="1:6" ht="12.5">
      <c r="A2843" s="1"/>
      <c r="B2843" s="1"/>
      <c r="C2843" s="1"/>
      <c r="D2843" s="1"/>
      <c r="E2843" s="1"/>
      <c r="F2843" s="1"/>
    </row>
    <row r="2844" spans="1:6" ht="12.5">
      <c r="A2844" s="1"/>
      <c r="B2844" s="1"/>
      <c r="C2844" s="1"/>
      <c r="D2844" s="1"/>
      <c r="E2844" s="1"/>
      <c r="F2844" s="1"/>
    </row>
    <row r="2845" spans="1:6" ht="12.5">
      <c r="A2845" s="1"/>
      <c r="B2845" s="1"/>
      <c r="C2845" s="1"/>
      <c r="D2845" s="1"/>
      <c r="E2845" s="1"/>
      <c r="F2845" s="1"/>
    </row>
    <row r="2846" spans="1:6" ht="12.5">
      <c r="A2846" s="1"/>
      <c r="B2846" s="1"/>
      <c r="C2846" s="1"/>
      <c r="D2846" s="1"/>
      <c r="E2846" s="1"/>
      <c r="F2846" s="1"/>
    </row>
    <row r="2847" spans="1:6" ht="12.5">
      <c r="A2847" s="1"/>
      <c r="B2847" s="1"/>
      <c r="C2847" s="1"/>
      <c r="D2847" s="1"/>
      <c r="E2847" s="1"/>
      <c r="F2847" s="1"/>
    </row>
    <row r="2848" spans="1:6" ht="12.5">
      <c r="A2848" s="1"/>
      <c r="B2848" s="1"/>
      <c r="C2848" s="1"/>
      <c r="D2848" s="1"/>
      <c r="E2848" s="1"/>
      <c r="F2848" s="1"/>
    </row>
    <row r="2849" spans="1:6" ht="12.5">
      <c r="A2849" s="1"/>
      <c r="B2849" s="1"/>
      <c r="C2849" s="1"/>
      <c r="D2849" s="1"/>
      <c r="E2849" s="1"/>
      <c r="F2849" s="1"/>
    </row>
    <row r="2850" spans="1:6" ht="12.5">
      <c r="A2850" s="1"/>
      <c r="B2850" s="1"/>
      <c r="C2850" s="1"/>
      <c r="D2850" s="1"/>
      <c r="E2850" s="1"/>
      <c r="F2850" s="1"/>
    </row>
    <row r="2851" spans="1:6" ht="12.5">
      <c r="A2851" s="1"/>
      <c r="B2851" s="1"/>
      <c r="C2851" s="1"/>
      <c r="D2851" s="1"/>
      <c r="E2851" s="1"/>
      <c r="F2851" s="1"/>
    </row>
    <row r="2852" spans="1:6" ht="12.5">
      <c r="A2852" s="1"/>
      <c r="B2852" s="1"/>
      <c r="C2852" s="1"/>
      <c r="D2852" s="1"/>
      <c r="E2852" s="1"/>
      <c r="F2852" s="1"/>
    </row>
    <row r="2853" spans="1:6" ht="12.5">
      <c r="A2853" s="1"/>
      <c r="B2853" s="1"/>
      <c r="C2853" s="1"/>
      <c r="D2853" s="1"/>
      <c r="E2853" s="1"/>
      <c r="F2853" s="1"/>
    </row>
    <row r="2854" spans="1:6" ht="12.5">
      <c r="A2854" s="1"/>
      <c r="B2854" s="1"/>
      <c r="C2854" s="1"/>
      <c r="D2854" s="1"/>
      <c r="E2854" s="1"/>
      <c r="F2854" s="1"/>
    </row>
    <row r="2855" spans="1:6" ht="12.5">
      <c r="A2855" s="1"/>
      <c r="B2855" s="1"/>
      <c r="C2855" s="1"/>
      <c r="D2855" s="1"/>
      <c r="E2855" s="1"/>
      <c r="F2855" s="1"/>
    </row>
    <row r="2856" spans="1:6" ht="12.5">
      <c r="A2856" s="1"/>
      <c r="B2856" s="1"/>
      <c r="C2856" s="1"/>
      <c r="D2856" s="1"/>
      <c r="E2856" s="1"/>
      <c r="F2856" s="1"/>
    </row>
    <row r="2857" spans="1:6" ht="12.5">
      <c r="A2857" s="1"/>
      <c r="B2857" s="1"/>
      <c r="C2857" s="1"/>
      <c r="D2857" s="1"/>
      <c r="E2857" s="1"/>
      <c r="F2857" s="1"/>
    </row>
    <row r="2858" spans="1:6" ht="12.5">
      <c r="A2858" s="1"/>
      <c r="B2858" s="1"/>
      <c r="C2858" s="1"/>
      <c r="D2858" s="1"/>
      <c r="E2858" s="1"/>
      <c r="F2858" s="1"/>
    </row>
    <row r="2859" spans="1:6" ht="12.5">
      <c r="A2859" s="1"/>
      <c r="B2859" s="1"/>
      <c r="C2859" s="1"/>
      <c r="D2859" s="1"/>
      <c r="E2859" s="1"/>
      <c r="F2859" s="1"/>
    </row>
    <row r="2860" spans="1:6" ht="12.5">
      <c r="A2860" s="1"/>
      <c r="B2860" s="1"/>
      <c r="C2860" s="1"/>
      <c r="D2860" s="1"/>
      <c r="E2860" s="1"/>
      <c r="F2860" s="1"/>
    </row>
    <row r="2861" spans="1:6" ht="12.5">
      <c r="A2861" s="1"/>
      <c r="B2861" s="1"/>
      <c r="C2861" s="1"/>
      <c r="D2861" s="1"/>
      <c r="E2861" s="1"/>
      <c r="F2861" s="1"/>
    </row>
    <row r="2862" spans="1:6" ht="12.5">
      <c r="A2862" s="1"/>
      <c r="B2862" s="1"/>
      <c r="C2862" s="1"/>
      <c r="D2862" s="1"/>
      <c r="E2862" s="1"/>
      <c r="F2862" s="1"/>
    </row>
    <row r="2863" spans="1:6" ht="12.5">
      <c r="A2863" s="1"/>
      <c r="B2863" s="1"/>
      <c r="C2863" s="1"/>
      <c r="D2863" s="1"/>
      <c r="E2863" s="1"/>
      <c r="F2863" s="1"/>
    </row>
    <row r="2864" spans="1:6" ht="12.5">
      <c r="A2864" s="1"/>
      <c r="B2864" s="1"/>
      <c r="C2864" s="1"/>
      <c r="D2864" s="1"/>
      <c r="E2864" s="1"/>
      <c r="F2864" s="1"/>
    </row>
    <row r="2865" spans="1:6" ht="12.5">
      <c r="A2865" s="1"/>
      <c r="B2865" s="1"/>
      <c r="C2865" s="1"/>
      <c r="D2865" s="1"/>
      <c r="E2865" s="1"/>
      <c r="F2865" s="1"/>
    </row>
    <row r="2866" spans="1:6" ht="12.5">
      <c r="A2866" s="1"/>
      <c r="B2866" s="1"/>
      <c r="C2866" s="1"/>
      <c r="D2866" s="1"/>
      <c r="E2866" s="1"/>
      <c r="F2866" s="1"/>
    </row>
    <row r="2867" spans="1:6" ht="12.5">
      <c r="A2867" s="1"/>
      <c r="B2867" s="1"/>
      <c r="C2867" s="1"/>
      <c r="D2867" s="1"/>
      <c r="E2867" s="1"/>
      <c r="F2867" s="1"/>
    </row>
    <row r="2868" spans="1:6" ht="12.5">
      <c r="A2868" s="1"/>
      <c r="B2868" s="1"/>
      <c r="C2868" s="1"/>
      <c r="D2868" s="1"/>
      <c r="E2868" s="1"/>
      <c r="F2868" s="1"/>
    </row>
    <row r="2869" spans="1:6" ht="12.5">
      <c r="A2869" s="1"/>
      <c r="B2869" s="1"/>
      <c r="C2869" s="1"/>
      <c r="D2869" s="1"/>
      <c r="E2869" s="1"/>
      <c r="F2869" s="1"/>
    </row>
    <row r="2870" spans="1:6" ht="12.5">
      <c r="A2870" s="1"/>
      <c r="B2870" s="1"/>
      <c r="C2870" s="1"/>
      <c r="D2870" s="1"/>
      <c r="E2870" s="1"/>
      <c r="F2870" s="1"/>
    </row>
    <row r="2871" spans="1:6" ht="12.5">
      <c r="A2871" s="1"/>
      <c r="B2871" s="1"/>
      <c r="C2871" s="1"/>
      <c r="D2871" s="1"/>
      <c r="E2871" s="1"/>
      <c r="F2871" s="1"/>
    </row>
    <row r="2872" spans="1:6" ht="12.5">
      <c r="A2872" s="1"/>
      <c r="B2872" s="1"/>
      <c r="C2872" s="1"/>
      <c r="D2872" s="1"/>
      <c r="E2872" s="1"/>
      <c r="F2872" s="1"/>
    </row>
    <row r="2873" spans="1:6" ht="12.5">
      <c r="A2873" s="1"/>
      <c r="B2873" s="1"/>
      <c r="C2873" s="1"/>
      <c r="D2873" s="1"/>
      <c r="E2873" s="1"/>
      <c r="F2873" s="1"/>
    </row>
    <row r="2874" spans="1:6" ht="12.5">
      <c r="A2874" s="1"/>
      <c r="B2874" s="1"/>
      <c r="C2874" s="1"/>
      <c r="D2874" s="1"/>
      <c r="E2874" s="1"/>
      <c r="F2874" s="1"/>
    </row>
    <row r="2875" spans="1:6" ht="12.5">
      <c r="A2875" s="1"/>
      <c r="B2875" s="1"/>
      <c r="C2875" s="1"/>
      <c r="D2875" s="1"/>
      <c r="E2875" s="1"/>
      <c r="F2875" s="1"/>
    </row>
    <row r="2876" spans="1:6" ht="12.5">
      <c r="A2876" s="1"/>
      <c r="B2876" s="1"/>
      <c r="C2876" s="1"/>
      <c r="D2876" s="1"/>
      <c r="E2876" s="1"/>
      <c r="F2876" s="1"/>
    </row>
    <row r="2877" spans="1:6" ht="12.5">
      <c r="A2877" s="1"/>
      <c r="B2877" s="1"/>
      <c r="C2877" s="1"/>
      <c r="D2877" s="1"/>
      <c r="E2877" s="1"/>
      <c r="F2877" s="1"/>
    </row>
    <row r="2878" spans="1:6" ht="12.5">
      <c r="A2878" s="1"/>
      <c r="B2878" s="1"/>
      <c r="C2878" s="1"/>
      <c r="D2878" s="1"/>
      <c r="E2878" s="1"/>
      <c r="F2878" s="1"/>
    </row>
    <row r="2879" spans="1:6" ht="12.5">
      <c r="A2879" s="1"/>
      <c r="B2879" s="1"/>
      <c r="C2879" s="1"/>
      <c r="D2879" s="1"/>
      <c r="E2879" s="1"/>
      <c r="F2879" s="1"/>
    </row>
    <row r="2880" spans="1:6" ht="12.5">
      <c r="A2880" s="1"/>
      <c r="B2880" s="1"/>
      <c r="C2880" s="1"/>
      <c r="D2880" s="1"/>
      <c r="E2880" s="1"/>
      <c r="F2880" s="1"/>
    </row>
    <row r="2881" spans="1:6" ht="12.5">
      <c r="A2881" s="1"/>
      <c r="B2881" s="1"/>
      <c r="C2881" s="1"/>
      <c r="D2881" s="1"/>
      <c r="E2881" s="1"/>
      <c r="F2881" s="1"/>
    </row>
    <row r="2882" spans="1:6" ht="12.5">
      <c r="A2882" s="1"/>
      <c r="B2882" s="1"/>
      <c r="C2882" s="1"/>
      <c r="D2882" s="1"/>
      <c r="E2882" s="1"/>
      <c r="F2882" s="1"/>
    </row>
    <row r="2883" spans="1:6" ht="12.5">
      <c r="A2883" s="1"/>
      <c r="B2883" s="1"/>
      <c r="C2883" s="1"/>
      <c r="D2883" s="1"/>
      <c r="E2883" s="1"/>
      <c r="F2883" s="1"/>
    </row>
    <row r="2884" spans="1:6" ht="12.5">
      <c r="A2884" s="1"/>
      <c r="B2884" s="1"/>
      <c r="C2884" s="1"/>
      <c r="D2884" s="1"/>
      <c r="E2884" s="1"/>
      <c r="F2884" s="1"/>
    </row>
    <row r="2885" spans="1:6" ht="12.5">
      <c r="A2885" s="1"/>
      <c r="B2885" s="1"/>
      <c r="C2885" s="1"/>
      <c r="D2885" s="1"/>
      <c r="E2885" s="1"/>
      <c r="F2885" s="1"/>
    </row>
    <row r="2886" spans="1:6" ht="12.5">
      <c r="A2886" s="1"/>
      <c r="B2886" s="1"/>
      <c r="C2886" s="1"/>
      <c r="D2886" s="1"/>
      <c r="E2886" s="1"/>
      <c r="F2886" s="1"/>
    </row>
    <row r="2887" spans="1:6" ht="12.5">
      <c r="A2887" s="1"/>
      <c r="B2887" s="1"/>
      <c r="C2887" s="1"/>
      <c r="D2887" s="1"/>
      <c r="E2887" s="1"/>
      <c r="F2887" s="1"/>
    </row>
    <row r="2888" spans="1:6" ht="12.5">
      <c r="A2888" s="1"/>
      <c r="B2888" s="1"/>
      <c r="C2888" s="1"/>
      <c r="D2888" s="1"/>
      <c r="E2888" s="1"/>
      <c r="F2888" s="1"/>
    </row>
    <row r="2889" spans="1:6" ht="12.5">
      <c r="A2889" s="1"/>
      <c r="B2889" s="1"/>
      <c r="C2889" s="1"/>
      <c r="D2889" s="1"/>
      <c r="E2889" s="1"/>
      <c r="F2889" s="1"/>
    </row>
    <row r="2890" spans="1:6" ht="12.5">
      <c r="A2890" s="1"/>
      <c r="B2890" s="1"/>
      <c r="C2890" s="1"/>
      <c r="D2890" s="1"/>
      <c r="E2890" s="1"/>
      <c r="F2890" s="1"/>
    </row>
    <row r="2891" spans="1:6" ht="12.5">
      <c r="A2891" s="1"/>
      <c r="B2891" s="1"/>
      <c r="C2891" s="1"/>
      <c r="D2891" s="1"/>
      <c r="E2891" s="1"/>
      <c r="F2891" s="1"/>
    </row>
    <row r="2892" spans="1:6" ht="12.5">
      <c r="A2892" s="1"/>
      <c r="B2892" s="1"/>
      <c r="C2892" s="1"/>
      <c r="D2892" s="1"/>
      <c r="E2892" s="1"/>
      <c r="F2892" s="1"/>
    </row>
    <row r="2893" spans="1:6" ht="12.5">
      <c r="A2893" s="1"/>
      <c r="B2893" s="1"/>
      <c r="C2893" s="1"/>
      <c r="D2893" s="1"/>
      <c r="E2893" s="1"/>
      <c r="F2893" s="1"/>
    </row>
    <row r="2894" spans="1:6" ht="12.5">
      <c r="A2894" s="1"/>
      <c r="B2894" s="1"/>
      <c r="C2894" s="1"/>
      <c r="D2894" s="1"/>
      <c r="E2894" s="1"/>
      <c r="F2894" s="1"/>
    </row>
    <row r="2895" spans="1:6" ht="12.5">
      <c r="A2895" s="1"/>
      <c r="B2895" s="1"/>
      <c r="C2895" s="1"/>
      <c r="D2895" s="1"/>
      <c r="E2895" s="1"/>
      <c r="F2895" s="1"/>
    </row>
    <row r="2896" spans="1:6" ht="12.5">
      <c r="A2896" s="1"/>
      <c r="B2896" s="1"/>
      <c r="C2896" s="1"/>
      <c r="D2896" s="1"/>
      <c r="E2896" s="1"/>
      <c r="F2896" s="1"/>
    </row>
    <row r="2897" spans="1:6" ht="12.5">
      <c r="A2897" s="1"/>
      <c r="B2897" s="1"/>
      <c r="C2897" s="1"/>
      <c r="D2897" s="1"/>
      <c r="E2897" s="1"/>
      <c r="F2897" s="1"/>
    </row>
    <row r="2898" spans="1:6" ht="12.5">
      <c r="A2898" s="1"/>
      <c r="B2898" s="1"/>
      <c r="C2898" s="1"/>
      <c r="D2898" s="1"/>
      <c r="E2898" s="1"/>
      <c r="F2898" s="1"/>
    </row>
    <row r="2899" spans="1:6" ht="12.5">
      <c r="A2899" s="1"/>
      <c r="B2899" s="1"/>
      <c r="C2899" s="1"/>
      <c r="D2899" s="1"/>
      <c r="E2899" s="1"/>
      <c r="F2899" s="1"/>
    </row>
    <row r="2900" spans="1:6" ht="12.5">
      <c r="A2900" s="1"/>
      <c r="B2900" s="1"/>
      <c r="C2900" s="1"/>
      <c r="D2900" s="1"/>
      <c r="E2900" s="1"/>
      <c r="F2900" s="1"/>
    </row>
    <row r="2901" spans="1:6" ht="12.5">
      <c r="A2901" s="1"/>
      <c r="B2901" s="1"/>
      <c r="C2901" s="1"/>
      <c r="D2901" s="1"/>
      <c r="E2901" s="1"/>
      <c r="F2901" s="1"/>
    </row>
    <row r="2902" spans="1:6" ht="12.5">
      <c r="A2902" s="1"/>
      <c r="B2902" s="1"/>
      <c r="C2902" s="1"/>
      <c r="D2902" s="1"/>
      <c r="E2902" s="1"/>
      <c r="F2902" s="1"/>
    </row>
    <row r="2903" spans="1:6" ht="12.5">
      <c r="A2903" s="1"/>
      <c r="B2903" s="1"/>
      <c r="C2903" s="1"/>
      <c r="D2903" s="1"/>
      <c r="E2903" s="1"/>
      <c r="F2903" s="1"/>
    </row>
    <row r="2904" spans="1:6" ht="12.5">
      <c r="A2904" s="1"/>
      <c r="B2904" s="1"/>
      <c r="C2904" s="1"/>
      <c r="D2904" s="1"/>
      <c r="E2904" s="1"/>
      <c r="F2904" s="1"/>
    </row>
    <row r="2905" spans="1:6" ht="12.5">
      <c r="A2905" s="1"/>
      <c r="B2905" s="1"/>
      <c r="C2905" s="1"/>
      <c r="D2905" s="1"/>
      <c r="E2905" s="1"/>
      <c r="F2905" s="1"/>
    </row>
    <row r="2906" spans="1:6" ht="12.5">
      <c r="A2906" s="1"/>
      <c r="B2906" s="1"/>
      <c r="C2906" s="1"/>
      <c r="D2906" s="1"/>
      <c r="E2906" s="1"/>
      <c r="F2906" s="1"/>
    </row>
    <row r="2907" spans="1:6" ht="12.5">
      <c r="A2907" s="1"/>
      <c r="B2907" s="1"/>
      <c r="C2907" s="1"/>
      <c r="D2907" s="1"/>
      <c r="E2907" s="1"/>
      <c r="F2907" s="1"/>
    </row>
    <row r="2908" spans="1:6" ht="12.5">
      <c r="A2908" s="1"/>
      <c r="B2908" s="1"/>
      <c r="C2908" s="1"/>
      <c r="D2908" s="1"/>
      <c r="E2908" s="1"/>
      <c r="F2908" s="1"/>
    </row>
    <row r="2909" spans="1:6" ht="12.5">
      <c r="A2909" s="1"/>
      <c r="B2909" s="1"/>
      <c r="C2909" s="1"/>
      <c r="D2909" s="1"/>
      <c r="E2909" s="1"/>
      <c r="F2909" s="1"/>
    </row>
    <row r="2910" spans="1:6" ht="12.5">
      <c r="A2910" s="1"/>
      <c r="B2910" s="1"/>
      <c r="C2910" s="1"/>
      <c r="D2910" s="1"/>
      <c r="E2910" s="1"/>
      <c r="F2910" s="1"/>
    </row>
    <row r="2911" spans="1:6" ht="12.5">
      <c r="A2911" s="1"/>
      <c r="B2911" s="1"/>
      <c r="C2911" s="1"/>
      <c r="D2911" s="1"/>
      <c r="E2911" s="1"/>
      <c r="F2911" s="1"/>
    </row>
    <row r="2912" spans="1:6" ht="12.5">
      <c r="A2912" s="1"/>
      <c r="B2912" s="1"/>
      <c r="C2912" s="1"/>
      <c r="D2912" s="1"/>
      <c r="E2912" s="1"/>
      <c r="F2912" s="1"/>
    </row>
    <row r="2913" spans="1:6" ht="12.5">
      <c r="A2913" s="1"/>
      <c r="B2913" s="1"/>
      <c r="C2913" s="1"/>
      <c r="D2913" s="1"/>
      <c r="E2913" s="1"/>
      <c r="F2913" s="1"/>
    </row>
    <row r="2914" spans="1:6" ht="12.5">
      <c r="A2914" s="1"/>
      <c r="B2914" s="1"/>
      <c r="C2914" s="1"/>
      <c r="D2914" s="1"/>
      <c r="E2914" s="1"/>
      <c r="F2914" s="1"/>
    </row>
    <row r="2915" spans="1:6" ht="12.5">
      <c r="A2915" s="1"/>
      <c r="B2915" s="1"/>
      <c r="C2915" s="1"/>
      <c r="D2915" s="1"/>
      <c r="E2915" s="1"/>
      <c r="F2915" s="1"/>
    </row>
    <row r="2916" spans="1:6" ht="12.5">
      <c r="A2916" s="1"/>
      <c r="B2916" s="1"/>
      <c r="C2916" s="1"/>
      <c r="D2916" s="1"/>
      <c r="E2916" s="1"/>
      <c r="F2916" s="1"/>
    </row>
    <row r="2917" spans="1:6" ht="12.5">
      <c r="A2917" s="1"/>
      <c r="B2917" s="1"/>
      <c r="C2917" s="1"/>
      <c r="D2917" s="1"/>
      <c r="E2917" s="1"/>
      <c r="F2917" s="1"/>
    </row>
    <row r="2918" spans="1:6" ht="12.5">
      <c r="A2918" s="1"/>
      <c r="B2918" s="1"/>
      <c r="C2918" s="1"/>
      <c r="D2918" s="1"/>
      <c r="E2918" s="1"/>
      <c r="F2918" s="1"/>
    </row>
    <row r="2919" spans="1:6" ht="12.5">
      <c r="A2919" s="1"/>
      <c r="B2919" s="1"/>
      <c r="C2919" s="1"/>
      <c r="D2919" s="1"/>
      <c r="E2919" s="1"/>
      <c r="F2919" s="1"/>
    </row>
    <row r="2920" spans="1:6" ht="12.5">
      <c r="A2920" s="1"/>
      <c r="B2920" s="1"/>
      <c r="C2920" s="1"/>
      <c r="D2920" s="1"/>
      <c r="E2920" s="1"/>
      <c r="F2920" s="1"/>
    </row>
    <row r="2921" spans="1:6" ht="12.5">
      <c r="A2921" s="1"/>
      <c r="B2921" s="1"/>
      <c r="C2921" s="1"/>
      <c r="D2921" s="1"/>
      <c r="E2921" s="1"/>
      <c r="F2921" s="1"/>
    </row>
    <row r="2922" spans="1:6" ht="12.5">
      <c r="A2922" s="1"/>
      <c r="B2922" s="1"/>
      <c r="C2922" s="1"/>
      <c r="D2922" s="1"/>
      <c r="E2922" s="1"/>
      <c r="F2922" s="1"/>
    </row>
    <row r="2923" spans="1:6" ht="12.5">
      <c r="A2923" s="1"/>
      <c r="B2923" s="1"/>
      <c r="C2923" s="1"/>
      <c r="D2923" s="1"/>
      <c r="E2923" s="1"/>
      <c r="F2923" s="1"/>
    </row>
    <row r="2924" spans="1:6" ht="12.5">
      <c r="A2924" s="1"/>
      <c r="B2924" s="1"/>
      <c r="C2924" s="1"/>
      <c r="D2924" s="1"/>
      <c r="E2924" s="1"/>
      <c r="F2924" s="1"/>
    </row>
    <row r="2925" spans="1:6" ht="12.5">
      <c r="A2925" s="1"/>
      <c r="B2925" s="1"/>
      <c r="C2925" s="1"/>
      <c r="D2925" s="1"/>
      <c r="E2925" s="1"/>
      <c r="F2925" s="1"/>
    </row>
    <row r="2926" spans="1:6" ht="12.5">
      <c r="A2926" s="1"/>
      <c r="B2926" s="1"/>
      <c r="C2926" s="1"/>
      <c r="D2926" s="1"/>
      <c r="E2926" s="1"/>
      <c r="F2926" s="1"/>
    </row>
    <row r="2927" spans="1:6" ht="12.5">
      <c r="A2927" s="1"/>
      <c r="B2927" s="1"/>
      <c r="C2927" s="1"/>
      <c r="D2927" s="1"/>
      <c r="E2927" s="1"/>
      <c r="F2927" s="1"/>
    </row>
    <row r="2928" spans="1:6" ht="12.5">
      <c r="A2928" s="1"/>
      <c r="B2928" s="1"/>
      <c r="C2928" s="1"/>
      <c r="D2928" s="1"/>
      <c r="E2928" s="1"/>
      <c r="F2928" s="1"/>
    </row>
    <row r="2929" spans="1:6" ht="12.5">
      <c r="A2929" s="1"/>
      <c r="B2929" s="1"/>
      <c r="C2929" s="1"/>
      <c r="D2929" s="1"/>
      <c r="E2929" s="1"/>
      <c r="F2929" s="1"/>
    </row>
    <row r="2930" spans="1:6" ht="12.5">
      <c r="A2930" s="1"/>
      <c r="B2930" s="1"/>
      <c r="C2930" s="1"/>
      <c r="D2930" s="1"/>
      <c r="E2930" s="1"/>
      <c r="F2930" s="1"/>
    </row>
    <row r="2931" spans="1:6" ht="12.5">
      <c r="A2931" s="1"/>
      <c r="B2931" s="1"/>
      <c r="C2931" s="1"/>
      <c r="D2931" s="1"/>
      <c r="E2931" s="1"/>
      <c r="F2931" s="1"/>
    </row>
    <row r="2932" spans="1:6" ht="12.5">
      <c r="A2932" s="1"/>
      <c r="B2932" s="1"/>
      <c r="C2932" s="1"/>
      <c r="D2932" s="1"/>
      <c r="E2932" s="1"/>
      <c r="F2932" s="1"/>
    </row>
    <row r="2933" spans="1:6" ht="12.5">
      <c r="A2933" s="1"/>
      <c r="B2933" s="1"/>
      <c r="C2933" s="1"/>
      <c r="D2933" s="1"/>
      <c r="E2933" s="1"/>
      <c r="F2933" s="1"/>
    </row>
    <row r="2934" spans="1:6" ht="12.5">
      <c r="A2934" s="1"/>
      <c r="B2934" s="1"/>
      <c r="C2934" s="1"/>
      <c r="D2934" s="1"/>
      <c r="E2934" s="1"/>
      <c r="F2934" s="1"/>
    </row>
    <row r="2935" spans="1:6" ht="12.5">
      <c r="A2935" s="1"/>
      <c r="B2935" s="1"/>
      <c r="C2935" s="1"/>
      <c r="D2935" s="1"/>
      <c r="E2935" s="1"/>
      <c r="F2935" s="1"/>
    </row>
    <row r="2936" spans="1:6" ht="12.5">
      <c r="A2936" s="1"/>
      <c r="B2936" s="1"/>
      <c r="C2936" s="1"/>
      <c r="D2936" s="1"/>
      <c r="E2936" s="1"/>
      <c r="F2936" s="1"/>
    </row>
    <row r="2937" spans="1:6" ht="12.5">
      <c r="A2937" s="1"/>
      <c r="B2937" s="1"/>
      <c r="C2937" s="1"/>
      <c r="D2937" s="1"/>
      <c r="E2937" s="1"/>
      <c r="F2937" s="1"/>
    </row>
    <row r="2938" spans="1:6" ht="12.5">
      <c r="A2938" s="1"/>
      <c r="B2938" s="1"/>
      <c r="C2938" s="1"/>
      <c r="D2938" s="1"/>
      <c r="E2938" s="1"/>
      <c r="F2938" s="1"/>
    </row>
    <row r="2939" spans="1:6" ht="12.5">
      <c r="A2939" s="1"/>
      <c r="B2939" s="1"/>
      <c r="C2939" s="1"/>
      <c r="D2939" s="1"/>
      <c r="E2939" s="1"/>
      <c r="F2939" s="1"/>
    </row>
    <row r="2940" spans="1:6" ht="12.5">
      <c r="A2940" s="1"/>
      <c r="B2940" s="1"/>
      <c r="C2940" s="1"/>
      <c r="D2940" s="1"/>
      <c r="E2940" s="1"/>
      <c r="F2940" s="1"/>
    </row>
    <row r="2941" spans="1:6" ht="12.5">
      <c r="A2941" s="1"/>
      <c r="B2941" s="1"/>
      <c r="C2941" s="1"/>
      <c r="D2941" s="1"/>
      <c r="E2941" s="1"/>
      <c r="F2941" s="1"/>
    </row>
    <row r="2942" spans="1:6" ht="12.5">
      <c r="A2942" s="1"/>
      <c r="B2942" s="1"/>
      <c r="C2942" s="1"/>
      <c r="D2942" s="1"/>
      <c r="E2942" s="1"/>
      <c r="F2942" s="1"/>
    </row>
    <row r="2943" spans="1:6" ht="12.5">
      <c r="A2943" s="1"/>
      <c r="B2943" s="1"/>
      <c r="C2943" s="1"/>
      <c r="D2943" s="1"/>
      <c r="E2943" s="1"/>
      <c r="F2943" s="1"/>
    </row>
    <row r="2944" spans="1:6" ht="12.5">
      <c r="A2944" s="1"/>
      <c r="B2944" s="1"/>
      <c r="C2944" s="1"/>
      <c r="D2944" s="1"/>
      <c r="E2944" s="1"/>
      <c r="F2944" s="1"/>
    </row>
    <row r="2945" spans="1:6" ht="12.5">
      <c r="A2945" s="1"/>
      <c r="B2945" s="1"/>
      <c r="C2945" s="1"/>
      <c r="D2945" s="1"/>
      <c r="E2945" s="1"/>
      <c r="F2945" s="1"/>
    </row>
    <row r="2946" spans="1:6" ht="12.5">
      <c r="A2946" s="1"/>
      <c r="B2946" s="1"/>
      <c r="C2946" s="1"/>
      <c r="D2946" s="1"/>
      <c r="E2946" s="1"/>
      <c r="F2946" s="1"/>
    </row>
    <row r="2947" spans="1:6" ht="12.5">
      <c r="A2947" s="1"/>
      <c r="B2947" s="1"/>
      <c r="C2947" s="1"/>
      <c r="D2947" s="1"/>
      <c r="E2947" s="1"/>
      <c r="F2947" s="1"/>
    </row>
    <row r="2948" spans="1:6" ht="12.5">
      <c r="A2948" s="1"/>
      <c r="B2948" s="1"/>
      <c r="C2948" s="1"/>
      <c r="D2948" s="1"/>
      <c r="E2948" s="1"/>
      <c r="F2948" s="1"/>
    </row>
    <row r="2949" spans="1:6" ht="12.5">
      <c r="A2949" s="1"/>
      <c r="B2949" s="1"/>
      <c r="C2949" s="1"/>
      <c r="D2949" s="1"/>
      <c r="E2949" s="1"/>
      <c r="F2949" s="1"/>
    </row>
    <row r="2950" spans="1:6" ht="12.5">
      <c r="A2950" s="1"/>
      <c r="B2950" s="1"/>
      <c r="C2950" s="1"/>
      <c r="D2950" s="1"/>
      <c r="E2950" s="1"/>
      <c r="F2950" s="1"/>
    </row>
    <row r="2951" spans="1:6" ht="12.5">
      <c r="A2951" s="1"/>
      <c r="B2951" s="1"/>
      <c r="C2951" s="1"/>
      <c r="D2951" s="1"/>
      <c r="E2951" s="1"/>
      <c r="F2951" s="1"/>
    </row>
    <row r="2952" spans="1:6" ht="12.5">
      <c r="A2952" s="1"/>
      <c r="B2952" s="1"/>
      <c r="C2952" s="1"/>
      <c r="D2952" s="1"/>
      <c r="E2952" s="1"/>
      <c r="F2952" s="1"/>
    </row>
    <row r="2953" spans="1:6" ht="12.5">
      <c r="A2953" s="1"/>
      <c r="B2953" s="1"/>
      <c r="C2953" s="1"/>
      <c r="D2953" s="1"/>
      <c r="E2953" s="1"/>
      <c r="F2953" s="1"/>
    </row>
    <row r="2954" spans="1:6" ht="12.5">
      <c r="A2954" s="1"/>
      <c r="B2954" s="1"/>
      <c r="C2954" s="1"/>
      <c r="D2954" s="1"/>
      <c r="E2954" s="1"/>
      <c r="F2954" s="1"/>
    </row>
    <row r="2955" spans="1:6" ht="12.5">
      <c r="A2955" s="1"/>
      <c r="B2955" s="1"/>
      <c r="C2955" s="1"/>
      <c r="D2955" s="1"/>
      <c r="E2955" s="1"/>
      <c r="F2955" s="1"/>
    </row>
    <row r="2956" spans="1:6" ht="12.5">
      <c r="A2956" s="1"/>
      <c r="B2956" s="1"/>
      <c r="C2956" s="1"/>
      <c r="D2956" s="1"/>
      <c r="E2956" s="1"/>
      <c r="F2956" s="1"/>
    </row>
    <row r="2957" spans="1:6" ht="12.5">
      <c r="A2957" s="1"/>
      <c r="B2957" s="1"/>
      <c r="C2957" s="1"/>
      <c r="D2957" s="1"/>
      <c r="E2957" s="1"/>
      <c r="F2957" s="1"/>
    </row>
    <row r="2958" spans="1:6" ht="12.5">
      <c r="A2958" s="1"/>
      <c r="B2958" s="1"/>
      <c r="C2958" s="1"/>
      <c r="D2958" s="1"/>
      <c r="E2958" s="1"/>
      <c r="F2958" s="1"/>
    </row>
    <row r="2959" spans="1:6" ht="12.5">
      <c r="A2959" s="1"/>
      <c r="B2959" s="1"/>
      <c r="C2959" s="1"/>
      <c r="D2959" s="1"/>
      <c r="E2959" s="1"/>
      <c r="F2959" s="1"/>
    </row>
    <row r="2960" spans="1:6" ht="12.5">
      <c r="A2960" s="1"/>
      <c r="B2960" s="1"/>
      <c r="C2960" s="1"/>
      <c r="D2960" s="1"/>
      <c r="E2960" s="1"/>
      <c r="F2960" s="1"/>
    </row>
    <row r="2961" spans="1:6" ht="12.5">
      <c r="A2961" s="1"/>
      <c r="B2961" s="1"/>
      <c r="C2961" s="1"/>
      <c r="D2961" s="1"/>
      <c r="E2961" s="1"/>
      <c r="F2961" s="1"/>
    </row>
    <row r="2962" spans="1:6" ht="12.5">
      <c r="A2962" s="1"/>
      <c r="B2962" s="1"/>
      <c r="C2962" s="1"/>
      <c r="D2962" s="1"/>
      <c r="E2962" s="1"/>
      <c r="F2962" s="1"/>
    </row>
    <row r="2963" spans="1:6" ht="12.5">
      <c r="A2963" s="1"/>
      <c r="B2963" s="1"/>
      <c r="C2963" s="1"/>
      <c r="D2963" s="1"/>
      <c r="E2963" s="1"/>
      <c r="F2963" s="1"/>
    </row>
    <row r="2964" spans="1:6" ht="12.5">
      <c r="A2964" s="1"/>
      <c r="B2964" s="1"/>
      <c r="C2964" s="1"/>
      <c r="D2964" s="1"/>
      <c r="E2964" s="1"/>
      <c r="F2964" s="1"/>
    </row>
    <row r="2965" spans="1:6" ht="12.5">
      <c r="A2965" s="1"/>
      <c r="B2965" s="1"/>
      <c r="C2965" s="1"/>
      <c r="D2965" s="1"/>
      <c r="E2965" s="1"/>
      <c r="F2965" s="1"/>
    </row>
    <row r="2966" spans="1:6" ht="12.5">
      <c r="A2966" s="1"/>
      <c r="B2966" s="1"/>
      <c r="C2966" s="1"/>
      <c r="D2966" s="1"/>
      <c r="E2966" s="1"/>
      <c r="F2966" s="1"/>
    </row>
    <row r="2967" spans="1:6" ht="12.5">
      <c r="A2967" s="1"/>
      <c r="B2967" s="1"/>
      <c r="C2967" s="1"/>
      <c r="D2967" s="1"/>
      <c r="E2967" s="1"/>
      <c r="F2967" s="1"/>
    </row>
    <row r="2968" spans="1:6" ht="12.5">
      <c r="A2968" s="1"/>
      <c r="B2968" s="1"/>
      <c r="C2968" s="1"/>
      <c r="D2968" s="1"/>
      <c r="E2968" s="1"/>
      <c r="F2968" s="1"/>
    </row>
    <row r="2969" spans="1:6" ht="12.5">
      <c r="A2969" s="1"/>
      <c r="B2969" s="1"/>
      <c r="C2969" s="1"/>
      <c r="D2969" s="1"/>
      <c r="E2969" s="1"/>
      <c r="F2969" s="1"/>
    </row>
    <row r="2970" spans="1:6" ht="12.5">
      <c r="A2970" s="1"/>
      <c r="B2970" s="1"/>
      <c r="C2970" s="1"/>
      <c r="D2970" s="1"/>
      <c r="E2970" s="1"/>
      <c r="F2970" s="1"/>
    </row>
    <row r="2971" spans="1:6" ht="12.5">
      <c r="A2971" s="1"/>
      <c r="B2971" s="1"/>
      <c r="C2971" s="1"/>
      <c r="D2971" s="1"/>
      <c r="E2971" s="1"/>
      <c r="F2971" s="1"/>
    </row>
    <row r="2972" spans="1:6" ht="12.5">
      <c r="A2972" s="1"/>
      <c r="B2972" s="1"/>
      <c r="C2972" s="1"/>
      <c r="D2972" s="1"/>
      <c r="E2972" s="1"/>
      <c r="F2972" s="1"/>
    </row>
    <row r="2973" spans="1:6" ht="12.5">
      <c r="A2973" s="1"/>
      <c r="B2973" s="1"/>
      <c r="C2973" s="1"/>
      <c r="D2973" s="1"/>
      <c r="E2973" s="1"/>
      <c r="F2973" s="1"/>
    </row>
    <row r="2974" spans="1:6" ht="12.5">
      <c r="A2974" s="1"/>
      <c r="B2974" s="1"/>
      <c r="C2974" s="1"/>
      <c r="D2974" s="1"/>
      <c r="E2974" s="1"/>
      <c r="F2974" s="1"/>
    </row>
    <row r="2975" spans="1:6" ht="12.5">
      <c r="A2975" s="1"/>
      <c r="B2975" s="1"/>
      <c r="C2975" s="1"/>
      <c r="D2975" s="1"/>
      <c r="E2975" s="1"/>
      <c r="F2975" s="1"/>
    </row>
    <row r="2976" spans="1:6" ht="12.5">
      <c r="A2976" s="1"/>
      <c r="B2976" s="1"/>
      <c r="C2976" s="1"/>
      <c r="D2976" s="1"/>
      <c r="E2976" s="1"/>
      <c r="F2976" s="1"/>
    </row>
    <row r="2977" spans="1:6" ht="12.5">
      <c r="A2977" s="1"/>
      <c r="B2977" s="1"/>
      <c r="C2977" s="1"/>
      <c r="D2977" s="1"/>
      <c r="E2977" s="1"/>
      <c r="F2977" s="1"/>
    </row>
    <row r="2978" spans="1:6" ht="12.5">
      <c r="A2978" s="1"/>
      <c r="B2978" s="1"/>
      <c r="C2978" s="1"/>
      <c r="D2978" s="1"/>
      <c r="E2978" s="1"/>
      <c r="F2978" s="1"/>
    </row>
    <row r="2979" spans="1:6" ht="12.5">
      <c r="A2979" s="1"/>
      <c r="B2979" s="1"/>
      <c r="C2979" s="1"/>
      <c r="D2979" s="1"/>
      <c r="E2979" s="1"/>
      <c r="F2979" s="1"/>
    </row>
    <row r="2980" spans="1:6" ht="12.5">
      <c r="A2980" s="1"/>
      <c r="B2980" s="1"/>
      <c r="C2980" s="1"/>
      <c r="D2980" s="1"/>
      <c r="E2980" s="1"/>
      <c r="F2980" s="1"/>
    </row>
    <row r="2981" spans="1:6" ht="12.5">
      <c r="A2981" s="1"/>
      <c r="B2981" s="1"/>
      <c r="C2981" s="1"/>
      <c r="D2981" s="1"/>
      <c r="E2981" s="1"/>
      <c r="F2981" s="1"/>
    </row>
    <row r="2982" spans="1:6" ht="12.5">
      <c r="A2982" s="1"/>
      <c r="B2982" s="1"/>
      <c r="C2982" s="1"/>
      <c r="D2982" s="1"/>
      <c r="E2982" s="1"/>
      <c r="F2982" s="1"/>
    </row>
    <row r="2983" spans="1:6" ht="12.5">
      <c r="A2983" s="1"/>
      <c r="B2983" s="1"/>
      <c r="C2983" s="1"/>
      <c r="D2983" s="1"/>
      <c r="E2983" s="1"/>
      <c r="F2983" s="1"/>
    </row>
    <row r="2984" spans="1:6" ht="12.5">
      <c r="A2984" s="1"/>
      <c r="B2984" s="1"/>
      <c r="C2984" s="1"/>
      <c r="D2984" s="1"/>
      <c r="E2984" s="1"/>
      <c r="F2984" s="1"/>
    </row>
    <row r="2985" spans="1:6" ht="12.5">
      <c r="A2985" s="1"/>
      <c r="B2985" s="1"/>
      <c r="C2985" s="1"/>
      <c r="D2985" s="1"/>
      <c r="E2985" s="1"/>
      <c r="F2985" s="1"/>
    </row>
    <row r="2986" spans="1:6" ht="12.5">
      <c r="A2986" s="1"/>
      <c r="B2986" s="1"/>
      <c r="C2986" s="1"/>
      <c r="D2986" s="1"/>
      <c r="E2986" s="1"/>
      <c r="F2986" s="1"/>
    </row>
    <row r="2987" spans="1:6" ht="12.5">
      <c r="A2987" s="1"/>
      <c r="B2987" s="1"/>
      <c r="C2987" s="1"/>
      <c r="D2987" s="1"/>
      <c r="E2987" s="1"/>
      <c r="F2987" s="1"/>
    </row>
    <row r="2988" spans="1:6" ht="12.5">
      <c r="A2988" s="1"/>
      <c r="B2988" s="1"/>
      <c r="C2988" s="1"/>
      <c r="D2988" s="1"/>
      <c r="E2988" s="1"/>
      <c r="F2988" s="1"/>
    </row>
    <row r="2989" spans="1:6" ht="12.5">
      <c r="A2989" s="1"/>
      <c r="B2989" s="1"/>
      <c r="C2989" s="1"/>
      <c r="D2989" s="1"/>
      <c r="E2989" s="1"/>
      <c r="F2989" s="1"/>
    </row>
    <row r="2990" spans="1:6" ht="12.5">
      <c r="A2990" s="1"/>
      <c r="B2990" s="1"/>
      <c r="C2990" s="1"/>
      <c r="D2990" s="1"/>
      <c r="E2990" s="1"/>
      <c r="F2990" s="1"/>
    </row>
    <row r="2991" spans="1:6" ht="12.5">
      <c r="A2991" s="1"/>
      <c r="B2991" s="1"/>
      <c r="C2991" s="1"/>
      <c r="D2991" s="1"/>
      <c r="E2991" s="1"/>
      <c r="F2991" s="1"/>
    </row>
    <row r="2992" spans="1:6" ht="12.5">
      <c r="A2992" s="1"/>
      <c r="B2992" s="1"/>
      <c r="C2992" s="1"/>
      <c r="D2992" s="1"/>
      <c r="E2992" s="1"/>
      <c r="F2992" s="1"/>
    </row>
    <row r="2993" spans="1:6" ht="12.5">
      <c r="A2993" s="1"/>
      <c r="B2993" s="1"/>
      <c r="C2993" s="1"/>
      <c r="D2993" s="1"/>
      <c r="E2993" s="1"/>
      <c r="F2993" s="1"/>
    </row>
    <row r="2994" spans="1:6" ht="12.5">
      <c r="A2994" s="1"/>
      <c r="B2994" s="1"/>
      <c r="C2994" s="1"/>
      <c r="D2994" s="1"/>
      <c r="E2994" s="1"/>
      <c r="F2994" s="1"/>
    </row>
    <row r="2995" spans="1:6" ht="12.5">
      <c r="A2995" s="1"/>
      <c r="B2995" s="1"/>
      <c r="C2995" s="1"/>
      <c r="D2995" s="1"/>
      <c r="E2995" s="1"/>
      <c r="F2995" s="1"/>
    </row>
    <row r="2996" spans="1:6" ht="12.5">
      <c r="A2996" s="1"/>
      <c r="B2996" s="1"/>
      <c r="C2996" s="1"/>
      <c r="D2996" s="1"/>
      <c r="E2996" s="1"/>
      <c r="F2996" s="1"/>
    </row>
    <row r="2997" spans="1:6" ht="12.5">
      <c r="A2997" s="1"/>
      <c r="B2997" s="1"/>
      <c r="C2997" s="1"/>
      <c r="D2997" s="1"/>
      <c r="E2997" s="1"/>
      <c r="F2997" s="1"/>
    </row>
    <row r="2998" spans="1:6" ht="12.5">
      <c r="A2998" s="1"/>
      <c r="B2998" s="1"/>
      <c r="C2998" s="1"/>
      <c r="D2998" s="1"/>
      <c r="E2998" s="1"/>
      <c r="F2998" s="1"/>
    </row>
    <row r="2999" spans="1:6" ht="12.5">
      <c r="A2999" s="1"/>
      <c r="B2999" s="1"/>
      <c r="C2999" s="1"/>
      <c r="D2999" s="1"/>
      <c r="E2999" s="1"/>
      <c r="F2999" s="1"/>
    </row>
    <row r="3000" spans="1:6" ht="12.5">
      <c r="A3000" s="1"/>
      <c r="B3000" s="1"/>
      <c r="C3000" s="1"/>
      <c r="D3000" s="1"/>
      <c r="E3000" s="1"/>
      <c r="F3000" s="1"/>
    </row>
    <row r="3001" spans="1:6" ht="12.5">
      <c r="A3001" s="1"/>
      <c r="B3001" s="1"/>
      <c r="C3001" s="1"/>
      <c r="D3001" s="1"/>
      <c r="E3001" s="1"/>
      <c r="F3001" s="1"/>
    </row>
    <row r="3002" spans="1:6" ht="12.5">
      <c r="A3002" s="1"/>
      <c r="B3002" s="1"/>
      <c r="C3002" s="1"/>
      <c r="D3002" s="1"/>
      <c r="E3002" s="1"/>
      <c r="F3002" s="1"/>
    </row>
    <row r="3003" spans="1:6" ht="12.5">
      <c r="A3003" s="1"/>
      <c r="B3003" s="1"/>
      <c r="C3003" s="1"/>
      <c r="D3003" s="1"/>
      <c r="E3003" s="1"/>
      <c r="F3003" s="1"/>
    </row>
    <row r="3004" spans="1:6" ht="12.5">
      <c r="A3004" s="1"/>
      <c r="B3004" s="1"/>
      <c r="C3004" s="1"/>
      <c r="D3004" s="1"/>
      <c r="E3004" s="1"/>
      <c r="F3004" s="1"/>
    </row>
    <row r="3005" spans="1:6" ht="12.5">
      <c r="A3005" s="1"/>
      <c r="B3005" s="1"/>
      <c r="C3005" s="1"/>
      <c r="D3005" s="1"/>
      <c r="E3005" s="1"/>
      <c r="F3005" s="1"/>
    </row>
    <row r="3006" spans="1:6" ht="12.5">
      <c r="A3006" s="1"/>
      <c r="B3006" s="1"/>
      <c r="C3006" s="1"/>
      <c r="D3006" s="1"/>
      <c r="E3006" s="1"/>
      <c r="F3006" s="1"/>
    </row>
    <row r="3007" spans="1:6" ht="12.5">
      <c r="A3007" s="1"/>
      <c r="B3007" s="1"/>
      <c r="C3007" s="1"/>
      <c r="D3007" s="1"/>
      <c r="E3007" s="1"/>
      <c r="F3007" s="1"/>
    </row>
    <row r="3008" spans="1:6" ht="12.5">
      <c r="A3008" s="1"/>
      <c r="B3008" s="1"/>
      <c r="C3008" s="1"/>
      <c r="D3008" s="1"/>
      <c r="E3008" s="1"/>
      <c r="F3008" s="1"/>
    </row>
    <row r="3009" spans="1:6" ht="12.5">
      <c r="A3009" s="1"/>
      <c r="B3009" s="1"/>
      <c r="C3009" s="1"/>
      <c r="D3009" s="1"/>
      <c r="E3009" s="1"/>
      <c r="F3009" s="1"/>
    </row>
    <row r="3010" spans="1:6" ht="12.5">
      <c r="A3010" s="1"/>
      <c r="B3010" s="1"/>
      <c r="C3010" s="1"/>
      <c r="D3010" s="1"/>
      <c r="E3010" s="1"/>
      <c r="F3010" s="1"/>
    </row>
    <row r="3011" spans="1:6" ht="12.5">
      <c r="A3011" s="1"/>
      <c r="B3011" s="1"/>
      <c r="C3011" s="1"/>
      <c r="D3011" s="1"/>
      <c r="E3011" s="1"/>
      <c r="F3011" s="1"/>
    </row>
    <row r="3012" spans="1:6" ht="12.5">
      <c r="A3012" s="1"/>
      <c r="B3012" s="1"/>
      <c r="C3012" s="1"/>
      <c r="D3012" s="1"/>
      <c r="E3012" s="1"/>
      <c r="F3012" s="1"/>
    </row>
    <row r="3013" spans="1:6" ht="12.5">
      <c r="A3013" s="1"/>
      <c r="B3013" s="1"/>
      <c r="C3013" s="1"/>
      <c r="D3013" s="1"/>
      <c r="E3013" s="1"/>
      <c r="F3013" s="1"/>
    </row>
    <row r="3014" spans="1:6" ht="12.5">
      <c r="A3014" s="1"/>
      <c r="B3014" s="1"/>
      <c r="C3014" s="1"/>
      <c r="D3014" s="1"/>
      <c r="E3014" s="1"/>
      <c r="F3014" s="1"/>
    </row>
    <row r="3015" spans="1:6" ht="12.5">
      <c r="A3015" s="1"/>
      <c r="B3015" s="1"/>
      <c r="C3015" s="1"/>
      <c r="D3015" s="1"/>
      <c r="E3015" s="1"/>
      <c r="F3015" s="1"/>
    </row>
    <row r="3016" spans="1:6" ht="12.5">
      <c r="A3016" s="1"/>
      <c r="B3016" s="1"/>
      <c r="C3016" s="1"/>
      <c r="D3016" s="1"/>
      <c r="E3016" s="1"/>
      <c r="F3016" s="1"/>
    </row>
    <row r="3017" spans="1:6" ht="12.5">
      <c r="A3017" s="1"/>
      <c r="B3017" s="1"/>
      <c r="C3017" s="1"/>
      <c r="D3017" s="1"/>
      <c r="E3017" s="1"/>
      <c r="F3017" s="1"/>
    </row>
    <row r="3018" spans="1:6" ht="12.5">
      <c r="A3018" s="1"/>
      <c r="B3018" s="1"/>
      <c r="C3018" s="1"/>
      <c r="D3018" s="1"/>
      <c r="E3018" s="1"/>
      <c r="F3018" s="1"/>
    </row>
    <row r="3019" spans="1:6" ht="12.5">
      <c r="A3019" s="1"/>
      <c r="B3019" s="1"/>
      <c r="C3019" s="1"/>
      <c r="D3019" s="1"/>
      <c r="E3019" s="1"/>
      <c r="F3019" s="1"/>
    </row>
    <row r="3020" spans="1:6" ht="12.5">
      <c r="A3020" s="1"/>
      <c r="B3020" s="1"/>
      <c r="C3020" s="1"/>
      <c r="D3020" s="1"/>
      <c r="E3020" s="1"/>
      <c r="F3020" s="1"/>
    </row>
    <row r="3021" spans="1:6" ht="12.5">
      <c r="A3021" s="1"/>
      <c r="B3021" s="1"/>
      <c r="C3021" s="1"/>
      <c r="D3021" s="1"/>
      <c r="E3021" s="1"/>
      <c r="F3021" s="1"/>
    </row>
    <row r="3022" spans="1:6" ht="12.5">
      <c r="A3022" s="1"/>
      <c r="B3022" s="1"/>
      <c r="C3022" s="1"/>
      <c r="D3022" s="1"/>
      <c r="E3022" s="1"/>
      <c r="F3022" s="1"/>
    </row>
    <row r="3023" spans="1:6" ht="12.5">
      <c r="A3023" s="1"/>
      <c r="B3023" s="1"/>
      <c r="C3023" s="1"/>
      <c r="D3023" s="1"/>
      <c r="E3023" s="1"/>
      <c r="F3023" s="1"/>
    </row>
    <row r="3024" spans="1:6" ht="12.5">
      <c r="A3024" s="1"/>
      <c r="B3024" s="1"/>
      <c r="C3024" s="1"/>
      <c r="D3024" s="1"/>
      <c r="E3024" s="1"/>
      <c r="F3024" s="1"/>
    </row>
    <row r="3025" spans="1:6" ht="12.5">
      <c r="A3025" s="1"/>
      <c r="B3025" s="1"/>
      <c r="C3025" s="1"/>
      <c r="D3025" s="1"/>
      <c r="E3025" s="1"/>
      <c r="F3025" s="1"/>
    </row>
    <row r="3026" spans="1:6" ht="12.5">
      <c r="A3026" s="1"/>
      <c r="B3026" s="1"/>
      <c r="C3026" s="1"/>
      <c r="D3026" s="1"/>
      <c r="E3026" s="1"/>
      <c r="F3026" s="1"/>
    </row>
    <row r="3027" spans="1:6" ht="12.5">
      <c r="A3027" s="1"/>
      <c r="B3027" s="1"/>
      <c r="C3027" s="1"/>
      <c r="D3027" s="1"/>
      <c r="E3027" s="1"/>
      <c r="F3027" s="1"/>
    </row>
    <row r="3028" spans="1:6" ht="12.5">
      <c r="A3028" s="1"/>
      <c r="B3028" s="1"/>
      <c r="C3028" s="1"/>
      <c r="D3028" s="1"/>
      <c r="E3028" s="1"/>
      <c r="F3028" s="1"/>
    </row>
    <row r="3029" spans="1:6" ht="12.5">
      <c r="A3029" s="1"/>
      <c r="B3029" s="1"/>
      <c r="C3029" s="1"/>
      <c r="D3029" s="1"/>
      <c r="E3029" s="1"/>
      <c r="F3029" s="1"/>
    </row>
    <row r="3030" spans="1:6" ht="12.5">
      <c r="A3030" s="1"/>
      <c r="B3030" s="1"/>
      <c r="C3030" s="1"/>
      <c r="D3030" s="1"/>
      <c r="E3030" s="1"/>
      <c r="F3030" s="1"/>
    </row>
    <row r="3031" spans="1:6" ht="12.5">
      <c r="A3031" s="1"/>
      <c r="B3031" s="1"/>
      <c r="C3031" s="1"/>
      <c r="D3031" s="1"/>
      <c r="E3031" s="1"/>
      <c r="F3031" s="1"/>
    </row>
    <row r="3032" spans="1:6" ht="12.5">
      <c r="A3032" s="1"/>
      <c r="B3032" s="1"/>
      <c r="C3032" s="1"/>
      <c r="D3032" s="1"/>
      <c r="E3032" s="1"/>
      <c r="F3032" s="1"/>
    </row>
    <row r="3033" spans="1:6" ht="12.5">
      <c r="A3033" s="1"/>
      <c r="B3033" s="1"/>
      <c r="C3033" s="1"/>
      <c r="D3033" s="1"/>
      <c r="E3033" s="1"/>
      <c r="F3033" s="1"/>
    </row>
    <row r="3034" spans="1:6" ht="12.5">
      <c r="A3034" s="1"/>
      <c r="B3034" s="1"/>
      <c r="C3034" s="1"/>
      <c r="D3034" s="1"/>
      <c r="E3034" s="1"/>
      <c r="F3034" s="1"/>
    </row>
    <row r="3035" spans="1:6" ht="12.5">
      <c r="A3035" s="1"/>
      <c r="B3035" s="1"/>
      <c r="C3035" s="1"/>
      <c r="D3035" s="1"/>
      <c r="E3035" s="1"/>
      <c r="F3035" s="1"/>
    </row>
    <row r="3036" spans="1:6" ht="12.5">
      <c r="A3036" s="1"/>
      <c r="B3036" s="1"/>
      <c r="C3036" s="1"/>
      <c r="D3036" s="1"/>
      <c r="E3036" s="1"/>
      <c r="F3036" s="1"/>
    </row>
    <row r="3037" spans="1:6" ht="12.5">
      <c r="A3037" s="1"/>
      <c r="B3037" s="1"/>
      <c r="C3037" s="1"/>
      <c r="D3037" s="1"/>
      <c r="E3037" s="1"/>
      <c r="F3037" s="1"/>
    </row>
    <row r="3038" spans="1:6" ht="12.5">
      <c r="A3038" s="1"/>
      <c r="B3038" s="1"/>
      <c r="C3038" s="1"/>
      <c r="D3038" s="1"/>
      <c r="E3038" s="1"/>
      <c r="F3038" s="1"/>
    </row>
    <row r="3039" spans="1:6" ht="12.5">
      <c r="A3039" s="1"/>
      <c r="B3039" s="1"/>
      <c r="C3039" s="1"/>
      <c r="D3039" s="1"/>
      <c r="E3039" s="1"/>
      <c r="F3039" s="1"/>
    </row>
    <row r="3040" spans="1:6" ht="12.5">
      <c r="A3040" s="1"/>
      <c r="B3040" s="1"/>
      <c r="C3040" s="1"/>
      <c r="D3040" s="1"/>
      <c r="E3040" s="1"/>
      <c r="F3040" s="1"/>
    </row>
    <row r="3041" spans="1:6" ht="12.5">
      <c r="A3041" s="1"/>
      <c r="B3041" s="1"/>
      <c r="C3041" s="1"/>
      <c r="D3041" s="1"/>
      <c r="E3041" s="1"/>
      <c r="F3041" s="1"/>
    </row>
    <row r="3042" spans="1:6" ht="12.5">
      <c r="A3042" s="1"/>
      <c r="B3042" s="1"/>
      <c r="C3042" s="1"/>
      <c r="D3042" s="1"/>
      <c r="E3042" s="1"/>
      <c r="F3042" s="1"/>
    </row>
    <row r="3043" spans="1:6" ht="12.5">
      <c r="A3043" s="1"/>
      <c r="B3043" s="1"/>
      <c r="C3043" s="1"/>
      <c r="D3043" s="1"/>
      <c r="E3043" s="1"/>
      <c r="F3043" s="1"/>
    </row>
    <row r="3044" spans="1:6" ht="12.5">
      <c r="A3044" s="1"/>
      <c r="B3044" s="1"/>
      <c r="C3044" s="1"/>
      <c r="D3044" s="1"/>
      <c r="E3044" s="1"/>
      <c r="F3044" s="1"/>
    </row>
    <row r="3045" spans="1:6" ht="12.5">
      <c r="A3045" s="1"/>
      <c r="B3045" s="1"/>
      <c r="C3045" s="1"/>
      <c r="D3045" s="1"/>
      <c r="E3045" s="1"/>
      <c r="F3045" s="1"/>
    </row>
    <row r="3046" spans="1:6" ht="12.5">
      <c r="A3046" s="1"/>
      <c r="B3046" s="1"/>
      <c r="C3046" s="1"/>
      <c r="D3046" s="1"/>
      <c r="E3046" s="1"/>
      <c r="F3046" s="1"/>
    </row>
    <row r="3047" spans="1:6" ht="12.5">
      <c r="A3047" s="1"/>
      <c r="B3047" s="1"/>
      <c r="C3047" s="1"/>
      <c r="D3047" s="1"/>
      <c r="E3047" s="1"/>
      <c r="F3047" s="1"/>
    </row>
    <row r="3048" spans="1:6" ht="12.5">
      <c r="A3048" s="1"/>
      <c r="B3048" s="1"/>
      <c r="C3048" s="1"/>
      <c r="D3048" s="1"/>
      <c r="E3048" s="1"/>
      <c r="F3048" s="1"/>
    </row>
    <row r="3049" spans="1:6" ht="12.5">
      <c r="A3049" s="1"/>
      <c r="B3049" s="1"/>
      <c r="C3049" s="1"/>
      <c r="D3049" s="1"/>
      <c r="E3049" s="1"/>
      <c r="F3049" s="1"/>
    </row>
    <row r="3050" spans="1:6" ht="12.5">
      <c r="A3050" s="1"/>
      <c r="B3050" s="1"/>
      <c r="C3050" s="1"/>
      <c r="D3050" s="1"/>
      <c r="E3050" s="1"/>
      <c r="F3050" s="1"/>
    </row>
    <row r="3051" spans="1:6" ht="12.5">
      <c r="A3051" s="1"/>
      <c r="B3051" s="1"/>
      <c r="C3051" s="1"/>
      <c r="D3051" s="1"/>
      <c r="E3051" s="1"/>
      <c r="F3051" s="1"/>
    </row>
    <row r="3052" spans="1:6" ht="12.5">
      <c r="A3052" s="1"/>
      <c r="B3052" s="1"/>
      <c r="C3052" s="1"/>
      <c r="D3052" s="1"/>
      <c r="E3052" s="1"/>
      <c r="F3052" s="1"/>
    </row>
    <row r="3053" spans="1:6" ht="12.5">
      <c r="A3053" s="1"/>
      <c r="B3053" s="1"/>
      <c r="C3053" s="1"/>
      <c r="D3053" s="1"/>
      <c r="E3053" s="1"/>
      <c r="F3053" s="1"/>
    </row>
    <row r="3054" spans="1:6" ht="12.5">
      <c r="A3054" s="1"/>
      <c r="B3054" s="1"/>
      <c r="C3054" s="1"/>
      <c r="D3054" s="1"/>
      <c r="E3054" s="1"/>
      <c r="F3054" s="1"/>
    </row>
    <row r="3055" spans="1:6" ht="12.5">
      <c r="A3055" s="1"/>
      <c r="B3055" s="1"/>
      <c r="C3055" s="1"/>
      <c r="D3055" s="1"/>
      <c r="E3055" s="1"/>
      <c r="F3055" s="1"/>
    </row>
    <row r="3056" spans="1:6" ht="12.5">
      <c r="A3056" s="1"/>
      <c r="B3056" s="1"/>
      <c r="C3056" s="1"/>
      <c r="D3056" s="1"/>
      <c r="E3056" s="1"/>
      <c r="F3056" s="1"/>
    </row>
    <row r="3057" spans="1:6" ht="12.5">
      <c r="A3057" s="1"/>
      <c r="B3057" s="1"/>
      <c r="C3057" s="1"/>
      <c r="D3057" s="1"/>
      <c r="E3057" s="1"/>
      <c r="F3057" s="1"/>
    </row>
    <row r="3058" spans="1:6" ht="12.5">
      <c r="A3058" s="1"/>
      <c r="B3058" s="1"/>
      <c r="C3058" s="1"/>
      <c r="D3058" s="1"/>
      <c r="E3058" s="1"/>
      <c r="F3058" s="1"/>
    </row>
    <row r="3059" spans="1:6" ht="12.5">
      <c r="A3059" s="1"/>
      <c r="B3059" s="1"/>
      <c r="C3059" s="1"/>
      <c r="D3059" s="1"/>
      <c r="E3059" s="1"/>
      <c r="F3059" s="1"/>
    </row>
    <row r="3060" spans="1:6" ht="12.5">
      <c r="A3060" s="1"/>
      <c r="B3060" s="1"/>
      <c r="C3060" s="1"/>
      <c r="D3060" s="1"/>
      <c r="E3060" s="1"/>
      <c r="F3060" s="1"/>
    </row>
    <row r="3061" spans="1:6" ht="12.5">
      <c r="A3061" s="1"/>
      <c r="B3061" s="1"/>
      <c r="C3061" s="1"/>
      <c r="D3061" s="1"/>
      <c r="E3061" s="1"/>
      <c r="F3061" s="1"/>
    </row>
    <row r="3062" spans="1:6" ht="12.5">
      <c r="A3062" s="1"/>
      <c r="B3062" s="1"/>
      <c r="C3062" s="1"/>
      <c r="D3062" s="1"/>
      <c r="E3062" s="1"/>
      <c r="F3062" s="1"/>
    </row>
    <row r="3063" spans="1:6" ht="12.5">
      <c r="A3063" s="1"/>
      <c r="B3063" s="1"/>
      <c r="C3063" s="1"/>
      <c r="D3063" s="1"/>
      <c r="E3063" s="1"/>
      <c r="F3063" s="1"/>
    </row>
    <row r="3064" spans="1:6" ht="12.5">
      <c r="A3064" s="1"/>
      <c r="B3064" s="1"/>
      <c r="C3064" s="1"/>
      <c r="D3064" s="1"/>
      <c r="E3064" s="1"/>
      <c r="F3064" s="1"/>
    </row>
    <row r="3065" spans="1:6" ht="12.5">
      <c r="A3065" s="1"/>
      <c r="B3065" s="1"/>
      <c r="C3065" s="1"/>
      <c r="D3065" s="1"/>
      <c r="E3065" s="1"/>
      <c r="F3065" s="1"/>
    </row>
    <row r="3066" spans="1:6" ht="12.5">
      <c r="A3066" s="1"/>
      <c r="B3066" s="1"/>
      <c r="C3066" s="1"/>
      <c r="D3066" s="1"/>
      <c r="E3066" s="1"/>
      <c r="F3066" s="1"/>
    </row>
    <row r="3067" spans="1:6" ht="12.5">
      <c r="A3067" s="1"/>
      <c r="B3067" s="1"/>
      <c r="C3067" s="1"/>
      <c r="D3067" s="1"/>
      <c r="E3067" s="1"/>
      <c r="F3067" s="1"/>
    </row>
    <row r="3068" spans="1:6" ht="12.5">
      <c r="A3068" s="1"/>
      <c r="B3068" s="1"/>
      <c r="C3068" s="1"/>
      <c r="D3068" s="1"/>
      <c r="E3068" s="1"/>
      <c r="F3068" s="1"/>
    </row>
    <row r="3069" spans="1:6" ht="12.5">
      <c r="A3069" s="1"/>
      <c r="B3069" s="1"/>
      <c r="C3069" s="1"/>
      <c r="D3069" s="1"/>
      <c r="E3069" s="1"/>
      <c r="F3069" s="1"/>
    </row>
    <row r="3070" spans="1:6" ht="12.5">
      <c r="A3070" s="1"/>
      <c r="B3070" s="1"/>
      <c r="C3070" s="1"/>
      <c r="D3070" s="1"/>
      <c r="E3070" s="1"/>
      <c r="F3070" s="1"/>
    </row>
    <row r="3071" spans="1:6" ht="12.5">
      <c r="A3071" s="1"/>
      <c r="B3071" s="1"/>
      <c r="C3071" s="1"/>
      <c r="D3071" s="1"/>
      <c r="E3071" s="1"/>
      <c r="F3071" s="1"/>
    </row>
    <row r="3072" spans="1:6" ht="12.5">
      <c r="A3072" s="1"/>
      <c r="B3072" s="1"/>
      <c r="C3072" s="1"/>
      <c r="D3072" s="1"/>
      <c r="E3072" s="1"/>
      <c r="F3072" s="1"/>
    </row>
    <row r="3073" spans="1:6" ht="12.5">
      <c r="A3073" s="1"/>
      <c r="B3073" s="1"/>
      <c r="C3073" s="1"/>
      <c r="D3073" s="1"/>
      <c r="E3073" s="1"/>
      <c r="F3073" s="1"/>
    </row>
    <row r="3074" spans="1:6" ht="12.5">
      <c r="A3074" s="1"/>
      <c r="B3074" s="1"/>
      <c r="C3074" s="1"/>
      <c r="D3074" s="1"/>
      <c r="E3074" s="1"/>
      <c r="F3074" s="1"/>
    </row>
    <row r="3075" spans="1:6" ht="12.5">
      <c r="A3075" s="1"/>
      <c r="B3075" s="1"/>
      <c r="C3075" s="1"/>
      <c r="D3075" s="1"/>
      <c r="E3075" s="1"/>
      <c r="F3075" s="1"/>
    </row>
    <row r="3076" spans="1:6" ht="12.5">
      <c r="A3076" s="1"/>
      <c r="B3076" s="1"/>
      <c r="C3076" s="1"/>
      <c r="D3076" s="1"/>
      <c r="E3076" s="1"/>
      <c r="F3076" s="1"/>
    </row>
    <row r="3077" spans="1:6" ht="12.5">
      <c r="A3077" s="1"/>
      <c r="B3077" s="1"/>
      <c r="C3077" s="1"/>
      <c r="D3077" s="1"/>
      <c r="E3077" s="1"/>
      <c r="F3077" s="1"/>
    </row>
    <row r="3078" spans="1:6" ht="12.5">
      <c r="A3078" s="1"/>
      <c r="B3078" s="1"/>
      <c r="C3078" s="1"/>
      <c r="D3078" s="1"/>
      <c r="E3078" s="1"/>
      <c r="F3078" s="1"/>
    </row>
    <row r="3079" spans="1:6" ht="12.5">
      <c r="A3079" s="1"/>
      <c r="B3079" s="1"/>
      <c r="C3079" s="1"/>
      <c r="D3079" s="1"/>
      <c r="E3079" s="1"/>
      <c r="F3079" s="1"/>
    </row>
    <row r="3080" spans="1:6" ht="12.5">
      <c r="A3080" s="1"/>
      <c r="B3080" s="1"/>
      <c r="C3080" s="1"/>
      <c r="D3080" s="1"/>
      <c r="E3080" s="1"/>
      <c r="F3080" s="1"/>
    </row>
    <row r="3081" spans="1:6" ht="12.5">
      <c r="A3081" s="1"/>
      <c r="B3081" s="1"/>
      <c r="C3081" s="1"/>
      <c r="D3081" s="1"/>
      <c r="E3081" s="1"/>
      <c r="F3081" s="1"/>
    </row>
    <row r="3082" spans="1:6" ht="12.5">
      <c r="A3082" s="1"/>
      <c r="B3082" s="1"/>
      <c r="C3082" s="1"/>
      <c r="D3082" s="1"/>
      <c r="E3082" s="1"/>
      <c r="F3082" s="1"/>
    </row>
    <row r="3083" spans="1:6" ht="12.5">
      <c r="A3083" s="1"/>
      <c r="B3083" s="1"/>
      <c r="C3083" s="1"/>
      <c r="D3083" s="1"/>
      <c r="E3083" s="1"/>
      <c r="F3083" s="1"/>
    </row>
    <row r="3084" spans="1:6" ht="12.5">
      <c r="A3084" s="1"/>
      <c r="B3084" s="1"/>
      <c r="C3084" s="1"/>
      <c r="D3084" s="1"/>
      <c r="E3084" s="1"/>
      <c r="F3084" s="1"/>
    </row>
    <row r="3085" spans="1:6" ht="12.5">
      <c r="A3085" s="1"/>
      <c r="B3085" s="1"/>
      <c r="C3085" s="1"/>
      <c r="D3085" s="1"/>
      <c r="E3085" s="1"/>
      <c r="F3085" s="1"/>
    </row>
    <row r="3086" spans="1:6" ht="12.5">
      <c r="A3086" s="1"/>
      <c r="B3086" s="1"/>
      <c r="C3086" s="1"/>
      <c r="D3086" s="1"/>
      <c r="E3086" s="1"/>
      <c r="F3086" s="1"/>
    </row>
    <row r="3087" spans="1:6" ht="12.5">
      <c r="A3087" s="1"/>
      <c r="B3087" s="1"/>
      <c r="C3087" s="1"/>
      <c r="D3087" s="1"/>
      <c r="E3087" s="1"/>
      <c r="F3087" s="1"/>
    </row>
    <row r="3088" spans="1:6" ht="12.5">
      <c r="A3088" s="1"/>
      <c r="B3088" s="1"/>
      <c r="C3088" s="1"/>
      <c r="D3088" s="1"/>
      <c r="E3088" s="1"/>
      <c r="F3088" s="1"/>
    </row>
    <row r="3089" spans="1:6" ht="12.5">
      <c r="A3089" s="1"/>
      <c r="B3089" s="1"/>
      <c r="C3089" s="1"/>
      <c r="D3089" s="1"/>
      <c r="E3089" s="1"/>
      <c r="F3089" s="1"/>
    </row>
    <row r="3090" spans="1:6" ht="12.5">
      <c r="A3090" s="1"/>
      <c r="B3090" s="1"/>
      <c r="C3090" s="1"/>
      <c r="D3090" s="1"/>
      <c r="E3090" s="1"/>
      <c r="F3090" s="1"/>
    </row>
    <row r="3091" spans="1:6" ht="12.5">
      <c r="A3091" s="1"/>
      <c r="B3091" s="1"/>
      <c r="C3091" s="1"/>
      <c r="D3091" s="1"/>
      <c r="E3091" s="1"/>
      <c r="F3091" s="1"/>
    </row>
    <row r="3092" spans="1:6" ht="12.5">
      <c r="A3092" s="1"/>
      <c r="B3092" s="1"/>
      <c r="C3092" s="1"/>
      <c r="D3092" s="1"/>
      <c r="E3092" s="1"/>
      <c r="F3092" s="1"/>
    </row>
    <row r="3093" spans="1:6" ht="12.5">
      <c r="A3093" s="1"/>
      <c r="B3093" s="1"/>
      <c r="C3093" s="1"/>
      <c r="D3093" s="1"/>
      <c r="E3093" s="1"/>
      <c r="F3093" s="1"/>
    </row>
    <row r="3094" spans="1:6" ht="12.5">
      <c r="A3094" s="1"/>
      <c r="B3094" s="1"/>
      <c r="C3094" s="1"/>
      <c r="D3094" s="1"/>
      <c r="E3094" s="1"/>
      <c r="F3094" s="1"/>
    </row>
    <row r="3095" spans="1:6" ht="12.5">
      <c r="A3095" s="1"/>
      <c r="B3095" s="1"/>
      <c r="C3095" s="1"/>
      <c r="D3095" s="1"/>
      <c r="E3095" s="1"/>
      <c r="F3095" s="1"/>
    </row>
    <row r="3096" spans="1:6" ht="12.5">
      <c r="A3096" s="1"/>
      <c r="B3096" s="1"/>
      <c r="C3096" s="1"/>
      <c r="D3096" s="1"/>
      <c r="E3096" s="1"/>
      <c r="F3096" s="1"/>
    </row>
    <row r="3097" spans="1:6" ht="12.5">
      <c r="A3097" s="1"/>
      <c r="B3097" s="1"/>
      <c r="C3097" s="1"/>
      <c r="D3097" s="1"/>
      <c r="E3097" s="1"/>
      <c r="F3097" s="1"/>
    </row>
    <row r="3098" spans="1:6" ht="12.5">
      <c r="A3098" s="1"/>
      <c r="B3098" s="1"/>
      <c r="C3098" s="1"/>
      <c r="D3098" s="1"/>
      <c r="E3098" s="1"/>
      <c r="F3098" s="1"/>
    </row>
    <row r="3099" spans="1:6" ht="12.5">
      <c r="A3099" s="1"/>
      <c r="B3099" s="1"/>
      <c r="C3099" s="1"/>
      <c r="D3099" s="1"/>
      <c r="E3099" s="1"/>
      <c r="F3099" s="1"/>
    </row>
    <row r="3100" spans="1:6" ht="12.5">
      <c r="A3100" s="1"/>
      <c r="B3100" s="1"/>
      <c r="C3100" s="1"/>
      <c r="D3100" s="1"/>
      <c r="E3100" s="1"/>
      <c r="F3100" s="1"/>
    </row>
    <row r="3101" spans="1:6" ht="12.5">
      <c r="A3101" s="1"/>
      <c r="B3101" s="1"/>
      <c r="C3101" s="1"/>
      <c r="D3101" s="1"/>
      <c r="E3101" s="1"/>
      <c r="F3101" s="1"/>
    </row>
    <row r="3102" spans="1:6" ht="12.5">
      <c r="A3102" s="1"/>
      <c r="B3102" s="1"/>
      <c r="C3102" s="1"/>
      <c r="D3102" s="1"/>
      <c r="E3102" s="1"/>
      <c r="F3102" s="1"/>
    </row>
    <row r="3103" spans="1:6" ht="12.5">
      <c r="A3103" s="1"/>
      <c r="B3103" s="1"/>
      <c r="C3103" s="1"/>
      <c r="D3103" s="1"/>
      <c r="E3103" s="1"/>
      <c r="F3103" s="1"/>
    </row>
    <row r="3104" spans="1:6" ht="12.5">
      <c r="A3104" s="1"/>
      <c r="B3104" s="1"/>
      <c r="C3104" s="1"/>
      <c r="D3104" s="1"/>
      <c r="E3104" s="1"/>
      <c r="F3104" s="1"/>
    </row>
    <row r="3105" spans="1:6" ht="12.5">
      <c r="A3105" s="1"/>
      <c r="B3105" s="1"/>
      <c r="C3105" s="1"/>
      <c r="D3105" s="1"/>
      <c r="E3105" s="1"/>
      <c r="F3105" s="1"/>
    </row>
    <row r="3106" spans="1:6" ht="12.5">
      <c r="A3106" s="1"/>
      <c r="B3106" s="1"/>
      <c r="C3106" s="1"/>
      <c r="D3106" s="1"/>
      <c r="E3106" s="1"/>
      <c r="F3106" s="1"/>
    </row>
    <row r="3107" spans="1:6" ht="12.5">
      <c r="A3107" s="1"/>
      <c r="B3107" s="1"/>
      <c r="C3107" s="1"/>
      <c r="D3107" s="1"/>
      <c r="E3107" s="1"/>
      <c r="F3107" s="1"/>
    </row>
    <row r="3108" spans="1:6" ht="12.5">
      <c r="A3108" s="1"/>
      <c r="B3108" s="1"/>
      <c r="C3108" s="1"/>
      <c r="D3108" s="1"/>
      <c r="E3108" s="1"/>
      <c r="F3108" s="1"/>
    </row>
    <row r="3109" spans="1:6" ht="12.5">
      <c r="A3109" s="1"/>
      <c r="B3109" s="1"/>
      <c r="C3109" s="1"/>
      <c r="D3109" s="1"/>
      <c r="E3109" s="1"/>
      <c r="F3109" s="1"/>
    </row>
    <row r="3110" spans="1:6" ht="12.5">
      <c r="A3110" s="1"/>
      <c r="B3110" s="1"/>
      <c r="C3110" s="1"/>
      <c r="D3110" s="1"/>
      <c r="E3110" s="1"/>
      <c r="F3110" s="1"/>
    </row>
    <row r="3111" spans="1:6" ht="12.5">
      <c r="A3111" s="1"/>
      <c r="B3111" s="1"/>
      <c r="C3111" s="1"/>
      <c r="D3111" s="1"/>
      <c r="E3111" s="1"/>
      <c r="F3111" s="1"/>
    </row>
    <row r="3112" spans="1:6" ht="12.5">
      <c r="A3112" s="1"/>
      <c r="B3112" s="1"/>
      <c r="C3112" s="1"/>
      <c r="D3112" s="1"/>
      <c r="E3112" s="1"/>
      <c r="F3112" s="1"/>
    </row>
    <row r="3113" spans="1:6" ht="12.5">
      <c r="A3113" s="1"/>
      <c r="B3113" s="1"/>
      <c r="C3113" s="1"/>
      <c r="D3113" s="1"/>
      <c r="E3113" s="1"/>
      <c r="F3113" s="1"/>
    </row>
    <row r="3114" spans="1:6" ht="12.5">
      <c r="A3114" s="1"/>
      <c r="B3114" s="1"/>
      <c r="C3114" s="1"/>
      <c r="D3114" s="1"/>
      <c r="E3114" s="1"/>
      <c r="F3114" s="1"/>
    </row>
    <row r="3115" spans="1:6" ht="12.5">
      <c r="A3115" s="1"/>
      <c r="B3115" s="1"/>
      <c r="C3115" s="1"/>
      <c r="D3115" s="1"/>
      <c r="E3115" s="1"/>
      <c r="F3115" s="1"/>
    </row>
    <row r="3116" spans="1:6" ht="12.5">
      <c r="A3116" s="1"/>
      <c r="B3116" s="1"/>
      <c r="C3116" s="1"/>
      <c r="D3116" s="1"/>
      <c r="E3116" s="1"/>
      <c r="F3116" s="1"/>
    </row>
    <row r="3117" spans="1:6" ht="12.5">
      <c r="A3117" s="1"/>
      <c r="B3117" s="1"/>
      <c r="C3117" s="1"/>
      <c r="D3117" s="1"/>
      <c r="E3117" s="1"/>
      <c r="F3117" s="1"/>
    </row>
    <row r="3118" spans="1:6" ht="12.5">
      <c r="A3118" s="1"/>
      <c r="B3118" s="1"/>
      <c r="C3118" s="1"/>
      <c r="D3118" s="1"/>
      <c r="E3118" s="1"/>
      <c r="F3118" s="1"/>
    </row>
    <row r="3119" spans="1:6" ht="12.5">
      <c r="A3119" s="1"/>
      <c r="B3119" s="1"/>
      <c r="C3119" s="1"/>
      <c r="D3119" s="1"/>
      <c r="E3119" s="1"/>
      <c r="F3119" s="1"/>
    </row>
    <row r="3120" spans="1:6" ht="12.5">
      <c r="A3120" s="1"/>
      <c r="B3120" s="1"/>
      <c r="C3120" s="1"/>
      <c r="D3120" s="1"/>
      <c r="E3120" s="1"/>
      <c r="F3120" s="1"/>
    </row>
    <row r="3121" spans="1:6" ht="12.5">
      <c r="A3121" s="1"/>
      <c r="B3121" s="1"/>
      <c r="C3121" s="1"/>
      <c r="D3121" s="1"/>
      <c r="E3121" s="1"/>
      <c r="F3121" s="1"/>
    </row>
    <row r="3122" spans="1:6" ht="12.5">
      <c r="A3122" s="1"/>
      <c r="B3122" s="1"/>
      <c r="C3122" s="1"/>
      <c r="D3122" s="1"/>
      <c r="E3122" s="1"/>
      <c r="F3122" s="1"/>
    </row>
    <row r="3123" spans="1:6" ht="12.5">
      <c r="A3123" s="1"/>
      <c r="B3123" s="1"/>
      <c r="C3123" s="1"/>
      <c r="D3123" s="1"/>
      <c r="E3123" s="1"/>
      <c r="F3123" s="1"/>
    </row>
    <row r="3124" spans="1:6" ht="12.5">
      <c r="A3124" s="1"/>
      <c r="B3124" s="1"/>
      <c r="C3124" s="1"/>
      <c r="D3124" s="1"/>
      <c r="E3124" s="1"/>
      <c r="F3124" s="1"/>
    </row>
    <row r="3125" spans="1:6" ht="12.5">
      <c r="A3125" s="1"/>
      <c r="B3125" s="1"/>
      <c r="C3125" s="1"/>
      <c r="D3125" s="1"/>
      <c r="E3125" s="1"/>
      <c r="F3125" s="1"/>
    </row>
    <row r="3126" spans="1:6" ht="12.5">
      <c r="A3126" s="1"/>
      <c r="B3126" s="1"/>
      <c r="C3126" s="1"/>
      <c r="D3126" s="1"/>
      <c r="E3126" s="1"/>
      <c r="F3126" s="1"/>
    </row>
    <row r="3127" spans="1:6" ht="12.5">
      <c r="A3127" s="1"/>
      <c r="B3127" s="1"/>
      <c r="C3127" s="1"/>
      <c r="D3127" s="1"/>
      <c r="E3127" s="1"/>
      <c r="F3127" s="1"/>
    </row>
    <row r="3128" spans="1:6" ht="12.5">
      <c r="A3128" s="1"/>
      <c r="B3128" s="1"/>
      <c r="C3128" s="1"/>
      <c r="D3128" s="1"/>
      <c r="E3128" s="1"/>
      <c r="F3128" s="1"/>
    </row>
    <row r="3129" spans="1:6" ht="12.5">
      <c r="A3129" s="1"/>
      <c r="B3129" s="1"/>
      <c r="C3129" s="1"/>
      <c r="D3129" s="1"/>
      <c r="E3129" s="1"/>
      <c r="F3129" s="1"/>
    </row>
    <row r="3130" spans="1:6" ht="12.5">
      <c r="A3130" s="1"/>
      <c r="B3130" s="1"/>
      <c r="C3130" s="1"/>
      <c r="D3130" s="1"/>
      <c r="E3130" s="1"/>
      <c r="F3130" s="1"/>
    </row>
    <row r="3131" spans="1:6" ht="12.5">
      <c r="A3131" s="1"/>
      <c r="B3131" s="1"/>
      <c r="C3131" s="1"/>
      <c r="D3131" s="1"/>
      <c r="E3131" s="1"/>
      <c r="F3131" s="1"/>
    </row>
    <row r="3132" spans="1:6" ht="12.5">
      <c r="A3132" s="1"/>
      <c r="B3132" s="1"/>
      <c r="C3132" s="1"/>
      <c r="D3132" s="1"/>
      <c r="E3132" s="1"/>
      <c r="F3132" s="1"/>
    </row>
    <row r="3133" spans="1:6" ht="12.5">
      <c r="A3133" s="1"/>
      <c r="B3133" s="1"/>
      <c r="C3133" s="1"/>
      <c r="D3133" s="1"/>
      <c r="E3133" s="1"/>
      <c r="F3133" s="1"/>
    </row>
    <row r="3134" spans="1:6" ht="12.5">
      <c r="A3134" s="1"/>
      <c r="B3134" s="1"/>
      <c r="C3134" s="1"/>
      <c r="D3134" s="1"/>
      <c r="E3134" s="1"/>
      <c r="F3134" s="1"/>
    </row>
    <row r="3135" spans="1:6" ht="12.5">
      <c r="A3135" s="1"/>
      <c r="B3135" s="1"/>
      <c r="C3135" s="1"/>
      <c r="D3135" s="1"/>
      <c r="E3135" s="1"/>
      <c r="F3135" s="1"/>
    </row>
    <row r="3136" spans="1:6" ht="12.5">
      <c r="A3136" s="1"/>
      <c r="B3136" s="1"/>
      <c r="C3136" s="1"/>
      <c r="D3136" s="1"/>
      <c r="E3136" s="1"/>
      <c r="F3136" s="1"/>
    </row>
    <row r="3137" spans="1:6" ht="12.5">
      <c r="A3137" s="1"/>
      <c r="B3137" s="1"/>
      <c r="C3137" s="1"/>
      <c r="D3137" s="1"/>
      <c r="E3137" s="1"/>
      <c r="F3137" s="1"/>
    </row>
    <row r="3138" spans="1:6" ht="12.5">
      <c r="A3138" s="1"/>
      <c r="B3138" s="1"/>
      <c r="C3138" s="1"/>
      <c r="D3138" s="1"/>
      <c r="E3138" s="1"/>
      <c r="F3138" s="1"/>
    </row>
    <row r="3139" spans="1:6" ht="12.5">
      <c r="A3139" s="1"/>
      <c r="B3139" s="1"/>
      <c r="C3139" s="1"/>
      <c r="D3139" s="1"/>
      <c r="E3139" s="1"/>
      <c r="F3139" s="1"/>
    </row>
    <row r="3140" spans="1:6" ht="12.5">
      <c r="A3140" s="1"/>
      <c r="B3140" s="1"/>
      <c r="C3140" s="1"/>
      <c r="D3140" s="1"/>
      <c r="E3140" s="1"/>
      <c r="F3140" s="1"/>
    </row>
    <row r="3141" spans="1:6" ht="12.5">
      <c r="A3141" s="1"/>
      <c r="B3141" s="1"/>
      <c r="C3141" s="1"/>
      <c r="D3141" s="1"/>
      <c r="E3141" s="1"/>
      <c r="F3141" s="1"/>
    </row>
    <row r="3142" spans="1:6" ht="12.5">
      <c r="A3142" s="1"/>
      <c r="B3142" s="1"/>
      <c r="C3142" s="1"/>
      <c r="D3142" s="1"/>
      <c r="E3142" s="1"/>
      <c r="F3142" s="1"/>
    </row>
    <row r="3143" spans="1:6" ht="12.5">
      <c r="A3143" s="1"/>
      <c r="B3143" s="1"/>
      <c r="C3143" s="1"/>
      <c r="D3143" s="1"/>
      <c r="E3143" s="1"/>
      <c r="F3143" s="1"/>
    </row>
    <row r="3144" spans="1:6" ht="12.5">
      <c r="A3144" s="1"/>
      <c r="B3144" s="1"/>
      <c r="C3144" s="1"/>
      <c r="D3144" s="1"/>
      <c r="E3144" s="1"/>
      <c r="F3144" s="1"/>
    </row>
    <row r="3145" spans="1:6" ht="12.5">
      <c r="A3145" s="1"/>
      <c r="B3145" s="1"/>
      <c r="C3145" s="1"/>
      <c r="D3145" s="1"/>
      <c r="E3145" s="1"/>
      <c r="F3145" s="1"/>
    </row>
    <row r="3146" spans="1:6" ht="12.5">
      <c r="A3146" s="1"/>
      <c r="B3146" s="1"/>
      <c r="C3146" s="1"/>
      <c r="D3146" s="1"/>
      <c r="E3146" s="1"/>
      <c r="F3146" s="1"/>
    </row>
    <row r="3147" spans="1:6" ht="12.5">
      <c r="A3147" s="1"/>
      <c r="B3147" s="1"/>
      <c r="C3147" s="1"/>
      <c r="D3147" s="1"/>
      <c r="E3147" s="1"/>
      <c r="F3147" s="1"/>
    </row>
    <row r="3148" spans="1:6" ht="12.5">
      <c r="A3148" s="1"/>
      <c r="B3148" s="1"/>
      <c r="C3148" s="1"/>
      <c r="D3148" s="1"/>
      <c r="E3148" s="1"/>
      <c r="F3148" s="1"/>
    </row>
    <row r="3149" spans="1:6" ht="12.5">
      <c r="A3149" s="1"/>
      <c r="B3149" s="1"/>
      <c r="C3149" s="1"/>
      <c r="D3149" s="1"/>
      <c r="E3149" s="1"/>
      <c r="F3149" s="1"/>
    </row>
    <row r="3150" spans="1:6" ht="12.5">
      <c r="A3150" s="1"/>
      <c r="B3150" s="1"/>
      <c r="C3150" s="1"/>
      <c r="D3150" s="1"/>
      <c r="E3150" s="1"/>
      <c r="F3150" s="1"/>
    </row>
    <row r="3151" spans="1:6" ht="12.5">
      <c r="A3151" s="1"/>
      <c r="B3151" s="1"/>
      <c r="C3151" s="1"/>
      <c r="D3151" s="1"/>
      <c r="E3151" s="1"/>
      <c r="F3151" s="1"/>
    </row>
    <row r="3152" spans="1:6" ht="12.5">
      <c r="A3152" s="1"/>
      <c r="B3152" s="1"/>
      <c r="C3152" s="1"/>
      <c r="D3152" s="1"/>
      <c r="E3152" s="1"/>
      <c r="F3152" s="1"/>
    </row>
    <row r="3153" spans="1:6" ht="12.5">
      <c r="A3153" s="1"/>
      <c r="B3153" s="1"/>
      <c r="C3153" s="1"/>
      <c r="D3153" s="1"/>
      <c r="E3153" s="1"/>
      <c r="F3153" s="1"/>
    </row>
    <row r="3154" spans="1:6" ht="12.5">
      <c r="A3154" s="1"/>
      <c r="B3154" s="1"/>
      <c r="C3154" s="1"/>
      <c r="D3154" s="1"/>
      <c r="E3154" s="1"/>
      <c r="F3154" s="1"/>
    </row>
    <row r="3155" spans="1:6" ht="12.5">
      <c r="A3155" s="1"/>
      <c r="B3155" s="1"/>
      <c r="C3155" s="1"/>
      <c r="D3155" s="1"/>
      <c r="E3155" s="1"/>
      <c r="F3155" s="1"/>
    </row>
    <row r="3156" spans="1:6" ht="12.5">
      <c r="A3156" s="1"/>
      <c r="B3156" s="1"/>
      <c r="C3156" s="1"/>
      <c r="D3156" s="1"/>
      <c r="E3156" s="1"/>
      <c r="F3156" s="1"/>
    </row>
    <row r="3157" spans="1:6" ht="12.5">
      <c r="A3157" s="1"/>
      <c r="B3157" s="1"/>
      <c r="C3157" s="1"/>
      <c r="D3157" s="1"/>
      <c r="E3157" s="1"/>
      <c r="F3157" s="1"/>
    </row>
    <row r="3158" spans="1:6" ht="12.5">
      <c r="A3158" s="1"/>
      <c r="B3158" s="1"/>
      <c r="C3158" s="1"/>
      <c r="D3158" s="1"/>
      <c r="E3158" s="1"/>
      <c r="F3158" s="1"/>
    </row>
    <row r="3159" spans="1:6" ht="12.5">
      <c r="A3159" s="1"/>
      <c r="B3159" s="1"/>
      <c r="C3159" s="1"/>
      <c r="D3159" s="1"/>
      <c r="E3159" s="1"/>
      <c r="F3159" s="1"/>
    </row>
    <row r="3160" spans="1:6" ht="12.5">
      <c r="A3160" s="1"/>
      <c r="B3160" s="1"/>
      <c r="C3160" s="1"/>
      <c r="D3160" s="1"/>
      <c r="E3160" s="1"/>
      <c r="F3160" s="1"/>
    </row>
    <row r="3161" spans="1:6" ht="12.5">
      <c r="A3161" s="1"/>
      <c r="B3161" s="1"/>
      <c r="C3161" s="1"/>
      <c r="D3161" s="1"/>
      <c r="E3161" s="1"/>
      <c r="F3161" s="1"/>
    </row>
    <row r="3162" spans="1:6" ht="12.5">
      <c r="A3162" s="1"/>
      <c r="B3162" s="1"/>
      <c r="C3162" s="1"/>
      <c r="D3162" s="1"/>
      <c r="E3162" s="1"/>
      <c r="F3162" s="1"/>
    </row>
    <row r="3163" spans="1:6" ht="12.5">
      <c r="A3163" s="1"/>
      <c r="B3163" s="1"/>
      <c r="C3163" s="1"/>
      <c r="D3163" s="1"/>
      <c r="E3163" s="1"/>
      <c r="F3163" s="1"/>
    </row>
    <row r="3164" spans="1:6" ht="12.5">
      <c r="A3164" s="1"/>
      <c r="B3164" s="1"/>
      <c r="C3164" s="1"/>
      <c r="D3164" s="1"/>
      <c r="E3164" s="1"/>
      <c r="F3164" s="1"/>
    </row>
    <row r="3165" spans="1:6" ht="12.5">
      <c r="A3165" s="1"/>
      <c r="B3165" s="1"/>
      <c r="C3165" s="1"/>
      <c r="D3165" s="1"/>
      <c r="E3165" s="1"/>
      <c r="F3165" s="1"/>
    </row>
    <row r="3166" spans="1:6" ht="12.5">
      <c r="A3166" s="1"/>
      <c r="B3166" s="1"/>
      <c r="C3166" s="1"/>
      <c r="D3166" s="1"/>
      <c r="E3166" s="1"/>
      <c r="F3166" s="1"/>
    </row>
    <row r="3167" spans="1:6" ht="12.5">
      <c r="A3167" s="1"/>
      <c r="B3167" s="1"/>
      <c r="C3167" s="1"/>
      <c r="D3167" s="1"/>
      <c r="E3167" s="1"/>
      <c r="F3167" s="1"/>
    </row>
    <row r="3168" spans="1:6" ht="12.5">
      <c r="A3168" s="1"/>
      <c r="B3168" s="1"/>
      <c r="C3168" s="1"/>
      <c r="D3168" s="1"/>
      <c r="E3168" s="1"/>
      <c r="F3168" s="1"/>
    </row>
    <row r="3169" spans="1:6" ht="12.5">
      <c r="A3169" s="1"/>
      <c r="B3169" s="1"/>
      <c r="C3169" s="1"/>
      <c r="D3169" s="1"/>
      <c r="E3169" s="1"/>
      <c r="F3169" s="1"/>
    </row>
    <row r="3170" spans="1:6" ht="12.5">
      <c r="A3170" s="1"/>
      <c r="B3170" s="1"/>
      <c r="C3170" s="1"/>
      <c r="D3170" s="1"/>
      <c r="E3170" s="1"/>
      <c r="F3170" s="1"/>
    </row>
    <row r="3171" spans="1:6" ht="12.5">
      <c r="A3171" s="1"/>
      <c r="B3171" s="1"/>
      <c r="C3171" s="1"/>
      <c r="D3171" s="1"/>
      <c r="E3171" s="1"/>
      <c r="F3171" s="1"/>
    </row>
    <row r="3172" spans="1:6" ht="12.5">
      <c r="A3172" s="1"/>
      <c r="B3172" s="1"/>
      <c r="C3172" s="1"/>
      <c r="D3172" s="1"/>
      <c r="E3172" s="1"/>
      <c r="F3172" s="1"/>
    </row>
    <row r="3173" spans="1:6" ht="12.5">
      <c r="A3173" s="1"/>
      <c r="B3173" s="1"/>
      <c r="C3173" s="1"/>
      <c r="D3173" s="1"/>
      <c r="E3173" s="1"/>
      <c r="F3173" s="1"/>
    </row>
    <row r="3174" spans="1:6" ht="12.5">
      <c r="A3174" s="1"/>
      <c r="B3174" s="1"/>
      <c r="C3174" s="1"/>
      <c r="D3174" s="1"/>
      <c r="E3174" s="1"/>
      <c r="F3174" s="1"/>
    </row>
    <row r="3175" spans="1:6" ht="12.5">
      <c r="A3175" s="1"/>
      <c r="B3175" s="1"/>
      <c r="C3175" s="1"/>
      <c r="D3175" s="1"/>
      <c r="E3175" s="1"/>
      <c r="F3175" s="1"/>
    </row>
    <row r="3176" spans="1:6" ht="12.5">
      <c r="A3176" s="1"/>
      <c r="B3176" s="1"/>
      <c r="C3176" s="1"/>
      <c r="D3176" s="1"/>
      <c r="E3176" s="1"/>
      <c r="F3176" s="1"/>
    </row>
    <row r="3177" spans="1:6" ht="12.5">
      <c r="A3177" s="1"/>
      <c r="B3177" s="1"/>
      <c r="C3177" s="1"/>
      <c r="D3177" s="1"/>
      <c r="E3177" s="1"/>
      <c r="F3177" s="1"/>
    </row>
    <row r="3178" spans="1:6" ht="12.5">
      <c r="A3178" s="1"/>
      <c r="B3178" s="1"/>
      <c r="C3178" s="1"/>
      <c r="D3178" s="1"/>
      <c r="E3178" s="1"/>
      <c r="F3178" s="1"/>
    </row>
    <row r="3179" spans="1:6" ht="12.5">
      <c r="A3179" s="1"/>
      <c r="B3179" s="1"/>
      <c r="C3179" s="1"/>
      <c r="D3179" s="1"/>
      <c r="E3179" s="1"/>
      <c r="F3179" s="1"/>
    </row>
    <row r="3180" spans="1:6" ht="12.5">
      <c r="A3180" s="1"/>
      <c r="B3180" s="1"/>
      <c r="C3180" s="1"/>
      <c r="D3180" s="1"/>
      <c r="E3180" s="1"/>
      <c r="F3180" s="1"/>
    </row>
    <row r="3181" spans="1:6" ht="12.5">
      <c r="A3181" s="1"/>
      <c r="B3181" s="1"/>
      <c r="C3181" s="1"/>
      <c r="D3181" s="1"/>
      <c r="E3181" s="1"/>
      <c r="F3181" s="1"/>
    </row>
    <row r="3182" spans="1:6" ht="12.5">
      <c r="A3182" s="1"/>
      <c r="B3182" s="1"/>
      <c r="C3182" s="1"/>
      <c r="D3182" s="1"/>
      <c r="E3182" s="1"/>
      <c r="F3182" s="1"/>
    </row>
    <row r="3183" spans="1:6" ht="12.5">
      <c r="A3183" s="1"/>
      <c r="B3183" s="1"/>
      <c r="C3183" s="1"/>
      <c r="D3183" s="1"/>
      <c r="E3183" s="1"/>
      <c r="F3183" s="1"/>
    </row>
    <row r="3184" spans="1:6" ht="12.5">
      <c r="A3184" s="1"/>
      <c r="B3184" s="1"/>
      <c r="C3184" s="1"/>
      <c r="D3184" s="1"/>
      <c r="E3184" s="1"/>
      <c r="F3184" s="1"/>
    </row>
    <row r="3185" spans="1:6" ht="12.5">
      <c r="A3185" s="1"/>
      <c r="B3185" s="1"/>
      <c r="C3185" s="1"/>
      <c r="D3185" s="1"/>
      <c r="E3185" s="1"/>
      <c r="F3185" s="1"/>
    </row>
    <row r="3186" spans="1:6" ht="12.5">
      <c r="A3186" s="1"/>
      <c r="B3186" s="1"/>
      <c r="C3186" s="1"/>
      <c r="D3186" s="1"/>
      <c r="E3186" s="1"/>
      <c r="F3186" s="1"/>
    </row>
    <row r="3187" spans="1:6" ht="12.5">
      <c r="A3187" s="1"/>
      <c r="B3187" s="1"/>
      <c r="C3187" s="1"/>
      <c r="D3187" s="1"/>
      <c r="E3187" s="1"/>
      <c r="F3187" s="1"/>
    </row>
    <row r="3188" spans="1:6" ht="12.5">
      <c r="A3188" s="1"/>
      <c r="B3188" s="1"/>
      <c r="C3188" s="1"/>
      <c r="D3188" s="1"/>
      <c r="E3188" s="1"/>
      <c r="F3188" s="1"/>
    </row>
    <row r="3189" spans="1:6" ht="12.5">
      <c r="A3189" s="1"/>
      <c r="B3189" s="1"/>
      <c r="C3189" s="1"/>
      <c r="D3189" s="1"/>
      <c r="E3189" s="1"/>
      <c r="F3189" s="1"/>
    </row>
    <row r="3190" spans="1:6" ht="12.5">
      <c r="A3190" s="1"/>
      <c r="B3190" s="1"/>
      <c r="C3190" s="1"/>
      <c r="D3190" s="1"/>
      <c r="E3190" s="1"/>
      <c r="F3190" s="1"/>
    </row>
    <row r="3191" spans="1:6" ht="12.5">
      <c r="A3191" s="1"/>
      <c r="B3191" s="1"/>
      <c r="C3191" s="1"/>
      <c r="D3191" s="1"/>
      <c r="E3191" s="1"/>
      <c r="F3191" s="1"/>
    </row>
    <row r="3192" spans="1:6" ht="12.5">
      <c r="A3192" s="1"/>
      <c r="B3192" s="1"/>
      <c r="C3192" s="1"/>
      <c r="D3192" s="1"/>
      <c r="E3192" s="1"/>
      <c r="F3192" s="1"/>
    </row>
    <row r="3193" spans="1:6" ht="12.5">
      <c r="A3193" s="1"/>
      <c r="B3193" s="1"/>
      <c r="C3193" s="1"/>
      <c r="D3193" s="1"/>
      <c r="E3193" s="1"/>
      <c r="F3193" s="1"/>
    </row>
    <row r="3194" spans="1:6" ht="12.5">
      <c r="A3194" s="1"/>
      <c r="B3194" s="1"/>
      <c r="C3194" s="1"/>
      <c r="D3194" s="1"/>
      <c r="E3194" s="1"/>
      <c r="F3194" s="1"/>
    </row>
    <row r="3195" spans="1:6" ht="12.5">
      <c r="A3195" s="1"/>
      <c r="B3195" s="1"/>
      <c r="C3195" s="1"/>
      <c r="D3195" s="1"/>
      <c r="E3195" s="1"/>
      <c r="F3195" s="1"/>
    </row>
    <row r="3196" spans="1:6" ht="12.5">
      <c r="A3196" s="1"/>
      <c r="B3196" s="1"/>
      <c r="C3196" s="1"/>
      <c r="D3196" s="1"/>
      <c r="E3196" s="1"/>
      <c r="F3196" s="1"/>
    </row>
    <row r="3197" spans="1:6" ht="12.5">
      <c r="A3197" s="1"/>
      <c r="B3197" s="1"/>
      <c r="C3197" s="1"/>
      <c r="D3197" s="1"/>
      <c r="E3197" s="1"/>
      <c r="F3197" s="1"/>
    </row>
    <row r="3198" spans="1:6" ht="12.5">
      <c r="A3198" s="1"/>
      <c r="B3198" s="1"/>
      <c r="C3198" s="1"/>
      <c r="D3198" s="1"/>
      <c r="E3198" s="1"/>
      <c r="F3198" s="1"/>
    </row>
    <row r="3199" spans="1:6" ht="12.5">
      <c r="A3199" s="1"/>
      <c r="B3199" s="1"/>
      <c r="C3199" s="1"/>
      <c r="D3199" s="1"/>
      <c r="E3199" s="1"/>
      <c r="F3199" s="1"/>
    </row>
    <row r="3200" spans="1:6" ht="12.5">
      <c r="A3200" s="1"/>
      <c r="B3200" s="1"/>
      <c r="C3200" s="1"/>
      <c r="D3200" s="1"/>
      <c r="E3200" s="1"/>
      <c r="F3200" s="1"/>
    </row>
    <row r="3201" spans="1:6" ht="12.5">
      <c r="A3201" s="1"/>
      <c r="B3201" s="1"/>
      <c r="C3201" s="1"/>
      <c r="D3201" s="1"/>
      <c r="E3201" s="1"/>
      <c r="F3201" s="1"/>
    </row>
    <row r="3202" spans="1:6" ht="12.5">
      <c r="A3202" s="1"/>
      <c r="B3202" s="1"/>
      <c r="C3202" s="1"/>
      <c r="D3202" s="1"/>
      <c r="E3202" s="1"/>
      <c r="F3202" s="1"/>
    </row>
    <row r="3203" spans="1:6" ht="12.5">
      <c r="A3203" s="1"/>
      <c r="B3203" s="1"/>
      <c r="C3203" s="1"/>
      <c r="D3203" s="1"/>
      <c r="E3203" s="1"/>
      <c r="F3203" s="1"/>
    </row>
    <row r="3204" spans="1:6" ht="12.5">
      <c r="A3204" s="1"/>
      <c r="B3204" s="1"/>
      <c r="C3204" s="1"/>
      <c r="D3204" s="1"/>
      <c r="E3204" s="1"/>
      <c r="F3204" s="1"/>
    </row>
    <row r="3205" spans="1:6" ht="12.5">
      <c r="A3205" s="1"/>
      <c r="B3205" s="1"/>
      <c r="C3205" s="1"/>
      <c r="D3205" s="1"/>
      <c r="E3205" s="1"/>
      <c r="F3205" s="1"/>
    </row>
    <row r="3206" spans="1:6" ht="12.5">
      <c r="A3206" s="1"/>
      <c r="B3206" s="1"/>
      <c r="C3206" s="1"/>
      <c r="D3206" s="1"/>
      <c r="E3206" s="1"/>
      <c r="F3206" s="1"/>
    </row>
    <row r="3207" spans="1:6" ht="12.5">
      <c r="A3207" s="1"/>
      <c r="B3207" s="1"/>
      <c r="C3207" s="1"/>
      <c r="D3207" s="1"/>
      <c r="E3207" s="1"/>
      <c r="F3207" s="1"/>
    </row>
    <row r="3208" spans="1:6" ht="12.5">
      <c r="A3208" s="1"/>
      <c r="B3208" s="1"/>
      <c r="C3208" s="1"/>
      <c r="D3208" s="1"/>
      <c r="E3208" s="1"/>
      <c r="F3208" s="1"/>
    </row>
    <row r="3209" spans="1:6" ht="12.5">
      <c r="A3209" s="1"/>
      <c r="B3209" s="1"/>
      <c r="C3209" s="1"/>
      <c r="D3209" s="1"/>
      <c r="E3209" s="1"/>
      <c r="F3209" s="1"/>
    </row>
    <row r="3210" spans="1:6" ht="12.5">
      <c r="A3210" s="1"/>
      <c r="B3210" s="1"/>
      <c r="C3210" s="1"/>
      <c r="D3210" s="1"/>
      <c r="E3210" s="1"/>
      <c r="F3210" s="1"/>
    </row>
    <row r="3211" spans="1:6" ht="12.5">
      <c r="A3211" s="1"/>
      <c r="B3211" s="1"/>
      <c r="C3211" s="1"/>
      <c r="D3211" s="1"/>
      <c r="E3211" s="1"/>
      <c r="F3211" s="1"/>
    </row>
    <row r="3212" spans="1:6" ht="12.5">
      <c r="A3212" s="1"/>
      <c r="B3212" s="1"/>
      <c r="C3212" s="1"/>
      <c r="D3212" s="1"/>
      <c r="E3212" s="1"/>
      <c r="F3212" s="1"/>
    </row>
    <row r="3213" spans="1:6" ht="12.5">
      <c r="A3213" s="1"/>
      <c r="B3213" s="1"/>
      <c r="C3213" s="1"/>
      <c r="D3213" s="1"/>
      <c r="E3213" s="1"/>
      <c r="F3213" s="1"/>
    </row>
    <row r="3214" spans="1:6" ht="12.5">
      <c r="A3214" s="1"/>
      <c r="B3214" s="1"/>
      <c r="C3214" s="1"/>
      <c r="D3214" s="1"/>
      <c r="E3214" s="1"/>
      <c r="F3214" s="1"/>
    </row>
    <row r="3215" spans="1:6" ht="12.5">
      <c r="A3215" s="1"/>
      <c r="B3215" s="1"/>
      <c r="C3215" s="1"/>
      <c r="D3215" s="1"/>
      <c r="E3215" s="1"/>
      <c r="F3215" s="1"/>
    </row>
    <row r="3216" spans="1:6" ht="12.5">
      <c r="A3216" s="1"/>
      <c r="B3216" s="1"/>
      <c r="C3216" s="1"/>
      <c r="D3216" s="1"/>
      <c r="E3216" s="1"/>
      <c r="F3216" s="1"/>
    </row>
    <row r="3217" spans="1:6" ht="12.5">
      <c r="A3217" s="1"/>
      <c r="B3217" s="1"/>
      <c r="C3217" s="1"/>
      <c r="D3217" s="1"/>
      <c r="E3217" s="1"/>
      <c r="F3217" s="1"/>
    </row>
    <row r="3218" spans="1:6" ht="12.5">
      <c r="A3218" s="1"/>
      <c r="B3218" s="1"/>
      <c r="C3218" s="1"/>
      <c r="D3218" s="1"/>
      <c r="E3218" s="1"/>
      <c r="F3218" s="1"/>
    </row>
    <row r="3219" spans="1:6" ht="12.5">
      <c r="A3219" s="1"/>
      <c r="B3219" s="1"/>
      <c r="C3219" s="1"/>
      <c r="D3219" s="1"/>
      <c r="E3219" s="1"/>
      <c r="F3219" s="1"/>
    </row>
    <row r="3220" spans="1:6" ht="12.5">
      <c r="A3220" s="1"/>
      <c r="B3220" s="1"/>
      <c r="C3220" s="1"/>
      <c r="D3220" s="1"/>
      <c r="E3220" s="1"/>
      <c r="F3220" s="1"/>
    </row>
    <row r="3221" spans="1:6" ht="12.5">
      <c r="A3221" s="1"/>
      <c r="B3221" s="1"/>
      <c r="C3221" s="1"/>
      <c r="D3221" s="1"/>
      <c r="E3221" s="1"/>
      <c r="F3221" s="1"/>
    </row>
    <row r="3222" spans="1:6" ht="12.5">
      <c r="A3222" s="1"/>
      <c r="B3222" s="1"/>
      <c r="C3222" s="1"/>
      <c r="D3222" s="1"/>
      <c r="E3222" s="1"/>
      <c r="F3222" s="1"/>
    </row>
    <row r="3223" spans="1:6" ht="12.5">
      <c r="A3223" s="1"/>
      <c r="B3223" s="1"/>
      <c r="C3223" s="1"/>
      <c r="D3223" s="1"/>
      <c r="E3223" s="1"/>
      <c r="F3223" s="1"/>
    </row>
    <row r="3224" spans="1:6" ht="12.5">
      <c r="A3224" s="1"/>
      <c r="B3224" s="1"/>
      <c r="C3224" s="1"/>
      <c r="D3224" s="1"/>
      <c r="E3224" s="1"/>
      <c r="F3224" s="1"/>
    </row>
    <row r="3225" spans="1:6" ht="12.5">
      <c r="A3225" s="1"/>
      <c r="B3225" s="1"/>
      <c r="C3225" s="1"/>
      <c r="D3225" s="1"/>
      <c r="E3225" s="1"/>
      <c r="F3225" s="1"/>
    </row>
    <row r="3226" spans="1:6" ht="12.5">
      <c r="A3226" s="1"/>
      <c r="B3226" s="1"/>
      <c r="C3226" s="1"/>
      <c r="D3226" s="1"/>
      <c r="E3226" s="1"/>
      <c r="F3226" s="1"/>
    </row>
    <row r="3227" spans="1:6" ht="12.5">
      <c r="A3227" s="1"/>
      <c r="B3227" s="1"/>
      <c r="C3227" s="1"/>
      <c r="D3227" s="1"/>
      <c r="E3227" s="1"/>
      <c r="F3227" s="1"/>
    </row>
    <row r="3228" spans="1:6" ht="12.5">
      <c r="A3228" s="1"/>
      <c r="B3228" s="1"/>
      <c r="C3228" s="1"/>
      <c r="D3228" s="1"/>
      <c r="E3228" s="1"/>
      <c r="F3228" s="1"/>
    </row>
    <row r="3229" spans="1:6" ht="12.5">
      <c r="A3229" s="1"/>
      <c r="B3229" s="1"/>
      <c r="C3229" s="1"/>
      <c r="D3229" s="1"/>
      <c r="E3229" s="1"/>
      <c r="F3229" s="1"/>
    </row>
    <row r="3230" spans="1:6" ht="12.5">
      <c r="A3230" s="1"/>
      <c r="B3230" s="1"/>
      <c r="C3230" s="1"/>
      <c r="D3230" s="1"/>
      <c r="E3230" s="1"/>
      <c r="F3230" s="1"/>
    </row>
    <row r="3231" spans="1:6" ht="12.5">
      <c r="A3231" s="1"/>
      <c r="B3231" s="1"/>
      <c r="C3231" s="1"/>
      <c r="D3231" s="1"/>
      <c r="E3231" s="1"/>
      <c r="F3231" s="1"/>
    </row>
    <row r="3232" spans="1:6" ht="12.5">
      <c r="A3232" s="1"/>
      <c r="B3232" s="1"/>
      <c r="C3232" s="1"/>
      <c r="D3232" s="1"/>
      <c r="E3232" s="1"/>
      <c r="F3232" s="1"/>
    </row>
    <row r="3233" spans="1:6" ht="12.5">
      <c r="A3233" s="1"/>
      <c r="B3233" s="1"/>
      <c r="C3233" s="1"/>
      <c r="D3233" s="1"/>
      <c r="E3233" s="1"/>
      <c r="F3233" s="1"/>
    </row>
    <row r="3234" spans="1:6" ht="12.5">
      <c r="A3234" s="1"/>
      <c r="B3234" s="1"/>
      <c r="C3234" s="1"/>
      <c r="D3234" s="1"/>
      <c r="E3234" s="1"/>
      <c r="F3234" s="1"/>
    </row>
    <row r="3235" spans="1:6" ht="12.5">
      <c r="A3235" s="1"/>
      <c r="B3235" s="1"/>
      <c r="C3235" s="1"/>
      <c r="D3235" s="1"/>
      <c r="E3235" s="1"/>
      <c r="F3235" s="1"/>
    </row>
    <row r="3236" spans="1:6" ht="12.5">
      <c r="A3236" s="1"/>
      <c r="B3236" s="1"/>
      <c r="C3236" s="1"/>
      <c r="D3236" s="1"/>
      <c r="E3236" s="1"/>
      <c r="F3236" s="1"/>
    </row>
    <row r="3237" spans="1:6" ht="12.5">
      <c r="A3237" s="1"/>
      <c r="B3237" s="1"/>
      <c r="C3237" s="1"/>
      <c r="D3237" s="1"/>
      <c r="E3237" s="1"/>
      <c r="F3237" s="1"/>
    </row>
    <row r="3238" spans="1:6" ht="12.5">
      <c r="A3238" s="1"/>
      <c r="B3238" s="1"/>
      <c r="C3238" s="1"/>
      <c r="D3238" s="1"/>
      <c r="E3238" s="1"/>
      <c r="F3238" s="1"/>
    </row>
    <row r="3239" spans="1:6" ht="12.5">
      <c r="A3239" s="1"/>
      <c r="B3239" s="1"/>
      <c r="C3239" s="1"/>
      <c r="D3239" s="1"/>
      <c r="E3239" s="1"/>
      <c r="F3239" s="1"/>
    </row>
    <row r="3240" spans="1:6" ht="12.5">
      <c r="A3240" s="1"/>
      <c r="B3240" s="1"/>
      <c r="C3240" s="1"/>
      <c r="D3240" s="1"/>
      <c r="E3240" s="1"/>
      <c r="F3240" s="1"/>
    </row>
    <row r="3241" spans="1:6" ht="12.5">
      <c r="A3241" s="1"/>
      <c r="B3241" s="1"/>
      <c r="C3241" s="1"/>
      <c r="D3241" s="1"/>
      <c r="E3241" s="1"/>
      <c r="F3241" s="1"/>
    </row>
    <row r="3242" spans="1:6" ht="12.5">
      <c r="A3242" s="1"/>
      <c r="B3242" s="1"/>
      <c r="C3242" s="1"/>
      <c r="D3242" s="1"/>
      <c r="E3242" s="1"/>
      <c r="F3242" s="1"/>
    </row>
    <row r="3243" spans="1:6" ht="12.5">
      <c r="A3243" s="1"/>
      <c r="B3243" s="1"/>
      <c r="C3243" s="1"/>
      <c r="D3243" s="1"/>
      <c r="E3243" s="1"/>
      <c r="F3243" s="1"/>
    </row>
    <row r="3244" spans="1:6" ht="12.5">
      <c r="A3244" s="1"/>
      <c r="B3244" s="1"/>
      <c r="C3244" s="1"/>
      <c r="D3244" s="1"/>
      <c r="E3244" s="1"/>
      <c r="F3244" s="1"/>
    </row>
    <row r="3245" spans="1:6" ht="12.5">
      <c r="A3245" s="1"/>
      <c r="B3245" s="1"/>
      <c r="C3245" s="1"/>
      <c r="D3245" s="1"/>
      <c r="E3245" s="1"/>
      <c r="F3245" s="1"/>
    </row>
    <row r="3246" spans="1:6" ht="12.5">
      <c r="A3246" s="1"/>
      <c r="B3246" s="1"/>
      <c r="C3246" s="1"/>
      <c r="D3246" s="1"/>
      <c r="E3246" s="1"/>
      <c r="F3246" s="1"/>
    </row>
    <row r="3247" spans="1:6" ht="12.5">
      <c r="A3247" s="1"/>
      <c r="B3247" s="1"/>
      <c r="C3247" s="1"/>
      <c r="D3247" s="1"/>
      <c r="E3247" s="1"/>
      <c r="F3247" s="1"/>
    </row>
    <row r="3248" spans="1:6" ht="12.5">
      <c r="A3248" s="1"/>
      <c r="B3248" s="1"/>
      <c r="C3248" s="1"/>
      <c r="D3248" s="1"/>
      <c r="E3248" s="1"/>
      <c r="F3248" s="1"/>
    </row>
    <row r="3249" spans="1:6" ht="12.5">
      <c r="A3249" s="1"/>
      <c r="B3249" s="1"/>
      <c r="C3249" s="1"/>
      <c r="D3249" s="1"/>
      <c r="E3249" s="1"/>
      <c r="F3249" s="1"/>
    </row>
    <row r="3250" spans="1:6" ht="12.5">
      <c r="A3250" s="1"/>
      <c r="B3250" s="1"/>
      <c r="C3250" s="1"/>
      <c r="D3250" s="1"/>
      <c r="E3250" s="1"/>
      <c r="F3250" s="1"/>
    </row>
    <row r="3251" spans="1:6" ht="12.5">
      <c r="A3251" s="1"/>
      <c r="B3251" s="1"/>
      <c r="C3251" s="1"/>
      <c r="D3251" s="1"/>
      <c r="E3251" s="1"/>
      <c r="F3251" s="1"/>
    </row>
    <row r="3252" spans="1:6" ht="12.5">
      <c r="A3252" s="1"/>
      <c r="B3252" s="1"/>
      <c r="C3252" s="1"/>
      <c r="D3252" s="1"/>
      <c r="E3252" s="1"/>
      <c r="F3252" s="1"/>
    </row>
    <row r="3253" spans="1:6" ht="12.5">
      <c r="A3253" s="1"/>
      <c r="B3253" s="1"/>
      <c r="C3253" s="1"/>
      <c r="D3253" s="1"/>
      <c r="E3253" s="1"/>
      <c r="F3253" s="1"/>
    </row>
    <row r="3254" spans="1:6" ht="12.5">
      <c r="A3254" s="1"/>
      <c r="B3254" s="1"/>
      <c r="C3254" s="1"/>
      <c r="D3254" s="1"/>
      <c r="E3254" s="1"/>
      <c r="F3254" s="1"/>
    </row>
    <row r="3255" spans="1:6" ht="12.5">
      <c r="A3255" s="1"/>
      <c r="B3255" s="1"/>
      <c r="C3255" s="1"/>
      <c r="D3255" s="1"/>
      <c r="E3255" s="1"/>
      <c r="F3255" s="1"/>
    </row>
    <row r="3256" spans="1:6" ht="12.5">
      <c r="A3256" s="1"/>
      <c r="B3256" s="1"/>
      <c r="C3256" s="1"/>
      <c r="D3256" s="1"/>
      <c r="E3256" s="1"/>
      <c r="F3256" s="1"/>
    </row>
    <row r="3257" spans="1:6" ht="12.5">
      <c r="A3257" s="1"/>
      <c r="B3257" s="1"/>
      <c r="C3257" s="1"/>
      <c r="D3257" s="1"/>
      <c r="E3257" s="1"/>
      <c r="F3257" s="1"/>
    </row>
    <row r="3258" spans="1:6" ht="12.5">
      <c r="A3258" s="1"/>
      <c r="B3258" s="1"/>
      <c r="C3258" s="1"/>
      <c r="D3258" s="1"/>
      <c r="E3258" s="1"/>
      <c r="F3258" s="1"/>
    </row>
    <row r="3259" spans="1:6" ht="12.5">
      <c r="A3259" s="1"/>
      <c r="B3259" s="1"/>
      <c r="C3259" s="1"/>
      <c r="D3259" s="1"/>
      <c r="E3259" s="1"/>
      <c r="F3259" s="1"/>
    </row>
    <row r="3260" spans="1:6" ht="12.5">
      <c r="A3260" s="1"/>
      <c r="B3260" s="1"/>
      <c r="C3260" s="1"/>
      <c r="D3260" s="1"/>
      <c r="E3260" s="1"/>
      <c r="F3260" s="1"/>
    </row>
    <row r="3261" spans="1:6" ht="12.5">
      <c r="A3261" s="1"/>
      <c r="B3261" s="1"/>
      <c r="C3261" s="1"/>
      <c r="D3261" s="1"/>
      <c r="E3261" s="1"/>
      <c r="F3261" s="1"/>
    </row>
    <row r="3262" spans="1:6" ht="12.5">
      <c r="A3262" s="1"/>
      <c r="B3262" s="1"/>
      <c r="C3262" s="1"/>
      <c r="D3262" s="1"/>
      <c r="E3262" s="1"/>
      <c r="F3262" s="1"/>
    </row>
    <row r="3263" spans="1:6" ht="12.5">
      <c r="A3263" s="1"/>
      <c r="B3263" s="1"/>
      <c r="C3263" s="1"/>
      <c r="D3263" s="1"/>
      <c r="E3263" s="1"/>
      <c r="F3263" s="1"/>
    </row>
    <row r="3264" spans="1:6" ht="12.5">
      <c r="A3264" s="1"/>
      <c r="B3264" s="1"/>
      <c r="C3264" s="1"/>
      <c r="D3264" s="1"/>
      <c r="E3264" s="1"/>
      <c r="F3264" s="1"/>
    </row>
    <row r="3265" spans="1:6" ht="12.5">
      <c r="A3265" s="1"/>
      <c r="B3265" s="1"/>
      <c r="C3265" s="1"/>
      <c r="D3265" s="1"/>
      <c r="E3265" s="1"/>
      <c r="F3265" s="1"/>
    </row>
    <row r="3266" spans="1:6" ht="12.5">
      <c r="A3266" s="1"/>
      <c r="B3266" s="1"/>
      <c r="C3266" s="1"/>
      <c r="D3266" s="1"/>
      <c r="E3266" s="1"/>
      <c r="F3266" s="1"/>
    </row>
    <row r="3267" spans="1:6" ht="12.5">
      <c r="A3267" s="1"/>
      <c r="B3267" s="1"/>
      <c r="C3267" s="1"/>
      <c r="D3267" s="1"/>
      <c r="E3267" s="1"/>
      <c r="F3267" s="1"/>
    </row>
    <row r="3268" spans="1:6" ht="12.5">
      <c r="A3268" s="1"/>
      <c r="B3268" s="1"/>
      <c r="C3268" s="1"/>
      <c r="D3268" s="1"/>
      <c r="E3268" s="1"/>
      <c r="F3268" s="1"/>
    </row>
    <row r="3269" spans="1:6" ht="12.5">
      <c r="A3269" s="1"/>
      <c r="B3269" s="1"/>
      <c r="C3269" s="1"/>
      <c r="D3269" s="1"/>
      <c r="E3269" s="1"/>
      <c r="F3269" s="1"/>
    </row>
    <row r="3270" spans="1:6" ht="12.5">
      <c r="A3270" s="1"/>
      <c r="B3270" s="1"/>
      <c r="C3270" s="1"/>
      <c r="D3270" s="1"/>
      <c r="E3270" s="1"/>
      <c r="F3270" s="1"/>
    </row>
    <row r="3271" spans="1:6" ht="12.5">
      <c r="A3271" s="1"/>
      <c r="B3271" s="1"/>
      <c r="C3271" s="1"/>
      <c r="D3271" s="1"/>
      <c r="E3271" s="1"/>
      <c r="F3271" s="1"/>
    </row>
    <row r="3272" spans="1:6" ht="12.5">
      <c r="A3272" s="1"/>
      <c r="B3272" s="1"/>
      <c r="C3272" s="1"/>
      <c r="D3272" s="1"/>
      <c r="E3272" s="1"/>
      <c r="F3272" s="1"/>
    </row>
    <row r="3273" spans="1:6" ht="12.5">
      <c r="A3273" s="1"/>
      <c r="B3273" s="1"/>
      <c r="C3273" s="1"/>
      <c r="D3273" s="1"/>
      <c r="E3273" s="1"/>
      <c r="F3273" s="1"/>
    </row>
    <row r="3274" spans="1:6" ht="12.5">
      <c r="A3274" s="1"/>
      <c r="B3274" s="1"/>
      <c r="C3274" s="1"/>
      <c r="D3274" s="1"/>
      <c r="E3274" s="1"/>
      <c r="F3274" s="1"/>
    </row>
    <row r="3275" spans="1:6" ht="12.5">
      <c r="A3275" s="1"/>
      <c r="B3275" s="1"/>
      <c r="C3275" s="1"/>
      <c r="D3275" s="1"/>
      <c r="E3275" s="1"/>
      <c r="F3275" s="1"/>
    </row>
    <row r="3276" spans="1:6" ht="12.5">
      <c r="A3276" s="1"/>
      <c r="B3276" s="1"/>
      <c r="C3276" s="1"/>
      <c r="D3276" s="1"/>
      <c r="E3276" s="1"/>
      <c r="F3276" s="1"/>
    </row>
    <row r="3277" spans="1:6" ht="12.5">
      <c r="A3277" s="1"/>
      <c r="B3277" s="1"/>
      <c r="C3277" s="1"/>
      <c r="D3277" s="1"/>
      <c r="E3277" s="1"/>
      <c r="F3277" s="1"/>
    </row>
    <row r="3278" spans="1:6" ht="12.5">
      <c r="A3278" s="1"/>
      <c r="B3278" s="1"/>
      <c r="C3278" s="1"/>
      <c r="D3278" s="1"/>
      <c r="E3278" s="1"/>
      <c r="F3278" s="1"/>
    </row>
    <row r="3279" spans="1:6" ht="12.5">
      <c r="A3279" s="1"/>
      <c r="B3279" s="1"/>
      <c r="C3279" s="1"/>
      <c r="D3279" s="1"/>
      <c r="E3279" s="1"/>
      <c r="F3279" s="1"/>
    </row>
    <row r="3280" spans="1:6" ht="12.5">
      <c r="A3280" s="1"/>
      <c r="B3280" s="1"/>
      <c r="C3280" s="1"/>
      <c r="D3280" s="1"/>
      <c r="E3280" s="1"/>
      <c r="F3280" s="1"/>
    </row>
    <row r="3281" spans="1:6" ht="12.5">
      <c r="A3281" s="1"/>
      <c r="B3281" s="1"/>
      <c r="C3281" s="1"/>
      <c r="D3281" s="1"/>
      <c r="E3281" s="1"/>
      <c r="F3281" s="1"/>
    </row>
    <row r="3282" spans="1:6" ht="12.5">
      <c r="A3282" s="1"/>
      <c r="B3282" s="1"/>
      <c r="C3282" s="1"/>
      <c r="D3282" s="1"/>
      <c r="E3282" s="1"/>
      <c r="F3282" s="1"/>
    </row>
    <row r="3283" spans="1:6" ht="12.5">
      <c r="A3283" s="1"/>
      <c r="B3283" s="1"/>
      <c r="C3283" s="1"/>
      <c r="D3283" s="1"/>
      <c r="E3283" s="1"/>
      <c r="F3283" s="1"/>
    </row>
    <row r="3284" spans="1:6" ht="12.5">
      <c r="A3284" s="1"/>
      <c r="B3284" s="1"/>
      <c r="C3284" s="1"/>
      <c r="D3284" s="1"/>
      <c r="E3284" s="1"/>
      <c r="F3284" s="1"/>
    </row>
    <row r="3285" spans="1:6" ht="12.5">
      <c r="A3285" s="1"/>
      <c r="B3285" s="1"/>
      <c r="C3285" s="1"/>
      <c r="D3285" s="1"/>
      <c r="E3285" s="1"/>
      <c r="F3285" s="1"/>
    </row>
    <row r="3286" spans="1:6" ht="12.5">
      <c r="A3286" s="1"/>
      <c r="B3286" s="1"/>
      <c r="C3286" s="1"/>
      <c r="D3286" s="1"/>
      <c r="E3286" s="1"/>
      <c r="F3286" s="1"/>
    </row>
    <row r="3287" spans="1:6" ht="12.5">
      <c r="A3287" s="1"/>
      <c r="B3287" s="1"/>
      <c r="C3287" s="1"/>
      <c r="D3287" s="1"/>
      <c r="E3287" s="1"/>
      <c r="F3287" s="1"/>
    </row>
    <row r="3288" spans="1:6" ht="12.5">
      <c r="A3288" s="1"/>
      <c r="B3288" s="1"/>
      <c r="C3288" s="1"/>
      <c r="D3288" s="1"/>
      <c r="E3288" s="1"/>
      <c r="F3288" s="1"/>
    </row>
    <row r="3289" spans="1:6" ht="12.5">
      <c r="A3289" s="1"/>
      <c r="B3289" s="1"/>
      <c r="C3289" s="1"/>
      <c r="D3289" s="1"/>
      <c r="E3289" s="1"/>
      <c r="F3289" s="1"/>
    </row>
    <row r="3290" spans="1:6" ht="12.5">
      <c r="A3290" s="1"/>
      <c r="B3290" s="1"/>
      <c r="C3290" s="1"/>
      <c r="D3290" s="1"/>
      <c r="E3290" s="1"/>
      <c r="F3290" s="1"/>
    </row>
    <row r="3291" spans="1:6" ht="12.5">
      <c r="A3291" s="1"/>
      <c r="B3291" s="1"/>
      <c r="C3291" s="1"/>
      <c r="D3291" s="1"/>
      <c r="E3291" s="1"/>
      <c r="F3291" s="1"/>
    </row>
    <row r="3292" spans="1:6" ht="12.5">
      <c r="A3292" s="1"/>
      <c r="B3292" s="1"/>
      <c r="C3292" s="1"/>
      <c r="D3292" s="1"/>
      <c r="E3292" s="1"/>
      <c r="F3292" s="1"/>
    </row>
    <row r="3293" spans="1:6" ht="12.5">
      <c r="A3293" s="1"/>
      <c r="B3293" s="1"/>
      <c r="C3293" s="1"/>
      <c r="D3293" s="1"/>
      <c r="E3293" s="1"/>
      <c r="F3293" s="1"/>
    </row>
    <row r="3294" spans="1:6" ht="12.5">
      <c r="A3294" s="1"/>
      <c r="B3294" s="1"/>
      <c r="C3294" s="1"/>
      <c r="D3294" s="1"/>
      <c r="E3294" s="1"/>
      <c r="F3294" s="1"/>
    </row>
    <row r="3295" spans="1:6" ht="12.5">
      <c r="A3295" s="1"/>
      <c r="B3295" s="1"/>
      <c r="C3295" s="1"/>
      <c r="D3295" s="1"/>
      <c r="E3295" s="1"/>
      <c r="F3295" s="1"/>
    </row>
    <row r="3296" spans="1:6" ht="12.5">
      <c r="A3296" s="1"/>
      <c r="B3296" s="1"/>
      <c r="C3296" s="1"/>
      <c r="D3296" s="1"/>
      <c r="E3296" s="1"/>
      <c r="F3296" s="1"/>
    </row>
    <row r="3297" spans="1:6" ht="12.5">
      <c r="A3297" s="1"/>
      <c r="B3297" s="1"/>
      <c r="C3297" s="1"/>
      <c r="D3297" s="1"/>
      <c r="E3297" s="1"/>
      <c r="F3297" s="1"/>
    </row>
    <row r="3298" spans="1:6" ht="12.5">
      <c r="A3298" s="1"/>
      <c r="B3298" s="1"/>
      <c r="C3298" s="1"/>
      <c r="D3298" s="1"/>
      <c r="E3298" s="1"/>
      <c r="F3298" s="1"/>
    </row>
    <row r="3299" spans="1:6" ht="12.5">
      <c r="A3299" s="1"/>
      <c r="B3299" s="1"/>
      <c r="C3299" s="1"/>
      <c r="D3299" s="1"/>
      <c r="E3299" s="1"/>
      <c r="F3299" s="1"/>
    </row>
    <row r="3300" spans="1:6" ht="12.5">
      <c r="A3300" s="1"/>
      <c r="B3300" s="1"/>
      <c r="C3300" s="1"/>
      <c r="D3300" s="1"/>
      <c r="E3300" s="1"/>
      <c r="F3300" s="1"/>
    </row>
    <row r="3301" spans="1:6" ht="12.5">
      <c r="A3301" s="1"/>
      <c r="B3301" s="1"/>
      <c r="C3301" s="1"/>
      <c r="D3301" s="1"/>
      <c r="E3301" s="1"/>
      <c r="F3301" s="1"/>
    </row>
    <row r="3302" spans="1:6" ht="12.5">
      <c r="A3302" s="1"/>
      <c r="B3302" s="1"/>
      <c r="C3302" s="1"/>
      <c r="D3302" s="1"/>
      <c r="E3302" s="1"/>
      <c r="F3302" s="1"/>
    </row>
    <row r="3303" spans="1:6" ht="12.5">
      <c r="A3303" s="1"/>
      <c r="B3303" s="1"/>
      <c r="C3303" s="1"/>
      <c r="D3303" s="1"/>
      <c r="E3303" s="1"/>
      <c r="F3303" s="1"/>
    </row>
    <row r="3304" spans="1:6" ht="12.5">
      <c r="A3304" s="1"/>
      <c r="B3304" s="1"/>
      <c r="C3304" s="1"/>
      <c r="D3304" s="1"/>
      <c r="E3304" s="1"/>
      <c r="F3304" s="1"/>
    </row>
    <row r="3305" spans="1:6" ht="12.5">
      <c r="A3305" s="1"/>
      <c r="B3305" s="1"/>
      <c r="C3305" s="1"/>
      <c r="D3305" s="1"/>
      <c r="E3305" s="1"/>
      <c r="F3305" s="1"/>
    </row>
    <row r="3306" spans="1:6" ht="12.5">
      <c r="A3306" s="1"/>
      <c r="B3306" s="1"/>
      <c r="C3306" s="1"/>
      <c r="D3306" s="1"/>
      <c r="E3306" s="1"/>
      <c r="F3306" s="1"/>
    </row>
    <row r="3307" spans="1:6" ht="12.5">
      <c r="A3307" s="1"/>
      <c r="B3307" s="1"/>
      <c r="C3307" s="1"/>
      <c r="D3307" s="1"/>
      <c r="E3307" s="1"/>
      <c r="F3307" s="1"/>
    </row>
    <row r="3308" spans="1:6" ht="12.5">
      <c r="A3308" s="1"/>
      <c r="B3308" s="1"/>
      <c r="C3308" s="1"/>
      <c r="D3308" s="1"/>
      <c r="E3308" s="1"/>
      <c r="F3308" s="1"/>
    </row>
    <row r="3309" spans="1:6" ht="12.5">
      <c r="A3309" s="1"/>
      <c r="B3309" s="1"/>
      <c r="C3309" s="1"/>
      <c r="D3309" s="1"/>
      <c r="E3309" s="1"/>
      <c r="F3309" s="1"/>
    </row>
    <row r="3310" spans="1:6" ht="12.5">
      <c r="A3310" s="1"/>
      <c r="B3310" s="1"/>
      <c r="C3310" s="1"/>
      <c r="D3310" s="1"/>
      <c r="E3310" s="1"/>
      <c r="F3310" s="1"/>
    </row>
    <row r="3311" spans="1:6" ht="12.5">
      <c r="A3311" s="1"/>
      <c r="B3311" s="1"/>
      <c r="C3311" s="1"/>
      <c r="D3311" s="1"/>
      <c r="E3311" s="1"/>
      <c r="F3311" s="1"/>
    </row>
    <row r="3312" spans="1:6" ht="12.5">
      <c r="A3312" s="1"/>
      <c r="B3312" s="1"/>
      <c r="C3312" s="1"/>
      <c r="D3312" s="1"/>
      <c r="E3312" s="1"/>
      <c r="F3312" s="1"/>
    </row>
    <row r="3313" spans="1:6" ht="12.5">
      <c r="A3313" s="1"/>
      <c r="B3313" s="1"/>
      <c r="C3313" s="1"/>
      <c r="D3313" s="1"/>
      <c r="E3313" s="1"/>
      <c r="F3313" s="1"/>
    </row>
    <row r="3314" spans="1:6" ht="12.5">
      <c r="A3314" s="1"/>
      <c r="B3314" s="1"/>
      <c r="C3314" s="1"/>
      <c r="D3314" s="1"/>
      <c r="E3314" s="1"/>
      <c r="F3314" s="1"/>
    </row>
    <row r="3315" spans="1:6" ht="12.5">
      <c r="A3315" s="1"/>
      <c r="B3315" s="1"/>
      <c r="C3315" s="1"/>
      <c r="D3315" s="1"/>
      <c r="E3315" s="1"/>
      <c r="F3315" s="1"/>
    </row>
    <row r="3316" spans="1:6" ht="12.5">
      <c r="A3316" s="1"/>
      <c r="B3316" s="1"/>
      <c r="C3316" s="1"/>
      <c r="D3316" s="1"/>
      <c r="E3316" s="1"/>
      <c r="F3316" s="1"/>
    </row>
    <row r="3317" spans="1:6" ht="12.5">
      <c r="A3317" s="1"/>
      <c r="B3317" s="1"/>
      <c r="C3317" s="1"/>
      <c r="D3317" s="1"/>
      <c r="E3317" s="1"/>
      <c r="F3317" s="1"/>
    </row>
    <row r="3318" spans="1:6" ht="12.5">
      <c r="A3318" s="1"/>
      <c r="B3318" s="1"/>
      <c r="C3318" s="1"/>
      <c r="D3318" s="1"/>
      <c r="E3318" s="1"/>
      <c r="F3318" s="1"/>
    </row>
    <row r="3319" spans="1:6" ht="12.5">
      <c r="A3319" s="1"/>
      <c r="B3319" s="1"/>
      <c r="C3319" s="1"/>
      <c r="D3319" s="1"/>
      <c r="E3319" s="1"/>
      <c r="F3319" s="1"/>
    </row>
    <row r="3320" spans="1:6" ht="12.5">
      <c r="A3320" s="1"/>
      <c r="B3320" s="1"/>
      <c r="C3320" s="1"/>
      <c r="D3320" s="1"/>
      <c r="E3320" s="1"/>
      <c r="F3320" s="1"/>
    </row>
    <row r="3321" spans="1:6" ht="12.5">
      <c r="A3321" s="1"/>
      <c r="B3321" s="1"/>
      <c r="C3321" s="1"/>
      <c r="D3321" s="1"/>
      <c r="E3321" s="1"/>
      <c r="F3321" s="1"/>
    </row>
    <row r="3322" spans="1:6" ht="12.5">
      <c r="A3322" s="1"/>
      <c r="B3322" s="1"/>
      <c r="C3322" s="1"/>
      <c r="D3322" s="1"/>
      <c r="E3322" s="1"/>
      <c r="F3322" s="1"/>
    </row>
    <row r="3323" spans="1:6" ht="12.5">
      <c r="A3323" s="1"/>
      <c r="B3323" s="1"/>
      <c r="C3323" s="1"/>
      <c r="D3323" s="1"/>
      <c r="E3323" s="1"/>
      <c r="F3323" s="1"/>
    </row>
    <row r="3324" spans="1:6" ht="12.5">
      <c r="A3324" s="1"/>
      <c r="B3324" s="1"/>
      <c r="C3324" s="1"/>
      <c r="D3324" s="1"/>
      <c r="E3324" s="1"/>
      <c r="F3324" s="1"/>
    </row>
    <row r="3325" spans="1:6" ht="12.5">
      <c r="A3325" s="1"/>
      <c r="B3325" s="1"/>
      <c r="C3325" s="1"/>
      <c r="D3325" s="1"/>
      <c r="E3325" s="1"/>
      <c r="F3325" s="1"/>
    </row>
    <row r="3326" spans="1:6" ht="12.5">
      <c r="A3326" s="1"/>
      <c r="B3326" s="1"/>
      <c r="C3326" s="1"/>
      <c r="D3326" s="1"/>
      <c r="E3326" s="1"/>
      <c r="F3326" s="1"/>
    </row>
    <row r="3327" spans="1:6" ht="12.5">
      <c r="A3327" s="1"/>
      <c r="B3327" s="1"/>
      <c r="C3327" s="1"/>
      <c r="D3327" s="1"/>
      <c r="E3327" s="1"/>
      <c r="F3327" s="1"/>
    </row>
    <row r="3328" spans="1:6" ht="12.5">
      <c r="A3328" s="1"/>
      <c r="B3328" s="1"/>
      <c r="C3328" s="1"/>
      <c r="D3328" s="1"/>
      <c r="E3328" s="1"/>
      <c r="F3328" s="1"/>
    </row>
    <row r="3329" spans="1:6" ht="12.5">
      <c r="A3329" s="1"/>
      <c r="B3329" s="1"/>
      <c r="C3329" s="1"/>
      <c r="D3329" s="1"/>
      <c r="E3329" s="1"/>
      <c r="F3329" s="1"/>
    </row>
    <row r="3330" spans="1:6" ht="12.5">
      <c r="A3330" s="1"/>
      <c r="B3330" s="1"/>
      <c r="C3330" s="1"/>
      <c r="D3330" s="1"/>
      <c r="E3330" s="1"/>
      <c r="F3330" s="1"/>
    </row>
    <row r="3331" spans="1:6" ht="12.5">
      <c r="A3331" s="1"/>
      <c r="B3331" s="1"/>
      <c r="C3331" s="1"/>
      <c r="D3331" s="1"/>
      <c r="E3331" s="1"/>
      <c r="F3331" s="1"/>
    </row>
    <row r="3332" spans="1:6" ht="12.5">
      <c r="A3332" s="1"/>
      <c r="B3332" s="1"/>
      <c r="C3332" s="1"/>
      <c r="D3332" s="1"/>
      <c r="E3332" s="1"/>
      <c r="F3332" s="1"/>
    </row>
    <row r="3333" spans="1:6" ht="12.5">
      <c r="A3333" s="1"/>
      <c r="B3333" s="1"/>
      <c r="C3333" s="1"/>
      <c r="D3333" s="1"/>
      <c r="E3333" s="1"/>
      <c r="F3333" s="1"/>
    </row>
    <row r="3334" spans="1:6" ht="12.5">
      <c r="A3334" s="1"/>
      <c r="B3334" s="1"/>
      <c r="C3334" s="1"/>
      <c r="D3334" s="1"/>
      <c r="E3334" s="1"/>
      <c r="F3334" s="1"/>
    </row>
    <row r="3335" spans="1:6" ht="12.5">
      <c r="A3335" s="1"/>
      <c r="B3335" s="1"/>
      <c r="C3335" s="1"/>
      <c r="D3335" s="1"/>
      <c r="E3335" s="1"/>
      <c r="F3335" s="1"/>
    </row>
    <row r="3336" spans="1:6" ht="12.5">
      <c r="A3336" s="1"/>
      <c r="B3336" s="1"/>
      <c r="C3336" s="1"/>
      <c r="D3336" s="1"/>
      <c r="E3336" s="1"/>
      <c r="F3336" s="1"/>
    </row>
    <row r="3337" spans="1:6" ht="12.5">
      <c r="A3337" s="1"/>
      <c r="B3337" s="1"/>
      <c r="C3337" s="1"/>
      <c r="D3337" s="1"/>
      <c r="E3337" s="1"/>
      <c r="F3337" s="1"/>
    </row>
    <row r="3338" spans="1:6" ht="12.5">
      <c r="A3338" s="1"/>
      <c r="B3338" s="1"/>
      <c r="C3338" s="1"/>
      <c r="D3338" s="1"/>
      <c r="E3338" s="1"/>
      <c r="F3338" s="1"/>
    </row>
    <row r="3339" spans="1:6" ht="12.5">
      <c r="A3339" s="1"/>
      <c r="B3339" s="1"/>
      <c r="C3339" s="1"/>
      <c r="D3339" s="1"/>
      <c r="E3339" s="1"/>
      <c r="F3339" s="1"/>
    </row>
    <row r="3340" spans="1:6" ht="12.5">
      <c r="A3340" s="1"/>
      <c r="B3340" s="1"/>
      <c r="C3340" s="1"/>
      <c r="D3340" s="1"/>
      <c r="E3340" s="1"/>
      <c r="F3340" s="1"/>
    </row>
    <row r="3341" spans="1:6" ht="12.5">
      <c r="A3341" s="1"/>
      <c r="B3341" s="1"/>
      <c r="C3341" s="1"/>
      <c r="D3341" s="1"/>
      <c r="E3341" s="1"/>
      <c r="F3341" s="1"/>
    </row>
    <row r="3342" spans="1:6" ht="12.5">
      <c r="A3342" s="1"/>
      <c r="B3342" s="1"/>
      <c r="C3342" s="1"/>
      <c r="D3342" s="1"/>
      <c r="E3342" s="1"/>
      <c r="F3342" s="1"/>
    </row>
    <row r="3343" spans="1:6" ht="12.5">
      <c r="A3343" s="1"/>
      <c r="B3343" s="1"/>
      <c r="C3343" s="1"/>
      <c r="D3343" s="1"/>
      <c r="E3343" s="1"/>
      <c r="F3343" s="1"/>
    </row>
    <row r="3344" spans="1:6" ht="12.5">
      <c r="A3344" s="1"/>
      <c r="B3344" s="1"/>
      <c r="C3344" s="1"/>
      <c r="D3344" s="1"/>
      <c r="E3344" s="1"/>
      <c r="F3344" s="1"/>
    </row>
    <row r="3345" spans="1:6" ht="12.5">
      <c r="A3345" s="1"/>
      <c r="B3345" s="1"/>
      <c r="C3345" s="1"/>
      <c r="D3345" s="1"/>
      <c r="E3345" s="1"/>
      <c r="F3345" s="1"/>
    </row>
    <row r="3346" spans="1:6" ht="12.5">
      <c r="A3346" s="1"/>
      <c r="B3346" s="1"/>
      <c r="C3346" s="1"/>
      <c r="D3346" s="1"/>
      <c r="E3346" s="1"/>
      <c r="F3346" s="1"/>
    </row>
    <row r="3347" spans="1:6" ht="12.5">
      <c r="A3347" s="1"/>
      <c r="B3347" s="1"/>
      <c r="C3347" s="1"/>
      <c r="D3347" s="1"/>
      <c r="E3347" s="1"/>
      <c r="F3347" s="1"/>
    </row>
    <row r="3348" spans="1:6" ht="12.5">
      <c r="A3348" s="1"/>
      <c r="B3348" s="1"/>
      <c r="C3348" s="1"/>
      <c r="D3348" s="1"/>
      <c r="E3348" s="1"/>
      <c r="F3348" s="1"/>
    </row>
    <row r="3349" spans="1:6" ht="12.5">
      <c r="A3349" s="1"/>
      <c r="B3349" s="1"/>
      <c r="C3349" s="1"/>
      <c r="D3349" s="1"/>
      <c r="E3349" s="1"/>
      <c r="F3349" s="1"/>
    </row>
    <row r="3350" spans="1:6" ht="12.5">
      <c r="A3350" s="1"/>
      <c r="B3350" s="1"/>
      <c r="C3350" s="1"/>
      <c r="D3350" s="1"/>
      <c r="E3350" s="1"/>
      <c r="F3350" s="1"/>
    </row>
    <row r="3351" spans="1:6" ht="12.5">
      <c r="A3351" s="1"/>
      <c r="B3351" s="1"/>
      <c r="C3351" s="1"/>
      <c r="D3351" s="1"/>
      <c r="E3351" s="1"/>
      <c r="F3351" s="1"/>
    </row>
    <row r="3352" spans="1:6" ht="12.5">
      <c r="A3352" s="1"/>
      <c r="B3352" s="1"/>
      <c r="C3352" s="1"/>
      <c r="D3352" s="1"/>
      <c r="E3352" s="1"/>
      <c r="F3352" s="1"/>
    </row>
    <row r="3353" spans="1:6" ht="12.5">
      <c r="A3353" s="1"/>
      <c r="B3353" s="1"/>
      <c r="C3353" s="1"/>
      <c r="D3353" s="1"/>
      <c r="E3353" s="1"/>
      <c r="F3353" s="1"/>
    </row>
    <row r="3354" spans="1:6" ht="12.5">
      <c r="A3354" s="1"/>
      <c r="B3354" s="1"/>
      <c r="C3354" s="1"/>
      <c r="D3354" s="1"/>
      <c r="E3354" s="1"/>
      <c r="F3354" s="1"/>
    </row>
    <row r="3355" spans="1:6" ht="12.5">
      <c r="A3355" s="1"/>
      <c r="B3355" s="1"/>
      <c r="C3355" s="1"/>
      <c r="D3355" s="1"/>
      <c r="E3355" s="1"/>
      <c r="F3355" s="1"/>
    </row>
    <row r="3356" spans="1:6" ht="12.5">
      <c r="A3356" s="1"/>
      <c r="B3356" s="1"/>
      <c r="C3356" s="1"/>
      <c r="D3356" s="1"/>
      <c r="E3356" s="1"/>
      <c r="F3356" s="1"/>
    </row>
    <row r="3357" spans="1:6" ht="12.5">
      <c r="A3357" s="1"/>
      <c r="B3357" s="1"/>
      <c r="C3357" s="1"/>
      <c r="D3357" s="1"/>
      <c r="E3357" s="1"/>
      <c r="F3357" s="1"/>
    </row>
    <row r="3358" spans="1:6" ht="12.5">
      <c r="A3358" s="1"/>
      <c r="B3358" s="1"/>
      <c r="C3358" s="1"/>
      <c r="D3358" s="1"/>
      <c r="E3358" s="1"/>
      <c r="F3358" s="1"/>
    </row>
    <row r="3359" spans="1:6" ht="12.5">
      <c r="A3359" s="1"/>
      <c r="B3359" s="1"/>
      <c r="C3359" s="1"/>
      <c r="D3359" s="1"/>
      <c r="E3359" s="1"/>
      <c r="F3359" s="1"/>
    </row>
    <row r="3360" spans="1:6" ht="12.5">
      <c r="A3360" s="1"/>
      <c r="B3360" s="1"/>
      <c r="C3360" s="1"/>
      <c r="D3360" s="1"/>
      <c r="E3360" s="1"/>
      <c r="F3360" s="1"/>
    </row>
    <row r="3361" spans="1:6" ht="12.5">
      <c r="A3361" s="1"/>
      <c r="B3361" s="1"/>
      <c r="C3361" s="1"/>
      <c r="D3361" s="1"/>
      <c r="E3361" s="1"/>
      <c r="F3361" s="1"/>
    </row>
    <row r="3362" spans="1:6" ht="12.5">
      <c r="A3362" s="1"/>
      <c r="B3362" s="1"/>
      <c r="C3362" s="1"/>
      <c r="D3362" s="1"/>
      <c r="E3362" s="1"/>
      <c r="F3362" s="1"/>
    </row>
    <row r="3363" spans="1:6" ht="12.5">
      <c r="A3363" s="1"/>
      <c r="B3363" s="1"/>
      <c r="C3363" s="1"/>
      <c r="D3363" s="1"/>
      <c r="E3363" s="1"/>
      <c r="F3363" s="1"/>
    </row>
    <row r="3364" spans="1:6" ht="12.5">
      <c r="A3364" s="1"/>
      <c r="B3364" s="1"/>
      <c r="C3364" s="1"/>
      <c r="D3364" s="1"/>
      <c r="E3364" s="1"/>
      <c r="F3364" s="1"/>
    </row>
    <row r="3365" spans="1:6" ht="12.5">
      <c r="A3365" s="1"/>
      <c r="B3365" s="1"/>
      <c r="C3365" s="1"/>
      <c r="D3365" s="1"/>
      <c r="E3365" s="1"/>
      <c r="F3365" s="1"/>
    </row>
    <row r="3366" spans="1:6" ht="12.5">
      <c r="A3366" s="1"/>
      <c r="B3366" s="1"/>
      <c r="C3366" s="1"/>
      <c r="D3366" s="1"/>
      <c r="E3366" s="1"/>
      <c r="F3366" s="1"/>
    </row>
    <row r="3367" spans="1:6" ht="12.5">
      <c r="A3367" s="1"/>
      <c r="B3367" s="1"/>
      <c r="C3367" s="1"/>
      <c r="D3367" s="1"/>
      <c r="E3367" s="1"/>
      <c r="F3367" s="1"/>
    </row>
    <row r="3368" spans="1:6" ht="12.5">
      <c r="A3368" s="1"/>
      <c r="B3368" s="1"/>
      <c r="C3368" s="1"/>
      <c r="D3368" s="1"/>
      <c r="E3368" s="1"/>
      <c r="F3368" s="1"/>
    </row>
    <row r="3369" spans="1:6" ht="12.5">
      <c r="A3369" s="1"/>
      <c r="B3369" s="1"/>
      <c r="C3369" s="1"/>
      <c r="D3369" s="1"/>
      <c r="E3369" s="1"/>
      <c r="F3369" s="1"/>
    </row>
    <row r="3370" spans="1:6" ht="12.5">
      <c r="A3370" s="1"/>
      <c r="B3370" s="1"/>
      <c r="C3370" s="1"/>
      <c r="D3370" s="1"/>
      <c r="E3370" s="1"/>
      <c r="F3370" s="1"/>
    </row>
    <row r="3371" spans="1:6" ht="12.5">
      <c r="A3371" s="1"/>
      <c r="B3371" s="1"/>
      <c r="C3371" s="1"/>
      <c r="D3371" s="1"/>
      <c r="E3371" s="1"/>
      <c r="F3371" s="1"/>
    </row>
    <row r="3372" spans="1:6" ht="12.5">
      <c r="A3372" s="1"/>
      <c r="B3372" s="1"/>
      <c r="C3372" s="1"/>
      <c r="D3372" s="1"/>
      <c r="E3372" s="1"/>
      <c r="F3372" s="1"/>
    </row>
    <row r="3373" spans="1:6" ht="12.5">
      <c r="A3373" s="1"/>
      <c r="B3373" s="1"/>
      <c r="C3373" s="1"/>
      <c r="D3373" s="1"/>
      <c r="E3373" s="1"/>
      <c r="F3373" s="1"/>
    </row>
    <row r="3374" spans="1:6" ht="12.5">
      <c r="A3374" s="1"/>
      <c r="B3374" s="1"/>
      <c r="C3374" s="1"/>
      <c r="D3374" s="1"/>
      <c r="E3374" s="1"/>
      <c r="F3374" s="1"/>
    </row>
    <row r="3375" spans="1:6" ht="12.5">
      <c r="A3375" s="1"/>
      <c r="B3375" s="1"/>
      <c r="C3375" s="1"/>
      <c r="D3375" s="1"/>
      <c r="E3375" s="1"/>
      <c r="F3375" s="1"/>
    </row>
    <row r="3376" spans="1:6" ht="12.5">
      <c r="A3376" s="1"/>
      <c r="B3376" s="1"/>
      <c r="C3376" s="1"/>
      <c r="D3376" s="1"/>
      <c r="E3376" s="1"/>
      <c r="F3376" s="1"/>
    </row>
    <row r="3377" spans="1:6" ht="12.5">
      <c r="A3377" s="1"/>
      <c r="B3377" s="1"/>
      <c r="C3377" s="1"/>
      <c r="D3377" s="1"/>
      <c r="E3377" s="1"/>
      <c r="F3377" s="1"/>
    </row>
    <row r="3378" spans="1:6" ht="12.5">
      <c r="A3378" s="1"/>
      <c r="B3378" s="1"/>
      <c r="C3378" s="1"/>
      <c r="D3378" s="1"/>
      <c r="E3378" s="1"/>
      <c r="F3378" s="1"/>
    </row>
    <row r="3379" spans="1:6" ht="12.5">
      <c r="A3379" s="1"/>
      <c r="B3379" s="1"/>
      <c r="C3379" s="1"/>
      <c r="D3379" s="1"/>
      <c r="E3379" s="1"/>
      <c r="F3379" s="1"/>
    </row>
    <row r="3380" spans="1:6" ht="12.5">
      <c r="A3380" s="1"/>
      <c r="B3380" s="1"/>
      <c r="C3380" s="1"/>
      <c r="D3380" s="1"/>
      <c r="E3380" s="1"/>
      <c r="F3380" s="1"/>
    </row>
    <row r="3381" spans="1:6" ht="12.5">
      <c r="A3381" s="1"/>
      <c r="B3381" s="1"/>
      <c r="C3381" s="1"/>
      <c r="D3381" s="1"/>
      <c r="E3381" s="1"/>
      <c r="F3381" s="1"/>
    </row>
    <row r="3382" spans="1:6" ht="12.5">
      <c r="A3382" s="1"/>
      <c r="B3382" s="1"/>
      <c r="C3382" s="1"/>
      <c r="D3382" s="1"/>
      <c r="E3382" s="1"/>
      <c r="F3382" s="1"/>
    </row>
    <row r="3383" spans="1:6" ht="12.5">
      <c r="A3383" s="1"/>
      <c r="B3383" s="1"/>
      <c r="C3383" s="1"/>
      <c r="D3383" s="1"/>
      <c r="E3383" s="1"/>
      <c r="F3383" s="1"/>
    </row>
    <row r="3384" spans="1:6" ht="12.5">
      <c r="A3384" s="1"/>
      <c r="B3384" s="1"/>
      <c r="C3384" s="1"/>
      <c r="D3384" s="1"/>
      <c r="E3384" s="1"/>
      <c r="F3384" s="1"/>
    </row>
    <row r="3385" spans="1:6" ht="12.5">
      <c r="A3385" s="1"/>
      <c r="B3385" s="1"/>
      <c r="C3385" s="1"/>
      <c r="D3385" s="1"/>
      <c r="E3385" s="1"/>
      <c r="F3385" s="1"/>
    </row>
    <row r="3386" spans="1:6" ht="12.5">
      <c r="A3386" s="1"/>
      <c r="B3386" s="1"/>
      <c r="C3386" s="1"/>
      <c r="D3386" s="1"/>
      <c r="E3386" s="1"/>
      <c r="F3386" s="1"/>
    </row>
    <row r="3387" spans="1:6" ht="12.5">
      <c r="A3387" s="1"/>
      <c r="B3387" s="1"/>
      <c r="C3387" s="1"/>
      <c r="D3387" s="1"/>
      <c r="E3387" s="1"/>
      <c r="F3387" s="1"/>
    </row>
    <row r="3388" spans="1:6" ht="12.5">
      <c r="A3388" s="1"/>
      <c r="B3388" s="1"/>
      <c r="C3388" s="1"/>
      <c r="D3388" s="1"/>
      <c r="E3388" s="1"/>
      <c r="F3388" s="1"/>
    </row>
    <row r="3389" spans="1:6" ht="12.5">
      <c r="A3389" s="1"/>
      <c r="B3389" s="1"/>
      <c r="C3389" s="1"/>
      <c r="D3389" s="1"/>
      <c r="E3389" s="1"/>
      <c r="F3389" s="1"/>
    </row>
    <row r="3390" spans="1:6" ht="12.5">
      <c r="A3390" s="1"/>
      <c r="B3390" s="1"/>
      <c r="C3390" s="1"/>
      <c r="D3390" s="1"/>
      <c r="E3390" s="1"/>
      <c r="F3390" s="1"/>
    </row>
    <row r="3391" spans="1:6" ht="12.5">
      <c r="A3391" s="1"/>
      <c r="B3391" s="1"/>
      <c r="C3391" s="1"/>
      <c r="D3391" s="1"/>
      <c r="E3391" s="1"/>
      <c r="F3391" s="1"/>
    </row>
    <row r="3392" spans="1:6" ht="12.5">
      <c r="A3392" s="1"/>
      <c r="B3392" s="1"/>
      <c r="C3392" s="1"/>
      <c r="D3392" s="1"/>
      <c r="E3392" s="1"/>
      <c r="F3392" s="1"/>
    </row>
    <row r="3393" spans="1:6" ht="12.5">
      <c r="A3393" s="1"/>
      <c r="B3393" s="1"/>
      <c r="C3393" s="1"/>
      <c r="D3393" s="1"/>
      <c r="E3393" s="1"/>
      <c r="F3393" s="1"/>
    </row>
    <row r="3394" spans="1:6" ht="12.5">
      <c r="A3394" s="1"/>
      <c r="B3394" s="1"/>
      <c r="C3394" s="1"/>
      <c r="D3394" s="1"/>
      <c r="E3394" s="1"/>
      <c r="F3394" s="1"/>
    </row>
    <row r="3395" spans="1:6" ht="12.5">
      <c r="A3395" s="1"/>
      <c r="B3395" s="1"/>
      <c r="C3395" s="1"/>
      <c r="D3395" s="1"/>
      <c r="E3395" s="1"/>
      <c r="F3395" s="1"/>
    </row>
    <row r="3396" spans="1:6" ht="12.5">
      <c r="A3396" s="1"/>
      <c r="B3396" s="1"/>
      <c r="C3396" s="1"/>
      <c r="D3396" s="1"/>
      <c r="E3396" s="1"/>
      <c r="F3396" s="1"/>
    </row>
    <row r="3397" spans="1:6" ht="12.5">
      <c r="A3397" s="1"/>
      <c r="B3397" s="1"/>
      <c r="C3397" s="1"/>
      <c r="D3397" s="1"/>
      <c r="E3397" s="1"/>
      <c r="F3397" s="1"/>
    </row>
    <row r="3398" spans="1:6" ht="12.5">
      <c r="A3398" s="1"/>
      <c r="B3398" s="1"/>
      <c r="C3398" s="1"/>
      <c r="D3398" s="1"/>
      <c r="E3398" s="1"/>
      <c r="F3398" s="1"/>
    </row>
    <row r="3399" spans="1:6" ht="12.5">
      <c r="A3399" s="1"/>
      <c r="B3399" s="1"/>
      <c r="C3399" s="1"/>
      <c r="D3399" s="1"/>
      <c r="E3399" s="1"/>
      <c r="F3399" s="1"/>
    </row>
    <row r="3400" spans="1:6" ht="12.5">
      <c r="A3400" s="1"/>
      <c r="B3400" s="1"/>
      <c r="C3400" s="1"/>
      <c r="D3400" s="1"/>
      <c r="E3400" s="1"/>
      <c r="F3400" s="1"/>
    </row>
    <row r="3401" spans="1:6" ht="12.5">
      <c r="A3401" s="1"/>
      <c r="B3401" s="1"/>
      <c r="C3401" s="1"/>
      <c r="D3401" s="1"/>
      <c r="E3401" s="1"/>
      <c r="F3401" s="1"/>
    </row>
    <row r="3402" spans="1:6" ht="12.5">
      <c r="A3402" s="1"/>
      <c r="B3402" s="1"/>
      <c r="C3402" s="1"/>
      <c r="D3402" s="1"/>
      <c r="E3402" s="1"/>
      <c r="F3402" s="1"/>
    </row>
    <row r="3403" spans="1:6" ht="12.5">
      <c r="A3403" s="1"/>
      <c r="B3403" s="1"/>
      <c r="C3403" s="1"/>
      <c r="D3403" s="1"/>
      <c r="E3403" s="1"/>
      <c r="F3403" s="1"/>
    </row>
    <row r="3404" spans="1:6" ht="12.5">
      <c r="A3404" s="1"/>
      <c r="B3404" s="1"/>
      <c r="C3404" s="1"/>
      <c r="D3404" s="1"/>
      <c r="E3404" s="1"/>
      <c r="F3404" s="1"/>
    </row>
    <row r="3405" spans="1:6" ht="12.5">
      <c r="A3405" s="1"/>
      <c r="B3405" s="1"/>
      <c r="C3405" s="1"/>
      <c r="D3405" s="1"/>
      <c r="E3405" s="1"/>
      <c r="F3405" s="1"/>
    </row>
    <row r="3406" spans="1:6" ht="12.5">
      <c r="A3406" s="1"/>
      <c r="B3406" s="1"/>
      <c r="C3406" s="1"/>
      <c r="D3406" s="1"/>
      <c r="E3406" s="1"/>
      <c r="F3406" s="1"/>
    </row>
    <row r="3407" spans="1:6" ht="12.5">
      <c r="A3407" s="1"/>
      <c r="B3407" s="1"/>
      <c r="C3407" s="1"/>
      <c r="D3407" s="1"/>
      <c r="E3407" s="1"/>
      <c r="F3407" s="1"/>
    </row>
    <row r="3408" spans="1:6" ht="12.5">
      <c r="A3408" s="1"/>
      <c r="B3408" s="1"/>
      <c r="C3408" s="1"/>
      <c r="D3408" s="1"/>
      <c r="E3408" s="1"/>
      <c r="F3408" s="1"/>
    </row>
    <row r="3409" spans="1:6" ht="12.5">
      <c r="A3409" s="1"/>
      <c r="B3409" s="1"/>
      <c r="C3409" s="1"/>
      <c r="D3409" s="1"/>
      <c r="E3409" s="1"/>
      <c r="F3409" s="1"/>
    </row>
    <row r="3410" spans="1:6" ht="12.5">
      <c r="A3410" s="1"/>
      <c r="B3410" s="1"/>
      <c r="C3410" s="1"/>
      <c r="D3410" s="1"/>
      <c r="E3410" s="1"/>
      <c r="F3410" s="1"/>
    </row>
    <row r="3411" spans="1:6" ht="12.5">
      <c r="A3411" s="1"/>
      <c r="B3411" s="1"/>
      <c r="C3411" s="1"/>
      <c r="D3411" s="1"/>
      <c r="E3411" s="1"/>
      <c r="F3411" s="1"/>
    </row>
    <row r="3412" spans="1:6" ht="12.5">
      <c r="A3412" s="1"/>
      <c r="B3412" s="1"/>
      <c r="C3412" s="1"/>
      <c r="D3412" s="1"/>
      <c r="E3412" s="1"/>
      <c r="F3412" s="1"/>
    </row>
    <row r="3413" spans="1:6" ht="12.5">
      <c r="A3413" s="1"/>
      <c r="B3413" s="1"/>
      <c r="C3413" s="1"/>
      <c r="D3413" s="1"/>
      <c r="E3413" s="1"/>
      <c r="F3413" s="1"/>
    </row>
    <row r="3414" spans="1:6" ht="12.5">
      <c r="A3414" s="1"/>
      <c r="B3414" s="1"/>
      <c r="C3414" s="1"/>
      <c r="D3414" s="1"/>
      <c r="E3414" s="1"/>
      <c r="F3414" s="1"/>
    </row>
    <row r="3415" spans="1:6" ht="12.5">
      <c r="A3415" s="1"/>
      <c r="B3415" s="1"/>
      <c r="C3415" s="1"/>
      <c r="D3415" s="1"/>
      <c r="E3415" s="1"/>
      <c r="F3415" s="1"/>
    </row>
    <row r="3416" spans="1:6" ht="12.5">
      <c r="A3416" s="1"/>
      <c r="B3416" s="1"/>
      <c r="C3416" s="1"/>
      <c r="D3416" s="1"/>
      <c r="E3416" s="1"/>
      <c r="F3416" s="1"/>
    </row>
    <row r="3417" spans="1:6" ht="12.5">
      <c r="A3417" s="1"/>
      <c r="B3417" s="1"/>
      <c r="C3417" s="1"/>
      <c r="D3417" s="1"/>
      <c r="E3417" s="1"/>
      <c r="F3417" s="1"/>
    </row>
    <row r="3418" spans="1:6" ht="12.5">
      <c r="A3418" s="1"/>
      <c r="B3418" s="1"/>
      <c r="C3418" s="1"/>
      <c r="D3418" s="1"/>
      <c r="E3418" s="1"/>
      <c r="F3418" s="1"/>
    </row>
    <row r="3419" spans="1:6" ht="12.5">
      <c r="A3419" s="1"/>
      <c r="B3419" s="1"/>
      <c r="C3419" s="1"/>
      <c r="D3419" s="1"/>
      <c r="E3419" s="1"/>
      <c r="F3419" s="1"/>
    </row>
    <row r="3420" spans="1:6" ht="12.5">
      <c r="A3420" s="1"/>
      <c r="B3420" s="1"/>
      <c r="C3420" s="1"/>
      <c r="D3420" s="1"/>
      <c r="E3420" s="1"/>
      <c r="F3420" s="1"/>
    </row>
    <row r="3421" spans="1:6" ht="12.5">
      <c r="A3421" s="1"/>
      <c r="B3421" s="1"/>
      <c r="C3421" s="1"/>
      <c r="D3421" s="1"/>
      <c r="E3421" s="1"/>
      <c r="F3421" s="1"/>
    </row>
    <row r="3422" spans="1:6" ht="12.5">
      <c r="A3422" s="1"/>
      <c r="B3422" s="1"/>
      <c r="C3422" s="1"/>
      <c r="D3422" s="1"/>
      <c r="E3422" s="1"/>
      <c r="F3422" s="1"/>
    </row>
    <row r="3423" spans="1:6" ht="12.5">
      <c r="A3423" s="1"/>
      <c r="B3423" s="1"/>
      <c r="C3423" s="1"/>
      <c r="D3423" s="1"/>
      <c r="E3423" s="1"/>
      <c r="F3423" s="1"/>
    </row>
    <row r="3424" spans="1:6" ht="12.5">
      <c r="A3424" s="1"/>
      <c r="B3424" s="1"/>
      <c r="C3424" s="1"/>
      <c r="D3424" s="1"/>
      <c r="E3424" s="1"/>
      <c r="F3424" s="1"/>
    </row>
    <row r="3425" spans="1:6" ht="12.5">
      <c r="A3425" s="1"/>
      <c r="B3425" s="1"/>
      <c r="C3425" s="1"/>
      <c r="D3425" s="1"/>
      <c r="E3425" s="1"/>
      <c r="F3425" s="1"/>
    </row>
    <row r="3426" spans="1:6" ht="12.5">
      <c r="A3426" s="1"/>
      <c r="B3426" s="1"/>
      <c r="C3426" s="1"/>
      <c r="D3426" s="1"/>
      <c r="E3426" s="1"/>
      <c r="F3426" s="1"/>
    </row>
    <row r="3427" spans="1:6" ht="12.5">
      <c r="A3427" s="1"/>
      <c r="B3427" s="1"/>
      <c r="C3427" s="1"/>
      <c r="D3427" s="1"/>
      <c r="E3427" s="1"/>
      <c r="F3427" s="1"/>
    </row>
    <row r="3428" spans="1:6" ht="12.5">
      <c r="A3428" s="1"/>
      <c r="B3428" s="1"/>
      <c r="C3428" s="1"/>
      <c r="D3428" s="1"/>
      <c r="E3428" s="1"/>
      <c r="F3428" s="1"/>
    </row>
    <row r="3429" spans="1:6" ht="12.5">
      <c r="A3429" s="1"/>
      <c r="B3429" s="1"/>
      <c r="C3429" s="1"/>
      <c r="D3429" s="1"/>
      <c r="E3429" s="1"/>
      <c r="F3429" s="1"/>
    </row>
    <row r="3430" spans="1:6" ht="12.5">
      <c r="A3430" s="1"/>
      <c r="B3430" s="1"/>
      <c r="C3430" s="1"/>
      <c r="D3430" s="1"/>
      <c r="E3430" s="1"/>
      <c r="F3430" s="1"/>
    </row>
    <row r="3431" spans="1:6" ht="12.5">
      <c r="A3431" s="1"/>
      <c r="B3431" s="1"/>
      <c r="C3431" s="1"/>
      <c r="D3431" s="1"/>
      <c r="E3431" s="1"/>
      <c r="F3431" s="1"/>
    </row>
    <row r="3432" spans="1:6" ht="12.5">
      <c r="A3432" s="1"/>
      <c r="B3432" s="1"/>
      <c r="C3432" s="1"/>
      <c r="D3432" s="1"/>
      <c r="E3432" s="1"/>
      <c r="F3432" s="1"/>
    </row>
    <row r="3433" spans="1:6" ht="12.5">
      <c r="A3433" s="1"/>
      <c r="B3433" s="1"/>
      <c r="C3433" s="1"/>
      <c r="D3433" s="1"/>
      <c r="E3433" s="1"/>
      <c r="F3433" s="1"/>
    </row>
    <row r="3434" spans="1:6" ht="12.5">
      <c r="A3434" s="1"/>
      <c r="B3434" s="1"/>
      <c r="C3434" s="1"/>
      <c r="D3434" s="1"/>
      <c r="E3434" s="1"/>
      <c r="F3434" s="1"/>
    </row>
    <row r="3435" spans="1:6" ht="12.5">
      <c r="A3435" s="1"/>
      <c r="B3435" s="1"/>
      <c r="C3435" s="1"/>
      <c r="D3435" s="1"/>
      <c r="E3435" s="1"/>
      <c r="F3435" s="1"/>
    </row>
    <row r="3436" spans="1:6" ht="12.5">
      <c r="A3436" s="1"/>
      <c r="B3436" s="1"/>
      <c r="C3436" s="1"/>
      <c r="D3436" s="1"/>
      <c r="E3436" s="1"/>
      <c r="F3436" s="1"/>
    </row>
    <row r="3437" spans="1:6" ht="12.5">
      <c r="A3437" s="1"/>
      <c r="B3437" s="1"/>
      <c r="C3437" s="1"/>
      <c r="D3437" s="1"/>
      <c r="E3437" s="1"/>
      <c r="F3437" s="1"/>
    </row>
    <row r="3438" spans="1:6" ht="12.5">
      <c r="A3438" s="1"/>
      <c r="B3438" s="1"/>
      <c r="C3438" s="1"/>
      <c r="D3438" s="1"/>
      <c r="E3438" s="1"/>
      <c r="F3438" s="1"/>
    </row>
    <row r="3439" spans="1:6" ht="12.5">
      <c r="A3439" s="1"/>
      <c r="B3439" s="1"/>
      <c r="C3439" s="1"/>
      <c r="D3439" s="1"/>
      <c r="E3439" s="1"/>
      <c r="F3439" s="1"/>
    </row>
    <row r="3440" spans="1:6" ht="12.5">
      <c r="A3440" s="1"/>
      <c r="B3440" s="1"/>
      <c r="C3440" s="1"/>
      <c r="D3440" s="1"/>
      <c r="E3440" s="1"/>
      <c r="F3440" s="1"/>
    </row>
    <row r="3441" spans="1:6" ht="12.5">
      <c r="A3441" s="1"/>
      <c r="B3441" s="1"/>
      <c r="C3441" s="1"/>
      <c r="D3441" s="1"/>
      <c r="E3441" s="1"/>
      <c r="F3441" s="1"/>
    </row>
    <row r="3442" spans="1:6" ht="12.5">
      <c r="A3442" s="1"/>
      <c r="B3442" s="1"/>
      <c r="C3442" s="1"/>
      <c r="D3442" s="1"/>
      <c r="E3442" s="1"/>
      <c r="F3442" s="1"/>
    </row>
    <row r="3443" spans="1:6" ht="12.5">
      <c r="A3443" s="1"/>
      <c r="B3443" s="1"/>
      <c r="C3443" s="1"/>
      <c r="D3443" s="1"/>
      <c r="E3443" s="1"/>
      <c r="F3443" s="1"/>
    </row>
    <row r="3444" spans="1:6" ht="12.5">
      <c r="A3444" s="1"/>
      <c r="B3444" s="1"/>
      <c r="C3444" s="1"/>
      <c r="D3444" s="1"/>
      <c r="E3444" s="1"/>
      <c r="F3444" s="1"/>
    </row>
    <row r="3445" spans="1:6" ht="12.5">
      <c r="A3445" s="1"/>
      <c r="B3445" s="1"/>
      <c r="C3445" s="1"/>
      <c r="D3445" s="1"/>
      <c r="E3445" s="1"/>
      <c r="F3445" s="1"/>
    </row>
    <row r="3446" spans="1:6" ht="12.5">
      <c r="A3446" s="1"/>
      <c r="B3446" s="1"/>
      <c r="C3446" s="1"/>
      <c r="D3446" s="1"/>
      <c r="E3446" s="1"/>
      <c r="F3446" s="1"/>
    </row>
    <row r="3447" spans="1:6" ht="12.5">
      <c r="A3447" s="1"/>
      <c r="B3447" s="1"/>
      <c r="C3447" s="1"/>
      <c r="D3447" s="1"/>
      <c r="E3447" s="1"/>
      <c r="F3447" s="1"/>
    </row>
    <row r="3448" spans="1:6" ht="12.5">
      <c r="A3448" s="1"/>
      <c r="B3448" s="1"/>
      <c r="C3448" s="1"/>
      <c r="D3448" s="1"/>
      <c r="E3448" s="1"/>
      <c r="F3448" s="1"/>
    </row>
    <row r="3449" spans="1:6" ht="12.5">
      <c r="A3449" s="1"/>
      <c r="B3449" s="1"/>
      <c r="C3449" s="1"/>
      <c r="D3449" s="1"/>
      <c r="E3449" s="1"/>
      <c r="F3449" s="1"/>
    </row>
    <row r="3450" spans="1:6" ht="12.5">
      <c r="A3450" s="1"/>
      <c r="B3450" s="1"/>
      <c r="C3450" s="1"/>
      <c r="D3450" s="1"/>
      <c r="E3450" s="1"/>
      <c r="F3450" s="1"/>
    </row>
    <row r="3451" spans="1:6" ht="12.5">
      <c r="A3451" s="1"/>
      <c r="B3451" s="1"/>
      <c r="C3451" s="1"/>
      <c r="D3451" s="1"/>
      <c r="E3451" s="1"/>
      <c r="F3451" s="1"/>
    </row>
    <row r="3452" spans="1:6" ht="12.5">
      <c r="A3452" s="1"/>
      <c r="B3452" s="1"/>
      <c r="C3452" s="1"/>
      <c r="D3452" s="1"/>
      <c r="E3452" s="1"/>
      <c r="F3452" s="1"/>
    </row>
    <row r="3453" spans="1:6" ht="12.5">
      <c r="A3453" s="1"/>
      <c r="B3453" s="1"/>
      <c r="C3453" s="1"/>
      <c r="D3453" s="1"/>
      <c r="E3453" s="1"/>
      <c r="F3453" s="1"/>
    </row>
    <row r="3454" spans="1:6" ht="12.5">
      <c r="A3454" s="1"/>
      <c r="B3454" s="1"/>
      <c r="C3454" s="1"/>
      <c r="D3454" s="1"/>
      <c r="E3454" s="1"/>
      <c r="F3454" s="1"/>
    </row>
    <row r="3455" spans="1:6" ht="12.5">
      <c r="A3455" s="1"/>
      <c r="B3455" s="1"/>
      <c r="C3455" s="1"/>
      <c r="D3455" s="1"/>
      <c r="E3455" s="1"/>
      <c r="F3455" s="1"/>
    </row>
    <row r="3456" spans="1:6" ht="12.5">
      <c r="A3456" s="1"/>
      <c r="B3456" s="1"/>
      <c r="C3456" s="1"/>
      <c r="D3456" s="1"/>
      <c r="E3456" s="1"/>
      <c r="F3456" s="1"/>
    </row>
    <row r="3457" spans="1:6" ht="12.5">
      <c r="A3457" s="1"/>
      <c r="B3457" s="1"/>
      <c r="C3457" s="1"/>
      <c r="D3457" s="1"/>
      <c r="E3457" s="1"/>
      <c r="F3457" s="1"/>
    </row>
    <row r="3458" spans="1:6" ht="12.5">
      <c r="A3458" s="1"/>
      <c r="B3458" s="1"/>
      <c r="C3458" s="1"/>
      <c r="D3458" s="1"/>
      <c r="E3458" s="1"/>
      <c r="F3458" s="1"/>
    </row>
    <row r="3459" spans="1:6" ht="12.5">
      <c r="A3459" s="1"/>
      <c r="B3459" s="1"/>
      <c r="C3459" s="1"/>
      <c r="D3459" s="1"/>
      <c r="E3459" s="1"/>
      <c r="F3459" s="1"/>
    </row>
    <row r="3460" spans="1:6" ht="12.5">
      <c r="A3460" s="1"/>
      <c r="B3460" s="1"/>
      <c r="C3460" s="1"/>
      <c r="D3460" s="1"/>
      <c r="E3460" s="1"/>
      <c r="F3460" s="1"/>
    </row>
    <row r="3461" spans="1:6" ht="12.5">
      <c r="A3461" s="1"/>
      <c r="B3461" s="1"/>
      <c r="C3461" s="1"/>
      <c r="D3461" s="1"/>
      <c r="E3461" s="1"/>
      <c r="F3461" s="1"/>
    </row>
    <row r="3462" spans="1:6" ht="12.5">
      <c r="A3462" s="1"/>
      <c r="B3462" s="1"/>
      <c r="C3462" s="1"/>
      <c r="D3462" s="1"/>
      <c r="E3462" s="1"/>
      <c r="F3462" s="1"/>
    </row>
    <row r="3463" spans="1:6" ht="12.5">
      <c r="A3463" s="1"/>
      <c r="B3463" s="1"/>
      <c r="C3463" s="1"/>
      <c r="D3463" s="1"/>
      <c r="E3463" s="1"/>
      <c r="F3463" s="1"/>
    </row>
    <row r="3464" spans="1:6" ht="12.5">
      <c r="A3464" s="1"/>
      <c r="B3464" s="1"/>
      <c r="C3464" s="1"/>
      <c r="D3464" s="1"/>
      <c r="E3464" s="1"/>
      <c r="F3464" s="1"/>
    </row>
    <row r="3465" spans="1:6" ht="12.5">
      <c r="A3465" s="1"/>
      <c r="B3465" s="1"/>
      <c r="C3465" s="1"/>
      <c r="D3465" s="1"/>
      <c r="E3465" s="1"/>
      <c r="F3465" s="1"/>
    </row>
    <row r="3466" spans="1:6" ht="12.5">
      <c r="A3466" s="1"/>
      <c r="B3466" s="1"/>
      <c r="C3466" s="1"/>
      <c r="D3466" s="1"/>
      <c r="E3466" s="1"/>
      <c r="F3466" s="1"/>
    </row>
    <row r="3467" spans="1:6" ht="12.5">
      <c r="A3467" s="1"/>
      <c r="B3467" s="1"/>
      <c r="C3467" s="1"/>
      <c r="D3467" s="1"/>
      <c r="E3467" s="1"/>
      <c r="F3467" s="1"/>
    </row>
    <row r="3468" spans="1:6" ht="12.5">
      <c r="A3468" s="1"/>
      <c r="B3468" s="1"/>
      <c r="C3468" s="1"/>
      <c r="D3468" s="1"/>
      <c r="E3468" s="1"/>
      <c r="F3468" s="1"/>
    </row>
    <row r="3469" spans="1:6" ht="12.5">
      <c r="A3469" s="1"/>
      <c r="B3469" s="1"/>
      <c r="C3469" s="1"/>
      <c r="D3469" s="1"/>
      <c r="E3469" s="1"/>
      <c r="F3469" s="1"/>
    </row>
    <row r="3470" spans="1:6" ht="12.5">
      <c r="A3470" s="1"/>
      <c r="B3470" s="1"/>
      <c r="C3470" s="1"/>
      <c r="D3470" s="1"/>
      <c r="E3470" s="1"/>
      <c r="F3470" s="1"/>
    </row>
    <row r="3471" spans="1:6" ht="12.5">
      <c r="A3471" s="1"/>
      <c r="B3471" s="1"/>
      <c r="C3471" s="1"/>
      <c r="D3471" s="1"/>
      <c r="E3471" s="1"/>
      <c r="F3471" s="1"/>
    </row>
    <row r="3472" spans="1:6" ht="12.5">
      <c r="A3472" s="1"/>
      <c r="B3472" s="1"/>
      <c r="C3472" s="1"/>
      <c r="D3472" s="1"/>
      <c r="E3472" s="1"/>
      <c r="F3472" s="1"/>
    </row>
    <row r="3473" spans="1:6" ht="12.5">
      <c r="A3473" s="1"/>
      <c r="B3473" s="1"/>
      <c r="C3473" s="1"/>
      <c r="D3473" s="1"/>
      <c r="E3473" s="1"/>
      <c r="F3473" s="1"/>
    </row>
    <row r="3474" spans="1:6" ht="12.5">
      <c r="A3474" s="1"/>
      <c r="B3474" s="1"/>
      <c r="C3474" s="1"/>
      <c r="D3474" s="1"/>
      <c r="E3474" s="1"/>
      <c r="F3474" s="1"/>
    </row>
    <row r="3475" spans="1:6" ht="12.5">
      <c r="A3475" s="1"/>
      <c r="B3475" s="1"/>
      <c r="C3475" s="1"/>
      <c r="D3475" s="1"/>
      <c r="E3475" s="1"/>
      <c r="F3475" s="1"/>
    </row>
    <row r="3476" spans="1:6" ht="12.5">
      <c r="A3476" s="1"/>
      <c r="B3476" s="1"/>
      <c r="C3476" s="1"/>
      <c r="D3476" s="1"/>
      <c r="E3476" s="1"/>
      <c r="F3476" s="1"/>
    </row>
    <row r="3477" spans="1:6" ht="12.5">
      <c r="A3477" s="1"/>
      <c r="B3477" s="1"/>
      <c r="C3477" s="1"/>
      <c r="D3477" s="1"/>
      <c r="E3477" s="1"/>
      <c r="F3477" s="1"/>
    </row>
    <row r="3478" spans="1:6" ht="12.5">
      <c r="A3478" s="1"/>
      <c r="B3478" s="1"/>
      <c r="C3478" s="1"/>
      <c r="D3478" s="1"/>
      <c r="E3478" s="1"/>
      <c r="F3478" s="1"/>
    </row>
    <row r="3479" spans="1:6" ht="12.5">
      <c r="A3479" s="1"/>
      <c r="B3479" s="1"/>
      <c r="C3479" s="1"/>
      <c r="D3479" s="1"/>
      <c r="E3479" s="1"/>
      <c r="F3479" s="1"/>
    </row>
    <row r="3480" spans="1:6" ht="12.5">
      <c r="A3480" s="1"/>
      <c r="B3480" s="1"/>
      <c r="C3480" s="1"/>
      <c r="D3480" s="1"/>
      <c r="E3480" s="1"/>
      <c r="F3480" s="1"/>
    </row>
    <row r="3481" spans="1:6" ht="12.5">
      <c r="A3481" s="1"/>
      <c r="B3481" s="1"/>
      <c r="C3481" s="1"/>
      <c r="D3481" s="1"/>
      <c r="E3481" s="1"/>
      <c r="F3481" s="1"/>
    </row>
    <row r="3482" spans="1:6" ht="12.5">
      <c r="A3482" s="1"/>
      <c r="B3482" s="1"/>
      <c r="C3482" s="1"/>
      <c r="D3482" s="1"/>
      <c r="E3482" s="1"/>
      <c r="F3482" s="1"/>
    </row>
    <row r="3483" spans="1:6" ht="12.5">
      <c r="A3483" s="1"/>
      <c r="B3483" s="1"/>
      <c r="C3483" s="1"/>
      <c r="D3483" s="1"/>
      <c r="E3483" s="1"/>
      <c r="F3483" s="1"/>
    </row>
    <row r="3484" spans="1:6" ht="12.5">
      <c r="A3484" s="1"/>
      <c r="B3484" s="1"/>
      <c r="C3484" s="1"/>
      <c r="D3484" s="1"/>
      <c r="E3484" s="1"/>
      <c r="F3484" s="1"/>
    </row>
    <row r="3485" spans="1:6" ht="12.5">
      <c r="A3485" s="1"/>
      <c r="B3485" s="1"/>
      <c r="C3485" s="1"/>
      <c r="D3485" s="1"/>
      <c r="E3485" s="1"/>
      <c r="F3485" s="1"/>
    </row>
    <row r="3486" spans="1:6" ht="12.5">
      <c r="A3486" s="1"/>
      <c r="B3486" s="1"/>
      <c r="C3486" s="1"/>
      <c r="D3486" s="1"/>
      <c r="E3486" s="1"/>
      <c r="F3486" s="1"/>
    </row>
    <row r="3487" spans="1:6" ht="12.5">
      <c r="A3487" s="1"/>
      <c r="B3487" s="1"/>
      <c r="C3487" s="1"/>
      <c r="D3487" s="1"/>
      <c r="E3487" s="1"/>
      <c r="F3487" s="1"/>
    </row>
    <row r="3488" spans="1:6" ht="12.5">
      <c r="A3488" s="1"/>
      <c r="B3488" s="1"/>
      <c r="C3488" s="1"/>
      <c r="D3488" s="1"/>
      <c r="E3488" s="1"/>
      <c r="F3488" s="1"/>
    </row>
    <row r="3489" spans="1:6" ht="12.5">
      <c r="A3489" s="1"/>
      <c r="B3489" s="1"/>
      <c r="C3489" s="1"/>
      <c r="D3489" s="1"/>
      <c r="E3489" s="1"/>
      <c r="F3489" s="1"/>
    </row>
    <row r="3490" spans="1:6" ht="12.5">
      <c r="A3490" s="1"/>
      <c r="B3490" s="1"/>
      <c r="C3490" s="1"/>
      <c r="D3490" s="1"/>
      <c r="E3490" s="1"/>
      <c r="F3490" s="1"/>
    </row>
    <row r="3491" spans="1:6" ht="12.5">
      <c r="A3491" s="1"/>
      <c r="B3491" s="1"/>
      <c r="C3491" s="1"/>
      <c r="D3491" s="1"/>
      <c r="E3491" s="1"/>
      <c r="F3491" s="1"/>
    </row>
    <row r="3492" spans="1:6" ht="12.5">
      <c r="A3492" s="1"/>
      <c r="B3492" s="1"/>
      <c r="C3492" s="1"/>
      <c r="D3492" s="1"/>
      <c r="E3492" s="1"/>
      <c r="F3492" s="1"/>
    </row>
    <row r="3493" spans="1:6" ht="12.5">
      <c r="A3493" s="1"/>
      <c r="B3493" s="1"/>
      <c r="C3493" s="1"/>
      <c r="D3493" s="1"/>
      <c r="E3493" s="1"/>
      <c r="F3493" s="1"/>
    </row>
    <row r="3494" spans="1:6" ht="12.5">
      <c r="A3494" s="1"/>
      <c r="B3494" s="1"/>
      <c r="C3494" s="1"/>
      <c r="D3494" s="1"/>
      <c r="E3494" s="1"/>
      <c r="F3494" s="1"/>
    </row>
    <row r="3495" spans="1:6" ht="12.5">
      <c r="A3495" s="1"/>
      <c r="B3495" s="1"/>
      <c r="C3495" s="1"/>
      <c r="D3495" s="1"/>
      <c r="E3495" s="1"/>
      <c r="F3495" s="1"/>
    </row>
    <row r="3496" spans="1:6" ht="12.5">
      <c r="A3496" s="1"/>
      <c r="B3496" s="1"/>
      <c r="C3496" s="1"/>
      <c r="D3496" s="1"/>
      <c r="E3496" s="1"/>
      <c r="F3496" s="1"/>
    </row>
    <row r="3497" spans="1:6" ht="12.5">
      <c r="A3497" s="1"/>
      <c r="B3497" s="1"/>
      <c r="C3497" s="1"/>
      <c r="D3497" s="1"/>
      <c r="E3497" s="1"/>
      <c r="F3497" s="1"/>
    </row>
    <row r="3498" spans="1:6" ht="12.5">
      <c r="A3498" s="1"/>
      <c r="B3498" s="1"/>
      <c r="C3498" s="1"/>
      <c r="D3498" s="1"/>
      <c r="E3498" s="1"/>
      <c r="F3498" s="1"/>
    </row>
    <row r="3499" spans="1:6" ht="12.5">
      <c r="A3499" s="1"/>
      <c r="B3499" s="1"/>
      <c r="C3499" s="1"/>
      <c r="D3499" s="1"/>
      <c r="E3499" s="1"/>
      <c r="F3499" s="1"/>
    </row>
    <row r="3500" spans="1:6" ht="12.5">
      <c r="A3500" s="1"/>
      <c r="B3500" s="1"/>
      <c r="C3500" s="1"/>
      <c r="D3500" s="1"/>
      <c r="E3500" s="1"/>
      <c r="F3500" s="1"/>
    </row>
    <row r="3501" spans="1:6" ht="12.5">
      <c r="A3501" s="1"/>
      <c r="B3501" s="1"/>
      <c r="C3501" s="1"/>
      <c r="D3501" s="1"/>
      <c r="E3501" s="1"/>
      <c r="F3501" s="1"/>
    </row>
    <row r="3502" spans="1:6" ht="12.5">
      <c r="A3502" s="1"/>
      <c r="B3502" s="1"/>
      <c r="C3502" s="1"/>
      <c r="D3502" s="1"/>
      <c r="E3502" s="1"/>
      <c r="F3502" s="1"/>
    </row>
    <row r="3503" spans="1:6" ht="12.5">
      <c r="A3503" s="1"/>
      <c r="B3503" s="1"/>
      <c r="C3503" s="1"/>
      <c r="D3503" s="1"/>
      <c r="E3503" s="1"/>
      <c r="F3503" s="1"/>
    </row>
    <row r="3504" spans="1:6" ht="12.5">
      <c r="A3504" s="1"/>
      <c r="B3504" s="1"/>
      <c r="C3504" s="1"/>
      <c r="D3504" s="1"/>
      <c r="E3504" s="1"/>
      <c r="F3504" s="1"/>
    </row>
    <row r="3505" spans="1:6" ht="12.5">
      <c r="A3505" s="1"/>
      <c r="B3505" s="1"/>
      <c r="C3505" s="1"/>
      <c r="D3505" s="1"/>
      <c r="E3505" s="1"/>
      <c r="F3505" s="1"/>
    </row>
    <row r="3506" spans="1:6" ht="12.5">
      <c r="A3506" s="1"/>
      <c r="B3506" s="1"/>
      <c r="C3506" s="1"/>
      <c r="D3506" s="1"/>
      <c r="E3506" s="1"/>
      <c r="F3506" s="1"/>
    </row>
    <row r="3507" spans="1:6" ht="12.5">
      <c r="A3507" s="1"/>
      <c r="B3507" s="1"/>
      <c r="C3507" s="1"/>
      <c r="D3507" s="1"/>
      <c r="E3507" s="1"/>
      <c r="F3507" s="1"/>
    </row>
    <row r="3508" spans="1:6" ht="12.5">
      <c r="A3508" s="1"/>
      <c r="B3508" s="1"/>
      <c r="C3508" s="1"/>
      <c r="D3508" s="1"/>
      <c r="E3508" s="1"/>
      <c r="F3508" s="1"/>
    </row>
    <row r="3509" spans="1:6" ht="12.5">
      <c r="A3509" s="1"/>
      <c r="B3509" s="1"/>
      <c r="C3509" s="1"/>
      <c r="D3509" s="1"/>
      <c r="E3509" s="1"/>
      <c r="F3509" s="1"/>
    </row>
    <row r="3510" spans="1:6" ht="12.5">
      <c r="A3510" s="1"/>
      <c r="B3510" s="1"/>
      <c r="C3510" s="1"/>
      <c r="D3510" s="1"/>
      <c r="E3510" s="1"/>
      <c r="F3510" s="1"/>
    </row>
    <row r="3511" spans="1:6" ht="12.5">
      <c r="A3511" s="1"/>
      <c r="B3511" s="1"/>
      <c r="C3511" s="1"/>
      <c r="D3511" s="1"/>
      <c r="E3511" s="1"/>
      <c r="F3511" s="1"/>
    </row>
    <row r="3512" spans="1:6" ht="12.5">
      <c r="A3512" s="1"/>
      <c r="B3512" s="1"/>
      <c r="C3512" s="1"/>
      <c r="D3512" s="1"/>
      <c r="E3512" s="1"/>
      <c r="F3512" s="1"/>
    </row>
    <row r="3513" spans="1:6" ht="12.5">
      <c r="A3513" s="1"/>
      <c r="B3513" s="1"/>
      <c r="C3513" s="1"/>
      <c r="D3513" s="1"/>
      <c r="E3513" s="1"/>
      <c r="F3513" s="1"/>
    </row>
    <row r="3514" spans="1:6" ht="12.5">
      <c r="A3514" s="1"/>
      <c r="B3514" s="1"/>
      <c r="C3514" s="1"/>
      <c r="D3514" s="1"/>
      <c r="E3514" s="1"/>
      <c r="F3514" s="1"/>
    </row>
    <row r="3515" spans="1:6" ht="12.5">
      <c r="A3515" s="1"/>
      <c r="B3515" s="1"/>
      <c r="C3515" s="1"/>
      <c r="D3515" s="1"/>
      <c r="E3515" s="1"/>
      <c r="F3515" s="1"/>
    </row>
    <row r="3516" spans="1:6" ht="12.5">
      <c r="A3516" s="1"/>
      <c r="B3516" s="1"/>
      <c r="C3516" s="1"/>
      <c r="D3516" s="1"/>
      <c r="E3516" s="1"/>
      <c r="F3516" s="1"/>
    </row>
    <row r="3517" spans="1:6" ht="12.5">
      <c r="A3517" s="1"/>
      <c r="B3517" s="1"/>
      <c r="C3517" s="1"/>
      <c r="D3517" s="1"/>
      <c r="E3517" s="1"/>
      <c r="F3517" s="1"/>
    </row>
    <row r="3518" spans="1:6" ht="12.5">
      <c r="A3518" s="1"/>
      <c r="B3518" s="1"/>
      <c r="C3518" s="1"/>
      <c r="D3518" s="1"/>
      <c r="E3518" s="1"/>
      <c r="F3518" s="1"/>
    </row>
    <row r="3519" spans="1:6" ht="12.5">
      <c r="A3519" s="1"/>
      <c r="B3519" s="1"/>
      <c r="C3519" s="1"/>
      <c r="D3519" s="1"/>
      <c r="E3519" s="1"/>
      <c r="F3519" s="1"/>
    </row>
    <row r="3520" spans="1:6" ht="12.5">
      <c r="A3520" s="1"/>
      <c r="B3520" s="1"/>
      <c r="C3520" s="1"/>
      <c r="D3520" s="1"/>
      <c r="E3520" s="1"/>
      <c r="F3520" s="1"/>
    </row>
    <row r="3521" spans="1:6" ht="12.5">
      <c r="A3521" s="1"/>
      <c r="B3521" s="1"/>
      <c r="C3521" s="1"/>
      <c r="D3521" s="1"/>
      <c r="E3521" s="1"/>
      <c r="F3521" s="1"/>
    </row>
    <row r="3522" spans="1:6" ht="12.5">
      <c r="A3522" s="1"/>
      <c r="B3522" s="1"/>
      <c r="C3522" s="1"/>
      <c r="D3522" s="1"/>
      <c r="E3522" s="1"/>
      <c r="F3522" s="1"/>
    </row>
    <row r="3523" spans="1:6" ht="12.5">
      <c r="A3523" s="1"/>
      <c r="B3523" s="1"/>
      <c r="C3523" s="1"/>
      <c r="D3523" s="1"/>
      <c r="E3523" s="1"/>
      <c r="F3523" s="1"/>
    </row>
    <row r="3524" spans="1:6" ht="12.5">
      <c r="A3524" s="1"/>
      <c r="B3524" s="1"/>
      <c r="C3524" s="1"/>
      <c r="D3524" s="1"/>
      <c r="E3524" s="1"/>
      <c r="F3524" s="1"/>
    </row>
    <row r="3525" spans="1:6" ht="12.5">
      <c r="A3525" s="1"/>
      <c r="B3525" s="1"/>
      <c r="C3525" s="1"/>
      <c r="D3525" s="1"/>
      <c r="E3525" s="1"/>
      <c r="F3525" s="1"/>
    </row>
    <row r="3526" spans="1:6" ht="12.5">
      <c r="A3526" s="1"/>
      <c r="B3526" s="1"/>
      <c r="C3526" s="1"/>
      <c r="D3526" s="1"/>
      <c r="E3526" s="1"/>
      <c r="F3526" s="1"/>
    </row>
    <row r="3527" spans="1:6" ht="12.5">
      <c r="A3527" s="1"/>
      <c r="B3527" s="1"/>
      <c r="C3527" s="1"/>
      <c r="D3527" s="1"/>
      <c r="E3527" s="1"/>
      <c r="F3527" s="1"/>
    </row>
    <row r="3528" spans="1:6" ht="12.5">
      <c r="A3528" s="1"/>
      <c r="B3528" s="1"/>
      <c r="C3528" s="1"/>
      <c r="D3528" s="1"/>
      <c r="E3528" s="1"/>
      <c r="F3528" s="1"/>
    </row>
    <row r="3529" spans="1:6" ht="12.5">
      <c r="A3529" s="1"/>
      <c r="B3529" s="1"/>
      <c r="C3529" s="1"/>
      <c r="D3529" s="1"/>
      <c r="E3529" s="1"/>
      <c r="F3529" s="1"/>
    </row>
    <row r="3530" spans="1:6" ht="12.5">
      <c r="A3530" s="1"/>
      <c r="B3530" s="1"/>
      <c r="C3530" s="1"/>
      <c r="D3530" s="1"/>
      <c r="E3530" s="1"/>
      <c r="F3530" s="1"/>
    </row>
    <row r="3531" spans="1:6" ht="12.5">
      <c r="A3531" s="1"/>
      <c r="B3531" s="1"/>
      <c r="C3531" s="1"/>
      <c r="D3531" s="1"/>
      <c r="E3531" s="1"/>
      <c r="F3531" s="1"/>
    </row>
    <row r="3532" spans="1:6" ht="12.5">
      <c r="A3532" s="1"/>
      <c r="B3532" s="1"/>
      <c r="C3532" s="1"/>
      <c r="D3532" s="1"/>
      <c r="E3532" s="1"/>
      <c r="F3532" s="1"/>
    </row>
    <row r="3533" spans="1:6" ht="12.5">
      <c r="A3533" s="1"/>
      <c r="B3533" s="1"/>
      <c r="C3533" s="1"/>
      <c r="D3533" s="1"/>
      <c r="E3533" s="1"/>
      <c r="F3533" s="1"/>
    </row>
    <row r="3534" spans="1:6" ht="12.5">
      <c r="A3534" s="1"/>
      <c r="B3534" s="1"/>
      <c r="C3534" s="1"/>
      <c r="D3534" s="1"/>
      <c r="E3534" s="1"/>
      <c r="F3534" s="1"/>
    </row>
    <row r="3535" spans="1:6" ht="12.5">
      <c r="A3535" s="1"/>
      <c r="B3535" s="1"/>
      <c r="C3535" s="1"/>
      <c r="D3535" s="1"/>
      <c r="E3535" s="1"/>
      <c r="F3535" s="1"/>
    </row>
    <row r="3536" spans="1:6" ht="12.5">
      <c r="A3536" s="1"/>
      <c r="B3536" s="1"/>
      <c r="C3536" s="1"/>
      <c r="D3536" s="1"/>
      <c r="E3536" s="1"/>
      <c r="F3536" s="1"/>
    </row>
    <row r="3537" spans="1:6" ht="12.5">
      <c r="A3537" s="1"/>
      <c r="B3537" s="1"/>
      <c r="C3537" s="1"/>
      <c r="D3537" s="1"/>
      <c r="E3537" s="1"/>
      <c r="F3537" s="1"/>
    </row>
    <row r="3538" spans="1:6" ht="12.5">
      <c r="A3538" s="1"/>
      <c r="B3538" s="1"/>
      <c r="C3538" s="1"/>
      <c r="D3538" s="1"/>
      <c r="E3538" s="1"/>
      <c r="F3538" s="1"/>
    </row>
    <row r="3539" spans="1:6" ht="12.5">
      <c r="A3539" s="1"/>
      <c r="B3539" s="1"/>
      <c r="C3539" s="1"/>
      <c r="D3539" s="1"/>
      <c r="E3539" s="1"/>
      <c r="F3539" s="1"/>
    </row>
    <row r="3540" spans="1:6" ht="12.5">
      <c r="A3540" s="1"/>
      <c r="B3540" s="1"/>
      <c r="C3540" s="1"/>
      <c r="D3540" s="1"/>
      <c r="E3540" s="1"/>
      <c r="F3540" s="1"/>
    </row>
    <row r="3541" spans="1:6" ht="12.5">
      <c r="A3541" s="1"/>
      <c r="B3541" s="1"/>
      <c r="C3541" s="1"/>
      <c r="D3541" s="1"/>
      <c r="E3541" s="1"/>
      <c r="F3541" s="1"/>
    </row>
    <row r="3542" spans="1:6" ht="12.5">
      <c r="A3542" s="1"/>
      <c r="B3542" s="1"/>
      <c r="C3542" s="1"/>
      <c r="D3542" s="1"/>
      <c r="E3542" s="1"/>
      <c r="F3542" s="1"/>
    </row>
    <row r="3543" spans="1:6" ht="12.5">
      <c r="A3543" s="1"/>
      <c r="B3543" s="1"/>
      <c r="C3543" s="1"/>
      <c r="D3543" s="1"/>
      <c r="E3543" s="1"/>
      <c r="F3543" s="1"/>
    </row>
    <row r="3544" spans="1:6" ht="12.5">
      <c r="A3544" s="1"/>
      <c r="B3544" s="1"/>
      <c r="C3544" s="1"/>
      <c r="D3544" s="1"/>
      <c r="E3544" s="1"/>
      <c r="F3544" s="1"/>
    </row>
    <row r="3545" spans="1:6" ht="12.5">
      <c r="A3545" s="1"/>
      <c r="B3545" s="1"/>
      <c r="C3545" s="1"/>
      <c r="D3545" s="1"/>
      <c r="E3545" s="1"/>
      <c r="F3545" s="1"/>
    </row>
    <row r="3546" spans="1:6" ht="12.5">
      <c r="A3546" s="1"/>
      <c r="B3546" s="1"/>
      <c r="C3546" s="1"/>
      <c r="D3546" s="1"/>
      <c r="E3546" s="1"/>
      <c r="F3546" s="1"/>
    </row>
    <row r="3547" spans="1:6" ht="12.5">
      <c r="A3547" s="1"/>
      <c r="B3547" s="1"/>
      <c r="C3547" s="1"/>
      <c r="D3547" s="1"/>
      <c r="E3547" s="1"/>
      <c r="F3547" s="1"/>
    </row>
    <row r="3548" spans="1:6" ht="12.5">
      <c r="A3548" s="1"/>
      <c r="B3548" s="1"/>
      <c r="C3548" s="1"/>
      <c r="D3548" s="1"/>
      <c r="E3548" s="1"/>
      <c r="F3548" s="1"/>
    </row>
    <row r="3549" spans="1:6" ht="12.5">
      <c r="A3549" s="1"/>
      <c r="B3549" s="1"/>
      <c r="C3549" s="1"/>
      <c r="D3549" s="1"/>
      <c r="E3549" s="1"/>
      <c r="F3549" s="1"/>
    </row>
    <row r="3550" spans="1:6" ht="12.5">
      <c r="A3550" s="1"/>
      <c r="B3550" s="1"/>
      <c r="C3550" s="1"/>
      <c r="D3550" s="1"/>
      <c r="E3550" s="1"/>
      <c r="F3550" s="1"/>
    </row>
    <row r="3551" spans="1:6" ht="12.5">
      <c r="A3551" s="1"/>
      <c r="B3551" s="1"/>
      <c r="C3551" s="1"/>
      <c r="D3551" s="1"/>
      <c r="E3551" s="1"/>
      <c r="F3551" s="1"/>
    </row>
    <row r="3552" spans="1:6" ht="12.5">
      <c r="A3552" s="1"/>
      <c r="B3552" s="1"/>
      <c r="C3552" s="1"/>
      <c r="D3552" s="1"/>
      <c r="E3552" s="1"/>
      <c r="F3552" s="1"/>
    </row>
    <row r="3553" spans="1:6" ht="12.5">
      <c r="A3553" s="1"/>
      <c r="B3553" s="1"/>
      <c r="C3553" s="1"/>
      <c r="D3553" s="1"/>
      <c r="E3553" s="1"/>
      <c r="F3553" s="1"/>
    </row>
    <row r="3554" spans="1:6" ht="12.5">
      <c r="A3554" s="1"/>
      <c r="B3554" s="1"/>
      <c r="C3554" s="1"/>
      <c r="D3554" s="1"/>
      <c r="E3554" s="1"/>
      <c r="F3554" s="1"/>
    </row>
    <row r="3555" spans="1:6" ht="12.5">
      <c r="A3555" s="1"/>
      <c r="B3555" s="1"/>
      <c r="C3555" s="1"/>
      <c r="D3555" s="1"/>
      <c r="E3555" s="1"/>
      <c r="F3555" s="1"/>
    </row>
    <row r="3556" spans="1:6" ht="12.5">
      <c r="A3556" s="1"/>
      <c r="B3556" s="1"/>
      <c r="C3556" s="1"/>
      <c r="D3556" s="1"/>
      <c r="E3556" s="1"/>
      <c r="F3556" s="1"/>
    </row>
    <row r="3557" spans="1:6" ht="12.5">
      <c r="A3557" s="1"/>
      <c r="B3557" s="1"/>
      <c r="C3557" s="1"/>
      <c r="D3557" s="1"/>
      <c r="E3557" s="1"/>
      <c r="F3557" s="1"/>
    </row>
    <row r="3558" spans="1:6" ht="12.5">
      <c r="A3558" s="1"/>
      <c r="B3558" s="1"/>
      <c r="C3558" s="1"/>
      <c r="D3558" s="1"/>
      <c r="E3558" s="1"/>
      <c r="F3558" s="1"/>
    </row>
    <row r="3559" spans="1:6" ht="12.5">
      <c r="A3559" s="1"/>
      <c r="B3559" s="1"/>
      <c r="C3559" s="1"/>
      <c r="D3559" s="1"/>
      <c r="E3559" s="1"/>
      <c r="F3559" s="1"/>
    </row>
    <row r="3560" spans="1:6" ht="12.5">
      <c r="A3560" s="1"/>
      <c r="B3560" s="1"/>
      <c r="C3560" s="1"/>
      <c r="D3560" s="1"/>
      <c r="E3560" s="1"/>
      <c r="F3560" s="1"/>
    </row>
    <row r="3561" spans="1:6" ht="12.5">
      <c r="A3561" s="1"/>
      <c r="B3561" s="1"/>
      <c r="C3561" s="1"/>
      <c r="D3561" s="1"/>
      <c r="E3561" s="1"/>
      <c r="F3561" s="1"/>
    </row>
    <row r="3562" spans="1:6" ht="12.5">
      <c r="A3562" s="1"/>
      <c r="B3562" s="1"/>
      <c r="C3562" s="1"/>
      <c r="D3562" s="1"/>
      <c r="E3562" s="1"/>
      <c r="F3562" s="1"/>
    </row>
    <row r="3563" spans="1:6" ht="12.5">
      <c r="A3563" s="1"/>
      <c r="B3563" s="1"/>
      <c r="C3563" s="1"/>
      <c r="D3563" s="1"/>
      <c r="E3563" s="1"/>
      <c r="F3563" s="1"/>
    </row>
    <row r="3564" spans="1:6" ht="12.5">
      <c r="A3564" s="1"/>
      <c r="B3564" s="1"/>
      <c r="C3564" s="1"/>
      <c r="D3564" s="1"/>
      <c r="E3564" s="1"/>
      <c r="F3564" s="1"/>
    </row>
    <row r="3565" spans="1:6" ht="12.5">
      <c r="A3565" s="1"/>
      <c r="B3565" s="1"/>
      <c r="C3565" s="1"/>
      <c r="D3565" s="1"/>
      <c r="E3565" s="1"/>
      <c r="F3565" s="1"/>
    </row>
    <row r="3566" spans="1:6" ht="12.5">
      <c r="A3566" s="1"/>
      <c r="B3566" s="1"/>
      <c r="C3566" s="1"/>
      <c r="D3566" s="1"/>
      <c r="E3566" s="1"/>
      <c r="F3566" s="1"/>
    </row>
    <row r="3567" spans="1:6" ht="12.5">
      <c r="A3567" s="1"/>
      <c r="B3567" s="1"/>
      <c r="C3567" s="1"/>
      <c r="D3567" s="1"/>
      <c r="E3567" s="1"/>
      <c r="F3567" s="1"/>
    </row>
    <row r="3568" spans="1:6" ht="12.5">
      <c r="A3568" s="1"/>
      <c r="B3568" s="1"/>
      <c r="C3568" s="1"/>
      <c r="D3568" s="1"/>
      <c r="E3568" s="1"/>
      <c r="F3568" s="1"/>
    </row>
    <row r="3569" spans="1:6" ht="12.5">
      <c r="A3569" s="1"/>
      <c r="B3569" s="1"/>
      <c r="C3569" s="1"/>
      <c r="D3569" s="1"/>
      <c r="E3569" s="1"/>
      <c r="F3569" s="1"/>
    </row>
    <row r="3570" spans="1:6" ht="12.5">
      <c r="A3570" s="1"/>
      <c r="B3570" s="1"/>
      <c r="C3570" s="1"/>
      <c r="D3570" s="1"/>
      <c r="E3570" s="1"/>
      <c r="F3570" s="1"/>
    </row>
    <row r="3571" spans="1:6" ht="12.5">
      <c r="A3571" s="1"/>
      <c r="B3571" s="1"/>
      <c r="C3571" s="1"/>
      <c r="D3571" s="1"/>
      <c r="E3571" s="1"/>
      <c r="F3571" s="1"/>
    </row>
    <row r="3572" spans="1:6" ht="12.5">
      <c r="A3572" s="1"/>
      <c r="B3572" s="1"/>
      <c r="C3572" s="1"/>
      <c r="D3572" s="1"/>
      <c r="E3572" s="1"/>
      <c r="F3572" s="1"/>
    </row>
    <row r="3573" spans="1:6" ht="12.5">
      <c r="A3573" s="1"/>
      <c r="B3573" s="1"/>
      <c r="C3573" s="1"/>
      <c r="D3573" s="1"/>
      <c r="E3573" s="1"/>
      <c r="F3573" s="1"/>
    </row>
    <row r="3574" spans="1:6" ht="12.5">
      <c r="A3574" s="1"/>
      <c r="B3574" s="1"/>
      <c r="C3574" s="1"/>
      <c r="D3574" s="1"/>
      <c r="E3574" s="1"/>
      <c r="F3574" s="1"/>
    </row>
    <row r="3575" spans="1:6" ht="12.5">
      <c r="A3575" s="1"/>
      <c r="B3575" s="1"/>
      <c r="C3575" s="1"/>
      <c r="D3575" s="1"/>
      <c r="E3575" s="1"/>
      <c r="F3575" s="1"/>
    </row>
    <row r="3576" spans="1:6" ht="12.5">
      <c r="A3576" s="1"/>
      <c r="B3576" s="1"/>
      <c r="C3576" s="1"/>
      <c r="D3576" s="1"/>
      <c r="E3576" s="1"/>
      <c r="F3576" s="1"/>
    </row>
    <row r="3577" spans="1:6" ht="12.5">
      <c r="A3577" s="1"/>
      <c r="B3577" s="1"/>
      <c r="C3577" s="1"/>
      <c r="D3577" s="1"/>
      <c r="E3577" s="1"/>
      <c r="F3577" s="1"/>
    </row>
    <row r="3578" spans="1:6" ht="12.5">
      <c r="A3578" s="1"/>
      <c r="B3578" s="1"/>
      <c r="C3578" s="1"/>
      <c r="D3578" s="1"/>
      <c r="E3578" s="1"/>
      <c r="F3578" s="1"/>
    </row>
    <row r="3579" spans="1:6" ht="12.5">
      <c r="A3579" s="1"/>
      <c r="B3579" s="1"/>
      <c r="C3579" s="1"/>
      <c r="D3579" s="1"/>
      <c r="E3579" s="1"/>
      <c r="F3579" s="1"/>
    </row>
    <row r="3580" spans="1:6" ht="12.5">
      <c r="A3580" s="1"/>
      <c r="B3580" s="1"/>
      <c r="C3580" s="1"/>
      <c r="D3580" s="1"/>
      <c r="E3580" s="1"/>
      <c r="F3580" s="1"/>
    </row>
    <row r="3581" spans="1:6" ht="12.5">
      <c r="A3581" s="1"/>
      <c r="B3581" s="1"/>
      <c r="C3581" s="1"/>
      <c r="D3581" s="1"/>
      <c r="E3581" s="1"/>
      <c r="F3581" s="1"/>
    </row>
    <row r="3582" spans="1:6" ht="12.5">
      <c r="A3582" s="1"/>
      <c r="B3582" s="1"/>
      <c r="C3582" s="1"/>
      <c r="D3582" s="1"/>
      <c r="E3582" s="1"/>
      <c r="F3582" s="1"/>
    </row>
    <row r="3583" spans="1:6" ht="12.5">
      <c r="A3583" s="1"/>
      <c r="B3583" s="1"/>
      <c r="C3583" s="1"/>
      <c r="D3583" s="1"/>
      <c r="E3583" s="1"/>
      <c r="F3583" s="1"/>
    </row>
    <row r="3584" spans="1:6" ht="12.5">
      <c r="A3584" s="1"/>
      <c r="B3584" s="1"/>
      <c r="C3584" s="1"/>
      <c r="D3584" s="1"/>
      <c r="E3584" s="1"/>
      <c r="F3584" s="1"/>
    </row>
    <row r="3585" spans="1:6" ht="12.5">
      <c r="A3585" s="1"/>
      <c r="B3585" s="1"/>
      <c r="C3585" s="1"/>
      <c r="D3585" s="1"/>
      <c r="E3585" s="1"/>
      <c r="F3585" s="1"/>
    </row>
    <row r="3586" spans="1:6" ht="12.5">
      <c r="A3586" s="1"/>
      <c r="B3586" s="1"/>
      <c r="C3586" s="1"/>
      <c r="D3586" s="1"/>
      <c r="E3586" s="1"/>
      <c r="F3586" s="1"/>
    </row>
    <row r="3587" spans="1:6" ht="12.5">
      <c r="A3587" s="1"/>
      <c r="B3587" s="1"/>
      <c r="C3587" s="1"/>
      <c r="D3587" s="1"/>
      <c r="E3587" s="1"/>
      <c r="F3587" s="1"/>
    </row>
    <row r="3588" spans="1:6" ht="12.5">
      <c r="A3588" s="1"/>
      <c r="B3588" s="1"/>
      <c r="C3588" s="1"/>
      <c r="D3588" s="1"/>
      <c r="E3588" s="1"/>
      <c r="F3588" s="1"/>
    </row>
    <row r="3589" spans="1:6" ht="12.5">
      <c r="A3589" s="1"/>
      <c r="B3589" s="1"/>
      <c r="C3589" s="1"/>
      <c r="D3589" s="1"/>
      <c r="E3589" s="1"/>
      <c r="F3589" s="1"/>
    </row>
    <row r="3590" spans="1:6" ht="12.5">
      <c r="A3590" s="1"/>
      <c r="B3590" s="1"/>
      <c r="C3590" s="1"/>
      <c r="D3590" s="1"/>
      <c r="E3590" s="1"/>
      <c r="F3590" s="1"/>
    </row>
    <row r="3591" spans="1:6" ht="12.5">
      <c r="A3591" s="1"/>
      <c r="B3591" s="1"/>
      <c r="C3591" s="1"/>
      <c r="D3591" s="1"/>
      <c r="E3591" s="1"/>
      <c r="F3591" s="1"/>
    </row>
    <row r="3592" spans="1:6" ht="12.5">
      <c r="A3592" s="1"/>
      <c r="B3592" s="1"/>
      <c r="C3592" s="1"/>
      <c r="D3592" s="1"/>
      <c r="E3592" s="1"/>
      <c r="F3592" s="1"/>
    </row>
    <row r="3593" spans="1:6" ht="12.5">
      <c r="A3593" s="1"/>
      <c r="B3593" s="1"/>
      <c r="C3593" s="1"/>
      <c r="D3593" s="1"/>
      <c r="E3593" s="1"/>
      <c r="F3593" s="1"/>
    </row>
    <row r="3594" spans="1:6" ht="12.5">
      <c r="A3594" s="1"/>
      <c r="B3594" s="1"/>
      <c r="C3594" s="1"/>
      <c r="D3594" s="1"/>
      <c r="E3594" s="1"/>
      <c r="F3594" s="1"/>
    </row>
    <row r="3595" spans="1:6" ht="12.5">
      <c r="A3595" s="1"/>
      <c r="B3595" s="1"/>
      <c r="C3595" s="1"/>
      <c r="D3595" s="1"/>
      <c r="E3595" s="1"/>
      <c r="F3595" s="1"/>
    </row>
    <row r="3596" spans="1:6" ht="12.5">
      <c r="A3596" s="1"/>
      <c r="B3596" s="1"/>
      <c r="C3596" s="1"/>
      <c r="D3596" s="1"/>
      <c r="E3596" s="1"/>
      <c r="F3596" s="1"/>
    </row>
    <row r="3597" spans="1:6" ht="12.5">
      <c r="A3597" s="1"/>
      <c r="B3597" s="1"/>
      <c r="C3597" s="1"/>
      <c r="D3597" s="1"/>
      <c r="E3597" s="1"/>
      <c r="F3597" s="1"/>
    </row>
    <row r="3598" spans="1:6" ht="12.5">
      <c r="A3598" s="1"/>
      <c r="B3598" s="1"/>
      <c r="C3598" s="1"/>
      <c r="D3598" s="1"/>
      <c r="E3598" s="1"/>
      <c r="F3598" s="1"/>
    </row>
    <row r="3599" spans="1:6" ht="12.5">
      <c r="A3599" s="1"/>
      <c r="B3599" s="1"/>
      <c r="C3599" s="1"/>
      <c r="D3599" s="1"/>
      <c r="E3599" s="1"/>
      <c r="F3599" s="1"/>
    </row>
    <row r="3600" spans="1:6" ht="12.5">
      <c r="A3600" s="1"/>
      <c r="B3600" s="1"/>
      <c r="C3600" s="1"/>
      <c r="D3600" s="1"/>
      <c r="E3600" s="1"/>
      <c r="F3600" s="1"/>
    </row>
    <row r="3601" spans="1:6" ht="12.5">
      <c r="A3601" s="1"/>
      <c r="B3601" s="1"/>
      <c r="C3601" s="1"/>
      <c r="D3601" s="1"/>
      <c r="E3601" s="1"/>
      <c r="F3601" s="1"/>
    </row>
    <row r="3602" spans="1:6" ht="12.5">
      <c r="A3602" s="1"/>
      <c r="B3602" s="1"/>
      <c r="C3602" s="1"/>
      <c r="D3602" s="1"/>
      <c r="E3602" s="1"/>
      <c r="F3602" s="1"/>
    </row>
    <row r="3603" spans="1:6" ht="12.5">
      <c r="A3603" s="1"/>
      <c r="B3603" s="1"/>
      <c r="C3603" s="1"/>
      <c r="D3603" s="1"/>
      <c r="E3603" s="1"/>
      <c r="F3603" s="1"/>
    </row>
    <row r="3604" spans="1:6" ht="12.5">
      <c r="A3604" s="1"/>
      <c r="B3604" s="1"/>
      <c r="C3604" s="1"/>
      <c r="D3604" s="1"/>
      <c r="E3604" s="1"/>
      <c r="F3604" s="1"/>
    </row>
    <row r="3605" spans="1:6" ht="12.5">
      <c r="A3605" s="1"/>
      <c r="B3605" s="1"/>
      <c r="C3605" s="1"/>
      <c r="D3605" s="1"/>
      <c r="E3605" s="1"/>
      <c r="F3605" s="1"/>
    </row>
    <row r="3606" spans="1:6" ht="12.5">
      <c r="A3606" s="1"/>
      <c r="B3606" s="1"/>
      <c r="C3606" s="1"/>
      <c r="D3606" s="1"/>
      <c r="E3606" s="1"/>
      <c r="F3606" s="1"/>
    </row>
    <row r="3607" spans="1:6" ht="12.5">
      <c r="A3607" s="1"/>
      <c r="B3607" s="1"/>
      <c r="C3607" s="1"/>
      <c r="D3607" s="1"/>
      <c r="E3607" s="1"/>
      <c r="F3607" s="1"/>
    </row>
    <row r="3608" spans="1:6" ht="12.5">
      <c r="A3608" s="1"/>
      <c r="B3608" s="1"/>
      <c r="C3608" s="1"/>
      <c r="D3608" s="1"/>
      <c r="E3608" s="1"/>
      <c r="F3608" s="1"/>
    </row>
    <row r="3609" spans="1:6" ht="12.5">
      <c r="A3609" s="1"/>
      <c r="B3609" s="1"/>
      <c r="C3609" s="1"/>
      <c r="D3609" s="1"/>
      <c r="E3609" s="1"/>
      <c r="F3609" s="1"/>
    </row>
    <row r="3610" spans="1:6" ht="12.5">
      <c r="A3610" s="1"/>
      <c r="B3610" s="1"/>
      <c r="C3610" s="1"/>
      <c r="D3610" s="1"/>
      <c r="E3610" s="1"/>
      <c r="F3610" s="1"/>
    </row>
    <row r="3611" spans="1:6" ht="12.5">
      <c r="A3611" s="1"/>
      <c r="B3611" s="1"/>
      <c r="C3611" s="1"/>
      <c r="D3611" s="1"/>
      <c r="E3611" s="1"/>
      <c r="F3611" s="1"/>
    </row>
    <row r="3612" spans="1:6" ht="12.5">
      <c r="A3612" s="1"/>
      <c r="B3612" s="1"/>
      <c r="C3612" s="1"/>
      <c r="D3612" s="1"/>
      <c r="E3612" s="1"/>
      <c r="F3612" s="1"/>
    </row>
    <row r="3613" spans="1:6" ht="12.5">
      <c r="A3613" s="1"/>
      <c r="B3613" s="1"/>
      <c r="C3613" s="1"/>
      <c r="D3613" s="1"/>
      <c r="E3613" s="1"/>
      <c r="F3613" s="1"/>
    </row>
    <row r="3614" spans="1:6" ht="12.5">
      <c r="A3614" s="1"/>
      <c r="B3614" s="1"/>
      <c r="C3614" s="1"/>
      <c r="D3614" s="1"/>
      <c r="E3614" s="1"/>
      <c r="F3614" s="1"/>
    </row>
    <row r="3615" spans="1:6" ht="12.5">
      <c r="A3615" s="1"/>
      <c r="B3615" s="1"/>
      <c r="C3615" s="1"/>
      <c r="D3615" s="1"/>
      <c r="E3615" s="1"/>
      <c r="F3615" s="1"/>
    </row>
    <row r="3616" spans="1:6" ht="12.5">
      <c r="A3616" s="1"/>
      <c r="B3616" s="1"/>
      <c r="C3616" s="1"/>
      <c r="D3616" s="1"/>
      <c r="E3616" s="1"/>
      <c r="F3616" s="1"/>
    </row>
    <row r="3617" spans="1:6" ht="12.5">
      <c r="A3617" s="1"/>
      <c r="B3617" s="1"/>
      <c r="C3617" s="1"/>
      <c r="D3617" s="1"/>
      <c r="E3617" s="1"/>
      <c r="F3617" s="1"/>
    </row>
    <row r="3618" spans="1:6" ht="12.5">
      <c r="A3618" s="1"/>
      <c r="B3618" s="1"/>
      <c r="C3618" s="1"/>
      <c r="D3618" s="1"/>
      <c r="E3618" s="1"/>
      <c r="F3618" s="1"/>
    </row>
    <row r="3619" spans="1:6" ht="12.5">
      <c r="A3619" s="1"/>
      <c r="B3619" s="1"/>
      <c r="C3619" s="1"/>
      <c r="D3619" s="1"/>
      <c r="E3619" s="1"/>
      <c r="F3619" s="1"/>
    </row>
    <row r="3620" spans="1:6" ht="12.5">
      <c r="A3620" s="1"/>
      <c r="B3620" s="1"/>
      <c r="C3620" s="1"/>
      <c r="D3620" s="1"/>
      <c r="E3620" s="1"/>
      <c r="F3620" s="1"/>
    </row>
    <row r="3621" spans="1:6" ht="12.5">
      <c r="A3621" s="1"/>
      <c r="B3621" s="1"/>
      <c r="C3621" s="1"/>
      <c r="D3621" s="1"/>
      <c r="E3621" s="1"/>
      <c r="F3621" s="1"/>
    </row>
    <row r="3622" spans="1:6" ht="12.5">
      <c r="A3622" s="1"/>
      <c r="B3622" s="1"/>
      <c r="C3622" s="1"/>
      <c r="D3622" s="1"/>
      <c r="E3622" s="1"/>
      <c r="F3622" s="1"/>
    </row>
    <row r="3623" spans="1:6" ht="12.5">
      <c r="A3623" s="1"/>
      <c r="B3623" s="1"/>
      <c r="C3623" s="1"/>
      <c r="D3623" s="1"/>
      <c r="E3623" s="1"/>
      <c r="F3623" s="1"/>
    </row>
    <row r="3624" spans="1:6" ht="12.5">
      <c r="A3624" s="1"/>
      <c r="B3624" s="1"/>
      <c r="C3624" s="1"/>
      <c r="D3624" s="1"/>
      <c r="E3624" s="1"/>
      <c r="F3624" s="1"/>
    </row>
    <row r="3625" spans="1:6" ht="12.5">
      <c r="A3625" s="1"/>
      <c r="B3625" s="1"/>
      <c r="C3625" s="1"/>
      <c r="D3625" s="1"/>
      <c r="E3625" s="1"/>
      <c r="F3625" s="1"/>
    </row>
    <row r="3626" spans="1:6" ht="12.5">
      <c r="A3626" s="1"/>
      <c r="B3626" s="1"/>
      <c r="C3626" s="1"/>
      <c r="D3626" s="1"/>
      <c r="E3626" s="1"/>
      <c r="F3626" s="1"/>
    </row>
    <row r="3627" spans="1:6" ht="12.5">
      <c r="A3627" s="1"/>
      <c r="B3627" s="1"/>
      <c r="C3627" s="1"/>
      <c r="D3627" s="1"/>
      <c r="E3627" s="1"/>
      <c r="F3627" s="1"/>
    </row>
    <row r="3628" spans="1:6" ht="12.5">
      <c r="A3628" s="1"/>
      <c r="B3628" s="1"/>
      <c r="C3628" s="1"/>
      <c r="D3628" s="1"/>
      <c r="E3628" s="1"/>
      <c r="F3628" s="1"/>
    </row>
    <row r="3629" spans="1:6" ht="12.5">
      <c r="A3629" s="1"/>
      <c r="B3629" s="1"/>
      <c r="C3629" s="1"/>
      <c r="D3629" s="1"/>
      <c r="E3629" s="1"/>
      <c r="F3629" s="1"/>
    </row>
    <row r="3630" spans="1:6" ht="12.5">
      <c r="A3630" s="1"/>
      <c r="B3630" s="1"/>
      <c r="C3630" s="1"/>
      <c r="D3630" s="1"/>
      <c r="E3630" s="1"/>
      <c r="F3630" s="1"/>
    </row>
    <row r="3631" spans="1:6" ht="12.5">
      <c r="A3631" s="1"/>
      <c r="B3631" s="1"/>
      <c r="C3631" s="1"/>
      <c r="D3631" s="1"/>
      <c r="E3631" s="1"/>
      <c r="F3631" s="1"/>
    </row>
    <row r="3632" spans="1:6" ht="12.5">
      <c r="A3632" s="1"/>
      <c r="B3632" s="1"/>
      <c r="C3632" s="1"/>
      <c r="D3632" s="1"/>
      <c r="E3632" s="1"/>
      <c r="F3632" s="1"/>
    </row>
    <row r="3633" spans="1:6" ht="12.5">
      <c r="A3633" s="1"/>
      <c r="B3633" s="1"/>
      <c r="C3633" s="1"/>
      <c r="D3633" s="1"/>
      <c r="E3633" s="1"/>
      <c r="F3633" s="1"/>
    </row>
    <row r="3634" spans="1:6" ht="12.5">
      <c r="A3634" s="1"/>
      <c r="B3634" s="1"/>
      <c r="C3634" s="1"/>
      <c r="D3634" s="1"/>
      <c r="E3634" s="1"/>
      <c r="F3634" s="1"/>
    </row>
    <row r="3635" spans="1:6" ht="12.5">
      <c r="A3635" s="1"/>
      <c r="B3635" s="1"/>
      <c r="C3635" s="1"/>
      <c r="D3635" s="1"/>
      <c r="E3635" s="1"/>
      <c r="F3635" s="1"/>
    </row>
    <row r="3636" spans="1:6" ht="12.5">
      <c r="A3636" s="1"/>
      <c r="B3636" s="1"/>
      <c r="C3636" s="1"/>
      <c r="D3636" s="1"/>
      <c r="E3636" s="1"/>
      <c r="F3636" s="1"/>
    </row>
    <row r="3637" spans="1:6" ht="12.5">
      <c r="A3637" s="1"/>
      <c r="B3637" s="1"/>
      <c r="C3637" s="1"/>
      <c r="D3637" s="1"/>
      <c r="E3637" s="1"/>
      <c r="F3637" s="1"/>
    </row>
    <row r="3638" spans="1:6" ht="12.5">
      <c r="A3638" s="1"/>
      <c r="B3638" s="1"/>
      <c r="C3638" s="1"/>
      <c r="D3638" s="1"/>
      <c r="E3638" s="1"/>
      <c r="F3638" s="1"/>
    </row>
    <row r="3639" spans="1:6" ht="12.5">
      <c r="A3639" s="1"/>
      <c r="B3639" s="1"/>
      <c r="C3639" s="1"/>
      <c r="D3639" s="1"/>
      <c r="E3639" s="1"/>
      <c r="F3639" s="1"/>
    </row>
    <row r="3640" spans="1:6" ht="12.5">
      <c r="A3640" s="1"/>
      <c r="B3640" s="1"/>
      <c r="C3640" s="1"/>
      <c r="D3640" s="1"/>
      <c r="E3640" s="1"/>
      <c r="F3640" s="1"/>
    </row>
    <row r="3641" spans="1:6" ht="12.5">
      <c r="A3641" s="1"/>
      <c r="B3641" s="1"/>
      <c r="C3641" s="1"/>
      <c r="D3641" s="1"/>
      <c r="E3641" s="1"/>
      <c r="F3641" s="1"/>
    </row>
    <row r="3642" spans="1:6" ht="12.5">
      <c r="A3642" s="1"/>
      <c r="B3642" s="1"/>
      <c r="C3642" s="1"/>
      <c r="D3642" s="1"/>
      <c r="E3642" s="1"/>
      <c r="F3642" s="1"/>
    </row>
    <row r="3643" spans="1:6" ht="12.5">
      <c r="A3643" s="1"/>
      <c r="B3643" s="1"/>
      <c r="C3643" s="1"/>
      <c r="D3643" s="1"/>
      <c r="E3643" s="1"/>
      <c r="F3643" s="1"/>
    </row>
    <row r="3644" spans="1:6" ht="12.5">
      <c r="A3644" s="1"/>
      <c r="B3644" s="1"/>
      <c r="C3644" s="1"/>
      <c r="D3644" s="1"/>
      <c r="E3644" s="1"/>
      <c r="F3644" s="1"/>
    </row>
    <row r="3645" spans="1:6" ht="12.5">
      <c r="A3645" s="1"/>
      <c r="B3645" s="1"/>
      <c r="C3645" s="1"/>
      <c r="D3645" s="1"/>
      <c r="E3645" s="1"/>
      <c r="F3645" s="1"/>
    </row>
    <row r="3646" spans="1:6" ht="12.5">
      <c r="A3646" s="1"/>
      <c r="B3646" s="1"/>
      <c r="C3646" s="1"/>
      <c r="D3646" s="1"/>
      <c r="E3646" s="1"/>
      <c r="F3646" s="1"/>
    </row>
    <row r="3647" spans="1:6" ht="12.5">
      <c r="A3647" s="1"/>
      <c r="B3647" s="1"/>
      <c r="C3647" s="1"/>
      <c r="D3647" s="1"/>
      <c r="E3647" s="1"/>
      <c r="F3647" s="1"/>
    </row>
    <row r="3648" spans="1:6" ht="12.5">
      <c r="A3648" s="1"/>
      <c r="B3648" s="1"/>
      <c r="C3648" s="1"/>
      <c r="D3648" s="1"/>
      <c r="E3648" s="1"/>
      <c r="F3648" s="1"/>
    </row>
    <row r="3649" spans="1:6" ht="12.5">
      <c r="A3649" s="1"/>
      <c r="B3649" s="1"/>
      <c r="C3649" s="1"/>
      <c r="D3649" s="1"/>
      <c r="E3649" s="1"/>
      <c r="F3649" s="1"/>
    </row>
    <row r="3650" spans="1:6" ht="12.5">
      <c r="A3650" s="1"/>
      <c r="B3650" s="1"/>
      <c r="C3650" s="1"/>
      <c r="D3650" s="1"/>
      <c r="E3650" s="1"/>
      <c r="F3650" s="1"/>
    </row>
    <row r="3651" spans="1:6" ht="12.5">
      <c r="A3651" s="1"/>
      <c r="B3651" s="1"/>
      <c r="C3651" s="1"/>
      <c r="D3651" s="1"/>
      <c r="E3651" s="1"/>
      <c r="F3651" s="1"/>
    </row>
    <row r="3652" spans="1:6" ht="12.5">
      <c r="A3652" s="1"/>
      <c r="B3652" s="1"/>
      <c r="C3652" s="1"/>
      <c r="D3652" s="1"/>
      <c r="E3652" s="1"/>
      <c r="F3652" s="1"/>
    </row>
    <row r="3653" spans="1:6" ht="12.5">
      <c r="A3653" s="1"/>
      <c r="B3653" s="1"/>
      <c r="C3653" s="1"/>
      <c r="D3653" s="1"/>
      <c r="E3653" s="1"/>
      <c r="F3653" s="1"/>
    </row>
    <row r="3654" spans="1:6" ht="12.5">
      <c r="A3654" s="1"/>
      <c r="B3654" s="1"/>
      <c r="C3654" s="1"/>
      <c r="D3654" s="1"/>
      <c r="E3654" s="1"/>
      <c r="F3654" s="1"/>
    </row>
    <row r="3655" spans="1:6" ht="12.5">
      <c r="A3655" s="1"/>
      <c r="B3655" s="1"/>
      <c r="C3655" s="1"/>
      <c r="D3655" s="1"/>
      <c r="E3655" s="1"/>
      <c r="F3655" s="1"/>
    </row>
    <row r="3656" spans="1:6" ht="12.5">
      <c r="A3656" s="1"/>
      <c r="B3656" s="1"/>
      <c r="C3656" s="1"/>
      <c r="D3656" s="1"/>
      <c r="E3656" s="1"/>
      <c r="F3656" s="1"/>
    </row>
    <row r="3657" spans="1:6" ht="12.5">
      <c r="A3657" s="1"/>
      <c r="B3657" s="1"/>
      <c r="C3657" s="1"/>
      <c r="D3657" s="1"/>
      <c r="E3657" s="1"/>
      <c r="F3657" s="1"/>
    </row>
    <row r="3658" spans="1:6" ht="12.5">
      <c r="A3658" s="1"/>
      <c r="B3658" s="1"/>
      <c r="C3658" s="1"/>
      <c r="D3658" s="1"/>
      <c r="E3658" s="1"/>
      <c r="F3658" s="1"/>
    </row>
    <row r="3659" spans="1:6" ht="12.5">
      <c r="A3659" s="1"/>
      <c r="B3659" s="1"/>
      <c r="C3659" s="1"/>
      <c r="D3659" s="1"/>
      <c r="E3659" s="1"/>
      <c r="F3659" s="1"/>
    </row>
    <row r="3660" spans="1:6" ht="12.5">
      <c r="A3660" s="1"/>
      <c r="B3660" s="1"/>
      <c r="C3660" s="1"/>
      <c r="D3660" s="1"/>
      <c r="E3660" s="1"/>
      <c r="F3660" s="1"/>
    </row>
    <row r="3661" spans="1:6" ht="12.5">
      <c r="A3661" s="1"/>
      <c r="B3661" s="1"/>
      <c r="C3661" s="1"/>
      <c r="D3661" s="1"/>
      <c r="E3661" s="1"/>
      <c r="F3661" s="1"/>
    </row>
    <row r="3662" spans="1:6" ht="12.5">
      <c r="A3662" s="1"/>
      <c r="B3662" s="1"/>
      <c r="C3662" s="1"/>
      <c r="D3662" s="1"/>
      <c r="E3662" s="1"/>
      <c r="F3662" s="1"/>
    </row>
    <row r="3663" spans="1:6" ht="12.5">
      <c r="A3663" s="1"/>
      <c r="B3663" s="1"/>
      <c r="C3663" s="1"/>
      <c r="D3663" s="1"/>
      <c r="E3663" s="1"/>
      <c r="F3663" s="1"/>
    </row>
    <row r="3664" spans="1:6" ht="12.5">
      <c r="A3664" s="1"/>
      <c r="B3664" s="1"/>
      <c r="C3664" s="1"/>
      <c r="D3664" s="1"/>
      <c r="E3664" s="1"/>
      <c r="F3664" s="1"/>
    </row>
    <row r="3665" spans="1:6" ht="12.5">
      <c r="A3665" s="1"/>
      <c r="B3665" s="1"/>
      <c r="C3665" s="1"/>
      <c r="D3665" s="1"/>
      <c r="E3665" s="1"/>
      <c r="F3665" s="1"/>
    </row>
    <row r="3666" spans="1:6" ht="12.5">
      <c r="A3666" s="1"/>
      <c r="B3666" s="1"/>
      <c r="C3666" s="1"/>
      <c r="D3666" s="1"/>
      <c r="E3666" s="1"/>
      <c r="F3666" s="1"/>
    </row>
    <row r="3667" spans="1:6" ht="12.5">
      <c r="A3667" s="1"/>
      <c r="B3667" s="1"/>
      <c r="C3667" s="1"/>
      <c r="D3667" s="1"/>
      <c r="E3667" s="1"/>
      <c r="F3667" s="1"/>
    </row>
    <row r="3668" spans="1:6" ht="12.5">
      <c r="A3668" s="1"/>
      <c r="B3668" s="1"/>
      <c r="C3668" s="1"/>
      <c r="D3668" s="1"/>
      <c r="E3668" s="1"/>
      <c r="F3668" s="1"/>
    </row>
    <row r="3669" spans="1:6" ht="12.5">
      <c r="A3669" s="1"/>
      <c r="B3669" s="1"/>
      <c r="C3669" s="1"/>
      <c r="D3669" s="1"/>
      <c r="E3669" s="1"/>
      <c r="F3669" s="1"/>
    </row>
    <row r="3670" spans="1:6" ht="12.5">
      <c r="A3670" s="1"/>
      <c r="B3670" s="1"/>
      <c r="C3670" s="1"/>
      <c r="D3670" s="1"/>
      <c r="E3670" s="1"/>
      <c r="F3670" s="1"/>
    </row>
    <row r="3671" spans="1:6" ht="12.5">
      <c r="A3671" s="1"/>
      <c r="B3671" s="1"/>
      <c r="C3671" s="1"/>
      <c r="D3671" s="1"/>
      <c r="E3671" s="1"/>
      <c r="F3671" s="1"/>
    </row>
    <row r="3672" spans="1:6" ht="12.5">
      <c r="A3672" s="1"/>
      <c r="B3672" s="1"/>
      <c r="C3672" s="1"/>
      <c r="D3672" s="1"/>
      <c r="E3672" s="1"/>
      <c r="F3672" s="1"/>
    </row>
    <row r="3673" spans="1:6" ht="12.5">
      <c r="A3673" s="1"/>
      <c r="B3673" s="1"/>
      <c r="C3673" s="1"/>
      <c r="D3673" s="1"/>
      <c r="E3673" s="1"/>
      <c r="F3673" s="1"/>
    </row>
    <row r="3674" spans="1:6" ht="12.5">
      <c r="A3674" s="1"/>
      <c r="B3674" s="1"/>
      <c r="C3674" s="1"/>
      <c r="D3674" s="1"/>
      <c r="E3674" s="1"/>
      <c r="F3674" s="1"/>
    </row>
    <row r="3675" spans="1:6" ht="12.5">
      <c r="A3675" s="1"/>
      <c r="B3675" s="1"/>
      <c r="C3675" s="1"/>
      <c r="D3675" s="1"/>
      <c r="E3675" s="1"/>
      <c r="F3675" s="1"/>
    </row>
    <row r="3676" spans="1:6" ht="12.5">
      <c r="A3676" s="1"/>
      <c r="B3676" s="1"/>
      <c r="C3676" s="1"/>
      <c r="D3676" s="1"/>
      <c r="E3676" s="1"/>
      <c r="F3676" s="1"/>
    </row>
    <row r="3677" spans="1:6" ht="12.5">
      <c r="A3677" s="1"/>
      <c r="B3677" s="1"/>
      <c r="C3677" s="1"/>
      <c r="D3677" s="1"/>
      <c r="E3677" s="1"/>
      <c r="F3677" s="1"/>
    </row>
    <row r="3678" spans="1:6" ht="12.5">
      <c r="A3678" s="1"/>
      <c r="B3678" s="1"/>
      <c r="C3678" s="1"/>
      <c r="D3678" s="1"/>
      <c r="E3678" s="1"/>
      <c r="F3678" s="1"/>
    </row>
    <row r="3679" spans="1:6" ht="12.5">
      <c r="A3679" s="1"/>
      <c r="B3679" s="1"/>
      <c r="C3679" s="1"/>
      <c r="D3679" s="1"/>
      <c r="E3679" s="1"/>
      <c r="F3679" s="1"/>
    </row>
    <row r="3680" spans="1:6" ht="12.5">
      <c r="A3680" s="1"/>
      <c r="B3680" s="1"/>
      <c r="C3680" s="1"/>
      <c r="D3680" s="1"/>
      <c r="E3680" s="1"/>
      <c r="F3680" s="1"/>
    </row>
    <row r="3681" spans="1:6" ht="12.5">
      <c r="A3681" s="1"/>
      <c r="B3681" s="1"/>
      <c r="C3681" s="1"/>
      <c r="D3681" s="1"/>
      <c r="E3681" s="1"/>
      <c r="F3681" s="1"/>
    </row>
    <row r="3682" spans="1:6" ht="12.5">
      <c r="A3682" s="1"/>
      <c r="B3682" s="1"/>
      <c r="C3682" s="1"/>
      <c r="D3682" s="1"/>
      <c r="E3682" s="1"/>
      <c r="F3682" s="1"/>
    </row>
    <row r="3683" spans="1:6" ht="12.5">
      <c r="A3683" s="1"/>
      <c r="B3683" s="1"/>
      <c r="C3683" s="1"/>
      <c r="D3683" s="1"/>
      <c r="E3683" s="1"/>
      <c r="F3683" s="1"/>
    </row>
    <row r="3684" spans="1:6" ht="12.5">
      <c r="A3684" s="1"/>
      <c r="B3684" s="1"/>
      <c r="C3684" s="1"/>
      <c r="D3684" s="1"/>
      <c r="E3684" s="1"/>
      <c r="F3684" s="1"/>
    </row>
    <row r="3685" spans="1:6" ht="12.5">
      <c r="A3685" s="1"/>
      <c r="B3685" s="1"/>
      <c r="C3685" s="1"/>
      <c r="D3685" s="1"/>
      <c r="E3685" s="1"/>
      <c r="F3685" s="1"/>
    </row>
    <row r="3686" spans="1:6" ht="12.5">
      <c r="A3686" s="1"/>
      <c r="B3686" s="1"/>
      <c r="C3686" s="1"/>
      <c r="D3686" s="1"/>
      <c r="E3686" s="1"/>
      <c r="F3686" s="1"/>
    </row>
    <row r="3687" spans="1:6" ht="12.5">
      <c r="A3687" s="1"/>
      <c r="B3687" s="1"/>
      <c r="C3687" s="1"/>
      <c r="D3687" s="1"/>
      <c r="E3687" s="1"/>
      <c r="F3687" s="1"/>
    </row>
    <row r="3688" spans="1:6" ht="12.5">
      <c r="A3688" s="1"/>
      <c r="B3688" s="1"/>
      <c r="C3688" s="1"/>
      <c r="D3688" s="1"/>
      <c r="E3688" s="1"/>
      <c r="F3688" s="1"/>
    </row>
    <row r="3689" spans="1:6" ht="12.5">
      <c r="A3689" s="1"/>
      <c r="B3689" s="1"/>
      <c r="C3689" s="1"/>
      <c r="D3689" s="1"/>
      <c r="E3689" s="1"/>
      <c r="F3689" s="1"/>
    </row>
    <row r="3690" spans="1:6" ht="12.5">
      <c r="A3690" s="1"/>
      <c r="B3690" s="1"/>
      <c r="C3690" s="1"/>
      <c r="D3690" s="1"/>
      <c r="E3690" s="1"/>
      <c r="F3690" s="1"/>
    </row>
    <row r="3691" spans="1:6" ht="12.5">
      <c r="A3691" s="1"/>
      <c r="B3691" s="1"/>
      <c r="C3691" s="1"/>
      <c r="D3691" s="1"/>
      <c r="E3691" s="1"/>
      <c r="F3691" s="1"/>
    </row>
    <row r="3692" spans="1:6" ht="12.5">
      <c r="A3692" s="1"/>
      <c r="B3692" s="1"/>
      <c r="C3692" s="1"/>
      <c r="D3692" s="1"/>
      <c r="E3692" s="1"/>
      <c r="F3692" s="1"/>
    </row>
    <row r="3693" spans="1:6" ht="12.5">
      <c r="A3693" s="1"/>
      <c r="B3693" s="1"/>
      <c r="C3693" s="1"/>
      <c r="D3693" s="1"/>
      <c r="E3693" s="1"/>
      <c r="F3693" s="1"/>
    </row>
    <row r="3694" spans="1:6" ht="12.5">
      <c r="A3694" s="1"/>
      <c r="B3694" s="1"/>
      <c r="C3694" s="1"/>
      <c r="D3694" s="1"/>
      <c r="E3694" s="1"/>
      <c r="F3694" s="1"/>
    </row>
    <row r="3695" spans="1:6" ht="12.5">
      <c r="A3695" s="1"/>
      <c r="B3695" s="1"/>
      <c r="C3695" s="1"/>
      <c r="D3695" s="1"/>
      <c r="E3695" s="1"/>
      <c r="F3695" s="1"/>
    </row>
    <row r="3696" spans="1:6" ht="12.5">
      <c r="A3696" s="1"/>
      <c r="B3696" s="1"/>
      <c r="C3696" s="1"/>
      <c r="D3696" s="1"/>
      <c r="E3696" s="1"/>
      <c r="F3696" s="1"/>
    </row>
    <row r="3697" spans="1:6" ht="12.5">
      <c r="A3697" s="1"/>
      <c r="B3697" s="1"/>
      <c r="C3697" s="1"/>
      <c r="D3697" s="1"/>
      <c r="E3697" s="1"/>
      <c r="F3697" s="1"/>
    </row>
    <row r="3698" spans="1:6" ht="12.5">
      <c r="A3698" s="1"/>
      <c r="B3698" s="1"/>
      <c r="C3698" s="1"/>
      <c r="D3698" s="1"/>
      <c r="E3698" s="1"/>
      <c r="F3698" s="1"/>
    </row>
    <row r="3699" spans="1:6" ht="12.5">
      <c r="A3699" s="1"/>
      <c r="B3699" s="1"/>
      <c r="C3699" s="1"/>
      <c r="D3699" s="1"/>
      <c r="E3699" s="1"/>
      <c r="F3699" s="1"/>
    </row>
    <row r="3700" spans="1:6" ht="12.5">
      <c r="A3700" s="1"/>
      <c r="B3700" s="1"/>
      <c r="C3700" s="1"/>
      <c r="D3700" s="1"/>
      <c r="E3700" s="1"/>
      <c r="F3700" s="1"/>
    </row>
    <row r="3701" spans="1:6" ht="12.5">
      <c r="A3701" s="1"/>
      <c r="B3701" s="1"/>
      <c r="C3701" s="1"/>
      <c r="D3701" s="1"/>
      <c r="E3701" s="1"/>
      <c r="F3701" s="1"/>
    </row>
    <row r="3702" spans="1:6" ht="12.5">
      <c r="A3702" s="1"/>
      <c r="B3702" s="1"/>
      <c r="C3702" s="1"/>
      <c r="D3702" s="1"/>
      <c r="E3702" s="1"/>
      <c r="F3702" s="1"/>
    </row>
    <row r="3703" spans="1:6" ht="12.5">
      <c r="A3703" s="1"/>
      <c r="B3703" s="1"/>
      <c r="C3703" s="1"/>
      <c r="D3703" s="1"/>
      <c r="E3703" s="1"/>
      <c r="F3703" s="1"/>
    </row>
    <row r="3704" spans="1:6" ht="12.5">
      <c r="A3704" s="1"/>
      <c r="B3704" s="1"/>
      <c r="C3704" s="1"/>
      <c r="D3704" s="1"/>
      <c r="E3704" s="1"/>
      <c r="F3704" s="1"/>
    </row>
    <row r="3705" spans="1:6" ht="12.5">
      <c r="A3705" s="1"/>
      <c r="B3705" s="1"/>
      <c r="C3705" s="1"/>
      <c r="D3705" s="1"/>
      <c r="E3705" s="1"/>
      <c r="F3705" s="1"/>
    </row>
    <row r="3706" spans="1:6" ht="12.5">
      <c r="A3706" s="1"/>
      <c r="B3706" s="1"/>
      <c r="C3706" s="1"/>
      <c r="D3706" s="1"/>
      <c r="E3706" s="1"/>
      <c r="F3706" s="1"/>
    </row>
    <row r="3707" spans="1:6" ht="12.5">
      <c r="A3707" s="1"/>
      <c r="B3707" s="1"/>
      <c r="C3707" s="1"/>
      <c r="D3707" s="1"/>
      <c r="E3707" s="1"/>
      <c r="F3707" s="1"/>
    </row>
    <row r="3708" spans="1:6" ht="12.5">
      <c r="A3708" s="1"/>
      <c r="B3708" s="1"/>
      <c r="C3708" s="1"/>
      <c r="D3708" s="1"/>
      <c r="E3708" s="1"/>
      <c r="F3708" s="1"/>
    </row>
    <row r="3709" spans="1:6" ht="12.5">
      <c r="A3709" s="1"/>
      <c r="B3709" s="1"/>
      <c r="C3709" s="1"/>
      <c r="D3709" s="1"/>
      <c r="E3709" s="1"/>
      <c r="F3709" s="1"/>
    </row>
    <row r="3710" spans="1:6" ht="12.5">
      <c r="A3710" s="1"/>
      <c r="B3710" s="1"/>
      <c r="C3710" s="1"/>
      <c r="D3710" s="1"/>
      <c r="E3710" s="1"/>
      <c r="F3710" s="1"/>
    </row>
    <row r="3711" spans="1:6" ht="12.5">
      <c r="A3711" s="1"/>
      <c r="B3711" s="1"/>
      <c r="C3711" s="1"/>
      <c r="D3711" s="1"/>
      <c r="E3711" s="1"/>
      <c r="F3711" s="1"/>
    </row>
    <row r="3712" spans="1:6" ht="12.5">
      <c r="A3712" s="1"/>
      <c r="B3712" s="1"/>
      <c r="C3712" s="1"/>
      <c r="D3712" s="1"/>
      <c r="E3712" s="1"/>
      <c r="F3712" s="1"/>
    </row>
    <row r="3713" spans="1:6" ht="12.5">
      <c r="A3713" s="1"/>
      <c r="B3713" s="1"/>
      <c r="C3713" s="1"/>
      <c r="D3713" s="1"/>
      <c r="E3713" s="1"/>
      <c r="F3713" s="1"/>
    </row>
    <row r="3714" spans="1:6" ht="12.5">
      <c r="A3714" s="1"/>
      <c r="B3714" s="1"/>
      <c r="C3714" s="1"/>
      <c r="D3714" s="1"/>
      <c r="E3714" s="1"/>
      <c r="F3714" s="1"/>
    </row>
    <row r="3715" spans="1:6" ht="12.5">
      <c r="A3715" s="1"/>
      <c r="B3715" s="1"/>
      <c r="C3715" s="1"/>
      <c r="D3715" s="1"/>
      <c r="E3715" s="1"/>
      <c r="F3715" s="1"/>
    </row>
    <row r="3716" spans="1:6" ht="12.5">
      <c r="A3716" s="1"/>
      <c r="B3716" s="1"/>
      <c r="C3716" s="1"/>
      <c r="D3716" s="1"/>
      <c r="E3716" s="1"/>
      <c r="F371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804"/>
  <sheetViews>
    <sheetView topLeftCell="A1316" workbookViewId="0">
      <selection activeCell="D1327" sqref="D1327"/>
    </sheetView>
  </sheetViews>
  <sheetFormatPr baseColWidth="10" defaultColWidth="12.6328125" defaultRowHeight="15.75" customHeight="1"/>
  <sheetData>
    <row r="1" spans="1:4" ht="15.75" customHeight="1">
      <c r="A1" s="7" t="str">
        <f ca="1">IFERROR(__xludf.DUMMYFUNCTION("IMPORTRANGE(""https://docs.google.com/spreadsheets/d/13by1rx0kMN24Sm2nKqqR6GsRtIyhgOO8U6IyuCHwhEU/edit#gid=1519919770"", ""Weapon!A1:D5000"")"),"Incident_ID")</f>
        <v>Incident_ID</v>
      </c>
      <c r="B1" s="1" t="str">
        <f ca="1">IFERROR(__xludf.DUMMYFUNCTION("""COMPUTED_VALUE"""),"Weapon_Type")</f>
        <v>Weapon_Type</v>
      </c>
      <c r="C1" s="1" t="str">
        <f ca="1">IFERROR(__xludf.DUMMYFUNCTION("""COMPUTED_VALUE"""),"Weapon_Caliber")</f>
        <v>Weapon_Caliber</v>
      </c>
      <c r="D1" s="1" t="str">
        <f ca="1">IFERROR(__xludf.DUMMYFUNCTION("""COMPUTED_VALUE"""),"Weapon_Details")</f>
        <v>Weapon_Details</v>
      </c>
    </row>
    <row r="2" spans="1:4" ht="15.75" customHeight="1">
      <c r="A2" s="1" t="str">
        <f ca="1">IFERROR(__xludf.DUMMYFUNCTION("""COMPUTED_VALUE"""),"20240326GATUA")</f>
        <v>20240326GATUA</v>
      </c>
      <c r="B2" s="1" t="str">
        <f ca="1">IFERROR(__xludf.DUMMYFUNCTION("""COMPUTED_VALUE"""),"Handgun")</f>
        <v>Handgun</v>
      </c>
      <c r="C2" s="1"/>
      <c r="D2" s="1"/>
    </row>
    <row r="3" spans="1:4" ht="15.75" customHeight="1">
      <c r="A3" s="1" t="str">
        <f ca="1">IFERROR(__xludf.DUMMYFUNCTION("""COMPUTED_VALUE"""),"20240326MOCHC")</f>
        <v>20240326MOCHC</v>
      </c>
      <c r="B3" s="1" t="str">
        <f ca="1">IFERROR(__xludf.DUMMYFUNCTION("""COMPUTED_VALUE"""),"Handgun")</f>
        <v>Handgun</v>
      </c>
      <c r="C3" s="1"/>
      <c r="D3" s="1"/>
    </row>
    <row r="4" spans="1:4" ht="15.75" customHeight="1">
      <c r="A4" s="1" t="str">
        <f ca="1">IFERROR(__xludf.DUMMYFUNCTION("""COMPUTED_VALUE"""),"20240326NJWEN")</f>
        <v>20240326NJWEN</v>
      </c>
      <c r="B4" s="1" t="str">
        <f ca="1">IFERROR(__xludf.DUMMYFUNCTION("""COMPUTED_VALUE"""),"Handgun")</f>
        <v>Handgun</v>
      </c>
      <c r="C4" s="1"/>
      <c r="D4" s="1" t="str">
        <f ca="1">IFERROR(__xludf.DUMMYFUNCTION("""COMPUTED_VALUE"""),"Modified for full auto fire")</f>
        <v>Modified for full auto fire</v>
      </c>
    </row>
    <row r="5" spans="1:4" ht="15.75" customHeight="1">
      <c r="A5" s="1" t="str">
        <f ca="1">IFERROR(__xludf.DUMMYFUNCTION("""COMPUTED_VALUE"""),"20240325HIWAW")</f>
        <v>20240325HIWAW</v>
      </c>
      <c r="B5" s="1" t="str">
        <f ca="1">IFERROR(__xludf.DUMMYFUNCTION("""COMPUTED_VALUE"""),"Handgun")</f>
        <v>Handgun</v>
      </c>
      <c r="C5" s="1"/>
      <c r="D5" s="1"/>
    </row>
    <row r="6" spans="1:4" ht="15.75" customHeight="1">
      <c r="A6" s="1" t="str">
        <f ca="1">IFERROR(__xludf.DUMMYFUNCTION("""COMPUTED_VALUE"""),"20240321NJMAN")</f>
        <v>20240321NJMAN</v>
      </c>
      <c r="B6" s="1" t="str">
        <f ca="1">IFERROR(__xludf.DUMMYFUNCTION("""COMPUTED_VALUE"""),"Handgun")</f>
        <v>Handgun</v>
      </c>
      <c r="C6" s="1"/>
      <c r="D6" s="1"/>
    </row>
    <row r="7" spans="1:4" ht="15.75" customHeight="1">
      <c r="A7" s="1" t="str">
        <f ca="1">IFERROR(__xludf.DUMMYFUNCTION("""COMPUTED_VALUE"""),"20240321CADIP")</f>
        <v>20240321CADIP</v>
      </c>
      <c r="B7" s="1" t="str">
        <f ca="1">IFERROR(__xludf.DUMMYFUNCTION("""COMPUTED_VALUE"""),"Handgun")</f>
        <v>Handgun</v>
      </c>
      <c r="C7" s="1"/>
      <c r="D7" s="1"/>
    </row>
    <row r="8" spans="1:4" ht="15.75" customHeight="1">
      <c r="A8" s="1" t="str">
        <f ca="1">IFERROR(__xludf.DUMMYFUNCTION("""COMPUTED_VALUE"""),"20240320NCPEP")</f>
        <v>20240320NCPEP</v>
      </c>
      <c r="B8" s="1" t="str">
        <f ca="1">IFERROR(__xludf.DUMMYFUNCTION("""COMPUTED_VALUE"""),"Handgun")</f>
        <v>Handgun</v>
      </c>
      <c r="C8" s="1"/>
      <c r="D8" s="1"/>
    </row>
    <row r="9" spans="1:4" ht="15.75" customHeight="1">
      <c r="A9" s="1" t="str">
        <f ca="1">IFERROR(__xludf.DUMMYFUNCTION("""COMPUTED_VALUE"""),"20240320CONOD")</f>
        <v>20240320CONOD</v>
      </c>
      <c r="B9" s="1"/>
      <c r="C9" s="1"/>
      <c r="D9" s="1"/>
    </row>
    <row r="10" spans="1:4" ht="15.75" customHeight="1">
      <c r="A10" s="1" t="str">
        <f ca="1">IFERROR(__xludf.DUMMYFUNCTION("""COMPUTED_VALUE"""),"20240320OHBOC")</f>
        <v>20240320OHBOC</v>
      </c>
      <c r="B10" s="1" t="str">
        <f ca="1">IFERROR(__xludf.DUMMYFUNCTION("""COMPUTED_VALUE"""),"Handgun")</f>
        <v>Handgun</v>
      </c>
      <c r="C10" s="1"/>
      <c r="D10" s="1" t="str">
        <f ca="1">IFERROR(__xludf.DUMMYFUNCTION("""COMPUTED_VALUE"""),"Glock with switch")</f>
        <v>Glock with switch</v>
      </c>
    </row>
    <row r="11" spans="1:4" ht="15.75" customHeight="1">
      <c r="A11" s="1" t="str">
        <f ca="1">IFERROR(__xludf.DUMMYFUNCTION("""COMPUTED_VALUE"""),"20240320ILBUC")</f>
        <v>20240320ILBUC</v>
      </c>
      <c r="B11" s="1" t="str">
        <f ca="1">IFERROR(__xludf.DUMMYFUNCTION("""COMPUTED_VALUE"""),"Handgun")</f>
        <v>Handgun</v>
      </c>
      <c r="C11" s="1"/>
      <c r="D11" s="1"/>
    </row>
    <row r="12" spans="1:4" ht="15.75" customHeight="1">
      <c r="A12" s="1" t="str">
        <f ca="1">IFERROR(__xludf.DUMMYFUNCTION("""COMPUTED_VALUE"""),"20240319DETHW")</f>
        <v>20240319DETHW</v>
      </c>
      <c r="B12" s="1" t="str">
        <f ca="1">IFERROR(__xludf.DUMMYFUNCTION("""COMPUTED_VALUE"""),"Handgun")</f>
        <v>Handgun</v>
      </c>
      <c r="C12" s="1"/>
      <c r="D12" s="1"/>
    </row>
    <row r="13" spans="1:4" ht="15.75" customHeight="1">
      <c r="A13" s="1" t="str">
        <f ca="1">IFERROR(__xludf.DUMMYFUNCTION("""COMPUTED_VALUE"""),"20240316TNKEC")</f>
        <v>20240316TNKEC</v>
      </c>
      <c r="B13" s="1" t="str">
        <f ca="1">IFERROR(__xludf.DUMMYFUNCTION("""COMPUTED_VALUE"""),"Handgun")</f>
        <v>Handgun</v>
      </c>
      <c r="C13" s="1"/>
      <c r="D13" s="1"/>
    </row>
    <row r="14" spans="1:4" ht="15.75" customHeight="1">
      <c r="A14" s="1" t="str">
        <f ca="1">IFERROR(__xludf.DUMMYFUNCTION("""COMPUTED_VALUE"""),"20240314OHLOD")</f>
        <v>20240314OHLOD</v>
      </c>
      <c r="B14" s="1" t="str">
        <f ca="1">IFERROR(__xludf.DUMMYFUNCTION("""COMPUTED_VALUE"""),"Handgun")</f>
        <v>Handgun</v>
      </c>
      <c r="C14" s="1"/>
      <c r="D14" s="1"/>
    </row>
    <row r="15" spans="1:4" ht="15.75" customHeight="1">
      <c r="A15" s="1" t="str">
        <f ca="1">IFERROR(__xludf.DUMMYFUNCTION("""COMPUTED_VALUE"""),"20240313MDFOG")</f>
        <v>20240313MDFOG</v>
      </c>
      <c r="B15" s="1" t="str">
        <f ca="1">IFERROR(__xludf.DUMMYFUNCTION("""COMPUTED_VALUE"""),"Handgun")</f>
        <v>Handgun</v>
      </c>
      <c r="C15" s="1"/>
      <c r="D15" s="1"/>
    </row>
    <row r="16" spans="1:4" ht="15.75" customHeight="1">
      <c r="A16" s="1" t="str">
        <f ca="1">IFERROR(__xludf.DUMMYFUNCTION("""COMPUTED_VALUE"""),"20240313WAGAS")</f>
        <v>20240313WAGAS</v>
      </c>
      <c r="B16" s="1" t="str">
        <f ca="1">IFERROR(__xludf.DUMMYFUNCTION("""COMPUTED_VALUE"""),"Handgun")</f>
        <v>Handgun</v>
      </c>
      <c r="C16" s="1"/>
      <c r="D16" s="1"/>
    </row>
    <row r="17" spans="1:4" ht="15.75" customHeight="1">
      <c r="A17" s="1" t="str">
        <f ca="1">IFERROR(__xludf.DUMMYFUNCTION("""COMPUTED_VALUE"""),"20240313MDWIB")</f>
        <v>20240313MDWIB</v>
      </c>
      <c r="B17" s="1" t="str">
        <f ca="1">IFERROR(__xludf.DUMMYFUNCTION("""COMPUTED_VALUE"""),"Handgun")</f>
        <v>Handgun</v>
      </c>
      <c r="C17" s="1"/>
      <c r="D17" s="1"/>
    </row>
    <row r="18" spans="1:4" ht="15.75" customHeight="1">
      <c r="A18" s="1" t="str">
        <f ca="1">IFERROR(__xludf.DUMMYFUNCTION("""COMPUTED_VALUE"""),"20240311TXCHT")</f>
        <v>20240311TXCHT</v>
      </c>
      <c r="B18" s="1" t="str">
        <f ca="1">IFERROR(__xludf.DUMMYFUNCTION("""COMPUTED_VALUE"""),"Handgun")</f>
        <v>Handgun</v>
      </c>
      <c r="C18" s="1"/>
      <c r="D18" s="1"/>
    </row>
    <row r="19" spans="1:4" ht="15.75" customHeight="1">
      <c r="A19" s="1" t="str">
        <f ca="1">IFERROR(__xludf.DUMMYFUNCTION("""COMPUTED_VALUE"""),"20240311MASPS")</f>
        <v>20240311MASPS</v>
      </c>
      <c r="B19" s="1" t="str">
        <f ca="1">IFERROR(__xludf.DUMMYFUNCTION("""COMPUTED_VALUE"""),"Handgun")</f>
        <v>Handgun</v>
      </c>
      <c r="C19" s="1"/>
      <c r="D19" s="1"/>
    </row>
    <row r="20" spans="1:4" ht="15.75" customHeight="1">
      <c r="A20" s="1" t="str">
        <f ca="1">IFERROR(__xludf.DUMMYFUNCTION("""COMPUTED_VALUE"""),"20240307NYPSB")</f>
        <v>20240307NYPSB</v>
      </c>
      <c r="B20" s="1" t="str">
        <f ca="1">IFERROR(__xludf.DUMMYFUNCTION("""COMPUTED_VALUE"""),"Handgun")</f>
        <v>Handgun</v>
      </c>
      <c r="C20" s="1"/>
      <c r="D20" s="1"/>
    </row>
    <row r="21" spans="1:4" ht="15.75" customHeight="1">
      <c r="A21" s="1" t="str">
        <f ca="1">IFERROR(__xludf.DUMMYFUNCTION("""COMPUTED_VALUE"""),"20240305INHAL")</f>
        <v>20240305INHAL</v>
      </c>
      <c r="B21" s="1" t="str">
        <f ca="1">IFERROR(__xludf.DUMMYFUNCTION("""COMPUTED_VALUE"""),"Handgun")</f>
        <v>Handgun</v>
      </c>
      <c r="C21" s="1"/>
      <c r="D21" s="1"/>
    </row>
    <row r="22" spans="1:4" ht="12.5">
      <c r="A22" s="1" t="str">
        <f ca="1">IFERROR(__xludf.DUMMYFUNCTION("""COMPUTED_VALUE"""),"20240304TNBRB")</f>
        <v>20240304TNBRB</v>
      </c>
      <c r="B22" s="1" t="str">
        <f ca="1">IFERROR(__xludf.DUMMYFUNCTION("""COMPUTED_VALUE"""),"Handgun")</f>
        <v>Handgun</v>
      </c>
      <c r="C22" s="1"/>
      <c r="D22" s="1"/>
    </row>
    <row r="23" spans="1:4" ht="12.5">
      <c r="A23" s="1" t="str">
        <f ca="1">IFERROR(__xludf.DUMMYFUNCTION("""COMPUTED_VALUE"""),"20240302INROR")</f>
        <v>20240302INROR</v>
      </c>
      <c r="B23" s="1" t="str">
        <f ca="1">IFERROR(__xludf.DUMMYFUNCTION("""COMPUTED_VALUE"""),"Multiple Handguns")</f>
        <v>Multiple Handguns</v>
      </c>
      <c r="C23" s="1"/>
      <c r="D23" s="1" t="str">
        <f ca="1">IFERROR(__xludf.DUMMYFUNCTION("""COMPUTED_VALUE"""),"Two loaded handguns in backpack")</f>
        <v>Two loaded handguns in backpack</v>
      </c>
    </row>
    <row r="24" spans="1:4" ht="12.5">
      <c r="A24" s="1" t="str">
        <f ca="1">IFERROR(__xludf.DUMMYFUNCTION("""COMPUTED_VALUE"""),"20240302MONOK")</f>
        <v>20240302MONOK</v>
      </c>
      <c r="B24" s="1" t="str">
        <f ca="1">IFERROR(__xludf.DUMMYFUNCTION("""COMPUTED_VALUE"""),"Handgun")</f>
        <v>Handgun</v>
      </c>
      <c r="C24" s="1"/>
      <c r="D24" s="1"/>
    </row>
    <row r="25" spans="1:4" ht="12.5">
      <c r="A25" s="1" t="str">
        <f ca="1">IFERROR(__xludf.DUMMYFUNCTION("""COMPUTED_VALUE"""),"20240301LACAC")</f>
        <v>20240301LACAC</v>
      </c>
      <c r="B25" s="1" t="str">
        <f ca="1">IFERROR(__xludf.DUMMYFUNCTION("""COMPUTED_VALUE"""),"Handgun")</f>
        <v>Handgun</v>
      </c>
      <c r="C25" s="1"/>
      <c r="D25" s="1"/>
    </row>
    <row r="26" spans="1:4" ht="12.5">
      <c r="A26" s="1" t="str">
        <f ca="1">IFERROR(__xludf.DUMMYFUNCTION("""COMPUTED_VALUE"""),"20240229FLFIJ")</f>
        <v>20240229FLFIJ</v>
      </c>
      <c r="B26" s="1" t="str">
        <f ca="1">IFERROR(__xludf.DUMMYFUNCTION("""COMPUTED_VALUE"""),"Handgun")</f>
        <v>Handgun</v>
      </c>
      <c r="C26" s="1"/>
      <c r="D26" s="1"/>
    </row>
    <row r="27" spans="1:4" ht="12.5">
      <c r="A27" s="1" t="str">
        <f ca="1">IFERROR(__xludf.DUMMYFUNCTION("""COMPUTED_VALUE"""),"20240228NCWAG")</f>
        <v>20240228NCWAG</v>
      </c>
      <c r="B27" s="1" t="str">
        <f ca="1">IFERROR(__xludf.DUMMYFUNCTION("""COMPUTED_VALUE"""),"Handgun")</f>
        <v>Handgun</v>
      </c>
      <c r="C27" s="1"/>
      <c r="D27" s="1"/>
    </row>
    <row r="28" spans="1:4" ht="12.5">
      <c r="A28" s="1" t="str">
        <f ca="1">IFERROR(__xludf.DUMMYFUNCTION("""COMPUTED_VALUE"""),"20240228MEWAW")</f>
        <v>20240228MEWAW</v>
      </c>
      <c r="B28" s="1" t="str">
        <f ca="1">IFERROR(__xludf.DUMMYFUNCTION("""COMPUTED_VALUE"""),"Handgun")</f>
        <v>Handgun</v>
      </c>
      <c r="C28" s="1"/>
      <c r="D28" s="1"/>
    </row>
    <row r="29" spans="1:4" ht="12.5">
      <c r="A29" s="1" t="str">
        <f ca="1">IFERROR(__xludf.DUMMYFUNCTION("""COMPUTED_VALUE"""),"20240227DESUG")</f>
        <v>20240227DESUG</v>
      </c>
      <c r="B29" s="1" t="str">
        <f ca="1">IFERROR(__xludf.DUMMYFUNCTION("""COMPUTED_VALUE"""),"Handgun")</f>
        <v>Handgun</v>
      </c>
      <c r="C29" s="1"/>
      <c r="D29" s="1"/>
    </row>
    <row r="30" spans="1:4" ht="12.5">
      <c r="A30" s="1" t="str">
        <f ca="1">IFERROR(__xludf.DUMMYFUNCTION("""COMPUTED_VALUE"""),"20240226TXODO")</f>
        <v>20240226TXODO</v>
      </c>
      <c r="B30" s="1" t="str">
        <f ca="1">IFERROR(__xludf.DUMMYFUNCTION("""COMPUTED_VALUE"""),"Handgun")</f>
        <v>Handgun</v>
      </c>
      <c r="C30" s="1"/>
      <c r="D30" s="1"/>
    </row>
    <row r="31" spans="1:4" ht="12.5">
      <c r="A31" s="1" t="str">
        <f ca="1">IFERROR(__xludf.DUMMYFUNCTION("""COMPUTED_VALUE"""),"20240223WVBLB")</f>
        <v>20240223WVBLB</v>
      </c>
      <c r="B31" s="1" t="str">
        <f ca="1">IFERROR(__xludf.DUMMYFUNCTION("""COMPUTED_VALUE"""),"Handgun")</f>
        <v>Handgun</v>
      </c>
      <c r="C31" s="1"/>
      <c r="D31" s="1"/>
    </row>
    <row r="32" spans="1:4" ht="12.5">
      <c r="A32" s="1" t="str">
        <f ca="1">IFERROR(__xludf.DUMMYFUNCTION("""COMPUTED_VALUE"""),"20240221TXTRA")</f>
        <v>20240221TXTRA</v>
      </c>
      <c r="B32" s="1" t="str">
        <f ca="1">IFERROR(__xludf.DUMMYFUNCTION("""COMPUTED_VALUE"""),"Handgun")</f>
        <v>Handgun</v>
      </c>
      <c r="C32" s="1"/>
      <c r="D32" s="1"/>
    </row>
    <row r="33" spans="1:4" ht="12.5">
      <c r="A33" s="1" t="str">
        <f ca="1">IFERROR(__xludf.DUMMYFUNCTION("""COMPUTED_VALUE"""),"20240221CODED")</f>
        <v>20240221CODED</v>
      </c>
      <c r="B33" s="1" t="str">
        <f ca="1">IFERROR(__xludf.DUMMYFUNCTION("""COMPUTED_VALUE"""),"Handgun")</f>
        <v>Handgun</v>
      </c>
      <c r="C33" s="1"/>
      <c r="D33" s="1"/>
    </row>
    <row r="34" spans="1:4" ht="12.5">
      <c r="A34" s="1" t="str">
        <f ca="1">IFERROR(__xludf.DUMMYFUNCTION("""COMPUTED_VALUE"""),"20240221TXECE")</f>
        <v>20240221TXECE</v>
      </c>
      <c r="B34" s="1" t="str">
        <f ca="1">IFERROR(__xludf.DUMMYFUNCTION("""COMPUTED_VALUE"""),"Handgun")</f>
        <v>Handgun</v>
      </c>
      <c r="C34" s="1" t="str">
        <f ca="1">IFERROR(__xludf.DUMMYFUNCTION("""COMPUTED_VALUE"""),"Service Weapon")</f>
        <v>Service Weapon</v>
      </c>
      <c r="D34" s="1"/>
    </row>
    <row r="35" spans="1:4" ht="12.5">
      <c r="A35" s="1" t="str">
        <f ca="1">IFERROR(__xludf.DUMMYFUNCTION("""COMPUTED_VALUE"""),"20240221AZCAT")</f>
        <v>20240221AZCAT</v>
      </c>
      <c r="B35" s="1"/>
      <c r="C35" s="1"/>
      <c r="D35" s="1"/>
    </row>
    <row r="36" spans="1:4" ht="12.5">
      <c r="A36" s="1" t="str">
        <f ca="1">IFERROR(__xludf.DUMMYFUNCTION("""COMPUTED_VALUE"""),"20240220ALPEP")</f>
        <v>20240220ALPEP</v>
      </c>
      <c r="B36" s="1" t="str">
        <f ca="1">IFERROR(__xludf.DUMMYFUNCTION("""COMPUTED_VALUE"""),"Handgun")</f>
        <v>Handgun</v>
      </c>
      <c r="C36" s="1"/>
      <c r="D36" s="1"/>
    </row>
    <row r="37" spans="1:4" ht="12.5">
      <c r="A37" s="1" t="str">
        <f ca="1">IFERROR(__xludf.DUMMYFUNCTION("""COMPUTED_VALUE"""),"20240220MISAS")</f>
        <v>20240220MISAS</v>
      </c>
      <c r="B37" s="1" t="str">
        <f ca="1">IFERROR(__xludf.DUMMYFUNCTION("""COMPUTED_VALUE"""),"Handgun")</f>
        <v>Handgun</v>
      </c>
      <c r="C37" s="1"/>
      <c r="D37" s="1"/>
    </row>
    <row r="38" spans="1:4" ht="12.5">
      <c r="A38" s="1" t="str">
        <f ca="1">IFERROR(__xludf.DUMMYFUNCTION("""COMPUTED_VALUE"""),"20240219TXPIM")</f>
        <v>20240219TXPIM</v>
      </c>
      <c r="B38" s="1" t="str">
        <f ca="1">IFERROR(__xludf.DUMMYFUNCTION("""COMPUTED_VALUE"""),"Handgun")</f>
        <v>Handgun</v>
      </c>
      <c r="C38" s="1" t="str">
        <f ca="1">IFERROR(__xludf.DUMMYFUNCTION("""COMPUTED_VALUE"""),".38 caliber")</f>
        <v>.38 caliber</v>
      </c>
      <c r="D38" s="1" t="str">
        <f ca="1">IFERROR(__xludf.DUMMYFUNCTION("""COMPUTED_VALUE"""),"38 special revolver")</f>
        <v>38 special revolver</v>
      </c>
    </row>
    <row r="39" spans="1:4" ht="12.5">
      <c r="A39" s="1" t="str">
        <f ca="1">IFERROR(__xludf.DUMMYFUNCTION("""COMPUTED_VALUE"""),"20240215FLSHC")</f>
        <v>20240215FLSHC</v>
      </c>
      <c r="B39" s="1" t="str">
        <f ca="1">IFERROR(__xludf.DUMMYFUNCTION("""COMPUTED_VALUE"""),"Other")</f>
        <v>Other</v>
      </c>
      <c r="C39" s="1" t="str">
        <f ca="1">IFERROR(__xludf.DUMMYFUNCTION("""COMPUTED_VALUE"""),"BB")</f>
        <v>BB</v>
      </c>
      <c r="D39" s="1" t="str">
        <f ca="1">IFERROR(__xludf.DUMMYFUNCTION("""COMPUTED_VALUE"""),"Air rifle")</f>
        <v>Air rifle</v>
      </c>
    </row>
    <row r="40" spans="1:4" ht="12.5">
      <c r="A40" s="1" t="str">
        <f ca="1">IFERROR(__xludf.DUMMYFUNCTION("""COMPUTED_VALUE"""),"20240215FLSHC")</f>
        <v>20240215FLSHC</v>
      </c>
      <c r="B40" s="1" t="str">
        <f ca="1">IFERROR(__xludf.DUMMYFUNCTION("""COMPUTED_VALUE"""),"Other")</f>
        <v>Other</v>
      </c>
      <c r="C40" s="1" t="str">
        <f ca="1">IFERROR(__xludf.DUMMYFUNCTION("""COMPUTED_VALUE"""),"Pellet")</f>
        <v>Pellet</v>
      </c>
      <c r="D40" s="1" t="str">
        <f ca="1">IFERROR(__xludf.DUMMYFUNCTION("""COMPUTED_VALUE"""),"Air rifle")</f>
        <v>Air rifle</v>
      </c>
    </row>
    <row r="41" spans="1:4" ht="12.5">
      <c r="A41" s="1" t="str">
        <f ca="1">IFERROR(__xludf.DUMMYFUNCTION("""COMPUTED_VALUE"""),"20240214GABEA")</f>
        <v>20240214GABEA</v>
      </c>
      <c r="B41" s="1"/>
      <c r="C41" s="1"/>
      <c r="D41" s="1"/>
    </row>
    <row r="42" spans="1:4" ht="12.5">
      <c r="A42" s="1" t="str">
        <f ca="1">IFERROR(__xludf.DUMMYFUNCTION("""COMPUTED_VALUE"""),"20240213TNRAM")</f>
        <v>20240213TNRAM</v>
      </c>
      <c r="B42" s="1" t="str">
        <f ca="1">IFERROR(__xludf.DUMMYFUNCTION("""COMPUTED_VALUE"""),"Handgun")</f>
        <v>Handgun</v>
      </c>
      <c r="C42" s="1"/>
      <c r="D42" s="1"/>
    </row>
    <row r="43" spans="1:4" ht="12.5">
      <c r="A43" s="1" t="str">
        <f ca="1">IFERROR(__xludf.DUMMYFUNCTION("""COMPUTED_VALUE"""),"20240212OHBEB")</f>
        <v>20240212OHBEB</v>
      </c>
      <c r="B43" s="1" t="str">
        <f ca="1">IFERROR(__xludf.DUMMYFUNCTION("""COMPUTED_VALUE"""),"Handgun")</f>
        <v>Handgun</v>
      </c>
      <c r="C43" s="1"/>
      <c r="D43" s="1"/>
    </row>
    <row r="44" spans="1:4" ht="12.5">
      <c r="A44" s="1" t="str">
        <f ca="1">IFERROR(__xludf.DUMMYFUNCTION("""COMPUTED_VALUE"""),"20240212IDCOI")</f>
        <v>20240212IDCOI</v>
      </c>
      <c r="B44" s="1"/>
      <c r="C44" s="1"/>
      <c r="D44" s="1"/>
    </row>
    <row r="45" spans="1:4" ht="12.5">
      <c r="A45" s="1" t="str">
        <f ca="1">IFERROR(__xludf.DUMMYFUNCTION("""COMPUTED_VALUE"""),"20240212IDCOI")</f>
        <v>20240212IDCOI</v>
      </c>
      <c r="B45" s="1"/>
      <c r="C45" s="1"/>
      <c r="D45" s="1"/>
    </row>
    <row r="46" spans="1:4" ht="12.5">
      <c r="A46" s="1" t="str">
        <f ca="1">IFERROR(__xludf.DUMMYFUNCTION("""COMPUTED_VALUE"""),"20240212CAELC")</f>
        <v>20240212CAELC</v>
      </c>
      <c r="B46" s="1"/>
      <c r="C46" s="1"/>
      <c r="D46" s="1"/>
    </row>
    <row r="47" spans="1:4" ht="12.5">
      <c r="A47" s="1" t="str">
        <f ca="1">IFERROR(__xludf.DUMMYFUNCTION("""COMPUTED_VALUE"""),"20240211CAMAB")</f>
        <v>20240211CAMAB</v>
      </c>
      <c r="B47" s="1"/>
      <c r="C47" s="1"/>
      <c r="D47" s="1"/>
    </row>
    <row r="48" spans="1:4" ht="12.5">
      <c r="A48" s="1" t="str">
        <f ca="1">IFERROR(__xludf.DUMMYFUNCTION("""COMPUTED_VALUE"""),"20240209PACOR")</f>
        <v>20240209PACOR</v>
      </c>
      <c r="B48" s="1" t="str">
        <f ca="1">IFERROR(__xludf.DUMMYFUNCTION("""COMPUTED_VALUE"""),"Handgun")</f>
        <v>Handgun</v>
      </c>
      <c r="C48" s="1"/>
      <c r="D48" s="1"/>
    </row>
    <row r="49" spans="1:4" ht="12.5">
      <c r="A49" s="1" t="str">
        <f ca="1">IFERROR(__xludf.DUMMYFUNCTION("""COMPUTED_VALUE"""),"20240209GATRE")</f>
        <v>20240209GATRE</v>
      </c>
      <c r="B49" s="1" t="str">
        <f ca="1">IFERROR(__xludf.DUMMYFUNCTION("""COMPUTED_VALUE"""),"Handgun")</f>
        <v>Handgun</v>
      </c>
      <c r="C49" s="1"/>
      <c r="D49" s="1"/>
    </row>
    <row r="50" spans="1:4" ht="12.5">
      <c r="A50" s="1" t="str">
        <f ca="1">IFERROR(__xludf.DUMMYFUNCTION("""COMPUTED_VALUE"""),"20240208MDBEB")</f>
        <v>20240208MDBEB</v>
      </c>
      <c r="B50" s="1" t="str">
        <f ca="1">IFERROR(__xludf.DUMMYFUNCTION("""COMPUTED_VALUE"""),"Handgun")</f>
        <v>Handgun</v>
      </c>
      <c r="C50" s="1"/>
      <c r="D50" s="1"/>
    </row>
    <row r="51" spans="1:4" ht="12.5">
      <c r="A51" s="1" t="str">
        <f ca="1">IFERROR(__xludf.DUMMYFUNCTION("""COMPUTED_VALUE"""),"20240208TNMEN")</f>
        <v>20240208TNMEN</v>
      </c>
      <c r="B51" s="1" t="str">
        <f ca="1">IFERROR(__xludf.DUMMYFUNCTION("""COMPUTED_VALUE"""),"Handgun")</f>
        <v>Handgun</v>
      </c>
      <c r="C51" s="1"/>
      <c r="D51" s="1"/>
    </row>
    <row r="52" spans="1:4" ht="12.5">
      <c r="A52" s="1" t="str">
        <f ca="1">IFERROR(__xludf.DUMMYFUNCTION("""COMPUTED_VALUE"""),"20240207ORWIE")</f>
        <v>20240207ORWIE</v>
      </c>
      <c r="B52" s="1"/>
      <c r="C52" s="1"/>
      <c r="D52" s="1"/>
    </row>
    <row r="53" spans="1:4" ht="12.5">
      <c r="A53" s="1" t="str">
        <f ca="1">IFERROR(__xludf.DUMMYFUNCTION("""COMPUTED_VALUE"""),"2024207TXKUH")</f>
        <v>2024207TXKUH</v>
      </c>
      <c r="B53" s="1"/>
      <c r="C53" s="1"/>
      <c r="D53" s="1"/>
    </row>
    <row r="54" spans="1:4" ht="12.5">
      <c r="A54" s="1" t="str">
        <f ca="1">IFERROR(__xludf.DUMMYFUNCTION("""COMPUTED_VALUE"""),"20240206TNNOC")</f>
        <v>20240206TNNOC</v>
      </c>
      <c r="B54" s="1"/>
      <c r="C54" s="1"/>
      <c r="D54" s="1"/>
    </row>
    <row r="55" spans="1:4" ht="12.5">
      <c r="A55" s="1" t="str">
        <f ca="1">IFERROR(__xludf.DUMMYFUNCTION("""COMPUTED_VALUE"""),"20240205GALUA")</f>
        <v>20240205GALUA</v>
      </c>
      <c r="B55" s="1" t="str">
        <f ca="1">IFERROR(__xludf.DUMMYFUNCTION("""COMPUTED_VALUE"""),"Handgun")</f>
        <v>Handgun</v>
      </c>
      <c r="C55" s="1"/>
      <c r="D55" s="1"/>
    </row>
    <row r="56" spans="1:4" ht="12.5">
      <c r="A56" s="1" t="str">
        <f ca="1">IFERROR(__xludf.DUMMYFUNCTION("""COMPUTED_VALUE"""),"20240202AZLAA")</f>
        <v>20240202AZLAA</v>
      </c>
      <c r="B56" s="1" t="str">
        <f ca="1">IFERROR(__xludf.DUMMYFUNCTION("""COMPUTED_VALUE"""),"Handgun")</f>
        <v>Handgun</v>
      </c>
      <c r="C56" s="1"/>
      <c r="D56" s="1"/>
    </row>
    <row r="57" spans="1:4" ht="12.5">
      <c r="A57" s="1" t="str">
        <f ca="1">IFERROR(__xludf.DUMMYFUNCTION("""COMPUTED_VALUE"""),"20240201TNHAN")</f>
        <v>20240201TNHAN</v>
      </c>
      <c r="B57" s="1" t="str">
        <f ca="1">IFERROR(__xludf.DUMMYFUNCTION("""COMPUTED_VALUE"""),"Handgun")</f>
        <v>Handgun</v>
      </c>
      <c r="C57" s="1"/>
      <c r="D57" s="1"/>
    </row>
    <row r="58" spans="1:4" ht="12.5">
      <c r="A58" s="1" t="str">
        <f ca="1">IFERROR(__xludf.DUMMYFUNCTION("""COMPUTED_VALUE"""),"20240201GAMCP")</f>
        <v>20240201GAMCP</v>
      </c>
      <c r="B58" s="1" t="str">
        <f ca="1">IFERROR(__xludf.DUMMYFUNCTION("""COMPUTED_VALUE"""),"Handgun")</f>
        <v>Handgun</v>
      </c>
      <c r="C58" s="1"/>
      <c r="D58" s="1"/>
    </row>
    <row r="59" spans="1:4" ht="12.5">
      <c r="A59" s="1" t="str">
        <f ca="1">IFERROR(__xludf.DUMMYFUNCTION("""COMPUTED_VALUE"""),"20240131CADUD")</f>
        <v>20240131CADUD</v>
      </c>
      <c r="B59" s="1" t="str">
        <f ca="1">IFERROR(__xludf.DUMMYFUNCTION("""COMPUTED_VALUE"""),"Other")</f>
        <v>Other</v>
      </c>
      <c r="C59" s="1" t="str">
        <f ca="1">IFERROR(__xludf.DUMMYFUNCTION("""COMPUTED_VALUE"""),"Pellet")</f>
        <v>Pellet</v>
      </c>
      <c r="D59" s="1" t="str">
        <f ca="1">IFERROR(__xludf.DUMMYFUNCTION("""COMPUTED_VALUE"""),"Gel pellet")</f>
        <v>Gel pellet</v>
      </c>
    </row>
    <row r="60" spans="1:4" ht="12.5">
      <c r="A60" s="1" t="str">
        <f ca="1">IFERROR(__xludf.DUMMYFUNCTION("""COMPUTED_VALUE"""),"20240131ILCHC")</f>
        <v>20240131ILCHC</v>
      </c>
      <c r="B60" s="1" t="str">
        <f ca="1">IFERROR(__xludf.DUMMYFUNCTION("""COMPUTED_VALUE"""),"Multiple Handguns")</f>
        <v>Multiple Handguns</v>
      </c>
      <c r="C60" s="1"/>
      <c r="D60" s="1"/>
    </row>
    <row r="61" spans="1:4" ht="12.5">
      <c r="A61" s="1" t="str">
        <f ca="1">IFERROR(__xludf.DUMMYFUNCTION("""COMPUTED_VALUE"""),"20240130TNBLM")</f>
        <v>20240130TNBLM</v>
      </c>
      <c r="B61" s="1" t="str">
        <f ca="1">IFERROR(__xludf.DUMMYFUNCTION("""COMPUTED_VALUE"""),"Handgun")</f>
        <v>Handgun</v>
      </c>
      <c r="C61" s="1"/>
      <c r="D61" s="1"/>
    </row>
    <row r="62" spans="1:4" ht="12.5">
      <c r="A62" s="1" t="str">
        <f ca="1">IFERROR(__xludf.DUMMYFUNCTION("""COMPUTED_VALUE"""),"20240130TNBLM")</f>
        <v>20240130TNBLM</v>
      </c>
      <c r="B62" s="1" t="str">
        <f ca="1">IFERROR(__xludf.DUMMYFUNCTION("""COMPUTED_VALUE"""),"Handgun")</f>
        <v>Handgun</v>
      </c>
      <c r="C62" s="1"/>
      <c r="D62" s="1"/>
    </row>
    <row r="63" spans="1:4" ht="12.5">
      <c r="A63" s="1" t="str">
        <f ca="1">IFERROR(__xludf.DUMMYFUNCTION("""COMPUTED_VALUE"""),"20240130INBEB")</f>
        <v>20240130INBEB</v>
      </c>
      <c r="B63" s="1" t="str">
        <f ca="1">IFERROR(__xludf.DUMMYFUNCTION("""COMPUTED_VALUE"""),"Handgun")</f>
        <v>Handgun</v>
      </c>
      <c r="C63" s="1"/>
      <c r="D63" s="1"/>
    </row>
    <row r="64" spans="1:4" ht="12.5">
      <c r="A64" s="1" t="str">
        <f ca="1">IFERROR(__xludf.DUMMYFUNCTION("""COMPUTED_VALUE"""),"20240130CAGRS")</f>
        <v>20240130CAGRS</v>
      </c>
      <c r="B64" s="1" t="str">
        <f ca="1">IFERROR(__xludf.DUMMYFUNCTION("""COMPUTED_VALUE"""),"Handgun")</f>
        <v>Handgun</v>
      </c>
      <c r="C64" s="1"/>
      <c r="D64" s="1"/>
    </row>
    <row r="65" spans="1:4" ht="12.5">
      <c r="A65" s="1" t="str">
        <f ca="1">IFERROR(__xludf.DUMMYFUNCTION("""COMPUTED_VALUE"""),"20240130ALLEM")</f>
        <v>20240130ALLEM</v>
      </c>
      <c r="B65" s="1" t="str">
        <f ca="1">IFERROR(__xludf.DUMMYFUNCTION("""COMPUTED_VALUE"""),"Handgun")</f>
        <v>Handgun</v>
      </c>
      <c r="C65" s="1"/>
      <c r="D65" s="1"/>
    </row>
    <row r="66" spans="1:4" ht="12.5">
      <c r="A66" s="1" t="str">
        <f ca="1">IFERROR(__xludf.DUMMYFUNCTION("""COMPUTED_VALUE"""),"20240129TXCOA")</f>
        <v>20240129TXCOA</v>
      </c>
      <c r="B66" s="1" t="str">
        <f ca="1">IFERROR(__xludf.DUMMYFUNCTION("""COMPUTED_VALUE"""),"Handgun")</f>
        <v>Handgun</v>
      </c>
      <c r="C66" s="1"/>
      <c r="D66" s="1"/>
    </row>
    <row r="67" spans="1:4" ht="12.5">
      <c r="A67" s="1" t="str">
        <f ca="1">IFERROR(__xludf.DUMMYFUNCTION("""COMPUTED_VALUE"""),"20240129TXCOA")</f>
        <v>20240129TXCOA</v>
      </c>
      <c r="B67" s="1" t="str">
        <f ca="1">IFERROR(__xludf.DUMMYFUNCTION("""COMPUTED_VALUE"""),"Rifle")</f>
        <v>Rifle</v>
      </c>
      <c r="C67" s="1" t="str">
        <f ca="1">IFERROR(__xludf.DUMMYFUNCTION("""COMPUTED_VALUE"""),"AK-47")</f>
        <v>AK-47</v>
      </c>
      <c r="D67" s="1"/>
    </row>
    <row r="68" spans="1:4" ht="12.5">
      <c r="A68" s="1" t="str">
        <f ca="1">IFERROR(__xludf.DUMMYFUNCTION("""COMPUTED_VALUE"""),"20240126ILINC")</f>
        <v>20240126ILINC</v>
      </c>
      <c r="B68" s="1" t="str">
        <f ca="1">IFERROR(__xludf.DUMMYFUNCTION("""COMPUTED_VALUE"""),"Handgun")</f>
        <v>Handgun</v>
      </c>
      <c r="C68" s="1"/>
      <c r="D68" s="1"/>
    </row>
    <row r="69" spans="1:4" ht="12.5">
      <c r="A69" s="1" t="str">
        <f ca="1">IFERROR(__xludf.DUMMYFUNCTION("""COMPUTED_VALUE"""),"20240126ALHUH")</f>
        <v>20240126ALHUH</v>
      </c>
      <c r="B69" s="1" t="str">
        <f ca="1">IFERROR(__xludf.DUMMYFUNCTION("""COMPUTED_VALUE"""),"Handgun")</f>
        <v>Handgun</v>
      </c>
      <c r="C69" s="1"/>
      <c r="D69" s="1"/>
    </row>
    <row r="70" spans="1:4" ht="12.5">
      <c r="A70" s="1" t="str">
        <f ca="1">IFERROR(__xludf.DUMMYFUNCTION("""COMPUTED_VALUE"""),"20240124TNWEM")</f>
        <v>20240124TNWEM</v>
      </c>
      <c r="B70" s="1" t="str">
        <f ca="1">IFERROR(__xludf.DUMMYFUNCTION("""COMPUTED_VALUE"""),"Handgun")</f>
        <v>Handgun</v>
      </c>
      <c r="C70" s="1"/>
      <c r="D70" s="1"/>
    </row>
    <row r="71" spans="1:4" ht="12.5">
      <c r="A71" s="1" t="str">
        <f ca="1">IFERROR(__xludf.DUMMYFUNCTION("""COMPUTED_VALUE"""),"20240122ILCIC")</f>
        <v>20240122ILCIC</v>
      </c>
      <c r="B71" s="1" t="str">
        <f ca="1">IFERROR(__xludf.DUMMYFUNCTION("""COMPUTED_VALUE"""),"Rifle")</f>
        <v>Rifle</v>
      </c>
      <c r="C71" s="1"/>
      <c r="D71" s="1"/>
    </row>
    <row r="72" spans="1:4" ht="12.5">
      <c r="A72" s="1" t="str">
        <f ca="1">IFERROR(__xludf.DUMMYFUNCTION("""COMPUTED_VALUE"""),"20240122ILCIC")</f>
        <v>20240122ILCIC</v>
      </c>
      <c r="B72" s="1" t="str">
        <f ca="1">IFERROR(__xludf.DUMMYFUNCTION("""COMPUTED_VALUE"""),"Handgun")</f>
        <v>Handgun</v>
      </c>
      <c r="C72" s="1"/>
      <c r="D72" s="1"/>
    </row>
    <row r="73" spans="1:4" ht="12.5">
      <c r="A73" s="1" t="str">
        <f ca="1">IFERROR(__xludf.DUMMYFUNCTION("""COMPUTED_VALUE"""),"20240118MNCOS")</f>
        <v>20240118MNCOS</v>
      </c>
      <c r="B73" s="1" t="str">
        <f ca="1">IFERROR(__xludf.DUMMYFUNCTION("""COMPUTED_VALUE"""),"Handgun")</f>
        <v>Handgun</v>
      </c>
      <c r="C73" s="1"/>
      <c r="D73" s="1" t="str">
        <f ca="1">IFERROR(__xludf.DUMMYFUNCTION("""COMPUTED_VALUE"""),"carrying a handgun on his body, unholstered")</f>
        <v>carrying a handgun on his body, unholstered</v>
      </c>
    </row>
    <row r="74" spans="1:4" ht="12.5">
      <c r="A74" s="1" t="str">
        <f ca="1">IFERROR(__xludf.DUMMYFUNCTION("""COMPUTED_VALUE"""),"20240117VAWED")</f>
        <v>20240117VAWED</v>
      </c>
      <c r="B74" s="1" t="str">
        <f ca="1">IFERROR(__xludf.DUMMYFUNCTION("""COMPUTED_VALUE"""),"Handgun")</f>
        <v>Handgun</v>
      </c>
      <c r="C74" s="1"/>
      <c r="D74" s="1"/>
    </row>
    <row r="75" spans="1:4" ht="12.5">
      <c r="A75" s="1" t="str">
        <f ca="1">IFERROR(__xludf.DUMMYFUNCTION("""COMPUTED_VALUE"""),"20240117INLIG")</f>
        <v>20240117INLIG</v>
      </c>
      <c r="B75" s="1" t="str">
        <f ca="1">IFERROR(__xludf.DUMMYFUNCTION("""COMPUTED_VALUE"""),"Handgun")</f>
        <v>Handgun</v>
      </c>
      <c r="C75" s="1"/>
      <c r="D75" s="1"/>
    </row>
    <row r="76" spans="1:4" ht="12.5">
      <c r="A76" s="1" t="str">
        <f ca="1">IFERROR(__xludf.DUMMYFUNCTION("""COMPUTED_VALUE"""),"20240117MDCHE")</f>
        <v>20240117MDCHE</v>
      </c>
      <c r="B76" s="1" t="str">
        <f ca="1">IFERROR(__xludf.DUMMYFUNCTION("""COMPUTED_VALUE"""),"Handgun")</f>
        <v>Handgun</v>
      </c>
      <c r="C76" s="1"/>
      <c r="D76" s="1"/>
    </row>
    <row r="77" spans="1:4" ht="12.5">
      <c r="A77" s="1" t="str">
        <f ca="1">IFERROR(__xludf.DUMMYFUNCTION("""COMPUTED_VALUE"""),"20240113INLAF")</f>
        <v>20240113INLAF</v>
      </c>
      <c r="B77" s="1" t="str">
        <f ca="1">IFERROR(__xludf.DUMMYFUNCTION("""COMPUTED_VALUE"""),"Handgun")</f>
        <v>Handgun</v>
      </c>
      <c r="C77" s="1"/>
      <c r="D77" s="1"/>
    </row>
    <row r="78" spans="1:4" ht="12.5">
      <c r="A78" s="1" t="str">
        <f ca="1">IFERROR(__xludf.DUMMYFUNCTION("""COMPUTED_VALUE"""),"20240112OKHEO")</f>
        <v>20240112OKHEO</v>
      </c>
      <c r="B78" s="1" t="str">
        <f ca="1">IFERROR(__xludf.DUMMYFUNCTION("""COMPUTED_VALUE"""),"Handgun")</f>
        <v>Handgun</v>
      </c>
      <c r="C78" s="1"/>
      <c r="D78" s="1"/>
    </row>
    <row r="79" spans="1:4" ht="12.5">
      <c r="A79" s="1" t="str">
        <f ca="1">IFERROR(__xludf.DUMMYFUNCTION("""COMPUTED_VALUE"""),"20240112OHROD")</f>
        <v>20240112OHROD</v>
      </c>
      <c r="B79" s="1" t="str">
        <f ca="1">IFERROR(__xludf.DUMMYFUNCTION("""COMPUTED_VALUE"""),"Handgun")</f>
        <v>Handgun</v>
      </c>
      <c r="C79" s="1"/>
      <c r="D79" s="1"/>
    </row>
    <row r="80" spans="1:4" ht="12.5">
      <c r="A80" s="1" t="str">
        <f ca="1">IFERROR(__xludf.DUMMYFUNCTION("""COMPUTED_VALUE"""),"20240111FLNOM")</f>
        <v>20240111FLNOM</v>
      </c>
      <c r="B80" s="1" t="str">
        <f ca="1">IFERROR(__xludf.DUMMYFUNCTION("""COMPUTED_VALUE"""),"Handgun")</f>
        <v>Handgun</v>
      </c>
      <c r="C80" s="1"/>
      <c r="D80" s="1"/>
    </row>
    <row r="81" spans="1:4" ht="12.5">
      <c r="A81" s="1" t="str">
        <f ca="1">IFERROR(__xludf.DUMMYFUNCTION("""COMPUTED_VALUE"""),"20240111LABOB")</f>
        <v>20240111LABOB</v>
      </c>
      <c r="B81" s="1" t="str">
        <f ca="1">IFERROR(__xludf.DUMMYFUNCTION("""COMPUTED_VALUE"""),"Handgun")</f>
        <v>Handgun</v>
      </c>
      <c r="C81" s="1"/>
      <c r="D81" s="1"/>
    </row>
    <row r="82" spans="1:4" ht="12.5">
      <c r="A82" s="1" t="str">
        <f ca="1">IFERROR(__xludf.DUMMYFUNCTION("""COMPUTED_VALUE"""),"20240110WAWHW")</f>
        <v>20240110WAWHW</v>
      </c>
      <c r="B82" s="1" t="str">
        <f ca="1">IFERROR(__xludf.DUMMYFUNCTION("""COMPUTED_VALUE"""),"Rifle")</f>
        <v>Rifle</v>
      </c>
      <c r="C82" s="1"/>
      <c r="D82" s="1"/>
    </row>
    <row r="83" spans="1:4" ht="12.5">
      <c r="A83" s="1" t="str">
        <f ca="1">IFERROR(__xludf.DUMMYFUNCTION("""COMPUTED_VALUE"""),"20240109TXACH")</f>
        <v>20240109TXACH</v>
      </c>
      <c r="B83" s="1" t="str">
        <f ca="1">IFERROR(__xludf.DUMMYFUNCTION("""COMPUTED_VALUE"""),"Handgun")</f>
        <v>Handgun</v>
      </c>
      <c r="C83" s="1"/>
      <c r="D83" s="1"/>
    </row>
    <row r="84" spans="1:4" ht="12.5">
      <c r="A84" s="1" t="str">
        <f ca="1">IFERROR(__xludf.DUMMYFUNCTION("""COMPUTED_VALUE"""),"20240108MSSIS")</f>
        <v>20240108MSSIS</v>
      </c>
      <c r="B84" s="1" t="str">
        <f ca="1">IFERROR(__xludf.DUMMYFUNCTION("""COMPUTED_VALUE"""),"Handgun")</f>
        <v>Handgun</v>
      </c>
      <c r="C84" s="1"/>
      <c r="D84" s="1"/>
    </row>
    <row r="85" spans="1:4" ht="12.5">
      <c r="A85" s="1" t="str">
        <f ca="1">IFERROR(__xludf.DUMMYFUNCTION("""COMPUTED_VALUE"""),"20240108CARIR")</f>
        <v>20240108CARIR</v>
      </c>
      <c r="B85" s="1"/>
      <c r="C85" s="1"/>
      <c r="D85" s="1"/>
    </row>
    <row r="86" spans="1:4" ht="12.5">
      <c r="A86" s="1" t="str">
        <f ca="1">IFERROR(__xludf.DUMMYFUNCTION("""COMPUTED_VALUE"""),"20240104IAPEP")</f>
        <v>20240104IAPEP</v>
      </c>
      <c r="B86" s="1" t="str">
        <f ca="1">IFERROR(__xludf.DUMMYFUNCTION("""COMPUTED_VALUE"""),"Handgun")</f>
        <v>Handgun</v>
      </c>
      <c r="C86" s="1" t="str">
        <f ca="1">IFERROR(__xludf.DUMMYFUNCTION("""COMPUTED_VALUE"""),".22 caliber")</f>
        <v>.22 caliber</v>
      </c>
      <c r="D86" s="1"/>
    </row>
    <row r="87" spans="1:4" ht="12.5">
      <c r="A87" s="1" t="str">
        <f ca="1">IFERROR(__xludf.DUMMYFUNCTION("""COMPUTED_VALUE"""),"20240104IAPEP")</f>
        <v>20240104IAPEP</v>
      </c>
      <c r="B87" s="1" t="str">
        <f ca="1">IFERROR(__xludf.DUMMYFUNCTION("""COMPUTED_VALUE"""),"Shotgun")</f>
        <v>Shotgun</v>
      </c>
      <c r="C87" s="1"/>
      <c r="D87" s="1" t="str">
        <f ca="1">IFERROR(__xludf.DUMMYFUNCTION("""COMPUTED_VALUE"""),"Birdshot load")</f>
        <v>Birdshot load</v>
      </c>
    </row>
    <row r="88" spans="1:4" ht="12.5">
      <c r="A88" s="1" t="str">
        <f ca="1">IFERROR(__xludf.DUMMYFUNCTION("""COMPUTED_VALUE"""),"20240103TNFRM")</f>
        <v>20240103TNFRM</v>
      </c>
      <c r="B88" s="1"/>
      <c r="C88" s="1"/>
      <c r="D88" s="1"/>
    </row>
    <row r="89" spans="1:4" ht="12.5">
      <c r="A89" s="1" t="str">
        <f ca="1">IFERROR(__xludf.DUMMYFUNCTION("""COMPUTED_VALUE"""),"20240103VAMAM")</f>
        <v>20240103VAMAM</v>
      </c>
      <c r="B89" s="1" t="str">
        <f ca="1">IFERROR(__xludf.DUMMYFUNCTION("""COMPUTED_VALUE"""),"Handgun")</f>
        <v>Handgun</v>
      </c>
      <c r="C89" s="1"/>
      <c r="D89" s="1"/>
    </row>
    <row r="90" spans="1:4" ht="12.5">
      <c r="A90" s="1" t="str">
        <f ca="1">IFERROR(__xludf.DUMMYFUNCTION("""COMPUTED_VALUE"""),"20240101LABAM")</f>
        <v>20240101LABAM</v>
      </c>
      <c r="B90" s="1" t="str">
        <f ca="1">IFERROR(__xludf.DUMMYFUNCTION("""COMPUTED_VALUE"""),"Rifle")</f>
        <v>Rifle</v>
      </c>
      <c r="C90" s="1" t="str">
        <f ca="1">IFERROR(__xludf.DUMMYFUNCTION("""COMPUTED_VALUE"""),".223 caliber")</f>
        <v>.223 caliber</v>
      </c>
      <c r="D90" s="1" t="str">
        <f ca="1">IFERROR(__xludf.DUMMYFUNCTION("""COMPUTED_VALUE"""),"AR-15")</f>
        <v>AR-15</v>
      </c>
    </row>
    <row r="91" spans="1:4" ht="12.5">
      <c r="A91" s="1" t="str">
        <f ca="1">IFERROR(__xludf.DUMMYFUNCTION("""COMPUTED_VALUE"""),"20240101LABAM")</f>
        <v>20240101LABAM</v>
      </c>
      <c r="B91" s="1" t="str">
        <f ca="1">IFERROR(__xludf.DUMMYFUNCTION("""COMPUTED_VALUE"""),"Handgun")</f>
        <v>Handgun</v>
      </c>
      <c r="C91" s="1" t="str">
        <f ca="1">IFERROR(__xludf.DUMMYFUNCTION("""COMPUTED_VALUE"""),"9mm")</f>
        <v>9mm</v>
      </c>
      <c r="D91" s="1"/>
    </row>
    <row r="92" spans="1:4" ht="12.5">
      <c r="A92" s="1" t="str">
        <f ca="1">IFERROR(__xludf.DUMMYFUNCTION("""COMPUTED_VALUE"""),"20231226RIEME")</f>
        <v>20231226RIEME</v>
      </c>
      <c r="B92" s="1" t="str">
        <f ca="1">IFERROR(__xludf.DUMMYFUNCTION("""COMPUTED_VALUE"""),"Handgun")</f>
        <v>Handgun</v>
      </c>
      <c r="C92" s="1"/>
      <c r="D92" s="1"/>
    </row>
    <row r="93" spans="1:4" ht="12.5">
      <c r="A93" s="1" t="str">
        <f ca="1">IFERROR(__xludf.DUMMYFUNCTION("""COMPUTED_VALUE"""),"20231220TXEAF")</f>
        <v>20231220TXEAF</v>
      </c>
      <c r="B93" s="1" t="str">
        <f ca="1">IFERROR(__xludf.DUMMYFUNCTION("""COMPUTED_VALUE"""),"Handgun")</f>
        <v>Handgun</v>
      </c>
      <c r="C93" s="1"/>
      <c r="D93" s="1"/>
    </row>
    <row r="94" spans="1:4" ht="12.5">
      <c r="A94" s="1" t="str">
        <f ca="1">IFERROR(__xludf.DUMMYFUNCTION("""COMPUTED_VALUE"""),"20231220NJKIN")</f>
        <v>20231220NJKIN</v>
      </c>
      <c r="B94" s="1" t="str">
        <f ca="1">IFERROR(__xludf.DUMMYFUNCTION("""COMPUTED_VALUE"""),"Handgun")</f>
        <v>Handgun</v>
      </c>
      <c r="C94" s="1"/>
      <c r="D94" s="1"/>
    </row>
    <row r="95" spans="1:4" ht="12.5">
      <c r="A95" s="1" t="str">
        <f ca="1">IFERROR(__xludf.DUMMYFUNCTION("""COMPUTED_VALUE"""),"20231219TXCYK")</f>
        <v>20231219TXCYK</v>
      </c>
      <c r="B95" s="1" t="str">
        <f ca="1">IFERROR(__xludf.DUMMYFUNCTION("""COMPUTED_VALUE"""),"Handgun")</f>
        <v>Handgun</v>
      </c>
      <c r="C95" s="1"/>
      <c r="D95" s="1"/>
    </row>
    <row r="96" spans="1:4" ht="12.5">
      <c r="A96" s="1" t="str">
        <f ca="1">IFERROR(__xludf.DUMMYFUNCTION("""COMPUTED_VALUE"""),"20231218VAORC")</f>
        <v>20231218VAORC</v>
      </c>
      <c r="B96" s="1" t="str">
        <f ca="1">IFERROR(__xludf.DUMMYFUNCTION("""COMPUTED_VALUE"""),"Other")</f>
        <v>Other</v>
      </c>
      <c r="C96" s="1" t="str">
        <f ca="1">IFERROR(__xludf.DUMMYFUNCTION("""COMPUTED_VALUE"""),"BB")</f>
        <v>BB</v>
      </c>
      <c r="D96" s="1"/>
    </row>
    <row r="97" spans="1:4" ht="12.5">
      <c r="A97" s="1" t="str">
        <f ca="1">IFERROR(__xludf.DUMMYFUNCTION("""COMPUTED_VALUE"""),"20231218INEGH")</f>
        <v>20231218INEGH</v>
      </c>
      <c r="B97" s="1" t="str">
        <f ca="1">IFERROR(__xludf.DUMMYFUNCTION("""COMPUTED_VALUE"""),"Handgun")</f>
        <v>Handgun</v>
      </c>
      <c r="C97" s="1" t="str">
        <f ca="1">IFERROR(__xludf.DUMMYFUNCTION("""COMPUTED_VALUE"""),"Service Weapon")</f>
        <v>Service Weapon</v>
      </c>
      <c r="D97" s="1" t="str">
        <f ca="1">IFERROR(__xludf.DUMMYFUNCTION("""COMPUTED_VALUE"""),"SROs gun fired by student")</f>
        <v>SROs gun fired by student</v>
      </c>
    </row>
    <row r="98" spans="1:4" ht="12.5">
      <c r="A98" s="1" t="str">
        <f ca="1">IFERROR(__xludf.DUMMYFUNCTION("""COMPUTED_VALUE"""),"20231208MONOS")</f>
        <v>20231208MONOS</v>
      </c>
      <c r="B98" s="1" t="str">
        <f ca="1">IFERROR(__xludf.DUMMYFUNCTION("""COMPUTED_VALUE"""),"Handgun")</f>
        <v>Handgun</v>
      </c>
      <c r="C98" s="1"/>
      <c r="D98" s="1"/>
    </row>
    <row r="99" spans="1:4" ht="12.5">
      <c r="A99" s="1" t="str">
        <f ca="1">IFERROR(__xludf.DUMMYFUNCTION("""COMPUTED_VALUE"""),"20231215CAPAP")</f>
        <v>20231215CAPAP</v>
      </c>
      <c r="B99" s="1" t="str">
        <f ca="1">IFERROR(__xludf.DUMMYFUNCTION("""COMPUTED_VALUE"""),"Handgun")</f>
        <v>Handgun</v>
      </c>
      <c r="C99" s="1"/>
      <c r="D99" s="1"/>
    </row>
    <row r="100" spans="1:4" ht="12.5">
      <c r="A100" s="1" t="str">
        <f ca="1">IFERROR(__xludf.DUMMYFUNCTION("""COMPUTED_VALUE"""),"20231215TNLEN")</f>
        <v>20231215TNLEN</v>
      </c>
      <c r="B100" s="1" t="str">
        <f ca="1">IFERROR(__xludf.DUMMYFUNCTION("""COMPUTED_VALUE"""),"Handgun")</f>
        <v>Handgun</v>
      </c>
      <c r="C100" s="1"/>
      <c r="D100" s="1"/>
    </row>
    <row r="101" spans="1:4" ht="12.5">
      <c r="A101" s="1" t="str">
        <f ca="1">IFERROR(__xludf.DUMMYFUNCTION("""COMPUTED_VALUE"""),"20231213MIDED")</f>
        <v>20231213MIDED</v>
      </c>
      <c r="B101" s="1" t="str">
        <f ca="1">IFERROR(__xludf.DUMMYFUNCTION("""COMPUTED_VALUE"""),"Handgun")</f>
        <v>Handgun</v>
      </c>
      <c r="C101" s="1"/>
      <c r="D101" s="1"/>
    </row>
    <row r="102" spans="1:4" ht="12.5">
      <c r="A102" s="1" t="str">
        <f ca="1">IFERROR(__xludf.DUMMYFUNCTION("""COMPUTED_VALUE"""),"20231212MICOK")</f>
        <v>20231212MICOK</v>
      </c>
      <c r="B102" s="1" t="str">
        <f ca="1">IFERROR(__xludf.DUMMYFUNCTION("""COMPUTED_VALUE"""),"Handgun")</f>
        <v>Handgun</v>
      </c>
      <c r="C102" s="1"/>
      <c r="D102" s="1"/>
    </row>
    <row r="103" spans="1:4" ht="12.5">
      <c r="A103" s="1" t="str">
        <f ca="1">IFERROR(__xludf.DUMMYFUNCTION("""COMPUTED_VALUE"""),"20231211NYROQ")</f>
        <v>20231211NYROQ</v>
      </c>
      <c r="B103" s="1" t="str">
        <f ca="1">IFERROR(__xludf.DUMMYFUNCTION("""COMPUTED_VALUE"""),"Handgun")</f>
        <v>Handgun</v>
      </c>
      <c r="C103" s="1"/>
      <c r="D103" s="1"/>
    </row>
    <row r="104" spans="1:4" ht="12.5">
      <c r="A104" s="1" t="str">
        <f ca="1">IFERROR(__xludf.DUMMYFUNCTION("""COMPUTED_VALUE"""),"20231208NMATA")</f>
        <v>20231208NMATA</v>
      </c>
      <c r="B104" s="1" t="str">
        <f ca="1">IFERROR(__xludf.DUMMYFUNCTION("""COMPUTED_VALUE"""),"Handgun")</f>
        <v>Handgun</v>
      </c>
      <c r="C104" s="1"/>
      <c r="D104" s="1"/>
    </row>
    <row r="105" spans="1:4" ht="12.5">
      <c r="A105" s="1" t="str">
        <f ca="1">IFERROR(__xludf.DUMMYFUNCTION("""COMPUTED_VALUE"""),"20231208VAWOW")</f>
        <v>20231208VAWOW</v>
      </c>
      <c r="B105" s="1" t="str">
        <f ca="1">IFERROR(__xludf.DUMMYFUNCTION("""COMPUTED_VALUE"""),"Other")</f>
        <v>Other</v>
      </c>
      <c r="C105" s="1" t="str">
        <f ca="1">IFERROR(__xludf.DUMMYFUNCTION("""COMPUTED_VALUE"""),"BB")</f>
        <v>BB</v>
      </c>
      <c r="D105" s="1"/>
    </row>
    <row r="106" spans="1:4" ht="12.5">
      <c r="A106" s="1" t="str">
        <f ca="1">IFERROR(__xludf.DUMMYFUNCTION("""COMPUTED_VALUE"""),"20231208WIBUW")</f>
        <v>20231208WIBUW</v>
      </c>
      <c r="B106" s="1" t="str">
        <f ca="1">IFERROR(__xludf.DUMMYFUNCTION("""COMPUTED_VALUE"""),"Handgun")</f>
        <v>Handgun</v>
      </c>
      <c r="C106" s="1"/>
      <c r="D106" s="1"/>
    </row>
    <row r="107" spans="1:4" ht="12.5">
      <c r="A107" s="1" t="str">
        <f ca="1">IFERROR(__xludf.DUMMYFUNCTION("""COMPUTED_VALUE"""),"20231206INLAL")</f>
        <v>20231206INLAL</v>
      </c>
      <c r="B107" s="1" t="str">
        <f ca="1">IFERROR(__xludf.DUMMYFUNCTION("""COMPUTED_VALUE"""),"Handgun")</f>
        <v>Handgun</v>
      </c>
      <c r="C107" s="1"/>
      <c r="D107" s="1" t="str">
        <f ca="1">IFERROR(__xludf.DUMMYFUNCTION("""COMPUTED_VALUE"""),"Glock with switch")</f>
        <v>Glock with switch</v>
      </c>
    </row>
    <row r="108" spans="1:4" ht="12.5">
      <c r="A108" s="1" t="str">
        <f ca="1">IFERROR(__xludf.DUMMYFUNCTION("""COMPUTED_VALUE"""),"20231205NCVAH")</f>
        <v>20231205NCVAH</v>
      </c>
      <c r="B108" s="1"/>
      <c r="C108" s="1"/>
      <c r="D108" s="1"/>
    </row>
    <row r="109" spans="1:4" ht="12.5">
      <c r="A109" s="1" t="str">
        <f ca="1">IFERROR(__xludf.DUMMYFUNCTION("""COMPUTED_VALUE"""),"20231205TXNOA")</f>
        <v>20231205TXNOA</v>
      </c>
      <c r="B109" s="1" t="str">
        <f ca="1">IFERROR(__xludf.DUMMYFUNCTION("""COMPUTED_VALUE"""),"Handgun")</f>
        <v>Handgun</v>
      </c>
      <c r="C109" s="1"/>
      <c r="D109" s="1"/>
    </row>
    <row r="110" spans="1:4" ht="12.5">
      <c r="A110" s="1" t="str">
        <f ca="1">IFERROR(__xludf.DUMMYFUNCTION("""COMPUTED_VALUE"""),"20231202VADRA")</f>
        <v>20231202VADRA</v>
      </c>
      <c r="B110" s="1" t="str">
        <f ca="1">IFERROR(__xludf.DUMMYFUNCTION("""COMPUTED_VALUE"""),"Handgun")</f>
        <v>Handgun</v>
      </c>
      <c r="C110" s="1"/>
      <c r="D110" s="1"/>
    </row>
    <row r="111" spans="1:4" ht="12.5">
      <c r="A111" s="1" t="str">
        <f ca="1">IFERROR(__xludf.DUMMYFUNCTION("""COMPUTED_VALUE"""),"20231201OHBUA")</f>
        <v>20231201OHBUA</v>
      </c>
      <c r="B111" s="1" t="str">
        <f ca="1">IFERROR(__xludf.DUMMYFUNCTION("""COMPUTED_VALUE"""),"Other")</f>
        <v>Other</v>
      </c>
      <c r="C111" s="1" t="str">
        <f ca="1">IFERROR(__xludf.DUMMYFUNCTION("""COMPUTED_VALUE"""),"Pellet")</f>
        <v>Pellet</v>
      </c>
      <c r="D111" s="1" t="str">
        <f ca="1">IFERROR(__xludf.DUMMYFUNCTION("""COMPUTED_VALUE"""),"Replica rifle loaded with real .223 ammo")</f>
        <v>Replica rifle loaded with real .223 ammo</v>
      </c>
    </row>
    <row r="112" spans="1:4" ht="12.5">
      <c r="A112" s="1" t="str">
        <f ca="1">IFERROR(__xludf.DUMMYFUNCTION("""COMPUTED_VALUE"""),"20231201OHNOC")</f>
        <v>20231201OHNOC</v>
      </c>
      <c r="B112" s="1" t="str">
        <f ca="1">IFERROR(__xludf.DUMMYFUNCTION("""COMPUTED_VALUE"""),"Handgun")</f>
        <v>Handgun</v>
      </c>
      <c r="C112" s="1"/>
      <c r="D112" s="1"/>
    </row>
    <row r="113" spans="1:4" ht="12.5">
      <c r="A113" s="1" t="str">
        <f ca="1">IFERROR(__xludf.DUMMYFUNCTION("""COMPUTED_VALUE"""),"20231201DCKIW")</f>
        <v>20231201DCKIW</v>
      </c>
      <c r="B113" s="1" t="str">
        <f ca="1">IFERROR(__xludf.DUMMYFUNCTION("""COMPUTED_VALUE"""),"Handgun")</f>
        <v>Handgun</v>
      </c>
      <c r="C113" s="1"/>
      <c r="D113" s="1"/>
    </row>
    <row r="114" spans="1:4" ht="12.5">
      <c r="A114" s="1" t="str">
        <f ca="1">IFERROR(__xludf.DUMMYFUNCTION("""COMPUTED_VALUE"""),"20231130TXBUH")</f>
        <v>20231130TXBUH</v>
      </c>
      <c r="B114" s="1" t="str">
        <f ca="1">IFERROR(__xludf.DUMMYFUNCTION("""COMPUTED_VALUE"""),"Handgun")</f>
        <v>Handgun</v>
      </c>
      <c r="C114" s="1"/>
      <c r="D114" s="1"/>
    </row>
    <row r="115" spans="1:4" ht="12.5">
      <c r="A115" s="1" t="str">
        <f ca="1">IFERROR(__xludf.DUMMYFUNCTION("""COMPUTED_VALUE"""),"20231129OHMAT")</f>
        <v>20231129OHMAT</v>
      </c>
      <c r="B115" s="1" t="str">
        <f ca="1">IFERROR(__xludf.DUMMYFUNCTION("""COMPUTED_VALUE"""),"Handgun")</f>
        <v>Handgun</v>
      </c>
      <c r="C115" s="1"/>
      <c r="D115" s="1"/>
    </row>
    <row r="116" spans="1:4" ht="12.5">
      <c r="A116" s="1" t="str">
        <f ca="1">IFERROR(__xludf.DUMMYFUNCTION("""COMPUTED_VALUE"""),"20231128TXNOH")</f>
        <v>20231128TXNOH</v>
      </c>
      <c r="B116" s="1" t="str">
        <f ca="1">IFERROR(__xludf.DUMMYFUNCTION("""COMPUTED_VALUE"""),"Handgun")</f>
        <v>Handgun</v>
      </c>
      <c r="C116" s="1"/>
      <c r="D116" s="1"/>
    </row>
    <row r="117" spans="1:4" ht="12.5">
      <c r="A117" s="1" t="str">
        <f ca="1">IFERROR(__xludf.DUMMYFUNCTION("""COMPUTED_VALUE"""),"20231126OHEDD")</f>
        <v>20231126OHEDD</v>
      </c>
      <c r="B117" s="1" t="str">
        <f ca="1">IFERROR(__xludf.DUMMYFUNCTION("""COMPUTED_VALUE"""),"Handgun")</f>
        <v>Handgun</v>
      </c>
      <c r="C117" s="1"/>
      <c r="D117" s="1"/>
    </row>
    <row r="118" spans="1:4" ht="12.5">
      <c r="A118" s="1" t="str">
        <f ca="1">IFERROR(__xludf.DUMMYFUNCTION("""COMPUTED_VALUE"""),"20231123OHSOC")</f>
        <v>20231123OHSOC</v>
      </c>
      <c r="B118" s="1" t="str">
        <f ca="1">IFERROR(__xludf.DUMMYFUNCTION("""COMPUTED_VALUE"""),"Handgun")</f>
        <v>Handgun</v>
      </c>
      <c r="C118" s="1"/>
      <c r="D118" s="1"/>
    </row>
    <row r="119" spans="1:4" ht="12.5">
      <c r="A119" s="1" t="str">
        <f ca="1">IFERROR(__xludf.DUMMYFUNCTION("""COMPUTED_VALUE"""),"20231119ILURU")</f>
        <v>20231119ILURU</v>
      </c>
      <c r="B119" s="1" t="str">
        <f ca="1">IFERROR(__xludf.DUMMYFUNCTION("""COMPUTED_VALUE"""),"Handgun")</f>
        <v>Handgun</v>
      </c>
      <c r="C119" s="1"/>
      <c r="D119" s="1"/>
    </row>
    <row r="120" spans="1:4" ht="12.5">
      <c r="A120" s="1" t="str">
        <f ca="1">IFERROR(__xludf.DUMMYFUNCTION("""COMPUTED_VALUE"""),"20231117LAACL")</f>
        <v>20231117LAACL</v>
      </c>
      <c r="B120" s="1" t="str">
        <f ca="1">IFERROR(__xludf.DUMMYFUNCTION("""COMPUTED_VALUE"""),"Handgun")</f>
        <v>Handgun</v>
      </c>
      <c r="C120" s="1"/>
      <c r="D120" s="1"/>
    </row>
    <row r="121" spans="1:4" ht="12.5">
      <c r="A121" s="1" t="str">
        <f ca="1">IFERROR(__xludf.DUMMYFUNCTION("""COMPUTED_VALUE"""),"20231116CALAW")</f>
        <v>20231116CALAW</v>
      </c>
      <c r="B121" s="1" t="str">
        <f ca="1">IFERROR(__xludf.DUMMYFUNCTION("""COMPUTED_VALUE"""),"Other")</f>
        <v>Other</v>
      </c>
      <c r="C121" s="1" t="str">
        <f ca="1">IFERROR(__xludf.DUMMYFUNCTION("""COMPUTED_VALUE"""),"Pellet")</f>
        <v>Pellet</v>
      </c>
      <c r="D121" s="1" t="str">
        <f ca="1">IFERROR(__xludf.DUMMYFUNCTION("""COMPUTED_VALUE"""),"Replica semi-auto rifle")</f>
        <v>Replica semi-auto rifle</v>
      </c>
    </row>
    <row r="122" spans="1:4" ht="12.5">
      <c r="A122" s="1" t="str">
        <f ca="1">IFERROR(__xludf.DUMMYFUNCTION("""COMPUTED_VALUE"""),"20231116OHSTC")</f>
        <v>20231116OHSTC</v>
      </c>
      <c r="B122" s="1" t="str">
        <f ca="1">IFERROR(__xludf.DUMMYFUNCTION("""COMPUTED_VALUE"""),"Handgun")</f>
        <v>Handgun</v>
      </c>
      <c r="C122" s="1"/>
      <c r="D122" s="1"/>
    </row>
    <row r="123" spans="1:4" ht="12.5">
      <c r="A123" s="1" t="str">
        <f ca="1">IFERROR(__xludf.DUMMYFUNCTION("""COMPUTED_VALUE"""),"2023114ILMAP")</f>
        <v>2023114ILMAP</v>
      </c>
      <c r="B123" s="1"/>
      <c r="C123" s="1"/>
      <c r="D123" s="1"/>
    </row>
    <row r="124" spans="1:4" ht="12.5">
      <c r="A124" s="1" t="str">
        <f ca="1">IFERROR(__xludf.DUMMYFUNCTION("""COMPUTED_VALUE"""),"20231114MILID")</f>
        <v>20231114MILID</v>
      </c>
      <c r="B124" s="1" t="str">
        <f ca="1">IFERROR(__xludf.DUMMYFUNCTION("""COMPUTED_VALUE"""),"Handgun")</f>
        <v>Handgun</v>
      </c>
      <c r="C124" s="1"/>
      <c r="D124" s="1"/>
    </row>
    <row r="125" spans="1:4" ht="12.5">
      <c r="A125" s="1" t="str">
        <f ca="1">IFERROR(__xludf.DUMMYFUNCTION("""COMPUTED_VALUE"""),"2023113KYJEL")</f>
        <v>2023113KYJEL</v>
      </c>
      <c r="B125" s="1" t="str">
        <f ca="1">IFERROR(__xludf.DUMMYFUNCTION("""COMPUTED_VALUE"""),"Other")</f>
        <v>Other</v>
      </c>
      <c r="C125" s="1" t="str">
        <f ca="1">IFERROR(__xludf.DUMMYFUNCTION("""COMPUTED_VALUE"""),"Pellet")</f>
        <v>Pellet</v>
      </c>
      <c r="D125" s="1"/>
    </row>
    <row r="126" spans="1:4" ht="12.5">
      <c r="A126" s="1" t="str">
        <f ca="1">IFERROR(__xludf.DUMMYFUNCTION("""COMPUTED_VALUE"""),"20231113NJCEN")</f>
        <v>20231113NJCEN</v>
      </c>
      <c r="B126" s="1" t="str">
        <f ca="1">IFERROR(__xludf.DUMMYFUNCTION("""COMPUTED_VALUE"""),"Handgun")</f>
        <v>Handgun</v>
      </c>
      <c r="C126" s="1"/>
      <c r="D126" s="1"/>
    </row>
    <row r="127" spans="1:4" ht="12.5">
      <c r="A127" s="1" t="str">
        <f ca="1">IFERROR(__xludf.DUMMYFUNCTION("""COMPUTED_VALUE"""),"20231110CAVAV")</f>
        <v>20231110CAVAV</v>
      </c>
      <c r="B127" s="1" t="str">
        <f ca="1">IFERROR(__xludf.DUMMYFUNCTION("""COMPUTED_VALUE"""),"Handgun")</f>
        <v>Handgun</v>
      </c>
      <c r="C127" s="1"/>
      <c r="D127" s="1"/>
    </row>
    <row r="128" spans="1:4" ht="12.5">
      <c r="A128" s="1" t="str">
        <f ca="1">IFERROR(__xludf.DUMMYFUNCTION("""COMPUTED_VALUE"""),"20231109NVLAL")</f>
        <v>20231109NVLAL</v>
      </c>
      <c r="B128" s="1" t="str">
        <f ca="1">IFERROR(__xludf.DUMMYFUNCTION("""COMPUTED_VALUE"""),"Handgun")</f>
        <v>Handgun</v>
      </c>
      <c r="C128" s="1"/>
      <c r="D128" s="1"/>
    </row>
    <row r="129" spans="1:4" ht="12.5">
      <c r="A129" s="1" t="str">
        <f ca="1">IFERROR(__xludf.DUMMYFUNCTION("""COMPUTED_VALUE"""),"20231109ALESA")</f>
        <v>20231109ALESA</v>
      </c>
      <c r="B129" s="1" t="str">
        <f ca="1">IFERROR(__xludf.DUMMYFUNCTION("""COMPUTED_VALUE"""),"Handgun")</f>
        <v>Handgun</v>
      </c>
      <c r="C129" s="1"/>
      <c r="D129" s="1"/>
    </row>
    <row r="130" spans="1:4" ht="12.5">
      <c r="A130" s="1" t="str">
        <f ca="1">IFERROR(__xludf.DUMMYFUNCTION("""COMPUTED_VALUE"""),"20231108CTLIN")</f>
        <v>20231108CTLIN</v>
      </c>
      <c r="B130" s="1" t="str">
        <f ca="1">IFERROR(__xludf.DUMMYFUNCTION("""COMPUTED_VALUE"""),"Handgun")</f>
        <v>Handgun</v>
      </c>
      <c r="C130" s="1"/>
      <c r="D130" s="1"/>
    </row>
    <row r="131" spans="1:4" ht="12.5">
      <c r="A131" s="1" t="str">
        <f ca="1">IFERROR(__xludf.DUMMYFUNCTION("""COMPUTED_VALUE"""),"20231103INKII")</f>
        <v>20231103INKII</v>
      </c>
      <c r="B131" s="1" t="str">
        <f ca="1">IFERROR(__xludf.DUMMYFUNCTION("""COMPUTED_VALUE"""),"Handgun")</f>
        <v>Handgun</v>
      </c>
      <c r="C131" s="1"/>
      <c r="D131" s="1"/>
    </row>
    <row r="132" spans="1:4" ht="12.5">
      <c r="A132" s="1" t="str">
        <f ca="1">IFERROR(__xludf.DUMMYFUNCTION("""COMPUTED_VALUE"""),"20231102NCFRM")</f>
        <v>20231102NCFRM</v>
      </c>
      <c r="B132" s="1" t="str">
        <f ca="1">IFERROR(__xludf.DUMMYFUNCTION("""COMPUTED_VALUE"""),"Multiple Handguns")</f>
        <v>Multiple Handguns</v>
      </c>
      <c r="C132" s="1"/>
      <c r="D132" s="1"/>
    </row>
    <row r="133" spans="1:4" ht="12.5">
      <c r="A133" s="1" t="str">
        <f ca="1">IFERROR(__xludf.DUMMYFUNCTION("""COMPUTED_VALUE"""),"20231102OHWAL")</f>
        <v>20231102OHWAL</v>
      </c>
      <c r="B133" s="1" t="str">
        <f ca="1">IFERROR(__xludf.DUMMYFUNCTION("""COMPUTED_VALUE"""),"Handgun")</f>
        <v>Handgun</v>
      </c>
      <c r="C133" s="1"/>
      <c r="D133" s="1"/>
    </row>
    <row r="134" spans="1:4" ht="12.5">
      <c r="A134" s="1" t="str">
        <f ca="1">IFERROR(__xludf.DUMMYFUNCTION("""COMPUTED_VALUE"""),"20231102ALSMS")</f>
        <v>20231102ALSMS</v>
      </c>
      <c r="B134" s="1" t="str">
        <f ca="1">IFERROR(__xludf.DUMMYFUNCTION("""COMPUTED_VALUE"""),"Handgun")</f>
        <v>Handgun</v>
      </c>
      <c r="C134" s="1" t="str">
        <f ca="1">IFERROR(__xludf.DUMMYFUNCTION("""COMPUTED_VALUE"""),"9mm")</f>
        <v>9mm</v>
      </c>
      <c r="D134" s="1"/>
    </row>
    <row r="135" spans="1:4" ht="12.5">
      <c r="A135" s="1" t="str">
        <f ca="1">IFERROR(__xludf.DUMMYFUNCTION("""COMPUTED_VALUE"""),"20231031NVCOL")</f>
        <v>20231031NVCOL</v>
      </c>
      <c r="B135" s="1" t="str">
        <f ca="1">IFERROR(__xludf.DUMMYFUNCTION("""COMPUTED_VALUE"""),"Handgun")</f>
        <v>Handgun</v>
      </c>
      <c r="C135" s="1"/>
      <c r="D135" s="1"/>
    </row>
    <row r="136" spans="1:4" ht="12.5">
      <c r="A136" s="1" t="str">
        <f ca="1">IFERROR(__xludf.DUMMYFUNCTION("""COMPUTED_VALUE"""),"20231030NCRAR")</f>
        <v>20231030NCRAR</v>
      </c>
      <c r="B136" s="1" t="str">
        <f ca="1">IFERROR(__xludf.DUMMYFUNCTION("""COMPUTED_VALUE"""),"Handgun")</f>
        <v>Handgun</v>
      </c>
      <c r="C136" s="1"/>
      <c r="D136" s="1"/>
    </row>
    <row r="137" spans="1:4" ht="12.5">
      <c r="A137" s="1" t="str">
        <f ca="1">IFERROR(__xludf.DUMMYFUNCTION("""COMPUTED_VALUE"""),"20231027TXDUS")</f>
        <v>20231027TXDUS</v>
      </c>
      <c r="B137" s="1" t="str">
        <f ca="1">IFERROR(__xludf.DUMMYFUNCTION("""COMPUTED_VALUE"""),"Handgun")</f>
        <v>Handgun</v>
      </c>
      <c r="C137" s="1" t="str">
        <f ca="1">IFERROR(__xludf.DUMMYFUNCTION("""COMPUTED_VALUE"""),"Service Weapon")</f>
        <v>Service Weapon</v>
      </c>
      <c r="D137" s="1"/>
    </row>
    <row r="138" spans="1:4" ht="12.5">
      <c r="A138" s="1" t="str">
        <f ca="1">IFERROR(__xludf.DUMMYFUNCTION("""COMPUTED_VALUE"""),"20231027LADOD")</f>
        <v>20231027LADOD</v>
      </c>
      <c r="B138" s="1" t="str">
        <f ca="1">IFERROR(__xludf.DUMMYFUNCTION("""COMPUTED_VALUE"""),"Handgun")</f>
        <v>Handgun</v>
      </c>
      <c r="C138" s="1"/>
      <c r="D138" s="1"/>
    </row>
    <row r="139" spans="1:4" ht="12.5">
      <c r="A139" s="1" t="str">
        <f ca="1">IFERROR(__xludf.DUMMYFUNCTION("""COMPUTED_VALUE"""),"20231027MDCAB")</f>
        <v>20231027MDCAB</v>
      </c>
      <c r="B139" s="1" t="str">
        <f ca="1">IFERROR(__xludf.DUMMYFUNCTION("""COMPUTED_VALUE"""),"Handgun")</f>
        <v>Handgun</v>
      </c>
      <c r="C139" s="1"/>
      <c r="D139" s="1"/>
    </row>
    <row r="140" spans="1:4" ht="12.5">
      <c r="A140" s="1" t="str">
        <f ca="1">IFERROR(__xludf.DUMMYFUNCTION("""COMPUTED_VALUE"""),"20231027MDCAB")</f>
        <v>20231027MDCAB</v>
      </c>
      <c r="B140" s="1" t="str">
        <f ca="1">IFERROR(__xludf.DUMMYFUNCTION("""COMPUTED_VALUE"""),"Handgun")</f>
        <v>Handgun</v>
      </c>
      <c r="C140" s="1"/>
      <c r="D140" s="1"/>
    </row>
    <row r="141" spans="1:4" ht="12.5">
      <c r="A141" s="1" t="str">
        <f ca="1">IFERROR(__xludf.DUMMYFUNCTION("""COMPUTED_VALUE"""),"20231027MIDED")</f>
        <v>20231027MIDED</v>
      </c>
      <c r="B141" s="1" t="str">
        <f ca="1">IFERROR(__xludf.DUMMYFUNCTION("""COMPUTED_VALUE"""),"Handgun")</f>
        <v>Handgun</v>
      </c>
      <c r="C141" s="1"/>
      <c r="D141" s="1"/>
    </row>
    <row r="142" spans="1:4" ht="12.5">
      <c r="A142" s="1" t="str">
        <f ca="1">IFERROR(__xludf.DUMMYFUNCTION("""COMPUTED_VALUE"""),"20231026CALEL")</f>
        <v>20231026CALEL</v>
      </c>
      <c r="B142" s="1" t="str">
        <f ca="1">IFERROR(__xludf.DUMMYFUNCTION("""COMPUTED_VALUE"""),"Handgun")</f>
        <v>Handgun</v>
      </c>
      <c r="C142" s="1" t="str">
        <f ca="1">IFERROR(__xludf.DUMMYFUNCTION("""COMPUTED_VALUE"""),"Service Weapon")</f>
        <v>Service Weapon</v>
      </c>
      <c r="D142" s="1"/>
    </row>
    <row r="143" spans="1:4" ht="12.5">
      <c r="A143" s="1" t="str">
        <f ca="1">IFERROR(__xludf.DUMMYFUNCTION("""COMPUTED_VALUE"""),"20231026VTMOM")</f>
        <v>20231026VTMOM</v>
      </c>
      <c r="B143" s="1"/>
      <c r="C143" s="1"/>
      <c r="D143" s="1"/>
    </row>
    <row r="144" spans="1:4" ht="12.5">
      <c r="A144" s="1" t="str">
        <f ca="1">IFERROR(__xludf.DUMMYFUNCTION("""COMPUTED_VALUE"""),"20231026FLNFJ")</f>
        <v>20231026FLNFJ</v>
      </c>
      <c r="B144" s="1" t="str">
        <f ca="1">IFERROR(__xludf.DUMMYFUNCTION("""COMPUTED_VALUE"""),"Handgun")</f>
        <v>Handgun</v>
      </c>
      <c r="C144" s="1"/>
      <c r="D144" s="1"/>
    </row>
    <row r="145" spans="1:4" ht="12.5">
      <c r="A145" s="1" t="str">
        <f ca="1">IFERROR(__xludf.DUMMYFUNCTION("""COMPUTED_VALUE"""),"20231024MDEDW")</f>
        <v>20231024MDEDW</v>
      </c>
      <c r="B145" s="1" t="str">
        <f ca="1">IFERROR(__xludf.DUMMYFUNCTION("""COMPUTED_VALUE"""),"Handgun")</f>
        <v>Handgun</v>
      </c>
      <c r="C145" s="1"/>
      <c r="D145" s="1"/>
    </row>
    <row r="146" spans="1:4" ht="12.5">
      <c r="A146" s="1" t="str">
        <f ca="1">IFERROR(__xludf.DUMMYFUNCTION("""COMPUTED_VALUE"""),"20231023WIKEG")</f>
        <v>20231023WIKEG</v>
      </c>
      <c r="B146" s="1" t="str">
        <f ca="1">IFERROR(__xludf.DUMMYFUNCTION("""COMPUTED_VALUE"""),"Handgun")</f>
        <v>Handgun</v>
      </c>
      <c r="C146" s="1"/>
      <c r="D146" s="1"/>
    </row>
    <row r="147" spans="1:4" ht="12.5">
      <c r="A147" s="1" t="str">
        <f ca="1">IFERROR(__xludf.DUMMYFUNCTION("""COMPUTED_VALUE"""),"20231020FLLIT")</f>
        <v>20231020FLLIT</v>
      </c>
      <c r="B147" s="1" t="str">
        <f ca="1">IFERROR(__xludf.DUMMYFUNCTION("""COMPUTED_VALUE"""),"Other")</f>
        <v>Other</v>
      </c>
      <c r="C147" s="1" t="str">
        <f ca="1">IFERROR(__xludf.DUMMYFUNCTION("""COMPUTED_VALUE"""),"Airsoft")</f>
        <v>Airsoft</v>
      </c>
      <c r="D147" s="1" t="str">
        <f ca="1">IFERROR(__xludf.DUMMYFUNCTION("""COMPUTED_VALUE"""),"Replica AR-15")</f>
        <v>Replica AR-15</v>
      </c>
    </row>
    <row r="148" spans="1:4" ht="12.5">
      <c r="A148" s="1" t="str">
        <f ca="1">IFERROR(__xludf.DUMMYFUNCTION("""COMPUTED_VALUE"""),"20231020FLFAT")</f>
        <v>20231020FLFAT</v>
      </c>
      <c r="B148" s="1" t="str">
        <f ca="1">IFERROR(__xludf.DUMMYFUNCTION("""COMPUTED_VALUE"""),"Handgun")</f>
        <v>Handgun</v>
      </c>
      <c r="C148" s="1"/>
      <c r="D148" s="1"/>
    </row>
    <row r="149" spans="1:4" ht="12.5">
      <c r="A149" s="1" t="str">
        <f ca="1">IFERROR(__xludf.DUMMYFUNCTION("""COMPUTED_VALUE"""),"20231019WAEVV")</f>
        <v>20231019WAEVV</v>
      </c>
      <c r="B149" s="1" t="str">
        <f ca="1">IFERROR(__xludf.DUMMYFUNCTION("""COMPUTED_VALUE"""),"Handgun")</f>
        <v>Handgun</v>
      </c>
      <c r="C149" s="1"/>
      <c r="D149" s="1"/>
    </row>
    <row r="150" spans="1:4" ht="12.5">
      <c r="A150" s="1" t="str">
        <f ca="1">IFERROR(__xludf.DUMMYFUNCTION("""COMPUTED_VALUE"""),"20231019ILMAC")</f>
        <v>20231019ILMAC</v>
      </c>
      <c r="B150" s="1" t="str">
        <f ca="1">IFERROR(__xludf.DUMMYFUNCTION("""COMPUTED_VALUE"""),"Handgun")</f>
        <v>Handgun</v>
      </c>
      <c r="C150" s="1"/>
      <c r="D150" s="1"/>
    </row>
    <row r="151" spans="1:4" ht="12.5">
      <c r="A151" s="1" t="str">
        <f ca="1">IFERROR(__xludf.DUMMYFUNCTION("""COMPUTED_VALUE"""),"20231019TXNAA")</f>
        <v>20231019TXNAA</v>
      </c>
      <c r="B151" s="1" t="str">
        <f ca="1">IFERROR(__xludf.DUMMYFUNCTION("""COMPUTED_VALUE"""),"Handgun")</f>
        <v>Handgun</v>
      </c>
      <c r="C151" s="1"/>
      <c r="D151" s="1"/>
    </row>
    <row r="152" spans="1:4" ht="12.5">
      <c r="A152" s="1" t="str">
        <f ca="1">IFERROR(__xludf.DUMMYFUNCTION("""COMPUTED_VALUE"""),"20231019CAGRF")</f>
        <v>20231019CAGRF</v>
      </c>
      <c r="B152" s="1" t="str">
        <f ca="1">IFERROR(__xludf.DUMMYFUNCTION("""COMPUTED_VALUE"""),"Handgun")</f>
        <v>Handgun</v>
      </c>
      <c r="C152" s="1"/>
      <c r="D152" s="1"/>
    </row>
    <row r="153" spans="1:4" ht="12.5">
      <c r="A153" s="1" t="str">
        <f ca="1">IFERROR(__xludf.DUMMYFUNCTION("""COMPUTED_VALUE"""),"20231018WILUW")</f>
        <v>20231018WILUW</v>
      </c>
      <c r="B153" s="1" t="str">
        <f ca="1">IFERROR(__xludf.DUMMYFUNCTION("""COMPUTED_VALUE"""),"Handgun")</f>
        <v>Handgun</v>
      </c>
      <c r="C153" s="1"/>
      <c r="D153" s="1"/>
    </row>
    <row r="154" spans="1:4" ht="12.5">
      <c r="A154" s="1" t="str">
        <f ca="1">IFERROR(__xludf.DUMMYFUNCTION("""COMPUTED_VALUE"""),"20231015OHEAT")</f>
        <v>20231015OHEAT</v>
      </c>
      <c r="B154" s="1" t="str">
        <f ca="1">IFERROR(__xludf.DUMMYFUNCTION("""COMPUTED_VALUE"""),"Handgun")</f>
        <v>Handgun</v>
      </c>
      <c r="C154" s="1"/>
      <c r="D154" s="1"/>
    </row>
    <row r="155" spans="1:4" ht="12.5">
      <c r="A155" s="1" t="str">
        <f ca="1">IFERROR(__xludf.DUMMYFUNCTION("""COMPUTED_VALUE"""),"20231015MOKIK")</f>
        <v>20231015MOKIK</v>
      </c>
      <c r="B155" s="1" t="str">
        <f ca="1">IFERROR(__xludf.DUMMYFUNCTION("""COMPUTED_VALUE"""),"Handgun")</f>
        <v>Handgun</v>
      </c>
      <c r="C155" s="1"/>
      <c r="D155" s="1"/>
    </row>
    <row r="156" spans="1:4" ht="12.5">
      <c r="A156" s="1" t="str">
        <f ca="1">IFERROR(__xludf.DUMMYFUNCTION("""COMPUTED_VALUE"""),"20231015TXFRD")</f>
        <v>20231015TXFRD</v>
      </c>
      <c r="B156" s="1" t="str">
        <f ca="1">IFERROR(__xludf.DUMMYFUNCTION("""COMPUTED_VALUE"""),"Handgun")</f>
        <v>Handgun</v>
      </c>
      <c r="C156" s="1"/>
      <c r="D156" s="1"/>
    </row>
    <row r="157" spans="1:4" ht="12.5">
      <c r="A157" s="1" t="str">
        <f ca="1">IFERROR(__xludf.DUMMYFUNCTION("""COMPUTED_VALUE"""),"20231013FLBOS")</f>
        <v>20231013FLBOS</v>
      </c>
      <c r="B157" s="1" t="str">
        <f ca="1">IFERROR(__xludf.DUMMYFUNCTION("""COMPUTED_VALUE"""),"Handgun")</f>
        <v>Handgun</v>
      </c>
      <c r="C157" s="1"/>
      <c r="D157" s="1"/>
    </row>
    <row r="158" spans="1:4" ht="12.5">
      <c r="A158" s="1" t="str">
        <f ca="1">IFERROR(__xludf.DUMMYFUNCTION("""COMPUTED_VALUE"""),"20231013OHCLC")</f>
        <v>20231013OHCLC</v>
      </c>
      <c r="B158" s="1" t="str">
        <f ca="1">IFERROR(__xludf.DUMMYFUNCTION("""COMPUTED_VALUE"""),"Handgun")</f>
        <v>Handgun</v>
      </c>
      <c r="C158" s="1"/>
      <c r="D158" s="1"/>
    </row>
    <row r="159" spans="1:4" ht="12.5">
      <c r="A159" s="1" t="str">
        <f ca="1">IFERROR(__xludf.DUMMYFUNCTION("""COMPUTED_VALUE"""),"20231011CAMAL")</f>
        <v>20231011CAMAL</v>
      </c>
      <c r="B159" s="1" t="str">
        <f ca="1">IFERROR(__xludf.DUMMYFUNCTION("""COMPUTED_VALUE"""),"Handgun")</f>
        <v>Handgun</v>
      </c>
      <c r="C159" s="1"/>
      <c r="D159" s="1"/>
    </row>
    <row r="160" spans="1:4" ht="12.5">
      <c r="A160" s="1" t="str">
        <f ca="1">IFERROR(__xludf.DUMMYFUNCTION("""COMPUTED_VALUE"""),"20231011FLMIM")</f>
        <v>20231011FLMIM</v>
      </c>
      <c r="B160" s="1" t="str">
        <f ca="1">IFERROR(__xludf.DUMMYFUNCTION("""COMPUTED_VALUE"""),"Handgun")</f>
        <v>Handgun</v>
      </c>
      <c r="C160" s="1"/>
      <c r="D160" s="1"/>
    </row>
    <row r="161" spans="1:4" ht="12.5">
      <c r="A161" s="1" t="str">
        <f ca="1">IFERROR(__xludf.DUMMYFUNCTION("""COMPUTED_VALUE"""),"20231011TXSEF")</f>
        <v>20231011TXSEF</v>
      </c>
      <c r="B161" s="1" t="str">
        <f ca="1">IFERROR(__xludf.DUMMYFUNCTION("""COMPUTED_VALUE"""),"Handgun")</f>
        <v>Handgun</v>
      </c>
      <c r="C161" s="1"/>
      <c r="D161" s="1"/>
    </row>
    <row r="162" spans="1:4" ht="12.5">
      <c r="A162" s="1" t="str">
        <f ca="1">IFERROR(__xludf.DUMMYFUNCTION("""COMPUTED_VALUE"""),"20231010MOBAS")</f>
        <v>20231010MOBAS</v>
      </c>
      <c r="B162" s="1" t="str">
        <f ca="1">IFERROR(__xludf.DUMMYFUNCTION("""COMPUTED_VALUE"""),"Handgun")</f>
        <v>Handgun</v>
      </c>
      <c r="C162" s="1"/>
      <c r="D162" s="1"/>
    </row>
    <row r="163" spans="1:4" ht="12.5">
      <c r="A163" s="1" t="str">
        <f ca="1">IFERROR(__xludf.DUMMYFUNCTION("""COMPUTED_VALUE"""),"20231010NCTEF")</f>
        <v>20231010NCTEF</v>
      </c>
      <c r="B163" s="1" t="str">
        <f ca="1">IFERROR(__xludf.DUMMYFUNCTION("""COMPUTED_VALUE"""),"Handgun")</f>
        <v>Handgun</v>
      </c>
      <c r="C163" s="1"/>
      <c r="D163" s="1"/>
    </row>
    <row r="164" spans="1:4" ht="12.5">
      <c r="A164" s="1" t="str">
        <f ca="1">IFERROR(__xludf.DUMMYFUNCTION("""COMPUTED_VALUE"""),"20231010SCDAD")</f>
        <v>20231010SCDAD</v>
      </c>
      <c r="B164" s="1" t="str">
        <f ca="1">IFERROR(__xludf.DUMMYFUNCTION("""COMPUTED_VALUE"""),"Handgun")</f>
        <v>Handgun</v>
      </c>
      <c r="C164" s="1"/>
      <c r="D164" s="1"/>
    </row>
    <row r="165" spans="1:4" ht="12.5">
      <c r="A165" s="1" t="str">
        <f ca="1">IFERROR(__xludf.DUMMYFUNCTION("""COMPUTED_VALUE"""),"20231008ILTHD")</f>
        <v>20231008ILTHD</v>
      </c>
      <c r="B165" s="1" t="str">
        <f ca="1">IFERROR(__xludf.DUMMYFUNCTION("""COMPUTED_VALUE"""),"Handgun")</f>
        <v>Handgun</v>
      </c>
      <c r="C165" s="1"/>
      <c r="D165" s="1"/>
    </row>
    <row r="166" spans="1:4" ht="12.5">
      <c r="A166" s="1" t="str">
        <f ca="1">IFERROR(__xludf.DUMMYFUNCTION("""COMPUTED_VALUE"""),"20231006MIOAO")</f>
        <v>20231006MIOAO</v>
      </c>
      <c r="B166" s="1" t="str">
        <f ca="1">IFERROR(__xludf.DUMMYFUNCTION("""COMPUTED_VALUE"""),"Handgun")</f>
        <v>Handgun</v>
      </c>
      <c r="C166" s="1"/>
      <c r="D166" s="1"/>
    </row>
    <row r="167" spans="1:4" ht="12.5">
      <c r="A167" s="1" t="str">
        <f ca="1">IFERROR(__xludf.DUMMYFUNCTION("""COMPUTED_VALUE"""),"20231006LATHT")</f>
        <v>20231006LATHT</v>
      </c>
      <c r="B167" s="1" t="str">
        <f ca="1">IFERROR(__xludf.DUMMYFUNCTION("""COMPUTED_VALUE"""),"Handgun")</f>
        <v>Handgun</v>
      </c>
      <c r="C167" s="1"/>
      <c r="D167" s="1"/>
    </row>
    <row r="168" spans="1:4" ht="12.5">
      <c r="A168" s="1" t="str">
        <f ca="1">IFERROR(__xludf.DUMMYFUNCTION("""COMPUTED_VALUE"""),"20231004PAMIE")</f>
        <v>20231004PAMIE</v>
      </c>
      <c r="B168" s="1" t="str">
        <f ca="1">IFERROR(__xludf.DUMMYFUNCTION("""COMPUTED_VALUE"""),"Handgun")</f>
        <v>Handgun</v>
      </c>
      <c r="C168" s="1" t="str">
        <f ca="1">IFERROR(__xludf.DUMMYFUNCTION("""COMPUTED_VALUE"""),"9mm")</f>
        <v>9mm</v>
      </c>
      <c r="D168" s="1" t="str">
        <f ca="1">IFERROR(__xludf.DUMMYFUNCTION("""COMPUTED_VALUE"""),"Glock")</f>
        <v>Glock</v>
      </c>
    </row>
    <row r="169" spans="1:4" ht="12.5">
      <c r="A169" s="1" t="str">
        <f ca="1">IFERROR(__xludf.DUMMYFUNCTION("""COMPUTED_VALUE"""),"20231004COROD")</f>
        <v>20231004COROD</v>
      </c>
      <c r="B169" s="1" t="str">
        <f ca="1">IFERROR(__xludf.DUMMYFUNCTION("""COMPUTED_VALUE"""),"Handgun")</f>
        <v>Handgun</v>
      </c>
      <c r="C169" s="1"/>
      <c r="D169" s="1"/>
    </row>
    <row r="170" spans="1:4" ht="12.5">
      <c r="A170" s="1" t="str">
        <f ca="1">IFERROR(__xludf.DUMMYFUNCTION("""COMPUTED_VALUE"""),"20231004WAGAS")</f>
        <v>20231004WAGAS</v>
      </c>
      <c r="B170" s="1" t="str">
        <f ca="1">IFERROR(__xludf.DUMMYFUNCTION("""COMPUTED_VALUE"""),"Handgun")</f>
        <v>Handgun</v>
      </c>
      <c r="C170" s="1"/>
      <c r="D170" s="1"/>
    </row>
    <row r="171" spans="1:4" ht="12.5">
      <c r="A171" s="1" t="str">
        <f ca="1">IFERROR(__xludf.DUMMYFUNCTION("""COMPUTED_VALUE"""),"20231004GASAS")</f>
        <v>20231004GASAS</v>
      </c>
      <c r="B171" s="1" t="str">
        <f ca="1">IFERROR(__xludf.DUMMYFUNCTION("""COMPUTED_VALUE"""),"Handgun")</f>
        <v>Handgun</v>
      </c>
      <c r="C171" s="1"/>
      <c r="D171" s="1"/>
    </row>
    <row r="172" spans="1:4" ht="12.5">
      <c r="A172" s="1" t="str">
        <f ca="1">IFERROR(__xludf.DUMMYFUNCTION("""COMPUTED_VALUE"""),"20231002CAALL")</f>
        <v>20231002CAALL</v>
      </c>
      <c r="B172" s="1" t="str">
        <f ca="1">IFERROR(__xludf.DUMMYFUNCTION("""COMPUTED_VALUE"""),"Handgun")</f>
        <v>Handgun</v>
      </c>
      <c r="C172" s="1"/>
      <c r="D172" s="1"/>
    </row>
    <row r="173" spans="1:4" ht="12.5">
      <c r="A173" s="1" t="str">
        <f ca="1">IFERROR(__xludf.DUMMYFUNCTION("""COMPUTED_VALUE"""),"20231002AZALP")</f>
        <v>20231002AZALP</v>
      </c>
      <c r="B173" s="1"/>
      <c r="C173" s="1"/>
      <c r="D173" s="1"/>
    </row>
    <row r="174" spans="1:4" ht="12.5">
      <c r="A174" s="1" t="str">
        <f ca="1">IFERROR(__xludf.DUMMYFUNCTION("""COMPUTED_VALUE"""),"20230930GAGRG")</f>
        <v>20230930GAGRG</v>
      </c>
      <c r="B174" s="1" t="str">
        <f ca="1">IFERROR(__xludf.DUMMYFUNCTION("""COMPUTED_VALUE"""),"Handgun")</f>
        <v>Handgun</v>
      </c>
      <c r="C174" s="1"/>
      <c r="D174" s="1"/>
    </row>
    <row r="175" spans="1:4" ht="12.5">
      <c r="A175" s="1" t="str">
        <f ca="1">IFERROR(__xludf.DUMMYFUNCTION("""COMPUTED_VALUE"""),"20230929AKWAW")</f>
        <v>20230929AKWAW</v>
      </c>
      <c r="B175" s="1" t="str">
        <f ca="1">IFERROR(__xludf.DUMMYFUNCTION("""COMPUTED_VALUE"""),"Rifle")</f>
        <v>Rifle</v>
      </c>
      <c r="C175" s="1" t="str">
        <f ca="1">IFERROR(__xludf.DUMMYFUNCTION("""COMPUTED_VALUE"""),".30-06")</f>
        <v>.30-06</v>
      </c>
      <c r="D175" s="1"/>
    </row>
    <row r="176" spans="1:4" ht="12.5">
      <c r="A176" s="1" t="str">
        <f ca="1">IFERROR(__xludf.DUMMYFUNCTION("""COMPUTED_VALUE"""),"20230929NCDUG")</f>
        <v>20230929NCDUG</v>
      </c>
      <c r="B176" s="1" t="str">
        <f ca="1">IFERROR(__xludf.DUMMYFUNCTION("""COMPUTED_VALUE"""),"Handgun")</f>
        <v>Handgun</v>
      </c>
      <c r="C176" s="1"/>
      <c r="D176" s="1"/>
    </row>
    <row r="177" spans="1:4" ht="12.5">
      <c r="A177" s="1" t="str">
        <f ca="1">IFERROR(__xludf.DUMMYFUNCTION("""COMPUTED_VALUE"""),"20230928MDEDE")</f>
        <v>20230928MDEDE</v>
      </c>
      <c r="B177" s="1" t="str">
        <f ca="1">IFERROR(__xludf.DUMMYFUNCTION("""COMPUTED_VALUE"""),"Handgun")</f>
        <v>Handgun</v>
      </c>
      <c r="C177" s="1"/>
      <c r="D177" s="1"/>
    </row>
    <row r="178" spans="1:4" ht="12.5">
      <c r="A178" s="1" t="str">
        <f ca="1">IFERROR(__xludf.DUMMYFUNCTION("""COMPUTED_VALUE"""),"20230928GAROC")</f>
        <v>20230928GAROC</v>
      </c>
      <c r="B178" s="1" t="str">
        <f ca="1">IFERROR(__xludf.DUMMYFUNCTION("""COMPUTED_VALUE"""),"Handgun")</f>
        <v>Handgun</v>
      </c>
      <c r="C178" s="1"/>
      <c r="D178" s="1" t="str">
        <f ca="1">IFERROR(__xludf.DUMMYFUNCTION("""COMPUTED_VALUE"""),"Hidden in chromebook case")</f>
        <v>Hidden in chromebook case</v>
      </c>
    </row>
    <row r="179" spans="1:4" ht="12.5">
      <c r="A179" s="1" t="str">
        <f ca="1">IFERROR(__xludf.DUMMYFUNCTION("""COMPUTED_VALUE"""),"20230925DCSTW")</f>
        <v>20230925DCSTW</v>
      </c>
      <c r="B179" s="1"/>
      <c r="C179" s="1"/>
      <c r="D179" s="1"/>
    </row>
    <row r="180" spans="1:4" ht="12.5">
      <c r="A180" s="1" t="str">
        <f ca="1">IFERROR(__xludf.DUMMYFUNCTION("""COMPUTED_VALUE"""),"20230925MDDUB")</f>
        <v>20230925MDDUB</v>
      </c>
      <c r="B180" s="1" t="str">
        <f ca="1">IFERROR(__xludf.DUMMYFUNCTION("""COMPUTED_VALUE"""),"Handgun")</f>
        <v>Handgun</v>
      </c>
      <c r="C180" s="1"/>
      <c r="D180" s="1"/>
    </row>
    <row r="181" spans="1:4" ht="12.5">
      <c r="A181" s="1" t="str">
        <f ca="1">IFERROR(__xludf.DUMMYFUNCTION("""COMPUTED_VALUE"""),"20230925MDGIB")</f>
        <v>20230925MDGIB</v>
      </c>
      <c r="B181" s="1" t="str">
        <f ca="1">IFERROR(__xludf.DUMMYFUNCTION("""COMPUTED_VALUE"""),"Handgun")</f>
        <v>Handgun</v>
      </c>
      <c r="C181" s="1"/>
      <c r="D181" s="1"/>
    </row>
    <row r="182" spans="1:4" ht="12.5">
      <c r="A182" s="1" t="str">
        <f ca="1">IFERROR(__xludf.DUMMYFUNCTION("""COMPUTED_VALUE"""),"20230923OHMAC")</f>
        <v>20230923OHMAC</v>
      </c>
      <c r="B182" s="1" t="str">
        <f ca="1">IFERROR(__xludf.DUMMYFUNCTION("""COMPUTED_VALUE"""),"Handgun")</f>
        <v>Handgun</v>
      </c>
      <c r="C182" s="1"/>
      <c r="D182" s="1"/>
    </row>
    <row r="183" spans="1:4" ht="12.5">
      <c r="A183" s="1" t="str">
        <f ca="1">IFERROR(__xludf.DUMMYFUNCTION("""COMPUTED_VALUE"""),"20230922IAOTO")</f>
        <v>20230922IAOTO</v>
      </c>
      <c r="B183" s="1" t="str">
        <f ca="1">IFERROR(__xludf.DUMMYFUNCTION("""COMPUTED_VALUE"""),"Handgun")</f>
        <v>Handgun</v>
      </c>
      <c r="C183" s="1"/>
      <c r="D183" s="1"/>
    </row>
    <row r="184" spans="1:4" ht="12.5">
      <c r="A184" s="1" t="str">
        <f ca="1">IFERROR(__xludf.DUMMYFUNCTION("""COMPUTED_VALUE"""),"20230922KYMAL")</f>
        <v>20230922KYMAL</v>
      </c>
      <c r="B184" s="1" t="str">
        <f ca="1">IFERROR(__xludf.DUMMYFUNCTION("""COMPUTED_VALUE"""),"Handgun")</f>
        <v>Handgun</v>
      </c>
      <c r="C184" s="1"/>
      <c r="D184" s="1"/>
    </row>
    <row r="185" spans="1:4" ht="12.5">
      <c r="A185" s="1" t="str">
        <f ca="1">IFERROR(__xludf.DUMMYFUNCTION("""COMPUTED_VALUE"""),"20230922TNWEM")</f>
        <v>20230922TNWEM</v>
      </c>
      <c r="B185" s="1" t="str">
        <f ca="1">IFERROR(__xludf.DUMMYFUNCTION("""COMPUTED_VALUE"""),"Handgun")</f>
        <v>Handgun</v>
      </c>
      <c r="C185" s="1"/>
      <c r="D185" s="1"/>
    </row>
    <row r="186" spans="1:4" ht="12.5">
      <c r="A186" s="1" t="str">
        <f ca="1">IFERROR(__xludf.DUMMYFUNCTION("""COMPUTED_VALUE"""),"20230922TNSWS")</f>
        <v>20230922TNSWS</v>
      </c>
      <c r="B186" s="1" t="str">
        <f ca="1">IFERROR(__xludf.DUMMYFUNCTION("""COMPUTED_VALUE"""),"Handgun")</f>
        <v>Handgun</v>
      </c>
      <c r="C186" s="1"/>
      <c r="D186" s="1"/>
    </row>
    <row r="187" spans="1:4" ht="12.5">
      <c r="A187" s="1" t="str">
        <f ca="1">IFERROR(__xludf.DUMMYFUNCTION("""COMPUTED_VALUE"""),"20230922WIMIM")</f>
        <v>20230922WIMIM</v>
      </c>
      <c r="B187" s="1" t="str">
        <f ca="1">IFERROR(__xludf.DUMMYFUNCTION("""COMPUTED_VALUE"""),"Handgun")</f>
        <v>Handgun</v>
      </c>
      <c r="C187" s="1"/>
      <c r="D187" s="1"/>
    </row>
    <row r="188" spans="1:4" ht="12.5">
      <c r="A188" s="1" t="str">
        <f ca="1">IFERROR(__xludf.DUMMYFUNCTION("""COMPUTED_VALUE"""),"20230920ILVOC")</f>
        <v>20230920ILVOC</v>
      </c>
      <c r="B188" s="1"/>
      <c r="C188" s="1"/>
      <c r="D188" s="1"/>
    </row>
    <row r="189" spans="1:4" ht="12.5">
      <c r="A189" s="1" t="str">
        <f ca="1">IFERROR(__xludf.DUMMYFUNCTION("""COMPUTED_VALUE"""),"20230919TXKEB")</f>
        <v>20230919TXKEB</v>
      </c>
      <c r="B189" s="1" t="str">
        <f ca="1">IFERROR(__xludf.DUMMYFUNCTION("""COMPUTED_VALUE"""),"Other")</f>
        <v>Other</v>
      </c>
      <c r="C189" s="1" t="str">
        <f ca="1">IFERROR(__xludf.DUMMYFUNCTION("""COMPUTED_VALUE"""),"BB")</f>
        <v>BB</v>
      </c>
      <c r="D189" s="1"/>
    </row>
    <row r="190" spans="1:4" ht="12.5">
      <c r="A190" s="1" t="str">
        <f ca="1">IFERROR(__xludf.DUMMYFUNCTION("""COMPUTED_VALUE"""),"20230919FLWOP")</f>
        <v>20230919FLWOP</v>
      </c>
      <c r="B190" s="1"/>
      <c r="C190" s="1"/>
      <c r="D190" s="1"/>
    </row>
    <row r="191" spans="1:4" ht="12.5">
      <c r="A191" s="1" t="str">
        <f ca="1">IFERROR(__xludf.DUMMYFUNCTION("""COMPUTED_VALUE"""),"20230919DCROW")</f>
        <v>20230919DCROW</v>
      </c>
      <c r="B191" s="1"/>
      <c r="C191" s="1"/>
      <c r="D191" s="1"/>
    </row>
    <row r="192" spans="1:4" ht="12.5">
      <c r="A192" s="1" t="str">
        <f ca="1">IFERROR(__xludf.DUMMYFUNCTION("""COMPUTED_VALUE"""),"20230918MDDUB")</f>
        <v>20230918MDDUB</v>
      </c>
      <c r="B192" s="1" t="str">
        <f ca="1">IFERROR(__xludf.DUMMYFUNCTION("""COMPUTED_VALUE"""),"Handgun")</f>
        <v>Handgun</v>
      </c>
      <c r="C192" s="1"/>
      <c r="D192" s="1"/>
    </row>
    <row r="193" spans="1:4" ht="12.5">
      <c r="A193" s="1" t="str">
        <f ca="1">IFERROR(__xludf.DUMMYFUNCTION("""COMPUTED_VALUE"""),"20230916OHEAC")</f>
        <v>20230916OHEAC</v>
      </c>
      <c r="B193" s="1" t="str">
        <f ca="1">IFERROR(__xludf.DUMMYFUNCTION("""COMPUTED_VALUE"""),"Handgun")</f>
        <v>Handgun</v>
      </c>
      <c r="C193" s="1"/>
      <c r="D193" s="1"/>
    </row>
    <row r="194" spans="1:4" ht="12.5">
      <c r="A194" s="1" t="str">
        <f ca="1">IFERROR(__xludf.DUMMYFUNCTION("""COMPUTED_VALUE"""),"20230915ILHIC")</f>
        <v>20230915ILHIC</v>
      </c>
      <c r="B194" s="1" t="str">
        <f ca="1">IFERROR(__xludf.DUMMYFUNCTION("""COMPUTED_VALUE"""),"Handgun")</f>
        <v>Handgun</v>
      </c>
      <c r="C194" s="1"/>
      <c r="D194" s="1"/>
    </row>
    <row r="195" spans="1:4" ht="12.5">
      <c r="A195" s="1" t="str">
        <f ca="1">IFERROR(__xludf.DUMMYFUNCTION("""COMPUTED_VALUE"""),"20230915KSWYK")</f>
        <v>20230915KSWYK</v>
      </c>
      <c r="B195" s="1" t="str">
        <f ca="1">IFERROR(__xludf.DUMMYFUNCTION("""COMPUTED_VALUE"""),"Handgun")</f>
        <v>Handgun</v>
      </c>
      <c r="C195" s="1"/>
      <c r="D195" s="1"/>
    </row>
    <row r="196" spans="1:4" ht="12.5">
      <c r="A196" s="1" t="str">
        <f ca="1">IFERROR(__xludf.DUMMYFUNCTION("""COMPUTED_VALUE"""),"20230915MDJAB")</f>
        <v>20230915MDJAB</v>
      </c>
      <c r="B196" s="1" t="str">
        <f ca="1">IFERROR(__xludf.DUMMYFUNCTION("""COMPUTED_VALUE"""),"Handgun")</f>
        <v>Handgun</v>
      </c>
      <c r="C196" s="1"/>
      <c r="D196" s="1"/>
    </row>
    <row r="197" spans="1:4" ht="12.5">
      <c r="A197" s="1" t="str">
        <f ca="1">IFERROR(__xludf.DUMMYFUNCTION("""COMPUTED_VALUE"""),"20230914ILBOU")</f>
        <v>20230914ILBOU</v>
      </c>
      <c r="B197" s="1" t="str">
        <f ca="1">IFERROR(__xludf.DUMMYFUNCTION("""COMPUTED_VALUE"""),"Multiple Handguns")</f>
        <v>Multiple Handguns</v>
      </c>
      <c r="C197" s="1"/>
      <c r="D197" s="1" t="str">
        <f ca="1">IFERROR(__xludf.DUMMYFUNCTION("""COMPUTED_VALUE"""),"2 glocks with laser sights and drum magazines")</f>
        <v>2 glocks with laser sights and drum magazines</v>
      </c>
    </row>
    <row r="198" spans="1:4" ht="12.5">
      <c r="A198" s="1" t="str">
        <f ca="1">IFERROR(__xludf.DUMMYFUNCTION("""COMPUTED_VALUE"""),"20230913GALAA")</f>
        <v>20230913GALAA</v>
      </c>
      <c r="B198" s="1" t="str">
        <f ca="1">IFERROR(__xludf.DUMMYFUNCTION("""COMPUTED_VALUE"""),"Handgun")</f>
        <v>Handgun</v>
      </c>
      <c r="C198" s="1"/>
      <c r="D198" s="1"/>
    </row>
    <row r="199" spans="1:4" ht="12.5">
      <c r="A199" s="1" t="str">
        <f ca="1">IFERROR(__xludf.DUMMYFUNCTION("""COMPUTED_VALUE"""),"20230913DCLIW")</f>
        <v>20230913DCLIW</v>
      </c>
      <c r="B199" s="1" t="str">
        <f ca="1">IFERROR(__xludf.DUMMYFUNCTION("""COMPUTED_VALUE"""),"Handgun")</f>
        <v>Handgun</v>
      </c>
      <c r="C199" s="1"/>
      <c r="D199" s="1"/>
    </row>
    <row r="200" spans="1:4" ht="12.5">
      <c r="A200" s="1" t="str">
        <f ca="1">IFERROR(__xludf.DUMMYFUNCTION("""COMPUTED_VALUE"""),"20230912WAEIY")</f>
        <v>20230912WAEIY</v>
      </c>
      <c r="B200" s="1"/>
      <c r="C200" s="1"/>
      <c r="D200" s="1"/>
    </row>
    <row r="201" spans="1:4" ht="12.5">
      <c r="A201" s="1" t="str">
        <f ca="1">IFERROR(__xludf.DUMMYFUNCTION("""COMPUTED_VALUE"""),"20230912LASTG")</f>
        <v>20230912LASTG</v>
      </c>
      <c r="B201" s="1" t="str">
        <f ca="1">IFERROR(__xludf.DUMMYFUNCTION("""COMPUTED_VALUE"""),"Handgun")</f>
        <v>Handgun</v>
      </c>
      <c r="C201" s="1"/>
      <c r="D201" s="1"/>
    </row>
    <row r="202" spans="1:4" ht="12.5">
      <c r="A202" s="1" t="str">
        <f ca="1">IFERROR(__xludf.DUMMYFUNCTION("""COMPUTED_VALUE"""),"20230911MDDUL")</f>
        <v>20230911MDDUL</v>
      </c>
      <c r="B202" s="1" t="str">
        <f ca="1">IFERROR(__xludf.DUMMYFUNCTION("""COMPUTED_VALUE"""),"Handgun")</f>
        <v>Handgun</v>
      </c>
      <c r="C202" s="1"/>
      <c r="D202" s="1"/>
    </row>
    <row r="203" spans="1:4" ht="12.5">
      <c r="A203" s="1" t="str">
        <f ca="1">IFERROR(__xludf.DUMMYFUNCTION("""COMPUTED_VALUE"""),"20230911ARPRN")</f>
        <v>20230911ARPRN</v>
      </c>
      <c r="B203" s="1" t="str">
        <f ca="1">IFERROR(__xludf.DUMMYFUNCTION("""COMPUTED_VALUE"""),"Handgun")</f>
        <v>Handgun</v>
      </c>
      <c r="C203" s="1"/>
      <c r="D203" s="1"/>
    </row>
    <row r="204" spans="1:4" ht="12.5">
      <c r="A204" s="1" t="str">
        <f ca="1">IFERROR(__xludf.DUMMYFUNCTION("""COMPUTED_VALUE"""),"20230909NYPRU")</f>
        <v>20230909NYPRU</v>
      </c>
      <c r="B204" s="1" t="str">
        <f ca="1">IFERROR(__xludf.DUMMYFUNCTION("""COMPUTED_VALUE"""),"Handgun")</f>
        <v>Handgun</v>
      </c>
      <c r="C204" s="1"/>
      <c r="D204" s="1"/>
    </row>
    <row r="205" spans="1:4" ht="12.5">
      <c r="A205" s="1" t="str">
        <f ca="1">IFERROR(__xludf.DUMMYFUNCTION("""COMPUTED_VALUE"""),"20230908NCLUL")</f>
        <v>20230908NCLUL</v>
      </c>
      <c r="B205" s="1" t="str">
        <f ca="1">IFERROR(__xludf.DUMMYFUNCTION("""COMPUTED_VALUE"""),"Handgun")</f>
        <v>Handgun</v>
      </c>
      <c r="C205" s="1"/>
      <c r="D205" s="1"/>
    </row>
    <row r="206" spans="1:4" ht="12.5">
      <c r="A206" s="1" t="str">
        <f ca="1">IFERROR(__xludf.DUMMYFUNCTION("""COMPUTED_VALUE"""),"20230906FLANT")</f>
        <v>20230906FLANT</v>
      </c>
      <c r="B206" s="1" t="str">
        <f ca="1">IFERROR(__xludf.DUMMYFUNCTION("""COMPUTED_VALUE"""),"Handgun")</f>
        <v>Handgun</v>
      </c>
      <c r="C206" s="1"/>
      <c r="D206" s="1"/>
    </row>
    <row r="207" spans="1:4" ht="12.5">
      <c r="A207" s="1" t="str">
        <f ca="1">IFERROR(__xludf.DUMMYFUNCTION("""COMPUTED_VALUE"""),"20230905CASKO")</f>
        <v>20230905CASKO</v>
      </c>
      <c r="B207" s="1" t="str">
        <f ca="1">IFERROR(__xludf.DUMMYFUNCTION("""COMPUTED_VALUE"""),"Handgun")</f>
        <v>Handgun</v>
      </c>
      <c r="C207" s="1"/>
      <c r="D207" s="1"/>
    </row>
    <row r="208" spans="1:4" ht="12.5">
      <c r="A208" s="1" t="str">
        <f ca="1">IFERROR(__xludf.DUMMYFUNCTION("""COMPUTED_VALUE"""),"20230901TNMEM")</f>
        <v>20230901TNMEM</v>
      </c>
      <c r="B208" s="1" t="str">
        <f ca="1">IFERROR(__xludf.DUMMYFUNCTION("""COMPUTED_VALUE"""),"Handgun")</f>
        <v>Handgun</v>
      </c>
      <c r="C208" s="1"/>
      <c r="D208" s="1"/>
    </row>
    <row r="209" spans="1:4" ht="12.5">
      <c r="A209" s="1" t="str">
        <f ca="1">IFERROR(__xludf.DUMMYFUNCTION("""COMPUTED_VALUE"""),"20230901MDDUB")</f>
        <v>20230901MDDUB</v>
      </c>
      <c r="B209" s="1" t="str">
        <f ca="1">IFERROR(__xludf.DUMMYFUNCTION("""COMPUTED_VALUE"""),"Handgun")</f>
        <v>Handgun</v>
      </c>
      <c r="C209" s="1"/>
      <c r="D209" s="1"/>
    </row>
    <row r="210" spans="1:4" ht="12.5">
      <c r="A210" s="1" t="str">
        <f ca="1">IFERROR(__xludf.DUMMYFUNCTION("""COMPUTED_VALUE"""),"20230901ILMOC")</f>
        <v>20230901ILMOC</v>
      </c>
      <c r="B210" s="1" t="str">
        <f ca="1">IFERROR(__xludf.DUMMYFUNCTION("""COMPUTED_VALUE"""),"Handgun")</f>
        <v>Handgun</v>
      </c>
      <c r="C210" s="1"/>
      <c r="D210" s="1"/>
    </row>
    <row r="211" spans="1:4" ht="12.5">
      <c r="A211" s="1" t="str">
        <f ca="1">IFERROR(__xludf.DUMMYFUNCTION("""COMPUTED_VALUE"""),"20230901LAPOP")</f>
        <v>20230901LAPOP</v>
      </c>
      <c r="B211" s="1" t="str">
        <f ca="1">IFERROR(__xludf.DUMMYFUNCTION("""COMPUTED_VALUE"""),"Handgun")</f>
        <v>Handgun</v>
      </c>
      <c r="C211" s="1"/>
      <c r="D211" s="1"/>
    </row>
    <row r="212" spans="1:4" ht="12.5">
      <c r="A212" s="1" t="str">
        <f ca="1">IFERROR(__xludf.DUMMYFUNCTION("""COMPUTED_VALUE"""),"20230831KSWEW")</f>
        <v>20230831KSWEW</v>
      </c>
      <c r="B212" s="1" t="str">
        <f ca="1">IFERROR(__xludf.DUMMYFUNCTION("""COMPUTED_VALUE"""),"Other")</f>
        <v>Other</v>
      </c>
      <c r="C212" s="1" t="str">
        <f ca="1">IFERROR(__xludf.DUMMYFUNCTION("""COMPUTED_VALUE"""),"Pellet")</f>
        <v>Pellet</v>
      </c>
      <c r="D212" s="1"/>
    </row>
    <row r="213" spans="1:4" ht="12.5">
      <c r="A213" s="1" t="str">
        <f ca="1">IFERROR(__xludf.DUMMYFUNCTION("""COMPUTED_VALUE"""),"20230831MSBRB")</f>
        <v>20230831MSBRB</v>
      </c>
      <c r="B213" s="1" t="str">
        <f ca="1">IFERROR(__xludf.DUMMYFUNCTION("""COMPUTED_VALUE"""),"Rifle")</f>
        <v>Rifle</v>
      </c>
      <c r="C213" s="1" t="str">
        <f ca="1">IFERROR(__xludf.DUMMYFUNCTION("""COMPUTED_VALUE"""),".22 caliber")</f>
        <v>.22 caliber</v>
      </c>
      <c r="D213" s="1"/>
    </row>
    <row r="214" spans="1:4" ht="12.5">
      <c r="A214" s="1" t="str">
        <f ca="1">IFERROR(__xludf.DUMMYFUNCTION("""COMPUTED_VALUE"""),"20230831WANOD")</f>
        <v>20230831WANOD</v>
      </c>
      <c r="B214" s="1" t="str">
        <f ca="1">IFERROR(__xludf.DUMMYFUNCTION("""COMPUTED_VALUE"""),"Multiple Handguns")</f>
        <v>Multiple Handguns</v>
      </c>
      <c r="C214" s="1"/>
      <c r="D214" s="1"/>
    </row>
    <row r="215" spans="1:4" ht="12.5">
      <c r="A215" s="1" t="str">
        <f ca="1">IFERROR(__xludf.DUMMYFUNCTION("""COMPUTED_VALUE"""),"20230829NVCLL")</f>
        <v>20230829NVCLL</v>
      </c>
      <c r="B215" s="1"/>
      <c r="C215" s="1"/>
      <c r="D215" s="1"/>
    </row>
    <row r="216" spans="1:4" ht="12.5">
      <c r="A216" s="1" t="str">
        <f ca="1">IFERROR(__xludf.DUMMYFUNCTION("""COMPUTED_VALUE"""),"20230826CAFAF")</f>
        <v>20230826CAFAF</v>
      </c>
      <c r="B216" s="1" t="str">
        <f ca="1">IFERROR(__xludf.DUMMYFUNCTION("""COMPUTED_VALUE"""),"Handgun")</f>
        <v>Handgun</v>
      </c>
      <c r="C216" s="1"/>
      <c r="D216" s="1"/>
    </row>
    <row r="217" spans="1:4" ht="12.5">
      <c r="A217" s="1" t="str">
        <f ca="1">IFERROR(__xludf.DUMMYFUNCTION("""COMPUTED_VALUE"""),"20230825MSOBG")</f>
        <v>20230825MSOBG</v>
      </c>
      <c r="B217" s="1" t="str">
        <f ca="1">IFERROR(__xludf.DUMMYFUNCTION("""COMPUTED_VALUE"""),"Multiple Unknown")</f>
        <v>Multiple Unknown</v>
      </c>
      <c r="C217" s="1"/>
      <c r="D217" s="1"/>
    </row>
    <row r="218" spans="1:4" ht="12.5">
      <c r="A218" s="1" t="str">
        <f ca="1">IFERROR(__xludf.DUMMYFUNCTION("""COMPUTED_VALUE"""),"20230825CADRL")</f>
        <v>20230825CADRL</v>
      </c>
      <c r="B218" s="1"/>
      <c r="C218" s="1"/>
      <c r="D218" s="1"/>
    </row>
    <row r="219" spans="1:4" ht="12.5">
      <c r="A219" s="1" t="str">
        <f ca="1">IFERROR(__xludf.DUMMYFUNCTION("""COMPUTED_VALUE"""),"20230825OKBOT")</f>
        <v>20230825OKBOT</v>
      </c>
      <c r="B219" s="1" t="str">
        <f ca="1">IFERROR(__xludf.DUMMYFUNCTION("""COMPUTED_VALUE"""),"Handgun")</f>
        <v>Handgun</v>
      </c>
      <c r="C219" s="1"/>
      <c r="D219" s="1"/>
    </row>
    <row r="220" spans="1:4" ht="12.5">
      <c r="A220" s="1" t="str">
        <f ca="1">IFERROR(__xludf.DUMMYFUNCTION("""COMPUTED_VALUE"""),"20230825SCGEG")</f>
        <v>20230825SCGEG</v>
      </c>
      <c r="B220" s="1" t="str">
        <f ca="1">IFERROR(__xludf.DUMMYFUNCTION("""COMPUTED_VALUE"""),"Handgun")</f>
        <v>Handgun</v>
      </c>
      <c r="C220" s="1"/>
      <c r="D220" s="1"/>
    </row>
    <row r="221" spans="1:4" ht="12.5">
      <c r="A221" s="1" t="str">
        <f ca="1">IFERROR(__xludf.DUMMYFUNCTION("""COMPUTED_VALUE"""),"20230825OKCHC")</f>
        <v>20230825OKCHC</v>
      </c>
      <c r="B221" s="1" t="str">
        <f ca="1">IFERROR(__xludf.DUMMYFUNCTION("""COMPUTED_VALUE"""),"Handgun")</f>
        <v>Handgun</v>
      </c>
      <c r="C221" s="1"/>
      <c r="D221" s="1"/>
    </row>
    <row r="222" spans="1:4" ht="12.5">
      <c r="A222" s="1" t="str">
        <f ca="1">IFERROR(__xludf.DUMMYFUNCTION("""COMPUTED_VALUE"""),"20230824NMRAT")</f>
        <v>20230824NMRAT</v>
      </c>
      <c r="B222" s="1"/>
      <c r="C222" s="1"/>
      <c r="D222" s="1"/>
    </row>
    <row r="223" spans="1:4" ht="12.5">
      <c r="A223" s="1" t="str">
        <f ca="1">IFERROR(__xludf.DUMMYFUNCTION("""COMPUTED_VALUE"""),"20230824VAWAP")</f>
        <v>20230824VAWAP</v>
      </c>
      <c r="B223" s="1"/>
      <c r="C223" s="1"/>
      <c r="D223" s="1"/>
    </row>
    <row r="224" spans="1:4" ht="12.5">
      <c r="A224" s="1" t="str">
        <f ca="1">IFERROR(__xludf.DUMMYFUNCTION("""COMPUTED_VALUE"""),"20230824VAKEV")</f>
        <v>20230824VAKEV</v>
      </c>
      <c r="B224" s="1"/>
      <c r="C224" s="1"/>
      <c r="D224" s="1"/>
    </row>
    <row r="225" spans="1:4" ht="12.5">
      <c r="A225" s="1" t="str">
        <f ca="1">IFERROR(__xludf.DUMMYFUNCTION("""COMPUTED_VALUE"""),"20230824AZPHP")</f>
        <v>20230824AZPHP</v>
      </c>
      <c r="B225" s="1" t="str">
        <f ca="1">IFERROR(__xludf.DUMMYFUNCTION("""COMPUTED_VALUE"""),"Other")</f>
        <v>Other</v>
      </c>
      <c r="C225" s="1" t="str">
        <f ca="1">IFERROR(__xludf.DUMMYFUNCTION("""COMPUTED_VALUE"""),"BB")</f>
        <v>BB</v>
      </c>
      <c r="D225" s="1"/>
    </row>
    <row r="226" spans="1:4" ht="12.5">
      <c r="A226" s="1" t="str">
        <f ca="1">IFERROR(__xludf.DUMMYFUNCTION("""COMPUTED_VALUE"""),"20230822OKSTS")</f>
        <v>20230822OKSTS</v>
      </c>
      <c r="B226" s="1" t="str">
        <f ca="1">IFERROR(__xludf.DUMMYFUNCTION("""COMPUTED_VALUE"""),"Handgun")</f>
        <v>Handgun</v>
      </c>
      <c r="C226" s="1"/>
      <c r="D226" s="1"/>
    </row>
    <row r="227" spans="1:4" ht="12.5">
      <c r="A227" s="1" t="str">
        <f ca="1">IFERROR(__xludf.DUMMYFUNCTION("""COMPUTED_VALUE"""),"20230822TNSTC")</f>
        <v>20230822TNSTC</v>
      </c>
      <c r="B227" s="1" t="str">
        <f ca="1">IFERROR(__xludf.DUMMYFUNCTION("""COMPUTED_VALUE"""),"Handgun")</f>
        <v>Handgun</v>
      </c>
      <c r="C227" s="1"/>
      <c r="D227" s="1"/>
    </row>
    <row r="228" spans="1:4" ht="12.5">
      <c r="A228" s="1" t="str">
        <f ca="1">IFERROR(__xludf.DUMMYFUNCTION("""COMPUTED_VALUE"""),"20230822TXJES")</f>
        <v>20230822TXJES</v>
      </c>
      <c r="B228" s="1" t="str">
        <f ca="1">IFERROR(__xludf.DUMMYFUNCTION("""COMPUTED_VALUE"""),"Handgun")</f>
        <v>Handgun</v>
      </c>
      <c r="C228" s="1" t="str">
        <f ca="1">IFERROR(__xludf.DUMMYFUNCTION("""COMPUTED_VALUE"""),".25 caliber")</f>
        <v>.25 caliber</v>
      </c>
      <c r="D228" s="1"/>
    </row>
    <row r="229" spans="1:4" ht="12.5">
      <c r="A229" s="1" t="str">
        <f ca="1">IFERROR(__xludf.DUMMYFUNCTION("""COMPUTED_VALUE"""),"20230818GANOK")</f>
        <v>20230818GANOK</v>
      </c>
      <c r="B229" s="1" t="str">
        <f ca="1">IFERROR(__xludf.DUMMYFUNCTION("""COMPUTED_VALUE"""),"Handgun")</f>
        <v>Handgun</v>
      </c>
      <c r="C229" s="1"/>
      <c r="D229" s="1"/>
    </row>
    <row r="230" spans="1:4" ht="12.5">
      <c r="A230" s="1" t="str">
        <f ca="1">IFERROR(__xludf.DUMMYFUNCTION("""COMPUTED_VALUE"""),"20230818CAETR")</f>
        <v>20230818CAETR</v>
      </c>
      <c r="B230" s="1" t="str">
        <f ca="1">IFERROR(__xludf.DUMMYFUNCTION("""COMPUTED_VALUE"""),"Handgun")</f>
        <v>Handgun</v>
      </c>
      <c r="C230" s="1"/>
      <c r="D230" s="1"/>
    </row>
    <row r="231" spans="1:4" ht="12.5">
      <c r="A231" s="1" t="str">
        <f ca="1">IFERROR(__xludf.DUMMYFUNCTION("""COMPUTED_VALUE"""),"20230818GAJOJ")</f>
        <v>20230818GAJOJ</v>
      </c>
      <c r="B231" s="1" t="str">
        <f ca="1">IFERROR(__xludf.DUMMYFUNCTION("""COMPUTED_VALUE"""),"Handgun")</f>
        <v>Handgun</v>
      </c>
      <c r="C231" s="1"/>
      <c r="D231" s="1"/>
    </row>
    <row r="232" spans="1:4" ht="12.5">
      <c r="A232" s="1" t="str">
        <f ca="1">IFERROR(__xludf.DUMMYFUNCTION("""COMPUTED_VALUE"""),"20230818MSPAP")</f>
        <v>20230818MSPAP</v>
      </c>
      <c r="B232" s="1" t="str">
        <f ca="1">IFERROR(__xludf.DUMMYFUNCTION("""COMPUTED_VALUE"""),"Handgun")</f>
        <v>Handgun</v>
      </c>
      <c r="C232" s="1"/>
      <c r="D232" s="1"/>
    </row>
    <row r="233" spans="1:4" ht="12.5">
      <c r="A233" s="1" t="str">
        <f ca="1">IFERROR(__xludf.DUMMYFUNCTION("""COMPUTED_VALUE"""),"20230818FLFIJ")</f>
        <v>20230818FLFIJ</v>
      </c>
      <c r="B233" s="1" t="str">
        <f ca="1">IFERROR(__xludf.DUMMYFUNCTION("""COMPUTED_VALUE"""),"Handgun")</f>
        <v>Handgun</v>
      </c>
      <c r="C233" s="1"/>
      <c r="D233" s="1"/>
    </row>
    <row r="234" spans="1:4" ht="12.5">
      <c r="A234" s="1" t="str">
        <f ca="1">IFERROR(__xludf.DUMMYFUNCTION("""COMPUTED_VALUE"""),"20230816GAJOA")</f>
        <v>20230816GAJOA</v>
      </c>
      <c r="B234" s="1" t="str">
        <f ca="1">IFERROR(__xludf.DUMMYFUNCTION("""COMPUTED_VALUE"""),"Handgun")</f>
        <v>Handgun</v>
      </c>
      <c r="C234" s="1"/>
      <c r="D234" s="1"/>
    </row>
    <row r="235" spans="1:4" ht="12.5">
      <c r="A235" s="1" t="str">
        <f ca="1">IFERROR(__xludf.DUMMYFUNCTION("""COMPUTED_VALUE"""),"20230813NEWON")</f>
        <v>20230813NEWON</v>
      </c>
      <c r="B235" s="1" t="str">
        <f ca="1">IFERROR(__xludf.DUMMYFUNCTION("""COMPUTED_VALUE"""),"Handgun")</f>
        <v>Handgun</v>
      </c>
      <c r="C235" s="1"/>
      <c r="D235" s="1"/>
    </row>
    <row r="236" spans="1:4" ht="12.5">
      <c r="A236" s="1" t="str">
        <f ca="1">IFERROR(__xludf.DUMMYFUNCTION("""COMPUTED_VALUE"""),"20230812MSSTS")</f>
        <v>20230812MSSTS</v>
      </c>
      <c r="B236" s="1" t="str">
        <f ca="1">IFERROR(__xludf.DUMMYFUNCTION("""COMPUTED_VALUE"""),"Handgun")</f>
        <v>Handgun</v>
      </c>
      <c r="C236" s="1"/>
      <c r="D236" s="1"/>
    </row>
    <row r="237" spans="1:4" ht="12.5">
      <c r="A237" s="1" t="str">
        <f ca="1">IFERROR(__xludf.DUMMYFUNCTION("""COMPUTED_VALUE"""),"20230810TNCOM")</f>
        <v>20230810TNCOM</v>
      </c>
      <c r="B237" s="1" t="str">
        <f ca="1">IFERROR(__xludf.DUMMYFUNCTION("""COMPUTED_VALUE"""),"Handgun")</f>
        <v>Handgun</v>
      </c>
      <c r="C237" s="1"/>
      <c r="D237" s="1"/>
    </row>
    <row r="238" spans="1:4" ht="12.5">
      <c r="A238" s="1" t="str">
        <f ca="1">IFERROR(__xludf.DUMMYFUNCTION("""COMPUTED_VALUE"""),"20230808ILBOC")</f>
        <v>20230808ILBOC</v>
      </c>
      <c r="B238" s="1"/>
      <c r="C238" s="1"/>
      <c r="D238" s="1"/>
    </row>
    <row r="239" spans="1:4" ht="12.5">
      <c r="A239" s="1" t="str">
        <f ca="1">IFERROR(__xludf.DUMMYFUNCTION("""COMPUTED_VALUE"""),"20230807WAHIS")</f>
        <v>20230807WAHIS</v>
      </c>
      <c r="B239" s="1" t="str">
        <f ca="1">IFERROR(__xludf.DUMMYFUNCTION("""COMPUTED_VALUE"""),"Handgun")</f>
        <v>Handgun</v>
      </c>
      <c r="C239" s="1"/>
      <c r="D239" s="1"/>
    </row>
    <row r="240" spans="1:4" ht="12.5">
      <c r="A240" s="1" t="str">
        <f ca="1">IFERROR(__xludf.DUMMYFUNCTION("""COMPUTED_VALUE"""),"20230731TNMAM")</f>
        <v>20230731TNMAM</v>
      </c>
      <c r="B240" s="1" t="str">
        <f ca="1">IFERROR(__xludf.DUMMYFUNCTION("""COMPUTED_VALUE"""),"Handgun")</f>
        <v>Handgun</v>
      </c>
      <c r="C240" s="1"/>
      <c r="D240" s="1"/>
    </row>
    <row r="241" spans="1:4" ht="12.5">
      <c r="A241" s="1" t="str">
        <f ca="1">IFERROR(__xludf.DUMMYFUNCTION("""COMPUTED_VALUE"""),"20230726DCMAW")</f>
        <v>20230726DCMAW</v>
      </c>
      <c r="B241" s="1" t="str">
        <f ca="1">IFERROR(__xludf.DUMMYFUNCTION("""COMPUTED_VALUE"""),"Handgun")</f>
        <v>Handgun</v>
      </c>
      <c r="C241" s="1"/>
      <c r="D241" s="1"/>
    </row>
    <row r="242" spans="1:4" ht="12.5">
      <c r="A242" s="1" t="str">
        <f ca="1">IFERROR(__xludf.DUMMYFUNCTION("""COMPUTED_VALUE"""),"20230725TNFRM")</f>
        <v>20230725TNFRM</v>
      </c>
      <c r="B242" s="1"/>
      <c r="C242" s="1"/>
      <c r="D242" s="1"/>
    </row>
    <row r="243" spans="1:4" ht="12.5">
      <c r="A243" s="1" t="str">
        <f ca="1">IFERROR(__xludf.DUMMYFUNCTION("""COMPUTED_VALUE"""),"20230725NCJUC")</f>
        <v>20230725NCJUC</v>
      </c>
      <c r="B243" s="1" t="str">
        <f ca="1">IFERROR(__xludf.DUMMYFUNCTION("""COMPUTED_VALUE"""),"Handgun")</f>
        <v>Handgun</v>
      </c>
      <c r="C243" s="1"/>
      <c r="D243" s="1"/>
    </row>
    <row r="244" spans="1:4" ht="12.5">
      <c r="A244" s="1" t="str">
        <f ca="1">IFERROR(__xludf.DUMMYFUNCTION("""COMPUTED_VALUE"""),"20230724PAJOH")</f>
        <v>20230724PAJOH</v>
      </c>
      <c r="B244" s="1" t="str">
        <f ca="1">IFERROR(__xludf.DUMMYFUNCTION("""COMPUTED_VALUE"""),"Handgun")</f>
        <v>Handgun</v>
      </c>
      <c r="C244" s="1"/>
      <c r="D244" s="1"/>
    </row>
    <row r="245" spans="1:4" ht="12.5">
      <c r="A245" s="1" t="str">
        <f ca="1">IFERROR(__xludf.DUMMYFUNCTION("""COMPUTED_VALUE"""),"20230718NYFRB")</f>
        <v>20230718NYFRB</v>
      </c>
      <c r="B245" s="1" t="str">
        <f ca="1">IFERROR(__xludf.DUMMYFUNCTION("""COMPUTED_VALUE"""),"Handgun")</f>
        <v>Handgun</v>
      </c>
      <c r="C245" s="1"/>
      <c r="D245" s="1"/>
    </row>
    <row r="246" spans="1:4" ht="12.5">
      <c r="A246" s="1" t="str">
        <f ca="1">IFERROR(__xludf.DUMMYFUNCTION("""COMPUTED_VALUE"""),"20230716GALOH")</f>
        <v>20230716GALOH</v>
      </c>
      <c r="B246" s="1" t="str">
        <f ca="1">IFERROR(__xludf.DUMMYFUNCTION("""COMPUTED_VALUE"""),"Handgun")</f>
        <v>Handgun</v>
      </c>
      <c r="C246" s="1"/>
      <c r="D246" s="1"/>
    </row>
    <row r="247" spans="1:4" ht="12.5">
      <c r="A247" s="1" t="str">
        <f ca="1">IFERROR(__xludf.DUMMYFUNCTION("""COMPUTED_VALUE"""),"20230714NYKIT")</f>
        <v>20230714NYKIT</v>
      </c>
      <c r="B247" s="1" t="str">
        <f ca="1">IFERROR(__xludf.DUMMYFUNCTION("""COMPUTED_VALUE"""),"Handgun")</f>
        <v>Handgun</v>
      </c>
      <c r="C247" s="1"/>
      <c r="D247" s="1"/>
    </row>
    <row r="248" spans="1:4" ht="12.5">
      <c r="A248" s="1" t="str">
        <f ca="1">IFERROR(__xludf.DUMMYFUNCTION("""COMPUTED_VALUE"""),"20230714TXJAS")</f>
        <v>20230714TXJAS</v>
      </c>
      <c r="B248" s="1" t="str">
        <f ca="1">IFERROR(__xludf.DUMMYFUNCTION("""COMPUTED_VALUE"""),"Handgun")</f>
        <v>Handgun</v>
      </c>
      <c r="C248" s="1"/>
      <c r="D248" s="1"/>
    </row>
    <row r="249" spans="1:4" ht="12.5">
      <c r="A249" s="1" t="str">
        <f ca="1">IFERROR(__xludf.DUMMYFUNCTION("""COMPUTED_VALUE"""),"20230708ALWOB")</f>
        <v>20230708ALWOB</v>
      </c>
      <c r="B249" s="1" t="str">
        <f ca="1">IFERROR(__xludf.DUMMYFUNCTION("""COMPUTED_VALUE"""),"Handgun")</f>
        <v>Handgun</v>
      </c>
      <c r="C249" s="1"/>
      <c r="D249" s="1"/>
    </row>
    <row r="250" spans="1:4" ht="12.5">
      <c r="A250" s="1" t="str">
        <f ca="1">IFERROR(__xludf.DUMMYFUNCTION("""COMPUTED_VALUE"""),"20230707MDPIP")</f>
        <v>20230707MDPIP</v>
      </c>
      <c r="B250" s="1" t="str">
        <f ca="1">IFERROR(__xludf.DUMMYFUNCTION("""COMPUTED_VALUE"""),"Handgun")</f>
        <v>Handgun</v>
      </c>
      <c r="C250" s="1"/>
      <c r="D250" s="1"/>
    </row>
    <row r="251" spans="1:4" ht="12.5">
      <c r="A251" s="1" t="str">
        <f ca="1">IFERROR(__xludf.DUMMYFUNCTION("""COMPUTED_VALUE"""),"20230706OHHUC")</f>
        <v>20230706OHHUC</v>
      </c>
      <c r="B251" s="1"/>
      <c r="C251" s="1"/>
      <c r="D251" s="1"/>
    </row>
    <row r="252" spans="1:4" ht="12.5">
      <c r="A252" s="1" t="str">
        <f ca="1">IFERROR(__xludf.DUMMYFUNCTION("""COMPUTED_VALUE"""),"20230702MNUNF")</f>
        <v>20230702MNUNF</v>
      </c>
      <c r="B252" s="1" t="str">
        <f ca="1">IFERROR(__xludf.DUMMYFUNCTION("""COMPUTED_VALUE"""),"Other")</f>
        <v>Other</v>
      </c>
      <c r="C252" s="1" t="str">
        <f ca="1">IFERROR(__xludf.DUMMYFUNCTION("""COMPUTED_VALUE"""),"BB")</f>
        <v>BB</v>
      </c>
      <c r="D252" s="1" t="str">
        <f ca="1">IFERROR(__xludf.DUMMYFUNCTION("""COMPUTED_VALUE"""),"Replica Glock bb gun")</f>
        <v>Replica Glock bb gun</v>
      </c>
    </row>
    <row r="253" spans="1:4" ht="12.5">
      <c r="A253" s="1" t="str">
        <f ca="1">IFERROR(__xludf.DUMMYFUNCTION("""COMPUTED_VALUE"""),"20230623NMKEA")</f>
        <v>20230623NMKEA</v>
      </c>
      <c r="B253" s="1" t="str">
        <f ca="1">IFERROR(__xludf.DUMMYFUNCTION("""COMPUTED_VALUE"""),"Handgun")</f>
        <v>Handgun</v>
      </c>
      <c r="C253" s="1"/>
      <c r="D253" s="1"/>
    </row>
    <row r="254" spans="1:4" ht="12.5">
      <c r="A254" s="1" t="str">
        <f ca="1">IFERROR(__xludf.DUMMYFUNCTION("""COMPUTED_VALUE"""),"20230622ARSOS")</f>
        <v>20230622ARSOS</v>
      </c>
      <c r="B254" s="1"/>
      <c r="C254" s="1"/>
      <c r="D254" s="1"/>
    </row>
    <row r="255" spans="1:4" ht="12.5">
      <c r="A255" s="1" t="str">
        <f ca="1">IFERROR(__xludf.DUMMYFUNCTION("""COMPUTED_VALUE"""),"20230613PAJUP")</f>
        <v>20230613PAJUP</v>
      </c>
      <c r="B255" s="1" t="str">
        <f ca="1">IFERROR(__xludf.DUMMYFUNCTION("""COMPUTED_VALUE"""),"Handgun")</f>
        <v>Handgun</v>
      </c>
      <c r="C255" s="1"/>
      <c r="D255" s="1"/>
    </row>
    <row r="256" spans="1:4" ht="12.5">
      <c r="A256" s="1" t="str">
        <f ca="1">IFERROR(__xludf.DUMMYFUNCTION("""COMPUTED_VALUE"""),"20230612NJRIM")</f>
        <v>20230612NJRIM</v>
      </c>
      <c r="B256" s="1" t="str">
        <f ca="1">IFERROR(__xludf.DUMMYFUNCTION("""COMPUTED_VALUE"""),"Handgun")</f>
        <v>Handgun</v>
      </c>
      <c r="C256" s="1"/>
      <c r="D256" s="1"/>
    </row>
    <row r="257" spans="1:4" ht="12.5">
      <c r="A257" s="1" t="str">
        <f ca="1">IFERROR(__xludf.DUMMYFUNCTION("""COMPUTED_VALUE"""),"20230612GAKEC")</f>
        <v>20230612GAKEC</v>
      </c>
      <c r="B257" s="1" t="str">
        <f ca="1">IFERROR(__xludf.DUMMYFUNCTION("""COMPUTED_VALUE"""),"Handgun")</f>
        <v>Handgun</v>
      </c>
      <c r="C257" s="1"/>
      <c r="D257" s="1"/>
    </row>
    <row r="258" spans="1:4" ht="12.5">
      <c r="A258" s="1" t="str">
        <f ca="1">IFERROR(__xludf.DUMMYFUNCTION("""COMPUTED_VALUE"""),"20230609DCTUW")</f>
        <v>20230609DCTUW</v>
      </c>
      <c r="B258" s="1"/>
      <c r="C258" s="1"/>
      <c r="D258" s="1"/>
    </row>
    <row r="259" spans="1:4" ht="12.5">
      <c r="A259" s="1" t="str">
        <f ca="1">IFERROR(__xludf.DUMMYFUNCTION("""COMPUTED_VALUE"""),"20230607VADRA")</f>
        <v>20230607VADRA</v>
      </c>
      <c r="B259" s="1" t="str">
        <f ca="1">IFERROR(__xludf.DUMMYFUNCTION("""COMPUTED_VALUE"""),"Handgun")</f>
        <v>Handgun</v>
      </c>
      <c r="C259" s="1"/>
      <c r="D259" s="1"/>
    </row>
    <row r="260" spans="1:4" ht="12.5">
      <c r="A260" s="1" t="str">
        <f ca="1">IFERROR(__xludf.DUMMYFUNCTION("""COMPUTED_VALUE"""),"20230607WIMIM")</f>
        <v>20230607WIMIM</v>
      </c>
      <c r="B260" s="1"/>
      <c r="C260" s="1"/>
      <c r="D260" s="1"/>
    </row>
    <row r="261" spans="1:4" ht="12.5">
      <c r="A261" s="1" t="str">
        <f ca="1">IFERROR(__xludf.DUMMYFUNCTION("""COMPUTED_VALUE"""),"20230606VAHUR")</f>
        <v>20230606VAHUR</v>
      </c>
      <c r="B261" s="1" t="str">
        <f ca="1">IFERROR(__xludf.DUMMYFUNCTION("""COMPUTED_VALUE"""),"Multiple Handguns")</f>
        <v>Multiple Handguns</v>
      </c>
      <c r="C261" s="1"/>
      <c r="D261" s="1" t="str">
        <f ca="1">IFERROR(__xludf.DUMMYFUNCTION("""COMPUTED_VALUE"""),"4 handguns recovered from different people at the scene")</f>
        <v>4 handguns recovered from different people at the scene</v>
      </c>
    </row>
    <row r="262" spans="1:4" ht="12.5">
      <c r="A262" s="1" t="str">
        <f ca="1">IFERROR(__xludf.DUMMYFUNCTION("""COMPUTED_VALUE"""),"20230605MIMIW")</f>
        <v>20230605MIMIW</v>
      </c>
      <c r="B262" s="1" t="str">
        <f ca="1">IFERROR(__xludf.DUMMYFUNCTION("""COMPUTED_VALUE"""),"Handgun")</f>
        <v>Handgun</v>
      </c>
      <c r="C262" s="1"/>
      <c r="D262" s="1"/>
    </row>
    <row r="263" spans="1:4" ht="12.5">
      <c r="A263" s="1" t="str">
        <f ca="1">IFERROR(__xludf.DUMMYFUNCTION("""COMPUTED_VALUE"""),"20230605MARID")</f>
        <v>20230605MARID</v>
      </c>
      <c r="B263" s="1" t="str">
        <f ca="1">IFERROR(__xludf.DUMMYFUNCTION("""COMPUTED_VALUE"""),"Other")</f>
        <v>Other</v>
      </c>
      <c r="C263" s="1" t="str">
        <f ca="1">IFERROR(__xludf.DUMMYFUNCTION("""COMPUTED_VALUE"""),"Pellet")</f>
        <v>Pellet</v>
      </c>
      <c r="D263" s="1"/>
    </row>
    <row r="264" spans="1:4" ht="12.5">
      <c r="A264" s="1" t="str">
        <f ca="1">IFERROR(__xludf.DUMMYFUNCTION("""COMPUTED_VALUE"""),"20230602MAWOW")</f>
        <v>20230602MAWOW</v>
      </c>
      <c r="B264" s="1" t="str">
        <f ca="1">IFERROR(__xludf.DUMMYFUNCTION("""COMPUTED_VALUE"""),"Handgun")</f>
        <v>Handgun</v>
      </c>
      <c r="C264" s="1"/>
      <c r="D264" s="1"/>
    </row>
    <row r="265" spans="1:4" ht="12.5">
      <c r="A265" s="1" t="str">
        <f ca="1">IFERROR(__xludf.DUMMYFUNCTION("""COMPUTED_VALUE"""),"20230602MDSAE")</f>
        <v>20230602MDSAE</v>
      </c>
      <c r="B265" s="1" t="str">
        <f ca="1">IFERROR(__xludf.DUMMYFUNCTION("""COMPUTED_VALUE"""),"Handgun")</f>
        <v>Handgun</v>
      </c>
      <c r="C265" s="1"/>
      <c r="D265" s="1"/>
    </row>
    <row r="266" spans="1:4" ht="12.5">
      <c r="A266" s="1" t="str">
        <f ca="1">IFERROR(__xludf.DUMMYFUNCTION("""COMPUTED_VALUE"""),"20230601TXCAF")</f>
        <v>20230601TXCAF</v>
      </c>
      <c r="B266" s="1" t="str">
        <f ca="1">IFERROR(__xludf.DUMMYFUNCTION("""COMPUTED_VALUE"""),"Handgun")</f>
        <v>Handgun</v>
      </c>
      <c r="C266" s="1"/>
      <c r="D266" s="1"/>
    </row>
    <row r="267" spans="1:4" ht="12.5">
      <c r="A267" s="1" t="str">
        <f ca="1">IFERROR(__xludf.DUMMYFUNCTION("""COMPUTED_VALUE"""),"20230531CABAB")</f>
        <v>20230531CABAB</v>
      </c>
      <c r="B267" s="1" t="str">
        <f ca="1">IFERROR(__xludf.DUMMYFUNCTION("""COMPUTED_VALUE"""),"Handgun")</f>
        <v>Handgun</v>
      </c>
      <c r="C267" s="1"/>
      <c r="D267" s="1"/>
    </row>
    <row r="268" spans="1:4" ht="12.5">
      <c r="A268" s="1" t="str">
        <f ca="1">IFERROR(__xludf.DUMMYFUNCTION("""COMPUTED_VALUE"""),"20230528GABEA")</f>
        <v>20230528GABEA</v>
      </c>
      <c r="B268" s="1" t="str">
        <f ca="1">IFERROR(__xludf.DUMMYFUNCTION("""COMPUTED_VALUE"""),"Handgun")</f>
        <v>Handgun</v>
      </c>
      <c r="C268" s="1"/>
      <c r="D268" s="1"/>
    </row>
    <row r="269" spans="1:4" ht="12.5">
      <c r="A269" s="1" t="str">
        <f ca="1">IFERROR(__xludf.DUMMYFUNCTION("""COMPUTED_VALUE"""),"20230526MIHAH")</f>
        <v>20230526MIHAH</v>
      </c>
      <c r="B269" s="1"/>
      <c r="C269" s="1"/>
      <c r="D269" s="1"/>
    </row>
    <row r="270" spans="1:4" ht="12.5">
      <c r="A270" s="1" t="str">
        <f ca="1">IFERROR(__xludf.DUMMYFUNCTION("""COMPUTED_VALUE"""),"20230526NYMOM")</f>
        <v>20230526NYMOM</v>
      </c>
      <c r="B270" s="1"/>
      <c r="C270" s="1"/>
      <c r="D270" s="1"/>
    </row>
    <row r="271" spans="1:4" ht="12.5">
      <c r="A271" s="1" t="str">
        <f ca="1">IFERROR(__xludf.DUMMYFUNCTION("""COMPUTED_VALUE"""),"20230525PASAB")</f>
        <v>20230525PASAB</v>
      </c>
      <c r="B271" s="1" t="str">
        <f ca="1">IFERROR(__xludf.DUMMYFUNCTION("""COMPUTED_VALUE"""),"Handgun")</f>
        <v>Handgun</v>
      </c>
      <c r="C271" s="1"/>
      <c r="D271" s="1"/>
    </row>
    <row r="272" spans="1:4" ht="12.5">
      <c r="A272" s="1" t="str">
        <f ca="1">IFERROR(__xludf.DUMMYFUNCTION("""COMPUTED_VALUE"""),"20230525OHBEC")</f>
        <v>20230525OHBEC</v>
      </c>
      <c r="B272" s="1" t="str">
        <f ca="1">IFERROR(__xludf.DUMMYFUNCTION("""COMPUTED_VALUE"""),"Handgun")</f>
        <v>Handgun</v>
      </c>
      <c r="C272" s="1"/>
      <c r="D272" s="1"/>
    </row>
    <row r="273" spans="1:4" ht="12.5">
      <c r="A273" s="1" t="str">
        <f ca="1">IFERROR(__xludf.DUMMYFUNCTION("""COMPUTED_VALUE"""),"20230525CABEM")</f>
        <v>20230525CABEM</v>
      </c>
      <c r="B273" s="1" t="str">
        <f ca="1">IFERROR(__xludf.DUMMYFUNCTION("""COMPUTED_VALUE"""),"Handgun")</f>
        <v>Handgun</v>
      </c>
      <c r="C273" s="1"/>
      <c r="D273" s="1"/>
    </row>
    <row r="274" spans="1:4" ht="12.5">
      <c r="A274" s="1" t="str">
        <f ca="1">IFERROR(__xludf.DUMMYFUNCTION("""COMPUTED_VALUE"""),"20230525MNWAM")</f>
        <v>20230525MNWAM</v>
      </c>
      <c r="B274" s="1" t="str">
        <f ca="1">IFERROR(__xludf.DUMMYFUNCTION("""COMPUTED_VALUE"""),"Handgun")</f>
        <v>Handgun</v>
      </c>
      <c r="C274" s="1" t="str">
        <f ca="1">IFERROR(__xludf.DUMMYFUNCTION("""COMPUTED_VALUE"""),"9mm")</f>
        <v>9mm</v>
      </c>
      <c r="D274" s="1" t="str">
        <f ca="1">IFERROR(__xludf.DUMMYFUNCTION("""COMPUTED_VALUE"""),"Glock with 50 round drum mag")</f>
        <v>Glock with 50 round drum mag</v>
      </c>
    </row>
    <row r="275" spans="1:4" ht="12.5">
      <c r="A275" s="1" t="str">
        <f ca="1">IFERROR(__xludf.DUMMYFUNCTION("""COMPUTED_VALUE"""),"20230524NCJHG")</f>
        <v>20230524NCJHG</v>
      </c>
      <c r="B275" s="1" t="str">
        <f ca="1">IFERROR(__xludf.DUMMYFUNCTION("""COMPUTED_VALUE"""),"Handgun")</f>
        <v>Handgun</v>
      </c>
      <c r="C275" s="1"/>
      <c r="D275" s="1"/>
    </row>
    <row r="276" spans="1:4" ht="12.5">
      <c r="A276" s="1" t="str">
        <f ca="1">IFERROR(__xludf.DUMMYFUNCTION("""COMPUTED_VALUE"""),"20230524PAOLP")</f>
        <v>20230524PAOLP</v>
      </c>
      <c r="B276" s="1" t="str">
        <f ca="1">IFERROR(__xludf.DUMMYFUNCTION("""COMPUTED_VALUE"""),"Handgun")</f>
        <v>Handgun</v>
      </c>
      <c r="C276" s="1" t="str">
        <f ca="1">IFERROR(__xludf.DUMMYFUNCTION("""COMPUTED_VALUE"""),"9mm")</f>
        <v>9mm</v>
      </c>
      <c r="D276" s="1"/>
    </row>
    <row r="277" spans="1:4" ht="12.5">
      <c r="A277" s="1" t="str">
        <f ca="1">IFERROR(__xludf.DUMMYFUNCTION("""COMPUTED_VALUE"""),"20230524NCNOD")</f>
        <v>20230524NCNOD</v>
      </c>
      <c r="B277" s="1" t="str">
        <f ca="1">IFERROR(__xludf.DUMMYFUNCTION("""COMPUTED_VALUE"""),"Rifle")</f>
        <v>Rifle</v>
      </c>
      <c r="C277" s="1" t="str">
        <f ca="1">IFERROR(__xludf.DUMMYFUNCTION("""COMPUTED_VALUE"""),"AK-47")</f>
        <v>AK-47</v>
      </c>
      <c r="D277" s="1"/>
    </row>
    <row r="278" spans="1:4" ht="12.5">
      <c r="A278" s="1" t="str">
        <f ca="1">IFERROR(__xludf.DUMMYFUNCTION("""COMPUTED_VALUE"""),"20230523MIYPY")</f>
        <v>20230523MIYPY</v>
      </c>
      <c r="B278" s="1" t="str">
        <f ca="1">IFERROR(__xludf.DUMMYFUNCTION("""COMPUTED_VALUE"""),"Handgun")</f>
        <v>Handgun</v>
      </c>
      <c r="C278" s="1"/>
      <c r="D278" s="1"/>
    </row>
    <row r="279" spans="1:4" ht="12.5">
      <c r="A279" s="1" t="str">
        <f ca="1">IFERROR(__xludf.DUMMYFUNCTION("""COMPUTED_VALUE"""),"20230522MASTD")</f>
        <v>20230522MASTD</v>
      </c>
      <c r="B279" s="1"/>
      <c r="C279" s="1" t="str">
        <f ca="1">IFERROR(__xludf.DUMMYFUNCTION("""COMPUTED_VALUE"""),"Service Weapon")</f>
        <v>Service Weapon</v>
      </c>
      <c r="D279" s="1"/>
    </row>
    <row r="280" spans="1:4" ht="12.5">
      <c r="A280" s="1" t="str">
        <f ca="1">IFERROR(__xludf.DUMMYFUNCTION("""COMPUTED_VALUE"""),"20230522DCKID")</f>
        <v>20230522DCKID</v>
      </c>
      <c r="B280" s="1" t="str">
        <f ca="1">IFERROR(__xludf.DUMMYFUNCTION("""COMPUTED_VALUE"""),"Handgun")</f>
        <v>Handgun</v>
      </c>
      <c r="C280" s="1"/>
      <c r="D280" s="1"/>
    </row>
    <row r="281" spans="1:4" ht="12.5">
      <c r="A281" s="1" t="str">
        <f ca="1">IFERROR(__xludf.DUMMYFUNCTION("""COMPUTED_VALUE"""),"20230521NJCEN")</f>
        <v>20230521NJCEN</v>
      </c>
      <c r="B281" s="1" t="str">
        <f ca="1">IFERROR(__xludf.DUMMYFUNCTION("""COMPUTED_VALUE"""),"Handgun")</f>
        <v>Handgun</v>
      </c>
      <c r="C281" s="1"/>
      <c r="D281" s="1" t="str">
        <f ca="1">IFERROR(__xludf.DUMMYFUNCTION("""COMPUTED_VALUE"""),"Ghost gun")</f>
        <v>Ghost gun</v>
      </c>
    </row>
    <row r="282" spans="1:4" ht="12.5">
      <c r="A282" s="1" t="str">
        <f ca="1">IFERROR(__xludf.DUMMYFUNCTION("""COMPUTED_VALUE"""),"20230519AZBOP")</f>
        <v>20230519AZBOP</v>
      </c>
      <c r="B282" s="1" t="str">
        <f ca="1">IFERROR(__xludf.DUMMYFUNCTION("""COMPUTED_VALUE"""),"Rifle")</f>
        <v>Rifle</v>
      </c>
      <c r="C282" s="1" t="str">
        <f ca="1">IFERROR(__xludf.DUMMYFUNCTION("""COMPUTED_VALUE"""),".223 caliber")</f>
        <v>.223 caliber</v>
      </c>
      <c r="D282" s="1" t="str">
        <f ca="1">IFERROR(__xludf.DUMMYFUNCTION("""COMPUTED_VALUE"""),"AR-15 with extra ammo in backpack and lunchbox ")</f>
        <v xml:space="preserve">AR-15 with extra ammo in backpack and lunchbox </v>
      </c>
    </row>
    <row r="283" spans="1:4" ht="12.5">
      <c r="A283" s="1" t="str">
        <f ca="1">IFERROR(__xludf.DUMMYFUNCTION("""COMPUTED_VALUE"""),"20230519DEFAD")</f>
        <v>20230519DEFAD</v>
      </c>
      <c r="B283" s="1"/>
      <c r="C283" s="1"/>
      <c r="D283" s="1"/>
    </row>
    <row r="284" spans="1:4" ht="12.5">
      <c r="A284" s="1" t="str">
        <f ca="1">IFERROR(__xludf.DUMMYFUNCTION("""COMPUTED_VALUE"""),"20230519NYPSS")</f>
        <v>20230519NYPSS</v>
      </c>
      <c r="B284" s="1" t="str">
        <f ca="1">IFERROR(__xludf.DUMMYFUNCTION("""COMPUTED_VALUE"""),"Handgun")</f>
        <v>Handgun</v>
      </c>
      <c r="C284" s="1"/>
      <c r="D284" s="1"/>
    </row>
    <row r="285" spans="1:4" ht="12.5">
      <c r="A285" s="1" t="str">
        <f ca="1">IFERROR(__xludf.DUMMYFUNCTION("""COMPUTED_VALUE"""),"20230518CACHW")</f>
        <v>20230518CACHW</v>
      </c>
      <c r="B285" s="1" t="str">
        <f ca="1">IFERROR(__xludf.DUMMYFUNCTION("""COMPUTED_VALUE"""),"Multiple Unknown")</f>
        <v>Multiple Unknown</v>
      </c>
      <c r="C285" s="1"/>
      <c r="D285" s="1"/>
    </row>
    <row r="286" spans="1:4" ht="12.5">
      <c r="A286" s="1" t="str">
        <f ca="1">IFERROR(__xludf.DUMMYFUNCTION("""COMPUTED_VALUE"""),"20230518WAGAS")</f>
        <v>20230518WAGAS</v>
      </c>
      <c r="B286" s="1" t="str">
        <f ca="1">IFERROR(__xludf.DUMMYFUNCTION("""COMPUTED_VALUE"""),"Handgun")</f>
        <v>Handgun</v>
      </c>
      <c r="C286" s="1"/>
      <c r="D286" s="1"/>
    </row>
    <row r="287" spans="1:4" ht="12.5">
      <c r="A287" s="1" t="str">
        <f ca="1">IFERROR(__xludf.DUMMYFUNCTION("""COMPUTED_VALUE"""),"20230517DCTHW")</f>
        <v>20230517DCTHW</v>
      </c>
      <c r="B287" s="1" t="str">
        <f ca="1">IFERROR(__xludf.DUMMYFUNCTION("""COMPUTED_VALUE"""),"Handgun")</f>
        <v>Handgun</v>
      </c>
      <c r="C287" s="1"/>
      <c r="D287" s="1"/>
    </row>
    <row r="288" spans="1:4" ht="12.5">
      <c r="A288" s="1" t="str">
        <f ca="1">IFERROR(__xludf.DUMMYFUNCTION("""COMPUTED_VALUE"""),"20230516NJSCP")</f>
        <v>20230516NJSCP</v>
      </c>
      <c r="B288" s="1" t="str">
        <f ca="1">IFERROR(__xludf.DUMMYFUNCTION("""COMPUTED_VALUE"""),"Handgun")</f>
        <v>Handgun</v>
      </c>
      <c r="C288" s="1"/>
      <c r="D288" s="1"/>
    </row>
    <row r="289" spans="1:4" ht="12.5">
      <c r="A289" s="1" t="str">
        <f ca="1">IFERROR(__xludf.DUMMYFUNCTION("""COMPUTED_VALUE"""),"20230516OHEAC")</f>
        <v>20230516OHEAC</v>
      </c>
      <c r="B289" s="1" t="str">
        <f ca="1">IFERROR(__xludf.DUMMYFUNCTION("""COMPUTED_VALUE"""),"Handgun")</f>
        <v>Handgun</v>
      </c>
      <c r="C289" s="1"/>
      <c r="D289" s="1"/>
    </row>
    <row r="290" spans="1:4" ht="12.5">
      <c r="A290" s="1" t="str">
        <f ca="1">IFERROR(__xludf.DUMMYFUNCTION("""COMPUTED_VALUE"""),"20230516MNDAM")</f>
        <v>20230516MNDAM</v>
      </c>
      <c r="B290" s="1" t="str">
        <f ca="1">IFERROR(__xludf.DUMMYFUNCTION("""COMPUTED_VALUE"""),"Multiple Handguns")</f>
        <v>Multiple Handguns</v>
      </c>
      <c r="C290" s="1"/>
      <c r="D290" s="1"/>
    </row>
    <row r="291" spans="1:4" ht="12.5">
      <c r="A291" s="1" t="str">
        <f ca="1">IFERROR(__xludf.DUMMYFUNCTION("""COMPUTED_VALUE"""),"20230515ININI")</f>
        <v>20230515ININI</v>
      </c>
      <c r="B291" s="1" t="str">
        <f ca="1">IFERROR(__xludf.DUMMYFUNCTION("""COMPUTED_VALUE"""),"Multiple Handguns")</f>
        <v>Multiple Handguns</v>
      </c>
      <c r="C291" s="1"/>
      <c r="D291" s="1" t="str">
        <f ca="1">IFERROR(__xludf.DUMMYFUNCTION("""COMPUTED_VALUE"""),"Glock 27, 5.7×28 mm")</f>
        <v>Glock 27, 5.7×28 mm</v>
      </c>
    </row>
    <row r="292" spans="1:4" ht="12.5">
      <c r="A292" s="1" t="str">
        <f ca="1">IFERROR(__xludf.DUMMYFUNCTION("""COMPUTED_VALUE"""),"20230515ORCRP")</f>
        <v>20230515ORCRP</v>
      </c>
      <c r="B292" s="1" t="str">
        <f ca="1">IFERROR(__xludf.DUMMYFUNCTION("""COMPUTED_VALUE"""),"Other")</f>
        <v>Other</v>
      </c>
      <c r="C292" s="1"/>
      <c r="D292" s="1" t="str">
        <f ca="1">IFERROR(__xludf.DUMMYFUNCTION("""COMPUTED_VALUE"""),"Replica glock handgun")</f>
        <v>Replica glock handgun</v>
      </c>
    </row>
    <row r="293" spans="1:4" ht="12.5">
      <c r="A293" s="1" t="str">
        <f ca="1">IFERROR(__xludf.DUMMYFUNCTION("""COMPUTED_VALUE"""),"20230515CAPIP")</f>
        <v>20230515CAPIP</v>
      </c>
      <c r="B293" s="1" t="str">
        <f ca="1">IFERROR(__xludf.DUMMYFUNCTION("""COMPUTED_VALUE"""),"Multiple Rifles")</f>
        <v>Multiple Rifles</v>
      </c>
      <c r="C293" s="1"/>
      <c r="D293" s="1" t="str">
        <f ca="1">IFERROR(__xludf.DUMMYFUNCTION("""COMPUTED_VALUE"""),"48 guns seized")</f>
        <v>48 guns seized</v>
      </c>
    </row>
    <row r="294" spans="1:4" ht="12.5">
      <c r="A294" s="1" t="str">
        <f ca="1">IFERROR(__xludf.DUMMYFUNCTION("""COMPUTED_VALUE"""),"20230512OHEDD")</f>
        <v>20230512OHEDD</v>
      </c>
      <c r="B294" s="1" t="str">
        <f ca="1">IFERROR(__xludf.DUMMYFUNCTION("""COMPUTED_VALUE"""),"Handgun")</f>
        <v>Handgun</v>
      </c>
      <c r="C294" s="1"/>
      <c r="D294" s="1"/>
    </row>
    <row r="295" spans="1:4" ht="12.5">
      <c r="A295" s="1" t="str">
        <f ca="1">IFERROR(__xludf.DUMMYFUNCTION("""COMPUTED_VALUE"""),"20230512OHEDD")</f>
        <v>20230512OHEDD</v>
      </c>
      <c r="B295" s="1" t="str">
        <f ca="1">IFERROR(__xludf.DUMMYFUNCTION("""COMPUTED_VALUE"""),"Handgun")</f>
        <v>Handgun</v>
      </c>
      <c r="C295" s="1"/>
      <c r="D295" s="1"/>
    </row>
    <row r="296" spans="1:4" ht="12.5">
      <c r="A296" s="1" t="str">
        <f ca="1">IFERROR(__xludf.DUMMYFUNCTION("""COMPUTED_VALUE"""),"20230512DCKEW")</f>
        <v>20230512DCKEW</v>
      </c>
      <c r="B296" s="1" t="str">
        <f ca="1">IFERROR(__xludf.DUMMYFUNCTION("""COMPUTED_VALUE"""),"Handgun")</f>
        <v>Handgun</v>
      </c>
      <c r="C296" s="1"/>
      <c r="D296" s="1"/>
    </row>
    <row r="297" spans="1:4" ht="12.5">
      <c r="A297" s="1" t="str">
        <f ca="1">IFERROR(__xludf.DUMMYFUNCTION("""COMPUTED_VALUE"""),"20230512TNLEL")</f>
        <v>20230512TNLEL</v>
      </c>
      <c r="B297" s="1" t="str">
        <f ca="1">IFERROR(__xludf.DUMMYFUNCTION("""COMPUTED_VALUE"""),"Handgun")</f>
        <v>Handgun</v>
      </c>
      <c r="C297" s="1"/>
      <c r="D297" s="1"/>
    </row>
    <row r="298" spans="1:4" ht="12.5">
      <c r="A298" s="1" t="str">
        <f ca="1">IFERROR(__xludf.DUMMYFUNCTION("""COMPUTED_VALUE"""),"20230511MDNOF")</f>
        <v>20230511MDNOF</v>
      </c>
      <c r="B298" s="1" t="str">
        <f ca="1">IFERROR(__xludf.DUMMYFUNCTION("""COMPUTED_VALUE"""),"Rifle")</f>
        <v>Rifle</v>
      </c>
      <c r="C298" s="1"/>
      <c r="D298" s="1"/>
    </row>
    <row r="299" spans="1:4" ht="12.5">
      <c r="A299" s="1" t="str">
        <f ca="1">IFERROR(__xludf.DUMMYFUNCTION("""COMPUTED_VALUE"""),"20230511ILNER")</f>
        <v>20230511ILNER</v>
      </c>
      <c r="B299" s="1" t="str">
        <f ca="1">IFERROR(__xludf.DUMMYFUNCTION("""COMPUTED_VALUE"""),"Handgun")</f>
        <v>Handgun</v>
      </c>
      <c r="C299" s="1"/>
      <c r="D299" s="1"/>
    </row>
    <row r="300" spans="1:4" ht="12.5">
      <c r="A300" s="1" t="str">
        <f ca="1">IFERROR(__xludf.DUMMYFUNCTION("""COMPUTED_VALUE"""),"20230510NYPSQ")</f>
        <v>20230510NYPSQ</v>
      </c>
      <c r="B300" s="1" t="str">
        <f ca="1">IFERROR(__xludf.DUMMYFUNCTION("""COMPUTED_VALUE"""),"Handgun")</f>
        <v>Handgun</v>
      </c>
      <c r="C300" s="1"/>
      <c r="D300" s="1"/>
    </row>
    <row r="301" spans="1:4" ht="12.5">
      <c r="A301" s="1" t="str">
        <f ca="1">IFERROR(__xludf.DUMMYFUNCTION("""COMPUTED_VALUE"""),"20230509CACAO")</f>
        <v>20230509CACAO</v>
      </c>
      <c r="B301" s="1" t="str">
        <f ca="1">IFERROR(__xludf.DUMMYFUNCTION("""COMPUTED_VALUE"""),"Handgun")</f>
        <v>Handgun</v>
      </c>
      <c r="C301" s="1"/>
      <c r="D301" s="1"/>
    </row>
    <row r="302" spans="1:4" ht="12.5">
      <c r="A302" s="1" t="str">
        <f ca="1">IFERROR(__xludf.DUMMYFUNCTION("""COMPUTED_VALUE"""),"20230508SCSUS")</f>
        <v>20230508SCSUS</v>
      </c>
      <c r="B302" s="1" t="str">
        <f ca="1">IFERROR(__xludf.DUMMYFUNCTION("""COMPUTED_VALUE"""),"Handgun")</f>
        <v>Handgun</v>
      </c>
      <c r="C302" s="1"/>
      <c r="D302" s="1"/>
    </row>
    <row r="303" spans="1:4" ht="12.5">
      <c r="A303" s="1" t="str">
        <f ca="1">IFERROR(__xludf.DUMMYFUNCTION("""COMPUTED_VALUE"""),"20230508PAEWP")</f>
        <v>20230508PAEWP</v>
      </c>
      <c r="B303" s="1" t="str">
        <f ca="1">IFERROR(__xludf.DUMMYFUNCTION("""COMPUTED_VALUE"""),"Handgun")</f>
        <v>Handgun</v>
      </c>
      <c r="C303" s="1"/>
      <c r="D303" s="1"/>
    </row>
    <row r="304" spans="1:4" ht="12.5">
      <c r="A304" s="1" t="str">
        <f ca="1">IFERROR(__xludf.DUMMYFUNCTION("""COMPUTED_VALUE"""),"20230508NVVOL")</f>
        <v>20230508NVVOL</v>
      </c>
      <c r="B304" s="1"/>
      <c r="C304" s="1"/>
      <c r="D304" s="1"/>
    </row>
    <row r="305" spans="1:4" ht="12.5">
      <c r="A305" s="1" t="str">
        <f ca="1">IFERROR(__xludf.DUMMYFUNCTION("""COMPUTED_VALUE"""),"20230506SCCOL")</f>
        <v>20230506SCCOL</v>
      </c>
      <c r="B305" s="1" t="str">
        <f ca="1">IFERROR(__xludf.DUMMYFUNCTION("""COMPUTED_VALUE"""),"Handgun")</f>
        <v>Handgun</v>
      </c>
      <c r="C305" s="1"/>
      <c r="D305" s="1"/>
    </row>
    <row r="306" spans="1:4" ht="12.5">
      <c r="A306" s="1" t="str">
        <f ca="1">IFERROR(__xludf.DUMMYFUNCTION("""COMPUTED_VALUE"""),"20230505INLIE")</f>
        <v>20230505INLIE</v>
      </c>
      <c r="B306" s="1" t="str">
        <f ca="1">IFERROR(__xludf.DUMMYFUNCTION("""COMPUTED_VALUE"""),"Handgun")</f>
        <v>Handgun</v>
      </c>
      <c r="C306" s="1"/>
      <c r="D306" s="1"/>
    </row>
    <row r="307" spans="1:4" ht="12.5">
      <c r="A307" s="1" t="str">
        <f ca="1">IFERROR(__xludf.DUMMYFUNCTION("""COMPUTED_VALUE"""),"20230503NCJOE")</f>
        <v>20230503NCJOE</v>
      </c>
      <c r="B307" s="1" t="str">
        <f ca="1">IFERROR(__xludf.DUMMYFUNCTION("""COMPUTED_VALUE"""),"Handgun")</f>
        <v>Handgun</v>
      </c>
      <c r="C307" s="1"/>
      <c r="D307" s="1"/>
    </row>
    <row r="308" spans="1:4" ht="12.5">
      <c r="A308" s="1" t="str">
        <f ca="1">IFERROR(__xludf.DUMMYFUNCTION("""COMPUTED_VALUE"""),"20230502AZRAM")</f>
        <v>20230502AZRAM</v>
      </c>
      <c r="B308" s="1" t="str">
        <f ca="1">IFERROR(__xludf.DUMMYFUNCTION("""COMPUTED_VALUE"""),"Handgun")</f>
        <v>Handgun</v>
      </c>
      <c r="C308" s="1"/>
      <c r="D308" s="1"/>
    </row>
    <row r="309" spans="1:4" ht="12.5">
      <c r="A309" s="1" t="str">
        <f ca="1">IFERROR(__xludf.DUMMYFUNCTION("""COMPUTED_VALUE"""),"20230501MDPRS")</f>
        <v>20230501MDPRS</v>
      </c>
      <c r="B309" s="1" t="str">
        <f ca="1">IFERROR(__xludf.DUMMYFUNCTION("""COMPUTED_VALUE"""),"Handgun")</f>
        <v>Handgun</v>
      </c>
      <c r="C309" s="1"/>
      <c r="D309" s="1"/>
    </row>
    <row r="310" spans="1:4" ht="12.5">
      <c r="A310" s="1" t="str">
        <f ca="1">IFERROR(__xludf.DUMMYFUNCTION("""COMPUTED_VALUE"""),"20230501MIINF")</f>
        <v>20230501MIINF</v>
      </c>
      <c r="B310" s="1" t="str">
        <f ca="1">IFERROR(__xludf.DUMMYFUNCTION("""COMPUTED_VALUE"""),"Handgun")</f>
        <v>Handgun</v>
      </c>
      <c r="C310" s="1"/>
      <c r="D310" s="1"/>
    </row>
    <row r="311" spans="1:4" ht="12.5">
      <c r="A311" s="1" t="str">
        <f ca="1">IFERROR(__xludf.DUMMYFUNCTION("""COMPUTED_VALUE"""),"20230430KYPAP")</f>
        <v>20230430KYPAP</v>
      </c>
      <c r="B311" s="1" t="str">
        <f ca="1">IFERROR(__xludf.DUMMYFUNCTION("""COMPUTED_VALUE"""),"Multiple Handguns")</f>
        <v>Multiple Handguns</v>
      </c>
      <c r="C311" s="1"/>
      <c r="D311" s="1"/>
    </row>
    <row r="312" spans="1:4" ht="12.5">
      <c r="A312" s="1" t="str">
        <f ca="1">IFERROR(__xludf.DUMMYFUNCTION("""COMPUTED_VALUE"""),"20230430CAKNP")</f>
        <v>20230430CAKNP</v>
      </c>
      <c r="B312" s="1" t="str">
        <f ca="1">IFERROR(__xludf.DUMMYFUNCTION("""COMPUTED_VALUE"""),"Handgun")</f>
        <v>Handgun</v>
      </c>
      <c r="C312" s="1"/>
      <c r="D312" s="1"/>
    </row>
    <row r="313" spans="1:4" ht="12.5">
      <c r="A313" s="1" t="str">
        <f ca="1">IFERROR(__xludf.DUMMYFUNCTION("""COMPUTED_VALUE"""),"20230428TNWEK")</f>
        <v>20230428TNWEK</v>
      </c>
      <c r="B313" s="1" t="str">
        <f ca="1">IFERROR(__xludf.DUMMYFUNCTION("""COMPUTED_VALUE"""),"Handgun")</f>
        <v>Handgun</v>
      </c>
      <c r="C313" s="1"/>
      <c r="D313" s="1"/>
    </row>
    <row r="314" spans="1:4" ht="12.5">
      <c r="A314" s="1" t="str">
        <f ca="1">IFERROR(__xludf.DUMMYFUNCTION("""COMPUTED_VALUE"""),"20230427GACHK")</f>
        <v>20230427GACHK</v>
      </c>
      <c r="B314" s="1"/>
      <c r="C314" s="1"/>
      <c r="D314" s="1"/>
    </row>
    <row r="315" spans="1:4" ht="12.5">
      <c r="A315" s="1" t="str">
        <f ca="1">IFERROR(__xludf.DUMMYFUNCTION("""COMPUTED_VALUE"""),"20230427VAGER")</f>
        <v>20230427VAGER</v>
      </c>
      <c r="B315" s="1" t="str">
        <f ca="1">IFERROR(__xludf.DUMMYFUNCTION("""COMPUTED_VALUE"""),"Handgun")</f>
        <v>Handgun</v>
      </c>
      <c r="C315" s="1"/>
      <c r="D315" s="1"/>
    </row>
    <row r="316" spans="1:4" ht="12.5">
      <c r="A316" s="1" t="str">
        <f ca="1">IFERROR(__xludf.DUMMYFUNCTION("""COMPUTED_VALUE"""),"20230426MNLIH")</f>
        <v>20230426MNLIH</v>
      </c>
      <c r="B316" s="1" t="str">
        <f ca="1">IFERROR(__xludf.DUMMYFUNCTION("""COMPUTED_VALUE"""),"Other")</f>
        <v>Other</v>
      </c>
      <c r="C316" s="1" t="str">
        <f ca="1">IFERROR(__xludf.DUMMYFUNCTION("""COMPUTED_VALUE"""),"Pellet")</f>
        <v>Pellet</v>
      </c>
      <c r="D316" s="1"/>
    </row>
    <row r="317" spans="1:4" ht="12.5">
      <c r="A317" s="1" t="str">
        <f ca="1">IFERROR(__xludf.DUMMYFUNCTION("""COMPUTED_VALUE"""),"20230426CTJON")</f>
        <v>20230426CTJON</v>
      </c>
      <c r="B317" s="1" t="str">
        <f ca="1">IFERROR(__xludf.DUMMYFUNCTION("""COMPUTED_VALUE"""),"Handgun")</f>
        <v>Handgun</v>
      </c>
      <c r="C317" s="1"/>
      <c r="D317" s="1"/>
    </row>
    <row r="318" spans="1:4" ht="12.5">
      <c r="A318" s="1" t="str">
        <f ca="1">IFERROR(__xludf.DUMMYFUNCTION("""COMPUTED_VALUE"""),"20230425NVCOH")</f>
        <v>20230425NVCOH</v>
      </c>
      <c r="B318" s="1" t="str">
        <f ca="1">IFERROR(__xludf.DUMMYFUNCTION("""COMPUTED_VALUE"""),"Rifle")</f>
        <v>Rifle</v>
      </c>
      <c r="C318" s="1"/>
      <c r="D318" s="1"/>
    </row>
    <row r="319" spans="1:4" ht="12.5">
      <c r="A319" s="1" t="str">
        <f ca="1">IFERROR(__xludf.DUMMYFUNCTION("""COMPUTED_VALUE"""),"20230425CAKIL")</f>
        <v>20230425CAKIL</v>
      </c>
      <c r="B319" s="1"/>
      <c r="C319" s="1"/>
      <c r="D319" s="1"/>
    </row>
    <row r="320" spans="1:4" ht="12.5">
      <c r="A320" s="1" t="str">
        <f ca="1">IFERROR(__xludf.DUMMYFUNCTION("""COMPUTED_VALUE"""),"20230423VAJOD")</f>
        <v>20230423VAJOD</v>
      </c>
      <c r="B320" s="1" t="str">
        <f ca="1">IFERROR(__xludf.DUMMYFUNCTION("""COMPUTED_VALUE"""),"Handgun")</f>
        <v>Handgun</v>
      </c>
      <c r="C320" s="1"/>
      <c r="D320" s="1"/>
    </row>
    <row r="321" spans="1:4" ht="12.5">
      <c r="A321" s="1" t="str">
        <f ca="1">IFERROR(__xludf.DUMMYFUNCTION("""COMPUTED_VALUE"""),"20230420ARLIL")</f>
        <v>20230420ARLIL</v>
      </c>
      <c r="B321" s="1" t="str">
        <f ca="1">IFERROR(__xludf.DUMMYFUNCTION("""COMPUTED_VALUE"""),"Handgun")</f>
        <v>Handgun</v>
      </c>
      <c r="C321" s="1"/>
      <c r="D321" s="1"/>
    </row>
    <row r="322" spans="1:4" ht="12.5">
      <c r="A322" s="1" t="str">
        <f ca="1">IFERROR(__xludf.DUMMYFUNCTION("""COMPUTED_VALUE"""),"20230419FLFOA")</f>
        <v>20230419FLFOA</v>
      </c>
      <c r="B322" s="1" t="str">
        <f ca="1">IFERROR(__xludf.DUMMYFUNCTION("""COMPUTED_VALUE"""),"Handgun")</f>
        <v>Handgun</v>
      </c>
      <c r="C322" s="1"/>
      <c r="D322" s="1"/>
    </row>
    <row r="323" spans="1:4" ht="12.5">
      <c r="A323" s="1" t="str">
        <f ca="1">IFERROR(__xludf.DUMMYFUNCTION("""COMPUTED_VALUE"""),"20230418TXRIH")</f>
        <v>20230418TXRIH</v>
      </c>
      <c r="B323" s="1" t="str">
        <f ca="1">IFERROR(__xludf.DUMMYFUNCTION("""COMPUTED_VALUE"""),"Handgun")</f>
        <v>Handgun</v>
      </c>
      <c r="C323" s="1"/>
      <c r="D323" s="1"/>
    </row>
    <row r="324" spans="1:4" ht="12.5">
      <c r="A324" s="1" t="str">
        <f ca="1">IFERROR(__xludf.DUMMYFUNCTION("""COMPUTED_VALUE"""),"20230417LASON")</f>
        <v>20230417LASON</v>
      </c>
      <c r="B324" s="1"/>
      <c r="C324" s="1"/>
      <c r="D324" s="1"/>
    </row>
    <row r="325" spans="1:4" ht="12.5">
      <c r="A325" s="1" t="str">
        <f ca="1">IFERROR(__xludf.DUMMYFUNCTION("""COMPUTED_VALUE"""),"20230414AZDEP")</f>
        <v>20230414AZDEP</v>
      </c>
      <c r="B325" s="1"/>
      <c r="C325" s="1"/>
      <c r="D325" s="1"/>
    </row>
    <row r="326" spans="1:4" ht="12.5">
      <c r="A326" s="1" t="str">
        <f ca="1">IFERROR(__xludf.DUMMYFUNCTION("""COMPUTED_VALUE"""),"20230414WIWAW")</f>
        <v>20230414WIWAW</v>
      </c>
      <c r="B326" s="1" t="str">
        <f ca="1">IFERROR(__xludf.DUMMYFUNCTION("""COMPUTED_VALUE"""),"Rifle")</f>
        <v>Rifle</v>
      </c>
      <c r="C326" s="1"/>
      <c r="D326" s="1" t="str">
        <f ca="1">IFERROR(__xludf.DUMMYFUNCTION("""COMPUTED_VALUE"""),"AR-15 with extended magazine")</f>
        <v>AR-15 with extended magazine</v>
      </c>
    </row>
    <row r="327" spans="1:4" ht="12.5">
      <c r="A327" s="1" t="str">
        <f ca="1">IFERROR(__xludf.DUMMYFUNCTION("""COMPUTED_VALUE"""),"20230414PAWOP")</f>
        <v>20230414PAWOP</v>
      </c>
      <c r="B327" s="1"/>
      <c r="C327" s="1"/>
      <c r="D327" s="1"/>
    </row>
    <row r="328" spans="1:4" ht="12.5">
      <c r="A328" s="1" t="str">
        <f ca="1">IFERROR(__xludf.DUMMYFUNCTION("""COMPUTED_VALUE"""),"20230413ILCHC")</f>
        <v>20230413ILCHC</v>
      </c>
      <c r="B328" s="1" t="str">
        <f ca="1">IFERROR(__xludf.DUMMYFUNCTION("""COMPUTED_VALUE"""),"Handgun")</f>
        <v>Handgun</v>
      </c>
      <c r="C328" s="1"/>
      <c r="D328" s="1"/>
    </row>
    <row r="329" spans="1:4" ht="12.5">
      <c r="A329" s="1" t="str">
        <f ca="1">IFERROR(__xludf.DUMMYFUNCTION("""COMPUTED_VALUE"""),"20230412TXLOH")</f>
        <v>20230412TXLOH</v>
      </c>
      <c r="B329" s="1" t="str">
        <f ca="1">IFERROR(__xludf.DUMMYFUNCTION("""COMPUTED_VALUE"""),"Handgun")</f>
        <v>Handgun</v>
      </c>
      <c r="C329" s="1"/>
      <c r="D329" s="1"/>
    </row>
    <row r="330" spans="1:4" ht="12.5">
      <c r="A330" s="1" t="str">
        <f ca="1">IFERROR(__xludf.DUMMYFUNCTION("""COMPUTED_VALUE"""),"20230412CACES")</f>
        <v>20230412CACES</v>
      </c>
      <c r="B330" s="1" t="str">
        <f ca="1">IFERROR(__xludf.DUMMYFUNCTION("""COMPUTED_VALUE"""),"Handgun")</f>
        <v>Handgun</v>
      </c>
      <c r="C330" s="1"/>
      <c r="D330" s="1"/>
    </row>
    <row r="331" spans="1:4" ht="12.5">
      <c r="A331" s="1" t="str">
        <f ca="1">IFERROR(__xludf.DUMMYFUNCTION("""COMPUTED_VALUE"""),"20230407WACHS")</f>
        <v>20230407WACHS</v>
      </c>
      <c r="B331" s="1" t="str">
        <f ca="1">IFERROR(__xludf.DUMMYFUNCTION("""COMPUTED_VALUE"""),"Handgun")</f>
        <v>Handgun</v>
      </c>
      <c r="C331" s="1"/>
      <c r="D331" s="1"/>
    </row>
    <row r="332" spans="1:4" ht="12.5">
      <c r="A332" s="1" t="str">
        <f ca="1">IFERROR(__xludf.DUMMYFUNCTION("""COMPUTED_VALUE"""),"20230406NCSOW")</f>
        <v>20230406NCSOW</v>
      </c>
      <c r="B332" s="1" t="str">
        <f ca="1">IFERROR(__xludf.DUMMYFUNCTION("""COMPUTED_VALUE"""),"Handgun")</f>
        <v>Handgun</v>
      </c>
      <c r="C332" s="1"/>
      <c r="D332" s="1"/>
    </row>
    <row r="333" spans="1:4" ht="12.5">
      <c r="A333" s="1" t="str">
        <f ca="1">IFERROR(__xludf.DUMMYFUNCTION("""COMPUTED_VALUE"""),"20230405OHROC")</f>
        <v>20230405OHROC</v>
      </c>
      <c r="B333" s="1" t="str">
        <f ca="1">IFERROR(__xludf.DUMMYFUNCTION("""COMPUTED_VALUE"""),"Handgun")</f>
        <v>Handgun</v>
      </c>
      <c r="C333" s="1"/>
      <c r="D333" s="1"/>
    </row>
    <row r="334" spans="1:4" ht="12.5">
      <c r="A334" s="1" t="str">
        <f ca="1">IFERROR(__xludf.DUMMYFUNCTION("""COMPUTED_VALUE"""),"20230405SCHOG")</f>
        <v>20230405SCHOG</v>
      </c>
      <c r="B334" s="1"/>
      <c r="C334" s="1"/>
      <c r="D334" s="1"/>
    </row>
    <row r="335" spans="1:4" ht="12.5">
      <c r="A335" s="1" t="str">
        <f ca="1">IFERROR(__xludf.DUMMYFUNCTION("""COMPUTED_VALUE"""),"20230404TXCHH")</f>
        <v>20230404TXCHH</v>
      </c>
      <c r="B335" s="1" t="str">
        <f ca="1">IFERROR(__xludf.DUMMYFUNCTION("""COMPUTED_VALUE"""),"Handgun")</f>
        <v>Handgun</v>
      </c>
      <c r="C335" s="1"/>
      <c r="D335" s="1" t="str">
        <f ca="1">IFERROR(__xludf.DUMMYFUNCTION("""COMPUTED_VALUE"""),"3D printed, ghost gun")</f>
        <v>3D printed, ghost gun</v>
      </c>
    </row>
    <row r="336" spans="1:4" ht="12.5">
      <c r="A336" s="1" t="str">
        <f ca="1">IFERROR(__xludf.DUMMYFUNCTION("""COMPUTED_VALUE"""),"20230404OHWOC")</f>
        <v>20230404OHWOC</v>
      </c>
      <c r="B336" s="1"/>
      <c r="C336" s="1"/>
      <c r="D336" s="1"/>
    </row>
    <row r="337" spans="1:4" ht="12.5">
      <c r="A337" s="1" t="str">
        <f ca="1">IFERROR(__xludf.DUMMYFUNCTION("""COMPUTED_VALUE"""),"20230403PAFAP")</f>
        <v>20230403PAFAP</v>
      </c>
      <c r="B337" s="1" t="str">
        <f ca="1">IFERROR(__xludf.DUMMYFUNCTION("""COMPUTED_VALUE"""),"Handgun")</f>
        <v>Handgun</v>
      </c>
      <c r="C337" s="1"/>
      <c r="D337" s="1"/>
    </row>
    <row r="338" spans="1:4" ht="12.5">
      <c r="A338" s="1" t="str">
        <f ca="1">IFERROR(__xludf.DUMMYFUNCTION("""COMPUTED_VALUE"""),"20230331MSGNJ")</f>
        <v>20230331MSGNJ</v>
      </c>
      <c r="B338" s="1"/>
      <c r="C338" s="1"/>
      <c r="D338" s="1"/>
    </row>
    <row r="339" spans="1:4" ht="12.5">
      <c r="A339" s="1" t="str">
        <f ca="1">IFERROR(__xludf.DUMMYFUNCTION("""COMPUTED_VALUE"""),"20230331CAWOC")</f>
        <v>20230331CAWOC</v>
      </c>
      <c r="B339" s="1"/>
      <c r="C339" s="1"/>
      <c r="D339" s="1"/>
    </row>
    <row r="340" spans="1:4" ht="12.5">
      <c r="A340" s="1" t="str">
        <f ca="1">IFERROR(__xludf.DUMMYFUNCTION("""COMPUTED_VALUE"""),"20230331DCCAD")</f>
        <v>20230331DCCAD</v>
      </c>
      <c r="B340" s="1" t="str">
        <f ca="1">IFERROR(__xludf.DUMMYFUNCTION("""COMPUTED_VALUE"""),"Handgun")</f>
        <v>Handgun</v>
      </c>
      <c r="C340" s="1"/>
      <c r="D340" s="1"/>
    </row>
    <row r="341" spans="1:4" ht="12.5">
      <c r="A341" s="1" t="str">
        <f ca="1">IFERROR(__xludf.DUMMYFUNCTION("""COMPUTED_VALUE"""),"20230331CAJAR")</f>
        <v>20230331CAJAR</v>
      </c>
      <c r="B341" s="1"/>
      <c r="C341" s="1"/>
      <c r="D341" s="1"/>
    </row>
    <row r="342" spans="1:4" ht="12.5">
      <c r="A342" s="1" t="str">
        <f ca="1">IFERROR(__xludf.DUMMYFUNCTION("""COMPUTED_VALUE"""),"20230330NCFOW")</f>
        <v>20230330NCFOW</v>
      </c>
      <c r="B342" s="1" t="str">
        <f ca="1">IFERROR(__xludf.DUMMYFUNCTION("""COMPUTED_VALUE"""),"Handgun")</f>
        <v>Handgun</v>
      </c>
      <c r="C342" s="1"/>
      <c r="D342" s="1" t="str">
        <f ca="1">IFERROR(__xludf.DUMMYFUNCTION("""COMPUTED_VALUE"""),"Ghost gun")</f>
        <v>Ghost gun</v>
      </c>
    </row>
    <row r="343" spans="1:4" ht="12.5">
      <c r="A343" s="1" t="str">
        <f ca="1">IFERROR(__xludf.DUMMYFUNCTION("""COMPUTED_VALUE"""),"20230329MDBRO")</f>
        <v>20230329MDBRO</v>
      </c>
      <c r="B343" s="1" t="str">
        <f ca="1">IFERROR(__xludf.DUMMYFUNCTION("""COMPUTED_VALUE"""),"Handgun")</f>
        <v>Handgun</v>
      </c>
      <c r="C343" s="1"/>
      <c r="D343" s="1"/>
    </row>
    <row r="344" spans="1:4" ht="12.5">
      <c r="A344" s="1" t="str">
        <f ca="1">IFERROR(__xludf.DUMMYFUNCTION("""COMPUTED_VALUE"""),"20230329GANED")</f>
        <v>20230329GANED</v>
      </c>
      <c r="B344" s="1" t="str">
        <f ca="1">IFERROR(__xludf.DUMMYFUNCTION("""COMPUTED_VALUE"""),"Handgun")</f>
        <v>Handgun</v>
      </c>
      <c r="C344" s="1"/>
      <c r="D344" s="1"/>
    </row>
    <row r="345" spans="1:4" ht="12.5">
      <c r="A345" s="1" t="str">
        <f ca="1">IFERROR(__xludf.DUMMYFUNCTION("""COMPUTED_VALUE"""),"20230331NCLIR")</f>
        <v>20230331NCLIR</v>
      </c>
      <c r="B345" s="1"/>
      <c r="C345" s="1"/>
      <c r="D345" s="1"/>
    </row>
    <row r="346" spans="1:4" ht="12.5">
      <c r="A346" s="1" t="str">
        <f ca="1">IFERROR(__xludf.DUMMYFUNCTION("""COMPUTED_VALUE"""),"20230327TNCON")</f>
        <v>20230327TNCON</v>
      </c>
      <c r="B346" s="1" t="str">
        <f ca="1">IFERROR(__xludf.DUMMYFUNCTION("""COMPUTED_VALUE"""),"Handgun")</f>
        <v>Handgun</v>
      </c>
      <c r="C346" s="1"/>
      <c r="D346" s="1" t="str">
        <f ca="1">IFERROR(__xludf.DUMMYFUNCTION("""COMPUTED_VALUE"""),"Handgun")</f>
        <v>Handgun</v>
      </c>
    </row>
    <row r="347" spans="1:4" ht="12.5">
      <c r="A347" s="1" t="str">
        <f ca="1">IFERROR(__xludf.DUMMYFUNCTION("""COMPUTED_VALUE"""),"20230327TNCON")</f>
        <v>20230327TNCON</v>
      </c>
      <c r="B347" s="1" t="str">
        <f ca="1">IFERROR(__xludf.DUMMYFUNCTION("""COMPUTED_VALUE"""),"Rifle")</f>
        <v>Rifle</v>
      </c>
      <c r="C347" s="1"/>
      <c r="D347" s="1" t="str">
        <f ca="1">IFERROR(__xludf.DUMMYFUNCTION("""COMPUTED_VALUE"""),"AR-15 style")</f>
        <v>AR-15 style</v>
      </c>
    </row>
    <row r="348" spans="1:4" ht="12.5">
      <c r="A348" s="1" t="str">
        <f ca="1">IFERROR(__xludf.DUMMYFUNCTION("""COMPUTED_VALUE"""),"20230327TNCON")</f>
        <v>20230327TNCON</v>
      </c>
      <c r="B348" s="1" t="str">
        <f ca="1">IFERROR(__xludf.DUMMYFUNCTION("""COMPUTED_VALUE"""),"Handgun")</f>
        <v>Handgun</v>
      </c>
      <c r="C348" s="1"/>
      <c r="D348" s="1" t="str">
        <f ca="1">IFERROR(__xludf.DUMMYFUNCTION("""COMPUTED_VALUE"""),"Submachine pistol")</f>
        <v>Submachine pistol</v>
      </c>
    </row>
    <row r="349" spans="1:4" ht="12.5">
      <c r="A349" s="1" t="str">
        <f ca="1">IFERROR(__xludf.DUMMYFUNCTION("""COMPUTED_VALUE"""),"20230324INNOM")</f>
        <v>20230324INNOM</v>
      </c>
      <c r="B349" s="1" t="str">
        <f ca="1">IFERROR(__xludf.DUMMYFUNCTION("""COMPUTED_VALUE"""),"Handgun")</f>
        <v>Handgun</v>
      </c>
      <c r="C349" s="1"/>
      <c r="D349" s="1"/>
    </row>
    <row r="350" spans="1:4" ht="12.5">
      <c r="A350" s="1" t="str">
        <f ca="1">IFERROR(__xludf.DUMMYFUNCTION("""COMPUTED_VALUE"""),"20230323TNHAM")</f>
        <v>20230323TNHAM</v>
      </c>
      <c r="B350" s="1" t="str">
        <f ca="1">IFERROR(__xludf.DUMMYFUNCTION("""COMPUTED_VALUE"""),"Handgun")</f>
        <v>Handgun</v>
      </c>
      <c r="C350" s="1"/>
      <c r="D350" s="1"/>
    </row>
    <row r="351" spans="1:4" ht="12.5">
      <c r="A351" s="1" t="str">
        <f ca="1">IFERROR(__xludf.DUMMYFUNCTION("""COMPUTED_VALUE"""),"20230322ALANA")</f>
        <v>20230322ALANA</v>
      </c>
      <c r="B351" s="1" t="str">
        <f ca="1">IFERROR(__xludf.DUMMYFUNCTION("""COMPUTED_VALUE"""),"Handgun")</f>
        <v>Handgun</v>
      </c>
      <c r="C351" s="1"/>
      <c r="D351" s="1"/>
    </row>
    <row r="352" spans="1:4" ht="12.5">
      <c r="A352" s="1" t="str">
        <f ca="1">IFERROR(__xludf.DUMMYFUNCTION("""COMPUTED_VALUE"""),"20230324NJTHM")</f>
        <v>20230324NJTHM</v>
      </c>
      <c r="B352" s="1" t="str">
        <f ca="1">IFERROR(__xludf.DUMMYFUNCTION("""COMPUTED_VALUE"""),"Handgun")</f>
        <v>Handgun</v>
      </c>
      <c r="C352" s="1"/>
      <c r="D352" s="1"/>
    </row>
    <row r="353" spans="1:4" ht="12.5">
      <c r="A353" s="1" t="str">
        <f ca="1">IFERROR(__xludf.DUMMYFUNCTION("""COMPUTED_VALUE"""),"20230322PAHAP")</f>
        <v>20230322PAHAP</v>
      </c>
      <c r="B353" s="1" t="str">
        <f ca="1">IFERROR(__xludf.DUMMYFUNCTION("""COMPUTED_VALUE"""),"Handgun")</f>
        <v>Handgun</v>
      </c>
      <c r="C353" s="1"/>
      <c r="D353" s="1"/>
    </row>
    <row r="354" spans="1:4" ht="12.5">
      <c r="A354" s="1" t="str">
        <f ca="1">IFERROR(__xludf.DUMMYFUNCTION("""COMPUTED_VALUE"""),"20230322COEAD")</f>
        <v>20230322COEAD</v>
      </c>
      <c r="B354" s="1" t="str">
        <f ca="1">IFERROR(__xludf.DUMMYFUNCTION("""COMPUTED_VALUE"""),"Handgun")</f>
        <v>Handgun</v>
      </c>
      <c r="C354" s="1"/>
      <c r="D354" s="1"/>
    </row>
    <row r="355" spans="1:4" ht="12.5">
      <c r="A355" s="1" t="str">
        <f ca="1">IFERROR(__xludf.DUMMYFUNCTION("""COMPUTED_VALUE"""),"20230321TXTHD")</f>
        <v>20230321TXTHD</v>
      </c>
      <c r="B355" s="1" t="str">
        <f ca="1">IFERROR(__xludf.DUMMYFUNCTION("""COMPUTED_VALUE"""),"Handgun")</f>
        <v>Handgun</v>
      </c>
      <c r="C355" s="1"/>
      <c r="D355" s="1"/>
    </row>
    <row r="356" spans="1:4" ht="12.5">
      <c r="A356" s="1" t="str">
        <f ca="1">IFERROR(__xludf.DUMMYFUNCTION("""COMPUTED_VALUE"""),"20230320TXLAA")</f>
        <v>20230320TXLAA</v>
      </c>
      <c r="B356" s="1" t="str">
        <f ca="1">IFERROR(__xludf.DUMMYFUNCTION("""COMPUTED_VALUE"""),"Shotgun")</f>
        <v>Shotgun</v>
      </c>
      <c r="C356" s="1"/>
      <c r="D356" s="1"/>
    </row>
    <row r="357" spans="1:4" ht="12.5">
      <c r="A357" s="1" t="str">
        <f ca="1">IFERROR(__xludf.DUMMYFUNCTION("""COMPUTED_VALUE"""),"20230319ORFOS")</f>
        <v>20230319ORFOS</v>
      </c>
      <c r="B357" s="1" t="str">
        <f ca="1">IFERROR(__xludf.DUMMYFUNCTION("""COMPUTED_VALUE"""),"Rifle")</f>
        <v>Rifle</v>
      </c>
      <c r="C357" s="1"/>
      <c r="D357" s="1"/>
    </row>
    <row r="358" spans="1:4" ht="12.5">
      <c r="A358" s="1" t="str">
        <f ca="1">IFERROR(__xludf.DUMMYFUNCTION("""COMPUTED_VALUE"""),"20230316NCLOD")</f>
        <v>20230316NCLOD</v>
      </c>
      <c r="B358" s="1" t="str">
        <f ca="1">IFERROR(__xludf.DUMMYFUNCTION("""COMPUTED_VALUE"""),"Handgun")</f>
        <v>Handgun</v>
      </c>
      <c r="C358" s="1"/>
      <c r="D358" s="1" t="str">
        <f ca="1">IFERROR(__xludf.DUMMYFUNCTION("""COMPUTED_VALUE"""),"Extended magazine")</f>
        <v>Extended magazine</v>
      </c>
    </row>
    <row r="359" spans="1:4" ht="12.5">
      <c r="A359" s="1" t="str">
        <f ca="1">IFERROR(__xludf.DUMMYFUNCTION("""COMPUTED_VALUE"""),"20230316DCCOW")</f>
        <v>20230316DCCOW</v>
      </c>
      <c r="B359" s="1" t="str">
        <f ca="1">IFERROR(__xludf.DUMMYFUNCTION("""COMPUTED_VALUE"""),"Handgun")</f>
        <v>Handgun</v>
      </c>
      <c r="C359" s="1"/>
      <c r="D359" s="1"/>
    </row>
    <row r="360" spans="1:4" ht="12.5">
      <c r="A360" s="1" t="str">
        <f ca="1">IFERROR(__xludf.DUMMYFUNCTION("""COMPUTED_VALUE"""),"20230316NYPSB")</f>
        <v>20230316NYPSB</v>
      </c>
      <c r="B360" s="1" t="str">
        <f ca="1">IFERROR(__xludf.DUMMYFUNCTION("""COMPUTED_VALUE"""),"Handgun")</f>
        <v>Handgun</v>
      </c>
      <c r="C360" s="1"/>
      <c r="D360" s="1"/>
    </row>
    <row r="361" spans="1:4" ht="12.5">
      <c r="A361" s="1" t="str">
        <f ca="1">IFERROR(__xludf.DUMMYFUNCTION("""COMPUTED_VALUE"""),"20230315COINB")</f>
        <v>20230315COINB</v>
      </c>
      <c r="B361" s="1" t="str">
        <f ca="1">IFERROR(__xludf.DUMMYFUNCTION("""COMPUTED_VALUE"""),"Handgun")</f>
        <v>Handgun</v>
      </c>
      <c r="C361" s="1"/>
      <c r="D361" s="1"/>
    </row>
    <row r="362" spans="1:4" ht="12.5">
      <c r="A362" s="1" t="str">
        <f ca="1">IFERROR(__xludf.DUMMYFUNCTION("""COMPUTED_VALUE"""),"20230315CALIG")</f>
        <v>20230315CALIG</v>
      </c>
      <c r="B362" s="1" t="str">
        <f ca="1">IFERROR(__xludf.DUMMYFUNCTION("""COMPUTED_VALUE"""),"Handgun")</f>
        <v>Handgun</v>
      </c>
      <c r="C362" s="1"/>
      <c r="D362" s="1"/>
    </row>
    <row r="363" spans="1:4" ht="12.5">
      <c r="A363" s="1" t="str">
        <f ca="1">IFERROR(__xludf.DUMMYFUNCTION("""COMPUTED_VALUE"""),"20230315MICEW")</f>
        <v>20230315MICEW</v>
      </c>
      <c r="B363" s="1"/>
      <c r="C363" s="1"/>
      <c r="D363" s="1"/>
    </row>
    <row r="364" spans="1:4" ht="12.5">
      <c r="A364" s="1" t="str">
        <f ca="1">IFERROR(__xludf.DUMMYFUNCTION("""COMPUTED_VALUE"""),"20231107CABUB")</f>
        <v>20231107CABUB</v>
      </c>
      <c r="B364" s="1" t="str">
        <f ca="1">IFERROR(__xludf.DUMMYFUNCTION("""COMPUTED_VALUE"""),"Other")</f>
        <v>Other</v>
      </c>
      <c r="C364" s="1" t="str">
        <f ca="1">IFERROR(__xludf.DUMMYFUNCTION("""COMPUTED_VALUE"""),"Pellet")</f>
        <v>Pellet</v>
      </c>
      <c r="D364" s="1" t="str">
        <f ca="1">IFERROR(__xludf.DUMMYFUNCTION("""COMPUTED_VALUE"""),"Gel pellet")</f>
        <v>Gel pellet</v>
      </c>
    </row>
    <row r="365" spans="1:4" ht="12.5">
      <c r="A365" s="1" t="str">
        <f ca="1">IFERROR(__xludf.DUMMYFUNCTION("""COMPUTED_VALUE"""),"20230313NYPSN")</f>
        <v>20230313NYPSN</v>
      </c>
      <c r="B365" s="1" t="str">
        <f ca="1">IFERROR(__xludf.DUMMYFUNCTION("""COMPUTED_VALUE"""),"Handgun")</f>
        <v>Handgun</v>
      </c>
      <c r="C365" s="1"/>
      <c r="D365" s="1"/>
    </row>
    <row r="366" spans="1:4" ht="12.5">
      <c r="A366" s="1" t="str">
        <f ca="1">IFERROR(__xludf.DUMMYFUNCTION("""COMPUTED_VALUE"""),"20230314NYHAN")</f>
        <v>20230314NYHAN</v>
      </c>
      <c r="B366" s="1" t="str">
        <f ca="1">IFERROR(__xludf.DUMMYFUNCTION("""COMPUTED_VALUE"""),"Handgun")</f>
        <v>Handgun</v>
      </c>
      <c r="C366" s="1"/>
      <c r="D366" s="1"/>
    </row>
    <row r="367" spans="1:4" ht="12.5">
      <c r="A367" s="1" t="str">
        <f ca="1">IFERROR(__xludf.DUMMYFUNCTION("""COMPUTED_VALUE"""),"20230314NYMAM")</f>
        <v>20230314NYMAM</v>
      </c>
      <c r="B367" s="1" t="str">
        <f ca="1">IFERROR(__xludf.DUMMYFUNCTION("""COMPUTED_VALUE"""),"Handgun")</f>
        <v>Handgun</v>
      </c>
      <c r="C367" s="1"/>
      <c r="D367" s="1"/>
    </row>
    <row r="368" spans="1:4" ht="12.5">
      <c r="A368" s="1" t="str">
        <f ca="1">IFERROR(__xludf.DUMMYFUNCTION("""COMPUTED_VALUE"""),"20230309WIBAM")</f>
        <v>20230309WIBAM</v>
      </c>
      <c r="B368" s="1" t="str">
        <f ca="1">IFERROR(__xludf.DUMMYFUNCTION("""COMPUTED_VALUE"""),"Handgun")</f>
        <v>Handgun</v>
      </c>
      <c r="C368" s="1"/>
      <c r="D368" s="1"/>
    </row>
    <row r="369" spans="1:4" ht="12.5">
      <c r="A369" s="1" t="str">
        <f ca="1">IFERROR(__xludf.DUMMYFUNCTION("""COMPUTED_VALUE"""),"20230309OHMAM")</f>
        <v>20230309OHMAM</v>
      </c>
      <c r="B369" s="1" t="str">
        <f ca="1">IFERROR(__xludf.DUMMYFUNCTION("""COMPUTED_VALUE"""),"Handgun")</f>
        <v>Handgun</v>
      </c>
      <c r="C369" s="1"/>
      <c r="D369" s="1"/>
    </row>
    <row r="370" spans="1:4" ht="12.5">
      <c r="A370" s="1" t="str">
        <f ca="1">IFERROR(__xludf.DUMMYFUNCTION("""COMPUTED_VALUE"""),"20230308WVHIH")</f>
        <v>20230308WVHIH</v>
      </c>
      <c r="B370" s="1"/>
      <c r="C370" s="1"/>
      <c r="D370" s="1"/>
    </row>
    <row r="371" spans="1:4" ht="12.5">
      <c r="A371" s="1" t="str">
        <f ca="1">IFERROR(__xludf.DUMMYFUNCTION("""COMPUTED_VALUE"""),"20230308PAHEP")</f>
        <v>20230308PAHEP</v>
      </c>
      <c r="B371" s="1" t="str">
        <f ca="1">IFERROR(__xludf.DUMMYFUNCTION("""COMPUTED_VALUE"""),"Handgun")</f>
        <v>Handgun</v>
      </c>
      <c r="C371" s="1"/>
      <c r="D371" s="1"/>
    </row>
    <row r="372" spans="1:4" ht="12.5">
      <c r="A372" s="1" t="str">
        <f ca="1">IFERROR(__xludf.DUMMYFUNCTION("""COMPUTED_VALUE"""),"20230307INTHI")</f>
        <v>20230307INTHI</v>
      </c>
      <c r="B372" s="1" t="str">
        <f ca="1">IFERROR(__xludf.DUMMYFUNCTION("""COMPUTED_VALUE"""),"Handgun")</f>
        <v>Handgun</v>
      </c>
      <c r="C372" s="1"/>
      <c r="D372" s="1"/>
    </row>
    <row r="373" spans="1:4" ht="12.5">
      <c r="A373" s="1" t="str">
        <f ca="1">IFERROR(__xludf.DUMMYFUNCTION("""COMPUTED_VALUE"""),"20230306NYPAN")</f>
        <v>20230306NYPAN</v>
      </c>
      <c r="B373" s="1" t="str">
        <f ca="1">IFERROR(__xludf.DUMMYFUNCTION("""COMPUTED_VALUE"""),"Handgun")</f>
        <v>Handgun</v>
      </c>
      <c r="C373" s="1"/>
      <c r="D373" s="1"/>
    </row>
    <row r="374" spans="1:4" ht="12.5">
      <c r="A374" s="1" t="str">
        <f ca="1">IFERROR(__xludf.DUMMYFUNCTION("""COMPUTED_VALUE"""),"20230306TXPAA")</f>
        <v>20230306TXPAA</v>
      </c>
      <c r="B374" s="1"/>
      <c r="C374" s="1"/>
      <c r="D374" s="1"/>
    </row>
    <row r="375" spans="1:4" ht="12.5">
      <c r="A375" s="1" t="str">
        <f ca="1">IFERROR(__xludf.DUMMYFUNCTION("""COMPUTED_VALUE"""),"20230306MDLEB")</f>
        <v>20230306MDLEB</v>
      </c>
      <c r="B375" s="1" t="str">
        <f ca="1">IFERROR(__xludf.DUMMYFUNCTION("""COMPUTED_VALUE"""),"Handgun")</f>
        <v>Handgun</v>
      </c>
      <c r="C375" s="1"/>
      <c r="D375" s="1"/>
    </row>
    <row r="376" spans="1:4" ht="12.5">
      <c r="A376" s="1" t="str">
        <f ca="1">IFERROR(__xludf.DUMMYFUNCTION("""COMPUTED_VALUE"""),"20230306MISTR")</f>
        <v>20230306MISTR</v>
      </c>
      <c r="B376" s="1" t="str">
        <f ca="1">IFERROR(__xludf.DUMMYFUNCTION("""COMPUTED_VALUE"""),"Handgun")</f>
        <v>Handgun</v>
      </c>
      <c r="C376" s="1"/>
      <c r="D376" s="1"/>
    </row>
    <row r="377" spans="1:4" ht="12.5">
      <c r="A377" s="1" t="str">
        <f ca="1">IFERROR(__xludf.DUMMYFUNCTION("""COMPUTED_VALUE"""),"20230306MDPAB")</f>
        <v>20230306MDPAB</v>
      </c>
      <c r="B377" s="1" t="str">
        <f ca="1">IFERROR(__xludf.DUMMYFUNCTION("""COMPUTED_VALUE"""),"Handgun")</f>
        <v>Handgun</v>
      </c>
      <c r="C377" s="1"/>
      <c r="D377" s="1"/>
    </row>
    <row r="378" spans="1:4" ht="12.5">
      <c r="A378" s="1" t="str">
        <f ca="1">IFERROR(__xludf.DUMMYFUNCTION("""COMPUTED_VALUE"""),"20230303MTGAL")</f>
        <v>20230303MTGAL</v>
      </c>
      <c r="B378" s="1" t="str">
        <f ca="1">IFERROR(__xludf.DUMMYFUNCTION("""COMPUTED_VALUE"""),"Other")</f>
        <v>Other</v>
      </c>
      <c r="C378" s="1" t="str">
        <f ca="1">IFERROR(__xludf.DUMMYFUNCTION("""COMPUTED_VALUE"""),"BB")</f>
        <v>BB</v>
      </c>
      <c r="D378" s="1"/>
    </row>
    <row r="379" spans="1:4" ht="12.5">
      <c r="A379" s="1" t="str">
        <f ca="1">IFERROR(__xludf.DUMMYFUNCTION("""COMPUTED_VALUE"""),"20230301ILMAM")</f>
        <v>20230301ILMAM</v>
      </c>
      <c r="B379" s="1" t="str">
        <f ca="1">IFERROR(__xludf.DUMMYFUNCTION("""COMPUTED_VALUE"""),"Other")</f>
        <v>Other</v>
      </c>
      <c r="C379" s="1" t="str">
        <f ca="1">IFERROR(__xludf.DUMMYFUNCTION("""COMPUTED_VALUE"""),"Pellet")</f>
        <v>Pellet</v>
      </c>
      <c r="D379" s="1"/>
    </row>
    <row r="380" spans="1:4" ht="12.5">
      <c r="A380" s="1" t="str">
        <f ca="1">IFERROR(__xludf.DUMMYFUNCTION("""COMPUTED_VALUE"""),"20230301GASAS")</f>
        <v>20230301GASAS</v>
      </c>
      <c r="B380" s="1" t="str">
        <f ca="1">IFERROR(__xludf.DUMMYFUNCTION("""COMPUTED_VALUE"""),"Handgun")</f>
        <v>Handgun</v>
      </c>
      <c r="C380" s="1"/>
      <c r="D380" s="1"/>
    </row>
    <row r="381" spans="1:4" ht="12.5">
      <c r="A381" s="1" t="str">
        <f ca="1">IFERROR(__xludf.DUMMYFUNCTION("""COMPUTED_VALUE"""),"20230301ILSAC")</f>
        <v>20230301ILSAC</v>
      </c>
      <c r="B381" s="1" t="str">
        <f ca="1">IFERROR(__xludf.DUMMYFUNCTION("""COMPUTED_VALUE"""),"Handgun")</f>
        <v>Handgun</v>
      </c>
      <c r="C381" s="1"/>
      <c r="D381" s="1"/>
    </row>
    <row r="382" spans="1:4" ht="12.5">
      <c r="A382" s="1" t="str">
        <f ca="1">IFERROR(__xludf.DUMMYFUNCTION("""COMPUTED_VALUE"""),"20230301CONOP")</f>
        <v>20230301CONOP</v>
      </c>
      <c r="B382" s="1"/>
      <c r="C382" s="1"/>
      <c r="D382" s="1"/>
    </row>
    <row r="383" spans="1:4" ht="12.5">
      <c r="A383" s="1" t="str">
        <f ca="1">IFERROR(__xludf.DUMMYFUNCTION("""COMPUTED_VALUE"""),"20230227CAGAC")</f>
        <v>20230227CAGAC</v>
      </c>
      <c r="B383" s="1"/>
      <c r="C383" s="1"/>
      <c r="D383" s="1"/>
    </row>
    <row r="384" spans="1:4" ht="12.5">
      <c r="A384" s="1" t="str">
        <f ca="1">IFERROR(__xludf.DUMMYFUNCTION("""COMPUTED_VALUE"""),"20230223OHWOC")</f>
        <v>20230223OHWOC</v>
      </c>
      <c r="B384" s="1" t="str">
        <f ca="1">IFERROR(__xludf.DUMMYFUNCTION("""COMPUTED_VALUE"""),"Handgun")</f>
        <v>Handgun</v>
      </c>
      <c r="C384" s="1"/>
      <c r="D384" s="1"/>
    </row>
    <row r="385" spans="1:4" ht="12.5">
      <c r="A385" s="1" t="str">
        <f ca="1">IFERROR(__xludf.DUMMYFUNCTION("""COMPUTED_VALUE"""),"20230222COESE")</f>
        <v>20230222COESE</v>
      </c>
      <c r="B385" s="1"/>
      <c r="C385" s="1" t="str">
        <f ca="1">IFERROR(__xludf.DUMMYFUNCTION("""COMPUTED_VALUE"""),"Service Weapon")</f>
        <v>Service Weapon</v>
      </c>
      <c r="D385" s="1"/>
    </row>
    <row r="386" spans="1:4" ht="12.5">
      <c r="A386" s="1" t="str">
        <f ca="1">IFERROR(__xludf.DUMMYFUNCTION("""COMPUTED_VALUE"""),"20230221LARUR")</f>
        <v>20230221LARUR</v>
      </c>
      <c r="B386" s="1"/>
      <c r="C386" s="1"/>
      <c r="D386" s="1"/>
    </row>
    <row r="387" spans="1:4" ht="12.5">
      <c r="A387" s="1" t="str">
        <f ca="1">IFERROR(__xludf.DUMMYFUNCTION("""COMPUTED_VALUE"""),"20230217NCERE")</f>
        <v>20230217NCERE</v>
      </c>
      <c r="B387" s="1" t="str">
        <f ca="1">IFERROR(__xludf.DUMMYFUNCTION("""COMPUTED_VALUE"""),"Handgun")</f>
        <v>Handgun</v>
      </c>
      <c r="C387" s="1"/>
      <c r="D387" s="1"/>
    </row>
    <row r="388" spans="1:4" ht="12.5">
      <c r="A388" s="1" t="str">
        <f ca="1">IFERROR(__xludf.DUMMYFUNCTION("""COMPUTED_VALUE"""),"20230217ILCAC")</f>
        <v>20230217ILCAC</v>
      </c>
      <c r="B388" s="1"/>
      <c r="C388" s="1"/>
      <c r="D388" s="1"/>
    </row>
    <row r="389" spans="1:4" ht="12.5">
      <c r="A389" s="1" t="str">
        <f ca="1">IFERROR(__xludf.DUMMYFUNCTION("""COMPUTED_VALUE"""),"20230216TXGAG")</f>
        <v>20230216TXGAG</v>
      </c>
      <c r="B389" s="1" t="str">
        <f ca="1">IFERROR(__xludf.DUMMYFUNCTION("""COMPUTED_VALUE"""),"Handgun")</f>
        <v>Handgun</v>
      </c>
      <c r="C389" s="1"/>
      <c r="D389" s="1"/>
    </row>
    <row r="390" spans="1:4" ht="12.5">
      <c r="A390" s="1" t="str">
        <f ca="1">IFERROR(__xludf.DUMMYFUNCTION("""COMPUTED_VALUE"""),"20230215TXDAH")</f>
        <v>20230215TXDAH</v>
      </c>
      <c r="B390" s="1" t="str">
        <f ca="1">IFERROR(__xludf.DUMMYFUNCTION("""COMPUTED_VALUE"""),"Handgun")</f>
        <v>Handgun</v>
      </c>
      <c r="C390" s="1"/>
      <c r="D390" s="1"/>
    </row>
    <row r="391" spans="1:4" ht="12.5">
      <c r="A391" s="1" t="str">
        <f ca="1">IFERROR(__xludf.DUMMYFUNCTION("""COMPUTED_VALUE"""),"20230215OHCOC")</f>
        <v>20230215OHCOC</v>
      </c>
      <c r="B391" s="1" t="str">
        <f ca="1">IFERROR(__xludf.DUMMYFUNCTION("""COMPUTED_VALUE"""),"Handgun")</f>
        <v>Handgun</v>
      </c>
      <c r="C391" s="1"/>
      <c r="D391" s="1"/>
    </row>
    <row r="392" spans="1:4" ht="12.5">
      <c r="A392" s="1" t="str">
        <f ca="1">IFERROR(__xludf.DUMMYFUNCTION("""COMPUTED_VALUE"""),"20230215MDWAB")</f>
        <v>20230215MDWAB</v>
      </c>
      <c r="B392" s="1"/>
      <c r="C392" s="1"/>
      <c r="D392" s="1"/>
    </row>
    <row r="393" spans="1:4" ht="12.5">
      <c r="A393" s="1" t="str">
        <f ca="1">IFERROR(__xludf.DUMMYFUNCTION("""COMPUTED_VALUE"""),"20230213COEMD")</f>
        <v>20230213COEMD</v>
      </c>
      <c r="B393" s="1" t="str">
        <f ca="1">IFERROR(__xludf.DUMMYFUNCTION("""COMPUTED_VALUE"""),"Handgun")</f>
        <v>Handgun</v>
      </c>
      <c r="C393" s="1"/>
      <c r="D393" s="1"/>
    </row>
    <row r="394" spans="1:4" ht="12.5">
      <c r="A394" s="1" t="str">
        <f ca="1">IFERROR(__xludf.DUMMYFUNCTION("""COMPUTED_VALUE"""),"20230214GAMID")</f>
        <v>20230214GAMID</v>
      </c>
      <c r="B394" s="1" t="str">
        <f ca="1">IFERROR(__xludf.DUMMYFUNCTION("""COMPUTED_VALUE"""),"Handgun")</f>
        <v>Handgun</v>
      </c>
      <c r="C394" s="1"/>
      <c r="D394" s="1"/>
    </row>
    <row r="395" spans="1:4" ht="12.5">
      <c r="A395" s="1" t="str">
        <f ca="1">IFERROR(__xludf.DUMMYFUNCTION("""COMPUTED_VALUE"""),"20230214PAWEP")</f>
        <v>20230214PAWEP</v>
      </c>
      <c r="B395" s="1" t="str">
        <f ca="1">IFERROR(__xludf.DUMMYFUNCTION("""COMPUTED_VALUE"""),"Handgun")</f>
        <v>Handgun</v>
      </c>
      <c r="C395" s="1"/>
      <c r="D395" s="1"/>
    </row>
    <row r="396" spans="1:4" ht="12.5">
      <c r="A396" s="1" t="str">
        <f ca="1">IFERROR(__xludf.DUMMYFUNCTION("""COMPUTED_VALUE"""),"20230213NYPSS")</f>
        <v>20230213NYPSS</v>
      </c>
      <c r="B396" s="1"/>
      <c r="C396" s="1"/>
      <c r="D396" s="1"/>
    </row>
    <row r="397" spans="1:4" ht="12.5">
      <c r="A397" s="1" t="str">
        <f ca="1">IFERROR(__xludf.DUMMYFUNCTION("""COMPUTED_VALUE"""),"20230213COEAD")</f>
        <v>20230213COEAD</v>
      </c>
      <c r="B397" s="1"/>
      <c r="C397" s="1"/>
      <c r="D397" s="1"/>
    </row>
    <row r="398" spans="1:4" ht="12.5">
      <c r="A398" s="1" t="str">
        <f ca="1">IFERROR(__xludf.DUMMYFUNCTION("""COMPUTED_VALUE"""),"20230213TXDAD")</f>
        <v>20230213TXDAD</v>
      </c>
      <c r="B398" s="1"/>
      <c r="C398" s="1"/>
      <c r="D398" s="1"/>
    </row>
    <row r="399" spans="1:4" ht="12.5">
      <c r="A399" s="1" t="str">
        <f ca="1">IFERROR(__xludf.DUMMYFUNCTION("""COMPUTED_VALUE"""),"20230210CAHEF")</f>
        <v>20230210CAHEF</v>
      </c>
      <c r="B399" s="1" t="str">
        <f ca="1">IFERROR(__xludf.DUMMYFUNCTION("""COMPUTED_VALUE"""),"Other")</f>
        <v>Other</v>
      </c>
      <c r="C399" s="1" t="str">
        <f ca="1">IFERROR(__xludf.DUMMYFUNCTION("""COMPUTED_VALUE"""),"Airsoft")</f>
        <v>Airsoft</v>
      </c>
      <c r="D399" s="1"/>
    </row>
    <row r="400" spans="1:4" ht="12.5">
      <c r="A400" s="1" t="str">
        <f ca="1">IFERROR(__xludf.DUMMYFUNCTION("""COMPUTED_VALUE"""),"20230208NYWIB")</f>
        <v>20230208NYWIB</v>
      </c>
      <c r="B400" s="1" t="str">
        <f ca="1">IFERROR(__xludf.DUMMYFUNCTION("""COMPUTED_VALUE"""),"Handgun")</f>
        <v>Handgun</v>
      </c>
      <c r="C400" s="1"/>
      <c r="D400" s="1"/>
    </row>
    <row r="401" spans="1:4" ht="12.5">
      <c r="A401" s="1" t="str">
        <f ca="1">IFERROR(__xludf.DUMMYFUNCTION("""COMPUTED_VALUE"""),"20230206ARKIF")</f>
        <v>20230206ARKIF</v>
      </c>
      <c r="B401" s="1" t="str">
        <f ca="1">IFERROR(__xludf.DUMMYFUNCTION("""COMPUTED_VALUE"""),"Handgun")</f>
        <v>Handgun</v>
      </c>
      <c r="C401" s="1"/>
      <c r="D401" s="1"/>
    </row>
    <row r="402" spans="1:4" ht="12.5">
      <c r="A402" s="1" t="str">
        <f ca="1">IFERROR(__xludf.DUMMYFUNCTION("""COMPUTED_VALUE"""),"20230206DEAPM")</f>
        <v>20230206DEAPM</v>
      </c>
      <c r="B402" s="1" t="str">
        <f ca="1">IFERROR(__xludf.DUMMYFUNCTION("""COMPUTED_VALUE"""),"Handgun")</f>
        <v>Handgun</v>
      </c>
      <c r="C402" s="1"/>
      <c r="D402" s="1"/>
    </row>
    <row r="403" spans="1:4" ht="12.5">
      <c r="A403" s="1" t="str">
        <f ca="1">IFERROR(__xludf.DUMMYFUNCTION("""COMPUTED_VALUE"""),"20230206FLMIM")</f>
        <v>20230206FLMIM</v>
      </c>
      <c r="B403" s="1" t="str">
        <f ca="1">IFERROR(__xludf.DUMMYFUNCTION("""COMPUTED_VALUE"""),"Handgun")</f>
        <v>Handgun</v>
      </c>
      <c r="C403" s="1"/>
      <c r="D403" s="1"/>
    </row>
    <row r="404" spans="1:4" ht="12.5">
      <c r="A404" s="1" t="str">
        <f ca="1">IFERROR(__xludf.DUMMYFUNCTION("""COMPUTED_VALUE"""),"20230202UTPAS")</f>
        <v>20230202UTPAS</v>
      </c>
      <c r="B404" s="1" t="str">
        <f ca="1">IFERROR(__xludf.DUMMYFUNCTION("""COMPUTED_VALUE"""),"Handgun")</f>
        <v>Handgun</v>
      </c>
      <c r="C404" s="1"/>
      <c r="D404" s="1"/>
    </row>
    <row r="405" spans="1:4" ht="12.5">
      <c r="A405" s="1" t="str">
        <f ca="1">IFERROR(__xludf.DUMMYFUNCTION("""COMPUTED_VALUE"""),"20230202OHRIP")</f>
        <v>20230202OHRIP</v>
      </c>
      <c r="B405" s="1" t="str">
        <f ca="1">IFERROR(__xludf.DUMMYFUNCTION("""COMPUTED_VALUE"""),"Handgun")</f>
        <v>Handgun</v>
      </c>
      <c r="C405" s="1"/>
      <c r="D405" s="1"/>
    </row>
    <row r="406" spans="1:4" ht="12.5">
      <c r="A406" s="1" t="str">
        <f ca="1">IFERROR(__xludf.DUMMYFUNCTION("""COMPUTED_VALUE"""),"20230131ILZIZ")</f>
        <v>20230131ILZIZ</v>
      </c>
      <c r="B406" s="1" t="str">
        <f ca="1">IFERROR(__xludf.DUMMYFUNCTION("""COMPUTED_VALUE"""),"Handgun")</f>
        <v>Handgun</v>
      </c>
      <c r="C406" s="1"/>
      <c r="D406" s="1" t="str">
        <f ca="1">IFERROR(__xludf.DUMMYFUNCTION("""COMPUTED_VALUE"""),"Full automatic")</f>
        <v>Full automatic</v>
      </c>
    </row>
    <row r="407" spans="1:4" ht="12.5">
      <c r="A407" s="1" t="str">
        <f ca="1">IFERROR(__xludf.DUMMYFUNCTION("""COMPUTED_VALUE"""),"20230131OKGEG")</f>
        <v>20230131OKGEG</v>
      </c>
      <c r="B407" s="1" t="str">
        <f ca="1">IFERROR(__xludf.DUMMYFUNCTION("""COMPUTED_VALUE"""),"Rifle")</f>
        <v>Rifle</v>
      </c>
      <c r="C407" s="1"/>
      <c r="D407" s="1"/>
    </row>
    <row r="408" spans="1:4" ht="12.5">
      <c r="A408" s="1" t="str">
        <f ca="1">IFERROR(__xludf.DUMMYFUNCTION("""COMPUTED_VALUE"""),"20230130ALHOM")</f>
        <v>20230130ALHOM</v>
      </c>
      <c r="B408" s="1"/>
      <c r="C408" s="1"/>
      <c r="D408" s="1"/>
    </row>
    <row r="409" spans="1:4" ht="12.5">
      <c r="A409" s="1" t="str">
        <f ca="1">IFERROR(__xludf.DUMMYFUNCTION("""COMPUTED_VALUE"""),"20230130DCCOW")</f>
        <v>20230130DCCOW</v>
      </c>
      <c r="B409" s="1" t="str">
        <f ca="1">IFERROR(__xludf.DUMMYFUNCTION("""COMPUTED_VALUE"""),"Handgun")</f>
        <v>Handgun</v>
      </c>
      <c r="C409" s="1"/>
      <c r="D409" s="1"/>
    </row>
    <row r="410" spans="1:4" ht="12.5">
      <c r="A410" s="1" t="str">
        <f ca="1">IFERROR(__xludf.DUMMYFUNCTION("""COMPUTED_VALUE"""),"20230130AZGIY")</f>
        <v>20230130AZGIY</v>
      </c>
      <c r="B410" s="1" t="str">
        <f ca="1">IFERROR(__xludf.DUMMYFUNCTION("""COMPUTED_VALUE"""),"Handgun")</f>
        <v>Handgun</v>
      </c>
      <c r="C410" s="1"/>
      <c r="D410" s="1"/>
    </row>
    <row r="411" spans="1:4" ht="12.5">
      <c r="A411" s="1" t="str">
        <f ca="1">IFERROR(__xludf.DUMMYFUNCTION("""COMPUTED_VALUE"""),"20230128MOGLS")</f>
        <v>20230128MOGLS</v>
      </c>
      <c r="B411" s="1" t="str">
        <f ca="1">IFERROR(__xludf.DUMMYFUNCTION("""COMPUTED_VALUE"""),"Handgun")</f>
        <v>Handgun</v>
      </c>
      <c r="C411" s="1"/>
      <c r="D411" s="1"/>
    </row>
    <row r="412" spans="1:4" ht="12.5">
      <c r="A412" s="1" t="str">
        <f ca="1">IFERROR(__xludf.DUMMYFUNCTION("""COMPUTED_VALUE"""),"20230127NJHOW")</f>
        <v>20230127NJHOW</v>
      </c>
      <c r="B412" s="1" t="str">
        <f ca="1">IFERROR(__xludf.DUMMYFUNCTION("""COMPUTED_VALUE"""),"Other")</f>
        <v>Other</v>
      </c>
      <c r="C412" s="1"/>
      <c r="D412" s="1" t="str">
        <f ca="1">IFERROR(__xludf.DUMMYFUNCTION("""COMPUTED_VALUE"""),"Flare gun")</f>
        <v>Flare gun</v>
      </c>
    </row>
    <row r="413" spans="1:4" ht="12.5">
      <c r="A413" s="1" t="str">
        <f ca="1">IFERROR(__xludf.DUMMYFUNCTION("""COMPUTED_VALUE"""),"20230126UTTAT")</f>
        <v>20230126UTTAT</v>
      </c>
      <c r="B413" s="1" t="str">
        <f ca="1">IFERROR(__xludf.DUMMYFUNCTION("""COMPUTED_VALUE"""),"Handgun")</f>
        <v>Handgun</v>
      </c>
      <c r="C413" s="1"/>
      <c r="D413" s="1"/>
    </row>
    <row r="414" spans="1:4" ht="12.5">
      <c r="A414" s="1" t="str">
        <f ca="1">IFERROR(__xludf.DUMMYFUNCTION("""COMPUTED_VALUE"""),"20230125OHTOT")</f>
        <v>20230125OHTOT</v>
      </c>
      <c r="B414" s="1"/>
      <c r="C414" s="1"/>
      <c r="D414" s="1"/>
    </row>
    <row r="415" spans="1:4" ht="12.5">
      <c r="A415" s="1" t="str">
        <f ca="1">IFERROR(__xludf.DUMMYFUNCTION("""COMPUTED_VALUE"""),"20230124MOTHK")</f>
        <v>20230124MOTHK</v>
      </c>
      <c r="B415" s="1"/>
      <c r="C415" s="1"/>
      <c r="D415" s="1"/>
    </row>
    <row r="416" spans="1:4" ht="12.5">
      <c r="A416" s="1" t="str">
        <f ca="1">IFERROR(__xludf.DUMMYFUNCTION("""COMPUTED_VALUE"""),"20230123TXABA")</f>
        <v>20230123TXABA</v>
      </c>
      <c r="B416" s="1" t="str">
        <f ca="1">IFERROR(__xludf.DUMMYFUNCTION("""COMPUTED_VALUE"""),"Other")</f>
        <v>Other</v>
      </c>
      <c r="C416" s="1" t="str">
        <f ca="1">IFERROR(__xludf.DUMMYFUNCTION("""COMPUTED_VALUE"""),"BB")</f>
        <v>BB</v>
      </c>
      <c r="D416" s="1"/>
    </row>
    <row r="417" spans="1:4" ht="12.5">
      <c r="A417" s="1" t="str">
        <f ca="1">IFERROR(__xludf.DUMMYFUNCTION("""COMPUTED_VALUE"""),"20230123IASTD")</f>
        <v>20230123IASTD</v>
      </c>
      <c r="B417" s="1" t="str">
        <f ca="1">IFERROR(__xludf.DUMMYFUNCTION("""COMPUTED_VALUE"""),"Handgun")</f>
        <v>Handgun</v>
      </c>
      <c r="C417" s="1" t="str">
        <f ca="1">IFERROR(__xludf.DUMMYFUNCTION("""COMPUTED_VALUE"""),"9mm")</f>
        <v>9mm</v>
      </c>
      <c r="D417" s="1"/>
    </row>
    <row r="418" spans="1:4" ht="12.5">
      <c r="A418" s="1" t="str">
        <f ca="1">IFERROR(__xludf.DUMMYFUNCTION("""COMPUTED_VALUE"""),"20230122WAMOT")</f>
        <v>20230122WAMOT</v>
      </c>
      <c r="B418" s="1"/>
      <c r="C418" s="1"/>
      <c r="D418" s="1"/>
    </row>
    <row r="419" spans="1:4" ht="12.5">
      <c r="A419" s="1" t="str">
        <f ca="1">IFERROR(__xludf.DUMMYFUNCTION("""COMPUTED_VALUE"""),"20230121FLGLB")</f>
        <v>20230121FLGLB</v>
      </c>
      <c r="B419" s="1" t="str">
        <f ca="1">IFERROR(__xludf.DUMMYFUNCTION("""COMPUTED_VALUE"""),"Handgun")</f>
        <v>Handgun</v>
      </c>
      <c r="C419" s="1"/>
      <c r="D419" s="1"/>
    </row>
    <row r="420" spans="1:4" ht="12.5">
      <c r="A420" s="1" t="str">
        <f ca="1">IFERROR(__xludf.DUMMYFUNCTION("""COMPUTED_VALUE"""),"20230120MNWAS")</f>
        <v>20230120MNWAS</v>
      </c>
      <c r="B420" s="1" t="str">
        <f ca="1">IFERROR(__xludf.DUMMYFUNCTION("""COMPUTED_VALUE"""),"Handgun")</f>
        <v>Handgun</v>
      </c>
      <c r="C420" s="1"/>
      <c r="D420" s="1"/>
    </row>
    <row r="421" spans="1:4" ht="12.5">
      <c r="A421" s="1" t="str">
        <f ca="1">IFERROR(__xludf.DUMMYFUNCTION("""COMPUTED_VALUE"""),"20230119NYEAB")</f>
        <v>20230119NYEAB</v>
      </c>
      <c r="B421" s="1" t="str">
        <f ca="1">IFERROR(__xludf.DUMMYFUNCTION("""COMPUTED_VALUE"""),"Handgun")</f>
        <v>Handgun</v>
      </c>
      <c r="C421" s="1"/>
      <c r="D421" s="1"/>
    </row>
    <row r="422" spans="1:4" ht="12.5">
      <c r="A422" s="1" t="str">
        <f ca="1">IFERROR(__xludf.DUMMYFUNCTION("""COMPUTED_VALUE"""),"20230118NYCAQ")</f>
        <v>20230118NYCAQ</v>
      </c>
      <c r="B422" s="1" t="str">
        <f ca="1">IFERROR(__xludf.DUMMYFUNCTION("""COMPUTED_VALUE"""),"Handgun")</f>
        <v>Handgun</v>
      </c>
      <c r="C422" s="1"/>
      <c r="D422" s="1"/>
    </row>
    <row r="423" spans="1:4" ht="12.5">
      <c r="A423" s="1" t="str">
        <f ca="1">IFERROR(__xludf.DUMMYFUNCTION("""COMPUTED_VALUE"""),"20230118OKDED")</f>
        <v>20230118OKDED</v>
      </c>
      <c r="B423" s="1" t="str">
        <f ca="1">IFERROR(__xludf.DUMMYFUNCTION("""COMPUTED_VALUE"""),"Handgun")</f>
        <v>Handgun</v>
      </c>
      <c r="C423" s="1"/>
      <c r="D423" s="1"/>
    </row>
    <row r="424" spans="1:4" ht="12.5">
      <c r="A424" s="1" t="str">
        <f ca="1">IFERROR(__xludf.DUMMYFUNCTION("""COMPUTED_VALUE"""),"20230117FLMAB")</f>
        <v>20230117FLMAB</v>
      </c>
      <c r="B424" s="1" t="str">
        <f ca="1">IFERROR(__xludf.DUMMYFUNCTION("""COMPUTED_VALUE"""),"Other")</f>
        <v>Other</v>
      </c>
      <c r="C424" s="1" t="str">
        <f ca="1">IFERROR(__xludf.DUMMYFUNCTION("""COMPUTED_VALUE"""),"BB")</f>
        <v>BB</v>
      </c>
      <c r="D424" s="1" t="str">
        <f ca="1">IFERROR(__xludf.DUMMYFUNCTION("""COMPUTED_VALUE"""),"Two BB rifles, one BB pistol")</f>
        <v>Two BB rifles, one BB pistol</v>
      </c>
    </row>
    <row r="425" spans="1:4" ht="12.5">
      <c r="A425" s="1" t="str">
        <f ca="1">IFERROR(__xludf.DUMMYFUNCTION("""COMPUTED_VALUE"""),"20230111VTSPV")</f>
        <v>20230111VTSPV</v>
      </c>
      <c r="B425" s="1" t="str">
        <f ca="1">IFERROR(__xludf.DUMMYFUNCTION("""COMPUTED_VALUE"""),"Other")</f>
        <v>Other</v>
      </c>
      <c r="C425" s="1" t="str">
        <f ca="1">IFERROR(__xludf.DUMMYFUNCTION("""COMPUTED_VALUE"""),"Pellet")</f>
        <v>Pellet</v>
      </c>
      <c r="D425" s="1"/>
    </row>
    <row r="426" spans="1:4" ht="12.5">
      <c r="A426" s="1" t="str">
        <f ca="1">IFERROR(__xludf.DUMMYFUNCTION("""COMPUTED_VALUE"""),"20230111VALAP")</f>
        <v>20230111VALAP</v>
      </c>
      <c r="B426" s="1"/>
      <c r="C426" s="1"/>
      <c r="D426" s="1"/>
    </row>
    <row r="427" spans="1:4" ht="12.5">
      <c r="A427" s="1" t="str">
        <f ca="1">IFERROR(__xludf.DUMMYFUNCTION("""COMPUTED_VALUE"""),"20230110UTWES")</f>
        <v>20230110UTWES</v>
      </c>
      <c r="B427" s="1" t="str">
        <f ca="1">IFERROR(__xludf.DUMMYFUNCTION("""COMPUTED_VALUE"""),"Other")</f>
        <v>Other</v>
      </c>
      <c r="C427" s="1" t="str">
        <f ca="1">IFERROR(__xludf.DUMMYFUNCTION("""COMPUTED_VALUE"""),"Pellet")</f>
        <v>Pellet</v>
      </c>
      <c r="D427" s="1"/>
    </row>
    <row r="428" spans="1:4" ht="12.5">
      <c r="A428" s="1" t="str">
        <f ca="1">IFERROR(__xludf.DUMMYFUNCTION("""COMPUTED_VALUE"""),"20230110KYSAS")</f>
        <v>20230110KYSAS</v>
      </c>
      <c r="B428" s="1" t="str">
        <f ca="1">IFERROR(__xludf.DUMMYFUNCTION("""COMPUTED_VALUE"""),"Handgun")</f>
        <v>Handgun</v>
      </c>
      <c r="C428" s="1"/>
      <c r="D428" s="1"/>
    </row>
    <row r="429" spans="1:4" ht="12.5">
      <c r="A429" s="1" t="str">
        <f ca="1">IFERROR(__xludf.DUMMYFUNCTION("""COMPUTED_VALUE"""),"20230110DEWIN")</f>
        <v>20230110DEWIN</v>
      </c>
      <c r="B429" s="1" t="str">
        <f ca="1">IFERROR(__xludf.DUMMYFUNCTION("""COMPUTED_VALUE"""),"Handgun")</f>
        <v>Handgun</v>
      </c>
      <c r="C429" s="1"/>
      <c r="D429" s="1" t="str">
        <f ca="1">IFERROR(__xludf.DUMMYFUNCTION("""COMPUTED_VALUE"""),"Glock")</f>
        <v>Glock</v>
      </c>
    </row>
    <row r="430" spans="1:4" ht="12.5">
      <c r="A430" s="1" t="str">
        <f ca="1">IFERROR(__xludf.DUMMYFUNCTION("""COMPUTED_VALUE"""),"20230110OHJOC")</f>
        <v>20230110OHJOC</v>
      </c>
      <c r="B430" s="1"/>
      <c r="C430" s="1"/>
      <c r="D430" s="1"/>
    </row>
    <row r="431" spans="1:4" ht="12.5">
      <c r="A431" s="1" t="str">
        <f ca="1">IFERROR(__xludf.DUMMYFUNCTION("""COMPUTED_VALUE"""),"20230110LABON")</f>
        <v>20230110LABON</v>
      </c>
      <c r="B431" s="1"/>
      <c r="C431" s="1"/>
      <c r="D431" s="1"/>
    </row>
    <row r="432" spans="1:4" ht="12.5">
      <c r="A432" s="1" t="str">
        <f ca="1">IFERROR(__xludf.DUMMYFUNCTION("""COMPUTED_VALUE"""),"20230109VAPRW")</f>
        <v>20230109VAPRW</v>
      </c>
      <c r="B432" s="1" t="str">
        <f ca="1">IFERROR(__xludf.DUMMYFUNCTION("""COMPUTED_VALUE"""),"Other")</f>
        <v>Other</v>
      </c>
      <c r="C432" s="1" t="str">
        <f ca="1">IFERROR(__xludf.DUMMYFUNCTION("""COMPUTED_VALUE"""),"Pellet")</f>
        <v>Pellet</v>
      </c>
      <c r="D432" s="1"/>
    </row>
    <row r="433" spans="1:4" ht="12.5">
      <c r="A433" s="1" t="str">
        <f ca="1">IFERROR(__xludf.DUMMYFUNCTION("""COMPUTED_VALUE"""),"20230107ORFRP")</f>
        <v>20230107ORFRP</v>
      </c>
      <c r="B433" s="1" t="str">
        <f ca="1">IFERROR(__xludf.DUMMYFUNCTION("""COMPUTED_VALUE"""),"Handgun")</f>
        <v>Handgun</v>
      </c>
      <c r="C433" s="1"/>
      <c r="D433" s="1"/>
    </row>
    <row r="434" spans="1:4" ht="12.5">
      <c r="A434" s="1" t="str">
        <f ca="1">IFERROR(__xludf.DUMMYFUNCTION("""COMPUTED_VALUE"""),"20230106MDBEB")</f>
        <v>20230106MDBEB</v>
      </c>
      <c r="B434" s="1" t="str">
        <f ca="1">IFERROR(__xludf.DUMMYFUNCTION("""COMPUTED_VALUE"""),"Handgun")</f>
        <v>Handgun</v>
      </c>
      <c r="C434" s="1"/>
      <c r="D434" s="1"/>
    </row>
    <row r="435" spans="1:4" ht="12.5">
      <c r="A435" s="1" t="str">
        <f ca="1">IFERROR(__xludf.DUMMYFUNCTION("""COMPUTED_VALUE"""),"20230106MIOAD")</f>
        <v>20230106MIOAD</v>
      </c>
      <c r="B435" s="1" t="str">
        <f ca="1">IFERROR(__xludf.DUMMYFUNCTION("""COMPUTED_VALUE"""),"Handgun")</f>
        <v>Handgun</v>
      </c>
      <c r="C435" s="1"/>
      <c r="D435" s="1"/>
    </row>
    <row r="436" spans="1:4" ht="12.5">
      <c r="A436" s="1" t="str">
        <f ca="1">IFERROR(__xludf.DUMMYFUNCTION("""COMPUTED_VALUE"""),"20230106FLWEA")</f>
        <v>20230106FLWEA</v>
      </c>
      <c r="B436" s="1" t="str">
        <f ca="1">IFERROR(__xludf.DUMMYFUNCTION("""COMPUTED_VALUE"""),"Handgun")</f>
        <v>Handgun</v>
      </c>
      <c r="C436" s="1"/>
      <c r="D436" s="1"/>
    </row>
    <row r="437" spans="1:4" ht="12.5">
      <c r="A437" s="1" t="str">
        <f ca="1">IFERROR(__xludf.DUMMYFUNCTION("""COMPUTED_VALUE"""),"20230106VARIN")</f>
        <v>20230106VARIN</v>
      </c>
      <c r="B437" s="1" t="str">
        <f ca="1">IFERROR(__xludf.DUMMYFUNCTION("""COMPUTED_VALUE"""),"Handgun")</f>
        <v>Handgun</v>
      </c>
      <c r="C437" s="1" t="str">
        <f ca="1">IFERROR(__xludf.DUMMYFUNCTION("""COMPUTED_VALUE"""),"9mm")</f>
        <v>9mm</v>
      </c>
      <c r="D437" s="1"/>
    </row>
    <row r="438" spans="1:4" ht="12.5">
      <c r="A438" s="1" t="str">
        <f ca="1">IFERROR(__xludf.DUMMYFUNCTION("""COMPUTED_VALUE"""),"20230105OHBEC")</f>
        <v>20230105OHBEC</v>
      </c>
      <c r="B438" s="1" t="str">
        <f ca="1">IFERROR(__xludf.DUMMYFUNCTION("""COMPUTED_VALUE"""),"Handgun")</f>
        <v>Handgun</v>
      </c>
      <c r="C438" s="1"/>
      <c r="D438" s="1"/>
    </row>
    <row r="439" spans="1:4" ht="12.5">
      <c r="A439" s="1" t="str">
        <f ca="1">IFERROR(__xludf.DUMMYFUNCTION("""COMPUTED_VALUE"""),"20230105NYFRR")</f>
        <v>20230105NYFRR</v>
      </c>
      <c r="B439" s="1" t="str">
        <f ca="1">IFERROR(__xludf.DUMMYFUNCTION("""COMPUTED_VALUE"""),"Handgun")</f>
        <v>Handgun</v>
      </c>
      <c r="C439" s="1"/>
      <c r="D439" s="1"/>
    </row>
    <row r="440" spans="1:4" ht="12.5">
      <c r="A440" s="1" t="str">
        <f ca="1">IFERROR(__xludf.DUMMYFUNCTION("""COMPUTED_VALUE"""),"20230104MITRD")</f>
        <v>20230104MITRD</v>
      </c>
      <c r="B440" s="1" t="str">
        <f ca="1">IFERROR(__xludf.DUMMYFUNCTION("""COMPUTED_VALUE"""),"Rifle")</f>
        <v>Rifle</v>
      </c>
      <c r="C440" s="1"/>
      <c r="D440" s="1"/>
    </row>
    <row r="441" spans="1:4" ht="12.5">
      <c r="A441" s="1" t="str">
        <f ca="1">IFERROR(__xludf.DUMMYFUNCTION("""COMPUTED_VALUE"""),"20221221CTNEN")</f>
        <v>20221221CTNEN</v>
      </c>
      <c r="B441" s="1"/>
      <c r="C441" s="1"/>
      <c r="D441" s="1"/>
    </row>
    <row r="442" spans="1:4" ht="12.5">
      <c r="A442" s="1" t="str">
        <f ca="1">IFERROR(__xludf.DUMMYFUNCTION("""COMPUTED_VALUE"""),"20221221CAWOW")</f>
        <v>20221221CAWOW</v>
      </c>
      <c r="B442" s="1" t="str">
        <f ca="1">IFERROR(__xludf.DUMMYFUNCTION("""COMPUTED_VALUE"""),"Handgun")</f>
        <v>Handgun</v>
      </c>
      <c r="C442" s="1"/>
      <c r="D442" s="1"/>
    </row>
    <row r="443" spans="1:4" ht="12.5">
      <c r="A443" s="1" t="str">
        <f ca="1">IFERROR(__xludf.DUMMYFUNCTION("""COMPUTED_VALUE"""),"20221216ILBEC")</f>
        <v>20221216ILBEC</v>
      </c>
      <c r="B443" s="1" t="str">
        <f ca="1">IFERROR(__xludf.DUMMYFUNCTION("""COMPUTED_VALUE"""),"Handgun")</f>
        <v>Handgun</v>
      </c>
      <c r="C443" s="1"/>
      <c r="D443" s="1"/>
    </row>
    <row r="444" spans="1:4" ht="12.5">
      <c r="A444" s="1" t="str">
        <f ca="1">IFERROR(__xludf.DUMMYFUNCTION("""COMPUTED_VALUE"""),"20221214OHLIC")</f>
        <v>20221214OHLIC</v>
      </c>
      <c r="B444" s="1" t="str">
        <f ca="1">IFERROR(__xludf.DUMMYFUNCTION("""COMPUTED_VALUE"""),"Handgun")</f>
        <v>Handgun</v>
      </c>
      <c r="C444" s="1"/>
      <c r="D444" s="1"/>
    </row>
    <row r="445" spans="1:4" ht="12.5">
      <c r="A445" s="1" t="str">
        <f ca="1">IFERROR(__xludf.DUMMYFUNCTION("""COMPUTED_VALUE"""),"20221212ORGRP")</f>
        <v>20221212ORGRP</v>
      </c>
      <c r="B445" s="1" t="str">
        <f ca="1">IFERROR(__xludf.DUMMYFUNCTION("""COMPUTED_VALUE"""),"Handgun")</f>
        <v>Handgun</v>
      </c>
      <c r="C445" s="1"/>
      <c r="D445" s="1"/>
    </row>
    <row r="446" spans="1:4" ht="12.5">
      <c r="A446" s="1" t="str">
        <f ca="1">IFERROR(__xludf.DUMMYFUNCTION("""COMPUTED_VALUE"""),"20221210TNBRC")</f>
        <v>20221210TNBRC</v>
      </c>
      <c r="B446" s="1"/>
      <c r="C446" s="1"/>
      <c r="D446" s="1"/>
    </row>
    <row r="447" spans="1:4" ht="12.5">
      <c r="A447" s="1" t="str">
        <f ca="1">IFERROR(__xludf.DUMMYFUNCTION("""COMPUTED_VALUE"""),"20221209PAMEP")</f>
        <v>20221209PAMEP</v>
      </c>
      <c r="B447" s="1"/>
      <c r="C447" s="1"/>
      <c r="D447" s="1"/>
    </row>
    <row r="448" spans="1:4" ht="12.5">
      <c r="A448" s="1" t="str">
        <f ca="1">IFERROR(__xludf.DUMMYFUNCTION("""COMPUTED_VALUE"""),"20221208NCFUG")</f>
        <v>20221208NCFUG</v>
      </c>
      <c r="B448" s="1" t="str">
        <f ca="1">IFERROR(__xludf.DUMMYFUNCTION("""COMPUTED_VALUE"""),"Handgun")</f>
        <v>Handgun</v>
      </c>
      <c r="C448" s="1"/>
      <c r="D448" s="1"/>
    </row>
    <row r="449" spans="1:4" ht="12.5">
      <c r="A449" s="1" t="str">
        <f ca="1">IFERROR(__xludf.DUMMYFUNCTION("""COMPUTED_VALUE"""),"20221208NCFUG")</f>
        <v>20221208NCFUG</v>
      </c>
      <c r="B449" s="1" t="str">
        <f ca="1">IFERROR(__xludf.DUMMYFUNCTION("""COMPUTED_VALUE"""),"Handgun")</f>
        <v>Handgun</v>
      </c>
      <c r="C449" s="1"/>
      <c r="D449" s="1"/>
    </row>
    <row r="450" spans="1:4" ht="12.5">
      <c r="A450" s="1" t="str">
        <f ca="1">IFERROR(__xludf.DUMMYFUNCTION("""COMPUTED_VALUE"""),"20221208MDSUD")</f>
        <v>20221208MDSUD</v>
      </c>
      <c r="B450" s="1" t="str">
        <f ca="1">IFERROR(__xludf.DUMMYFUNCTION("""COMPUTED_VALUE"""),"Handgun")</f>
        <v>Handgun</v>
      </c>
      <c r="C450" s="1"/>
      <c r="D450" s="1"/>
    </row>
    <row r="451" spans="1:4" ht="12.5">
      <c r="A451" s="1" t="str">
        <f ca="1">IFERROR(__xludf.DUMMYFUNCTION("""COMPUTED_VALUE"""),"20221206ALLEM")</f>
        <v>20221206ALLEM</v>
      </c>
      <c r="B451" s="1"/>
      <c r="C451" s="1"/>
      <c r="D451" s="1"/>
    </row>
    <row r="452" spans="1:4" ht="12.5">
      <c r="A452" s="1" t="str">
        <f ca="1">IFERROR(__xludf.DUMMYFUNCTION("""COMPUTED_VALUE"""),"20221206MOCOS")</f>
        <v>20221206MOCOS</v>
      </c>
      <c r="B452" s="1" t="str">
        <f ca="1">IFERROR(__xludf.DUMMYFUNCTION("""COMPUTED_VALUE"""),"Handgun")</f>
        <v>Handgun</v>
      </c>
      <c r="C452" s="1"/>
      <c r="D452" s="1"/>
    </row>
    <row r="453" spans="1:4" ht="12.5">
      <c r="A453" s="1" t="str">
        <f ca="1">IFERROR(__xludf.DUMMYFUNCTION("""COMPUTED_VALUE"""),"20221206INSUW")</f>
        <v>20221206INSUW</v>
      </c>
      <c r="B453" s="1"/>
      <c r="C453" s="1"/>
      <c r="D453" s="1"/>
    </row>
    <row r="454" spans="1:4" ht="12.5">
      <c r="A454" s="1" t="str">
        <f ca="1">IFERROR(__xludf.DUMMYFUNCTION("""COMPUTED_VALUE"""),"20221206ILMIC")</f>
        <v>20221206ILMIC</v>
      </c>
      <c r="B454" s="1" t="str">
        <f ca="1">IFERROR(__xludf.DUMMYFUNCTION("""COMPUTED_VALUE"""),"Handgun")</f>
        <v>Handgun</v>
      </c>
      <c r="C454" s="1"/>
      <c r="D454" s="1"/>
    </row>
    <row r="455" spans="1:4" ht="12.5">
      <c r="A455" s="1" t="str">
        <f ca="1">IFERROR(__xludf.DUMMYFUNCTION("""COMPUTED_VALUE"""),"20221206MDHAH")</f>
        <v>20221206MDHAH</v>
      </c>
      <c r="B455" s="1" t="str">
        <f ca="1">IFERROR(__xludf.DUMMYFUNCTION("""COMPUTED_VALUE"""),"Other")</f>
        <v>Other</v>
      </c>
      <c r="C455" s="1" t="str">
        <f ca="1">IFERROR(__xludf.DUMMYFUNCTION("""COMPUTED_VALUE"""),"BB")</f>
        <v>BB</v>
      </c>
      <c r="D455" s="1"/>
    </row>
    <row r="456" spans="1:4" ht="12.5">
      <c r="A456" s="1" t="str">
        <f ca="1">IFERROR(__xludf.DUMMYFUNCTION("""COMPUTED_VALUE"""),"20221205TNFRM")</f>
        <v>20221205TNFRM</v>
      </c>
      <c r="B456" s="1" t="str">
        <f ca="1">IFERROR(__xludf.DUMMYFUNCTION("""COMPUTED_VALUE"""),"Handgun")</f>
        <v>Handgun</v>
      </c>
      <c r="C456" s="1"/>
      <c r="D456" s="1"/>
    </row>
    <row r="457" spans="1:4" ht="12.5">
      <c r="A457" s="1" t="str">
        <f ca="1">IFERROR(__xludf.DUMMYFUNCTION("""COMPUTED_VALUE"""),"20221203WISOM")</f>
        <v>20221203WISOM</v>
      </c>
      <c r="B457" s="1" t="str">
        <f ca="1">IFERROR(__xludf.DUMMYFUNCTION("""COMPUTED_VALUE"""),"Handgun")</f>
        <v>Handgun</v>
      </c>
      <c r="C457" s="1"/>
      <c r="D457" s="1"/>
    </row>
    <row r="458" spans="1:4" ht="12.5">
      <c r="A458" s="1" t="str">
        <f ca="1">IFERROR(__xludf.DUMMYFUNCTION("""COMPUTED_VALUE"""),"20221202DEDEW")</f>
        <v>20221202DEDEW</v>
      </c>
      <c r="B458" s="1"/>
      <c r="C458" s="1"/>
      <c r="D458" s="1"/>
    </row>
    <row r="459" spans="1:4" ht="12.5">
      <c r="A459" s="1" t="str">
        <f ca="1">IFERROR(__xludf.DUMMYFUNCTION("""COMPUTED_VALUE"""),"20221121MIHED")</f>
        <v>20221121MIHED</v>
      </c>
      <c r="B459" s="1" t="str">
        <f ca="1">IFERROR(__xludf.DUMMYFUNCTION("""COMPUTED_VALUE"""),"Multiple Handguns")</f>
        <v>Multiple Handguns</v>
      </c>
      <c r="C459" s="1"/>
      <c r="D459" s="1"/>
    </row>
    <row r="460" spans="1:4" ht="12.5">
      <c r="A460" s="1" t="str">
        <f ca="1">IFERROR(__xludf.DUMMYFUNCTION("""COMPUTED_VALUE"""),"20221122MISTS")</f>
        <v>20221122MISTS</v>
      </c>
      <c r="B460" s="1" t="str">
        <f ca="1">IFERROR(__xludf.DUMMYFUNCTION("""COMPUTED_VALUE"""),"Rifle")</f>
        <v>Rifle</v>
      </c>
      <c r="C460" s="1"/>
      <c r="D460" s="1"/>
    </row>
    <row r="461" spans="1:4" ht="12.5">
      <c r="A461" s="1" t="str">
        <f ca="1">IFERROR(__xludf.DUMMYFUNCTION("""COMPUTED_VALUE"""),"20221118NYROS")</f>
        <v>20221118NYROS</v>
      </c>
      <c r="B461" s="1"/>
      <c r="C461" s="1"/>
      <c r="D461" s="1"/>
    </row>
    <row r="462" spans="1:4" ht="12.5">
      <c r="A462" s="1" t="str">
        <f ca="1">IFERROR(__xludf.DUMMYFUNCTION("""COMPUTED_VALUE"""),"20221118DCJAW")</f>
        <v>20221118DCJAW</v>
      </c>
      <c r="B462" s="1" t="str">
        <f ca="1">IFERROR(__xludf.DUMMYFUNCTION("""COMPUTED_VALUE"""),"Handgun")</f>
        <v>Handgun</v>
      </c>
      <c r="C462" s="1"/>
      <c r="D462" s="1"/>
    </row>
    <row r="463" spans="1:4" ht="12.5">
      <c r="A463" s="1" t="str">
        <f ca="1">IFERROR(__xludf.DUMMYFUNCTION("""COMPUTED_VALUE"""),"20221117CAEAL")</f>
        <v>20221117CAEAL</v>
      </c>
      <c r="B463" s="1" t="str">
        <f ca="1">IFERROR(__xludf.DUMMYFUNCTION("""COMPUTED_VALUE"""),"Handgun")</f>
        <v>Handgun</v>
      </c>
      <c r="C463" s="1"/>
      <c r="D463" s="1"/>
    </row>
    <row r="464" spans="1:4" ht="12.5">
      <c r="A464" s="1" t="str">
        <f ca="1">IFERROR(__xludf.DUMMYFUNCTION("""COMPUTED_VALUE"""),"20221117INSOC")</f>
        <v>20221117INSOC</v>
      </c>
      <c r="B464" s="1" t="str">
        <f ca="1">IFERROR(__xludf.DUMMYFUNCTION("""COMPUTED_VALUE"""),"Handgun")</f>
        <v>Handgun</v>
      </c>
      <c r="C464" s="1" t="str">
        <f ca="1">IFERROR(__xludf.DUMMYFUNCTION("""COMPUTED_VALUE"""),"Service Weapon")</f>
        <v>Service Weapon</v>
      </c>
      <c r="D464" s="1"/>
    </row>
    <row r="465" spans="1:4" ht="12.5">
      <c r="A465" s="1" t="str">
        <f ca="1">IFERROR(__xludf.DUMMYFUNCTION("""COMPUTED_VALUE"""),"20221116ORMCM")</f>
        <v>20221116ORMCM</v>
      </c>
      <c r="B465" s="1"/>
      <c r="C465" s="1"/>
      <c r="D465" s="1"/>
    </row>
    <row r="466" spans="1:4" ht="12.5">
      <c r="A466" s="1" t="str">
        <f ca="1">IFERROR(__xludf.DUMMYFUNCTION("""COMPUTED_VALUE"""),"20221116NCLUL")</f>
        <v>20221116NCLUL</v>
      </c>
      <c r="B466" s="1" t="str">
        <f ca="1">IFERROR(__xludf.DUMMYFUNCTION("""COMPUTED_VALUE"""),"Handgun")</f>
        <v>Handgun</v>
      </c>
      <c r="C466" s="1"/>
      <c r="D466" s="1"/>
    </row>
    <row r="467" spans="1:4" ht="12.5">
      <c r="A467" s="1" t="str">
        <f ca="1">IFERROR(__xludf.DUMMYFUNCTION("""COMPUTED_VALUE"""),"20221115TNMAN")</f>
        <v>20221115TNMAN</v>
      </c>
      <c r="B467" s="1" t="str">
        <f ca="1">IFERROR(__xludf.DUMMYFUNCTION("""COMPUTED_VALUE"""),"Handgun")</f>
        <v>Handgun</v>
      </c>
      <c r="C467" s="1"/>
      <c r="D467" s="1"/>
    </row>
    <row r="468" spans="1:4" ht="12.5">
      <c r="A468" s="1" t="str">
        <f ca="1">IFERROR(__xludf.DUMMYFUNCTION("""COMPUTED_VALUE"""),"20221115LABAB")</f>
        <v>20221115LABAB</v>
      </c>
      <c r="B468" s="1" t="str">
        <f ca="1">IFERROR(__xludf.DUMMYFUNCTION("""COMPUTED_VALUE"""),"Multiple Handguns")</f>
        <v>Multiple Handguns</v>
      </c>
      <c r="C468" s="1"/>
      <c r="D468" s="1"/>
    </row>
    <row r="469" spans="1:4" ht="12.5">
      <c r="A469" s="1" t="str">
        <f ca="1">IFERROR(__xludf.DUMMYFUNCTION("""COMPUTED_VALUE"""),"20221112FLJOO")</f>
        <v>20221112FLJOO</v>
      </c>
      <c r="B469" s="1" t="str">
        <f ca="1">IFERROR(__xludf.DUMMYFUNCTION("""COMPUTED_VALUE"""),"Handgun")</f>
        <v>Handgun</v>
      </c>
      <c r="C469" s="1"/>
      <c r="D469" s="1"/>
    </row>
    <row r="470" spans="1:4" ht="12.5">
      <c r="A470" s="1" t="str">
        <f ca="1">IFERROR(__xludf.DUMMYFUNCTION("""COMPUTED_VALUE"""),"20221111MSRAR")</f>
        <v>20221111MSRAR</v>
      </c>
      <c r="B470" s="1" t="str">
        <f ca="1">IFERROR(__xludf.DUMMYFUNCTION("""COMPUTED_VALUE"""),"Handgun")</f>
        <v>Handgun</v>
      </c>
      <c r="C470" s="1"/>
      <c r="D470" s="1"/>
    </row>
    <row r="471" spans="1:4" ht="12.5">
      <c r="A471" s="1" t="str">
        <f ca="1">IFERROR(__xludf.DUMMYFUNCTION("""COMPUTED_VALUE"""),"20221109KYCAC")</f>
        <v>20221109KYCAC</v>
      </c>
      <c r="B471" s="1" t="str">
        <f ca="1">IFERROR(__xludf.DUMMYFUNCTION("""COMPUTED_VALUE"""),"Handgun")</f>
        <v>Handgun</v>
      </c>
      <c r="C471" s="1" t="str">
        <f ca="1">IFERROR(__xludf.DUMMYFUNCTION("""COMPUTED_VALUE"""),"9mm")</f>
        <v>9mm</v>
      </c>
      <c r="D471" s="1"/>
    </row>
    <row r="472" spans="1:4" ht="12.5">
      <c r="A472" s="1" t="str">
        <f ca="1">IFERROR(__xludf.DUMMYFUNCTION("""COMPUTED_VALUE"""),"20221106VAHUH")</f>
        <v>20221106VAHUH</v>
      </c>
      <c r="B472" s="1" t="str">
        <f ca="1">IFERROR(__xludf.DUMMYFUNCTION("""COMPUTED_VALUE"""),"Handgun")</f>
        <v>Handgun</v>
      </c>
      <c r="C472" s="1"/>
      <c r="D472" s="1"/>
    </row>
    <row r="473" spans="1:4" ht="12.5">
      <c r="A473" s="1" t="str">
        <f ca="1">IFERROR(__xludf.DUMMYFUNCTION("""COMPUTED_VALUE"""),"20221105TXDAF")</f>
        <v>20221105TXDAF</v>
      </c>
      <c r="B473" s="1" t="str">
        <f ca="1">IFERROR(__xludf.DUMMYFUNCTION("""COMPUTED_VALUE"""),"Handgun")</f>
        <v>Handgun</v>
      </c>
      <c r="C473" s="1" t="str">
        <f ca="1">IFERROR(__xludf.DUMMYFUNCTION("""COMPUTED_VALUE"""),"Service Weapon")</f>
        <v>Service Weapon</v>
      </c>
      <c r="D473" s="1" t="str">
        <f ca="1">IFERROR(__xludf.DUMMYFUNCTION("""COMPUTED_VALUE"""),"Live round during training")</f>
        <v>Live round during training</v>
      </c>
    </row>
    <row r="474" spans="1:4" ht="12.5">
      <c r="A474" s="1" t="str">
        <f ca="1">IFERROR(__xludf.DUMMYFUNCTION("""COMPUTED_VALUE"""),"20221104KYVAL")</f>
        <v>20221104KYVAL</v>
      </c>
      <c r="B474" s="1" t="str">
        <f ca="1">IFERROR(__xludf.DUMMYFUNCTION("""COMPUTED_VALUE"""),"Handgun")</f>
        <v>Handgun</v>
      </c>
      <c r="C474" s="1"/>
      <c r="D474" s="1"/>
    </row>
    <row r="475" spans="1:4" ht="12.5">
      <c r="A475" s="1" t="str">
        <f ca="1">IFERROR(__xludf.DUMMYFUNCTION("""COMPUTED_VALUE"""),"20221103GASHS")</f>
        <v>20221103GASHS</v>
      </c>
      <c r="B475" s="1"/>
      <c r="C475" s="1"/>
      <c r="D475" s="1"/>
    </row>
    <row r="476" spans="1:4" ht="12.5">
      <c r="A476" s="1" t="str">
        <f ca="1">IFERROR(__xludf.DUMMYFUNCTION("""COMPUTED_VALUE"""),"20221102DCMCW")</f>
        <v>20221102DCMCW</v>
      </c>
      <c r="B476" s="1" t="str">
        <f ca="1">IFERROR(__xludf.DUMMYFUNCTION("""COMPUTED_VALUE"""),"Handgun")</f>
        <v>Handgun</v>
      </c>
      <c r="C476" s="1"/>
      <c r="D476" s="1"/>
    </row>
    <row r="477" spans="1:4" ht="12.5">
      <c r="A477" s="1" t="str">
        <f ca="1">IFERROR(__xludf.DUMMYFUNCTION("""COMPUTED_VALUE"""),"20221029TXAVA")</f>
        <v>20221029TXAVA</v>
      </c>
      <c r="B477" s="1" t="str">
        <f ca="1">IFERROR(__xludf.DUMMYFUNCTION("""COMPUTED_VALUE"""),"Handgun")</f>
        <v>Handgun</v>
      </c>
      <c r="C477" s="1"/>
      <c r="D477" s="1"/>
    </row>
    <row r="478" spans="1:4" ht="12.5">
      <c r="A478" s="1" t="str">
        <f ca="1">IFERROR(__xludf.DUMMYFUNCTION("""COMPUTED_VALUE"""),"20221029COCRH")</f>
        <v>20221029COCRH</v>
      </c>
      <c r="B478" s="1" t="str">
        <f ca="1">IFERROR(__xludf.DUMMYFUNCTION("""COMPUTED_VALUE"""),"Handgun")</f>
        <v>Handgun</v>
      </c>
      <c r="C478" s="1"/>
      <c r="D478" s="1"/>
    </row>
    <row r="479" spans="1:4" ht="12.5">
      <c r="A479" s="1" t="str">
        <f ca="1">IFERROR(__xludf.DUMMYFUNCTION("""COMPUTED_VALUE"""),"20221028TXROR")</f>
        <v>20221028TXROR</v>
      </c>
      <c r="B479" s="1" t="str">
        <f ca="1">IFERROR(__xludf.DUMMYFUNCTION("""COMPUTED_VALUE"""),"Handgun")</f>
        <v>Handgun</v>
      </c>
      <c r="C479" s="1"/>
      <c r="D479" s="1"/>
    </row>
    <row r="480" spans="1:4" ht="12.5">
      <c r="A480" s="1" t="str">
        <f ca="1">IFERROR(__xludf.DUMMYFUNCTION("""COMPUTED_VALUE"""),"20221028NCWAT")</f>
        <v>20221028NCWAT</v>
      </c>
      <c r="B480" s="1" t="str">
        <f ca="1">IFERROR(__xludf.DUMMYFUNCTION("""COMPUTED_VALUE"""),"Handgun")</f>
        <v>Handgun</v>
      </c>
      <c r="C480" s="1"/>
      <c r="D480" s="1"/>
    </row>
    <row r="481" spans="1:4" ht="12.5">
      <c r="A481" s="1" t="str">
        <f ca="1">IFERROR(__xludf.DUMMYFUNCTION("""COMPUTED_VALUE"""),"20221028ARROR")</f>
        <v>20221028ARROR</v>
      </c>
      <c r="B481" s="1" t="str">
        <f ca="1">IFERROR(__xludf.DUMMYFUNCTION("""COMPUTED_VALUE"""),"Other")</f>
        <v>Other</v>
      </c>
      <c r="C481" s="1" t="str">
        <f ca="1">IFERROR(__xludf.DUMMYFUNCTION("""COMPUTED_VALUE"""),"Pellet")</f>
        <v>Pellet</v>
      </c>
      <c r="D481" s="1" t="str">
        <f ca="1">IFERROR(__xludf.DUMMYFUNCTION("""COMPUTED_VALUE"""),"Pellet or BB gun")</f>
        <v>Pellet or BB gun</v>
      </c>
    </row>
    <row r="482" spans="1:4" ht="12.5">
      <c r="A482" s="1" t="str">
        <f ca="1">IFERROR(__xludf.DUMMYFUNCTION("""COMPUTED_VALUE"""),"20221026TXUTU")</f>
        <v>20221026TXUTU</v>
      </c>
      <c r="B482" s="1" t="str">
        <f ca="1">IFERROR(__xludf.DUMMYFUNCTION("""COMPUTED_VALUE"""),"Handgun")</f>
        <v>Handgun</v>
      </c>
      <c r="C482" s="1"/>
      <c r="D482" s="1"/>
    </row>
    <row r="483" spans="1:4" ht="12.5">
      <c r="A483" s="1" t="str">
        <f ca="1">IFERROR(__xludf.DUMMYFUNCTION("""COMPUTED_VALUE"""),"20221026ILMIW")</f>
        <v>20221026ILMIW</v>
      </c>
      <c r="B483" s="1" t="str">
        <f ca="1">IFERROR(__xludf.DUMMYFUNCTION("""COMPUTED_VALUE"""),"Handgun")</f>
        <v>Handgun</v>
      </c>
      <c r="C483" s="1"/>
      <c r="D483" s="1"/>
    </row>
    <row r="484" spans="1:4" ht="12.5">
      <c r="A484" s="1" t="str">
        <f ca="1">IFERROR(__xludf.DUMMYFUNCTION("""COMPUTED_VALUE"""),"20221025PAPAP")</f>
        <v>20221025PAPAP</v>
      </c>
      <c r="B484" s="1" t="str">
        <f ca="1">IFERROR(__xludf.DUMMYFUNCTION("""COMPUTED_VALUE"""),"Handgun")</f>
        <v>Handgun</v>
      </c>
      <c r="C484" s="1"/>
      <c r="D484" s="1"/>
    </row>
    <row r="485" spans="1:4" ht="12.5">
      <c r="A485" s="1" t="str">
        <f ca="1">IFERROR(__xludf.DUMMYFUNCTION("""COMPUTED_VALUE"""),"20221025NYTOS")</f>
        <v>20221025NYTOS</v>
      </c>
      <c r="B485" s="1" t="str">
        <f ca="1">IFERROR(__xludf.DUMMYFUNCTION("""COMPUTED_VALUE"""),"Handgun")</f>
        <v>Handgun</v>
      </c>
      <c r="C485" s="1"/>
      <c r="D485" s="1"/>
    </row>
    <row r="486" spans="1:4" ht="12.5">
      <c r="A486" s="1" t="str">
        <f ca="1">IFERROR(__xludf.DUMMYFUNCTION("""COMPUTED_VALUE"""),"20221024MOCES")</f>
        <v>20221024MOCES</v>
      </c>
      <c r="B486" s="1" t="str">
        <f ca="1">IFERROR(__xludf.DUMMYFUNCTION("""COMPUTED_VALUE"""),"Rifle")</f>
        <v>Rifle</v>
      </c>
      <c r="C486" s="1" t="str">
        <f ca="1">IFERROR(__xludf.DUMMYFUNCTION("""COMPUTED_VALUE"""),".223 caliber")</f>
        <v>.223 caliber</v>
      </c>
      <c r="D486" s="1" t="str">
        <f ca="1">IFERROR(__xludf.DUMMYFUNCTION("""COMPUTED_VALUE"""),"AR-style rifle, 600 rounds of ammo")</f>
        <v>AR-style rifle, 600 rounds of ammo</v>
      </c>
    </row>
    <row r="487" spans="1:4" ht="12.5">
      <c r="A487" s="1" t="str">
        <f ca="1">IFERROR(__xludf.DUMMYFUNCTION("""COMPUTED_VALUE"""),"20221022OHDUC")</f>
        <v>20221022OHDUC</v>
      </c>
      <c r="B487" s="1"/>
      <c r="C487" s="1"/>
      <c r="D487" s="1"/>
    </row>
    <row r="488" spans="1:4" ht="12.5">
      <c r="A488" s="1" t="str">
        <f ca="1">IFERROR(__xludf.DUMMYFUNCTION("""COMPUTED_VALUE"""),"20221022ILCHC")</f>
        <v>20221022ILCHC</v>
      </c>
      <c r="B488" s="1"/>
      <c r="C488" s="1"/>
      <c r="D488" s="1"/>
    </row>
    <row r="489" spans="1:4" ht="12.5">
      <c r="A489" s="1" t="str">
        <f ca="1">IFERROR(__xludf.DUMMYFUNCTION("""COMPUTED_VALUE"""),"20221021OHSHS")</f>
        <v>20221021OHSHS</v>
      </c>
      <c r="B489" s="1" t="str">
        <f ca="1">IFERROR(__xludf.DUMMYFUNCTION("""COMPUTED_VALUE"""),"Handgun")</f>
        <v>Handgun</v>
      </c>
      <c r="C489" s="1" t="str">
        <f ca="1">IFERROR(__xludf.DUMMYFUNCTION("""COMPUTED_VALUE"""),"Service Weapon")</f>
        <v>Service Weapon</v>
      </c>
      <c r="D489" s="1"/>
    </row>
    <row r="490" spans="1:4" ht="12.5">
      <c r="A490" s="1" t="str">
        <f ca="1">IFERROR(__xludf.DUMMYFUNCTION("""COMPUTED_VALUE"""),"20221021CAGRS")</f>
        <v>20221021CAGRS</v>
      </c>
      <c r="B490" s="1" t="str">
        <f ca="1">IFERROR(__xludf.DUMMYFUNCTION("""COMPUTED_VALUE"""),"Handgun")</f>
        <v>Handgun</v>
      </c>
      <c r="C490" s="1"/>
      <c r="D490" s="1"/>
    </row>
    <row r="491" spans="1:4" ht="12.5">
      <c r="A491" s="1" t="str">
        <f ca="1">IFERROR(__xludf.DUMMYFUNCTION("""COMPUTED_VALUE"""),"20221020COCAD")</f>
        <v>20221020COCAD</v>
      </c>
      <c r="B491" s="1" t="str">
        <f ca="1">IFERROR(__xludf.DUMMYFUNCTION("""COMPUTED_VALUE"""),"Other")</f>
        <v>Other</v>
      </c>
      <c r="C491" s="1" t="str">
        <f ca="1">IFERROR(__xludf.DUMMYFUNCTION("""COMPUTED_VALUE"""),"BB")</f>
        <v>BB</v>
      </c>
      <c r="D491" s="1"/>
    </row>
    <row r="492" spans="1:4" ht="12.5">
      <c r="A492" s="1" t="str">
        <f ca="1">IFERROR(__xludf.DUMMYFUNCTION("""COMPUTED_VALUE"""),"20221020PAPAP")</f>
        <v>20221020PAPAP</v>
      </c>
      <c r="B492" s="1" t="str">
        <f ca="1">IFERROR(__xludf.DUMMYFUNCTION("""COMPUTED_VALUE"""),"Handgun")</f>
        <v>Handgun</v>
      </c>
      <c r="C492" s="1"/>
      <c r="D492" s="1"/>
    </row>
    <row r="493" spans="1:4" ht="12.5">
      <c r="A493" s="1" t="str">
        <f ca="1">IFERROR(__xludf.DUMMYFUNCTION("""COMPUTED_VALUE"""),"20221019TNROR")</f>
        <v>20221019TNROR</v>
      </c>
      <c r="B493" s="1"/>
      <c r="C493" s="1"/>
      <c r="D493" s="1"/>
    </row>
    <row r="494" spans="1:4" ht="12.5">
      <c r="A494" s="1" t="str">
        <f ca="1">IFERROR(__xludf.DUMMYFUNCTION("""COMPUTED_VALUE"""),"20221018NVSUL")</f>
        <v>20221018NVSUL</v>
      </c>
      <c r="B494" s="1"/>
      <c r="C494" s="1"/>
      <c r="D494" s="1"/>
    </row>
    <row r="495" spans="1:4" ht="12.5">
      <c r="A495" s="1" t="str">
        <f ca="1">IFERROR(__xludf.DUMMYFUNCTION("""COMPUTED_VALUE"""),"20221018ORJEP")</f>
        <v>20221018ORJEP</v>
      </c>
      <c r="B495" s="1"/>
      <c r="C495" s="1"/>
      <c r="D495" s="1"/>
    </row>
    <row r="496" spans="1:4" ht="12.5">
      <c r="A496" s="1" t="str">
        <f ca="1">IFERROR(__xludf.DUMMYFUNCTION("""COMPUTED_VALUE"""),"20221017CAWIS")</f>
        <v>20221017CAWIS</v>
      </c>
      <c r="B496" s="1" t="str">
        <f ca="1">IFERROR(__xludf.DUMMYFUNCTION("""COMPUTED_VALUE"""),"Other")</f>
        <v>Other</v>
      </c>
      <c r="C496" s="1" t="str">
        <f ca="1">IFERROR(__xludf.DUMMYFUNCTION("""COMPUTED_VALUE"""),"Pellet")</f>
        <v>Pellet</v>
      </c>
      <c r="D496" s="1" t="str">
        <f ca="1">IFERROR(__xludf.DUMMYFUNCTION("""COMPUTED_VALUE"""),"Paintball gun")</f>
        <v>Paintball gun</v>
      </c>
    </row>
    <row r="497" spans="1:4" ht="12.5">
      <c r="A497" s="1" t="str">
        <f ca="1">IFERROR(__xludf.DUMMYFUNCTION("""COMPUTED_VALUE"""),"20221017FLORT")</f>
        <v>20221017FLORT</v>
      </c>
      <c r="B497" s="1" t="str">
        <f ca="1">IFERROR(__xludf.DUMMYFUNCTION("""COMPUTED_VALUE"""),"Handgun")</f>
        <v>Handgun</v>
      </c>
      <c r="C497" s="1"/>
      <c r="D497" s="1"/>
    </row>
    <row r="498" spans="1:4" ht="12.5">
      <c r="A498" s="1" t="str">
        <f ca="1">IFERROR(__xludf.DUMMYFUNCTION("""COMPUTED_VALUE"""),"20221016VAFAR")</f>
        <v>20221016VAFAR</v>
      </c>
      <c r="B498" s="1"/>
      <c r="C498" s="1"/>
      <c r="D498" s="1"/>
    </row>
    <row r="499" spans="1:4" ht="12.5">
      <c r="A499" s="1" t="str">
        <f ca="1">IFERROR(__xludf.DUMMYFUNCTION("""COMPUTED_VALUE"""),"20221014LAJHA")</f>
        <v>20221014LAJHA</v>
      </c>
      <c r="B499" s="1" t="str">
        <f ca="1">IFERROR(__xludf.DUMMYFUNCTION("""COMPUTED_VALUE"""),"Handgun")</f>
        <v>Handgun</v>
      </c>
      <c r="C499" s="1"/>
      <c r="D499" s="1"/>
    </row>
    <row r="500" spans="1:4" ht="12.5">
      <c r="A500" s="1" t="str">
        <f ca="1">IFERROR(__xludf.DUMMYFUNCTION("""COMPUTED_VALUE"""),"20220908LAJHA")</f>
        <v>20220908LAJHA</v>
      </c>
      <c r="B500" s="1" t="str">
        <f ca="1">IFERROR(__xludf.DUMMYFUNCTION("""COMPUTED_VALUE"""),"Handgun")</f>
        <v>Handgun</v>
      </c>
      <c r="C500" s="1"/>
      <c r="D500" s="1"/>
    </row>
    <row r="501" spans="1:4" ht="12.5">
      <c r="A501" s="1" t="str">
        <f ca="1">IFERROR(__xludf.DUMMYFUNCTION("""COMPUTED_VALUE"""),"20221014NCJAG")</f>
        <v>20221014NCJAG</v>
      </c>
      <c r="B501" s="1" t="str">
        <f ca="1">IFERROR(__xludf.DUMMYFUNCTION("""COMPUTED_VALUE"""),"Rifle")</f>
        <v>Rifle</v>
      </c>
      <c r="C501" s="1"/>
      <c r="D501" s="1" t="str">
        <f ca="1">IFERROR(__xludf.DUMMYFUNCTION("""COMPUTED_VALUE"""),"AR-15")</f>
        <v>AR-15</v>
      </c>
    </row>
    <row r="502" spans="1:4" ht="12.5">
      <c r="A502" s="1" t="str">
        <f ca="1">IFERROR(__xludf.DUMMYFUNCTION("""COMPUTED_VALUE"""),"20221014NCJAG")</f>
        <v>20221014NCJAG</v>
      </c>
      <c r="B502" s="1" t="str">
        <f ca="1">IFERROR(__xludf.DUMMYFUNCTION("""COMPUTED_VALUE"""),"Handgun")</f>
        <v>Handgun</v>
      </c>
      <c r="C502" s="1"/>
      <c r="D502" s="1"/>
    </row>
    <row r="503" spans="1:4" ht="12.5">
      <c r="A503" s="1" t="str">
        <f ca="1">IFERROR(__xludf.DUMMYFUNCTION("""COMPUTED_VALUE"""),"20221014VAWER")</f>
        <v>20221014VAWER</v>
      </c>
      <c r="B503" s="1" t="str">
        <f ca="1">IFERROR(__xludf.DUMMYFUNCTION("""COMPUTED_VALUE"""),"Handgun")</f>
        <v>Handgun</v>
      </c>
      <c r="C503" s="1"/>
      <c r="D503" s="1"/>
    </row>
    <row r="504" spans="1:4" ht="12.5">
      <c r="A504" s="1" t="str">
        <f ca="1">IFERROR(__xludf.DUMMYFUNCTION("""COMPUTED_VALUE"""),"20221014LABOB")</f>
        <v>20221014LABOB</v>
      </c>
      <c r="B504" s="1" t="str">
        <f ca="1">IFERROR(__xludf.DUMMYFUNCTION("""COMPUTED_VALUE"""),"Handgun")</f>
        <v>Handgun</v>
      </c>
      <c r="C504" s="1"/>
      <c r="D504" s="1"/>
    </row>
    <row r="505" spans="1:4" ht="12.5">
      <c r="A505" s="1" t="str">
        <f ca="1">IFERROR(__xludf.DUMMYFUNCTION("""COMPUTED_VALUE"""),"20221014TNRIM")</f>
        <v>20221014TNRIM</v>
      </c>
      <c r="B505" s="1" t="str">
        <f ca="1">IFERROR(__xludf.DUMMYFUNCTION("""COMPUTED_VALUE"""),"Handgun")</f>
        <v>Handgun</v>
      </c>
      <c r="C505" s="1"/>
      <c r="D505" s="1"/>
    </row>
    <row r="506" spans="1:4" ht="12.5">
      <c r="A506" s="1" t="str">
        <f ca="1">IFERROR(__xludf.DUMMYFUNCTION("""COMPUTED_VALUE"""),"20221013NYSCB")</f>
        <v>20221013NYSCB</v>
      </c>
      <c r="B506" s="1" t="str">
        <f ca="1">IFERROR(__xludf.DUMMYFUNCTION("""COMPUTED_VALUE"""),"Multiple Handguns")</f>
        <v>Multiple Handguns</v>
      </c>
      <c r="C506" s="1"/>
      <c r="D506" s="1"/>
    </row>
    <row r="507" spans="1:4" ht="12.5">
      <c r="A507" s="1" t="str">
        <f ca="1">IFERROR(__xludf.DUMMYFUNCTION("""COMPUTED_VALUE"""),"20221013TXJOD")</f>
        <v>20221013TXJOD</v>
      </c>
      <c r="B507" s="1" t="str">
        <f ca="1">IFERROR(__xludf.DUMMYFUNCTION("""COMPUTED_VALUE"""),"Handgun")</f>
        <v>Handgun</v>
      </c>
      <c r="C507" s="1"/>
      <c r="D507" s="1"/>
    </row>
    <row r="508" spans="1:4" ht="12.5">
      <c r="A508" s="1" t="str">
        <f ca="1">IFERROR(__xludf.DUMMYFUNCTION("""COMPUTED_VALUE"""),"20221012NCCAC")</f>
        <v>20221012NCCAC</v>
      </c>
      <c r="B508" s="1" t="str">
        <f ca="1">IFERROR(__xludf.DUMMYFUNCTION("""COMPUTED_VALUE"""),"Handgun")</f>
        <v>Handgun</v>
      </c>
      <c r="C508" s="1"/>
      <c r="D508" s="1"/>
    </row>
    <row r="509" spans="1:4" ht="12.5">
      <c r="A509" s="1" t="str">
        <f ca="1">IFERROR(__xludf.DUMMYFUNCTION("""COMPUTED_VALUE"""),"20221011ORREP")</f>
        <v>20221011ORREP</v>
      </c>
      <c r="B509" s="1" t="str">
        <f ca="1">IFERROR(__xludf.DUMMYFUNCTION("""COMPUTED_VALUE"""),"Handgun")</f>
        <v>Handgun</v>
      </c>
      <c r="C509" s="1"/>
      <c r="D509" s="1"/>
    </row>
    <row r="510" spans="1:4" ht="12.5">
      <c r="A510" s="1" t="str">
        <f ca="1">IFERROR(__xludf.DUMMYFUNCTION("""COMPUTED_VALUE"""),"20221011KSSAS")</f>
        <v>20221011KSSAS</v>
      </c>
      <c r="B510" s="1" t="str">
        <f ca="1">IFERROR(__xludf.DUMMYFUNCTION("""COMPUTED_VALUE"""),"Handgun")</f>
        <v>Handgun</v>
      </c>
      <c r="C510" s="1"/>
      <c r="D510" s="1"/>
    </row>
    <row r="511" spans="1:4" ht="12.5">
      <c r="A511" s="1" t="str">
        <f ca="1">IFERROR(__xludf.DUMMYFUNCTION("""COMPUTED_VALUE"""),"20221010WIJAM")</f>
        <v>20221010WIJAM</v>
      </c>
      <c r="B511" s="1" t="str">
        <f ca="1">IFERROR(__xludf.DUMMYFUNCTION("""COMPUTED_VALUE"""),"Handgun")</f>
        <v>Handgun</v>
      </c>
      <c r="C511" s="1"/>
      <c r="D511" s="1"/>
    </row>
    <row r="512" spans="1:4" ht="12.5">
      <c r="A512" s="1" t="str">
        <f ca="1">IFERROR(__xludf.DUMMYFUNCTION("""COMPUTED_VALUE"""),"20221009MAWAA")</f>
        <v>20221009MAWAA</v>
      </c>
      <c r="B512" s="1" t="str">
        <f ca="1">IFERROR(__xludf.DUMMYFUNCTION("""COMPUTED_VALUE"""),"Handgun")</f>
        <v>Handgun</v>
      </c>
      <c r="C512" s="1"/>
      <c r="D512" s="1"/>
    </row>
    <row r="513" spans="1:4" ht="12.5">
      <c r="A513" s="1" t="str">
        <f ca="1">IFERROR(__xludf.DUMMYFUNCTION("""COMPUTED_VALUE"""),"20221008MOJCK")</f>
        <v>20221008MOJCK</v>
      </c>
      <c r="B513" s="1" t="str">
        <f ca="1">IFERROR(__xludf.DUMMYFUNCTION("""COMPUTED_VALUE"""),"Handgun")</f>
        <v>Handgun</v>
      </c>
      <c r="C513" s="1"/>
      <c r="D513" s="1"/>
    </row>
    <row r="514" spans="1:4" ht="12.5">
      <c r="A514" s="1" t="str">
        <f ca="1">IFERROR(__xludf.DUMMYFUNCTION("""COMPUTED_VALUE"""),"20221007MIBAB")</f>
        <v>20221007MIBAB</v>
      </c>
      <c r="B514" s="1" t="str">
        <f ca="1">IFERROR(__xludf.DUMMYFUNCTION("""COMPUTED_VALUE"""),"Handgun")</f>
        <v>Handgun</v>
      </c>
      <c r="C514" s="1"/>
      <c r="D514" s="1"/>
    </row>
    <row r="515" spans="1:4" ht="12.5">
      <c r="A515" s="1" t="str">
        <f ca="1">IFERROR(__xludf.DUMMYFUNCTION("""COMPUTED_VALUE"""),"20221007NCJHG")</f>
        <v>20221007NCJHG</v>
      </c>
      <c r="B515" s="1" t="str">
        <f ca="1">IFERROR(__xludf.DUMMYFUNCTION("""COMPUTED_VALUE"""),"Handgun")</f>
        <v>Handgun</v>
      </c>
      <c r="C515" s="1"/>
      <c r="D515" s="1"/>
    </row>
    <row r="516" spans="1:4" ht="12.5">
      <c r="A516" s="1" t="str">
        <f ca="1">IFERROR(__xludf.DUMMYFUNCTION("""COMPUTED_VALUE"""),"20221007AZCAP")</f>
        <v>20221007AZCAP</v>
      </c>
      <c r="B516" s="1" t="str">
        <f ca="1">IFERROR(__xludf.DUMMYFUNCTION("""COMPUTED_VALUE"""),"Handgun")</f>
        <v>Handgun</v>
      </c>
      <c r="C516" s="1"/>
      <c r="D516" s="1"/>
    </row>
    <row r="517" spans="1:4" ht="12.5">
      <c r="A517" s="1" t="str">
        <f ca="1">IFERROR(__xludf.DUMMYFUNCTION("""COMPUTED_VALUE"""),"20221007OHWHT")</f>
        <v>20221007OHWHT</v>
      </c>
      <c r="B517" s="1" t="str">
        <f ca="1">IFERROR(__xludf.DUMMYFUNCTION("""COMPUTED_VALUE"""),"Handgun")</f>
        <v>Handgun</v>
      </c>
      <c r="C517" s="1"/>
      <c r="D517" s="1"/>
    </row>
    <row r="518" spans="1:4" ht="12.5">
      <c r="A518" s="1" t="str">
        <f ca="1">IFERROR(__xludf.DUMMYFUNCTION("""COMPUTED_VALUE"""),"20221006OHMAC")</f>
        <v>20221006OHMAC</v>
      </c>
      <c r="B518" s="1" t="str">
        <f ca="1">IFERROR(__xludf.DUMMYFUNCTION("""COMPUTED_VALUE"""),"Handgun")</f>
        <v>Handgun</v>
      </c>
      <c r="C518" s="1"/>
      <c r="D518" s="1"/>
    </row>
    <row r="519" spans="1:4" ht="12.5">
      <c r="A519" s="1" t="str">
        <f ca="1">IFERROR(__xludf.DUMMYFUNCTION("""COMPUTED_VALUE"""),"20221004MAJB")</f>
        <v>20221004MAJB</v>
      </c>
      <c r="B519" s="1" t="str">
        <f ca="1">IFERROR(__xludf.DUMMYFUNCTION("""COMPUTED_VALUE"""),"Handgun")</f>
        <v>Handgun</v>
      </c>
      <c r="C519" s="1"/>
      <c r="D519" s="1"/>
    </row>
    <row r="520" spans="1:4" ht="12.5">
      <c r="A520" s="1" t="str">
        <f ca="1">IFERROR(__xludf.DUMMYFUNCTION("""COMPUTED_VALUE"""),"20221004NCPIS")</f>
        <v>20221004NCPIS</v>
      </c>
      <c r="B520" s="1"/>
      <c r="C520" s="1"/>
      <c r="D520" s="1"/>
    </row>
    <row r="521" spans="1:4" ht="12.5">
      <c r="A521" s="1" t="str">
        <f ca="1">IFERROR(__xludf.DUMMYFUNCTION("""COMPUTED_VALUE"""),"20221003MIOXO")</f>
        <v>20221003MIOXO</v>
      </c>
      <c r="B521" s="1" t="str">
        <f ca="1">IFERROR(__xludf.DUMMYFUNCTION("""COMPUTED_VALUE"""),"Handgun")</f>
        <v>Handgun</v>
      </c>
      <c r="C521" s="1"/>
      <c r="D521" s="1"/>
    </row>
    <row r="522" spans="1:4" ht="12.5">
      <c r="A522" s="1" t="str">
        <f ca="1">IFERROR(__xludf.DUMMYFUNCTION("""COMPUTED_VALUE"""),"20221001CACOO")</f>
        <v>20221001CACOO</v>
      </c>
      <c r="B522" s="1" t="str">
        <f ca="1">IFERROR(__xludf.DUMMYFUNCTION("""COMPUTED_VALUE"""),"Handgun")</f>
        <v>Handgun</v>
      </c>
      <c r="C522" s="1"/>
      <c r="D522" s="1"/>
    </row>
    <row r="523" spans="1:4" ht="12.5">
      <c r="A523" s="1" t="str">
        <f ca="1">IFERROR(__xludf.DUMMYFUNCTION("""COMPUTED_VALUE"""),"20220930OKMCT")</f>
        <v>20220930OKMCT</v>
      </c>
      <c r="B523" s="1" t="str">
        <f ca="1">IFERROR(__xludf.DUMMYFUNCTION("""COMPUTED_VALUE"""),"Handgun")</f>
        <v>Handgun</v>
      </c>
      <c r="C523" s="1"/>
      <c r="D523" s="1"/>
    </row>
    <row r="524" spans="1:4" ht="12.5">
      <c r="A524" s="1" t="str">
        <f ca="1">IFERROR(__xludf.DUMMYFUNCTION("""COMPUTED_VALUE"""),"20220930NYNEN")</f>
        <v>20220930NYNEN</v>
      </c>
      <c r="B524" s="1" t="str">
        <f ca="1">IFERROR(__xludf.DUMMYFUNCTION("""COMPUTED_VALUE"""),"Handgun")</f>
        <v>Handgun</v>
      </c>
      <c r="C524" s="1"/>
      <c r="D524" s="1"/>
    </row>
    <row r="525" spans="1:4" ht="12.5">
      <c r="A525" s="1" t="str">
        <f ca="1">IFERROR(__xludf.DUMMYFUNCTION("""COMPUTED_VALUE"""),"20220928LASEB")</f>
        <v>20220928LASEB</v>
      </c>
      <c r="B525" s="1" t="str">
        <f ca="1">IFERROR(__xludf.DUMMYFUNCTION("""COMPUTED_VALUE"""),"Handgun")</f>
        <v>Handgun</v>
      </c>
      <c r="C525" s="1"/>
      <c r="D525" s="1"/>
    </row>
    <row r="526" spans="1:4" ht="12.5">
      <c r="A526" s="1" t="str">
        <f ca="1">IFERROR(__xludf.DUMMYFUNCTION("""COMPUTED_VALUE"""),"20220928CARUO")</f>
        <v>20220928CARUO</v>
      </c>
      <c r="B526" s="1" t="str">
        <f ca="1">IFERROR(__xludf.DUMMYFUNCTION("""COMPUTED_VALUE"""),"Handgun")</f>
        <v>Handgun</v>
      </c>
      <c r="C526" s="1"/>
      <c r="D526" s="1"/>
    </row>
    <row r="527" spans="1:4" ht="12.5">
      <c r="A527" s="1" t="str">
        <f ca="1">IFERROR(__xludf.DUMMYFUNCTION("""COMPUTED_VALUE"""),"20220927PAROP")</f>
        <v>20220927PAROP</v>
      </c>
      <c r="B527" s="1" t="str">
        <f ca="1">IFERROR(__xludf.DUMMYFUNCTION("""COMPUTED_VALUE"""),"Multiple Unknown")</f>
        <v>Multiple Unknown</v>
      </c>
      <c r="C527" s="1"/>
      <c r="D527" s="1"/>
    </row>
    <row r="528" spans="1:4" ht="12.5">
      <c r="A528" s="1" t="str">
        <f ca="1">IFERROR(__xludf.DUMMYFUNCTION("""COMPUTED_VALUE"""),"20220927TXHGD")</f>
        <v>20220927TXHGD</v>
      </c>
      <c r="B528" s="1"/>
      <c r="C528" s="1"/>
      <c r="D528" s="1"/>
    </row>
    <row r="529" spans="1:4" ht="12.5">
      <c r="A529" s="1" t="str">
        <f ca="1">IFERROR(__xludf.DUMMYFUNCTION("""COMPUTED_VALUE"""),"20220926GAVAV")</f>
        <v>20220926GAVAV</v>
      </c>
      <c r="B529" s="1" t="str">
        <f ca="1">IFERROR(__xludf.DUMMYFUNCTION("""COMPUTED_VALUE"""),"Handgun")</f>
        <v>Handgun</v>
      </c>
      <c r="C529" s="1"/>
      <c r="D529" s="1"/>
    </row>
    <row r="530" spans="1:4" ht="12.5">
      <c r="A530" s="1" t="str">
        <f ca="1">IFERROR(__xludf.DUMMYFUNCTION("""COMPUTED_VALUE"""),"20220923CANOC")</f>
        <v>20220923CANOC</v>
      </c>
      <c r="B530" s="1" t="str">
        <f ca="1">IFERROR(__xludf.DUMMYFUNCTION("""COMPUTED_VALUE"""),"Handgun")</f>
        <v>Handgun</v>
      </c>
      <c r="C530" s="1"/>
      <c r="D530" s="1"/>
    </row>
    <row r="531" spans="1:4" ht="12.5">
      <c r="A531" s="1" t="str">
        <f ca="1">IFERROR(__xludf.DUMMYFUNCTION("""COMPUTED_VALUE"""),"20220923WIROM")</f>
        <v>20220923WIROM</v>
      </c>
      <c r="B531" s="1" t="str">
        <f ca="1">IFERROR(__xludf.DUMMYFUNCTION("""COMPUTED_VALUE"""),"Handgun")</f>
        <v>Handgun</v>
      </c>
      <c r="C531" s="1"/>
      <c r="D531" s="1"/>
    </row>
    <row r="532" spans="1:4" ht="12.5">
      <c r="A532" s="1" t="str">
        <f ca="1">IFERROR(__xludf.DUMMYFUNCTION("""COMPUTED_VALUE"""),"20220923PAWEP")</f>
        <v>20220923PAWEP</v>
      </c>
      <c r="B532" s="1" t="str">
        <f ca="1">IFERROR(__xludf.DUMMYFUNCTION("""COMPUTED_VALUE"""),"Handgun")</f>
        <v>Handgun</v>
      </c>
      <c r="C532" s="1"/>
      <c r="D532" s="1"/>
    </row>
    <row r="533" spans="1:4" ht="12.5">
      <c r="A533" s="1" t="str">
        <f ca="1">IFERROR(__xludf.DUMMYFUNCTION("""COMPUTED_VALUE"""),"20220923DEAPM")</f>
        <v>20220923DEAPM</v>
      </c>
      <c r="B533" s="1" t="str">
        <f ca="1">IFERROR(__xludf.DUMMYFUNCTION("""COMPUTED_VALUE"""),"Handgun")</f>
        <v>Handgun</v>
      </c>
      <c r="C533" s="1"/>
      <c r="D533" s="1"/>
    </row>
    <row r="534" spans="1:4" ht="12.5">
      <c r="A534" s="1" t="str">
        <f ca="1">IFERROR(__xludf.DUMMYFUNCTION("""COMPUTED_VALUE"""),"20220923MNRIM")</f>
        <v>20220923MNRIM</v>
      </c>
      <c r="B534" s="1" t="str">
        <f ca="1">IFERROR(__xludf.DUMMYFUNCTION("""COMPUTED_VALUE"""),"Handgun")</f>
        <v>Handgun</v>
      </c>
      <c r="C534" s="1"/>
      <c r="D534" s="1"/>
    </row>
    <row r="535" spans="1:4" ht="12.5">
      <c r="A535" s="1" t="str">
        <f ca="1">IFERROR(__xludf.DUMMYFUNCTION("""COMPUTED_VALUE"""),"20220922AZMOP")</f>
        <v>20220922AZMOP</v>
      </c>
      <c r="B535" s="1" t="str">
        <f ca="1">IFERROR(__xludf.DUMMYFUNCTION("""COMPUTED_VALUE"""),"Handgun")</f>
        <v>Handgun</v>
      </c>
      <c r="C535" s="1"/>
      <c r="D535" s="1"/>
    </row>
    <row r="536" spans="1:4" ht="12.5">
      <c r="A536" s="1" t="str">
        <f ca="1">IFERROR(__xludf.DUMMYFUNCTION("""COMPUTED_VALUE"""),"20220921INJAS")</f>
        <v>20220921INJAS</v>
      </c>
      <c r="B536" s="1" t="str">
        <f ca="1">IFERROR(__xludf.DUMMYFUNCTION("""COMPUTED_VALUE"""),"Handgun")</f>
        <v>Handgun</v>
      </c>
      <c r="C536" s="1"/>
      <c r="D536" s="1" t="str">
        <f ca="1">IFERROR(__xludf.DUMMYFUNCTION("""COMPUTED_VALUE"""),"Serial number removed")</f>
        <v>Serial number removed</v>
      </c>
    </row>
    <row r="537" spans="1:4" ht="12.5">
      <c r="A537" s="1" t="str">
        <f ca="1">IFERROR(__xludf.DUMMYFUNCTION("""COMPUTED_VALUE"""),"20220920NYINB")</f>
        <v>20220920NYINB</v>
      </c>
      <c r="B537" s="1" t="str">
        <f ca="1">IFERROR(__xludf.DUMMYFUNCTION("""COMPUTED_VALUE"""),"Handgun")</f>
        <v>Handgun</v>
      </c>
      <c r="C537" s="1"/>
      <c r="D537" s="1"/>
    </row>
    <row r="538" spans="1:4" ht="12.5">
      <c r="A538" s="1" t="str">
        <f ca="1">IFERROR(__xludf.DUMMYFUNCTION("""COMPUTED_VALUE"""),"20220919FLTRS")</f>
        <v>20220919FLTRS</v>
      </c>
      <c r="B538" s="1" t="str">
        <f ca="1">IFERROR(__xludf.DUMMYFUNCTION("""COMPUTED_VALUE"""),"Handgun")</f>
        <v>Handgun</v>
      </c>
      <c r="C538" s="1" t="str">
        <f ca="1">IFERROR(__xludf.DUMMYFUNCTION("""COMPUTED_VALUE"""),"Service Weapon")</f>
        <v>Service Weapon</v>
      </c>
      <c r="D538" s="1"/>
    </row>
    <row r="539" spans="1:4" ht="12.5">
      <c r="A539" s="1" t="str">
        <f ca="1">IFERROR(__xludf.DUMMYFUNCTION("""COMPUTED_VALUE"""),"20220919LALAN")</f>
        <v>20220919LALAN</v>
      </c>
      <c r="B539" s="1"/>
      <c r="C539" s="1"/>
      <c r="D539" s="1"/>
    </row>
    <row r="540" spans="1:4" ht="12.5">
      <c r="A540" s="1" t="str">
        <f ca="1">IFERROR(__xludf.DUMMYFUNCTION("""COMPUTED_VALUE"""),"20220917GAJOA")</f>
        <v>20220917GAJOA</v>
      </c>
      <c r="B540" s="1" t="str">
        <f ca="1">IFERROR(__xludf.DUMMYFUNCTION("""COMPUTED_VALUE"""),"Handgun")</f>
        <v>Handgun</v>
      </c>
      <c r="C540" s="1"/>
      <c r="D540" s="1"/>
    </row>
    <row r="541" spans="1:4" ht="12.5">
      <c r="A541" s="1" t="str">
        <f ca="1">IFERROR(__xludf.DUMMYFUNCTION("""COMPUTED_VALUE"""),"20220916GALAA")</f>
        <v>20220916GALAA</v>
      </c>
      <c r="B541" s="1" t="str">
        <f ca="1">IFERROR(__xludf.DUMMYFUNCTION("""COMPUTED_VALUE"""),"Multiple Handguns")</f>
        <v>Multiple Handguns</v>
      </c>
      <c r="C541" s="1"/>
      <c r="D541" s="1"/>
    </row>
    <row r="542" spans="1:4" ht="12.5">
      <c r="A542" s="1" t="str">
        <f ca="1">IFERROR(__xludf.DUMMYFUNCTION("""COMPUTED_VALUE"""),"20220916NYPSN")</f>
        <v>20220916NYPSN</v>
      </c>
      <c r="B542" s="1" t="str">
        <f ca="1">IFERROR(__xludf.DUMMYFUNCTION("""COMPUTED_VALUE"""),"Other")</f>
        <v>Other</v>
      </c>
      <c r="C542" s="1" t="str">
        <f ca="1">IFERROR(__xludf.DUMMYFUNCTION("""COMPUTED_VALUE"""),"Pellet")</f>
        <v>Pellet</v>
      </c>
      <c r="D542" s="1"/>
    </row>
    <row r="543" spans="1:4" ht="12.5">
      <c r="A543" s="1" t="str">
        <f ca="1">IFERROR(__xludf.DUMMYFUNCTION("""COMPUTED_VALUE"""),"20220914PACON")</f>
        <v>20220914PACON</v>
      </c>
      <c r="B543" s="1" t="str">
        <f ca="1">IFERROR(__xludf.DUMMYFUNCTION("""COMPUTED_VALUE"""),"Other")</f>
        <v>Other</v>
      </c>
      <c r="C543" s="1" t="str">
        <f ca="1">IFERROR(__xludf.DUMMYFUNCTION("""COMPUTED_VALUE"""),"BB")</f>
        <v>BB</v>
      </c>
      <c r="D543" s="1"/>
    </row>
    <row r="544" spans="1:4" ht="12.5">
      <c r="A544" s="1" t="str">
        <f ca="1">IFERROR(__xludf.DUMMYFUNCTION("""COMPUTED_VALUE"""),"20220913UTBOB")</f>
        <v>20220913UTBOB</v>
      </c>
      <c r="B544" s="1" t="str">
        <f ca="1">IFERROR(__xludf.DUMMYFUNCTION("""COMPUTED_VALUE"""),"Handgun")</f>
        <v>Handgun</v>
      </c>
      <c r="C544" s="1"/>
      <c r="D544" s="1"/>
    </row>
    <row r="545" spans="1:4" ht="12.5">
      <c r="A545" s="1" t="str">
        <f ca="1">IFERROR(__xludf.DUMMYFUNCTION("""COMPUTED_VALUE"""),"20220913MIJAJ")</f>
        <v>20220913MIJAJ</v>
      </c>
      <c r="B545" s="1"/>
      <c r="C545" s="1"/>
      <c r="D545" s="1"/>
    </row>
    <row r="546" spans="1:4" ht="12.5">
      <c r="A546" s="1" t="str">
        <f ca="1">IFERROR(__xludf.DUMMYFUNCTION("""COMPUTED_VALUE"""),"20220913MDOXO")</f>
        <v>20220913MDOXO</v>
      </c>
      <c r="B546" s="1"/>
      <c r="C546" s="1"/>
      <c r="D546" s="1"/>
    </row>
    <row r="547" spans="1:4" ht="12.5">
      <c r="A547" s="1" t="str">
        <f ca="1">IFERROR(__xludf.DUMMYFUNCTION("""COMPUTED_VALUE"""),"20220913CAVAV")</f>
        <v>20220913CAVAV</v>
      </c>
      <c r="B547" s="1" t="str">
        <f ca="1">IFERROR(__xludf.DUMMYFUNCTION("""COMPUTED_VALUE"""),"Handgun")</f>
        <v>Handgun</v>
      </c>
      <c r="C547" s="1"/>
      <c r="D547" s="1"/>
    </row>
    <row r="548" spans="1:4" ht="12.5">
      <c r="A548" s="1" t="str">
        <f ca="1">IFERROR(__xludf.DUMMYFUNCTION("""COMPUTED_VALUE"""),"20220909WIWIR")</f>
        <v>20220909WIWIR</v>
      </c>
      <c r="B548" s="1" t="str">
        <f ca="1">IFERROR(__xludf.DUMMYFUNCTION("""COMPUTED_VALUE"""),"Handgun")</f>
        <v>Handgun</v>
      </c>
      <c r="C548" s="1"/>
      <c r="D548" s="1"/>
    </row>
    <row r="549" spans="1:4" ht="12.5">
      <c r="A549" s="1" t="str">
        <f ca="1">IFERROR(__xludf.DUMMYFUNCTION("""COMPUTED_VALUE"""),"20220909WIMIM")</f>
        <v>20220909WIMIM</v>
      </c>
      <c r="B549" s="1"/>
      <c r="C549" s="1"/>
      <c r="D549" s="1"/>
    </row>
    <row r="550" spans="1:4" ht="12.5">
      <c r="A550" s="1" t="str">
        <f ca="1">IFERROR(__xludf.DUMMYFUNCTION("""COMPUTED_VALUE"""),"20220907OHBEB")</f>
        <v>20220907OHBEB</v>
      </c>
      <c r="B550" s="1"/>
      <c r="C550" s="1"/>
      <c r="D550" s="1"/>
    </row>
    <row r="551" spans="1:4" ht="12.5">
      <c r="A551" s="1" t="str">
        <f ca="1">IFERROR(__xludf.DUMMYFUNCTION("""COMPUTED_VALUE"""),"20220907MDCAB")</f>
        <v>20220907MDCAB</v>
      </c>
      <c r="B551" s="1" t="str">
        <f ca="1">IFERROR(__xludf.DUMMYFUNCTION("""COMPUTED_VALUE"""),"Handgun")</f>
        <v>Handgun</v>
      </c>
      <c r="C551" s="1"/>
      <c r="D551" s="1"/>
    </row>
    <row r="552" spans="1:4" ht="12.5">
      <c r="A552" s="1" t="str">
        <f ca="1">IFERROR(__xludf.DUMMYFUNCTION("""COMPUTED_VALUE"""),"20220907WIBAM")</f>
        <v>20220907WIBAM</v>
      </c>
      <c r="B552" s="1" t="str">
        <f ca="1">IFERROR(__xludf.DUMMYFUNCTION("""COMPUTED_VALUE"""),"Handgun")</f>
        <v>Handgun</v>
      </c>
      <c r="C552" s="1"/>
      <c r="D552" s="1" t="str">
        <f ca="1">IFERROR(__xludf.DUMMYFUNCTION("""COMPUTED_VALUE"""),"Fully auto")</f>
        <v>Fully auto</v>
      </c>
    </row>
    <row r="553" spans="1:4" ht="12.5">
      <c r="A553" s="1" t="str">
        <f ca="1">IFERROR(__xludf.DUMMYFUNCTION("""COMPUTED_VALUE"""),"20220907WIBAM")</f>
        <v>20220907WIBAM</v>
      </c>
      <c r="B553" s="1" t="str">
        <f ca="1">IFERROR(__xludf.DUMMYFUNCTION("""COMPUTED_VALUE"""),"Rifle")</f>
        <v>Rifle</v>
      </c>
      <c r="C553" s="1"/>
      <c r="D553" s="1" t="str">
        <f ca="1">IFERROR(__xludf.DUMMYFUNCTION("""COMPUTED_VALUE"""),"Fully auto")</f>
        <v>Fully auto</v>
      </c>
    </row>
    <row r="554" spans="1:4" ht="12.5">
      <c r="A554" s="1" t="str">
        <f ca="1">IFERROR(__xludf.DUMMYFUNCTION("""COMPUTED_VALUE"""),"20220906IANOS")</f>
        <v>20220906IANOS</v>
      </c>
      <c r="B554" s="1" t="str">
        <f ca="1">IFERROR(__xludf.DUMMYFUNCTION("""COMPUTED_VALUE"""),"Other")</f>
        <v>Other</v>
      </c>
      <c r="C554" s="1" t="str">
        <f ca="1">IFERROR(__xludf.DUMMYFUNCTION("""COMPUTED_VALUE"""),"Pellet")</f>
        <v>Pellet</v>
      </c>
      <c r="D554" s="1"/>
    </row>
    <row r="555" spans="1:4" ht="12.5">
      <c r="A555" s="1" t="str">
        <f ca="1">IFERROR(__xludf.DUMMYFUNCTION("""COMPUTED_VALUE"""),"20220904FLBOL")</f>
        <v>20220904FLBOL</v>
      </c>
      <c r="B555" s="1" t="str">
        <f ca="1">IFERROR(__xludf.DUMMYFUNCTION("""COMPUTED_VALUE"""),"Handgun")</f>
        <v>Handgun</v>
      </c>
      <c r="C555" s="1"/>
      <c r="D555" s="1"/>
    </row>
    <row r="556" spans="1:4" ht="12.5">
      <c r="A556" s="1" t="str">
        <f ca="1">IFERROR(__xludf.DUMMYFUNCTION("""COMPUTED_VALUE"""),"20220902INJEL")</f>
        <v>20220902INJEL</v>
      </c>
      <c r="B556" s="1" t="str">
        <f ca="1">IFERROR(__xludf.DUMMYFUNCTION("""COMPUTED_VALUE"""),"Handgun")</f>
        <v>Handgun</v>
      </c>
      <c r="C556" s="1"/>
      <c r="D556" s="1"/>
    </row>
    <row r="557" spans="1:4" ht="12.5">
      <c r="A557" s="1" t="str">
        <f ca="1">IFERROR(__xludf.DUMMYFUNCTION("""COMPUTED_VALUE"""),"20220902MDMEB")</f>
        <v>20220902MDMEB</v>
      </c>
      <c r="B557" s="1" t="str">
        <f ca="1">IFERROR(__xludf.DUMMYFUNCTION("""COMPUTED_VALUE"""),"Handgun")</f>
        <v>Handgun</v>
      </c>
      <c r="C557" s="1"/>
      <c r="D557" s="1"/>
    </row>
    <row r="558" spans="1:4" ht="12.5">
      <c r="A558" s="1" t="str">
        <f ca="1">IFERROR(__xludf.DUMMYFUNCTION("""COMPUTED_VALUE"""),"20220831DCIDW")</f>
        <v>20220831DCIDW</v>
      </c>
      <c r="B558" s="1" t="str">
        <f ca="1">IFERROR(__xludf.DUMMYFUNCTION("""COMPUTED_VALUE"""),"Handgun")</f>
        <v>Handgun</v>
      </c>
      <c r="C558" s="1"/>
      <c r="D558" s="1"/>
    </row>
    <row r="559" spans="1:4" ht="12.5">
      <c r="A559" s="1" t="str">
        <f ca="1">IFERROR(__xludf.DUMMYFUNCTION("""COMPUTED_VALUE"""),"20220831NMDEA")</f>
        <v>20220831NMDEA</v>
      </c>
      <c r="B559" s="1" t="str">
        <f ca="1">IFERROR(__xludf.DUMMYFUNCTION("""COMPUTED_VALUE"""),"Handgun")</f>
        <v>Handgun</v>
      </c>
      <c r="C559" s="1"/>
      <c r="D559" s="1"/>
    </row>
    <row r="560" spans="1:4" ht="12.5">
      <c r="A560" s="1" t="str">
        <f ca="1">IFERROR(__xludf.DUMMYFUNCTION("""COMPUTED_VALUE"""),"20220831PAFRP")</f>
        <v>20220831PAFRP</v>
      </c>
      <c r="B560" s="1" t="str">
        <f ca="1">IFERROR(__xludf.DUMMYFUNCTION("""COMPUTED_VALUE"""),"Handgun")</f>
        <v>Handgun</v>
      </c>
      <c r="C560" s="1"/>
      <c r="D560" s="1"/>
    </row>
    <row r="561" spans="1:4" ht="12.5">
      <c r="A561" s="1" t="str">
        <f ca="1">IFERROR(__xludf.DUMMYFUNCTION("""COMPUTED_VALUE"""),"20220831PAFRP")</f>
        <v>20220831PAFRP</v>
      </c>
      <c r="B561" s="1" t="str">
        <f ca="1">IFERROR(__xludf.DUMMYFUNCTION("""COMPUTED_VALUE"""),"Rifle")</f>
        <v>Rifle</v>
      </c>
      <c r="C561" s="1"/>
      <c r="D561" s="1" t="str">
        <f ca="1">IFERROR(__xludf.DUMMYFUNCTION("""COMPUTED_VALUE"""),"Semi auto rifle")</f>
        <v>Semi auto rifle</v>
      </c>
    </row>
    <row r="562" spans="1:4" ht="12.5">
      <c r="A562" s="1" t="str">
        <f ca="1">IFERROR(__xludf.DUMMYFUNCTION("""COMPUTED_VALUE"""),"20220829CAMAO")</f>
        <v>20220829CAMAO</v>
      </c>
      <c r="B562" s="1" t="str">
        <f ca="1">IFERROR(__xludf.DUMMYFUNCTION("""COMPUTED_VALUE"""),"Handgun")</f>
        <v>Handgun</v>
      </c>
      <c r="C562" s="1"/>
      <c r="D562" s="1"/>
    </row>
    <row r="563" spans="1:4" ht="12.5">
      <c r="A563" s="1" t="str">
        <f ca="1">IFERROR(__xludf.DUMMYFUNCTION("""COMPUTED_VALUE"""),"20220827MONOS")</f>
        <v>20220827MONOS</v>
      </c>
      <c r="B563" s="1" t="str">
        <f ca="1">IFERROR(__xludf.DUMMYFUNCTION("""COMPUTED_VALUE"""),"Handgun")</f>
        <v>Handgun</v>
      </c>
      <c r="C563" s="1"/>
      <c r="D563" s="1"/>
    </row>
    <row r="564" spans="1:4" ht="12.5">
      <c r="A564" s="1" t="str">
        <f ca="1">IFERROR(__xludf.DUMMYFUNCTION("""COMPUTED_VALUE"""),"20220826OHGAC")</f>
        <v>20220826OHGAC</v>
      </c>
      <c r="B564" s="1" t="str">
        <f ca="1">IFERROR(__xludf.DUMMYFUNCTION("""COMPUTED_VALUE"""),"Handgun")</f>
        <v>Handgun</v>
      </c>
      <c r="C564" s="1"/>
      <c r="D564" s="1"/>
    </row>
    <row r="565" spans="1:4" ht="12.5">
      <c r="A565" s="1" t="str">
        <f ca="1">IFERROR(__xludf.DUMMYFUNCTION("""COMPUTED_VALUE"""),"20220823OHINC")</f>
        <v>20220823OHINC</v>
      </c>
      <c r="B565" s="1" t="str">
        <f ca="1">IFERROR(__xludf.DUMMYFUNCTION("""COMPUTED_VALUE"""),"Other")</f>
        <v>Other</v>
      </c>
      <c r="C565" s="1" t="str">
        <f ca="1">IFERROR(__xludf.DUMMYFUNCTION("""COMPUTED_VALUE"""),"BB")</f>
        <v>BB</v>
      </c>
      <c r="D565" s="1"/>
    </row>
    <row r="566" spans="1:4" ht="12.5">
      <c r="A566" s="1" t="str">
        <f ca="1">IFERROR(__xludf.DUMMYFUNCTION("""COMPUTED_VALUE"""),"20220823OHART")</f>
        <v>20220823OHART</v>
      </c>
      <c r="B566" s="1" t="str">
        <f ca="1">IFERROR(__xludf.DUMMYFUNCTION("""COMPUTED_VALUE"""),"Handgun")</f>
        <v>Handgun</v>
      </c>
      <c r="C566" s="1"/>
      <c r="D566" s="1"/>
    </row>
    <row r="567" spans="1:4" ht="12.5">
      <c r="A567" s="1" t="str">
        <f ca="1">IFERROR(__xludf.DUMMYFUNCTION("""COMPUTED_VALUE"""),"20220819LAAKN")</f>
        <v>20220819LAAKN</v>
      </c>
      <c r="B567" s="1" t="str">
        <f ca="1">IFERROR(__xludf.DUMMYFUNCTION("""COMPUTED_VALUE"""),"Handgun")</f>
        <v>Handgun</v>
      </c>
      <c r="C567" s="1"/>
      <c r="D567" s="1"/>
    </row>
    <row r="568" spans="1:4" ht="12.5">
      <c r="A568" s="1" t="str">
        <f ca="1">IFERROR(__xludf.DUMMYFUNCTION("""COMPUTED_VALUE"""),"20220819OHGRG")</f>
        <v>20220819OHGRG</v>
      </c>
      <c r="B568" s="1" t="str">
        <f ca="1">IFERROR(__xludf.DUMMYFUNCTION("""COMPUTED_VALUE"""),"Handgun")</f>
        <v>Handgun</v>
      </c>
      <c r="C568" s="1" t="str">
        <f ca="1">IFERROR(__xludf.DUMMYFUNCTION("""COMPUTED_VALUE"""),"10mm")</f>
        <v>10mm</v>
      </c>
      <c r="D568" s="1" t="str">
        <f ca="1">IFERROR(__xludf.DUMMYFUNCTION("""COMPUTED_VALUE"""),"Glock modified for full auto")</f>
        <v>Glock modified for full auto</v>
      </c>
    </row>
    <row r="569" spans="1:4" ht="12.5">
      <c r="A569" s="1" t="str">
        <f ca="1">IFERROR(__xludf.DUMMYFUNCTION("""COMPUTED_VALUE"""),"20220819TNWEC")</f>
        <v>20220819TNWEC</v>
      </c>
      <c r="B569" s="1"/>
      <c r="C569" s="1"/>
      <c r="D569" s="1"/>
    </row>
    <row r="570" spans="1:4" ht="12.5">
      <c r="A570" s="1" t="str">
        <f ca="1">IFERROR(__xludf.DUMMYFUNCTION("""COMPUTED_VALUE"""),"20220818FLLER")</f>
        <v>20220818FLLER</v>
      </c>
      <c r="B570" s="1" t="str">
        <f ca="1">IFERROR(__xludf.DUMMYFUNCTION("""COMPUTED_VALUE"""),"Handgun")</f>
        <v>Handgun</v>
      </c>
      <c r="C570" s="1"/>
      <c r="D570" s="1"/>
    </row>
    <row r="571" spans="1:4" ht="12.5">
      <c r="A571" s="1" t="str">
        <f ca="1">IFERROR(__xludf.DUMMYFUNCTION("""COMPUTED_VALUE"""),"20220816TXPOB")</f>
        <v>20220816TXPOB</v>
      </c>
      <c r="B571" s="1" t="str">
        <f ca="1">IFERROR(__xludf.DUMMYFUNCTION("""COMPUTED_VALUE"""),"Handgun")</f>
        <v>Handgun</v>
      </c>
      <c r="C571" s="1"/>
      <c r="D571" s="1"/>
    </row>
    <row r="572" spans="1:4" ht="12.5">
      <c r="A572" s="1" t="str">
        <f ca="1">IFERROR(__xludf.DUMMYFUNCTION("""COMPUTED_VALUE"""),"20220815CALIS")</f>
        <v>20220815CALIS</v>
      </c>
      <c r="B572" s="1" t="str">
        <f ca="1">IFERROR(__xludf.DUMMYFUNCTION("""COMPUTED_VALUE"""),"Handgun")</f>
        <v>Handgun</v>
      </c>
      <c r="C572" s="1"/>
      <c r="D572" s="1"/>
    </row>
    <row r="573" spans="1:4" ht="12.5">
      <c r="A573" s="1" t="str">
        <f ca="1">IFERROR(__xludf.DUMMYFUNCTION("""COMPUTED_VALUE"""),"20220813ARMAL")</f>
        <v>20220813ARMAL</v>
      </c>
      <c r="B573" s="1"/>
      <c r="C573" s="1"/>
      <c r="D573" s="1"/>
    </row>
    <row r="574" spans="1:4" ht="12.5">
      <c r="A574" s="1" t="str">
        <f ca="1">IFERROR(__xludf.DUMMYFUNCTION("""COMPUTED_VALUE"""),"20220812MISUG")</f>
        <v>20220812MISUG</v>
      </c>
      <c r="B574" s="1" t="str">
        <f ca="1">IFERROR(__xludf.DUMMYFUNCTION("""COMPUTED_VALUE"""),"Handgun")</f>
        <v>Handgun</v>
      </c>
      <c r="C574" s="1" t="str">
        <f ca="1">IFERROR(__xludf.DUMMYFUNCTION("""COMPUTED_VALUE"""),"9mm")</f>
        <v>9mm</v>
      </c>
      <c r="D574" s="1"/>
    </row>
    <row r="575" spans="1:4" ht="12.5">
      <c r="A575" s="1" t="str">
        <f ca="1">IFERROR(__xludf.DUMMYFUNCTION("""COMPUTED_VALUE"""),"20220812CASIV")</f>
        <v>20220812CASIV</v>
      </c>
      <c r="B575" s="1" t="str">
        <f ca="1">IFERROR(__xludf.DUMMYFUNCTION("""COMPUTED_VALUE"""),"Handgun")</f>
        <v>Handgun</v>
      </c>
      <c r="C575" s="1"/>
      <c r="D575" s="1"/>
    </row>
    <row r="576" spans="1:4" ht="12.5">
      <c r="A576" s="1" t="str">
        <f ca="1">IFERROR(__xludf.DUMMYFUNCTION("""COMPUTED_VALUE"""),"20220811GAUCB")</f>
        <v>20220811GAUCB</v>
      </c>
      <c r="B576" s="1"/>
      <c r="C576" s="1"/>
      <c r="D576" s="1"/>
    </row>
    <row r="577" spans="1:4" ht="12.5">
      <c r="A577" s="1" t="str">
        <f ca="1">IFERROR(__xludf.DUMMYFUNCTION("""COMPUTED_VALUE"""),"20220810GAMCA")</f>
        <v>20220810GAMCA</v>
      </c>
      <c r="B577" s="1" t="str">
        <f ca="1">IFERROR(__xludf.DUMMYFUNCTION("""COMPUTED_VALUE"""),"Multiple Handguns")</f>
        <v>Multiple Handguns</v>
      </c>
      <c r="C577" s="1"/>
      <c r="D577" s="1"/>
    </row>
    <row r="578" spans="1:4" ht="12.5">
      <c r="A578" s="1" t="str">
        <f ca="1">IFERROR(__xludf.DUMMYFUNCTION("""COMPUTED_VALUE"""),"20220809PACHP")</f>
        <v>20220809PACHP</v>
      </c>
      <c r="B578" s="1" t="str">
        <f ca="1">IFERROR(__xludf.DUMMYFUNCTION("""COMPUTED_VALUE"""),"Handgun")</f>
        <v>Handgun</v>
      </c>
      <c r="C578" s="1"/>
      <c r="D578" s="1"/>
    </row>
    <row r="579" spans="1:4" ht="12.5">
      <c r="A579" s="1" t="str">
        <f ca="1">IFERROR(__xludf.DUMMYFUNCTION("""COMPUTED_VALUE"""),"20220805MATHL")</f>
        <v>20220805MATHL</v>
      </c>
      <c r="B579" s="1" t="str">
        <f ca="1">IFERROR(__xludf.DUMMYFUNCTION("""COMPUTED_VALUE"""),"Handgun")</f>
        <v>Handgun</v>
      </c>
      <c r="C579" s="1"/>
      <c r="D579" s="1"/>
    </row>
    <row r="580" spans="1:4" ht="12.5">
      <c r="A580" s="1" t="str">
        <f ca="1">IFERROR(__xludf.DUMMYFUNCTION("""COMPUTED_VALUE"""),"20220805GAJOJ")</f>
        <v>20220805GAJOJ</v>
      </c>
      <c r="B580" s="1" t="str">
        <f ca="1">IFERROR(__xludf.DUMMYFUNCTION("""COMPUTED_VALUE"""),"Handgun")</f>
        <v>Handgun</v>
      </c>
      <c r="C580" s="1"/>
      <c r="D580" s="1"/>
    </row>
    <row r="581" spans="1:4" ht="12.5">
      <c r="A581" s="1" t="str">
        <f ca="1">IFERROR(__xludf.DUMMYFUNCTION("""COMPUTED_VALUE"""),"20220803PALEP")</f>
        <v>20220803PALEP</v>
      </c>
      <c r="B581" s="1" t="str">
        <f ca="1">IFERROR(__xludf.DUMMYFUNCTION("""COMPUTED_VALUE"""),"Handgun")</f>
        <v>Handgun</v>
      </c>
      <c r="C581" s="1"/>
      <c r="D581" s="1"/>
    </row>
    <row r="582" spans="1:4" ht="12.5">
      <c r="A582" s="1" t="str">
        <f ca="1">IFERROR(__xludf.DUMMYFUNCTION("""COMPUTED_VALUE"""),"20220731CAOAO")</f>
        <v>20220731CAOAO</v>
      </c>
      <c r="B582" s="1" t="str">
        <f ca="1">IFERROR(__xludf.DUMMYFUNCTION("""COMPUTED_VALUE"""),"Handgun")</f>
        <v>Handgun</v>
      </c>
      <c r="C582" s="1"/>
      <c r="D582" s="1"/>
    </row>
    <row r="583" spans="1:4" ht="12.5">
      <c r="A583" s="1" t="str">
        <f ca="1">IFERROR(__xludf.DUMMYFUNCTION("""COMPUTED_VALUE"""),"20220730NYRHH")</f>
        <v>20220730NYRHH</v>
      </c>
      <c r="B583" s="1"/>
      <c r="C583" s="1"/>
      <c r="D583" s="1"/>
    </row>
    <row r="584" spans="1:4" ht="12.5">
      <c r="A584" s="1" t="str">
        <f ca="1">IFERROR(__xludf.DUMMYFUNCTION("""COMPUTED_VALUE"""),"20220729INCOS")</f>
        <v>20220729INCOS</v>
      </c>
      <c r="B584" s="1" t="str">
        <f ca="1">IFERROR(__xludf.DUMMYFUNCTION("""COMPUTED_VALUE"""),"Handgun")</f>
        <v>Handgun</v>
      </c>
      <c r="C584" s="1"/>
      <c r="D584" s="1"/>
    </row>
    <row r="585" spans="1:4" ht="12.5">
      <c r="A585" s="1" t="str">
        <f ca="1">IFERROR(__xludf.DUMMYFUNCTION("""COMPUTED_VALUE"""),"20220728KSMOG")</f>
        <v>20220728KSMOG</v>
      </c>
      <c r="B585" s="1" t="str">
        <f ca="1">IFERROR(__xludf.DUMMYFUNCTION("""COMPUTED_VALUE"""),"Handgun")</f>
        <v>Handgun</v>
      </c>
      <c r="C585" s="1"/>
      <c r="D585" s="1"/>
    </row>
    <row r="586" spans="1:4" ht="12.5">
      <c r="A586" s="1" t="str">
        <f ca="1">IFERROR(__xludf.DUMMYFUNCTION("""COMPUTED_VALUE"""),"20220726PALAL")</f>
        <v>20220726PALAL</v>
      </c>
      <c r="B586" s="1"/>
      <c r="C586" s="1"/>
      <c r="D586" s="1"/>
    </row>
    <row r="587" spans="1:4" ht="12.5">
      <c r="A587" s="1" t="str">
        <f ca="1">IFERROR(__xludf.DUMMYFUNCTION("""COMPUTED_VALUE"""),"20220726TXCOC")</f>
        <v>20220726TXCOC</v>
      </c>
      <c r="B587" s="1" t="str">
        <f ca="1">IFERROR(__xludf.DUMMYFUNCTION("""COMPUTED_VALUE"""),"Handgun")</f>
        <v>Handgun</v>
      </c>
      <c r="C587" s="1"/>
      <c r="D587" s="1"/>
    </row>
    <row r="588" spans="1:4" ht="12.5">
      <c r="A588" s="1" t="str">
        <f ca="1">IFERROR(__xludf.DUMMYFUNCTION("""COMPUTED_VALUE"""),"20220725NYBRB")</f>
        <v>20220725NYBRB</v>
      </c>
      <c r="B588" s="1" t="str">
        <f ca="1">IFERROR(__xludf.DUMMYFUNCTION("""COMPUTED_VALUE"""),"Handgun")</f>
        <v>Handgun</v>
      </c>
      <c r="C588" s="1"/>
      <c r="D588" s="1"/>
    </row>
    <row r="589" spans="1:4" ht="12.5">
      <c r="A589" s="1" t="str">
        <f ca="1">IFERROR(__xludf.DUMMYFUNCTION("""COMPUTED_VALUE"""),"20220720CAJOV")</f>
        <v>20220720CAJOV</v>
      </c>
      <c r="B589" s="1" t="str">
        <f ca="1">IFERROR(__xludf.DUMMYFUNCTION("""COMPUTED_VALUE"""),"Handgun")</f>
        <v>Handgun</v>
      </c>
      <c r="C589" s="1"/>
      <c r="D589" s="1"/>
    </row>
    <row r="590" spans="1:4" ht="12.5">
      <c r="A590" s="1" t="str">
        <f ca="1">IFERROR(__xludf.DUMMYFUNCTION("""COMPUTED_VALUE"""),"20220716NYCLS")</f>
        <v>20220716NYCLS</v>
      </c>
      <c r="B590" s="1" t="str">
        <f ca="1">IFERROR(__xludf.DUMMYFUNCTION("""COMPUTED_VALUE"""),"Handgun")</f>
        <v>Handgun</v>
      </c>
      <c r="C590" s="1"/>
      <c r="D590" s="1"/>
    </row>
    <row r="591" spans="1:4" ht="12.5">
      <c r="A591" s="1" t="str">
        <f ca="1">IFERROR(__xludf.DUMMYFUNCTION("""COMPUTED_VALUE"""),"20220716GAAPF")</f>
        <v>20220716GAAPF</v>
      </c>
      <c r="B591" s="1" t="str">
        <f ca="1">IFERROR(__xludf.DUMMYFUNCTION("""COMPUTED_VALUE"""),"Handgun")</f>
        <v>Handgun</v>
      </c>
      <c r="C591" s="1"/>
      <c r="D591" s="1"/>
    </row>
    <row r="592" spans="1:4" ht="12.5">
      <c r="A592" s="1" t="str">
        <f ca="1">IFERROR(__xludf.DUMMYFUNCTION("""COMPUTED_VALUE"""),"20220629CABUA")</f>
        <v>20220629CABUA</v>
      </c>
      <c r="B592" s="1"/>
      <c r="C592" s="1"/>
      <c r="D592" s="1"/>
    </row>
    <row r="593" spans="1:4" ht="12.5">
      <c r="A593" s="1" t="str">
        <f ca="1">IFERROR(__xludf.DUMMYFUNCTION("""COMPUTED_VALUE"""),"20220620ILGRC")</f>
        <v>20220620ILGRC</v>
      </c>
      <c r="B593" s="1"/>
      <c r="C593" s="1"/>
      <c r="D593" s="1"/>
    </row>
    <row r="594" spans="1:4" ht="12.5">
      <c r="A594" s="1" t="str">
        <f ca="1">IFERROR(__xludf.DUMMYFUNCTION("""COMPUTED_VALUE"""),"20220613WAMAE")</f>
        <v>20220613WAMAE</v>
      </c>
      <c r="B594" s="1" t="str">
        <f ca="1">IFERROR(__xludf.DUMMYFUNCTION("""COMPUTED_VALUE"""),"Handgun")</f>
        <v>Handgun</v>
      </c>
      <c r="C594" s="1"/>
      <c r="D594" s="1"/>
    </row>
    <row r="595" spans="1:4" ht="12.5">
      <c r="A595" s="1" t="str">
        <f ca="1">IFERROR(__xludf.DUMMYFUNCTION("""COMPUTED_VALUE"""),"20220610ALBYB")</f>
        <v>20220610ALBYB</v>
      </c>
      <c r="B595" s="1" t="str">
        <f ca="1">IFERROR(__xludf.DUMMYFUNCTION("""COMPUTED_VALUE"""),"Handgun")</f>
        <v>Handgun</v>
      </c>
      <c r="C595" s="1"/>
      <c r="D595" s="1"/>
    </row>
    <row r="596" spans="1:4" ht="12.5">
      <c r="A596" s="1" t="str">
        <f ca="1">IFERROR(__xludf.DUMMYFUNCTION("""COMPUTED_VALUE"""),"20220609ALWAG")</f>
        <v>20220609ALWAG</v>
      </c>
      <c r="B596" s="1" t="str">
        <f ca="1">IFERROR(__xludf.DUMMYFUNCTION("""COMPUTED_VALUE"""),"Handgun")</f>
        <v>Handgun</v>
      </c>
      <c r="C596" s="1" t="str">
        <f ca="1">IFERROR(__xludf.DUMMYFUNCTION("""COMPUTED_VALUE"""),"Service Weapon")</f>
        <v>Service Weapon</v>
      </c>
      <c r="D596" s="1"/>
    </row>
    <row r="597" spans="1:4" ht="12.5">
      <c r="A597" s="1" t="str">
        <f ca="1">IFERROR(__xludf.DUMMYFUNCTION("""COMPUTED_VALUE"""),"20220608ARLIL")</f>
        <v>20220608ARLIL</v>
      </c>
      <c r="B597" s="1"/>
      <c r="C597" s="1"/>
      <c r="D597" s="1"/>
    </row>
    <row r="598" spans="1:4" ht="12.5">
      <c r="A598" s="1" t="str">
        <f ca="1">IFERROR(__xludf.DUMMYFUNCTION("""COMPUTED_VALUE"""),"20220607MIPED")</f>
        <v>20220607MIPED</v>
      </c>
      <c r="B598" s="1" t="str">
        <f ca="1">IFERROR(__xludf.DUMMYFUNCTION("""COMPUTED_VALUE"""),"Handgun")</f>
        <v>Handgun</v>
      </c>
      <c r="C598" s="1"/>
      <c r="D598" s="1"/>
    </row>
    <row r="599" spans="1:4" ht="12.5">
      <c r="A599" s="1" t="str">
        <f ca="1">IFERROR(__xludf.DUMMYFUNCTION("""COMPUTED_VALUE"""),"20220605INWEG")</f>
        <v>20220605INWEG</v>
      </c>
      <c r="B599" s="1" t="str">
        <f ca="1">IFERROR(__xludf.DUMMYFUNCTION("""COMPUTED_VALUE"""),"Handgun")</f>
        <v>Handgun</v>
      </c>
      <c r="C599" s="1"/>
      <c r="D599" s="1"/>
    </row>
    <row r="600" spans="1:4" ht="12.5">
      <c r="A600" s="1" t="str">
        <f ca="1">IFERROR(__xludf.DUMMYFUNCTION("""COMPUTED_VALUE"""),"20220601CAULL")</f>
        <v>20220601CAULL</v>
      </c>
      <c r="B600" s="1" t="str">
        <f ca="1">IFERROR(__xludf.DUMMYFUNCTION("""COMPUTED_VALUE"""),"Handgun")</f>
        <v>Handgun</v>
      </c>
      <c r="C600" s="1"/>
      <c r="D600" s="1"/>
    </row>
    <row r="601" spans="1:4" ht="12.5">
      <c r="A601" s="1" t="str">
        <f ca="1">IFERROR(__xludf.DUMMYFUNCTION("""COMPUTED_VALUE"""),"20220531LAMON")</f>
        <v>20220531LAMON</v>
      </c>
      <c r="B601" s="1" t="str">
        <f ca="1">IFERROR(__xludf.DUMMYFUNCTION("""COMPUTED_VALUE"""),"Handgun")</f>
        <v>Handgun</v>
      </c>
      <c r="C601" s="1"/>
      <c r="D601" s="1"/>
    </row>
    <row r="602" spans="1:4" ht="12.5">
      <c r="A602" s="1" t="str">
        <f ca="1">IFERROR(__xludf.DUMMYFUNCTION("""COMPUTED_VALUE"""),"20220530CAHEL")</f>
        <v>20220530CAHEL</v>
      </c>
      <c r="B602" s="1" t="str">
        <f ca="1">IFERROR(__xludf.DUMMYFUNCTION("""COMPUTED_VALUE"""),"Handgun")</f>
        <v>Handgun</v>
      </c>
      <c r="C602" s="1"/>
      <c r="D602" s="1"/>
    </row>
    <row r="603" spans="1:4" ht="12.5">
      <c r="A603" s="1" t="str">
        <f ca="1">IFERROR(__xludf.DUMMYFUNCTION("""COMPUTED_VALUE"""),"20220529ILDAC")</f>
        <v>20220529ILDAC</v>
      </c>
      <c r="B603" s="1" t="str">
        <f ca="1">IFERROR(__xludf.DUMMYFUNCTION("""COMPUTED_VALUE"""),"Rifle")</f>
        <v>Rifle</v>
      </c>
      <c r="C603" s="1"/>
      <c r="D603" s="1"/>
    </row>
    <row r="604" spans="1:4" ht="12.5">
      <c r="A604" s="1" t="str">
        <f ca="1">IFERROR(__xludf.DUMMYFUNCTION("""COMPUTED_VALUE"""),"20220529ILDAC")</f>
        <v>20220529ILDAC</v>
      </c>
      <c r="B604" s="1" t="str">
        <f ca="1">IFERROR(__xludf.DUMMYFUNCTION("""COMPUTED_VALUE"""),"Handgun")</f>
        <v>Handgun</v>
      </c>
      <c r="C604" s="1"/>
      <c r="D604" s="1"/>
    </row>
    <row r="605" spans="1:4" ht="12.5">
      <c r="A605" s="1" t="str">
        <f ca="1">IFERROR(__xludf.DUMMYFUNCTION("""COMPUTED_VALUE"""),"20220526TXDUA")</f>
        <v>20220526TXDUA</v>
      </c>
      <c r="B605" s="1" t="str">
        <f ca="1">IFERROR(__xludf.DUMMYFUNCTION("""COMPUTED_VALUE"""),"Handgun")</f>
        <v>Handgun</v>
      </c>
      <c r="C605" s="1"/>
      <c r="D605" s="1"/>
    </row>
    <row r="606" spans="1:4" ht="12.5">
      <c r="A606" s="1" t="str">
        <f ca="1">IFERROR(__xludf.DUMMYFUNCTION("""COMPUTED_VALUE"""),"20220526SCMEG")</f>
        <v>20220526SCMEG</v>
      </c>
      <c r="B606" s="1"/>
      <c r="C606" s="1"/>
      <c r="D606" s="1"/>
    </row>
    <row r="607" spans="1:4" ht="12.5">
      <c r="A607" s="1" t="str">
        <f ca="1">IFERROR(__xludf.DUMMYFUNCTION("""COMPUTED_VALUE"""),"20220525ILSTC")</f>
        <v>20220525ILSTC</v>
      </c>
      <c r="B607" s="1"/>
      <c r="C607" s="1"/>
      <c r="D607" s="1"/>
    </row>
    <row r="608" spans="1:4" ht="12.5">
      <c r="A608" s="1" t="str">
        <f ca="1">IFERROR(__xludf.DUMMYFUNCTION("""COMPUTED_VALUE"""),"20220524WIRIM")</f>
        <v>20220524WIRIM</v>
      </c>
      <c r="B608" s="1" t="str">
        <f ca="1">IFERROR(__xludf.DUMMYFUNCTION("""COMPUTED_VALUE"""),"Handgun")</f>
        <v>Handgun</v>
      </c>
      <c r="C608" s="1"/>
      <c r="D608" s="1"/>
    </row>
    <row r="609" spans="1:4" ht="12.5">
      <c r="A609" s="1" t="str">
        <f ca="1">IFERROR(__xludf.DUMMYFUNCTION("""COMPUTED_VALUE"""),"20220524TXROU")</f>
        <v>20220524TXROU</v>
      </c>
      <c r="B609" s="1" t="str">
        <f ca="1">IFERROR(__xludf.DUMMYFUNCTION("""COMPUTED_VALUE"""),"Multiple Rifles")</f>
        <v>Multiple Rifles</v>
      </c>
      <c r="C609" s="1"/>
      <c r="D609" s="1"/>
    </row>
    <row r="610" spans="1:4" ht="12.5">
      <c r="A610" s="1" t="str">
        <f ca="1">IFERROR(__xludf.DUMMYFUNCTION("""COMPUTED_VALUE"""),"20220524DCPOW")</f>
        <v>20220524DCPOW</v>
      </c>
      <c r="B610" s="1" t="str">
        <f ca="1">IFERROR(__xludf.DUMMYFUNCTION("""COMPUTED_VALUE"""),"Handgun")</f>
        <v>Handgun</v>
      </c>
      <c r="C610" s="1"/>
      <c r="D610" s="1"/>
    </row>
    <row r="611" spans="1:4" ht="12.5">
      <c r="A611" s="1" t="str">
        <f ca="1">IFERROR(__xludf.DUMMYFUNCTION("""COMPUTED_VALUE"""),"20220523PASIP")</f>
        <v>20220523PASIP</v>
      </c>
      <c r="B611" s="1" t="str">
        <f ca="1">IFERROR(__xludf.DUMMYFUNCTION("""COMPUTED_VALUE"""),"Handgun")</f>
        <v>Handgun</v>
      </c>
      <c r="C611" s="1"/>
      <c r="D611" s="1"/>
    </row>
    <row r="612" spans="1:4" ht="12.5">
      <c r="A612" s="1" t="str">
        <f ca="1">IFERROR(__xludf.DUMMYFUNCTION("""COMPUTED_VALUE"""),"20220520VAPOD")</f>
        <v>20220520VAPOD</v>
      </c>
      <c r="B612" s="1" t="str">
        <f ca="1">IFERROR(__xludf.DUMMYFUNCTION("""COMPUTED_VALUE"""),"Handgun")</f>
        <v>Handgun</v>
      </c>
      <c r="C612" s="1"/>
      <c r="D612" s="1"/>
    </row>
    <row r="613" spans="1:4" ht="12.5">
      <c r="A613" s="1" t="str">
        <f ca="1">IFERROR(__xludf.DUMMYFUNCTION("""COMPUTED_VALUE"""),"20220520TNEAC")</f>
        <v>20220520TNEAC</v>
      </c>
      <c r="B613" s="1"/>
      <c r="C613" s="1"/>
      <c r="D613" s="1"/>
    </row>
    <row r="614" spans="1:4" ht="12.5">
      <c r="A614" s="1" t="str">
        <f ca="1">IFERROR(__xludf.DUMMYFUNCTION("""COMPUTED_VALUE"""),"20220520OHCAC")</f>
        <v>20220520OHCAC</v>
      </c>
      <c r="B614" s="1" t="str">
        <f ca="1">IFERROR(__xludf.DUMMYFUNCTION("""COMPUTED_VALUE"""),"Other")</f>
        <v>Other</v>
      </c>
      <c r="C614" s="1" t="str">
        <f ca="1">IFERROR(__xludf.DUMMYFUNCTION("""COMPUTED_VALUE"""),"airsoft")</f>
        <v>airsoft</v>
      </c>
      <c r="D614" s="1"/>
    </row>
    <row r="615" spans="1:4" ht="12.5">
      <c r="A615" s="1" t="str">
        <f ca="1">IFERROR(__xludf.DUMMYFUNCTION("""COMPUTED_VALUE"""),"20220520ILSOP")</f>
        <v>20220520ILSOP</v>
      </c>
      <c r="B615" s="1" t="str">
        <f ca="1">IFERROR(__xludf.DUMMYFUNCTION("""COMPUTED_VALUE"""),"Handgun")</f>
        <v>Handgun</v>
      </c>
      <c r="C615" s="1"/>
      <c r="D615" s="1"/>
    </row>
    <row r="616" spans="1:4" ht="12.5">
      <c r="A616" s="1" t="str">
        <f ca="1">IFERROR(__xludf.DUMMYFUNCTION("""COMPUTED_VALUE"""),"20220520ALMAT")</f>
        <v>20220520ALMAT</v>
      </c>
      <c r="B616" s="1"/>
      <c r="C616" s="1"/>
      <c r="D616" s="1"/>
    </row>
    <row r="617" spans="1:4" ht="12.5">
      <c r="A617" s="1" t="str">
        <f ca="1">IFERROR(__xludf.DUMMYFUNCTION("""COMPUTED_VALUE"""),"20220519VAGER")</f>
        <v>20220519VAGER</v>
      </c>
      <c r="B617" s="1"/>
      <c r="C617" s="1"/>
      <c r="D617" s="1"/>
    </row>
    <row r="618" spans="1:4" ht="12.5">
      <c r="A618" s="1" t="str">
        <f ca="1">IFERROR(__xludf.DUMMYFUNCTION("""COMPUTED_VALUE"""),"20220519MIEAK")</f>
        <v>20220519MIEAK</v>
      </c>
      <c r="B618" s="1"/>
      <c r="C618" s="1"/>
      <c r="D618" s="1"/>
    </row>
    <row r="619" spans="1:4" ht="12.5">
      <c r="A619" s="1" t="str">
        <f ca="1">IFERROR(__xludf.DUMMYFUNCTION("""COMPUTED_VALUE"""),"20220519LAHAH")</f>
        <v>20220519LAHAH</v>
      </c>
      <c r="B619" s="1" t="str">
        <f ca="1">IFERROR(__xludf.DUMMYFUNCTION("""COMPUTED_VALUE"""),"Handgun")</f>
        <v>Handgun</v>
      </c>
      <c r="C619" s="1"/>
      <c r="D619" s="1"/>
    </row>
    <row r="620" spans="1:4" ht="12.5">
      <c r="A620" s="1" t="str">
        <f ca="1">IFERROR(__xludf.DUMMYFUNCTION("""COMPUTED_VALUE"""),"20220518TNRIM")</f>
        <v>20220518TNRIM</v>
      </c>
      <c r="B620" s="1" t="str">
        <f ca="1">IFERROR(__xludf.DUMMYFUNCTION("""COMPUTED_VALUE"""),"Handgun")</f>
        <v>Handgun</v>
      </c>
      <c r="C620" s="1"/>
      <c r="D620" s="1"/>
    </row>
    <row r="621" spans="1:4" ht="12.5">
      <c r="A621" s="1" t="str">
        <f ca="1">IFERROR(__xludf.DUMMYFUNCTION("""COMPUTED_VALUE"""),"20220518FLPAP")</f>
        <v>20220518FLPAP</v>
      </c>
      <c r="B621" s="1" t="str">
        <f ca="1">IFERROR(__xludf.DUMMYFUNCTION("""COMPUTED_VALUE"""),"Handgun")</f>
        <v>Handgun</v>
      </c>
      <c r="C621" s="1"/>
      <c r="D621" s="1"/>
    </row>
    <row r="622" spans="1:4" ht="12.5">
      <c r="A622" s="1" t="str">
        <f ca="1">IFERROR(__xludf.DUMMYFUNCTION("""COMPUTED_VALUE"""),"20220517ILWAC")</f>
        <v>20220517ILWAC</v>
      </c>
      <c r="B622" s="1" t="str">
        <f ca="1">IFERROR(__xludf.DUMMYFUNCTION("""COMPUTED_VALUE"""),"Handgun")</f>
        <v>Handgun</v>
      </c>
      <c r="C622" s="1"/>
      <c r="D622" s="1"/>
    </row>
    <row r="623" spans="1:4" ht="12.5">
      <c r="A623" s="1" t="str">
        <f ca="1">IFERROR(__xludf.DUMMYFUNCTION("""COMPUTED_VALUE"""),"20220517CASAS")</f>
        <v>20220517CASAS</v>
      </c>
      <c r="B623" s="1"/>
      <c r="C623" s="1"/>
      <c r="D623" s="1"/>
    </row>
    <row r="624" spans="1:4" ht="12.5">
      <c r="A624" s="1" t="str">
        <f ca="1">IFERROR(__xludf.DUMMYFUNCTION("""COMPUTED_VALUE"""),"20220516TXMEM")</f>
        <v>20220516TXMEM</v>
      </c>
      <c r="B624" s="1" t="str">
        <f ca="1">IFERROR(__xludf.DUMMYFUNCTION("""COMPUTED_VALUE"""),"Handgun")</f>
        <v>Handgun</v>
      </c>
      <c r="C624" s="1"/>
      <c r="D624" s="1"/>
    </row>
    <row r="625" spans="1:4" ht="12.5">
      <c r="A625" s="1" t="str">
        <f ca="1">IFERROR(__xludf.DUMMYFUNCTION("""COMPUTED_VALUE"""),"20220515NHBEB")</f>
        <v>20220515NHBEB</v>
      </c>
      <c r="B625" s="1" t="str">
        <f ca="1">IFERROR(__xludf.DUMMYFUNCTION("""COMPUTED_VALUE"""),"Other")</f>
        <v>Other</v>
      </c>
      <c r="C625" s="1" t="str">
        <f ca="1">IFERROR(__xludf.DUMMYFUNCTION("""COMPUTED_VALUE"""),"airsoft")</f>
        <v>airsoft</v>
      </c>
      <c r="D625" s="1"/>
    </row>
    <row r="626" spans="1:4" ht="12.5">
      <c r="A626" s="1" t="str">
        <f ca="1">IFERROR(__xludf.DUMMYFUNCTION("""COMPUTED_VALUE"""),"20220515ILMEP")</f>
        <v>20220515ILMEP</v>
      </c>
      <c r="B626" s="1" t="str">
        <f ca="1">IFERROR(__xludf.DUMMYFUNCTION("""COMPUTED_VALUE"""),"Handgun")</f>
        <v>Handgun</v>
      </c>
      <c r="C626" s="1" t="str">
        <f ca="1">IFERROR(__xludf.DUMMYFUNCTION("""COMPUTED_VALUE"""),"9mm")</f>
        <v>9mm</v>
      </c>
      <c r="D626" s="1"/>
    </row>
    <row r="627" spans="1:4" ht="12.5">
      <c r="A627" s="1" t="str">
        <f ca="1">IFERROR(__xludf.DUMMYFUNCTION("""COMPUTED_VALUE"""),"20220513GASOM")</f>
        <v>20220513GASOM</v>
      </c>
      <c r="B627" s="1"/>
      <c r="C627" s="1"/>
      <c r="D627" s="1"/>
    </row>
    <row r="628" spans="1:4" ht="12.5">
      <c r="A628" s="1" t="str">
        <f ca="1">IFERROR(__xludf.DUMMYFUNCTION("""COMPUTED_VALUE"""),"20220513FLALW")</f>
        <v>20220513FLALW</v>
      </c>
      <c r="B628" s="1" t="str">
        <f ca="1">IFERROR(__xludf.DUMMYFUNCTION("""COMPUTED_VALUE"""),"Handgun")</f>
        <v>Handgun</v>
      </c>
      <c r="C628" s="1" t="str">
        <f ca="1">IFERROR(__xludf.DUMMYFUNCTION("""COMPUTED_VALUE"""),"Service Weapon")</f>
        <v>Service Weapon</v>
      </c>
      <c r="D628" s="1"/>
    </row>
    <row r="629" spans="1:4" ht="12.5">
      <c r="A629" s="1" t="str">
        <f ca="1">IFERROR(__xludf.DUMMYFUNCTION("""COMPUTED_VALUE"""),"20220512TXHEH")</f>
        <v>20220512TXHEH</v>
      </c>
      <c r="B629" s="1"/>
      <c r="C629" s="1"/>
      <c r="D629" s="1"/>
    </row>
    <row r="630" spans="1:4" ht="12.5">
      <c r="A630" s="1" t="str">
        <f ca="1">IFERROR(__xludf.DUMMYFUNCTION("""COMPUTED_VALUE"""),"20220512ARHOH")</f>
        <v>20220512ARHOH</v>
      </c>
      <c r="B630" s="1" t="str">
        <f ca="1">IFERROR(__xludf.DUMMYFUNCTION("""COMPUTED_VALUE"""),"Handgun")</f>
        <v>Handgun</v>
      </c>
      <c r="C630" s="1"/>
      <c r="D630" s="1"/>
    </row>
    <row r="631" spans="1:4" ht="12.5">
      <c r="A631" s="1" t="str">
        <f ca="1">IFERROR(__xludf.DUMMYFUNCTION("""COMPUTED_VALUE"""),"20220511FLJAJ")</f>
        <v>20220511FLJAJ</v>
      </c>
      <c r="B631" s="1"/>
      <c r="C631" s="1"/>
      <c r="D631" s="1"/>
    </row>
    <row r="632" spans="1:4" ht="12.5">
      <c r="A632" s="1" t="str">
        <f ca="1">IFERROR(__xludf.DUMMYFUNCTION("""COMPUTED_VALUE"""),"20220509NYEDS")</f>
        <v>20220509NYEDS</v>
      </c>
      <c r="B632" s="1" t="str">
        <f ca="1">IFERROR(__xludf.DUMMYFUNCTION("""COMPUTED_VALUE"""),"Handgun")</f>
        <v>Handgun</v>
      </c>
      <c r="C632" s="1"/>
      <c r="D632" s="1"/>
    </row>
    <row r="633" spans="1:4" ht="12.5">
      <c r="A633" s="1" t="str">
        <f ca="1">IFERROR(__xludf.DUMMYFUNCTION("""COMPUTED_VALUE"""),"20220509GARIS")</f>
        <v>20220509GARIS</v>
      </c>
      <c r="B633" s="1" t="str">
        <f ca="1">IFERROR(__xludf.DUMMYFUNCTION("""COMPUTED_VALUE"""),"Handgun")</f>
        <v>Handgun</v>
      </c>
      <c r="C633" s="1"/>
      <c r="D633" s="1"/>
    </row>
    <row r="634" spans="1:4" ht="12.5">
      <c r="A634" s="1" t="str">
        <f ca="1">IFERROR(__xludf.DUMMYFUNCTION("""COMPUTED_VALUE"""),"20220505OHLOL")</f>
        <v>20220505OHLOL</v>
      </c>
      <c r="B634" s="1" t="str">
        <f ca="1">IFERROR(__xludf.DUMMYFUNCTION("""COMPUTED_VALUE"""),"Handgun")</f>
        <v>Handgun</v>
      </c>
      <c r="C634" s="1"/>
      <c r="D634" s="1"/>
    </row>
    <row r="635" spans="1:4" ht="12.5">
      <c r="A635" s="1" t="str">
        <f ca="1">IFERROR(__xludf.DUMMYFUNCTION("""COMPUTED_VALUE"""),"20220505ALDOD")</f>
        <v>20220505ALDOD</v>
      </c>
      <c r="B635" s="1" t="str">
        <f ca="1">IFERROR(__xludf.DUMMYFUNCTION("""COMPUTED_VALUE"""),"Other")</f>
        <v>Other</v>
      </c>
      <c r="C635" s="1" t="str">
        <f ca="1">IFERROR(__xludf.DUMMYFUNCTION("""COMPUTED_VALUE"""),"BB")</f>
        <v>BB</v>
      </c>
      <c r="D635" s="1"/>
    </row>
    <row r="636" spans="1:4" ht="12.5">
      <c r="A636" s="1" t="str">
        <f ca="1">IFERROR(__xludf.DUMMYFUNCTION("""COMPUTED_VALUE"""),"20220503CAARS")</f>
        <v>20220503CAARS</v>
      </c>
      <c r="B636" s="1"/>
      <c r="C636" s="1"/>
      <c r="D636" s="1"/>
    </row>
    <row r="637" spans="1:4" ht="12.5">
      <c r="A637" s="1" t="str">
        <f ca="1">IFERROR(__xludf.DUMMYFUNCTION("""COMPUTED_VALUE"""),"20220501VALOM")</f>
        <v>20220501VALOM</v>
      </c>
      <c r="B637" s="1" t="str">
        <f ca="1">IFERROR(__xludf.DUMMYFUNCTION("""COMPUTED_VALUE"""),"Handgun")</f>
        <v>Handgun</v>
      </c>
      <c r="C637" s="1"/>
      <c r="D637" s="1"/>
    </row>
    <row r="638" spans="1:4" ht="12.5">
      <c r="A638" s="1" t="str">
        <f ca="1">IFERROR(__xludf.DUMMYFUNCTION("""COMPUTED_VALUE"""),"20220501OHHAC")</f>
        <v>20220501OHHAC</v>
      </c>
      <c r="B638" s="1" t="str">
        <f ca="1">IFERROR(__xludf.DUMMYFUNCTION("""COMPUTED_VALUE"""),"Handgun")</f>
        <v>Handgun</v>
      </c>
      <c r="C638" s="1"/>
      <c r="D638" s="1"/>
    </row>
    <row r="639" spans="1:4" ht="12.5">
      <c r="A639" s="1" t="str">
        <f ca="1">IFERROR(__xludf.DUMMYFUNCTION("""COMPUTED_VALUE"""),"20220430PAMCJ")</f>
        <v>20220430PAMCJ</v>
      </c>
      <c r="B639" s="1" t="str">
        <f ca="1">IFERROR(__xludf.DUMMYFUNCTION("""COMPUTED_VALUE"""),"Handgun")</f>
        <v>Handgun</v>
      </c>
      <c r="C639" s="1"/>
      <c r="D639" s="1"/>
    </row>
    <row r="640" spans="1:4" ht="12.5">
      <c r="A640" s="1" t="str">
        <f ca="1">IFERROR(__xludf.DUMMYFUNCTION("""COMPUTED_VALUE"""),"20220427TXMOS")</f>
        <v>20220427TXMOS</v>
      </c>
      <c r="B640" s="1" t="str">
        <f ca="1">IFERROR(__xludf.DUMMYFUNCTION("""COMPUTED_VALUE"""),"Handgun")</f>
        <v>Handgun</v>
      </c>
      <c r="C640" s="1" t="str">
        <f ca="1">IFERROR(__xludf.DUMMYFUNCTION("""COMPUTED_VALUE"""),"Service Weapon")</f>
        <v>Service Weapon</v>
      </c>
      <c r="D640" s="1"/>
    </row>
    <row r="641" spans="1:4" ht="12.5">
      <c r="A641" s="1" t="str">
        <f ca="1">IFERROR(__xludf.DUMMYFUNCTION("""COMPUTED_VALUE"""),"20220427INCOS")</f>
        <v>20220427INCOS</v>
      </c>
      <c r="B641" s="1" t="str">
        <f ca="1">IFERROR(__xludf.DUMMYFUNCTION("""COMPUTED_VALUE"""),"Other")</f>
        <v>Other</v>
      </c>
      <c r="C641" s="1" t="str">
        <f ca="1">IFERROR(__xludf.DUMMYFUNCTION("""COMPUTED_VALUE"""),"BB")</f>
        <v>BB</v>
      </c>
      <c r="D641" s="1"/>
    </row>
    <row r="642" spans="1:4" ht="12.5">
      <c r="A642" s="1" t="str">
        <f ca="1">IFERROR(__xludf.DUMMYFUNCTION("""COMPUTED_VALUE"""),"20220426MIASI")</f>
        <v>20220426MIASI</v>
      </c>
      <c r="B642" s="1" t="str">
        <f ca="1">IFERROR(__xludf.DUMMYFUNCTION("""COMPUTED_VALUE"""),"Handgun")</f>
        <v>Handgun</v>
      </c>
      <c r="C642" s="1"/>
      <c r="D642" s="1"/>
    </row>
    <row r="643" spans="1:4" ht="12.5">
      <c r="A643" s="1" t="str">
        <f ca="1">IFERROR(__xludf.DUMMYFUNCTION("""COMPUTED_VALUE"""),"20220426GASOM")</f>
        <v>20220426GASOM</v>
      </c>
      <c r="B643" s="1" t="str">
        <f ca="1">IFERROR(__xludf.DUMMYFUNCTION("""COMPUTED_VALUE"""),"Handgun")</f>
        <v>Handgun</v>
      </c>
      <c r="C643" s="1"/>
      <c r="D643" s="1"/>
    </row>
    <row r="644" spans="1:4" ht="12.5">
      <c r="A644" s="1" t="str">
        <f ca="1">IFERROR(__xludf.DUMMYFUNCTION("""COMPUTED_VALUE"""),"20220426GASOM")</f>
        <v>20220426GASOM</v>
      </c>
      <c r="B644" s="1" t="str">
        <f ca="1">IFERROR(__xludf.DUMMYFUNCTION("""COMPUTED_VALUE"""),"Other")</f>
        <v>Other</v>
      </c>
      <c r="C644" s="1" t="str">
        <f ca="1">IFERROR(__xludf.DUMMYFUNCTION("""COMPUTED_VALUE"""),"Pellet")</f>
        <v>Pellet</v>
      </c>
      <c r="D644" s="1"/>
    </row>
    <row r="645" spans="1:4" ht="12.5">
      <c r="A645" s="1" t="str">
        <f ca="1">IFERROR(__xludf.DUMMYFUNCTION("""COMPUTED_VALUE"""),"20220425WIWIM")</f>
        <v>20220425WIWIM</v>
      </c>
      <c r="B645" s="1" t="str">
        <f ca="1">IFERROR(__xludf.DUMMYFUNCTION("""COMPUTED_VALUE"""),"Multiple Handguns")</f>
        <v>Multiple Handguns</v>
      </c>
      <c r="C645" s="1"/>
      <c r="D645" s="1"/>
    </row>
    <row r="646" spans="1:4" ht="12.5">
      <c r="A646" s="1" t="str">
        <f ca="1">IFERROR(__xludf.DUMMYFUNCTION("""COMPUTED_VALUE"""),"20220424MOHAF")</f>
        <v>20220424MOHAF</v>
      </c>
      <c r="B646" s="1" t="str">
        <f ca="1">IFERROR(__xludf.DUMMYFUNCTION("""COMPUTED_VALUE"""),"Handgun")</f>
        <v>Handgun</v>
      </c>
      <c r="C646" s="1"/>
      <c r="D646" s="1"/>
    </row>
    <row r="647" spans="1:4" ht="12.5">
      <c r="A647" s="1" t="str">
        <f ca="1">IFERROR(__xludf.DUMMYFUNCTION("""COMPUTED_VALUE"""),"20220422ORHOS")</f>
        <v>20220422ORHOS</v>
      </c>
      <c r="B647" s="1" t="str">
        <f ca="1">IFERROR(__xludf.DUMMYFUNCTION("""COMPUTED_VALUE"""),"Handgun")</f>
        <v>Handgun</v>
      </c>
      <c r="C647" s="1"/>
      <c r="D647" s="1"/>
    </row>
    <row r="648" spans="1:4" ht="12.5">
      <c r="A648" s="1" t="str">
        <f ca="1">IFERROR(__xludf.DUMMYFUNCTION("""COMPUTED_VALUE"""),"20220422DCEDW")</f>
        <v>20220422DCEDW</v>
      </c>
      <c r="B648" s="1" t="str">
        <f ca="1">IFERROR(__xludf.DUMMYFUNCTION("""COMPUTED_VALUE"""),"Multiple Rifles")</f>
        <v>Multiple Rifles</v>
      </c>
      <c r="C648" s="1"/>
      <c r="D648" s="1" t="str">
        <f ca="1">IFERROR(__xludf.DUMMYFUNCTION("""COMPUTED_VALUE"""),"Fully automatic AR-15 style rifles")</f>
        <v>Fully automatic AR-15 style rifles</v>
      </c>
    </row>
    <row r="649" spans="1:4" ht="12.5">
      <c r="A649" s="1" t="str">
        <f ca="1">IFERROR(__xludf.DUMMYFUNCTION("""COMPUTED_VALUE"""),"20220422DCEDW")</f>
        <v>20220422DCEDW</v>
      </c>
      <c r="B649" s="1" t="str">
        <f ca="1">IFERROR(__xludf.DUMMYFUNCTION("""COMPUTED_VALUE"""),"Multiple Handguns")</f>
        <v>Multiple Handguns</v>
      </c>
      <c r="C649" s="1"/>
      <c r="D649" s="1"/>
    </row>
    <row r="650" spans="1:4" ht="12.5">
      <c r="A650" s="1" t="str">
        <f ca="1">IFERROR(__xludf.DUMMYFUNCTION("""COMPUTED_VALUE"""),"20220422CAMOR")</f>
        <v>20220422CAMOR</v>
      </c>
      <c r="B650" s="1" t="str">
        <f ca="1">IFERROR(__xludf.DUMMYFUNCTION("""COMPUTED_VALUE"""),"Rifle")</f>
        <v>Rifle</v>
      </c>
      <c r="C650" s="1"/>
      <c r="D650" s="1"/>
    </row>
    <row r="651" spans="1:4" ht="12.5">
      <c r="A651" s="1" t="str">
        <f ca="1">IFERROR(__xludf.DUMMYFUNCTION("""COMPUTED_VALUE"""),"20220421NDMOM")</f>
        <v>20220421NDMOM</v>
      </c>
      <c r="B651" s="1" t="str">
        <f ca="1">IFERROR(__xludf.DUMMYFUNCTION("""COMPUTED_VALUE"""),"Handgun")</f>
        <v>Handgun</v>
      </c>
      <c r="C651" s="1" t="str">
        <f ca="1">IFERROR(__xludf.DUMMYFUNCTION("""COMPUTED_VALUE"""),"Service Weapon")</f>
        <v>Service Weapon</v>
      </c>
      <c r="D651" s="1"/>
    </row>
    <row r="652" spans="1:4" ht="12.5">
      <c r="A652" s="1" t="str">
        <f ca="1">IFERROR(__xludf.DUMMYFUNCTION("""COMPUTED_VALUE"""),"20220416IAMED")</f>
        <v>20220416IAMED</v>
      </c>
      <c r="B652" s="1" t="str">
        <f ca="1">IFERROR(__xludf.DUMMYFUNCTION("""COMPUTED_VALUE"""),"Handgun")</f>
        <v>Handgun</v>
      </c>
      <c r="C652" s="1"/>
      <c r="D652" s="1"/>
    </row>
    <row r="653" spans="1:4" ht="12.5">
      <c r="A653" s="1" t="str">
        <f ca="1">IFERROR(__xludf.DUMMYFUNCTION("""COMPUTED_VALUE"""),"20220415VAGAW")</f>
        <v>20220415VAGAW</v>
      </c>
      <c r="B653" s="1" t="str">
        <f ca="1">IFERROR(__xludf.DUMMYFUNCTION("""COMPUTED_VALUE"""),"Handgun")</f>
        <v>Handgun</v>
      </c>
      <c r="C653" s="1"/>
      <c r="D653" s="1"/>
    </row>
    <row r="654" spans="1:4" ht="12.5">
      <c r="A654" s="1" t="str">
        <f ca="1">IFERROR(__xludf.DUMMYFUNCTION("""COMPUTED_VALUE"""),"20220414MSNEP")</f>
        <v>20220414MSNEP</v>
      </c>
      <c r="B654" s="1" t="str">
        <f ca="1">IFERROR(__xludf.DUMMYFUNCTION("""COMPUTED_VALUE"""),"Other")</f>
        <v>Other</v>
      </c>
      <c r="C654" s="1" t="str">
        <f ca="1">IFERROR(__xludf.DUMMYFUNCTION("""COMPUTED_VALUE"""),"Pellet")</f>
        <v>Pellet</v>
      </c>
      <c r="D654" s="1" t="str">
        <f ca="1">IFERROR(__xludf.DUMMYFUNCTION("""COMPUTED_VALUE"""),"2 high-powered Gamo pellet rifles and 1 CO2 BB gun")</f>
        <v>2 high-powered Gamo pellet rifles and 1 CO2 BB gun</v>
      </c>
    </row>
    <row r="655" spans="1:4" ht="12.5">
      <c r="A655" s="1" t="str">
        <f ca="1">IFERROR(__xludf.DUMMYFUNCTION("""COMPUTED_VALUE"""),"20220413MISHS")</f>
        <v>20220413MISHS</v>
      </c>
      <c r="B655" s="1" t="str">
        <f ca="1">IFERROR(__xludf.DUMMYFUNCTION("""COMPUTED_VALUE"""),"Other")</f>
        <v>Other</v>
      </c>
      <c r="C655" s="1" t="str">
        <f ca="1">IFERROR(__xludf.DUMMYFUNCTION("""COMPUTED_VALUE"""),"BB")</f>
        <v>BB</v>
      </c>
      <c r="D655" s="1"/>
    </row>
    <row r="656" spans="1:4" ht="12.5">
      <c r="A656" s="1" t="str">
        <f ca="1">IFERROR(__xludf.DUMMYFUNCTION("""COMPUTED_VALUE"""),"20220411ARPIP")</f>
        <v>20220411ARPIP</v>
      </c>
      <c r="B656" s="1" t="str">
        <f ca="1">IFERROR(__xludf.DUMMYFUNCTION("""COMPUTED_VALUE"""),"Handgun")</f>
        <v>Handgun</v>
      </c>
      <c r="C656" s="1"/>
      <c r="D656" s="1"/>
    </row>
    <row r="657" spans="1:4" ht="12.5">
      <c r="A657" s="1" t="str">
        <f ca="1">IFERROR(__xludf.DUMMYFUNCTION("""COMPUTED_VALUE"""),"20220410MALYL")</f>
        <v>20220410MALYL</v>
      </c>
      <c r="B657" s="1" t="str">
        <f ca="1">IFERROR(__xludf.DUMMYFUNCTION("""COMPUTED_VALUE"""),"Handgun")</f>
        <v>Handgun</v>
      </c>
      <c r="C657" s="1"/>
      <c r="D657" s="1"/>
    </row>
    <row r="658" spans="1:4" ht="12.5">
      <c r="A658" s="1" t="str">
        <f ca="1">IFERROR(__xludf.DUMMYFUNCTION("""COMPUTED_VALUE"""),"20220406WVRIR")</f>
        <v>20220406WVRIR</v>
      </c>
      <c r="B658" s="1" t="str">
        <f ca="1">IFERROR(__xludf.DUMMYFUNCTION("""COMPUTED_VALUE"""),"Handgun")</f>
        <v>Handgun</v>
      </c>
      <c r="C658" s="1" t="str">
        <f ca="1">IFERROR(__xludf.DUMMYFUNCTION("""COMPUTED_VALUE"""),".22 caliber")</f>
        <v>.22 caliber</v>
      </c>
      <c r="D658" s="1"/>
    </row>
    <row r="659" spans="1:4" ht="12.5">
      <c r="A659" s="1" t="str">
        <f ca="1">IFERROR(__xludf.DUMMYFUNCTION("""COMPUTED_VALUE"""),"20220406WASTM")</f>
        <v>20220406WASTM</v>
      </c>
      <c r="B659" s="1" t="str">
        <f ca="1">IFERROR(__xludf.DUMMYFUNCTION("""COMPUTED_VALUE"""),"Other")</f>
        <v>Other</v>
      </c>
      <c r="C659" s="1" t="str">
        <f ca="1">IFERROR(__xludf.DUMMYFUNCTION("""COMPUTED_VALUE"""),"Pellet")</f>
        <v>Pellet</v>
      </c>
      <c r="D659" s="1"/>
    </row>
    <row r="660" spans="1:4" ht="12.5">
      <c r="A660" s="1" t="str">
        <f ca="1">IFERROR(__xludf.DUMMYFUNCTION("""COMPUTED_VALUE"""),"20220406ORROP")</f>
        <v>20220406ORROP</v>
      </c>
      <c r="B660" s="1" t="str">
        <f ca="1">IFERROR(__xludf.DUMMYFUNCTION("""COMPUTED_VALUE"""),"Handgun")</f>
        <v>Handgun</v>
      </c>
      <c r="C660" s="1"/>
      <c r="D660" s="1"/>
    </row>
    <row r="661" spans="1:4" ht="12.5">
      <c r="A661" s="1" t="str">
        <f ca="1">IFERROR(__xludf.DUMMYFUNCTION("""COMPUTED_VALUE"""),"20220405PAERE")</f>
        <v>20220405PAERE</v>
      </c>
      <c r="B661" s="1" t="str">
        <f ca="1">IFERROR(__xludf.DUMMYFUNCTION("""COMPUTED_VALUE"""),"Handgun")</f>
        <v>Handgun</v>
      </c>
      <c r="C661" s="1" t="str">
        <f ca="1">IFERROR(__xludf.DUMMYFUNCTION("""COMPUTED_VALUE"""),"9mm")</f>
        <v>9mm</v>
      </c>
      <c r="D661" s="1"/>
    </row>
    <row r="662" spans="1:4" ht="12.5">
      <c r="A662" s="1" t="str">
        <f ca="1">IFERROR(__xludf.DUMMYFUNCTION("""COMPUTED_VALUE"""),"20220403INBLB")</f>
        <v>20220403INBLB</v>
      </c>
      <c r="B662" s="1" t="str">
        <f ca="1">IFERROR(__xludf.DUMMYFUNCTION("""COMPUTED_VALUE"""),"Multiple Handguns")</f>
        <v>Multiple Handguns</v>
      </c>
      <c r="C662" s="1"/>
      <c r="D662" s="1"/>
    </row>
    <row r="663" spans="1:4" ht="12.5">
      <c r="A663" s="1" t="str">
        <f ca="1">IFERROR(__xludf.DUMMYFUNCTION("""COMPUTED_VALUE"""),"20220331PAACP")</f>
        <v>20220331PAACP</v>
      </c>
      <c r="B663" s="1" t="str">
        <f ca="1">IFERROR(__xludf.DUMMYFUNCTION("""COMPUTED_VALUE"""),"Handgun")</f>
        <v>Handgun</v>
      </c>
      <c r="C663" s="1"/>
      <c r="D663" s="1"/>
    </row>
    <row r="664" spans="1:4" ht="12.5">
      <c r="A664" s="1" t="str">
        <f ca="1">IFERROR(__xludf.DUMMYFUNCTION("""COMPUTED_VALUE"""),"20220330GABOA")</f>
        <v>20220330GABOA</v>
      </c>
      <c r="B664" s="1" t="str">
        <f ca="1">IFERROR(__xludf.DUMMYFUNCTION("""COMPUTED_VALUE"""),"Handgun")</f>
        <v>Handgun</v>
      </c>
      <c r="C664" s="1"/>
      <c r="D664" s="1"/>
    </row>
    <row r="665" spans="1:4" ht="12.5">
      <c r="A665" s="1" t="str">
        <f ca="1">IFERROR(__xludf.DUMMYFUNCTION("""COMPUTED_VALUE"""),"20220330AZKIK")</f>
        <v>20220330AZKIK</v>
      </c>
      <c r="B665" s="1" t="str">
        <f ca="1">IFERROR(__xludf.DUMMYFUNCTION("""COMPUTED_VALUE"""),"Handgun")</f>
        <v>Handgun</v>
      </c>
      <c r="C665" s="1"/>
      <c r="D665" s="1"/>
    </row>
    <row r="666" spans="1:4" ht="12.5">
      <c r="A666" s="1" t="str">
        <f ca="1">IFERROR(__xludf.DUMMYFUNCTION("""COMPUTED_VALUE"""),"20220329VALUR")</f>
        <v>20220329VALUR</v>
      </c>
      <c r="B666" s="1" t="str">
        <f ca="1">IFERROR(__xludf.DUMMYFUNCTION("""COMPUTED_VALUE"""),"Handgun")</f>
        <v>Handgun</v>
      </c>
      <c r="C666" s="1"/>
      <c r="D666" s="1"/>
    </row>
    <row r="667" spans="1:4" ht="12.5">
      <c r="A667" s="1" t="str">
        <f ca="1">IFERROR(__xludf.DUMMYFUNCTION("""COMPUTED_VALUE"""),"20220329NVWEL")</f>
        <v>20220329NVWEL</v>
      </c>
      <c r="B667" s="1" t="str">
        <f ca="1">IFERROR(__xludf.DUMMYFUNCTION("""COMPUTED_VALUE"""),"Handgun")</f>
        <v>Handgun</v>
      </c>
      <c r="C667" s="1" t="str">
        <f ca="1">IFERROR(__xludf.DUMMYFUNCTION("""COMPUTED_VALUE"""),"Service Weapon")</f>
        <v>Service Weapon</v>
      </c>
      <c r="D667" s="1"/>
    </row>
    <row r="668" spans="1:4" ht="12.5">
      <c r="A668" s="1" t="str">
        <f ca="1">IFERROR(__xludf.DUMMYFUNCTION("""COMPUTED_VALUE"""),"20220328TXNOF")</f>
        <v>20220328TXNOF</v>
      </c>
      <c r="B668" s="1" t="str">
        <f ca="1">IFERROR(__xludf.DUMMYFUNCTION("""COMPUTED_VALUE"""),"Handgun")</f>
        <v>Handgun</v>
      </c>
      <c r="C668" s="1"/>
      <c r="D668" s="1"/>
    </row>
    <row r="669" spans="1:4" ht="12.5">
      <c r="A669" s="1" t="str">
        <f ca="1">IFERROR(__xludf.DUMMYFUNCTION("""COMPUTED_VALUE"""),"20220328NCOAC")</f>
        <v>20220328NCOAC</v>
      </c>
      <c r="B669" s="1" t="str">
        <f ca="1">IFERROR(__xludf.DUMMYFUNCTION("""COMPUTED_VALUE"""),"Handgun")</f>
        <v>Handgun</v>
      </c>
      <c r="C669" s="1"/>
      <c r="D669" s="1"/>
    </row>
    <row r="670" spans="1:4" ht="12.5">
      <c r="A670" s="1" t="str">
        <f ca="1">IFERROR(__xludf.DUMMYFUNCTION("""COMPUTED_VALUE"""),"20220325UTHIS")</f>
        <v>20220325UTHIS</v>
      </c>
      <c r="B670" s="1" t="str">
        <f ca="1">IFERROR(__xludf.DUMMYFUNCTION("""COMPUTED_VALUE"""),"Handgun")</f>
        <v>Handgun</v>
      </c>
      <c r="C670" s="1"/>
      <c r="D670" s="1"/>
    </row>
    <row r="671" spans="1:4" ht="12.5">
      <c r="A671" s="1" t="str">
        <f ca="1">IFERROR(__xludf.DUMMYFUNCTION("""COMPUTED_VALUE"""),"20220325UTHIS")</f>
        <v>20220325UTHIS</v>
      </c>
      <c r="B671" s="1" t="str">
        <f ca="1">IFERROR(__xludf.DUMMYFUNCTION("""COMPUTED_VALUE"""),"Other")</f>
        <v>Other</v>
      </c>
      <c r="C671" s="1" t="str">
        <f ca="1">IFERROR(__xludf.DUMMYFUNCTION("""COMPUTED_VALUE"""),"Pellet")</f>
        <v>Pellet</v>
      </c>
      <c r="D671" s="1" t="str">
        <f ca="1">IFERROR(__xludf.DUMMYFUNCTION("""COMPUTED_VALUE"""),"Gel pellet gun")</f>
        <v>Gel pellet gun</v>
      </c>
    </row>
    <row r="672" spans="1:4" ht="12.5">
      <c r="A672" s="1" t="str">
        <f ca="1">IFERROR(__xludf.DUMMYFUNCTION("""COMPUTED_VALUE"""),"20220325TXROR")</f>
        <v>20220325TXROR</v>
      </c>
      <c r="B672" s="1" t="str">
        <f ca="1">IFERROR(__xludf.DUMMYFUNCTION("""COMPUTED_VALUE"""),"Other")</f>
        <v>Other</v>
      </c>
      <c r="C672" s="1" t="str">
        <f ca="1">IFERROR(__xludf.DUMMYFUNCTION("""COMPUTED_VALUE"""),"Pellet")</f>
        <v>Pellet</v>
      </c>
      <c r="D672" s="1" t="str">
        <f ca="1">IFERROR(__xludf.DUMMYFUNCTION("""COMPUTED_VALUE"""),"Multiple gel pellet guns")</f>
        <v>Multiple gel pellet guns</v>
      </c>
    </row>
    <row r="673" spans="1:4" ht="12.5">
      <c r="A673" s="1" t="str">
        <f ca="1">IFERROR(__xludf.DUMMYFUNCTION("""COMPUTED_VALUE"""),"20220325TNBRM")</f>
        <v>20220325TNBRM</v>
      </c>
      <c r="B673" s="1" t="str">
        <f ca="1">IFERROR(__xludf.DUMMYFUNCTION("""COMPUTED_VALUE"""),"Handgun")</f>
        <v>Handgun</v>
      </c>
      <c r="C673" s="1"/>
      <c r="D673" s="1"/>
    </row>
    <row r="674" spans="1:4" ht="12.5">
      <c r="A674" s="1" t="str">
        <f ca="1">IFERROR(__xludf.DUMMYFUNCTION("""COMPUTED_VALUE"""),"20220324VARIW")</f>
        <v>20220324VARIW</v>
      </c>
      <c r="B674" s="1" t="str">
        <f ca="1">IFERROR(__xludf.DUMMYFUNCTION("""COMPUTED_VALUE"""),"Multiple Rifles")</f>
        <v>Multiple Rifles</v>
      </c>
      <c r="C674" s="1"/>
      <c r="D674" s="1" t="str">
        <f ca="1">IFERROR(__xludf.DUMMYFUNCTION("""COMPUTED_VALUE"""),"Rifle and shotgun")</f>
        <v>Rifle and shotgun</v>
      </c>
    </row>
    <row r="675" spans="1:4" ht="12.5">
      <c r="A675" s="1" t="str">
        <f ca="1">IFERROR(__xludf.DUMMYFUNCTION("""COMPUTED_VALUE"""),"20220322VAJAR")</f>
        <v>20220322VAJAR</v>
      </c>
      <c r="B675" s="1" t="str">
        <f ca="1">IFERROR(__xludf.DUMMYFUNCTION("""COMPUTED_VALUE"""),"Handgun")</f>
        <v>Handgun</v>
      </c>
      <c r="C675" s="1"/>
      <c r="D675" s="1"/>
    </row>
    <row r="676" spans="1:4" ht="12.5">
      <c r="A676" s="1" t="str">
        <f ca="1">IFERROR(__xludf.DUMMYFUNCTION("""COMPUTED_VALUE"""),"20220322TXWOD")</f>
        <v>20220322TXWOD</v>
      </c>
      <c r="B676" s="1" t="str">
        <f ca="1">IFERROR(__xludf.DUMMYFUNCTION("""COMPUTED_VALUE"""),"Handgun")</f>
        <v>Handgun</v>
      </c>
      <c r="C676" s="1"/>
      <c r="D676" s="1"/>
    </row>
    <row r="677" spans="1:4" ht="12.5">
      <c r="A677" s="1" t="str">
        <f ca="1">IFERROR(__xludf.DUMMYFUNCTION("""COMPUTED_VALUE"""),"20220322FLNEN")</f>
        <v>20220322FLNEN</v>
      </c>
      <c r="B677" s="1" t="str">
        <f ca="1">IFERROR(__xludf.DUMMYFUNCTION("""COMPUTED_VALUE"""),"Other")</f>
        <v>Other</v>
      </c>
      <c r="C677" s="1" t="str">
        <f ca="1">IFERROR(__xludf.DUMMYFUNCTION("""COMPUTED_VALUE"""),"Pellet")</f>
        <v>Pellet</v>
      </c>
      <c r="D677" s="1" t="str">
        <f ca="1">IFERROR(__xludf.DUMMYFUNCTION("""COMPUTED_VALUE"""),"Gel pellet gun")</f>
        <v>Gel pellet gun</v>
      </c>
    </row>
    <row r="678" spans="1:4" ht="12.5">
      <c r="A678" s="1" t="str">
        <f ca="1">IFERROR(__xludf.DUMMYFUNCTION("""COMPUTED_VALUE"""),"20220321MSLEP")</f>
        <v>20220321MSLEP</v>
      </c>
      <c r="B678" s="1"/>
      <c r="C678" s="1"/>
      <c r="D678" s="1"/>
    </row>
    <row r="679" spans="1:4" ht="12.5">
      <c r="A679" s="1" t="str">
        <f ca="1">IFERROR(__xludf.DUMMYFUNCTION("""COMPUTED_VALUE"""),"20220321MIMAK")</f>
        <v>20220321MIMAK</v>
      </c>
      <c r="B679" s="1" t="str">
        <f ca="1">IFERROR(__xludf.DUMMYFUNCTION("""COMPUTED_VALUE"""),"Handgun")</f>
        <v>Handgun</v>
      </c>
      <c r="C679" s="1" t="str">
        <f ca="1">IFERROR(__xludf.DUMMYFUNCTION("""COMPUTED_VALUE"""),"9mm")</f>
        <v>9mm</v>
      </c>
      <c r="D679" s="1"/>
    </row>
    <row r="680" spans="1:4" ht="12.5">
      <c r="A680" s="1" t="str">
        <f ca="1">IFERROR(__xludf.DUMMYFUNCTION("""COMPUTED_VALUE"""),"20220321AZDES")</f>
        <v>20220321AZDES</v>
      </c>
      <c r="B680" s="1" t="str">
        <f ca="1">IFERROR(__xludf.DUMMYFUNCTION("""COMPUTED_VALUE"""),"Handgun")</f>
        <v>Handgun</v>
      </c>
      <c r="C680" s="1"/>
      <c r="D680" s="1"/>
    </row>
    <row r="681" spans="1:4" ht="12.5">
      <c r="A681" s="1" t="str">
        <f ca="1">IFERROR(__xludf.DUMMYFUNCTION("""COMPUTED_VALUE"""),"20220319ALCEL")</f>
        <v>20220319ALCEL</v>
      </c>
      <c r="B681" s="1" t="str">
        <f ca="1">IFERROR(__xludf.DUMMYFUNCTION("""COMPUTED_VALUE"""),"Handgun")</f>
        <v>Handgun</v>
      </c>
      <c r="C681" s="1"/>
      <c r="D681" s="1"/>
    </row>
    <row r="682" spans="1:4" ht="12.5">
      <c r="A682" s="1" t="str">
        <f ca="1">IFERROR(__xludf.DUMMYFUNCTION("""COMPUTED_VALUE"""),"20220318RICEP")</f>
        <v>20220318RICEP</v>
      </c>
      <c r="B682" s="1" t="str">
        <f ca="1">IFERROR(__xludf.DUMMYFUNCTION("""COMPUTED_VALUE"""),"Other")</f>
        <v>Other</v>
      </c>
      <c r="C682" s="1" t="str">
        <f ca="1">IFERROR(__xludf.DUMMYFUNCTION("""COMPUTED_VALUE"""),"Pellet")</f>
        <v>Pellet</v>
      </c>
      <c r="D682" s="1" t="str">
        <f ca="1">IFERROR(__xludf.DUMMYFUNCTION("""COMPUTED_VALUE"""),"Gel pellet gun")</f>
        <v>Gel pellet gun</v>
      </c>
    </row>
    <row r="683" spans="1:4" ht="12.5">
      <c r="A683" s="1" t="str">
        <f ca="1">IFERROR(__xludf.DUMMYFUNCTION("""COMPUTED_VALUE"""),"20220318ILBAB")</f>
        <v>20220318ILBAB</v>
      </c>
      <c r="B683" s="1" t="str">
        <f ca="1">IFERROR(__xludf.DUMMYFUNCTION("""COMPUTED_VALUE"""),"Other")</f>
        <v>Other</v>
      </c>
      <c r="C683" s="1" t="str">
        <f ca="1">IFERROR(__xludf.DUMMYFUNCTION("""COMPUTED_VALUE"""),"Pellet")</f>
        <v>Pellet</v>
      </c>
      <c r="D683" s="1" t="str">
        <f ca="1">IFERROR(__xludf.DUMMYFUNCTION("""COMPUTED_VALUE"""),"Gel pellet gun")</f>
        <v>Gel pellet gun</v>
      </c>
    </row>
    <row r="684" spans="1:4" ht="12.5">
      <c r="A684" s="1" t="str">
        <f ca="1">IFERROR(__xludf.DUMMYFUNCTION("""COMPUTED_VALUE"""),"20220317AKREW")</f>
        <v>20220317AKREW</v>
      </c>
      <c r="B684" s="1" t="str">
        <f ca="1">IFERROR(__xludf.DUMMYFUNCTION("""COMPUTED_VALUE"""),"Handgun")</f>
        <v>Handgun</v>
      </c>
      <c r="C684" s="1"/>
      <c r="D684" s="1"/>
    </row>
    <row r="685" spans="1:4" ht="12.5">
      <c r="A685" s="1" t="str">
        <f ca="1">IFERROR(__xludf.DUMMYFUNCTION("""COMPUTED_VALUE"""),"20220316CALOR")</f>
        <v>20220316CALOR</v>
      </c>
      <c r="B685" s="1" t="str">
        <f ca="1">IFERROR(__xludf.DUMMYFUNCTION("""COMPUTED_VALUE"""),"Handgun")</f>
        <v>Handgun</v>
      </c>
      <c r="C685" s="1"/>
      <c r="D685" s="1"/>
    </row>
    <row r="686" spans="1:4" ht="12.5">
      <c r="A686" s="1" t="str">
        <f ca="1">IFERROR(__xludf.DUMMYFUNCTION("""COMPUTED_VALUE"""),"20220315WAEIY")</f>
        <v>20220315WAEIY</v>
      </c>
      <c r="B686" s="1" t="str">
        <f ca="1">IFERROR(__xludf.DUMMYFUNCTION("""COMPUTED_VALUE"""),"Multiple Handguns")</f>
        <v>Multiple Handguns</v>
      </c>
      <c r="C686" s="1"/>
      <c r="D686" s="1"/>
    </row>
    <row r="687" spans="1:4" ht="12.5">
      <c r="A687" s="1" t="str">
        <f ca="1">IFERROR(__xludf.DUMMYFUNCTION("""COMPUTED_VALUE"""),"20220315MDPAB")</f>
        <v>20220315MDPAB</v>
      </c>
      <c r="B687" s="1" t="str">
        <f ca="1">IFERROR(__xludf.DUMMYFUNCTION("""COMPUTED_VALUE"""),"Handgun")</f>
        <v>Handgun</v>
      </c>
      <c r="C687" s="1"/>
      <c r="D687" s="1"/>
    </row>
    <row r="688" spans="1:4" ht="12.5">
      <c r="A688" s="1" t="str">
        <f ca="1">IFERROR(__xludf.DUMMYFUNCTION("""COMPUTED_VALUE"""),"20220315MATEB")</f>
        <v>20220315MATEB</v>
      </c>
      <c r="B688" s="1" t="str">
        <f ca="1">IFERROR(__xludf.DUMMYFUNCTION("""COMPUTED_VALUE"""),"Multiple Handguns")</f>
        <v>Multiple Handguns</v>
      </c>
      <c r="C688" s="1"/>
      <c r="D688" s="1" t="str">
        <f ca="1">IFERROR(__xludf.DUMMYFUNCTION("""COMPUTED_VALUE"""),"9mm glock handgun and .22 handgun with laser sight")</f>
        <v>9mm glock handgun and .22 handgun with laser sight</v>
      </c>
    </row>
    <row r="689" spans="1:4" ht="12.5">
      <c r="A689" s="1" t="str">
        <f ca="1">IFERROR(__xludf.DUMMYFUNCTION("""COMPUTED_VALUE"""),"20220315GAFOF")</f>
        <v>20220315GAFOF</v>
      </c>
      <c r="B689" s="1" t="str">
        <f ca="1">IFERROR(__xludf.DUMMYFUNCTION("""COMPUTED_VALUE"""),"Handgun")</f>
        <v>Handgun</v>
      </c>
      <c r="C689" s="1"/>
      <c r="D689" s="1"/>
    </row>
    <row r="690" spans="1:4" ht="12.5">
      <c r="A690" s="1" t="str">
        <f ca="1">IFERROR(__xludf.DUMMYFUNCTION("""COMPUTED_VALUE"""),"20220314CAKRP")</f>
        <v>20220314CAKRP</v>
      </c>
      <c r="B690" s="1" t="str">
        <f ca="1">IFERROR(__xludf.DUMMYFUNCTION("""COMPUTED_VALUE"""),"Handgun")</f>
        <v>Handgun</v>
      </c>
      <c r="C690" s="1"/>
      <c r="D690" s="1"/>
    </row>
    <row r="691" spans="1:4" ht="12.5">
      <c r="A691" s="1" t="str">
        <f ca="1">IFERROR(__xludf.DUMMYFUNCTION("""COMPUTED_VALUE"""),"20220313PANEP")</f>
        <v>20220313PANEP</v>
      </c>
      <c r="B691" s="1"/>
      <c r="C691" s="1"/>
      <c r="D691" s="1"/>
    </row>
    <row r="692" spans="1:4" ht="12.5">
      <c r="A692" s="1" t="str">
        <f ca="1">IFERROR(__xludf.DUMMYFUNCTION("""COMPUTED_VALUE"""),"20220313PANEP")</f>
        <v>20220313PANEP</v>
      </c>
      <c r="B692" s="1"/>
      <c r="C692" s="1"/>
      <c r="D692" s="1"/>
    </row>
    <row r="693" spans="1:4" ht="12.5">
      <c r="A693" s="1" t="str">
        <f ca="1">IFERROR(__xludf.DUMMYFUNCTION("""COMPUTED_VALUE"""),"20220311WIJER")</f>
        <v>20220311WIJER</v>
      </c>
      <c r="B693" s="1" t="str">
        <f ca="1">IFERROR(__xludf.DUMMYFUNCTION("""COMPUTED_VALUE"""),"Handgun")</f>
        <v>Handgun</v>
      </c>
      <c r="C693" s="1"/>
      <c r="D693" s="1"/>
    </row>
    <row r="694" spans="1:4" ht="12.5">
      <c r="A694" s="1" t="str">
        <f ca="1">IFERROR(__xludf.DUMMYFUNCTION("""COMPUTED_VALUE"""),"20220311OHMAM")</f>
        <v>20220311OHMAM</v>
      </c>
      <c r="B694" s="1"/>
      <c r="C694" s="1"/>
      <c r="D694" s="1"/>
    </row>
    <row r="695" spans="1:4" ht="12.5">
      <c r="A695" s="1" t="str">
        <f ca="1">IFERROR(__xludf.DUMMYFUNCTION("""COMPUTED_VALUE"""),"20220311OHFAP")</f>
        <v>20220311OHFAP</v>
      </c>
      <c r="B695" s="1" t="str">
        <f ca="1">IFERROR(__xludf.DUMMYFUNCTION("""COMPUTED_VALUE"""),"Handgun")</f>
        <v>Handgun</v>
      </c>
      <c r="C695" s="1"/>
      <c r="D695" s="1"/>
    </row>
    <row r="696" spans="1:4" ht="12.5">
      <c r="A696" s="1" t="str">
        <f ca="1">IFERROR(__xludf.DUMMYFUNCTION("""COMPUTED_VALUE"""),"20220311CADER")</f>
        <v>20220311CADER</v>
      </c>
      <c r="B696" s="1" t="str">
        <f ca="1">IFERROR(__xludf.DUMMYFUNCTION("""COMPUTED_VALUE"""),"Handgun")</f>
        <v>Handgun</v>
      </c>
      <c r="C696" s="1"/>
      <c r="D696" s="1"/>
    </row>
    <row r="697" spans="1:4" ht="12.5">
      <c r="A697" s="1" t="str">
        <f ca="1">IFERROR(__xludf.DUMMYFUNCTION("""COMPUTED_VALUE"""),"20220310TNHAM")</f>
        <v>20220310TNHAM</v>
      </c>
      <c r="B697" s="1" t="str">
        <f ca="1">IFERROR(__xludf.DUMMYFUNCTION("""COMPUTED_VALUE"""),"Handgun")</f>
        <v>Handgun</v>
      </c>
      <c r="C697" s="1"/>
      <c r="D697" s="1"/>
    </row>
    <row r="698" spans="1:4" ht="12.5">
      <c r="A698" s="1" t="str">
        <f ca="1">IFERROR(__xludf.DUMMYFUNCTION("""COMPUTED_VALUE"""),"20220310MDCOL")</f>
        <v>20220310MDCOL</v>
      </c>
      <c r="B698" s="1" t="str">
        <f ca="1">IFERROR(__xludf.DUMMYFUNCTION("""COMPUTED_VALUE"""),"Handgun")</f>
        <v>Handgun</v>
      </c>
      <c r="C698" s="1"/>
      <c r="D698" s="1"/>
    </row>
    <row r="699" spans="1:4" ht="12.5">
      <c r="A699" s="1" t="str">
        <f ca="1">IFERROR(__xludf.DUMMYFUNCTION("""COMPUTED_VALUE"""),"20220310COROH")</f>
        <v>20220310COROH</v>
      </c>
      <c r="B699" s="1" t="str">
        <f ca="1">IFERROR(__xludf.DUMMYFUNCTION("""COMPUTED_VALUE"""),"Other")</f>
        <v>Other</v>
      </c>
      <c r="C699" s="1"/>
      <c r="D699" s="1" t="str">
        <f ca="1">IFERROR(__xludf.DUMMYFUNCTION("""COMPUTED_VALUE"""),"Water pellet gun")</f>
        <v>Water pellet gun</v>
      </c>
    </row>
    <row r="700" spans="1:4" ht="12.5">
      <c r="A700" s="1" t="str">
        <f ca="1">IFERROR(__xludf.DUMMYFUNCTION("""COMPUTED_VALUE"""),"20220309TXNOH")</f>
        <v>20220309TXNOH</v>
      </c>
      <c r="B700" s="1" t="str">
        <f ca="1">IFERROR(__xludf.DUMMYFUNCTION("""COMPUTED_VALUE"""),"Handgun")</f>
        <v>Handgun</v>
      </c>
      <c r="C700" s="1"/>
      <c r="D700" s="1"/>
    </row>
    <row r="701" spans="1:4" ht="12.5">
      <c r="A701" s="1" t="str">
        <f ca="1">IFERROR(__xludf.DUMMYFUNCTION("""COMPUTED_VALUE"""),"20220309NMESE")</f>
        <v>20220309NMESE</v>
      </c>
      <c r="B701" s="1" t="str">
        <f ca="1">IFERROR(__xludf.DUMMYFUNCTION("""COMPUTED_VALUE"""),"Other")</f>
        <v>Other</v>
      </c>
      <c r="C701" s="1"/>
      <c r="D701" s="1" t="str">
        <f ca="1">IFERROR(__xludf.DUMMYFUNCTION("""COMPUTED_VALUE"""),"Paintball gun")</f>
        <v>Paintball gun</v>
      </c>
    </row>
    <row r="702" spans="1:4" ht="12.5">
      <c r="A702" s="1" t="str">
        <f ca="1">IFERROR(__xludf.DUMMYFUNCTION("""COMPUTED_VALUE"""),"20220309FLNOM")</f>
        <v>20220309FLNOM</v>
      </c>
      <c r="B702" s="1" t="str">
        <f ca="1">IFERROR(__xludf.DUMMYFUNCTION("""COMPUTED_VALUE"""),"Handgun")</f>
        <v>Handgun</v>
      </c>
      <c r="C702" s="1"/>
      <c r="D702" s="1" t="str">
        <f ca="1">IFERROR(__xludf.DUMMYFUNCTION("""COMPUTED_VALUE"""),"Glock with extended magazine")</f>
        <v>Glock with extended magazine</v>
      </c>
    </row>
    <row r="703" spans="1:4" ht="12.5">
      <c r="A703" s="1" t="str">
        <f ca="1">IFERROR(__xludf.DUMMYFUNCTION("""COMPUTED_VALUE"""),"20220309FLNOM")</f>
        <v>20220309FLNOM</v>
      </c>
      <c r="B703" s="1" t="str">
        <f ca="1">IFERROR(__xludf.DUMMYFUNCTION("""COMPUTED_VALUE"""),"Rifle")</f>
        <v>Rifle</v>
      </c>
      <c r="C703" s="1"/>
      <c r="D703" s="1" t="str">
        <f ca="1">IFERROR(__xludf.DUMMYFUNCTION("""COMPUTED_VALUE"""),"Springfield AR style rifle with fully automatic firing")</f>
        <v>Springfield AR style rifle with fully automatic firing</v>
      </c>
    </row>
    <row r="704" spans="1:4" ht="12.5">
      <c r="A704" s="1" t="str">
        <f ca="1">IFERROR(__xludf.DUMMYFUNCTION("""COMPUTED_VALUE"""),"20220307IAEAD")</f>
        <v>20220307IAEAD</v>
      </c>
      <c r="B704" s="1" t="str">
        <f ca="1">IFERROR(__xludf.DUMMYFUNCTION("""COMPUTED_VALUE"""),"Multiple Handguns")</f>
        <v>Multiple Handguns</v>
      </c>
      <c r="C704" s="1"/>
      <c r="D704" s="1" t="str">
        <f ca="1">IFERROR(__xludf.DUMMYFUNCTION("""COMPUTED_VALUE"""),"6 handguns recovered from suspects")</f>
        <v>6 handguns recovered from suspects</v>
      </c>
    </row>
    <row r="705" spans="1:4" ht="12.5">
      <c r="A705" s="1" t="str">
        <f ca="1">IFERROR(__xludf.DUMMYFUNCTION("""COMPUTED_VALUE"""),"20220304KSOLO")</f>
        <v>20220304KSOLO</v>
      </c>
      <c r="B705" s="1" t="str">
        <f ca="1">IFERROR(__xludf.DUMMYFUNCTION("""COMPUTED_VALUE"""),"Handgun")</f>
        <v>Handgun</v>
      </c>
      <c r="C705" s="1"/>
      <c r="D705" s="1"/>
    </row>
    <row r="706" spans="1:4" ht="12.5">
      <c r="A706" s="1" t="str">
        <f ca="1">IFERROR(__xludf.DUMMYFUNCTION("""COMPUTED_VALUE"""),"20220303MIJWL")</f>
        <v>20220303MIJWL</v>
      </c>
      <c r="B706" s="1" t="str">
        <f ca="1">IFERROR(__xludf.DUMMYFUNCTION("""COMPUTED_VALUE"""),"Handgun")</f>
        <v>Handgun</v>
      </c>
      <c r="C706" s="1"/>
      <c r="D706" s="1"/>
    </row>
    <row r="707" spans="1:4" ht="12.5">
      <c r="A707" s="1" t="str">
        <f ca="1">IFERROR(__xludf.DUMMYFUNCTION("""COMPUTED_VALUE"""),"20220228NYBOB")</f>
        <v>20220228NYBOB</v>
      </c>
      <c r="B707" s="1" t="str">
        <f ca="1">IFERROR(__xludf.DUMMYFUNCTION("""COMPUTED_VALUE"""),"Handgun")</f>
        <v>Handgun</v>
      </c>
      <c r="C707" s="1"/>
      <c r="D707" s="1"/>
    </row>
    <row r="708" spans="1:4" ht="12.5">
      <c r="A708" s="1" t="str">
        <f ca="1">IFERROR(__xludf.DUMMYFUNCTION("""COMPUTED_VALUE"""),"20220227DCDUW")</f>
        <v>20220227DCDUW</v>
      </c>
      <c r="B708" s="1" t="str">
        <f ca="1">IFERROR(__xludf.DUMMYFUNCTION("""COMPUTED_VALUE"""),"Handgun")</f>
        <v>Handgun</v>
      </c>
      <c r="C708" s="1"/>
      <c r="D708" s="1"/>
    </row>
    <row r="709" spans="1:4" ht="12.5">
      <c r="A709" s="1" t="str">
        <f ca="1">IFERROR(__xludf.DUMMYFUNCTION("""COMPUTED_VALUE"""),"20220225NMWEA")</f>
        <v>20220225NMWEA</v>
      </c>
      <c r="B709" s="1" t="str">
        <f ca="1">IFERROR(__xludf.DUMMYFUNCTION("""COMPUTED_VALUE"""),"Handgun")</f>
        <v>Handgun</v>
      </c>
      <c r="C709" s="1"/>
      <c r="D709" s="1" t="str">
        <f ca="1">IFERROR(__xludf.DUMMYFUNCTION("""COMPUTED_VALUE"""),"Replica glock ""ghost gun"" purchased online")</f>
        <v>Replica glock "ghost gun" purchased online</v>
      </c>
    </row>
    <row r="710" spans="1:4" ht="12.5">
      <c r="A710" s="1" t="str">
        <f ca="1">IFERROR(__xludf.DUMMYFUNCTION("""COMPUTED_VALUE"""),"20220225ALSOH")</f>
        <v>20220225ALSOH</v>
      </c>
      <c r="B710" s="1" t="str">
        <f ca="1">IFERROR(__xludf.DUMMYFUNCTION("""COMPUTED_VALUE"""),"Handgun")</f>
        <v>Handgun</v>
      </c>
      <c r="C710" s="1"/>
      <c r="D710" s="1"/>
    </row>
    <row r="711" spans="1:4" ht="12.5">
      <c r="A711" s="1" t="str">
        <f ca="1">IFERROR(__xludf.DUMMYFUNCTION("""COMPUTED_VALUE"""),"20220223VAWOW")</f>
        <v>20220223VAWOW</v>
      </c>
      <c r="B711" s="1" t="str">
        <f ca="1">IFERROR(__xludf.DUMMYFUNCTION("""COMPUTED_VALUE"""),"Handgun")</f>
        <v>Handgun</v>
      </c>
      <c r="C711" s="1"/>
      <c r="D711" s="1"/>
    </row>
    <row r="712" spans="1:4" ht="12.5">
      <c r="A712" s="1" t="str">
        <f ca="1">IFERROR(__xludf.DUMMYFUNCTION("""COMPUTED_VALUE"""),"20220222TXALH")</f>
        <v>20220222TXALH</v>
      </c>
      <c r="B712" s="1" t="str">
        <f ca="1">IFERROR(__xludf.DUMMYFUNCTION("""COMPUTED_VALUE"""),"Handgun")</f>
        <v>Handgun</v>
      </c>
      <c r="C712" s="1"/>
      <c r="D712" s="1"/>
    </row>
    <row r="713" spans="1:4" ht="12.5">
      <c r="A713" s="1" t="str">
        <f ca="1">IFERROR(__xludf.DUMMYFUNCTION("""COMPUTED_VALUE"""),"20220222COLIP")</f>
        <v>20220222COLIP</v>
      </c>
      <c r="B713" s="1" t="str">
        <f ca="1">IFERROR(__xludf.DUMMYFUNCTION("""COMPUTED_VALUE"""),"Handgun")</f>
        <v>Handgun</v>
      </c>
      <c r="C713" s="1" t="str">
        <f ca="1">IFERROR(__xludf.DUMMYFUNCTION("""COMPUTED_VALUE"""),"Service Weapon")</f>
        <v>Service Weapon</v>
      </c>
      <c r="D713" s="1"/>
    </row>
    <row r="714" spans="1:4" ht="12.5">
      <c r="A714" s="1" t="str">
        <f ca="1">IFERROR(__xludf.DUMMYFUNCTION("""COMPUTED_VALUE"""),"20220221MDJOH")</f>
        <v>20220221MDJOH</v>
      </c>
      <c r="B714" s="1" t="str">
        <f ca="1">IFERROR(__xludf.DUMMYFUNCTION("""COMPUTED_VALUE"""),"Handgun")</f>
        <v>Handgun</v>
      </c>
      <c r="C714" s="1"/>
      <c r="D714" s="1"/>
    </row>
    <row r="715" spans="1:4" ht="12.5">
      <c r="A715" s="1" t="str">
        <f ca="1">IFERROR(__xludf.DUMMYFUNCTION("""COMPUTED_VALUE"""),"20220220OKWIW")</f>
        <v>20220220OKWIW</v>
      </c>
      <c r="B715" s="1" t="str">
        <f ca="1">IFERROR(__xludf.DUMMYFUNCTION("""COMPUTED_VALUE"""),"Handgun")</f>
        <v>Handgun</v>
      </c>
      <c r="C715" s="1"/>
      <c r="D715" s="1"/>
    </row>
    <row r="716" spans="1:4" ht="12.5">
      <c r="A716" s="1" t="str">
        <f ca="1">IFERROR(__xludf.DUMMYFUNCTION("""COMPUTED_VALUE"""),"20220220MSMCM")</f>
        <v>20220220MSMCM</v>
      </c>
      <c r="B716" s="1"/>
      <c r="C716" s="1"/>
      <c r="D716" s="1"/>
    </row>
    <row r="717" spans="1:4" ht="12.5">
      <c r="A717" s="1" t="str">
        <f ca="1">IFERROR(__xludf.DUMMYFUNCTION("""COMPUTED_VALUE"""),"20220219VACAC")</f>
        <v>20220219VACAC</v>
      </c>
      <c r="B717" s="1"/>
      <c r="C717" s="1"/>
      <c r="D717" s="1"/>
    </row>
    <row r="718" spans="1:4" ht="12.5">
      <c r="A718" s="1" t="str">
        <f ca="1">IFERROR(__xludf.DUMMYFUNCTION("""COMPUTED_VALUE"""),"20220218MATET")</f>
        <v>20220218MATET</v>
      </c>
      <c r="B718" s="1" t="str">
        <f ca="1">IFERROR(__xludf.DUMMYFUNCTION("""COMPUTED_VALUE"""),"Other")</f>
        <v>Other</v>
      </c>
      <c r="C718" s="1" t="str">
        <f ca="1">IFERROR(__xludf.DUMMYFUNCTION("""COMPUTED_VALUE"""),"Pellet")</f>
        <v>Pellet</v>
      </c>
      <c r="D718" s="1" t="str">
        <f ca="1">IFERROR(__xludf.DUMMYFUNCTION("""COMPUTED_VALUE"""),"Gel pellet")</f>
        <v>Gel pellet</v>
      </c>
    </row>
    <row r="719" spans="1:4" ht="12.5">
      <c r="A719" s="1" t="str">
        <f ca="1">IFERROR(__xludf.DUMMYFUNCTION("""COMPUTED_VALUE"""),"20220217WAMCG")</f>
        <v>20220217WAMCG</v>
      </c>
      <c r="B719" s="1" t="str">
        <f ca="1">IFERROR(__xludf.DUMMYFUNCTION("""COMPUTED_VALUE"""),"Handgun")</f>
        <v>Handgun</v>
      </c>
      <c r="C719" s="1"/>
      <c r="D719" s="1"/>
    </row>
    <row r="720" spans="1:4" ht="12.5">
      <c r="A720" s="1" t="str">
        <f ca="1">IFERROR(__xludf.DUMMYFUNCTION("""COMPUTED_VALUE"""),"20220214FLLAL")</f>
        <v>20220214FLLAL</v>
      </c>
      <c r="B720" s="1" t="str">
        <f ca="1">IFERROR(__xludf.DUMMYFUNCTION("""COMPUTED_VALUE"""),"Handgun")</f>
        <v>Handgun</v>
      </c>
      <c r="C720" s="1"/>
      <c r="D720" s="1"/>
    </row>
    <row r="721" spans="1:4" ht="12.5">
      <c r="A721" s="1" t="str">
        <f ca="1">IFERROR(__xludf.DUMMYFUNCTION("""COMPUTED_VALUE"""),"20220211DCEAW")</f>
        <v>20220211DCEAW</v>
      </c>
      <c r="B721" s="1" t="str">
        <f ca="1">IFERROR(__xludf.DUMMYFUNCTION("""COMPUTED_VALUE"""),"Handgun")</f>
        <v>Handgun</v>
      </c>
      <c r="C721" s="1"/>
      <c r="D721" s="1"/>
    </row>
    <row r="722" spans="1:4" ht="12.5">
      <c r="A722" s="1" t="str">
        <f ca="1">IFERROR(__xludf.DUMMYFUNCTION("""COMPUTED_VALUE"""),"20220209NYMCB")</f>
        <v>20220209NYMCB</v>
      </c>
      <c r="B722" s="1" t="str">
        <f ca="1">IFERROR(__xludf.DUMMYFUNCTION("""COMPUTED_VALUE"""),"Handgun")</f>
        <v>Handgun</v>
      </c>
      <c r="C722" s="1"/>
      <c r="D722" s="1"/>
    </row>
    <row r="723" spans="1:4" ht="12.5">
      <c r="A723" s="1" t="str">
        <f ca="1">IFERROR(__xludf.DUMMYFUNCTION("""COMPUTED_VALUE"""),"20220209MNMIM")</f>
        <v>20220209MNMIM</v>
      </c>
      <c r="B723" s="1"/>
      <c r="C723" s="1"/>
      <c r="D723" s="1"/>
    </row>
    <row r="724" spans="1:4" ht="12.5">
      <c r="A724" s="1" t="str">
        <f ca="1">IFERROR(__xludf.DUMMYFUNCTION("""COMPUTED_VALUE"""),"20220208NYMOM")</f>
        <v>20220208NYMOM</v>
      </c>
      <c r="B724" s="1" t="str">
        <f ca="1">IFERROR(__xludf.DUMMYFUNCTION("""COMPUTED_VALUE"""),"Handgun")</f>
        <v>Handgun</v>
      </c>
      <c r="C724" s="1"/>
      <c r="D724" s="1"/>
    </row>
    <row r="725" spans="1:4" ht="12.5">
      <c r="A725" s="1" t="str">
        <f ca="1">IFERROR(__xludf.DUMMYFUNCTION("""COMPUTED_VALUE"""),"20220208MDCAC")</f>
        <v>20220208MDCAC</v>
      </c>
      <c r="B725" s="1" t="str">
        <f ca="1">IFERROR(__xludf.DUMMYFUNCTION("""COMPUTED_VALUE"""),"Handgun")</f>
        <v>Handgun</v>
      </c>
      <c r="C725" s="1"/>
      <c r="D725" s="1"/>
    </row>
    <row r="726" spans="1:4" ht="12.5">
      <c r="A726" s="1" t="str">
        <f ca="1">IFERROR(__xludf.DUMMYFUNCTION("""COMPUTED_VALUE"""),"20220204GASOD")</f>
        <v>20220204GASOD</v>
      </c>
      <c r="B726" s="1" t="str">
        <f ca="1">IFERROR(__xludf.DUMMYFUNCTION("""COMPUTED_VALUE"""),"Handgun")</f>
        <v>Handgun</v>
      </c>
      <c r="C726" s="1"/>
      <c r="D726" s="1"/>
    </row>
    <row r="727" spans="1:4" ht="12.5">
      <c r="A727" s="1" t="str">
        <f ca="1">IFERROR(__xludf.DUMMYFUNCTION("""COMPUTED_VALUE"""),"20220204ALWEB")</f>
        <v>20220204ALWEB</v>
      </c>
      <c r="B727" s="1" t="str">
        <f ca="1">IFERROR(__xludf.DUMMYFUNCTION("""COMPUTED_VALUE"""),"Handgun")</f>
        <v>Handgun</v>
      </c>
      <c r="C727" s="1"/>
      <c r="D727" s="1"/>
    </row>
    <row r="728" spans="1:4" ht="12.5">
      <c r="A728" s="1" t="str">
        <f ca="1">IFERROR(__xludf.DUMMYFUNCTION("""COMPUTED_VALUE"""),"20220203NCSPS")</f>
        <v>20220203NCSPS</v>
      </c>
      <c r="B728" s="1"/>
      <c r="C728" s="1"/>
      <c r="D728" s="1"/>
    </row>
    <row r="729" spans="1:4" ht="12.5">
      <c r="A729" s="1" t="str">
        <f ca="1">IFERROR(__xludf.DUMMYFUNCTION("""COMPUTED_VALUE"""),"20220202KYLOR")</f>
        <v>20220202KYLOR</v>
      </c>
      <c r="B729" s="1"/>
      <c r="C729" s="1"/>
      <c r="D729" s="1"/>
    </row>
    <row r="730" spans="1:4" ht="12.5">
      <c r="A730" s="1" t="str">
        <f ca="1">IFERROR(__xludf.DUMMYFUNCTION("""COMPUTED_VALUE"""),"20220201WIRUM")</f>
        <v>20220201WIRUM</v>
      </c>
      <c r="B730" s="1" t="str">
        <f ca="1">IFERROR(__xludf.DUMMYFUNCTION("""COMPUTED_VALUE"""),"Handgun")</f>
        <v>Handgun</v>
      </c>
      <c r="C730" s="1"/>
      <c r="D730" s="1"/>
    </row>
    <row r="731" spans="1:4" ht="12.5">
      <c r="A731" s="1" t="str">
        <f ca="1">IFERROR(__xludf.DUMMYFUNCTION("""COMPUTED_VALUE"""),"20220201WIRUM")</f>
        <v>20220201WIRUM</v>
      </c>
      <c r="B731" s="1" t="str">
        <f ca="1">IFERROR(__xludf.DUMMYFUNCTION("""COMPUTED_VALUE"""),"Handgun")</f>
        <v>Handgun</v>
      </c>
      <c r="C731" s="1"/>
      <c r="D731" s="1"/>
    </row>
    <row r="732" spans="1:4" ht="12.5">
      <c r="A732" s="1" t="str">
        <f ca="1">IFERROR(__xludf.DUMMYFUNCTION("""COMPUTED_VALUE"""),"20220201MNSOR")</f>
        <v>20220201MNSOR</v>
      </c>
      <c r="B732" s="1"/>
      <c r="C732" s="1"/>
      <c r="D732" s="1"/>
    </row>
    <row r="733" spans="1:4" ht="12.5">
      <c r="A733" s="1" t="str">
        <f ca="1">IFERROR(__xludf.DUMMYFUNCTION("""COMPUTED_VALUE"""),"20220201ILALC")</f>
        <v>20220201ILALC</v>
      </c>
      <c r="B733" s="1" t="str">
        <f ca="1">IFERROR(__xludf.DUMMYFUNCTION("""COMPUTED_VALUE"""),"Handgun")</f>
        <v>Handgun</v>
      </c>
      <c r="C733" s="1"/>
      <c r="D733" s="1"/>
    </row>
    <row r="734" spans="1:4" ht="12.5">
      <c r="A734" s="1" t="str">
        <f ca="1">IFERROR(__xludf.DUMMYFUNCTION("""COMPUTED_VALUE"""),"20220129WIBEB")</f>
        <v>20220129WIBEB</v>
      </c>
      <c r="B734" s="1" t="str">
        <f ca="1">IFERROR(__xludf.DUMMYFUNCTION("""COMPUTED_VALUE"""),"Handgun")</f>
        <v>Handgun</v>
      </c>
      <c r="C734" s="1"/>
      <c r="D734" s="1"/>
    </row>
    <row r="735" spans="1:4" ht="12.5">
      <c r="A735" s="1" t="str">
        <f ca="1">IFERROR(__xludf.DUMMYFUNCTION("""COMPUTED_VALUE"""),"20220128LACAM")</f>
        <v>20220128LACAM</v>
      </c>
      <c r="B735" s="1" t="str">
        <f ca="1">IFERROR(__xludf.DUMMYFUNCTION("""COMPUTED_VALUE"""),"Handgun")</f>
        <v>Handgun</v>
      </c>
      <c r="C735" s="1"/>
      <c r="D735" s="1"/>
    </row>
    <row r="736" spans="1:4" ht="12.5">
      <c r="A736" s="1" t="str">
        <f ca="1">IFERROR(__xludf.DUMMYFUNCTION("""COMPUTED_VALUE"""),"20220127TXMOH")</f>
        <v>20220127TXMOH</v>
      </c>
      <c r="B736" s="1" t="str">
        <f ca="1">IFERROR(__xludf.DUMMYFUNCTION("""COMPUTED_VALUE"""),"Handgun")</f>
        <v>Handgun</v>
      </c>
      <c r="C736" s="1"/>
      <c r="D736" s="1"/>
    </row>
    <row r="737" spans="1:4" ht="12.5">
      <c r="A737" s="1" t="str">
        <f ca="1">IFERROR(__xludf.DUMMYFUNCTION("""COMPUTED_VALUE"""),"20220126PABAP")</f>
        <v>20220126PABAP</v>
      </c>
      <c r="B737" s="1" t="str">
        <f ca="1">IFERROR(__xludf.DUMMYFUNCTION("""COMPUTED_VALUE"""),"Handgun")</f>
        <v>Handgun</v>
      </c>
      <c r="C737" s="1"/>
      <c r="D737" s="1"/>
    </row>
    <row r="738" spans="1:4" ht="12.5">
      <c r="A738" s="1" t="str">
        <f ca="1">IFERROR(__xludf.DUMMYFUNCTION("""COMPUTED_VALUE"""),"20220124NVSUL")</f>
        <v>20220124NVSUL</v>
      </c>
      <c r="B738" s="1"/>
      <c r="C738" s="1"/>
      <c r="D738" s="1"/>
    </row>
    <row r="739" spans="1:4" ht="12.5">
      <c r="A739" s="1" t="str">
        <f ca="1">IFERROR(__xludf.DUMMYFUNCTION("""COMPUTED_VALUE"""),"20220124IDDAD")</f>
        <v>20220124IDDAD</v>
      </c>
      <c r="B739" s="1" t="str">
        <f ca="1">IFERROR(__xludf.DUMMYFUNCTION("""COMPUTED_VALUE"""),"Rifle")</f>
        <v>Rifle</v>
      </c>
      <c r="C739" s="1"/>
      <c r="D739" s="1" t="str">
        <f ca="1">IFERROR(__xludf.DUMMYFUNCTION("""COMPUTED_VALUE"""),"AR-15")</f>
        <v>AR-15</v>
      </c>
    </row>
    <row r="740" spans="1:4" ht="12.5">
      <c r="A740" s="1" t="str">
        <f ca="1">IFERROR(__xludf.DUMMYFUNCTION("""COMPUTED_VALUE"""),"20220121MDMAR")</f>
        <v>20220121MDMAR</v>
      </c>
      <c r="B740" s="1" t="str">
        <f ca="1">IFERROR(__xludf.DUMMYFUNCTION("""COMPUTED_VALUE"""),"Handgun")</f>
        <v>Handgun</v>
      </c>
      <c r="C740" s="1" t="str">
        <f ca="1">IFERROR(__xludf.DUMMYFUNCTION("""COMPUTED_VALUE"""),"9mm")</f>
        <v>9mm</v>
      </c>
      <c r="D740" s="1" t="str">
        <f ca="1">IFERROR(__xludf.DUMMYFUNCTION("""COMPUTED_VALUE"""),"Ghost gun purchased online and assembled by shooter and friend")</f>
        <v>Ghost gun purchased online and assembled by shooter and friend</v>
      </c>
    </row>
    <row r="741" spans="1:4" ht="12.5">
      <c r="A741" s="1" t="str">
        <f ca="1">IFERROR(__xludf.DUMMYFUNCTION("""COMPUTED_VALUE"""),"20220121GAMCA")</f>
        <v>20220121GAMCA</v>
      </c>
      <c r="B741" s="1"/>
      <c r="C741" s="1"/>
      <c r="D741" s="1"/>
    </row>
    <row r="742" spans="1:4" ht="12.5">
      <c r="A742" s="1" t="str">
        <f ca="1">IFERROR(__xludf.DUMMYFUNCTION("""COMPUTED_VALUE"""),"20220119VAMAP")</f>
        <v>20220119VAMAP</v>
      </c>
      <c r="B742" s="1" t="str">
        <f ca="1">IFERROR(__xludf.DUMMYFUNCTION("""COMPUTED_VALUE"""),"Handgun")</f>
        <v>Handgun</v>
      </c>
      <c r="C742" s="1"/>
      <c r="D742" s="1"/>
    </row>
    <row r="743" spans="1:4" ht="12.5">
      <c r="A743" s="1" t="str">
        <f ca="1">IFERROR(__xludf.DUMMYFUNCTION("""COMPUTED_VALUE"""),"20220119VAMAP")</f>
        <v>20220119VAMAP</v>
      </c>
      <c r="B743" s="1" t="str">
        <f ca="1">IFERROR(__xludf.DUMMYFUNCTION("""COMPUTED_VALUE"""),"Handgun")</f>
        <v>Handgun</v>
      </c>
      <c r="C743" s="1"/>
      <c r="D743" s="1"/>
    </row>
    <row r="744" spans="1:4" ht="12.5">
      <c r="A744" s="1" t="str">
        <f ca="1">IFERROR(__xludf.DUMMYFUNCTION("""COMPUTED_VALUE"""),"20220119FLSES")</f>
        <v>20220119FLSES</v>
      </c>
      <c r="B744" s="1" t="str">
        <f ca="1">IFERROR(__xludf.DUMMYFUNCTION("""COMPUTED_VALUE"""),"Handgun")</f>
        <v>Handgun</v>
      </c>
      <c r="C744" s="1" t="str">
        <f ca="1">IFERROR(__xludf.DUMMYFUNCTION("""COMPUTED_VALUE"""),"9mm")</f>
        <v>9mm</v>
      </c>
      <c r="D744" s="1"/>
    </row>
    <row r="745" spans="1:4" ht="12.5">
      <c r="A745" s="1" t="str">
        <f ca="1">IFERROR(__xludf.DUMMYFUNCTION("""COMPUTED_VALUE"""),"20220119DCANW")</f>
        <v>20220119DCANW</v>
      </c>
      <c r="B745" s="1" t="str">
        <f ca="1">IFERROR(__xludf.DUMMYFUNCTION("""COMPUTED_VALUE"""),"Handgun")</f>
        <v>Handgun</v>
      </c>
      <c r="C745" s="1"/>
      <c r="D745" s="1"/>
    </row>
    <row r="746" spans="1:4" ht="12.5">
      <c r="A746" s="1" t="str">
        <f ca="1">IFERROR(__xludf.DUMMYFUNCTION("""COMPUTED_VALUE"""),"20220117TXPYH")</f>
        <v>20220117TXPYH</v>
      </c>
      <c r="B746" s="1" t="str">
        <f ca="1">IFERROR(__xludf.DUMMYFUNCTION("""COMPUTED_VALUE"""),"Multiple Handguns")</f>
        <v>Multiple Handguns</v>
      </c>
      <c r="C746" s="1"/>
      <c r="D746" s="1"/>
    </row>
    <row r="747" spans="1:4" ht="12.5">
      <c r="A747" s="1" t="str">
        <f ca="1">IFERROR(__xludf.DUMMYFUNCTION("""COMPUTED_VALUE"""),"20220114MDGAG")</f>
        <v>20220114MDGAG</v>
      </c>
      <c r="B747" s="1" t="str">
        <f ca="1">IFERROR(__xludf.DUMMYFUNCTION("""COMPUTED_VALUE"""),"Rifle")</f>
        <v>Rifle</v>
      </c>
      <c r="C747" s="1" t="str">
        <f ca="1">IFERROR(__xludf.DUMMYFUNCTION("""COMPUTED_VALUE"""),"AR-15")</f>
        <v>AR-15</v>
      </c>
      <c r="D747" s="1" t="str">
        <f ca="1">IFERROR(__xludf.DUMMYFUNCTION("""COMPUTED_VALUE"""),"AR-style ghost gun")</f>
        <v>AR-style ghost gun</v>
      </c>
    </row>
    <row r="748" spans="1:4" ht="12.5">
      <c r="A748" s="1" t="str">
        <f ca="1">IFERROR(__xludf.DUMMYFUNCTION("""COMPUTED_VALUE"""),"20220111NMVAA")</f>
        <v>20220111NMVAA</v>
      </c>
      <c r="B748" s="1"/>
      <c r="C748" s="1"/>
      <c r="D748" s="1"/>
    </row>
    <row r="749" spans="1:4" ht="12.5">
      <c r="A749" s="1" t="str">
        <f ca="1">IFERROR(__xludf.DUMMYFUNCTION("""COMPUTED_VALUE"""),"20220106CAFLS")</f>
        <v>20220106CAFLS</v>
      </c>
      <c r="B749" s="1" t="str">
        <f ca="1">IFERROR(__xludf.DUMMYFUNCTION("""COMPUTED_VALUE"""),"Handgun")</f>
        <v>Handgun</v>
      </c>
      <c r="C749" s="1"/>
      <c r="D749" s="1"/>
    </row>
    <row r="750" spans="1:4" ht="12.5">
      <c r="A750" s="1" t="str">
        <f ca="1">IFERROR(__xludf.DUMMYFUNCTION("""COMPUTED_VALUE"""),"20220104ILAUR")</f>
        <v>20220104ILAUR</v>
      </c>
      <c r="B750" s="1" t="str">
        <f ca="1">IFERROR(__xludf.DUMMYFUNCTION("""COMPUTED_VALUE"""),"Multiple Handguns")</f>
        <v>Multiple Handguns</v>
      </c>
      <c r="C750" s="1"/>
      <c r="D750" s="1"/>
    </row>
    <row r="751" spans="1:4" ht="12.5">
      <c r="A751" s="1" t="str">
        <f ca="1">IFERROR(__xludf.DUMMYFUNCTION("""COMPUTED_VALUE"""),"20220103WACHP")</f>
        <v>20220103WACHP</v>
      </c>
      <c r="B751" s="1" t="str">
        <f ca="1">IFERROR(__xludf.DUMMYFUNCTION("""COMPUTED_VALUE"""),"Handgun")</f>
        <v>Handgun</v>
      </c>
      <c r="C751" s="1" t="str">
        <f ca="1">IFERROR(__xludf.DUMMYFUNCTION("""COMPUTED_VALUE"""),".38 caliber")</f>
        <v>.38 caliber</v>
      </c>
      <c r="D751" s="1"/>
    </row>
    <row r="752" spans="1:4" ht="12.5">
      <c r="A752" s="1" t="str">
        <f ca="1">IFERROR(__xludf.DUMMYFUNCTION("""COMPUTED_VALUE"""),"20220103OHCOC")</f>
        <v>20220103OHCOC</v>
      </c>
      <c r="B752" s="1"/>
      <c r="C752" s="1"/>
      <c r="D752" s="1"/>
    </row>
    <row r="753" spans="1:4" ht="12.5">
      <c r="A753" s="1" t="str">
        <f ca="1">IFERROR(__xludf.DUMMYFUNCTION("""COMPUTED_VALUE"""),"20211229NCCAS")</f>
        <v>20211229NCCAS</v>
      </c>
      <c r="B753" s="1" t="str">
        <f ca="1">IFERROR(__xludf.DUMMYFUNCTION("""COMPUTED_VALUE"""),"Handgun")</f>
        <v>Handgun</v>
      </c>
      <c r="C753" s="1"/>
      <c r="D753" s="1"/>
    </row>
    <row r="754" spans="1:4" ht="12.5">
      <c r="A754" s="1" t="str">
        <f ca="1">IFERROR(__xludf.DUMMYFUNCTION("""COMPUTED_VALUE"""),"20211217TXWOD")</f>
        <v>20211217TXWOD</v>
      </c>
      <c r="B754" s="1" t="str">
        <f ca="1">IFERROR(__xludf.DUMMYFUNCTION("""COMPUTED_VALUE"""),"Other")</f>
        <v>Other</v>
      </c>
      <c r="C754" s="1"/>
      <c r="D754" s="1" t="str">
        <f ca="1">IFERROR(__xludf.DUMMYFUNCTION("""COMPUTED_VALUE"""),"Realistic BB rifle")</f>
        <v>Realistic BB rifle</v>
      </c>
    </row>
    <row r="755" spans="1:4" ht="12.5">
      <c r="A755" s="1" t="str">
        <f ca="1">IFERROR(__xludf.DUMMYFUNCTION("""COMPUTED_VALUE"""),"20211216SCEAC")</f>
        <v>20211216SCEAC</v>
      </c>
      <c r="B755" s="1" t="str">
        <f ca="1">IFERROR(__xludf.DUMMYFUNCTION("""COMPUTED_VALUE"""),"Handgun")</f>
        <v>Handgun</v>
      </c>
      <c r="C755" s="1"/>
      <c r="D755" s="1"/>
    </row>
    <row r="756" spans="1:4" ht="12.5">
      <c r="A756" s="1" t="str">
        <f ca="1">IFERROR(__xludf.DUMMYFUNCTION("""COMPUTED_VALUE"""),"20211216NYPSB")</f>
        <v>20211216NYPSB</v>
      </c>
      <c r="B756" s="1" t="str">
        <f ca="1">IFERROR(__xludf.DUMMYFUNCTION("""COMPUTED_VALUE"""),"Handgun")</f>
        <v>Handgun</v>
      </c>
      <c r="C756" s="1"/>
      <c r="D756" s="1"/>
    </row>
    <row r="757" spans="1:4" ht="12.5">
      <c r="A757" s="1" t="str">
        <f ca="1">IFERROR(__xludf.DUMMYFUNCTION("""COMPUTED_VALUE"""),"20211214WISOM")</f>
        <v>20211214WISOM</v>
      </c>
      <c r="B757" s="1" t="str">
        <f ca="1">IFERROR(__xludf.DUMMYFUNCTION("""COMPUTED_VALUE"""),"Handgun")</f>
        <v>Handgun</v>
      </c>
      <c r="C757" s="1"/>
      <c r="D757" s="1"/>
    </row>
    <row r="758" spans="1:4" ht="12.5">
      <c r="A758" s="1" t="str">
        <f ca="1">IFERROR(__xludf.DUMMYFUNCTION("""COMPUTED_VALUE"""),"20211214VAMEN")</f>
        <v>20211214VAMEN</v>
      </c>
      <c r="B758" s="1" t="str">
        <f ca="1">IFERROR(__xludf.DUMMYFUNCTION("""COMPUTED_VALUE"""),"Handgun")</f>
        <v>Handgun</v>
      </c>
      <c r="C758" s="1"/>
      <c r="D758" s="1"/>
    </row>
    <row r="759" spans="1:4" ht="12.5">
      <c r="A759" s="1" t="str">
        <f ca="1">IFERROR(__xludf.DUMMYFUNCTION("""COMPUTED_VALUE"""),"20211213NCWEC")</f>
        <v>20211213NCWEC</v>
      </c>
      <c r="B759" s="1" t="str">
        <f ca="1">IFERROR(__xludf.DUMMYFUNCTION("""COMPUTED_VALUE"""),"Handgun")</f>
        <v>Handgun</v>
      </c>
      <c r="C759" s="1"/>
      <c r="D759" s="1"/>
    </row>
    <row r="760" spans="1:4" ht="12.5">
      <c r="A760" s="1" t="str">
        <f ca="1">IFERROR(__xludf.DUMMYFUNCTION("""COMPUTED_VALUE"""),"20211213FLEAO")</f>
        <v>20211213FLEAO</v>
      </c>
      <c r="B760" s="1" t="str">
        <f ca="1">IFERROR(__xludf.DUMMYFUNCTION("""COMPUTED_VALUE"""),"Handgun")</f>
        <v>Handgun</v>
      </c>
      <c r="C760" s="1"/>
      <c r="D760" s="1"/>
    </row>
    <row r="761" spans="1:4" ht="12.5">
      <c r="A761" s="1" t="str">
        <f ca="1">IFERROR(__xludf.DUMMYFUNCTION("""COMPUTED_VALUE"""),"20211212NYSCR")</f>
        <v>20211212NYSCR</v>
      </c>
      <c r="B761" s="1" t="str">
        <f ca="1">IFERROR(__xludf.DUMMYFUNCTION("""COMPUTED_VALUE"""),"Handgun")</f>
        <v>Handgun</v>
      </c>
      <c r="C761" s="1"/>
      <c r="D761" s="1"/>
    </row>
    <row r="762" spans="1:4" ht="12.5">
      <c r="A762" s="1" t="str">
        <f ca="1">IFERROR(__xludf.DUMMYFUNCTION("""COMPUTED_VALUE"""),"20211211GAJOG")</f>
        <v>20211211GAJOG</v>
      </c>
      <c r="B762" s="1" t="str">
        <f ca="1">IFERROR(__xludf.DUMMYFUNCTION("""COMPUTED_VALUE"""),"Handgun")</f>
        <v>Handgun</v>
      </c>
      <c r="C762" s="1"/>
      <c r="D762" s="1"/>
    </row>
    <row r="763" spans="1:4" ht="12.5">
      <c r="A763" s="1" t="str">
        <f ca="1">IFERROR(__xludf.DUMMYFUNCTION("""COMPUTED_VALUE"""),"20211211FLEDL")</f>
        <v>20211211FLEDL</v>
      </c>
      <c r="B763" s="1" t="str">
        <f ca="1">IFERROR(__xludf.DUMMYFUNCTION("""COMPUTED_VALUE"""),"Handgun")</f>
        <v>Handgun</v>
      </c>
      <c r="C763" s="1"/>
      <c r="D763" s="1"/>
    </row>
    <row r="764" spans="1:4" ht="12.5">
      <c r="A764" s="1" t="str">
        <f ca="1">IFERROR(__xludf.DUMMYFUNCTION("""COMPUTED_VALUE"""),"20211210OHCAC")</f>
        <v>20211210OHCAC</v>
      </c>
      <c r="B764" s="1" t="str">
        <f ca="1">IFERROR(__xludf.DUMMYFUNCTION("""COMPUTED_VALUE"""),"Handgun")</f>
        <v>Handgun</v>
      </c>
      <c r="C764" s="1"/>
      <c r="D764" s="1"/>
    </row>
    <row r="765" spans="1:4" ht="12.5">
      <c r="A765" s="1" t="str">
        <f ca="1">IFERROR(__xludf.DUMMYFUNCTION("""COMPUTED_VALUE"""),"20211210NCJEC")</f>
        <v>20211210NCJEC</v>
      </c>
      <c r="B765" s="1"/>
      <c r="C765" s="1"/>
      <c r="D765" s="1"/>
    </row>
    <row r="766" spans="1:4" ht="12.5">
      <c r="A766" s="1" t="str">
        <f ca="1">IFERROR(__xludf.DUMMYFUNCTION("""COMPUTED_VALUE"""),"20211209NYGRN")</f>
        <v>20211209NYGRN</v>
      </c>
      <c r="B766" s="1" t="str">
        <f ca="1">IFERROR(__xludf.DUMMYFUNCTION("""COMPUTED_VALUE"""),"Handgun")</f>
        <v>Handgun</v>
      </c>
      <c r="C766" s="1"/>
      <c r="D766" s="1"/>
    </row>
    <row r="767" spans="1:4" ht="12.5">
      <c r="A767" s="1" t="str">
        <f ca="1">IFERROR(__xludf.DUMMYFUNCTION("""COMPUTED_VALUE"""),"20211208MOEWK")</f>
        <v>20211208MOEWK</v>
      </c>
      <c r="B767" s="1" t="str">
        <f ca="1">IFERROR(__xludf.DUMMYFUNCTION("""COMPUTED_VALUE"""),"Handgun")</f>
        <v>Handgun</v>
      </c>
      <c r="C767" s="1"/>
      <c r="D767" s="1"/>
    </row>
    <row r="768" spans="1:4" ht="12.5">
      <c r="A768" s="1" t="str">
        <f ca="1">IFERROR(__xludf.DUMMYFUNCTION("""COMPUTED_VALUE"""),"20211208KYSTL")</f>
        <v>20211208KYSTL</v>
      </c>
      <c r="B768" s="1"/>
      <c r="C768" s="1"/>
      <c r="D768" s="1"/>
    </row>
    <row r="769" spans="1:4" ht="12.5">
      <c r="A769" s="1" t="str">
        <f ca="1">IFERROR(__xludf.DUMMYFUNCTION("""COMPUTED_VALUE"""),"20211207ILHAC")</f>
        <v>20211207ILHAC</v>
      </c>
      <c r="B769" s="1" t="str">
        <f ca="1">IFERROR(__xludf.DUMMYFUNCTION("""COMPUTED_VALUE"""),"Handgun")</f>
        <v>Handgun</v>
      </c>
      <c r="C769" s="1"/>
      <c r="D769" s="1" t="str">
        <f ca="1">IFERROR(__xludf.DUMMYFUNCTION("""COMPUTED_VALUE"""),"Extended magazine")</f>
        <v>Extended magazine</v>
      </c>
    </row>
    <row r="770" spans="1:4" ht="12.5">
      <c r="A770" s="1" t="str">
        <f ca="1">IFERROR(__xludf.DUMMYFUNCTION("""COMPUTED_VALUE"""),"20211206NYSUS")</f>
        <v>20211206NYSUS</v>
      </c>
      <c r="B770" s="1" t="str">
        <f ca="1">IFERROR(__xludf.DUMMYFUNCTION("""COMPUTED_VALUE"""),"Handgun")</f>
        <v>Handgun</v>
      </c>
      <c r="C770" s="1"/>
      <c r="D770" s="1"/>
    </row>
    <row r="771" spans="1:4" ht="12.5">
      <c r="A771" s="1" t="str">
        <f ca="1">IFERROR(__xludf.DUMMYFUNCTION("""COMPUTED_VALUE"""),"20211206CAWIW")</f>
        <v>20211206CAWIW</v>
      </c>
      <c r="B771" s="1" t="str">
        <f ca="1">IFERROR(__xludf.DUMMYFUNCTION("""COMPUTED_VALUE"""),"Multiple Rifles")</f>
        <v>Multiple Rifles</v>
      </c>
      <c r="C771" s="1"/>
      <c r="D771" s="1" t="str">
        <f ca="1">IFERROR(__xludf.DUMMYFUNCTION("""COMPUTED_VALUE"""),"High power rifle")</f>
        <v>High power rifle</v>
      </c>
    </row>
    <row r="772" spans="1:4" ht="12.5">
      <c r="A772" s="1" t="str">
        <f ca="1">IFERROR(__xludf.DUMMYFUNCTION("""COMPUTED_VALUE"""),"20211203ARBLB")</f>
        <v>20211203ARBLB</v>
      </c>
      <c r="B772" s="1" t="str">
        <f ca="1">IFERROR(__xludf.DUMMYFUNCTION("""COMPUTED_VALUE"""),"Handgun")</f>
        <v>Handgun</v>
      </c>
      <c r="C772" s="1"/>
      <c r="D772" s="1"/>
    </row>
    <row r="773" spans="1:4" ht="12.5">
      <c r="A773" s="1" t="str">
        <f ca="1">IFERROR(__xludf.DUMMYFUNCTION("""COMPUTED_VALUE"""),"20211202WAGAS")</f>
        <v>20211202WAGAS</v>
      </c>
      <c r="B773" s="1" t="str">
        <f ca="1">IFERROR(__xludf.DUMMYFUNCTION("""COMPUTED_VALUE"""),"Handgun")</f>
        <v>Handgun</v>
      </c>
      <c r="C773" s="1"/>
      <c r="D773" s="1"/>
    </row>
    <row r="774" spans="1:4" ht="12.5">
      <c r="A774" s="1" t="str">
        <f ca="1">IFERROR(__xludf.DUMMYFUNCTION("""COMPUTED_VALUE"""),"20211201TXSAP")</f>
        <v>20211201TXSAP</v>
      </c>
      <c r="B774" s="1" t="str">
        <f ca="1">IFERROR(__xludf.DUMMYFUNCTION("""COMPUTED_VALUE"""),"Handgun")</f>
        <v>Handgun</v>
      </c>
      <c r="C774" s="1"/>
      <c r="D774" s="1"/>
    </row>
    <row r="775" spans="1:4" ht="12.5">
      <c r="A775" s="1" t="str">
        <f ca="1">IFERROR(__xludf.DUMMYFUNCTION("""COMPUTED_VALUE"""),"20211130TNHUH")</f>
        <v>20211130TNHUH</v>
      </c>
      <c r="B775" s="1" t="str">
        <f ca="1">IFERROR(__xludf.DUMMYFUNCTION("""COMPUTED_VALUE"""),"Handgun")</f>
        <v>Handgun</v>
      </c>
      <c r="C775" s="1"/>
      <c r="D775" s="1"/>
    </row>
    <row r="776" spans="1:4" ht="12.5">
      <c r="A776" s="1" t="str">
        <f ca="1">IFERROR(__xludf.DUMMYFUNCTION("""COMPUTED_VALUE"""),"20211130MIOXO")</f>
        <v>20211130MIOXO</v>
      </c>
      <c r="B776" s="1" t="str">
        <f ca="1">IFERROR(__xludf.DUMMYFUNCTION("""COMPUTED_VALUE"""),"Handgun")</f>
        <v>Handgun</v>
      </c>
      <c r="C776" s="1" t="str">
        <f ca="1">IFERROR(__xludf.DUMMYFUNCTION("""COMPUTED_VALUE"""),"9mm")</f>
        <v>9mm</v>
      </c>
      <c r="D776" s="1" t="str">
        <f ca="1">IFERROR(__xludf.DUMMYFUNCTION("""COMPUTED_VALUE"""),"Sig Sauer, 3X15 magazines")</f>
        <v>Sig Sauer, 3X15 magazines</v>
      </c>
    </row>
    <row r="777" spans="1:4" ht="12.5">
      <c r="A777" s="1" t="str">
        <f ca="1">IFERROR(__xludf.DUMMYFUNCTION("""COMPUTED_VALUE"""),"20211130CALOL")</f>
        <v>20211130CALOL</v>
      </c>
      <c r="B777" s="1" t="str">
        <f ca="1">IFERROR(__xludf.DUMMYFUNCTION("""COMPUTED_VALUE"""),"Other")</f>
        <v>Other</v>
      </c>
      <c r="C777" s="1" t="str">
        <f ca="1">IFERROR(__xludf.DUMMYFUNCTION("""COMPUTED_VALUE"""),"BB")</f>
        <v>BB</v>
      </c>
      <c r="D777" s="1"/>
    </row>
    <row r="778" spans="1:4" ht="12.5">
      <c r="A778" s="1" t="str">
        <f ca="1">IFERROR(__xludf.DUMMYFUNCTION("""COMPUTED_VALUE"""),"20211129ILWER")</f>
        <v>20211129ILWER</v>
      </c>
      <c r="B778" s="1" t="str">
        <f ca="1">IFERROR(__xludf.DUMMYFUNCTION("""COMPUTED_VALUE"""),"Handgun")</f>
        <v>Handgun</v>
      </c>
      <c r="C778" s="1"/>
      <c r="D778" s="1"/>
    </row>
    <row r="779" spans="1:4" ht="12.5">
      <c r="A779" s="1" t="str">
        <f ca="1">IFERROR(__xludf.DUMMYFUNCTION("""COMPUTED_VALUE"""),"20211129AZCHP")</f>
        <v>20211129AZCHP</v>
      </c>
      <c r="B779" s="1" t="str">
        <f ca="1">IFERROR(__xludf.DUMMYFUNCTION("""COMPUTED_VALUE"""),"Handgun")</f>
        <v>Handgun</v>
      </c>
      <c r="C779" s="1"/>
      <c r="D779" s="1"/>
    </row>
    <row r="780" spans="1:4" ht="12.5">
      <c r="A780" s="1" t="str">
        <f ca="1">IFERROR(__xludf.DUMMYFUNCTION("""COMPUTED_VALUE"""),"20211126CAWES")</f>
        <v>20211126CAWES</v>
      </c>
      <c r="B780" s="1" t="str">
        <f ca="1">IFERROR(__xludf.DUMMYFUNCTION("""COMPUTED_VALUE"""),"Handgun")</f>
        <v>Handgun</v>
      </c>
      <c r="C780" s="1"/>
      <c r="D780" s="1"/>
    </row>
    <row r="781" spans="1:4" ht="12.5">
      <c r="A781" s="1" t="str">
        <f ca="1">IFERROR(__xludf.DUMMYFUNCTION("""COMPUTED_VALUE"""),"20211125SCCEP")</f>
        <v>20211125SCCEP</v>
      </c>
      <c r="B781" s="1"/>
      <c r="C781" s="1"/>
      <c r="D781" s="1"/>
    </row>
    <row r="782" spans="1:4" ht="12.5">
      <c r="A782" s="1" t="str">
        <f ca="1">IFERROR(__xludf.DUMMYFUNCTION("""COMPUTED_VALUE"""),"20211124ILTHH")</f>
        <v>20211124ILTHH</v>
      </c>
      <c r="B782" s="1"/>
      <c r="C782" s="1"/>
      <c r="D782" s="1"/>
    </row>
    <row r="783" spans="1:4" ht="12.5">
      <c r="A783" s="1" t="str">
        <f ca="1">IFERROR(__xludf.DUMMYFUNCTION("""COMPUTED_VALUE"""),"20211123OHCLC")</f>
        <v>20211123OHCLC</v>
      </c>
      <c r="B783" s="1" t="str">
        <f ca="1">IFERROR(__xludf.DUMMYFUNCTION("""COMPUTED_VALUE"""),"Handgun")</f>
        <v>Handgun</v>
      </c>
      <c r="C783" s="1"/>
      <c r="D783" s="1"/>
    </row>
    <row r="784" spans="1:4" ht="12.5">
      <c r="A784" s="1" t="str">
        <f ca="1">IFERROR(__xludf.DUMMYFUNCTION("""COMPUTED_VALUE"""),"20211119MDGIB")</f>
        <v>20211119MDGIB</v>
      </c>
      <c r="B784" s="1"/>
      <c r="C784" s="1"/>
      <c r="D784" s="1"/>
    </row>
    <row r="785" spans="1:4" ht="12.5">
      <c r="A785" s="1" t="str">
        <f ca="1">IFERROR(__xludf.DUMMYFUNCTION("""COMPUTED_VALUE"""),"20211119COHIA")</f>
        <v>20211119COHIA</v>
      </c>
      <c r="B785" s="1" t="str">
        <f ca="1">IFERROR(__xludf.DUMMYFUNCTION("""COMPUTED_VALUE"""),"Multiple Handguns")</f>
        <v>Multiple Handguns</v>
      </c>
      <c r="C785" s="1"/>
      <c r="D785" s="1"/>
    </row>
    <row r="786" spans="1:4" ht="12.5">
      <c r="A786" s="1" t="str">
        <f ca="1">IFERROR(__xludf.DUMMYFUNCTION("""COMPUTED_VALUE"""),"20211116NYPSB")</f>
        <v>20211116NYPSB</v>
      </c>
      <c r="B786" s="1" t="str">
        <f ca="1">IFERROR(__xludf.DUMMYFUNCTION("""COMPUTED_VALUE"""),"Handgun")</f>
        <v>Handgun</v>
      </c>
      <c r="C786" s="1"/>
      <c r="D786" s="1"/>
    </row>
    <row r="787" spans="1:4" ht="12.5">
      <c r="A787" s="1" t="str">
        <f ca="1">IFERROR(__xludf.DUMMYFUNCTION("""COMPUTED_VALUE"""),"20211116FLJAJ")</f>
        <v>20211116FLJAJ</v>
      </c>
      <c r="B787" s="1"/>
      <c r="C787" s="1"/>
      <c r="D787" s="1"/>
    </row>
    <row r="788" spans="1:4" ht="12.5">
      <c r="A788" s="1" t="str">
        <f ca="1">IFERROR(__xludf.DUMMYFUNCTION("""COMPUTED_VALUE"""),"20211115NYPOP")</f>
        <v>20211115NYPOP</v>
      </c>
      <c r="B788" s="1" t="str">
        <f ca="1">IFERROR(__xludf.DUMMYFUNCTION("""COMPUTED_VALUE"""),"Handgun")</f>
        <v>Handgun</v>
      </c>
      <c r="C788" s="1" t="str">
        <f ca="1">IFERROR(__xludf.DUMMYFUNCTION("""COMPUTED_VALUE"""),".38 caliber")</f>
        <v>.38 caliber</v>
      </c>
      <c r="D788" s="1"/>
    </row>
    <row r="789" spans="1:4" ht="12.5">
      <c r="A789" s="1" t="str">
        <f ca="1">IFERROR(__xludf.DUMMYFUNCTION("""COMPUTED_VALUE"""),"20211110NYITI")</f>
        <v>20211110NYITI</v>
      </c>
      <c r="B789" s="1"/>
      <c r="C789" s="1"/>
      <c r="D789" s="1"/>
    </row>
    <row r="790" spans="1:4" ht="12.5">
      <c r="A790" s="1" t="str">
        <f ca="1">IFERROR(__xludf.DUMMYFUNCTION("""COMPUTED_VALUE"""),"20211109NMMEL")</f>
        <v>20211109NMMEL</v>
      </c>
      <c r="B790" s="1" t="str">
        <f ca="1">IFERROR(__xludf.DUMMYFUNCTION("""COMPUTED_VALUE"""),"Handgun")</f>
        <v>Handgun</v>
      </c>
      <c r="C790" s="1"/>
      <c r="D790" s="1"/>
    </row>
    <row r="791" spans="1:4" ht="12.5">
      <c r="A791" s="1" t="str">
        <f ca="1">IFERROR(__xludf.DUMMYFUNCTION("""COMPUTED_VALUE"""),"20211108NYTHB")</f>
        <v>20211108NYTHB</v>
      </c>
      <c r="B791" s="1" t="str">
        <f ca="1">IFERROR(__xludf.DUMMYFUNCTION("""COMPUTED_VALUE"""),"Handgun")</f>
        <v>Handgun</v>
      </c>
      <c r="C791" s="1"/>
      <c r="D791" s="1"/>
    </row>
    <row r="792" spans="1:4" ht="12.5">
      <c r="A792" s="1" t="str">
        <f ca="1">IFERROR(__xludf.DUMMYFUNCTION("""COMPUTED_VALUE"""),"20211106FLOVO")</f>
        <v>20211106FLOVO</v>
      </c>
      <c r="B792" s="1" t="str">
        <f ca="1">IFERROR(__xludf.DUMMYFUNCTION("""COMPUTED_VALUE"""),"Handgun")</f>
        <v>Handgun</v>
      </c>
      <c r="C792" s="1"/>
      <c r="D792" s="1"/>
    </row>
    <row r="793" spans="1:4" ht="12.5">
      <c r="A793" s="1" t="str">
        <f ca="1">IFERROR(__xludf.DUMMYFUNCTION("""COMPUTED_VALUE"""),"20211102NMHIH")</f>
        <v>20211102NMHIH</v>
      </c>
      <c r="B793" s="1" t="str">
        <f ca="1">IFERROR(__xludf.DUMMYFUNCTION("""COMPUTED_VALUE"""),"Other")</f>
        <v>Other</v>
      </c>
      <c r="C793" s="1" t="str">
        <f ca="1">IFERROR(__xludf.DUMMYFUNCTION("""COMPUTED_VALUE"""),"BB")</f>
        <v>BB</v>
      </c>
      <c r="D793" s="1" t="str">
        <f ca="1">IFERROR(__xludf.DUMMYFUNCTION("""COMPUTED_VALUE"""),"C02 BB rifle")</f>
        <v>C02 BB rifle</v>
      </c>
    </row>
    <row r="794" spans="1:4" ht="12.5">
      <c r="A794" s="1" t="str">
        <f ca="1">IFERROR(__xludf.DUMMYFUNCTION("""COMPUTED_VALUE"""),"20211030PASTM")</f>
        <v>20211030PASTM</v>
      </c>
      <c r="B794" s="1" t="str">
        <f ca="1">IFERROR(__xludf.DUMMYFUNCTION("""COMPUTED_VALUE"""),"Handgun")</f>
        <v>Handgun</v>
      </c>
      <c r="C794" s="1"/>
      <c r="D794" s="1"/>
    </row>
    <row r="795" spans="1:4" ht="12.5">
      <c r="A795" s="1" t="str">
        <f ca="1">IFERROR(__xludf.DUMMYFUNCTION("""COMPUTED_VALUE"""),"20211027SCCAS")</f>
        <v>20211027SCCAS</v>
      </c>
      <c r="B795" s="1" t="str">
        <f ca="1">IFERROR(__xludf.DUMMYFUNCTION("""COMPUTED_VALUE"""),"Handgun")</f>
        <v>Handgun</v>
      </c>
      <c r="C795" s="1"/>
      <c r="D795" s="1"/>
    </row>
    <row r="796" spans="1:4" ht="12.5">
      <c r="A796" s="1" t="str">
        <f ca="1">IFERROR(__xludf.DUMMYFUNCTION("""COMPUTED_VALUE"""),"20211026MSCAN")</f>
        <v>20211026MSCAN</v>
      </c>
      <c r="B796" s="1" t="str">
        <f ca="1">IFERROR(__xludf.DUMMYFUNCTION("""COMPUTED_VALUE"""),"Shotgun")</f>
        <v>Shotgun</v>
      </c>
      <c r="C796" s="1"/>
      <c r="D796" s="1"/>
    </row>
    <row r="797" spans="1:4" ht="12.5">
      <c r="A797" s="1" t="str">
        <f ca="1">IFERROR(__xludf.DUMMYFUNCTION("""COMPUTED_VALUE"""),"20211026ILWIC")</f>
        <v>20211026ILWIC</v>
      </c>
      <c r="B797" s="1" t="str">
        <f ca="1">IFERROR(__xludf.DUMMYFUNCTION("""COMPUTED_VALUE"""),"Handgun")</f>
        <v>Handgun</v>
      </c>
      <c r="C797" s="1"/>
      <c r="D797" s="1"/>
    </row>
    <row r="798" spans="1:4" ht="12.5">
      <c r="A798" s="1" t="str">
        <f ca="1">IFERROR(__xludf.DUMMYFUNCTION("""COMPUTED_VALUE"""),"20211022PAPHP")</f>
        <v>20211022PAPHP</v>
      </c>
      <c r="B798" s="1" t="str">
        <f ca="1">IFERROR(__xludf.DUMMYFUNCTION("""COMPUTED_VALUE"""),"Handgun")</f>
        <v>Handgun</v>
      </c>
      <c r="C798" s="1"/>
      <c r="D798" s="1"/>
    </row>
    <row r="799" spans="1:4" ht="12.5">
      <c r="A799" s="1" t="str">
        <f ca="1">IFERROR(__xludf.DUMMYFUNCTION("""COMPUTED_VALUE"""),"20211021NYPSB")</f>
        <v>20211021NYPSB</v>
      </c>
      <c r="B799" s="1" t="str">
        <f ca="1">IFERROR(__xludf.DUMMYFUNCTION("""COMPUTED_VALUE"""),"Handgun")</f>
        <v>Handgun</v>
      </c>
      <c r="C799" s="1"/>
      <c r="D799" s="1"/>
    </row>
    <row r="800" spans="1:4" ht="12.5">
      <c r="A800" s="1" t="str">
        <f ca="1">IFERROR(__xludf.DUMMYFUNCTION("""COMPUTED_VALUE"""),"20211021GABES")</f>
        <v>20211021GABES</v>
      </c>
      <c r="B800" s="1"/>
      <c r="C800" s="1"/>
      <c r="D800" s="1"/>
    </row>
    <row r="801" spans="1:4" ht="12.5">
      <c r="A801" s="1" t="str">
        <f ca="1">IFERROR(__xludf.DUMMYFUNCTION("""COMPUTED_VALUE"""),"20211018PALIP")</f>
        <v>20211018PALIP</v>
      </c>
      <c r="B801" s="1" t="str">
        <f ca="1">IFERROR(__xludf.DUMMYFUNCTION("""COMPUTED_VALUE"""),"Handgun")</f>
        <v>Handgun</v>
      </c>
      <c r="C801" s="1"/>
      <c r="D801" s="1"/>
    </row>
    <row r="802" spans="1:4" ht="12.5">
      <c r="A802" s="1" t="str">
        <f ca="1">IFERROR(__xludf.DUMMYFUNCTION("""COMPUTED_VALUE"""),"20211017ARROR")</f>
        <v>20211017ARROR</v>
      </c>
      <c r="B802" s="1" t="str">
        <f ca="1">IFERROR(__xludf.DUMMYFUNCTION("""COMPUTED_VALUE"""),"Rifle")</f>
        <v>Rifle</v>
      </c>
      <c r="C802" s="1" t="str">
        <f ca="1">IFERROR(__xludf.DUMMYFUNCTION("""COMPUTED_VALUE"""),".223 caliber")</f>
        <v>.223 caliber</v>
      </c>
      <c r="D802" s="1" t="str">
        <f ca="1">IFERROR(__xludf.DUMMYFUNCTION("""COMPUTED_VALUE"""),"6.5 Grendel rifle")</f>
        <v>6.5 Grendel rifle</v>
      </c>
    </row>
    <row r="803" spans="1:4" ht="12.5">
      <c r="A803" s="1" t="str">
        <f ca="1">IFERROR(__xludf.DUMMYFUNCTION("""COMPUTED_VALUE"""),"20211015CAKEF")</f>
        <v>20211015CAKEF</v>
      </c>
      <c r="B803" s="1" t="str">
        <f ca="1">IFERROR(__xludf.DUMMYFUNCTION("""COMPUTED_VALUE"""),"Handgun")</f>
        <v>Handgun</v>
      </c>
      <c r="C803" s="1" t="str">
        <f ca="1">IFERROR(__xludf.DUMMYFUNCTION("""COMPUTED_VALUE"""),"9mm")</f>
        <v>9mm</v>
      </c>
      <c r="D803" s="1"/>
    </row>
    <row r="804" spans="1:4" ht="12.5">
      <c r="A804" s="1" t="str">
        <f ca="1">IFERROR(__xludf.DUMMYFUNCTION("""COMPUTED_VALUE"""),"20211015ALWIM")</f>
        <v>20211015ALWIM</v>
      </c>
      <c r="B804" s="1" t="str">
        <f ca="1">IFERROR(__xludf.DUMMYFUNCTION("""COMPUTED_VALUE"""),"Handgun")</f>
        <v>Handgun</v>
      </c>
      <c r="C804" s="1"/>
      <c r="D804" s="1"/>
    </row>
    <row r="805" spans="1:4" ht="12.5">
      <c r="A805" s="1" t="str">
        <f ca="1">IFERROR(__xludf.DUMMYFUNCTION("""COMPUTED_VALUE"""),"20211014MEREP")</f>
        <v>20211014MEREP</v>
      </c>
      <c r="B805" s="1"/>
      <c r="C805" s="1"/>
      <c r="D805" s="1"/>
    </row>
    <row r="806" spans="1:4" ht="12.5">
      <c r="A806" s="1" t="str">
        <f ca="1">IFERROR(__xludf.DUMMYFUNCTION("""COMPUTED_VALUE"""),"20211013PACHD")</f>
        <v>20211013PACHD</v>
      </c>
      <c r="B806" s="1" t="str">
        <f ca="1">IFERROR(__xludf.DUMMYFUNCTION("""COMPUTED_VALUE"""),"Other")</f>
        <v>Other</v>
      </c>
      <c r="C806" s="1" t="str">
        <f ca="1">IFERROR(__xludf.DUMMYFUNCTION("""COMPUTED_VALUE"""),"Pellet")</f>
        <v>Pellet</v>
      </c>
      <c r="D806" s="1"/>
    </row>
    <row r="807" spans="1:4" ht="12.5">
      <c r="A807" s="1" t="str">
        <f ca="1">IFERROR(__xludf.DUMMYFUNCTION("""COMPUTED_VALUE"""),"20211013ILMCC")</f>
        <v>20211013ILMCC</v>
      </c>
      <c r="B807" s="1"/>
      <c r="C807" s="1"/>
      <c r="D807" s="1"/>
    </row>
    <row r="808" spans="1:4" ht="12.5">
      <c r="A808" s="1" t="str">
        <f ca="1">IFERROR(__xludf.DUMMYFUNCTION("""COMPUTED_VALUE"""),"20211012OKUNT")</f>
        <v>20211012OKUNT</v>
      </c>
      <c r="B808" s="1" t="str">
        <f ca="1">IFERROR(__xludf.DUMMYFUNCTION("""COMPUTED_VALUE"""),"Other")</f>
        <v>Other</v>
      </c>
      <c r="C808" s="1" t="str">
        <f ca="1">IFERROR(__xludf.DUMMYFUNCTION("""COMPUTED_VALUE"""),"Pellet")</f>
        <v>Pellet</v>
      </c>
      <c r="D808" s="1" t="str">
        <f ca="1">IFERROR(__xludf.DUMMYFUNCTION("""COMPUTED_VALUE"""),"Full automatic plastic gel gun, similar to airsoft pellets")</f>
        <v>Full automatic plastic gel gun, similar to airsoft pellets</v>
      </c>
    </row>
    <row r="809" spans="1:4" ht="12.5">
      <c r="A809" s="1" t="str">
        <f ca="1">IFERROR(__xludf.DUMMYFUNCTION("""COMPUTED_VALUE"""),"20211012MIELK")</f>
        <v>20211012MIELK</v>
      </c>
      <c r="B809" s="1" t="str">
        <f ca="1">IFERROR(__xludf.DUMMYFUNCTION("""COMPUTED_VALUE"""),"Handgun")</f>
        <v>Handgun</v>
      </c>
      <c r="C809" s="1"/>
      <c r="D809" s="1"/>
    </row>
    <row r="810" spans="1:4" ht="12.5">
      <c r="A810" s="1" t="str">
        <f ca="1">IFERROR(__xludf.DUMMYFUNCTION("""COMPUTED_VALUE"""),"20211012ILWEC")</f>
        <v>20211012ILWEC</v>
      </c>
      <c r="B810" s="1" t="str">
        <f ca="1">IFERROR(__xludf.DUMMYFUNCTION("""COMPUTED_VALUE"""),"Handgun")</f>
        <v>Handgun</v>
      </c>
      <c r="C810" s="1" t="str">
        <f ca="1">IFERROR(__xludf.DUMMYFUNCTION("""COMPUTED_VALUE"""),".45 caliber")</f>
        <v>.45 caliber</v>
      </c>
      <c r="D810" s="1"/>
    </row>
    <row r="811" spans="1:4" ht="12.5">
      <c r="A811" s="1" t="str">
        <f ca="1">IFERROR(__xludf.DUMMYFUNCTION("""COMPUTED_VALUE"""),"20211012ARLIL")</f>
        <v>20211012ARLIL</v>
      </c>
      <c r="B811" s="1"/>
      <c r="C811" s="1"/>
      <c r="D811" s="1"/>
    </row>
    <row r="812" spans="1:4" ht="12.5">
      <c r="A812" s="1" t="str">
        <f ca="1">IFERROR(__xludf.DUMMYFUNCTION("""COMPUTED_VALUE"""),"20211011ORROP")</f>
        <v>20211011ORROP</v>
      </c>
      <c r="B812" s="1" t="str">
        <f ca="1">IFERROR(__xludf.DUMMYFUNCTION("""COMPUTED_VALUE"""),"Handgun")</f>
        <v>Handgun</v>
      </c>
      <c r="C812" s="1"/>
      <c r="D812" s="1"/>
    </row>
    <row r="813" spans="1:4" ht="12.5">
      <c r="A813" s="1" t="str">
        <f ca="1">IFERROR(__xludf.DUMMYFUNCTION("""COMPUTED_VALUE"""),"20211008OKCOC")</f>
        <v>20211008OKCOC</v>
      </c>
      <c r="B813" s="1"/>
      <c r="C813" s="1"/>
      <c r="D813" s="1"/>
    </row>
    <row r="814" spans="1:4" ht="12.5">
      <c r="A814" s="1" t="str">
        <f ca="1">IFERROR(__xludf.DUMMYFUNCTION("""COMPUTED_VALUE"""),"20211007TXEAW")</f>
        <v>20211007TXEAW</v>
      </c>
      <c r="B814" s="1" t="str">
        <f ca="1">IFERROR(__xludf.DUMMYFUNCTION("""COMPUTED_VALUE"""),"Rifle")</f>
        <v>Rifle</v>
      </c>
      <c r="C814" s="1" t="str">
        <f ca="1">IFERROR(__xludf.DUMMYFUNCTION("""COMPUTED_VALUE"""),".22 caliber")</f>
        <v>.22 caliber</v>
      </c>
      <c r="D814" s="1"/>
    </row>
    <row r="815" spans="1:4" ht="12.5">
      <c r="A815" s="1" t="str">
        <f ca="1">IFERROR(__xludf.DUMMYFUNCTION("""COMPUTED_VALUE"""),"20211007PAANP")</f>
        <v>20211007PAANP</v>
      </c>
      <c r="B815" s="1"/>
      <c r="C815" s="1"/>
      <c r="D815" s="1"/>
    </row>
    <row r="816" spans="1:4" ht="12.5">
      <c r="A816" s="1" t="str">
        <f ca="1">IFERROR(__xludf.DUMMYFUNCTION("""COMPUTED_VALUE"""),"20211007NCEAD")</f>
        <v>20211007NCEAD</v>
      </c>
      <c r="B816" s="1" t="str">
        <f ca="1">IFERROR(__xludf.DUMMYFUNCTION("""COMPUTED_VALUE"""),"Handgun")</f>
        <v>Handgun</v>
      </c>
      <c r="C816" s="1"/>
      <c r="D816" s="1"/>
    </row>
    <row r="817" spans="1:4" ht="12.5">
      <c r="A817" s="1" t="str">
        <f ca="1">IFERROR(__xludf.DUMMYFUNCTION("""COMPUTED_VALUE"""),"20211007DCWAW")</f>
        <v>20211007DCWAW</v>
      </c>
      <c r="B817" s="1" t="str">
        <f ca="1">IFERROR(__xludf.DUMMYFUNCTION("""COMPUTED_VALUE"""),"Handgun")</f>
        <v>Handgun</v>
      </c>
      <c r="C817" s="1" t="str">
        <f ca="1">IFERROR(__xludf.DUMMYFUNCTION("""COMPUTED_VALUE"""),"9mm")</f>
        <v>9mm</v>
      </c>
      <c r="D817" s="1" t="str">
        <f ca="1">IFERROR(__xludf.DUMMYFUNCTION("""COMPUTED_VALUE"""),"Ghost gun")</f>
        <v>Ghost gun</v>
      </c>
    </row>
    <row r="818" spans="1:4" ht="12.5">
      <c r="A818" s="1" t="str">
        <f ca="1">IFERROR(__xludf.DUMMYFUNCTION("""COMPUTED_VALUE"""),"20211006TXTIA")</f>
        <v>20211006TXTIA</v>
      </c>
      <c r="B818" s="1" t="str">
        <f ca="1">IFERROR(__xludf.DUMMYFUNCTION("""COMPUTED_VALUE"""),"Handgun")</f>
        <v>Handgun</v>
      </c>
      <c r="C818" s="1"/>
      <c r="D818" s="1"/>
    </row>
    <row r="819" spans="1:4" ht="12.5">
      <c r="A819" s="1" t="str">
        <f ca="1">IFERROR(__xludf.DUMMYFUNCTION("""COMPUTED_VALUE"""),"20211005NDHEH")</f>
        <v>20211005NDHEH</v>
      </c>
      <c r="B819" s="1" t="str">
        <f ca="1">IFERROR(__xludf.DUMMYFUNCTION("""COMPUTED_VALUE"""),"Handgun")</f>
        <v>Handgun</v>
      </c>
      <c r="C819" s="1"/>
      <c r="D819" s="1"/>
    </row>
    <row r="820" spans="1:4" ht="12.5">
      <c r="A820" s="1" t="str">
        <f ca="1">IFERROR(__xludf.DUMMYFUNCTION("""COMPUTED_VALUE"""),"20211005NCGAC")</f>
        <v>20211005NCGAC</v>
      </c>
      <c r="B820" s="1" t="str">
        <f ca="1">IFERROR(__xludf.DUMMYFUNCTION("""COMPUTED_VALUE"""),"Handgun")</f>
        <v>Handgun</v>
      </c>
      <c r="C820" s="1"/>
      <c r="D820" s="1"/>
    </row>
    <row r="821" spans="1:4" ht="12.5">
      <c r="A821" s="1" t="str">
        <f ca="1">IFERROR(__xludf.DUMMYFUNCTION("""COMPUTED_VALUE"""),"20211004PASCP")</f>
        <v>20211004PASCP</v>
      </c>
      <c r="B821" s="1" t="str">
        <f ca="1">IFERROR(__xludf.DUMMYFUNCTION("""COMPUTED_VALUE"""),"Handgun")</f>
        <v>Handgun</v>
      </c>
      <c r="C821" s="1"/>
      <c r="D821" s="1"/>
    </row>
    <row r="822" spans="1:4" ht="12.5">
      <c r="A822" s="1" t="str">
        <f ca="1">IFERROR(__xludf.DUMMYFUNCTION("""COMPUTED_VALUE"""),"20211004PASCP")</f>
        <v>20211004PASCP</v>
      </c>
      <c r="B822" s="1" t="str">
        <f ca="1">IFERROR(__xludf.DUMMYFUNCTION("""COMPUTED_VALUE"""),"Rifle")</f>
        <v>Rifle</v>
      </c>
      <c r="C822" s="1" t="str">
        <f ca="1">IFERROR(__xludf.DUMMYFUNCTION("""COMPUTED_VALUE"""),"AR-15")</f>
        <v>AR-15</v>
      </c>
      <c r="D822" s="1"/>
    </row>
    <row r="823" spans="1:4" ht="12.5">
      <c r="A823" s="1" t="str">
        <f ca="1">IFERROR(__xludf.DUMMYFUNCTION("""COMPUTED_VALUE"""),"20211004OHWOT")</f>
        <v>20211004OHWOT</v>
      </c>
      <c r="B823" s="1" t="str">
        <f ca="1">IFERROR(__xludf.DUMMYFUNCTION("""COMPUTED_VALUE"""),"Handgun")</f>
        <v>Handgun</v>
      </c>
      <c r="C823" s="1"/>
      <c r="D823" s="1"/>
    </row>
    <row r="824" spans="1:4" ht="12.5">
      <c r="A824" s="1" t="str">
        <f ca="1">IFERROR(__xludf.DUMMYFUNCTION("""COMPUTED_VALUE"""),"20211004ILLAC")</f>
        <v>20211004ILLAC</v>
      </c>
      <c r="B824" s="1" t="str">
        <f ca="1">IFERROR(__xludf.DUMMYFUNCTION("""COMPUTED_VALUE"""),"Handgun")</f>
        <v>Handgun</v>
      </c>
      <c r="C824" s="1"/>
      <c r="D824" s="1"/>
    </row>
    <row r="825" spans="1:4" ht="12.5">
      <c r="A825" s="1" t="str">
        <f ca="1">IFERROR(__xludf.DUMMYFUNCTION("""COMPUTED_VALUE"""),"20211001TXYEH")</f>
        <v>20211001TXYEH</v>
      </c>
      <c r="B825" s="1" t="str">
        <f ca="1">IFERROR(__xludf.DUMMYFUNCTION("""COMPUTED_VALUE"""),"Rifle")</f>
        <v>Rifle</v>
      </c>
      <c r="C825" s="1"/>
      <c r="D825" s="1"/>
    </row>
    <row r="826" spans="1:4" ht="12.5">
      <c r="A826" s="1" t="str">
        <f ca="1">IFERROR(__xludf.DUMMYFUNCTION("""COMPUTED_VALUE"""),"20211001NJCHC")</f>
        <v>20211001NJCHC</v>
      </c>
      <c r="B826" s="1" t="str">
        <f ca="1">IFERROR(__xludf.DUMMYFUNCTION("""COMPUTED_VALUE"""),"Handgun")</f>
        <v>Handgun</v>
      </c>
      <c r="C826" s="1"/>
      <c r="D826" s="1"/>
    </row>
    <row r="827" spans="1:4" ht="12.5">
      <c r="A827" s="1" t="str">
        <f ca="1">IFERROR(__xludf.DUMMYFUNCTION("""COMPUTED_VALUE"""),"20211001NCSEF")</f>
        <v>20211001NCSEF</v>
      </c>
      <c r="B827" s="1" t="str">
        <f ca="1">IFERROR(__xludf.DUMMYFUNCTION("""COMPUTED_VALUE"""),"Handgun")</f>
        <v>Handgun</v>
      </c>
      <c r="C827" s="1"/>
      <c r="D827" s="1"/>
    </row>
    <row r="828" spans="1:4" ht="12.5">
      <c r="A828" s="1" t="str">
        <f ca="1">IFERROR(__xludf.DUMMYFUNCTION("""COMPUTED_VALUE"""),"20211001NCNOD")</f>
        <v>20211001NCNOD</v>
      </c>
      <c r="B828" s="1" t="str">
        <f ca="1">IFERROR(__xludf.DUMMYFUNCTION("""COMPUTED_VALUE"""),"Handgun")</f>
        <v>Handgun</v>
      </c>
      <c r="C828" s="1"/>
      <c r="D828" s="1"/>
    </row>
    <row r="829" spans="1:4" ht="12.5">
      <c r="A829" s="1" t="str">
        <f ca="1">IFERROR(__xludf.DUMMYFUNCTION("""COMPUTED_VALUE"""),"20211001INBEI")</f>
        <v>20211001INBEI</v>
      </c>
      <c r="B829" s="1" t="str">
        <f ca="1">IFERROR(__xludf.DUMMYFUNCTION("""COMPUTED_VALUE"""),"Handgun")</f>
        <v>Handgun</v>
      </c>
      <c r="C829" s="1"/>
      <c r="D829" s="1"/>
    </row>
    <row r="830" spans="1:4" ht="12.5">
      <c r="A830" s="1" t="str">
        <f ca="1">IFERROR(__xludf.DUMMYFUNCTION("""COMPUTED_VALUE"""),"20210930TNCUM")</f>
        <v>20210930TNCUM</v>
      </c>
      <c r="B830" s="1" t="str">
        <f ca="1">IFERROR(__xludf.DUMMYFUNCTION("""COMPUTED_VALUE"""),"Handgun")</f>
        <v>Handgun</v>
      </c>
      <c r="C830" s="1"/>
      <c r="D830" s="1"/>
    </row>
    <row r="831" spans="1:4" ht="12.5">
      <c r="A831" s="1" t="str">
        <f ca="1">IFERROR(__xludf.DUMMYFUNCTION("""COMPUTED_VALUE"""),"20210930MSNEN")</f>
        <v>20210930MSNEN</v>
      </c>
      <c r="B831" s="1" t="str">
        <f ca="1">IFERROR(__xludf.DUMMYFUNCTION("""COMPUTED_VALUE"""),"Handgun")</f>
        <v>Handgun</v>
      </c>
      <c r="C831" s="1"/>
      <c r="D831" s="1"/>
    </row>
    <row r="832" spans="1:4" ht="12.5">
      <c r="A832" s="1" t="str">
        <f ca="1">IFERROR(__xludf.DUMMYFUNCTION("""COMPUTED_VALUE"""),"20210929OHSHS")</f>
        <v>20210929OHSHS</v>
      </c>
      <c r="B832" s="1" t="str">
        <f ca="1">IFERROR(__xludf.DUMMYFUNCTION("""COMPUTED_VALUE"""),"Handgun")</f>
        <v>Handgun</v>
      </c>
      <c r="C832" s="1"/>
      <c r="D832" s="1"/>
    </row>
    <row r="833" spans="1:4" ht="12.5">
      <c r="A833" s="1" t="str">
        <f ca="1">IFERROR(__xludf.DUMMYFUNCTION("""COMPUTED_VALUE"""),"20210928MESOS")</f>
        <v>20210928MESOS</v>
      </c>
      <c r="B833" s="1" t="str">
        <f ca="1">IFERROR(__xludf.DUMMYFUNCTION("""COMPUTED_VALUE"""),"Handgun")</f>
        <v>Handgun</v>
      </c>
      <c r="C833" s="1"/>
      <c r="D833" s="1"/>
    </row>
    <row r="834" spans="1:4" ht="12.5">
      <c r="A834" s="1" t="str">
        <f ca="1">IFERROR(__xludf.DUMMYFUNCTION("""COMPUTED_VALUE"""),"20210927ILCAC")</f>
        <v>20210927ILCAC</v>
      </c>
      <c r="B834" s="1" t="str">
        <f ca="1">IFERROR(__xludf.DUMMYFUNCTION("""COMPUTED_VALUE"""),"Other")</f>
        <v>Other</v>
      </c>
      <c r="C834" s="1" t="str">
        <f ca="1">IFERROR(__xludf.DUMMYFUNCTION("""COMPUTED_VALUE"""),"BB")</f>
        <v>BB</v>
      </c>
      <c r="D834" s="1"/>
    </row>
    <row r="835" spans="1:4" ht="12.5">
      <c r="A835" s="1" t="str">
        <f ca="1">IFERROR(__xludf.DUMMYFUNCTION("""COMPUTED_VALUE"""),"20210924VAESE")</f>
        <v>20210924VAESE</v>
      </c>
      <c r="B835" s="1" t="str">
        <f ca="1">IFERROR(__xludf.DUMMYFUNCTION("""COMPUTED_VALUE"""),"Handgun")</f>
        <v>Handgun</v>
      </c>
      <c r="C835" s="1"/>
      <c r="D835" s="1"/>
    </row>
    <row r="836" spans="1:4" ht="12.5">
      <c r="A836" s="1" t="str">
        <f ca="1">IFERROR(__xludf.DUMMYFUNCTION("""COMPUTED_VALUE"""),"20210924TNSTS")</f>
        <v>20210924TNSTS</v>
      </c>
      <c r="B836" s="1" t="str">
        <f ca="1">IFERROR(__xludf.DUMMYFUNCTION("""COMPUTED_VALUE"""),"Handgun")</f>
        <v>Handgun</v>
      </c>
      <c r="C836" s="1"/>
      <c r="D836" s="1"/>
    </row>
    <row r="837" spans="1:4" ht="12.5">
      <c r="A837" s="1" t="str">
        <f ca="1">IFERROR(__xludf.DUMMYFUNCTION("""COMPUTED_VALUE"""),"20210924TNSTS")</f>
        <v>20210924TNSTS</v>
      </c>
      <c r="B837" s="1" t="str">
        <f ca="1">IFERROR(__xludf.DUMMYFUNCTION("""COMPUTED_VALUE"""),"Rifle")</f>
        <v>Rifle</v>
      </c>
      <c r="C837" s="1"/>
      <c r="D837" s="1"/>
    </row>
    <row r="838" spans="1:4" ht="12.5">
      <c r="A838" s="1" t="str">
        <f ca="1">IFERROR(__xludf.DUMMYFUNCTION("""COMPUTED_VALUE"""),"20210924MDWIB")</f>
        <v>20210924MDWIB</v>
      </c>
      <c r="B838" s="1" t="str">
        <f ca="1">IFERROR(__xludf.DUMMYFUNCTION("""COMPUTED_VALUE"""),"Handgun")</f>
        <v>Handgun</v>
      </c>
      <c r="C838" s="1"/>
      <c r="D838" s="1"/>
    </row>
    <row r="839" spans="1:4" ht="12.5">
      <c r="A839" s="1" t="str">
        <f ca="1">IFERROR(__xludf.DUMMYFUNCTION("""COMPUTED_VALUE"""),"20210924ALFAF")</f>
        <v>20210924ALFAF</v>
      </c>
      <c r="B839" s="1"/>
      <c r="C839" s="1"/>
      <c r="D839" s="1"/>
    </row>
    <row r="840" spans="1:4" ht="12.5">
      <c r="A840" s="1" t="str">
        <f ca="1">IFERROR(__xludf.DUMMYFUNCTION("""COMPUTED_VALUE"""),"20210923IDRIR")</f>
        <v>20210923IDRIR</v>
      </c>
      <c r="B840" s="1" t="str">
        <f ca="1">IFERROR(__xludf.DUMMYFUNCTION("""COMPUTED_VALUE"""),"Handgun")</f>
        <v>Handgun</v>
      </c>
      <c r="C840" s="1"/>
      <c r="D840" s="1"/>
    </row>
    <row r="841" spans="1:4" ht="12.5">
      <c r="A841" s="1" t="str">
        <f ca="1">IFERROR(__xludf.DUMMYFUNCTION("""COMPUTED_VALUE"""),"20210922NYSOB")</f>
        <v>20210922NYSOB</v>
      </c>
      <c r="B841" s="1" t="str">
        <f ca="1">IFERROR(__xludf.DUMMYFUNCTION("""COMPUTED_VALUE"""),"Handgun")</f>
        <v>Handgun</v>
      </c>
      <c r="C841" s="1"/>
      <c r="D841" s="1"/>
    </row>
    <row r="842" spans="1:4" ht="12.5">
      <c r="A842" s="1" t="str">
        <f ca="1">IFERROR(__xludf.DUMMYFUNCTION("""COMPUTED_VALUE"""),"20210922CTLIN")</f>
        <v>20210922CTLIN</v>
      </c>
      <c r="B842" s="1"/>
      <c r="C842" s="1"/>
      <c r="D842" s="1"/>
    </row>
    <row r="843" spans="1:4" ht="12.5">
      <c r="A843" s="1" t="str">
        <f ca="1">IFERROR(__xludf.DUMMYFUNCTION("""COMPUTED_VALUE"""),"20210921PAVAP")</f>
        <v>20210921PAVAP</v>
      </c>
      <c r="B843" s="1" t="str">
        <f ca="1">IFERROR(__xludf.DUMMYFUNCTION("""COMPUTED_VALUE"""),"Handgun")</f>
        <v>Handgun</v>
      </c>
      <c r="C843" s="1"/>
      <c r="D843" s="1"/>
    </row>
    <row r="844" spans="1:4" ht="12.5">
      <c r="A844" s="1" t="str">
        <f ca="1">IFERROR(__xludf.DUMMYFUNCTION("""COMPUTED_VALUE"""),"20210921OHMIM")</f>
        <v>20210921OHMIM</v>
      </c>
      <c r="B844" s="1" t="str">
        <f ca="1">IFERROR(__xludf.DUMMYFUNCTION("""COMPUTED_VALUE"""),"Other")</f>
        <v>Other</v>
      </c>
      <c r="C844" s="1" t="str">
        <f ca="1">IFERROR(__xludf.DUMMYFUNCTION("""COMPUTED_VALUE"""),"BB")</f>
        <v>BB</v>
      </c>
      <c r="D844" s="1"/>
    </row>
    <row r="845" spans="1:4" ht="12.5">
      <c r="A845" s="1" t="str">
        <f ca="1">IFERROR(__xludf.DUMMYFUNCTION("""COMPUTED_VALUE"""),"20210921KSEAW")</f>
        <v>20210921KSEAW</v>
      </c>
      <c r="B845" s="1" t="str">
        <f ca="1">IFERROR(__xludf.DUMMYFUNCTION("""COMPUTED_VALUE"""),"Handgun")</f>
        <v>Handgun</v>
      </c>
      <c r="C845" s="1"/>
      <c r="D845" s="1"/>
    </row>
    <row r="846" spans="1:4" ht="12.5">
      <c r="A846" s="1" t="str">
        <f ca="1">IFERROR(__xludf.DUMMYFUNCTION("""COMPUTED_VALUE"""),"20210921GAFRA")</f>
        <v>20210921GAFRA</v>
      </c>
      <c r="B846" s="1" t="str">
        <f ca="1">IFERROR(__xludf.DUMMYFUNCTION("""COMPUTED_VALUE"""),"Handgun")</f>
        <v>Handgun</v>
      </c>
      <c r="C846" s="1"/>
      <c r="D846" s="1"/>
    </row>
    <row r="847" spans="1:4" ht="12.5">
      <c r="A847" s="1" t="str">
        <f ca="1">IFERROR(__xludf.DUMMYFUNCTION("""COMPUTED_VALUE"""),"20210921FLLAL")</f>
        <v>20210921FLLAL</v>
      </c>
      <c r="B847" s="1" t="str">
        <f ca="1">IFERROR(__xludf.DUMMYFUNCTION("""COMPUTED_VALUE"""),"Other")</f>
        <v>Other</v>
      </c>
      <c r="C847" s="1" t="str">
        <f ca="1">IFERROR(__xludf.DUMMYFUNCTION("""COMPUTED_VALUE"""),"BB")</f>
        <v>BB</v>
      </c>
      <c r="D847" s="1"/>
    </row>
    <row r="848" spans="1:4" ht="12.5">
      <c r="A848" s="1" t="str">
        <f ca="1">IFERROR(__xludf.DUMMYFUNCTION("""COMPUTED_VALUE"""),"20210920VAHEN")</f>
        <v>20210920VAHEN</v>
      </c>
      <c r="B848" s="1" t="str">
        <f ca="1">IFERROR(__xludf.DUMMYFUNCTION("""COMPUTED_VALUE"""),"Handgun")</f>
        <v>Handgun</v>
      </c>
      <c r="C848" s="1"/>
      <c r="D848" s="1"/>
    </row>
    <row r="849" spans="1:4" ht="12.5">
      <c r="A849" s="1" t="str">
        <f ca="1">IFERROR(__xludf.DUMMYFUNCTION("""COMPUTED_VALUE"""),"20210920OHEAC")</f>
        <v>20210920OHEAC</v>
      </c>
      <c r="B849" s="1" t="str">
        <f ca="1">IFERROR(__xludf.DUMMYFUNCTION("""COMPUTED_VALUE"""),"Multiple Handguns")</f>
        <v>Multiple Handguns</v>
      </c>
      <c r="C849" s="1"/>
      <c r="D849" s="1"/>
    </row>
    <row r="850" spans="1:4" ht="12.5">
      <c r="A850" s="1" t="str">
        <f ca="1">IFERROR(__xludf.DUMMYFUNCTION("""COMPUTED_VALUE"""),"20210920OHEAC")</f>
        <v>20210920OHEAC</v>
      </c>
      <c r="B850" s="1" t="str">
        <f ca="1">IFERROR(__xludf.DUMMYFUNCTION("""COMPUTED_VALUE"""),"Handgun")</f>
        <v>Handgun</v>
      </c>
      <c r="C850" s="1"/>
      <c r="D850" s="1"/>
    </row>
    <row r="851" spans="1:4" ht="12.5">
      <c r="A851" s="1" t="str">
        <f ca="1">IFERROR(__xludf.DUMMYFUNCTION("""COMPUTED_VALUE"""),"20210918COWIC")</f>
        <v>20210918COWIC</v>
      </c>
      <c r="B851" s="1" t="str">
        <f ca="1">IFERROR(__xludf.DUMMYFUNCTION("""COMPUTED_VALUE"""),"Handgun")</f>
        <v>Handgun</v>
      </c>
      <c r="C851" s="1"/>
      <c r="D851" s="1"/>
    </row>
    <row r="852" spans="1:4" ht="12.5">
      <c r="A852" s="1" t="str">
        <f ca="1">IFERROR(__xludf.DUMMYFUNCTION("""COMPUTED_VALUE"""),"20210917VAHEH")</f>
        <v>20210917VAHEH</v>
      </c>
      <c r="B852" s="1" t="str">
        <f ca="1">IFERROR(__xludf.DUMMYFUNCTION("""COMPUTED_VALUE"""),"Handgun")</f>
        <v>Handgun</v>
      </c>
      <c r="C852" s="1"/>
      <c r="D852" s="1"/>
    </row>
    <row r="853" spans="1:4" ht="12.5">
      <c r="A853" s="1" t="str">
        <f ca="1">IFERROR(__xludf.DUMMYFUNCTION("""COMPUTED_VALUE"""),"20210917TNAUK")</f>
        <v>20210917TNAUK</v>
      </c>
      <c r="B853" s="1" t="str">
        <f ca="1">IFERROR(__xludf.DUMMYFUNCTION("""COMPUTED_VALUE"""),"Handgun")</f>
        <v>Handgun</v>
      </c>
      <c r="C853" s="1"/>
      <c r="D853" s="1"/>
    </row>
    <row r="854" spans="1:4" ht="12.5">
      <c r="A854" s="1" t="str">
        <f ca="1">IFERROR(__xludf.DUMMYFUNCTION("""COMPUTED_VALUE"""),"20210917PAWEP")</f>
        <v>20210917PAWEP</v>
      </c>
      <c r="B854" s="1" t="str">
        <f ca="1">IFERROR(__xludf.DUMMYFUNCTION("""COMPUTED_VALUE"""),"Handgun")</f>
        <v>Handgun</v>
      </c>
      <c r="C854" s="1"/>
      <c r="D854" s="1"/>
    </row>
    <row r="855" spans="1:4" ht="12.5">
      <c r="A855" s="1" t="str">
        <f ca="1">IFERROR(__xludf.DUMMYFUNCTION("""COMPUTED_VALUE"""),"20210917NCPAW")</f>
        <v>20210917NCPAW</v>
      </c>
      <c r="B855" s="1" t="str">
        <f ca="1">IFERROR(__xludf.DUMMYFUNCTION("""COMPUTED_VALUE"""),"Handgun")</f>
        <v>Handgun</v>
      </c>
      <c r="C855" s="1"/>
      <c r="D855" s="1"/>
    </row>
    <row r="856" spans="1:4" ht="12.5">
      <c r="A856" s="1" t="str">
        <f ca="1">IFERROR(__xludf.DUMMYFUNCTION("""COMPUTED_VALUE"""),"20210917GASWS")</f>
        <v>20210917GASWS</v>
      </c>
      <c r="B856" s="1" t="str">
        <f ca="1">IFERROR(__xludf.DUMMYFUNCTION("""COMPUTED_VALUE"""),"Handgun")</f>
        <v>Handgun</v>
      </c>
      <c r="C856" s="1"/>
      <c r="D856" s="1"/>
    </row>
    <row r="857" spans="1:4" ht="12.5">
      <c r="A857" s="1" t="str">
        <f ca="1">IFERROR(__xludf.DUMMYFUNCTION("""COMPUTED_VALUE"""),"20210916WIORM")</f>
        <v>20210916WIORM</v>
      </c>
      <c r="B857" s="1" t="str">
        <f ca="1">IFERROR(__xludf.DUMMYFUNCTION("""COMPUTED_VALUE"""),"Handgun")</f>
        <v>Handgun</v>
      </c>
      <c r="C857" s="1"/>
      <c r="D857" s="1"/>
    </row>
    <row r="858" spans="1:4" ht="12.5">
      <c r="A858" s="1" t="str">
        <f ca="1">IFERROR(__xludf.DUMMYFUNCTION("""COMPUTED_VALUE"""),"20210916UTPRP")</f>
        <v>20210916UTPRP</v>
      </c>
      <c r="B858" s="1" t="str">
        <f ca="1">IFERROR(__xludf.DUMMYFUNCTION("""COMPUTED_VALUE"""),"Other")</f>
        <v>Other</v>
      </c>
      <c r="C858" s="1" t="str">
        <f ca="1">IFERROR(__xludf.DUMMYFUNCTION("""COMPUTED_VALUE"""),"airsoft")</f>
        <v>airsoft</v>
      </c>
      <c r="D858" s="1"/>
    </row>
    <row r="859" spans="1:4" ht="12.5">
      <c r="A859" s="1" t="str">
        <f ca="1">IFERROR(__xludf.DUMMYFUNCTION("""COMPUTED_VALUE"""),"20210915VASPS")</f>
        <v>20210915VASPS</v>
      </c>
      <c r="B859" s="1" t="str">
        <f ca="1">IFERROR(__xludf.DUMMYFUNCTION("""COMPUTED_VALUE"""),"Other")</f>
        <v>Other</v>
      </c>
      <c r="C859" s="1"/>
      <c r="D859" s="1" t="str">
        <f ca="1">IFERROR(__xludf.DUMMYFUNCTION("""COMPUTED_VALUE"""),"Stungun")</f>
        <v>Stungun</v>
      </c>
    </row>
    <row r="860" spans="1:4" ht="12.5">
      <c r="A860" s="1" t="str">
        <f ca="1">IFERROR(__xludf.DUMMYFUNCTION("""COMPUTED_VALUE"""),"20210915KYMAL")</f>
        <v>20210915KYMAL</v>
      </c>
      <c r="B860" s="1" t="str">
        <f ca="1">IFERROR(__xludf.DUMMYFUNCTION("""COMPUTED_VALUE"""),"Handgun")</f>
        <v>Handgun</v>
      </c>
      <c r="C860" s="1"/>
      <c r="D860" s="1"/>
    </row>
    <row r="861" spans="1:4" ht="12.5">
      <c r="A861" s="1" t="str">
        <f ca="1">IFERROR(__xludf.DUMMYFUNCTION("""COMPUTED_VALUE"""),"20210915ILCEC")</f>
        <v>20210915ILCEC</v>
      </c>
      <c r="B861" s="1" t="str">
        <f ca="1">IFERROR(__xludf.DUMMYFUNCTION("""COMPUTED_VALUE"""),"Handgun")</f>
        <v>Handgun</v>
      </c>
      <c r="C861" s="1"/>
      <c r="D861" s="1"/>
    </row>
    <row r="862" spans="1:4" ht="12.5">
      <c r="A862" s="1" t="str">
        <f ca="1">IFERROR(__xludf.DUMMYFUNCTION("""COMPUTED_VALUE"""),"20210914TNLAL")</f>
        <v>20210914TNLAL</v>
      </c>
      <c r="B862" s="1" t="str">
        <f ca="1">IFERROR(__xludf.DUMMYFUNCTION("""COMPUTED_VALUE"""),"Handgun")</f>
        <v>Handgun</v>
      </c>
      <c r="C862" s="1"/>
      <c r="D862" s="1"/>
    </row>
    <row r="863" spans="1:4" ht="12.5">
      <c r="A863" s="1" t="str">
        <f ca="1">IFERROR(__xludf.DUMMYFUNCTION("""COMPUTED_VALUE"""),"20210914MOMCH")</f>
        <v>20210914MOMCH</v>
      </c>
      <c r="B863" s="1" t="str">
        <f ca="1">IFERROR(__xludf.DUMMYFUNCTION("""COMPUTED_VALUE"""),"Multiple Handguns")</f>
        <v>Multiple Handguns</v>
      </c>
      <c r="C863" s="1"/>
      <c r="D863" s="1"/>
    </row>
    <row r="864" spans="1:4" ht="12.5">
      <c r="A864" s="1" t="str">
        <f ca="1">IFERROR(__xludf.DUMMYFUNCTION("""COMPUTED_VALUE"""),"20210913SCEDC")</f>
        <v>20210913SCEDC</v>
      </c>
      <c r="B864" s="1" t="str">
        <f ca="1">IFERROR(__xludf.DUMMYFUNCTION("""COMPUTED_VALUE"""),"Handgun")</f>
        <v>Handgun</v>
      </c>
      <c r="C864" s="1"/>
      <c r="D864" s="1"/>
    </row>
    <row r="865" spans="1:4" ht="12.5">
      <c r="A865" s="1" t="str">
        <f ca="1">IFERROR(__xludf.DUMMYFUNCTION("""COMPUTED_VALUE"""),"20210910CONOA")</f>
        <v>20210910CONOA</v>
      </c>
      <c r="B865" s="1" t="str">
        <f ca="1">IFERROR(__xludf.DUMMYFUNCTION("""COMPUTED_VALUE"""),"Handgun")</f>
        <v>Handgun</v>
      </c>
      <c r="C865" s="1"/>
      <c r="D865" s="1"/>
    </row>
    <row r="866" spans="1:4" ht="12.5">
      <c r="A866" s="1" t="str">
        <f ca="1">IFERROR(__xludf.DUMMYFUNCTION("""COMPUTED_VALUE"""),"20210910CASTP")</f>
        <v>20210910CASTP</v>
      </c>
      <c r="B866" s="1" t="str">
        <f ca="1">IFERROR(__xludf.DUMMYFUNCTION("""COMPUTED_VALUE"""),"Other")</f>
        <v>Other</v>
      </c>
      <c r="C866" s="1" t="str">
        <f ca="1">IFERROR(__xludf.DUMMYFUNCTION("""COMPUTED_VALUE"""),"BB")</f>
        <v>BB</v>
      </c>
      <c r="D866" s="1"/>
    </row>
    <row r="867" spans="1:4" ht="12.5">
      <c r="A867" s="1" t="str">
        <f ca="1">IFERROR(__xludf.DUMMYFUNCTION("""COMPUTED_VALUE"""),"20210909NCSHE")</f>
        <v>20210909NCSHE</v>
      </c>
      <c r="B867" s="1"/>
      <c r="C867" s="1"/>
      <c r="D867" s="1"/>
    </row>
    <row r="868" spans="1:4" ht="12.5">
      <c r="A868" s="1" t="str">
        <f ca="1">IFERROR(__xludf.DUMMYFUNCTION("""COMPUTED_VALUE"""),"20210909MITRF")</f>
        <v>20210909MITRF</v>
      </c>
      <c r="B868" s="1" t="str">
        <f ca="1">IFERROR(__xludf.DUMMYFUNCTION("""COMPUTED_VALUE"""),"Handgun")</f>
        <v>Handgun</v>
      </c>
      <c r="C868" s="1"/>
      <c r="D868" s="1"/>
    </row>
    <row r="869" spans="1:4" ht="12.5">
      <c r="A869" s="1" t="str">
        <f ca="1">IFERROR(__xludf.DUMMYFUNCTION("""COMPUTED_VALUE"""),"20210909ILCHC")</f>
        <v>20210909ILCHC</v>
      </c>
      <c r="B869" s="1" t="str">
        <f ca="1">IFERROR(__xludf.DUMMYFUNCTION("""COMPUTED_VALUE"""),"Handgun")</f>
        <v>Handgun</v>
      </c>
      <c r="C869" s="1"/>
      <c r="D869" s="1"/>
    </row>
    <row r="870" spans="1:4" ht="12.5">
      <c r="A870" s="1" t="str">
        <f ca="1">IFERROR(__xludf.DUMMYFUNCTION("""COMPUTED_VALUE"""),"20210908MNPRB")</f>
        <v>20210908MNPRB</v>
      </c>
      <c r="B870" s="1" t="str">
        <f ca="1">IFERROR(__xludf.DUMMYFUNCTION("""COMPUTED_VALUE"""),"Multiple Handguns")</f>
        <v>Multiple Handguns</v>
      </c>
      <c r="C870" s="1"/>
      <c r="D870" s="1"/>
    </row>
    <row r="871" spans="1:4" ht="12.5">
      <c r="A871" s="1" t="str">
        <f ca="1">IFERROR(__xludf.DUMMYFUNCTION("""COMPUTED_VALUE"""),"20210908ILCEC")</f>
        <v>20210908ILCEC</v>
      </c>
      <c r="B871" s="1" t="str">
        <f ca="1">IFERROR(__xludf.DUMMYFUNCTION("""COMPUTED_VALUE"""),"Handgun")</f>
        <v>Handgun</v>
      </c>
      <c r="C871" s="1"/>
      <c r="D871" s="1"/>
    </row>
    <row r="872" spans="1:4" ht="12.5">
      <c r="A872" s="1" t="str">
        <f ca="1">IFERROR(__xludf.DUMMYFUNCTION("""COMPUTED_VALUE"""),"20210907TNLAL")</f>
        <v>20210907TNLAL</v>
      </c>
      <c r="B872" s="1" t="str">
        <f ca="1">IFERROR(__xludf.DUMMYFUNCTION("""COMPUTED_VALUE"""),"Handgun")</f>
        <v>Handgun</v>
      </c>
      <c r="C872" s="1"/>
      <c r="D872" s="1"/>
    </row>
    <row r="873" spans="1:4" ht="12.5">
      <c r="A873" s="1" t="str">
        <f ca="1">IFERROR(__xludf.DUMMYFUNCTION("""COMPUTED_VALUE"""),"20210907PAHAH")</f>
        <v>20210907PAHAH</v>
      </c>
      <c r="B873" s="1" t="str">
        <f ca="1">IFERROR(__xludf.DUMMYFUNCTION("""COMPUTED_VALUE"""),"Handgun")</f>
        <v>Handgun</v>
      </c>
      <c r="C873" s="1"/>
      <c r="D873" s="1"/>
    </row>
    <row r="874" spans="1:4" ht="12.5">
      <c r="A874" s="1" t="str">
        <f ca="1">IFERROR(__xludf.DUMMYFUNCTION("""COMPUTED_VALUE"""),"20210907MAOMG")</f>
        <v>20210907MAOMG</v>
      </c>
      <c r="B874" s="1" t="str">
        <f ca="1">IFERROR(__xludf.DUMMYFUNCTION("""COMPUTED_VALUE"""),"Other")</f>
        <v>Other</v>
      </c>
      <c r="C874" s="1" t="str">
        <f ca="1">IFERROR(__xludf.DUMMYFUNCTION("""COMPUTED_VALUE"""),"BB")</f>
        <v>BB</v>
      </c>
      <c r="D874" s="1"/>
    </row>
    <row r="875" spans="1:4" ht="12.5">
      <c r="A875" s="1" t="str">
        <f ca="1">IFERROR(__xludf.DUMMYFUNCTION("""COMPUTED_VALUE"""),"20210903NVDEL")</f>
        <v>20210903NVDEL</v>
      </c>
      <c r="B875" s="1" t="str">
        <f ca="1">IFERROR(__xludf.DUMMYFUNCTION("""COMPUTED_VALUE"""),"Handgun")</f>
        <v>Handgun</v>
      </c>
      <c r="C875" s="1"/>
      <c r="D875" s="1"/>
    </row>
    <row r="876" spans="1:4" ht="12.5">
      <c r="A876" s="1" t="str">
        <f ca="1">IFERROR(__xludf.DUMMYFUNCTION("""COMPUTED_VALUE"""),"20210903NCJUC")</f>
        <v>20210903NCJUC</v>
      </c>
      <c r="B876" s="1" t="str">
        <f ca="1">IFERROR(__xludf.DUMMYFUNCTION("""COMPUTED_VALUE"""),"Handgun")</f>
        <v>Handgun</v>
      </c>
      <c r="C876" s="1"/>
      <c r="D876" s="1"/>
    </row>
    <row r="877" spans="1:4" ht="12.5">
      <c r="A877" s="1" t="str">
        <f ca="1">IFERROR(__xludf.DUMMYFUNCTION("""COMPUTED_VALUE"""),"20210903CAMTH")</f>
        <v>20210903CAMTH</v>
      </c>
      <c r="B877" s="1" t="str">
        <f ca="1">IFERROR(__xludf.DUMMYFUNCTION("""COMPUTED_VALUE"""),"Handgun")</f>
        <v>Handgun</v>
      </c>
      <c r="C877" s="1"/>
      <c r="D877" s="1"/>
    </row>
    <row r="878" spans="1:4" ht="12.5">
      <c r="A878" s="1" t="str">
        <f ca="1">IFERROR(__xludf.DUMMYFUNCTION("""COMPUTED_VALUE"""),"20210903CABUB")</f>
        <v>20210903CABUB</v>
      </c>
      <c r="B878" s="1" t="str">
        <f ca="1">IFERROR(__xludf.DUMMYFUNCTION("""COMPUTED_VALUE"""),"Handgun")</f>
        <v>Handgun</v>
      </c>
      <c r="C878" s="1"/>
      <c r="D878" s="1"/>
    </row>
    <row r="879" spans="1:4" ht="12.5">
      <c r="A879" s="1" t="str">
        <f ca="1">IFERROR(__xludf.DUMMYFUNCTION("""COMPUTED_VALUE"""),"20210902NMALA")</f>
        <v>20210902NMALA</v>
      </c>
      <c r="B879" s="1" t="str">
        <f ca="1">IFERROR(__xludf.DUMMYFUNCTION("""COMPUTED_VALUE"""),"Multiple Handguns")</f>
        <v>Multiple Handguns</v>
      </c>
      <c r="C879" s="1"/>
      <c r="D879" s="1"/>
    </row>
    <row r="880" spans="1:4" ht="12.5">
      <c r="A880" s="1" t="str">
        <f ca="1">IFERROR(__xludf.DUMMYFUNCTION("""COMPUTED_VALUE"""),"20210902INWEG")</f>
        <v>20210902INWEG</v>
      </c>
      <c r="B880" s="1" t="str">
        <f ca="1">IFERROR(__xludf.DUMMYFUNCTION("""COMPUTED_VALUE"""),"Handgun")</f>
        <v>Handgun</v>
      </c>
      <c r="C880" s="1"/>
      <c r="D880" s="1"/>
    </row>
    <row r="881" spans="1:4" ht="12.5">
      <c r="A881" s="1" t="str">
        <f ca="1">IFERROR(__xludf.DUMMYFUNCTION("""COMPUTED_VALUE"""),"20210902GAWOS")</f>
        <v>20210902GAWOS</v>
      </c>
      <c r="B881" s="1" t="str">
        <f ca="1">IFERROR(__xludf.DUMMYFUNCTION("""COMPUTED_VALUE"""),"Handgun")</f>
        <v>Handgun</v>
      </c>
      <c r="C881" s="1"/>
      <c r="D881" s="1"/>
    </row>
    <row r="882" spans="1:4" ht="12.5">
      <c r="A882" s="1" t="str">
        <f ca="1">IFERROR(__xludf.DUMMYFUNCTION("""COMPUTED_VALUE"""),"20210902CASAL")</f>
        <v>20210902CASAL</v>
      </c>
      <c r="B882" s="1" t="str">
        <f ca="1">IFERROR(__xludf.DUMMYFUNCTION("""COMPUTED_VALUE"""),"Handgun")</f>
        <v>Handgun</v>
      </c>
      <c r="C882" s="1"/>
      <c r="D882" s="1"/>
    </row>
    <row r="883" spans="1:4" ht="12.5">
      <c r="A883" s="1" t="str">
        <f ca="1">IFERROR(__xludf.DUMMYFUNCTION("""COMPUTED_VALUE"""),"20210902CASAL")</f>
        <v>20210902CASAL</v>
      </c>
      <c r="B883" s="1" t="str">
        <f ca="1">IFERROR(__xludf.DUMMYFUNCTION("""COMPUTED_VALUE"""),"Handgun")</f>
        <v>Handgun</v>
      </c>
      <c r="C883" s="1"/>
      <c r="D883" s="1"/>
    </row>
    <row r="884" spans="1:4" ht="12.5">
      <c r="A884" s="1" t="str">
        <f ca="1">IFERROR(__xludf.DUMMYFUNCTION("""COMPUTED_VALUE"""),"20210902CASAL")</f>
        <v>20210902CASAL</v>
      </c>
      <c r="B884" s="1" t="str">
        <f ca="1">IFERROR(__xludf.DUMMYFUNCTION("""COMPUTED_VALUE"""),"Handgun")</f>
        <v>Handgun</v>
      </c>
      <c r="C884" s="1"/>
      <c r="D884" s="1"/>
    </row>
    <row r="885" spans="1:4" ht="12.5">
      <c r="A885" s="1" t="str">
        <f ca="1">IFERROR(__xludf.DUMMYFUNCTION("""COMPUTED_VALUE"""),"20210902CASAL")</f>
        <v>20210902CASAL</v>
      </c>
      <c r="B885" s="1" t="str">
        <f ca="1">IFERROR(__xludf.DUMMYFUNCTION("""COMPUTED_VALUE"""),"Handgun")</f>
        <v>Handgun</v>
      </c>
      <c r="C885" s="1"/>
      <c r="D885" s="1"/>
    </row>
    <row r="886" spans="1:4" ht="12.5">
      <c r="A886" s="1" t="str">
        <f ca="1">IFERROR(__xludf.DUMMYFUNCTION("""COMPUTED_VALUE"""),"20210902ARLIL")</f>
        <v>20210902ARLIL</v>
      </c>
      <c r="B886" s="1" t="str">
        <f ca="1">IFERROR(__xludf.DUMMYFUNCTION("""COMPUTED_VALUE"""),"Handgun")</f>
        <v>Handgun</v>
      </c>
      <c r="C886" s="1"/>
      <c r="D886" s="1"/>
    </row>
    <row r="887" spans="1:4" ht="12.5">
      <c r="A887" s="1" t="str">
        <f ca="1">IFERROR(__xludf.DUMMYFUNCTION("""COMPUTED_VALUE"""),"20210901NCMTW")</f>
        <v>20210901NCMTW</v>
      </c>
      <c r="B887" s="1" t="str">
        <f ca="1">IFERROR(__xludf.DUMMYFUNCTION("""COMPUTED_VALUE"""),"Handgun")</f>
        <v>Handgun</v>
      </c>
      <c r="C887" s="1"/>
      <c r="D887" s="1"/>
    </row>
    <row r="888" spans="1:4" ht="12.5">
      <c r="A888" s="1" t="str">
        <f ca="1">IFERROR(__xludf.DUMMYFUNCTION("""COMPUTED_VALUE"""),"20210901ILFRC")</f>
        <v>20210901ILFRC</v>
      </c>
      <c r="B888" s="1" t="str">
        <f ca="1">IFERROR(__xludf.DUMMYFUNCTION("""COMPUTED_VALUE"""),"Handgun")</f>
        <v>Handgun</v>
      </c>
      <c r="C888" s="1"/>
      <c r="D888" s="1"/>
    </row>
    <row r="889" spans="1:4" ht="12.5">
      <c r="A889" s="1" t="str">
        <f ca="1">IFERROR(__xludf.DUMMYFUNCTION("""COMPUTED_VALUE"""),"20210830NJWEN")</f>
        <v>20210830NJWEN</v>
      </c>
      <c r="B889" s="1" t="str">
        <f ca="1">IFERROR(__xludf.DUMMYFUNCTION("""COMPUTED_VALUE"""),"Handgun")</f>
        <v>Handgun</v>
      </c>
      <c r="C889" s="1"/>
      <c r="D889" s="1"/>
    </row>
    <row r="890" spans="1:4" ht="12.5">
      <c r="A890" s="1" t="str">
        <f ca="1">IFERROR(__xludf.DUMMYFUNCTION("""COMPUTED_VALUE"""),"20210830NCNEW")</f>
        <v>20210830NCNEW</v>
      </c>
      <c r="B890" s="1" t="str">
        <f ca="1">IFERROR(__xludf.DUMMYFUNCTION("""COMPUTED_VALUE"""),"Handgun")</f>
        <v>Handgun</v>
      </c>
      <c r="C890" s="1"/>
      <c r="D890" s="1"/>
    </row>
    <row r="891" spans="1:4" ht="12.5">
      <c r="A891" s="1" t="str">
        <f ca="1">IFERROR(__xludf.DUMMYFUNCTION("""COMPUTED_VALUE"""),"20210830MDNEO")</f>
        <v>20210830MDNEO</v>
      </c>
      <c r="B891" s="1" t="str">
        <f ca="1">IFERROR(__xludf.DUMMYFUNCTION("""COMPUTED_VALUE"""),"Handgun")</f>
        <v>Handgun</v>
      </c>
      <c r="C891" s="1"/>
      <c r="D891" s="1"/>
    </row>
    <row r="892" spans="1:4" ht="12.5">
      <c r="A892" s="1" t="str">
        <f ca="1">IFERROR(__xludf.DUMMYFUNCTION("""COMPUTED_VALUE"""),"20210830FLOKW")</f>
        <v>20210830FLOKW</v>
      </c>
      <c r="B892" s="1" t="str">
        <f ca="1">IFERROR(__xludf.DUMMYFUNCTION("""COMPUTED_VALUE"""),"Other")</f>
        <v>Other</v>
      </c>
      <c r="C892" s="1" t="str">
        <f ca="1">IFERROR(__xludf.DUMMYFUNCTION("""COMPUTED_VALUE"""),"Pellet")</f>
        <v>Pellet</v>
      </c>
      <c r="D892" s="1"/>
    </row>
    <row r="893" spans="1:4" ht="12.5">
      <c r="A893" s="1" t="str">
        <f ca="1">IFERROR(__xludf.DUMMYFUNCTION("""COMPUTED_VALUE"""),"20210828CASAS")</f>
        <v>20210828CASAS</v>
      </c>
      <c r="B893" s="1" t="str">
        <f ca="1">IFERROR(__xludf.DUMMYFUNCTION("""COMPUTED_VALUE"""),"Handgun")</f>
        <v>Handgun</v>
      </c>
      <c r="C893" s="1"/>
      <c r="D893" s="1"/>
    </row>
    <row r="894" spans="1:4" ht="12.5">
      <c r="A894" s="1" t="str">
        <f ca="1">IFERROR(__xludf.DUMMYFUNCTION("""COMPUTED_VALUE"""),"20210827VAFRW")</f>
        <v>20210827VAFRW</v>
      </c>
      <c r="B894" s="1" t="str">
        <f ca="1">IFERROR(__xludf.DUMMYFUNCTION("""COMPUTED_VALUE"""),"Handgun")</f>
        <v>Handgun</v>
      </c>
      <c r="C894" s="1"/>
      <c r="D894" s="1"/>
    </row>
    <row r="895" spans="1:4" ht="12.5">
      <c r="A895" s="1" t="str">
        <f ca="1">IFERROR(__xludf.DUMMYFUNCTION("""COMPUTED_VALUE"""),"20210827KYAPO")</f>
        <v>20210827KYAPO</v>
      </c>
      <c r="B895" s="1" t="str">
        <f ca="1">IFERROR(__xludf.DUMMYFUNCTION("""COMPUTED_VALUE"""),"Handgun")</f>
        <v>Handgun</v>
      </c>
      <c r="C895" s="1"/>
      <c r="D895" s="1"/>
    </row>
    <row r="896" spans="1:4" ht="12.5">
      <c r="A896" s="1" t="str">
        <f ca="1">IFERROR(__xludf.DUMMYFUNCTION("""COMPUTED_VALUE"""),"20210827INHAH")</f>
        <v>20210827INHAH</v>
      </c>
      <c r="B896" s="1" t="str">
        <f ca="1">IFERROR(__xludf.DUMMYFUNCTION("""COMPUTED_VALUE"""),"Handgun")</f>
        <v>Handgun</v>
      </c>
      <c r="C896" s="1"/>
      <c r="D896" s="1"/>
    </row>
    <row r="897" spans="1:4" ht="12.5">
      <c r="A897" s="1" t="str">
        <f ca="1">IFERROR(__xludf.DUMMYFUNCTION("""COMPUTED_VALUE"""),"20210826WAAKS")</f>
        <v>20210826WAAKS</v>
      </c>
      <c r="B897" s="1" t="str">
        <f ca="1">IFERROR(__xludf.DUMMYFUNCTION("""COMPUTED_VALUE"""),"Multiple Handguns")</f>
        <v>Multiple Handguns</v>
      </c>
      <c r="C897" s="1"/>
      <c r="D897" s="1"/>
    </row>
    <row r="898" spans="1:4" ht="12.5">
      <c r="A898" s="1" t="str">
        <f ca="1">IFERROR(__xludf.DUMMYFUNCTION("""COMPUTED_VALUE"""),"20210826OHNOT")</f>
        <v>20210826OHNOT</v>
      </c>
      <c r="B898" s="1" t="str">
        <f ca="1">IFERROR(__xludf.DUMMYFUNCTION("""COMPUTED_VALUE"""),"Handgun")</f>
        <v>Handgun</v>
      </c>
      <c r="C898" s="1"/>
      <c r="D898" s="1"/>
    </row>
    <row r="899" spans="1:4" ht="12.5">
      <c r="A899" s="1" t="str">
        <f ca="1">IFERROR(__xludf.DUMMYFUNCTION("""COMPUTED_VALUE"""),"20210826NYHAH")</f>
        <v>20210826NYHAH</v>
      </c>
      <c r="B899" s="1" t="str">
        <f ca="1">IFERROR(__xludf.DUMMYFUNCTION("""COMPUTED_VALUE"""),"Handgun")</f>
        <v>Handgun</v>
      </c>
      <c r="C899" s="1"/>
      <c r="D899" s="1"/>
    </row>
    <row r="900" spans="1:4" ht="12.5">
      <c r="A900" s="1" t="str">
        <f ca="1">IFERROR(__xludf.DUMMYFUNCTION("""COMPUTED_VALUE"""),"20210822ILWER")</f>
        <v>20210822ILWER</v>
      </c>
      <c r="B900" s="1" t="str">
        <f ca="1">IFERROR(__xludf.DUMMYFUNCTION("""COMPUTED_VALUE"""),"Handgun")</f>
        <v>Handgun</v>
      </c>
      <c r="C900" s="1"/>
      <c r="D900" s="1"/>
    </row>
    <row r="901" spans="1:4" ht="12.5">
      <c r="A901" s="1" t="str">
        <f ca="1">IFERROR(__xludf.DUMMYFUNCTION("""COMPUTED_VALUE"""),"20210820NEMIO")</f>
        <v>20210820NEMIO</v>
      </c>
      <c r="B901" s="1"/>
      <c r="C901" s="1"/>
      <c r="D901" s="1"/>
    </row>
    <row r="902" spans="1:4" ht="12.5">
      <c r="A902" s="1" t="str">
        <f ca="1">IFERROR(__xludf.DUMMYFUNCTION("""COMPUTED_VALUE"""),"20210820CACEF")</f>
        <v>20210820CACEF</v>
      </c>
      <c r="B902" s="1" t="str">
        <f ca="1">IFERROR(__xludf.DUMMYFUNCTION("""COMPUTED_VALUE"""),"Handgun")</f>
        <v>Handgun</v>
      </c>
      <c r="C902" s="1"/>
      <c r="D902" s="1"/>
    </row>
    <row r="903" spans="1:4" ht="12.5">
      <c r="A903" s="1" t="str">
        <f ca="1">IFERROR(__xludf.DUMMYFUNCTION("""COMPUTED_VALUE"""),"20210818SCORO")</f>
        <v>20210818SCORO</v>
      </c>
      <c r="B903" s="1" t="str">
        <f ca="1">IFERROR(__xludf.DUMMYFUNCTION("""COMPUTED_VALUE"""),"Handgun")</f>
        <v>Handgun</v>
      </c>
      <c r="C903" s="1"/>
      <c r="D903" s="1"/>
    </row>
    <row r="904" spans="1:4" ht="12.5">
      <c r="A904" s="1" t="str">
        <f ca="1">IFERROR(__xludf.DUMMYFUNCTION("""COMPUTED_VALUE"""),"20210818SCORO")</f>
        <v>20210818SCORO</v>
      </c>
      <c r="B904" s="1" t="str">
        <f ca="1">IFERROR(__xludf.DUMMYFUNCTION("""COMPUTED_VALUE"""),"Handgun")</f>
        <v>Handgun</v>
      </c>
      <c r="C904" s="1"/>
      <c r="D904" s="1"/>
    </row>
    <row r="905" spans="1:4" ht="12.5">
      <c r="A905" s="1" t="str">
        <f ca="1">IFERROR(__xludf.DUMMYFUNCTION("""COMPUTED_VALUE"""),"20210815VAROD")</f>
        <v>20210815VAROD</v>
      </c>
      <c r="B905" s="1" t="str">
        <f ca="1">IFERROR(__xludf.DUMMYFUNCTION("""COMPUTED_VALUE"""),"Handgun")</f>
        <v>Handgun</v>
      </c>
      <c r="C905" s="1"/>
      <c r="D905" s="1"/>
    </row>
    <row r="906" spans="1:4" ht="12.5">
      <c r="A906" s="1" t="str">
        <f ca="1">IFERROR(__xludf.DUMMYFUNCTION("""COMPUTED_VALUE"""),"20210814SCDAH")</f>
        <v>20210814SCDAH</v>
      </c>
      <c r="B906" s="1" t="str">
        <f ca="1">IFERROR(__xludf.DUMMYFUNCTION("""COMPUTED_VALUE"""),"Other")</f>
        <v>Other</v>
      </c>
      <c r="C906" s="1" t="str">
        <f ca="1">IFERROR(__xludf.DUMMYFUNCTION("""COMPUTED_VALUE"""),"BB")</f>
        <v>BB</v>
      </c>
      <c r="D906" s="1"/>
    </row>
    <row r="907" spans="1:4" ht="12.5">
      <c r="A907" s="1" t="str">
        <f ca="1">IFERROR(__xludf.DUMMYFUNCTION("""COMPUTED_VALUE"""),"20210814ILMAC")</f>
        <v>20210814ILMAC</v>
      </c>
      <c r="B907" s="1"/>
      <c r="C907" s="1"/>
      <c r="D907" s="1"/>
    </row>
    <row r="908" spans="1:4" ht="12.5">
      <c r="A908" s="1" t="str">
        <f ca="1">IFERROR(__xludf.DUMMYFUNCTION("""COMPUTED_VALUE"""),"20210813NMWAA")</f>
        <v>20210813NMWAA</v>
      </c>
      <c r="B908" s="1" t="str">
        <f ca="1">IFERROR(__xludf.DUMMYFUNCTION("""COMPUTED_VALUE"""),"Handgun")</f>
        <v>Handgun</v>
      </c>
      <c r="C908" s="1"/>
      <c r="D908" s="1"/>
    </row>
    <row r="909" spans="1:4" ht="12.5">
      <c r="A909" s="1" t="str">
        <f ca="1">IFERROR(__xludf.DUMMYFUNCTION("""COMPUTED_VALUE"""),"20210813GACAS")</f>
        <v>20210813GACAS</v>
      </c>
      <c r="B909" s="1" t="str">
        <f ca="1">IFERROR(__xludf.DUMMYFUNCTION("""COMPUTED_VALUE"""),"Handgun")</f>
        <v>Handgun</v>
      </c>
      <c r="C909" s="1"/>
      <c r="D909" s="1"/>
    </row>
    <row r="910" spans="1:4" ht="12.5">
      <c r="A910" s="1" t="str">
        <f ca="1">IFERROR(__xludf.DUMMYFUNCTION("""COMPUTED_VALUE"""),"20210812GALIL")</f>
        <v>20210812GALIL</v>
      </c>
      <c r="B910" s="1" t="str">
        <f ca="1">IFERROR(__xludf.DUMMYFUNCTION("""COMPUTED_VALUE"""),"Handgun")</f>
        <v>Handgun</v>
      </c>
      <c r="C910" s="1" t="str">
        <f ca="1">IFERROR(__xludf.DUMMYFUNCTION("""COMPUTED_VALUE"""),"Service Weapon")</f>
        <v>Service Weapon</v>
      </c>
      <c r="D910" s="1"/>
    </row>
    <row r="911" spans="1:4" ht="12.5">
      <c r="A911" s="1" t="str">
        <f ca="1">IFERROR(__xludf.DUMMYFUNCTION("""COMPUTED_VALUE"""),"20210812CANOS")</f>
        <v>20210812CANOS</v>
      </c>
      <c r="B911" s="1" t="str">
        <f ca="1">IFERROR(__xludf.DUMMYFUNCTION("""COMPUTED_VALUE"""),"Handgun")</f>
        <v>Handgun</v>
      </c>
      <c r="C911" s="1"/>
      <c r="D911" s="1"/>
    </row>
    <row r="912" spans="1:4" ht="12.5">
      <c r="A912" s="1" t="str">
        <f ca="1">IFERROR(__xludf.DUMMYFUNCTION("""COMPUTED_VALUE"""),"20210811COMAC")</f>
        <v>20210811COMAC</v>
      </c>
      <c r="B912" s="1"/>
      <c r="C912" s="1"/>
      <c r="D912" s="1"/>
    </row>
    <row r="913" spans="1:4" ht="12.5">
      <c r="A913" s="1" t="str">
        <f ca="1">IFERROR(__xludf.DUMMYFUNCTION("""COMPUTED_VALUE"""),"20210811CAOAO")</f>
        <v>20210811CAOAO</v>
      </c>
      <c r="B913" s="1" t="str">
        <f ca="1">IFERROR(__xludf.DUMMYFUNCTION("""COMPUTED_VALUE"""),"Handgun")</f>
        <v>Handgun</v>
      </c>
      <c r="C913" s="1"/>
      <c r="D913" s="1"/>
    </row>
    <row r="914" spans="1:4" ht="12.5">
      <c r="A914" s="1" t="str">
        <f ca="1">IFERROR(__xludf.DUMMYFUNCTION("""COMPUTED_VALUE"""),"20210810OHEAC")</f>
        <v>20210810OHEAC</v>
      </c>
      <c r="B914" s="1" t="str">
        <f ca="1">IFERROR(__xludf.DUMMYFUNCTION("""COMPUTED_VALUE"""),"Handgun")</f>
        <v>Handgun</v>
      </c>
      <c r="C914" s="1"/>
      <c r="D914" s="1"/>
    </row>
    <row r="915" spans="1:4" ht="12.5">
      <c r="A915" s="1" t="str">
        <f ca="1">IFERROR(__xludf.DUMMYFUNCTION("""COMPUTED_VALUE"""),"20210807ORGIP")</f>
        <v>20210807ORGIP</v>
      </c>
      <c r="B915" s="1"/>
      <c r="C915" s="1"/>
      <c r="D915" s="1"/>
    </row>
    <row r="916" spans="1:4" ht="12.5">
      <c r="A916" s="1" t="str">
        <f ca="1">IFERROR(__xludf.DUMMYFUNCTION("""COMPUTED_VALUE"""),"20210806LASTH")</f>
        <v>20210806LASTH</v>
      </c>
      <c r="B916" s="1" t="str">
        <f ca="1">IFERROR(__xludf.DUMMYFUNCTION("""COMPUTED_VALUE"""),"Handgun")</f>
        <v>Handgun</v>
      </c>
      <c r="C916" s="1"/>
      <c r="D916" s="1"/>
    </row>
    <row r="917" spans="1:4" ht="12.5">
      <c r="A917" s="1" t="str">
        <f ca="1">IFERROR(__xludf.DUMMYFUNCTION("""COMPUTED_VALUE"""),"20210805GACHD")</f>
        <v>20210805GACHD</v>
      </c>
      <c r="B917" s="1"/>
      <c r="C917" s="1"/>
      <c r="D917" s="1"/>
    </row>
    <row r="918" spans="1:4" ht="12.5">
      <c r="A918" s="1" t="str">
        <f ca="1">IFERROR(__xludf.DUMMYFUNCTION("""COMPUTED_VALUE"""),"20210727WATYS")</f>
        <v>20210727WATYS</v>
      </c>
      <c r="B918" s="1" t="str">
        <f ca="1">IFERROR(__xludf.DUMMYFUNCTION("""COMPUTED_VALUE"""),"Handgun")</f>
        <v>Handgun</v>
      </c>
      <c r="C918" s="1"/>
      <c r="D918" s="1"/>
    </row>
    <row r="919" spans="1:4" ht="12.5">
      <c r="A919" s="1" t="str">
        <f ca="1">IFERROR(__xludf.DUMMYFUNCTION("""COMPUTED_VALUE"""),"20210721ILTHC")</f>
        <v>20210721ILTHC</v>
      </c>
      <c r="B919" s="1"/>
      <c r="C919" s="1"/>
      <c r="D919" s="1"/>
    </row>
    <row r="920" spans="1:4" ht="12.5">
      <c r="A920" s="1" t="str">
        <f ca="1">IFERROR(__xludf.DUMMYFUNCTION("""COMPUTED_VALUE"""),"20210719TXCAC")</f>
        <v>20210719TXCAC</v>
      </c>
      <c r="B920" s="1" t="str">
        <f ca="1">IFERROR(__xludf.DUMMYFUNCTION("""COMPUTED_VALUE"""),"Other")</f>
        <v>Other</v>
      </c>
      <c r="C920" s="1" t="str">
        <f ca="1">IFERROR(__xludf.DUMMYFUNCTION("""COMPUTED_VALUE"""),"BB")</f>
        <v>BB</v>
      </c>
      <c r="D920" s="1" t="str">
        <f ca="1">IFERROR(__xludf.DUMMYFUNCTION("""COMPUTED_VALUE"""),"Hydroball gun painted black to look realistic")</f>
        <v>Hydroball gun painted black to look realistic</v>
      </c>
    </row>
    <row r="921" spans="1:4" ht="12.5">
      <c r="A921" s="1" t="str">
        <f ca="1">IFERROR(__xludf.DUMMYFUNCTION("""COMPUTED_VALUE"""),"20210718ARFOL")</f>
        <v>20210718ARFOL</v>
      </c>
      <c r="B921" s="1" t="str">
        <f ca="1">IFERROR(__xludf.DUMMYFUNCTION("""COMPUTED_VALUE"""),"Handgun")</f>
        <v>Handgun</v>
      </c>
      <c r="C921" s="1"/>
      <c r="D921" s="1"/>
    </row>
    <row r="922" spans="1:4" ht="12.5">
      <c r="A922" s="1" t="str">
        <f ca="1">IFERROR(__xludf.DUMMYFUNCTION("""COMPUTED_VALUE"""),"20210709KSCAW")</f>
        <v>20210709KSCAW</v>
      </c>
      <c r="B922" s="1" t="str">
        <f ca="1">IFERROR(__xludf.DUMMYFUNCTION("""COMPUTED_VALUE"""),"Handgun")</f>
        <v>Handgun</v>
      </c>
      <c r="C922" s="1"/>
      <c r="D922" s="1"/>
    </row>
    <row r="923" spans="1:4" ht="12.5">
      <c r="A923" s="1" t="str">
        <f ca="1">IFERROR(__xludf.DUMMYFUNCTION("""COMPUTED_VALUE"""),"20210708ILBEC")</f>
        <v>20210708ILBEC</v>
      </c>
      <c r="B923" s="1" t="str">
        <f ca="1">IFERROR(__xludf.DUMMYFUNCTION("""COMPUTED_VALUE"""),"Handgun")</f>
        <v>Handgun</v>
      </c>
      <c r="C923" s="1"/>
      <c r="D923" s="1"/>
    </row>
    <row r="924" spans="1:4" ht="12.5">
      <c r="A924" s="1" t="str">
        <f ca="1">IFERROR(__xludf.DUMMYFUNCTION("""COMPUTED_VALUE"""),"20210704NYDRR")</f>
        <v>20210704NYDRR</v>
      </c>
      <c r="B924" s="1"/>
      <c r="C924" s="1"/>
      <c r="D924" s="1"/>
    </row>
    <row r="925" spans="1:4" ht="12.5">
      <c r="A925" s="1" t="str">
        <f ca="1">IFERROR(__xludf.DUMMYFUNCTION("""COMPUTED_VALUE"""),"20210628CASLF")</f>
        <v>20210628CASLF</v>
      </c>
      <c r="B925" s="1"/>
      <c r="C925" s="1"/>
      <c r="D925" s="1"/>
    </row>
    <row r="926" spans="1:4" ht="12.5">
      <c r="A926" s="1" t="str">
        <f ca="1">IFERROR(__xludf.DUMMYFUNCTION("""COMPUTED_VALUE"""),"20210624ILABR")</f>
        <v>20210624ILABR</v>
      </c>
      <c r="B926" s="1"/>
      <c r="C926" s="1"/>
      <c r="D926" s="1"/>
    </row>
    <row r="927" spans="1:4" ht="12.5">
      <c r="A927" s="1" t="str">
        <f ca="1">IFERROR(__xludf.DUMMYFUNCTION("""COMPUTED_VALUE"""),"20210620CAGRM")</f>
        <v>20210620CAGRM</v>
      </c>
      <c r="B927" s="1" t="str">
        <f ca="1">IFERROR(__xludf.DUMMYFUNCTION("""COMPUTED_VALUE"""),"Handgun")</f>
        <v>Handgun</v>
      </c>
      <c r="C927" s="1" t="str">
        <f ca="1">IFERROR(__xludf.DUMMYFUNCTION("""COMPUTED_VALUE"""),"Service Weapon")</f>
        <v>Service Weapon</v>
      </c>
      <c r="D927" s="1"/>
    </row>
    <row r="928" spans="1:4" ht="12.5">
      <c r="A928" s="1" t="str">
        <f ca="1">IFERROR(__xludf.DUMMYFUNCTION("""COMPUTED_VALUE"""),"20210614TXEAF")</f>
        <v>20210614TXEAF</v>
      </c>
      <c r="B928" s="1" t="str">
        <f ca="1">IFERROR(__xludf.DUMMYFUNCTION("""COMPUTED_VALUE"""),"Handgun")</f>
        <v>Handgun</v>
      </c>
      <c r="C928" s="1"/>
      <c r="D928" s="1"/>
    </row>
    <row r="929" spans="1:4" ht="12.5">
      <c r="A929" s="1" t="str">
        <f ca="1">IFERROR(__xludf.DUMMYFUNCTION("""COMPUTED_VALUE"""),"20210614NCROR")</f>
        <v>20210614NCROR</v>
      </c>
      <c r="B929" s="1" t="str">
        <f ca="1">IFERROR(__xludf.DUMMYFUNCTION("""COMPUTED_VALUE"""),"Multiple Handguns")</f>
        <v>Multiple Handguns</v>
      </c>
      <c r="C929" s="1"/>
      <c r="D929" s="1"/>
    </row>
    <row r="930" spans="1:4" ht="12.5">
      <c r="A930" s="1" t="str">
        <f ca="1">IFERROR(__xludf.DUMMYFUNCTION("""COMPUTED_VALUE"""),"20210614NCRJW")</f>
        <v>20210614NCRJW</v>
      </c>
      <c r="B930" s="1" t="str">
        <f ca="1">IFERROR(__xludf.DUMMYFUNCTION("""COMPUTED_VALUE"""),"Handgun")</f>
        <v>Handgun</v>
      </c>
      <c r="C930" s="1"/>
      <c r="D930" s="1"/>
    </row>
    <row r="931" spans="1:4" ht="12.5">
      <c r="A931" s="1" t="str">
        <f ca="1">IFERROR(__xludf.DUMMYFUNCTION("""COMPUTED_VALUE"""),"20210614NCRJW")</f>
        <v>20210614NCRJW</v>
      </c>
      <c r="B931" s="1" t="str">
        <f ca="1">IFERROR(__xludf.DUMMYFUNCTION("""COMPUTED_VALUE"""),"Rifle")</f>
        <v>Rifle</v>
      </c>
      <c r="C931" s="1" t="str">
        <f ca="1">IFERROR(__xludf.DUMMYFUNCTION("""COMPUTED_VALUE"""),".223 caliber")</f>
        <v>.223 caliber</v>
      </c>
      <c r="D931" s="1" t="str">
        <f ca="1">IFERROR(__xludf.DUMMYFUNCTION("""COMPUTED_VALUE"""),"AR-15 style rifle")</f>
        <v>AR-15 style rifle</v>
      </c>
    </row>
    <row r="932" spans="1:4" ht="12.5">
      <c r="A932" s="1" t="str">
        <f ca="1">IFERROR(__xludf.DUMMYFUNCTION("""COMPUTED_VALUE"""),"20210613PAWIP")</f>
        <v>20210613PAWIP</v>
      </c>
      <c r="B932" s="1" t="str">
        <f ca="1">IFERROR(__xludf.DUMMYFUNCTION("""COMPUTED_VALUE"""),"Handgun")</f>
        <v>Handgun</v>
      </c>
      <c r="C932" s="1"/>
      <c r="D932" s="1"/>
    </row>
    <row r="933" spans="1:4" ht="12.5">
      <c r="A933" s="1" t="str">
        <f ca="1">IFERROR(__xludf.DUMMYFUNCTION("""COMPUTED_VALUE"""),"20210613PAPAC")</f>
        <v>20210613PAPAC</v>
      </c>
      <c r="B933" s="1"/>
      <c r="C933" s="1"/>
      <c r="D933" s="1"/>
    </row>
    <row r="934" spans="1:4" ht="12.5">
      <c r="A934" s="1" t="str">
        <f ca="1">IFERROR(__xludf.DUMMYFUNCTION("""COMPUTED_VALUE"""),"20210612MOMCF")</f>
        <v>20210612MOMCF</v>
      </c>
      <c r="B934" s="1" t="str">
        <f ca="1">IFERROR(__xludf.DUMMYFUNCTION("""COMPUTED_VALUE"""),"Handgun")</f>
        <v>Handgun</v>
      </c>
      <c r="C934" s="1"/>
      <c r="D934" s="1"/>
    </row>
    <row r="935" spans="1:4" ht="12.5">
      <c r="A935" s="1" t="str">
        <f ca="1">IFERROR(__xludf.DUMMYFUNCTION("""COMPUTED_VALUE"""),"20210610CTHOW")</f>
        <v>20210610CTHOW</v>
      </c>
      <c r="B935" s="1" t="str">
        <f ca="1">IFERROR(__xludf.DUMMYFUNCTION("""COMPUTED_VALUE"""),"Multiple Handguns")</f>
        <v>Multiple Handguns</v>
      </c>
      <c r="C935" s="1" t="str">
        <f ca="1">IFERROR(__xludf.DUMMYFUNCTION("""COMPUTED_VALUE"""),".40 caliber")</f>
        <v>.40 caliber</v>
      </c>
      <c r="D935" s="1" t="str">
        <f ca="1">IFERROR(__xludf.DUMMYFUNCTION("""COMPUTED_VALUE"""),"Glock 23 with illegal high capacity magazine")</f>
        <v>Glock 23 with illegal high capacity magazine</v>
      </c>
    </row>
    <row r="936" spans="1:4" ht="12.5">
      <c r="A936" s="1" t="str">
        <f ca="1">IFERROR(__xludf.DUMMYFUNCTION("""COMPUTED_VALUE"""),"20210609VAWIR")</f>
        <v>20210609VAWIR</v>
      </c>
      <c r="B936" s="1" t="str">
        <f ca="1">IFERROR(__xludf.DUMMYFUNCTION("""COMPUTED_VALUE"""),"Handgun")</f>
        <v>Handgun</v>
      </c>
      <c r="C936" s="1"/>
      <c r="D936" s="1"/>
    </row>
    <row r="937" spans="1:4" ht="12.5">
      <c r="A937" s="1" t="str">
        <f ca="1">IFERROR(__xludf.DUMMYFUNCTION("""COMPUTED_VALUE"""),"20210609TXNOH")</f>
        <v>20210609TXNOH</v>
      </c>
      <c r="B937" s="1" t="str">
        <f ca="1">IFERROR(__xludf.DUMMYFUNCTION("""COMPUTED_VALUE"""),"Handgun")</f>
        <v>Handgun</v>
      </c>
      <c r="C937" s="1"/>
      <c r="D937" s="1"/>
    </row>
    <row r="938" spans="1:4" ht="12.5">
      <c r="A938" s="1" t="str">
        <f ca="1">IFERROR(__xludf.DUMMYFUNCTION("""COMPUTED_VALUE"""),"20210608PAMUS")</f>
        <v>20210608PAMUS</v>
      </c>
      <c r="B938" s="1" t="str">
        <f ca="1">IFERROR(__xludf.DUMMYFUNCTION("""COMPUTED_VALUE"""),"Handgun")</f>
        <v>Handgun</v>
      </c>
      <c r="C938" s="1"/>
      <c r="D938" s="1"/>
    </row>
    <row r="939" spans="1:4" ht="12.5">
      <c r="A939" s="1" t="str">
        <f ca="1">IFERROR(__xludf.DUMMYFUNCTION("""COMPUTED_VALUE"""),"20210608KSHAK")</f>
        <v>20210608KSHAK</v>
      </c>
      <c r="B939" s="1"/>
      <c r="C939" s="1"/>
      <c r="D939" s="1"/>
    </row>
    <row r="940" spans="1:4" ht="12.5">
      <c r="A940" s="1" t="str">
        <f ca="1">IFERROR(__xludf.DUMMYFUNCTION("""COMPUTED_VALUE"""),"20210607TXEAF")</f>
        <v>20210607TXEAF</v>
      </c>
      <c r="B940" s="1" t="str">
        <f ca="1">IFERROR(__xludf.DUMMYFUNCTION("""COMPUTED_VALUE"""),"Handgun")</f>
        <v>Handgun</v>
      </c>
      <c r="C940" s="1"/>
      <c r="D940" s="1"/>
    </row>
    <row r="941" spans="1:4" ht="12.5">
      <c r="A941" s="1" t="str">
        <f ca="1">IFERROR(__xludf.DUMMYFUNCTION("""COMPUTED_VALUE"""),"20210606VADRA")</f>
        <v>20210606VADRA</v>
      </c>
      <c r="B941" s="1" t="str">
        <f ca="1">IFERROR(__xludf.DUMMYFUNCTION("""COMPUTED_VALUE"""),"Multiple Handguns")</f>
        <v>Multiple Handguns</v>
      </c>
      <c r="C941" s="1"/>
      <c r="D941" s="1"/>
    </row>
    <row r="942" spans="1:4" ht="12.5">
      <c r="A942" s="1" t="str">
        <f ca="1">IFERROR(__xludf.DUMMYFUNCTION("""COMPUTED_VALUE"""),"20210601ILLIC")</f>
        <v>20210601ILLIC</v>
      </c>
      <c r="B942" s="1" t="str">
        <f ca="1">IFERROR(__xludf.DUMMYFUNCTION("""COMPUTED_VALUE"""),"Handgun")</f>
        <v>Handgun</v>
      </c>
      <c r="C942" s="1"/>
      <c r="D942" s="1"/>
    </row>
    <row r="943" spans="1:4" ht="12.5">
      <c r="A943" s="1" t="str">
        <f ca="1">IFERROR(__xludf.DUMMYFUNCTION("""COMPUTED_VALUE"""),"20210525NJPAP")</f>
        <v>20210525NJPAP</v>
      </c>
      <c r="B943" s="1" t="str">
        <f ca="1">IFERROR(__xludf.DUMMYFUNCTION("""COMPUTED_VALUE"""),"Rifle")</f>
        <v>Rifle</v>
      </c>
      <c r="C943" s="1"/>
      <c r="D943" s="1" t="str">
        <f ca="1">IFERROR(__xludf.DUMMYFUNCTION("""COMPUTED_VALUE"""),"High-powered rifle with pistol grip, scope, extended magazine, and other modifications.")</f>
        <v>High-powered rifle with pistol grip, scope, extended magazine, and other modifications.</v>
      </c>
    </row>
    <row r="944" spans="1:4" ht="12.5">
      <c r="A944" s="1" t="str">
        <f ca="1">IFERROR(__xludf.DUMMYFUNCTION("""COMPUTED_VALUE"""),"20210517TXBRE")</f>
        <v>20210517TXBRE</v>
      </c>
      <c r="B944" s="1" t="str">
        <f ca="1">IFERROR(__xludf.DUMMYFUNCTION("""COMPUTED_VALUE"""),"Other")</f>
        <v>Other</v>
      </c>
      <c r="C944" s="1" t="str">
        <f ca="1">IFERROR(__xludf.DUMMYFUNCTION("""COMPUTED_VALUE"""),"BB")</f>
        <v>BB</v>
      </c>
      <c r="D944" s="1"/>
    </row>
    <row r="945" spans="1:4" ht="12.5">
      <c r="A945" s="1" t="str">
        <f ca="1">IFERROR(__xludf.DUMMYFUNCTION("""COMPUTED_VALUE"""),"20210517TNAUM")</f>
        <v>20210517TNAUM</v>
      </c>
      <c r="B945" s="1" t="str">
        <f ca="1">IFERROR(__xludf.DUMMYFUNCTION("""COMPUTED_VALUE"""),"Handgun")</f>
        <v>Handgun</v>
      </c>
      <c r="C945" s="1"/>
      <c r="D945" s="1"/>
    </row>
    <row r="946" spans="1:4" ht="12.5">
      <c r="A946" s="1" t="str">
        <f ca="1">IFERROR(__xludf.DUMMYFUNCTION("""COMPUTED_VALUE"""),"20210517MDLOC")</f>
        <v>20210517MDLOC</v>
      </c>
      <c r="B946" s="1" t="str">
        <f ca="1">IFERROR(__xludf.DUMMYFUNCTION("""COMPUTED_VALUE"""),"Multiple Handguns")</f>
        <v>Multiple Handguns</v>
      </c>
      <c r="C946" s="1"/>
      <c r="D946" s="1" t="str">
        <f ca="1">IFERROR(__xludf.DUMMYFUNCTION("""COMPUTED_VALUE"""),"One handgun was ""ghost gun""")</f>
        <v>One handgun was "ghost gun"</v>
      </c>
    </row>
    <row r="947" spans="1:4" ht="12.5">
      <c r="A947" s="1" t="str">
        <f ca="1">IFERROR(__xludf.DUMMYFUNCTION("""COMPUTED_VALUE"""),"20210514CASAS")</f>
        <v>20210514CASAS</v>
      </c>
      <c r="B947" s="1" t="str">
        <f ca="1">IFERROR(__xludf.DUMMYFUNCTION("""COMPUTED_VALUE"""),"Handgun")</f>
        <v>Handgun</v>
      </c>
      <c r="C947" s="1"/>
      <c r="D947" s="1"/>
    </row>
    <row r="948" spans="1:4" ht="12.5">
      <c r="A948" s="1" t="str">
        <f ca="1">IFERROR(__xludf.DUMMYFUNCTION("""COMPUTED_VALUE"""),"20210511NYPSB")</f>
        <v>20210511NYPSB</v>
      </c>
      <c r="B948" s="1" t="str">
        <f ca="1">IFERROR(__xludf.DUMMYFUNCTION("""COMPUTED_VALUE"""),"Handgun")</f>
        <v>Handgun</v>
      </c>
      <c r="C948" s="1"/>
      <c r="D948" s="1"/>
    </row>
    <row r="949" spans="1:4" ht="12.5">
      <c r="A949" s="1" t="str">
        <f ca="1">IFERROR(__xludf.DUMMYFUNCTION("""COMPUTED_VALUE"""),"20210511CAVEL")</f>
        <v>20210511CAVEL</v>
      </c>
      <c r="B949" s="1" t="str">
        <f ca="1">IFERROR(__xludf.DUMMYFUNCTION("""COMPUTED_VALUE"""),"Other")</f>
        <v>Other</v>
      </c>
      <c r="C949" s="1" t="str">
        <f ca="1">IFERROR(__xludf.DUMMYFUNCTION("""COMPUTED_VALUE"""),"Pellet")</f>
        <v>Pellet</v>
      </c>
      <c r="D949" s="1"/>
    </row>
    <row r="950" spans="1:4" ht="12.5">
      <c r="A950" s="1" t="str">
        <f ca="1">IFERROR(__xludf.DUMMYFUNCTION("""COMPUTED_VALUE"""),"20210506SCFOC")</f>
        <v>20210506SCFOC</v>
      </c>
      <c r="B950" s="1" t="str">
        <f ca="1">IFERROR(__xludf.DUMMYFUNCTION("""COMPUTED_VALUE"""),"Rifle")</f>
        <v>Rifle</v>
      </c>
      <c r="C950" s="1"/>
      <c r="D950" s="1" t="str">
        <f ca="1">IFERROR(__xludf.DUMMYFUNCTION("""COMPUTED_VALUE"""),"Military rifle taken from Army Fort")</f>
        <v>Military rifle taken from Army Fort</v>
      </c>
    </row>
    <row r="951" spans="1:4" ht="12.5">
      <c r="A951" s="1" t="str">
        <f ca="1">IFERROR(__xludf.DUMMYFUNCTION("""COMPUTED_VALUE"""),"20210506IDRIR")</f>
        <v>20210506IDRIR</v>
      </c>
      <c r="B951" s="1" t="str">
        <f ca="1">IFERROR(__xludf.DUMMYFUNCTION("""COMPUTED_VALUE"""),"Handgun")</f>
        <v>Handgun</v>
      </c>
      <c r="C951" s="1"/>
      <c r="D951" s="1"/>
    </row>
    <row r="952" spans="1:4" ht="12.5">
      <c r="A952" s="1" t="str">
        <f ca="1">IFERROR(__xludf.DUMMYFUNCTION("""COMPUTED_VALUE"""),"20210505SCWAW")</f>
        <v>20210505SCWAW</v>
      </c>
      <c r="B952" s="1" t="str">
        <f ca="1">IFERROR(__xludf.DUMMYFUNCTION("""COMPUTED_VALUE"""),"Handgun")</f>
        <v>Handgun</v>
      </c>
      <c r="C952" s="1"/>
      <c r="D952" s="1"/>
    </row>
    <row r="953" spans="1:4" ht="12.5">
      <c r="A953" s="1" t="str">
        <f ca="1">IFERROR(__xludf.DUMMYFUNCTION("""COMPUTED_VALUE"""),"20210505MICRC")</f>
        <v>20210505MICRC</v>
      </c>
      <c r="B953" s="1" t="str">
        <f ca="1">IFERROR(__xludf.DUMMYFUNCTION("""COMPUTED_VALUE"""),"Handgun")</f>
        <v>Handgun</v>
      </c>
      <c r="C953" s="1"/>
      <c r="D953" s="1"/>
    </row>
    <row r="954" spans="1:4" ht="12.5">
      <c r="A954" s="1" t="str">
        <f ca="1">IFERROR(__xludf.DUMMYFUNCTION("""COMPUTED_VALUE"""),"20210502ILCHC")</f>
        <v>20210502ILCHC</v>
      </c>
      <c r="B954" s="1" t="str">
        <f ca="1">IFERROR(__xludf.DUMMYFUNCTION("""COMPUTED_VALUE"""),"Multiple Handguns")</f>
        <v>Multiple Handguns</v>
      </c>
      <c r="C954" s="1"/>
      <c r="D954" s="1"/>
    </row>
    <row r="955" spans="1:4" ht="12.5">
      <c r="A955" s="1" t="str">
        <f ca="1">IFERROR(__xludf.DUMMYFUNCTION("""COMPUTED_VALUE"""),"20210501MNBES")</f>
        <v>20210501MNBES</v>
      </c>
      <c r="B955" s="1" t="str">
        <f ca="1">IFERROR(__xludf.DUMMYFUNCTION("""COMPUTED_VALUE"""),"Multiple Handguns")</f>
        <v>Multiple Handguns</v>
      </c>
      <c r="C955" s="1"/>
      <c r="D955" s="1"/>
    </row>
    <row r="956" spans="1:4" ht="12.5">
      <c r="A956" s="1" t="str">
        <f ca="1">IFERROR(__xludf.DUMMYFUNCTION("""COMPUTED_VALUE"""),"20210430INMAI")</f>
        <v>20210430INMAI</v>
      </c>
      <c r="B956" s="1" t="str">
        <f ca="1">IFERROR(__xludf.DUMMYFUNCTION("""COMPUTED_VALUE"""),"Handgun")</f>
        <v>Handgun</v>
      </c>
      <c r="C956" s="1"/>
      <c r="D956" s="1"/>
    </row>
    <row r="957" spans="1:4" ht="12.5">
      <c r="A957" s="1" t="str">
        <f ca="1">IFERROR(__xludf.DUMMYFUNCTION("""COMPUTED_VALUE"""),"20210429NYURB")</f>
        <v>20210429NYURB</v>
      </c>
      <c r="B957" s="1" t="str">
        <f ca="1">IFERROR(__xludf.DUMMYFUNCTION("""COMPUTED_VALUE"""),"Multiple Handguns")</f>
        <v>Multiple Handguns</v>
      </c>
      <c r="C957" s="1"/>
      <c r="D957" s="1"/>
    </row>
    <row r="958" spans="1:4" ht="12.5">
      <c r="A958" s="1" t="str">
        <f ca="1">IFERROR(__xludf.DUMMYFUNCTION("""COMPUTED_VALUE"""),"20210429CAVIV")</f>
        <v>20210429CAVIV</v>
      </c>
      <c r="B958" s="1" t="str">
        <f ca="1">IFERROR(__xludf.DUMMYFUNCTION("""COMPUTED_VALUE"""),"Handgun")</f>
        <v>Handgun</v>
      </c>
      <c r="C958" s="1"/>
      <c r="D958" s="1"/>
    </row>
    <row r="959" spans="1:4" ht="12.5">
      <c r="A959" s="1" t="str">
        <f ca="1">IFERROR(__xludf.DUMMYFUNCTION("""COMPUTED_VALUE"""),"20210427TNLAM")</f>
        <v>20210427TNLAM</v>
      </c>
      <c r="B959" s="1" t="str">
        <f ca="1">IFERROR(__xludf.DUMMYFUNCTION("""COMPUTED_VALUE"""),"Handgun")</f>
        <v>Handgun</v>
      </c>
      <c r="C959" s="1"/>
      <c r="D959" s="1"/>
    </row>
    <row r="960" spans="1:4" ht="12.5">
      <c r="A960" s="1" t="str">
        <f ca="1">IFERROR(__xludf.DUMMYFUNCTION("""COMPUTED_VALUE"""),"20210427DESMS")</f>
        <v>20210427DESMS</v>
      </c>
      <c r="B960" s="1" t="str">
        <f ca="1">IFERROR(__xludf.DUMMYFUNCTION("""COMPUTED_VALUE"""),"Handgun")</f>
        <v>Handgun</v>
      </c>
      <c r="C960" s="1"/>
      <c r="D960" s="1"/>
    </row>
    <row r="961" spans="1:4" ht="12.5">
      <c r="A961" s="1" t="str">
        <f ca="1">IFERROR(__xludf.DUMMYFUNCTION("""COMPUTED_VALUE"""),"20210426MNPLP")</f>
        <v>20210426MNPLP</v>
      </c>
      <c r="B961" s="1" t="str">
        <f ca="1">IFERROR(__xludf.DUMMYFUNCTION("""COMPUTED_VALUE"""),"Handgun")</f>
        <v>Handgun</v>
      </c>
      <c r="C961" s="1"/>
      <c r="D961" s="1"/>
    </row>
    <row r="962" spans="1:4" ht="12.5">
      <c r="A962" s="1" t="str">
        <f ca="1">IFERROR(__xludf.DUMMYFUNCTION("""COMPUTED_VALUE"""),"20210420TXHAH")</f>
        <v>20210420TXHAH</v>
      </c>
      <c r="B962" s="1" t="str">
        <f ca="1">IFERROR(__xludf.DUMMYFUNCTION("""COMPUTED_VALUE"""),"Handgun")</f>
        <v>Handgun</v>
      </c>
      <c r="C962" s="1"/>
      <c r="D962" s="1"/>
    </row>
    <row r="963" spans="1:4" ht="12.5">
      <c r="A963" s="1" t="str">
        <f ca="1">IFERROR(__xludf.DUMMYFUNCTION("""COMPUTED_VALUE"""),"20210418OHWED")</f>
        <v>20210418OHWED</v>
      </c>
      <c r="B963" s="1" t="str">
        <f ca="1">IFERROR(__xludf.DUMMYFUNCTION("""COMPUTED_VALUE"""),"Handgun")</f>
        <v>Handgun</v>
      </c>
      <c r="C963" s="1"/>
      <c r="D963" s="1"/>
    </row>
    <row r="964" spans="1:4" ht="12.5">
      <c r="A964" s="1" t="str">
        <f ca="1">IFERROR(__xludf.DUMMYFUNCTION("""COMPUTED_VALUE"""),"20210413TNMAC")</f>
        <v>20210413TNMAC</v>
      </c>
      <c r="B964" s="1" t="str">
        <f ca="1">IFERROR(__xludf.DUMMYFUNCTION("""COMPUTED_VALUE"""),"Handgun")</f>
        <v>Handgun</v>
      </c>
      <c r="C964" s="1"/>
      <c r="D964" s="1"/>
    </row>
    <row r="965" spans="1:4" ht="12.5">
      <c r="A965" s="1" t="str">
        <f ca="1">IFERROR(__xludf.DUMMYFUNCTION("""COMPUTED_VALUE"""),"20210412TNAUK")</f>
        <v>20210412TNAUK</v>
      </c>
      <c r="B965" s="1"/>
      <c r="C965" s="1"/>
      <c r="D965" s="1"/>
    </row>
    <row r="966" spans="1:4" ht="12.5">
      <c r="A966" s="1" t="str">
        <f ca="1">IFERROR(__xludf.DUMMYFUNCTION("""COMPUTED_VALUE"""),"20210412CASAS")</f>
        <v>20210412CASAS</v>
      </c>
      <c r="B966" s="1" t="str">
        <f ca="1">IFERROR(__xludf.DUMMYFUNCTION("""COMPUTED_VALUE"""),"Rifle")</f>
        <v>Rifle</v>
      </c>
      <c r="C966" s="1"/>
      <c r="D966" s="1"/>
    </row>
    <row r="967" spans="1:4" ht="12.5">
      <c r="A967" s="1" t="str">
        <f ca="1">IFERROR(__xludf.DUMMYFUNCTION("""COMPUTED_VALUE"""),"20210412CASAS")</f>
        <v>20210412CASAS</v>
      </c>
      <c r="B967" s="1" t="str">
        <f ca="1">IFERROR(__xludf.DUMMYFUNCTION("""COMPUTED_VALUE"""),"Handgun")</f>
        <v>Handgun</v>
      </c>
      <c r="C967" s="1"/>
      <c r="D967" s="1"/>
    </row>
    <row r="968" spans="1:4" ht="12.5">
      <c r="A968" s="1" t="str">
        <f ca="1">IFERROR(__xludf.DUMMYFUNCTION("""COMPUTED_VALUE"""),"20210411INBIH")</f>
        <v>20210411INBIH</v>
      </c>
      <c r="B968" s="1" t="str">
        <f ca="1">IFERROR(__xludf.DUMMYFUNCTION("""COMPUTED_VALUE"""),"Handgun")</f>
        <v>Handgun</v>
      </c>
      <c r="C968" s="1" t="str">
        <f ca="1">IFERROR(__xludf.DUMMYFUNCTION("""COMPUTED_VALUE"""),"9mm")</f>
        <v>9mm</v>
      </c>
      <c r="D968" s="1"/>
    </row>
    <row r="969" spans="1:4" ht="12.5">
      <c r="A969" s="1" t="str">
        <f ca="1">IFERROR(__xludf.DUMMYFUNCTION("""COMPUTED_VALUE"""),"20210407ILPEP")</f>
        <v>20210407ILPEP</v>
      </c>
      <c r="B969" s="1" t="str">
        <f ca="1">IFERROR(__xludf.DUMMYFUNCTION("""COMPUTED_VALUE"""),"Handgun")</f>
        <v>Handgun</v>
      </c>
      <c r="C969" s="1"/>
      <c r="D969" s="1" t="str">
        <f ca="1">IFERROR(__xludf.DUMMYFUNCTION("""COMPUTED_VALUE"""),"Not loaded")</f>
        <v>Not loaded</v>
      </c>
    </row>
    <row r="970" spans="1:4" ht="12.5">
      <c r="A970" s="1" t="str">
        <f ca="1">IFERROR(__xludf.DUMMYFUNCTION("""COMPUTED_VALUE"""),"20210406ILBAC")</f>
        <v>20210406ILBAC</v>
      </c>
      <c r="B970" s="1" t="str">
        <f ca="1">IFERROR(__xludf.DUMMYFUNCTION("""COMPUTED_VALUE"""),"Other")</f>
        <v>Other</v>
      </c>
      <c r="C970" s="1" t="str">
        <f ca="1">IFERROR(__xludf.DUMMYFUNCTION("""COMPUTED_VALUE"""),"BB")</f>
        <v>BB</v>
      </c>
      <c r="D970" s="1" t="str">
        <f ca="1">IFERROR(__xludf.DUMMYFUNCTION("""COMPUTED_VALUE"""),"Assault rifle replica")</f>
        <v>Assault rifle replica</v>
      </c>
    </row>
    <row r="971" spans="1:4" ht="12.5">
      <c r="A971" s="1" t="str">
        <f ca="1">IFERROR(__xludf.DUMMYFUNCTION("""COMPUTED_VALUE"""),"20210401OKCLC")</f>
        <v>20210401OKCLC</v>
      </c>
      <c r="B971" s="1" t="str">
        <f ca="1">IFERROR(__xludf.DUMMYFUNCTION("""COMPUTED_VALUE"""),"Other")</f>
        <v>Other</v>
      </c>
      <c r="C971" s="1" t="str">
        <f ca="1">IFERROR(__xludf.DUMMYFUNCTION("""COMPUTED_VALUE"""),"BB")</f>
        <v>BB</v>
      </c>
      <c r="D971" s="1"/>
    </row>
    <row r="972" spans="1:4" ht="12.5">
      <c r="A972" s="1" t="str">
        <f ca="1">IFERROR(__xludf.DUMMYFUNCTION("""COMPUTED_VALUE"""),"20210401ALSES")</f>
        <v>20210401ALSES</v>
      </c>
      <c r="B972" s="1" t="str">
        <f ca="1">IFERROR(__xludf.DUMMYFUNCTION("""COMPUTED_VALUE"""),"Handgun")</f>
        <v>Handgun</v>
      </c>
      <c r="C972" s="1"/>
      <c r="D972" s="1"/>
    </row>
    <row r="973" spans="1:4" ht="12.5">
      <c r="A973" s="1" t="str">
        <f ca="1">IFERROR(__xludf.DUMMYFUNCTION("""COMPUTED_VALUE"""),"20210327MAPEC")</f>
        <v>20210327MAPEC</v>
      </c>
      <c r="B973" s="1"/>
      <c r="C973" s="1"/>
      <c r="D973" s="1"/>
    </row>
    <row r="974" spans="1:4" ht="12.5">
      <c r="A974" s="1" t="str">
        <f ca="1">IFERROR(__xludf.DUMMYFUNCTION("""COMPUTED_VALUE"""),"20210326MOCAS")</f>
        <v>20210326MOCAS</v>
      </c>
      <c r="B974" s="1" t="str">
        <f ca="1">IFERROR(__xludf.DUMMYFUNCTION("""COMPUTED_VALUE"""),"Handgun")</f>
        <v>Handgun</v>
      </c>
      <c r="C974" s="1"/>
      <c r="D974" s="1"/>
    </row>
    <row r="975" spans="1:4" ht="12.5">
      <c r="A975" s="1" t="str">
        <f ca="1">IFERROR(__xludf.DUMMYFUNCTION("""COMPUTED_VALUE"""),"20210324ORFOS")</f>
        <v>20210324ORFOS</v>
      </c>
      <c r="B975" s="1" t="str">
        <f ca="1">IFERROR(__xludf.DUMMYFUNCTION("""COMPUTED_VALUE"""),"Handgun")</f>
        <v>Handgun</v>
      </c>
      <c r="C975" s="1"/>
      <c r="D975" s="1"/>
    </row>
    <row r="976" spans="1:4" ht="12.5">
      <c r="A976" s="1" t="str">
        <f ca="1">IFERROR(__xludf.DUMMYFUNCTION("""COMPUTED_VALUE"""),"20210319WVSPM")</f>
        <v>20210319WVSPM</v>
      </c>
      <c r="B976" s="1" t="str">
        <f ca="1">IFERROR(__xludf.DUMMYFUNCTION("""COMPUTED_VALUE"""),"Other")</f>
        <v>Other</v>
      </c>
      <c r="C976" s="1" t="str">
        <f ca="1">IFERROR(__xludf.DUMMYFUNCTION("""COMPUTED_VALUE"""),"BB")</f>
        <v>BB</v>
      </c>
      <c r="D976" s="1"/>
    </row>
    <row r="977" spans="1:4" ht="12.5">
      <c r="A977" s="1" t="str">
        <f ca="1">IFERROR(__xludf.DUMMYFUNCTION("""COMPUTED_VALUE"""),"20210318KYGRL")</f>
        <v>20210318KYGRL</v>
      </c>
      <c r="B977" s="1" t="str">
        <f ca="1">IFERROR(__xludf.DUMMYFUNCTION("""COMPUTED_VALUE"""),"Handgun")</f>
        <v>Handgun</v>
      </c>
      <c r="C977" s="1"/>
      <c r="D977" s="1"/>
    </row>
    <row r="978" spans="1:4" ht="12.5">
      <c r="A978" s="1" t="str">
        <f ca="1">IFERROR(__xludf.DUMMYFUNCTION("""COMPUTED_VALUE"""),"20210315INMEM")</f>
        <v>20210315INMEM</v>
      </c>
      <c r="B978" s="1" t="str">
        <f ca="1">IFERROR(__xludf.DUMMYFUNCTION("""COMPUTED_VALUE"""),"Multiple Handguns")</f>
        <v>Multiple Handguns</v>
      </c>
      <c r="C978" s="1"/>
      <c r="D978" s="1"/>
    </row>
    <row r="979" spans="1:4" ht="12.5">
      <c r="A979" s="1" t="str">
        <f ca="1">IFERROR(__xludf.DUMMYFUNCTION("""COMPUTED_VALUE"""),"20210313TXLEA")</f>
        <v>20210313TXLEA</v>
      </c>
      <c r="B979" s="1" t="str">
        <f ca="1">IFERROR(__xludf.DUMMYFUNCTION("""COMPUTED_VALUE"""),"Handgun")</f>
        <v>Handgun</v>
      </c>
      <c r="C979" s="1"/>
      <c r="D979" s="1"/>
    </row>
    <row r="980" spans="1:4" ht="12.5">
      <c r="A980" s="1" t="str">
        <f ca="1">IFERROR(__xludf.DUMMYFUNCTION("""COMPUTED_VALUE"""),"20210311OHCIC")</f>
        <v>20210311OHCIC</v>
      </c>
      <c r="B980" s="1"/>
      <c r="C980" s="1"/>
      <c r="D980" s="1"/>
    </row>
    <row r="981" spans="1:4" ht="12.5">
      <c r="A981" s="1" t="str">
        <f ca="1">IFERROR(__xludf.DUMMYFUNCTION("""COMPUTED_VALUE"""),"20210309TNSAK")</f>
        <v>20210309TNSAK</v>
      </c>
      <c r="B981" s="1" t="str">
        <f ca="1">IFERROR(__xludf.DUMMYFUNCTION("""COMPUTED_VALUE"""),"Handgun")</f>
        <v>Handgun</v>
      </c>
      <c r="C981" s="1"/>
      <c r="D981" s="1"/>
    </row>
    <row r="982" spans="1:4" ht="12.5">
      <c r="A982" s="1" t="str">
        <f ca="1">IFERROR(__xludf.DUMMYFUNCTION("""COMPUTED_VALUE"""),"20210309OHBIC")</f>
        <v>20210309OHBIC</v>
      </c>
      <c r="B982" s="1"/>
      <c r="C982" s="1"/>
      <c r="D982" s="1"/>
    </row>
    <row r="983" spans="1:4" ht="12.5">
      <c r="A983" s="1" t="str">
        <f ca="1">IFERROR(__xludf.DUMMYFUNCTION("""COMPUTED_VALUE"""),"20210308SCEDC")</f>
        <v>20210308SCEDC</v>
      </c>
      <c r="B983" s="1" t="str">
        <f ca="1">IFERROR(__xludf.DUMMYFUNCTION("""COMPUTED_VALUE"""),"Handgun")</f>
        <v>Handgun</v>
      </c>
      <c r="C983" s="1"/>
      <c r="D983" s="1"/>
    </row>
    <row r="984" spans="1:4" ht="12.5">
      <c r="A984" s="1" t="str">
        <f ca="1">IFERROR(__xludf.DUMMYFUNCTION("""COMPUTED_VALUE"""),"20210301ARWAP")</f>
        <v>20210301ARWAP</v>
      </c>
      <c r="B984" s="1" t="str">
        <f ca="1">IFERROR(__xludf.DUMMYFUNCTION("""COMPUTED_VALUE"""),"Handgun")</f>
        <v>Handgun</v>
      </c>
      <c r="C984" s="1" t="str">
        <f ca="1">IFERROR(__xludf.DUMMYFUNCTION("""COMPUTED_VALUE"""),".38 caliber")</f>
        <v>.38 caliber</v>
      </c>
      <c r="D984" s="1"/>
    </row>
    <row r="985" spans="1:4" ht="12.5">
      <c r="A985" s="1" t="str">
        <f ca="1">IFERROR(__xludf.DUMMYFUNCTION("""COMPUTED_VALUE"""),"20210226LAGEN")</f>
        <v>20210226LAGEN</v>
      </c>
      <c r="B985" s="1" t="str">
        <f ca="1">IFERROR(__xludf.DUMMYFUNCTION("""COMPUTED_VALUE"""),"Handgun")</f>
        <v>Handgun</v>
      </c>
      <c r="C985" s="1"/>
      <c r="D985" s="1"/>
    </row>
    <row r="986" spans="1:4" ht="12.5">
      <c r="A986" s="1" t="str">
        <f ca="1">IFERROR(__xludf.DUMMYFUNCTION("""COMPUTED_VALUE"""),"20210224WAGAY")</f>
        <v>20210224WAGAY</v>
      </c>
      <c r="B986" s="1" t="str">
        <f ca="1">IFERROR(__xludf.DUMMYFUNCTION("""COMPUTED_VALUE"""),"Handgun")</f>
        <v>Handgun</v>
      </c>
      <c r="C986" s="1"/>
      <c r="D986" s="1"/>
    </row>
    <row r="987" spans="1:4" ht="12.5">
      <c r="A987" s="1" t="str">
        <f ca="1">IFERROR(__xludf.DUMMYFUNCTION("""COMPUTED_VALUE"""),"20210222CAHOV")</f>
        <v>20210222CAHOV</v>
      </c>
      <c r="B987" s="1"/>
      <c r="C987" s="1"/>
      <c r="D987" s="1"/>
    </row>
    <row r="988" spans="1:4" ht="12.5">
      <c r="A988" s="1" t="str">
        <f ca="1">IFERROR(__xludf.DUMMYFUNCTION("""COMPUTED_VALUE"""),"20210219ILLIR")</f>
        <v>20210219ILLIR</v>
      </c>
      <c r="B988" s="1"/>
      <c r="C988" s="1"/>
      <c r="D988" s="1"/>
    </row>
    <row r="989" spans="1:4" ht="12.5">
      <c r="A989" s="1" t="str">
        <f ca="1">IFERROR(__xludf.DUMMYFUNCTION("""COMPUTED_VALUE"""),"20210217TNKNK")</f>
        <v>20210217TNKNK</v>
      </c>
      <c r="B989" s="1"/>
      <c r="C989" s="1"/>
      <c r="D989" s="1"/>
    </row>
    <row r="990" spans="1:4" ht="12.5">
      <c r="A990" s="1" t="str">
        <f ca="1">IFERROR(__xludf.DUMMYFUNCTION("""COMPUTED_VALUE"""),"20210216NCTHS")</f>
        <v>20210216NCTHS</v>
      </c>
      <c r="B990" s="1" t="str">
        <f ca="1">IFERROR(__xludf.DUMMYFUNCTION("""COMPUTED_VALUE"""),"Other")</f>
        <v>Other</v>
      </c>
      <c r="C990" s="1" t="str">
        <f ca="1">IFERROR(__xludf.DUMMYFUNCTION("""COMPUTED_VALUE"""),"Pellet")</f>
        <v>Pellet</v>
      </c>
      <c r="D990" s="1"/>
    </row>
    <row r="991" spans="1:4" ht="12.5">
      <c r="A991" s="1" t="str">
        <f ca="1">IFERROR(__xludf.DUMMYFUNCTION("""COMPUTED_VALUE"""),"20210214MNROM")</f>
        <v>20210214MNROM</v>
      </c>
      <c r="B991" s="1"/>
      <c r="C991" s="1"/>
      <c r="D991" s="1"/>
    </row>
    <row r="992" spans="1:4" ht="12.5">
      <c r="A992" s="1" t="str">
        <f ca="1">IFERROR(__xludf.DUMMYFUNCTION("""COMPUTED_VALUE"""),"20210210TXFOF")</f>
        <v>20210210TXFOF</v>
      </c>
      <c r="B992" s="1"/>
      <c r="C992" s="1"/>
      <c r="D992" s="1"/>
    </row>
    <row r="993" spans="1:4" ht="12.5">
      <c r="A993" s="1" t="str">
        <f ca="1">IFERROR(__xludf.DUMMYFUNCTION("""COMPUTED_VALUE"""),"20210210NJSCP")</f>
        <v>20210210NJSCP</v>
      </c>
      <c r="B993" s="1"/>
      <c r="C993" s="1"/>
      <c r="D993" s="1"/>
    </row>
    <row r="994" spans="1:4" ht="12.5">
      <c r="A994" s="1" t="str">
        <f ca="1">IFERROR(__xludf.DUMMYFUNCTION("""COMPUTED_VALUE"""),"20210210LASTS")</f>
        <v>20210210LASTS</v>
      </c>
      <c r="B994" s="1"/>
      <c r="C994" s="1"/>
      <c r="D994" s="1"/>
    </row>
    <row r="995" spans="1:4" ht="12.5">
      <c r="A995" s="1" t="str">
        <f ca="1">IFERROR(__xludf.DUMMYFUNCTION("""COMPUTED_VALUE"""),"20210208MISCG")</f>
        <v>20210208MISCG</v>
      </c>
      <c r="B995" s="1"/>
      <c r="C995" s="1"/>
      <c r="D995" s="1"/>
    </row>
    <row r="996" spans="1:4" ht="12.5">
      <c r="A996" s="1" t="str">
        <f ca="1">IFERROR(__xludf.DUMMYFUNCTION("""COMPUTED_VALUE"""),"20210205MDBEM")</f>
        <v>20210205MDBEM</v>
      </c>
      <c r="B996" s="1"/>
      <c r="C996" s="1"/>
      <c r="D996" s="1"/>
    </row>
    <row r="997" spans="1:4" ht="12.5">
      <c r="A997" s="1" t="str">
        <f ca="1">IFERROR(__xludf.DUMMYFUNCTION("""COMPUTED_VALUE"""),"20210201MIMUD")</f>
        <v>20210201MIMUD</v>
      </c>
      <c r="B997" s="1" t="str">
        <f ca="1">IFERROR(__xludf.DUMMYFUNCTION("""COMPUTED_VALUE"""),"Handgun")</f>
        <v>Handgun</v>
      </c>
      <c r="C997" s="1"/>
      <c r="D997" s="1"/>
    </row>
    <row r="998" spans="1:4" ht="12.5">
      <c r="A998" s="1" t="str">
        <f ca="1">IFERROR(__xludf.DUMMYFUNCTION("""COMPUTED_VALUE"""),"20210127MSHAH")</f>
        <v>20210127MSHAH</v>
      </c>
      <c r="B998" s="1" t="str">
        <f ca="1">IFERROR(__xludf.DUMMYFUNCTION("""COMPUTED_VALUE"""),"Handgun")</f>
        <v>Handgun</v>
      </c>
      <c r="C998" s="1"/>
      <c r="D998" s="1"/>
    </row>
    <row r="999" spans="1:4" ht="12.5">
      <c r="A999" s="1" t="str">
        <f ca="1">IFERROR(__xludf.DUMMYFUNCTION("""COMPUTED_VALUE"""),"20210127FLHOH")</f>
        <v>20210127FLHOH</v>
      </c>
      <c r="B999" s="1" t="str">
        <f ca="1">IFERROR(__xludf.DUMMYFUNCTION("""COMPUTED_VALUE"""),"Other")</f>
        <v>Other</v>
      </c>
      <c r="C999" s="1" t="str">
        <f ca="1">IFERROR(__xludf.DUMMYFUNCTION("""COMPUTED_VALUE"""),"airsoft")</f>
        <v>airsoft</v>
      </c>
      <c r="D999" s="1" t="str">
        <f ca="1">IFERROR(__xludf.DUMMYFUNCTION("""COMPUTED_VALUE"""),"Two replica airsoft handguns")</f>
        <v>Two replica airsoft handguns</v>
      </c>
    </row>
    <row r="1000" spans="1:4" ht="12.5">
      <c r="A1000" s="1" t="str">
        <f ca="1">IFERROR(__xludf.DUMMYFUNCTION("""COMPUTED_VALUE"""),"20210121OKLOG")</f>
        <v>20210121OKLOG</v>
      </c>
      <c r="B1000" s="1" t="str">
        <f ca="1">IFERROR(__xludf.DUMMYFUNCTION("""COMPUTED_VALUE"""),"Handgun")</f>
        <v>Handgun</v>
      </c>
      <c r="C1000" s="1"/>
      <c r="D1000" s="1"/>
    </row>
    <row r="1001" spans="1:4" ht="12.5">
      <c r="A1001" s="1" t="str">
        <f ca="1">IFERROR(__xludf.DUMMYFUNCTION("""COMPUTED_VALUE"""),"20210121OHEAC")</f>
        <v>20210121OHEAC</v>
      </c>
      <c r="B1001" s="1" t="str">
        <f ca="1">IFERROR(__xludf.DUMMYFUNCTION("""COMPUTED_VALUE"""),"Handgun")</f>
        <v>Handgun</v>
      </c>
      <c r="C1001" s="1"/>
      <c r="D1001" s="1"/>
    </row>
    <row r="1002" spans="1:4" ht="12.5">
      <c r="A1002" s="1" t="str">
        <f ca="1">IFERROR(__xludf.DUMMYFUNCTION("""COMPUTED_VALUE"""),"20210114MDHIW")</f>
        <v>20210114MDHIW</v>
      </c>
      <c r="B1002" s="1"/>
      <c r="C1002" s="1"/>
      <c r="D1002" s="1"/>
    </row>
    <row r="1003" spans="1:4" ht="12.5">
      <c r="A1003" s="1" t="str">
        <f ca="1">IFERROR(__xludf.DUMMYFUNCTION("""COMPUTED_VALUE"""),"20210110ILSOS")</f>
        <v>20210110ILSOS</v>
      </c>
      <c r="B1003" s="1"/>
      <c r="C1003" s="1"/>
      <c r="D1003" s="1"/>
    </row>
    <row r="1004" spans="1:4" ht="12.5">
      <c r="A1004" s="1" t="str">
        <f ca="1">IFERROR(__xludf.DUMMYFUNCTION("""COMPUTED_VALUE"""),"20210104NYPEJ")</f>
        <v>20210104NYPEJ</v>
      </c>
      <c r="B1004" s="1" t="str">
        <f ca="1">IFERROR(__xludf.DUMMYFUNCTION("""COMPUTED_VALUE"""),"Handgun")</f>
        <v>Handgun</v>
      </c>
      <c r="C1004" s="1"/>
      <c r="D1004" s="1"/>
    </row>
    <row r="1005" spans="1:4" ht="12.5">
      <c r="A1005" s="1" t="str">
        <f ca="1">IFERROR(__xludf.DUMMYFUNCTION("""COMPUTED_VALUE"""),"20201229WAROS")</f>
        <v>20201229WAROS</v>
      </c>
      <c r="B1005" s="1" t="str">
        <f ca="1">IFERROR(__xludf.DUMMYFUNCTION("""COMPUTED_VALUE"""),"Handgun")</f>
        <v>Handgun</v>
      </c>
      <c r="C1005" s="1"/>
      <c r="D1005" s="1"/>
    </row>
    <row r="1006" spans="1:4" ht="12.5">
      <c r="A1006" s="1" t="str">
        <f ca="1">IFERROR(__xludf.DUMMYFUNCTION("""COMPUTED_VALUE"""),"20201225FLYOP")</f>
        <v>20201225FLYOP</v>
      </c>
      <c r="B1006" s="1" t="str">
        <f ca="1">IFERROR(__xludf.DUMMYFUNCTION("""COMPUTED_VALUE"""),"Handgun")</f>
        <v>Handgun</v>
      </c>
      <c r="C1006" s="1"/>
      <c r="D1006" s="1"/>
    </row>
    <row r="1007" spans="1:4" ht="12.5">
      <c r="A1007" s="1" t="str">
        <f ca="1">IFERROR(__xludf.DUMMYFUNCTION("""COMPUTED_VALUE"""),"20201211VATAY")</f>
        <v>20201211VATAY</v>
      </c>
      <c r="B1007" s="1" t="str">
        <f ca="1">IFERROR(__xludf.DUMMYFUNCTION("""COMPUTED_VALUE"""),"Handgun")</f>
        <v>Handgun</v>
      </c>
      <c r="C1007" s="1"/>
      <c r="D1007" s="1"/>
    </row>
    <row r="1008" spans="1:4" ht="12.5">
      <c r="A1008" s="1" t="str">
        <f ca="1">IFERROR(__xludf.DUMMYFUNCTION("""COMPUTED_VALUE"""),"20201125KSABG")</f>
        <v>20201125KSABG</v>
      </c>
      <c r="B1008" s="1" t="str">
        <f ca="1">IFERROR(__xludf.DUMMYFUNCTION("""COMPUTED_VALUE"""),"Handgun")</f>
        <v>Handgun</v>
      </c>
      <c r="C1008" s="1"/>
      <c r="D1008" s="1"/>
    </row>
    <row r="1009" spans="1:4" ht="12.5">
      <c r="A1009" s="1" t="str">
        <f ca="1">IFERROR(__xludf.DUMMYFUNCTION("""COMPUTED_VALUE"""),"20201124NCHEH")</f>
        <v>20201124NCHEH</v>
      </c>
      <c r="B1009" s="1" t="str">
        <f ca="1">IFERROR(__xludf.DUMMYFUNCTION("""COMPUTED_VALUE"""),"Handgun")</f>
        <v>Handgun</v>
      </c>
      <c r="C1009" s="1"/>
      <c r="D1009" s="1"/>
    </row>
    <row r="1010" spans="1:4" ht="12.5">
      <c r="A1010" s="1" t="str">
        <f ca="1">IFERROR(__xludf.DUMMYFUNCTION("""COMPUTED_VALUE"""),"20201117TXWEW")</f>
        <v>20201117TXWEW</v>
      </c>
      <c r="B1010" s="1" t="str">
        <f ca="1">IFERROR(__xludf.DUMMYFUNCTION("""COMPUTED_VALUE"""),"Handgun")</f>
        <v>Handgun</v>
      </c>
      <c r="C1010" s="1"/>
      <c r="D1010" s="1"/>
    </row>
    <row r="1011" spans="1:4" ht="12.5">
      <c r="A1011" s="1" t="str">
        <f ca="1">IFERROR(__xludf.DUMMYFUNCTION("""COMPUTED_VALUE"""),"20201117MTGRG")</f>
        <v>20201117MTGRG</v>
      </c>
      <c r="B1011" s="1" t="str">
        <f ca="1">IFERROR(__xludf.DUMMYFUNCTION("""COMPUTED_VALUE"""),"Other")</f>
        <v>Other</v>
      </c>
      <c r="C1011" s="1" t="str">
        <f ca="1">IFERROR(__xludf.DUMMYFUNCTION("""COMPUTED_VALUE"""),"BB")</f>
        <v>BB</v>
      </c>
      <c r="D1011" s="1"/>
    </row>
    <row r="1012" spans="1:4" ht="12.5">
      <c r="A1012" s="1" t="str">
        <f ca="1">IFERROR(__xludf.DUMMYFUNCTION("""COMPUTED_VALUE"""),"20201116TNWIM")</f>
        <v>20201116TNWIM</v>
      </c>
      <c r="B1012" s="1" t="str">
        <f ca="1">IFERROR(__xludf.DUMMYFUNCTION("""COMPUTED_VALUE"""),"Handgun")</f>
        <v>Handgun</v>
      </c>
      <c r="C1012" s="1"/>
      <c r="D1012" s="1"/>
    </row>
    <row r="1013" spans="1:4" ht="12.5">
      <c r="A1013" s="1" t="str">
        <f ca="1">IFERROR(__xludf.DUMMYFUNCTION("""COMPUTED_VALUE"""),"20201113NCLIL")</f>
        <v>20201113NCLIL</v>
      </c>
      <c r="B1013" s="1" t="str">
        <f ca="1">IFERROR(__xludf.DUMMYFUNCTION("""COMPUTED_VALUE"""),"Handgun")</f>
        <v>Handgun</v>
      </c>
      <c r="C1013" s="1" t="str">
        <f ca="1">IFERROR(__xludf.DUMMYFUNCTION("""COMPUTED_VALUE"""),"9mm")</f>
        <v>9mm</v>
      </c>
      <c r="D1013" s="1"/>
    </row>
    <row r="1014" spans="1:4" ht="12.5">
      <c r="A1014" s="1" t="str">
        <f ca="1">IFERROR(__xludf.DUMMYFUNCTION("""COMPUTED_VALUE"""),"20201026GARIR")</f>
        <v>20201026GARIR</v>
      </c>
      <c r="B1014" s="1" t="str">
        <f ca="1">IFERROR(__xludf.DUMMYFUNCTION("""COMPUTED_VALUE"""),"Handgun")</f>
        <v>Handgun</v>
      </c>
      <c r="C1014" s="1" t="str">
        <f ca="1">IFERROR(__xludf.DUMMYFUNCTION("""COMPUTED_VALUE"""),".38 caliber")</f>
        <v>.38 caliber</v>
      </c>
      <c r="D1014" s="1"/>
    </row>
    <row r="1015" spans="1:4" ht="12.5">
      <c r="A1015" s="1" t="str">
        <f ca="1">IFERROR(__xludf.DUMMYFUNCTION("""COMPUTED_VALUE"""),"20201020ARJAP")</f>
        <v>20201020ARJAP</v>
      </c>
      <c r="B1015" s="1" t="str">
        <f ca="1">IFERROR(__xludf.DUMMYFUNCTION("""COMPUTED_VALUE"""),"Handgun")</f>
        <v>Handgun</v>
      </c>
      <c r="C1015" s="1" t="str">
        <f ca="1">IFERROR(__xludf.DUMMYFUNCTION("""COMPUTED_VALUE"""),".22 caliber")</f>
        <v>.22 caliber</v>
      </c>
      <c r="D1015" s="1"/>
    </row>
    <row r="1016" spans="1:4" ht="12.5">
      <c r="A1016" s="1" t="str">
        <f ca="1">IFERROR(__xludf.DUMMYFUNCTION("""COMPUTED_VALUE"""),"20201014WAWAS")</f>
        <v>20201014WAWAS</v>
      </c>
      <c r="B1016" s="1" t="str">
        <f ca="1">IFERROR(__xludf.DUMMYFUNCTION("""COMPUTED_VALUE"""),"Multiple Handguns")</f>
        <v>Multiple Handguns</v>
      </c>
      <c r="C1016" s="1"/>
      <c r="D1016" s="1"/>
    </row>
    <row r="1017" spans="1:4" ht="12.5">
      <c r="A1017" s="1" t="str">
        <f ca="1">IFERROR(__xludf.DUMMYFUNCTION("""COMPUTED_VALUE"""),"20201014PABRB")</f>
        <v>20201014PABRB</v>
      </c>
      <c r="B1017" s="1" t="str">
        <f ca="1">IFERROR(__xludf.DUMMYFUNCTION("""COMPUTED_VALUE"""),"Other")</f>
        <v>Other</v>
      </c>
      <c r="C1017" s="1" t="str">
        <f ca="1">IFERROR(__xludf.DUMMYFUNCTION("""COMPUTED_VALUE"""),"BB")</f>
        <v>BB</v>
      </c>
      <c r="D1017" s="1"/>
    </row>
    <row r="1018" spans="1:4" ht="12.5">
      <c r="A1018" s="1" t="str">
        <f ca="1">IFERROR(__xludf.DUMMYFUNCTION("""COMPUTED_VALUE"""),"20201012TXNOD")</f>
        <v>20201012TXNOD</v>
      </c>
      <c r="B1018" s="1" t="str">
        <f ca="1">IFERROR(__xludf.DUMMYFUNCTION("""COMPUTED_VALUE"""),"Handgun")</f>
        <v>Handgun</v>
      </c>
      <c r="C1018" s="1"/>
      <c r="D1018" s="1"/>
    </row>
    <row r="1019" spans="1:4" ht="12.5">
      <c r="A1019" s="1" t="str">
        <f ca="1">IFERROR(__xludf.DUMMYFUNCTION("""COMPUTED_VALUE"""),"20201012MNSHS")</f>
        <v>20201012MNSHS</v>
      </c>
      <c r="B1019" s="1" t="str">
        <f ca="1">IFERROR(__xludf.DUMMYFUNCTION("""COMPUTED_VALUE"""),"Shotgun")</f>
        <v>Shotgun</v>
      </c>
      <c r="C1019" s="1"/>
      <c r="D1019" s="1"/>
    </row>
    <row r="1020" spans="1:4" ht="12.5">
      <c r="A1020" s="1" t="str">
        <f ca="1">IFERROR(__xludf.DUMMYFUNCTION("""COMPUTED_VALUE"""),"20201009FLJEJ")</f>
        <v>20201009FLJEJ</v>
      </c>
      <c r="B1020" s="1" t="str">
        <f ca="1">IFERROR(__xludf.DUMMYFUNCTION("""COMPUTED_VALUE"""),"Handgun")</f>
        <v>Handgun</v>
      </c>
      <c r="C1020" s="1"/>
      <c r="D1020" s="1"/>
    </row>
    <row r="1021" spans="1:4" ht="12.5">
      <c r="A1021" s="1" t="str">
        <f ca="1">IFERROR(__xludf.DUMMYFUNCTION("""COMPUTED_VALUE"""),"20201005OKSOM")</f>
        <v>20201005OKSOM</v>
      </c>
      <c r="B1021" s="1" t="str">
        <f ca="1">IFERROR(__xludf.DUMMYFUNCTION("""COMPUTED_VALUE"""),"Other")</f>
        <v>Other</v>
      </c>
      <c r="C1021" s="1" t="str">
        <f ca="1">IFERROR(__xludf.DUMMYFUNCTION("""COMPUTED_VALUE"""),"airsoft")</f>
        <v>airsoft</v>
      </c>
      <c r="D1021" s="1"/>
    </row>
    <row r="1022" spans="1:4" ht="12.5">
      <c r="A1022" s="1" t="str">
        <f ca="1">IFERROR(__xludf.DUMMYFUNCTION("""COMPUTED_VALUE"""),"20201005ARKIH")</f>
        <v>20201005ARKIH</v>
      </c>
      <c r="B1022" s="1" t="str">
        <f ca="1">IFERROR(__xludf.DUMMYFUNCTION("""COMPUTED_VALUE"""),"Handgun")</f>
        <v>Handgun</v>
      </c>
      <c r="C1022" s="1"/>
      <c r="D1022" s="1"/>
    </row>
    <row r="1023" spans="1:4" ht="12.5">
      <c r="A1023" s="1" t="str">
        <f ca="1">IFERROR(__xludf.DUMMYFUNCTION("""COMPUTED_VALUE"""),"20201002PAMAE")</f>
        <v>20201002PAMAE</v>
      </c>
      <c r="B1023" s="1" t="str">
        <f ca="1">IFERROR(__xludf.DUMMYFUNCTION("""COMPUTED_VALUE"""),"Other")</f>
        <v>Other</v>
      </c>
      <c r="C1023" s="1" t="str">
        <f ca="1">IFERROR(__xludf.DUMMYFUNCTION("""COMPUTED_VALUE"""),"BB")</f>
        <v>BB</v>
      </c>
      <c r="D1023" s="1"/>
    </row>
    <row r="1024" spans="1:4" ht="12.5">
      <c r="A1024" s="1" t="str">
        <f ca="1">IFERROR(__xludf.DUMMYFUNCTION("""COMPUTED_VALUE"""),"20200925ILROR")</f>
        <v>20200925ILROR</v>
      </c>
      <c r="B1024" s="1" t="str">
        <f ca="1">IFERROR(__xludf.DUMMYFUNCTION("""COMPUTED_VALUE"""),"Handgun")</f>
        <v>Handgun</v>
      </c>
      <c r="C1024" s="1"/>
      <c r="D1024" s="1"/>
    </row>
    <row r="1025" spans="1:4" ht="12.5">
      <c r="A1025" s="1" t="str">
        <f ca="1">IFERROR(__xludf.DUMMYFUNCTION("""COMPUTED_VALUE"""),"20200924ILMCS")</f>
        <v>20200924ILMCS</v>
      </c>
      <c r="B1025" s="1" t="str">
        <f ca="1">IFERROR(__xludf.DUMMYFUNCTION("""COMPUTED_VALUE"""),"Other")</f>
        <v>Other</v>
      </c>
      <c r="C1025" s="1" t="str">
        <f ca="1">IFERROR(__xludf.DUMMYFUNCTION("""COMPUTED_VALUE"""),"BB")</f>
        <v>BB</v>
      </c>
      <c r="D1025" s="1"/>
    </row>
    <row r="1026" spans="1:4" ht="12.5">
      <c r="A1026" s="1" t="str">
        <f ca="1">IFERROR(__xludf.DUMMYFUNCTION("""COMPUTED_VALUE"""),"20200924CAWAC")</f>
        <v>20200924CAWAC</v>
      </c>
      <c r="B1026" s="1" t="str">
        <f ca="1">IFERROR(__xludf.DUMMYFUNCTION("""COMPUTED_VALUE"""),"Multiple Handguns")</f>
        <v>Multiple Handguns</v>
      </c>
      <c r="C1026" s="1"/>
      <c r="D1026" s="1"/>
    </row>
    <row r="1027" spans="1:4" ht="12.5">
      <c r="A1027" s="1" t="str">
        <f ca="1">IFERROR(__xludf.DUMMYFUNCTION("""COMPUTED_VALUE"""),"20200924CAWAC")</f>
        <v>20200924CAWAC</v>
      </c>
      <c r="B1027" s="1" t="str">
        <f ca="1">IFERROR(__xludf.DUMMYFUNCTION("""COMPUTED_VALUE"""),"Multiple Rifles")</f>
        <v>Multiple Rifles</v>
      </c>
      <c r="C1027" s="1"/>
      <c r="D1027" s="1" t="str">
        <f ca="1">IFERROR(__xludf.DUMMYFUNCTION("""COMPUTED_VALUE"""),"Gold plated AK-47")</f>
        <v>Gold plated AK-47</v>
      </c>
    </row>
    <row r="1028" spans="1:4" ht="12.5">
      <c r="A1028" s="1" t="str">
        <f ca="1">IFERROR(__xludf.DUMMYFUNCTION("""COMPUTED_VALUE"""),"20200923PAWIW")</f>
        <v>20200923PAWIW</v>
      </c>
      <c r="B1028" s="1" t="str">
        <f ca="1">IFERROR(__xludf.DUMMYFUNCTION("""COMPUTED_VALUE"""),"Handgun")</f>
        <v>Handgun</v>
      </c>
      <c r="C1028" s="1"/>
      <c r="D1028" s="1"/>
    </row>
    <row r="1029" spans="1:4" ht="12.5">
      <c r="A1029" s="1" t="str">
        <f ca="1">IFERROR(__xludf.DUMMYFUNCTION("""COMPUTED_VALUE"""),"20200923FLHIJ")</f>
        <v>20200923FLHIJ</v>
      </c>
      <c r="B1029" s="1" t="str">
        <f ca="1">IFERROR(__xludf.DUMMYFUNCTION("""COMPUTED_VALUE"""),"Other")</f>
        <v>Other</v>
      </c>
      <c r="C1029" s="1" t="str">
        <f ca="1">IFERROR(__xludf.DUMMYFUNCTION("""COMPUTED_VALUE"""),"BB")</f>
        <v>BB</v>
      </c>
      <c r="D1029" s="1" t="str">
        <f ca="1">IFERROR(__xludf.DUMMYFUNCTION("""COMPUTED_VALUE"""),"BB gun")</f>
        <v>BB gun</v>
      </c>
    </row>
    <row r="1030" spans="1:4" ht="12.5">
      <c r="A1030" s="1" t="str">
        <f ca="1">IFERROR(__xludf.DUMMYFUNCTION("""COMPUTED_VALUE"""),"20200921CAPLP")</f>
        <v>20200921CAPLP</v>
      </c>
      <c r="B1030" s="1" t="str">
        <f ca="1">IFERROR(__xludf.DUMMYFUNCTION("""COMPUTED_VALUE"""),"Rifle")</f>
        <v>Rifle</v>
      </c>
      <c r="C1030" s="1"/>
      <c r="D1030" s="1"/>
    </row>
    <row r="1031" spans="1:4" ht="12.5">
      <c r="A1031" s="1" t="str">
        <f ca="1">IFERROR(__xludf.DUMMYFUNCTION("""COMPUTED_VALUE"""),"20200915UTVIB")</f>
        <v>20200915UTVIB</v>
      </c>
      <c r="B1031" s="1" t="str">
        <f ca="1">IFERROR(__xludf.DUMMYFUNCTION("""COMPUTED_VALUE"""),"Shotgun")</f>
        <v>Shotgun</v>
      </c>
      <c r="C1031" s="1"/>
      <c r="D1031" s="1"/>
    </row>
    <row r="1032" spans="1:4" ht="12.5">
      <c r="A1032" s="1" t="str">
        <f ca="1">IFERROR(__xludf.DUMMYFUNCTION("""COMPUTED_VALUE"""),"20200915SCYOR")</f>
        <v>20200915SCYOR</v>
      </c>
      <c r="B1032" s="1" t="str">
        <f ca="1">IFERROR(__xludf.DUMMYFUNCTION("""COMPUTED_VALUE"""),"Other")</f>
        <v>Other</v>
      </c>
      <c r="C1032" s="1" t="str">
        <f ca="1">IFERROR(__xludf.DUMMYFUNCTION("""COMPUTED_VALUE"""),"BB")</f>
        <v>BB</v>
      </c>
      <c r="D1032" s="1" t="str">
        <f ca="1">IFERROR(__xludf.DUMMYFUNCTION("""COMPUTED_VALUE"""),"BB gun")</f>
        <v>BB gun</v>
      </c>
    </row>
    <row r="1033" spans="1:4" ht="12.5">
      <c r="A1033" s="1" t="str">
        <f ca="1">IFERROR(__xludf.DUMMYFUNCTION("""COMPUTED_VALUE"""),"20200909PAWEW")</f>
        <v>20200909PAWEW</v>
      </c>
      <c r="B1033" s="1" t="str">
        <f ca="1">IFERROR(__xludf.DUMMYFUNCTION("""COMPUTED_VALUE"""),"Handgun")</f>
        <v>Handgun</v>
      </c>
      <c r="C1033" s="1"/>
      <c r="D1033" s="1"/>
    </row>
    <row r="1034" spans="1:4" ht="12.5">
      <c r="A1034" s="1" t="str">
        <f ca="1">IFERROR(__xludf.DUMMYFUNCTION("""COMPUTED_VALUE"""),"20200830TXLOD")</f>
        <v>20200830TXLOD</v>
      </c>
      <c r="B1034" s="1" t="str">
        <f ca="1">IFERROR(__xludf.DUMMYFUNCTION("""COMPUTED_VALUE"""),"Handgun")</f>
        <v>Handgun</v>
      </c>
      <c r="C1034" s="1"/>
      <c r="D1034" s="1"/>
    </row>
    <row r="1035" spans="1:4" ht="12.5">
      <c r="A1035" s="1" t="str">
        <f ca="1">IFERROR(__xludf.DUMMYFUNCTION("""COMPUTED_VALUE"""),"20200825MOWEC")</f>
        <v>20200825MOWEC</v>
      </c>
      <c r="B1035" s="1" t="str">
        <f ca="1">IFERROR(__xludf.DUMMYFUNCTION("""COMPUTED_VALUE"""),"Handgun")</f>
        <v>Handgun</v>
      </c>
      <c r="C1035" s="1"/>
      <c r="D1035" s="1"/>
    </row>
    <row r="1036" spans="1:4" ht="12.5">
      <c r="A1036" s="1" t="str">
        <f ca="1">IFERROR(__xludf.DUMMYFUNCTION("""COMPUTED_VALUE"""),"20200817MIABG")</f>
        <v>20200817MIABG</v>
      </c>
      <c r="B1036" s="1" t="str">
        <f ca="1">IFERROR(__xludf.DUMMYFUNCTION("""COMPUTED_VALUE"""),"Handgun")</f>
        <v>Handgun</v>
      </c>
      <c r="C1036" s="1"/>
      <c r="D1036" s="1"/>
    </row>
    <row r="1037" spans="1:4" ht="12.5">
      <c r="A1037" s="1" t="str">
        <f ca="1">IFERROR(__xludf.DUMMYFUNCTION("""COMPUTED_VALUE"""),"20200804PAKEP")</f>
        <v>20200804PAKEP</v>
      </c>
      <c r="B1037" s="1" t="str">
        <f ca="1">IFERROR(__xludf.DUMMYFUNCTION("""COMPUTED_VALUE"""),"Handgun")</f>
        <v>Handgun</v>
      </c>
      <c r="C1037" s="1"/>
      <c r="D1037" s="1"/>
    </row>
    <row r="1038" spans="1:4" ht="12.5">
      <c r="A1038" s="1" t="str">
        <f ca="1">IFERROR(__xludf.DUMMYFUNCTION("""COMPUTED_VALUE"""),"20200729ILCOC")</f>
        <v>20200729ILCOC</v>
      </c>
      <c r="B1038" s="1" t="str">
        <f ca="1">IFERROR(__xludf.DUMMYFUNCTION("""COMPUTED_VALUE"""),"Handgun")</f>
        <v>Handgun</v>
      </c>
      <c r="C1038" s="1"/>
      <c r="D1038" s="1"/>
    </row>
    <row r="1039" spans="1:4" ht="12.5">
      <c r="A1039" s="1" t="str">
        <f ca="1">IFERROR(__xludf.DUMMYFUNCTION("""COMPUTED_VALUE"""),"20200727AZCAO")</f>
        <v>20200727AZCAO</v>
      </c>
      <c r="B1039" s="1" t="str">
        <f ca="1">IFERROR(__xludf.DUMMYFUNCTION("""COMPUTED_VALUE"""),"Handgun")</f>
        <v>Handgun</v>
      </c>
      <c r="C1039" s="1"/>
      <c r="D1039" s="1"/>
    </row>
    <row r="1040" spans="1:4" ht="12.5">
      <c r="A1040" s="1" t="str">
        <f ca="1">IFERROR(__xludf.DUMMYFUNCTION("""COMPUTED_VALUE"""),"20200721SCBRO")</f>
        <v>20200721SCBRO</v>
      </c>
      <c r="B1040" s="1" t="str">
        <f ca="1">IFERROR(__xludf.DUMMYFUNCTION("""COMPUTED_VALUE"""),"Handgun")</f>
        <v>Handgun</v>
      </c>
      <c r="C1040" s="1"/>
      <c r="D1040" s="1"/>
    </row>
    <row r="1041" spans="1:4" ht="12.5">
      <c r="A1041" s="1" t="str">
        <f ca="1">IFERROR(__xludf.DUMMYFUNCTION("""COMPUTED_VALUE"""),"20200714MIWID")</f>
        <v>20200714MIWID</v>
      </c>
      <c r="B1041" s="1" t="str">
        <f ca="1">IFERROR(__xludf.DUMMYFUNCTION("""COMPUTED_VALUE"""),"Handgun")</f>
        <v>Handgun</v>
      </c>
      <c r="C1041" s="1" t="str">
        <f ca="1">IFERROR(__xludf.DUMMYFUNCTION("""COMPUTED_VALUE"""),"Unknown")</f>
        <v>Unknown</v>
      </c>
      <c r="D1041" s="1"/>
    </row>
    <row r="1042" spans="1:4" ht="12.5">
      <c r="A1042" s="1" t="str">
        <f ca="1">IFERROR(__xludf.DUMMYFUNCTION("""COMPUTED_VALUE"""),"20200704INLAM")</f>
        <v>20200704INLAM</v>
      </c>
      <c r="B1042" s="1" t="str">
        <f ca="1">IFERROR(__xludf.DUMMYFUNCTION("""COMPUTED_VALUE"""),"Handgun")</f>
        <v>Handgun</v>
      </c>
      <c r="C1042" s="1" t="str">
        <f ca="1">IFERROR(__xludf.DUMMYFUNCTION("""COMPUTED_VALUE"""),"Unknown")</f>
        <v>Unknown</v>
      </c>
      <c r="D1042" s="1"/>
    </row>
    <row r="1043" spans="1:4" ht="12.5">
      <c r="A1043" s="1" t="str">
        <f ca="1">IFERROR(__xludf.DUMMYFUNCTION("""COMPUTED_VALUE"""),"20200701ILFRP")</f>
        <v>20200701ILFRP</v>
      </c>
      <c r="B1043" s="1" t="str">
        <f ca="1">IFERROR(__xludf.DUMMYFUNCTION("""COMPUTED_VALUE"""),"Handgun")</f>
        <v>Handgun</v>
      </c>
      <c r="C1043" s="1" t="str">
        <f ca="1">IFERROR(__xludf.DUMMYFUNCTION("""COMPUTED_VALUE"""),"Unknown")</f>
        <v>Unknown</v>
      </c>
      <c r="D1043" s="1"/>
    </row>
    <row r="1044" spans="1:4" ht="12.5">
      <c r="A1044" s="1" t="str">
        <f ca="1">IFERROR(__xludf.DUMMYFUNCTION("""COMPUTED_VALUE"""),"20200630OHLAW")</f>
        <v>20200630OHLAW</v>
      </c>
      <c r="B1044" s="1" t="str">
        <f ca="1">IFERROR(__xludf.DUMMYFUNCTION("""COMPUTED_VALUE"""),"Rifle")</f>
        <v>Rifle</v>
      </c>
      <c r="C1044" s="1" t="str">
        <f ca="1">IFERROR(__xludf.DUMMYFUNCTION("""COMPUTED_VALUE"""),".223 caliber")</f>
        <v>.223 caliber</v>
      </c>
      <c r="D1044" s="1" t="str">
        <f ca="1">IFERROR(__xludf.DUMMYFUNCTION("""COMPUTED_VALUE"""),"AK-47 style rifle")</f>
        <v>AK-47 style rifle</v>
      </c>
    </row>
    <row r="1045" spans="1:4" ht="12.5">
      <c r="A1045" s="1" t="str">
        <f ca="1">IFERROR(__xludf.DUMMYFUNCTION("""COMPUTED_VALUE"""),"20200616FLTOM")</f>
        <v>20200616FLTOM</v>
      </c>
      <c r="B1045" s="1" t="str">
        <f ca="1">IFERROR(__xludf.DUMMYFUNCTION("""COMPUTED_VALUE"""),"Multiple Unknown")</f>
        <v>Multiple Unknown</v>
      </c>
      <c r="C1045" s="1"/>
      <c r="D1045" s="1"/>
    </row>
    <row r="1046" spans="1:4" ht="12.5">
      <c r="A1046" s="1" t="str">
        <f ca="1">IFERROR(__xludf.DUMMYFUNCTION("""COMPUTED_VALUE"""),"20200603IAGAD")</f>
        <v>20200603IAGAD</v>
      </c>
      <c r="B1046" s="1" t="str">
        <f ca="1">IFERROR(__xludf.DUMMYFUNCTION("""COMPUTED_VALUE"""),"No Data")</f>
        <v>No Data</v>
      </c>
      <c r="C1046" s="1"/>
      <c r="D1046" s="1"/>
    </row>
    <row r="1047" spans="1:4" ht="12.5">
      <c r="A1047" s="1" t="str">
        <f ca="1">IFERROR(__xludf.DUMMYFUNCTION("""COMPUTED_VALUE"""),"20200527OHLUC")</f>
        <v>20200527OHLUC</v>
      </c>
      <c r="B1047" s="1" t="str">
        <f ca="1">IFERROR(__xludf.DUMMYFUNCTION("""COMPUTED_VALUE"""),"Handgun")</f>
        <v>Handgun</v>
      </c>
      <c r="C1047" s="1" t="str">
        <f ca="1">IFERROR(__xludf.DUMMYFUNCTION("""COMPUTED_VALUE"""),"Unknown")</f>
        <v>Unknown</v>
      </c>
      <c r="D1047" s="1"/>
    </row>
    <row r="1048" spans="1:4" ht="12.5">
      <c r="A1048" s="1" t="str">
        <f ca="1">IFERROR(__xludf.DUMMYFUNCTION("""COMPUTED_VALUE"""),"20200525ALORM")</f>
        <v>20200525ALORM</v>
      </c>
      <c r="B1048" s="1" t="str">
        <f ca="1">IFERROR(__xludf.DUMMYFUNCTION("""COMPUTED_VALUE"""),"Handgun")</f>
        <v>Handgun</v>
      </c>
      <c r="C1048" s="1" t="str">
        <f ca="1">IFERROR(__xludf.DUMMYFUNCTION("""COMPUTED_VALUE"""),"Unknown")</f>
        <v>Unknown</v>
      </c>
      <c r="D1048" s="1"/>
    </row>
    <row r="1049" spans="1:4" ht="12.5">
      <c r="A1049" s="1" t="str">
        <f ca="1">IFERROR(__xludf.DUMMYFUNCTION("""COMPUTED_VALUE"""),"20200522OHMIC")</f>
        <v>20200522OHMIC</v>
      </c>
      <c r="B1049" s="1" t="str">
        <f ca="1">IFERROR(__xludf.DUMMYFUNCTION("""COMPUTED_VALUE"""),"No Data")</f>
        <v>No Data</v>
      </c>
      <c r="C1049" s="1"/>
      <c r="D1049" s="1"/>
    </row>
    <row r="1050" spans="1:4" ht="12.5">
      <c r="A1050" s="1" t="str">
        <f ca="1">IFERROR(__xludf.DUMMYFUNCTION("""COMPUTED_VALUE"""),"20200519VAWEM")</f>
        <v>20200519VAWEM</v>
      </c>
      <c r="B1050" s="1" t="str">
        <f ca="1">IFERROR(__xludf.DUMMYFUNCTION("""COMPUTED_VALUE"""),"Handgun")</f>
        <v>Handgun</v>
      </c>
      <c r="C1050" s="1" t="str">
        <f ca="1">IFERROR(__xludf.DUMMYFUNCTION("""COMPUTED_VALUE"""),"Unknown")</f>
        <v>Unknown</v>
      </c>
      <c r="D1050" s="1"/>
    </row>
    <row r="1051" spans="1:4" ht="12.5">
      <c r="A1051" s="1" t="str">
        <f ca="1">IFERROR(__xludf.DUMMYFUNCTION("""COMPUTED_VALUE"""),"20200515NCSTC")</f>
        <v>20200515NCSTC</v>
      </c>
      <c r="B1051" s="1" t="str">
        <f ca="1">IFERROR(__xludf.DUMMYFUNCTION("""COMPUTED_VALUE"""),"Handgun")</f>
        <v>Handgun</v>
      </c>
      <c r="C1051" s="1" t="str">
        <f ca="1">IFERROR(__xludf.DUMMYFUNCTION("""COMPUTED_VALUE"""),"Unknown")</f>
        <v>Unknown</v>
      </c>
      <c r="D1051" s="1"/>
    </row>
    <row r="1052" spans="1:4" ht="12.5">
      <c r="A1052" s="1" t="str">
        <f ca="1">IFERROR(__xludf.DUMMYFUNCTION("""COMPUTED_VALUE"""),"20200505CAGOV")</f>
        <v>20200505CAGOV</v>
      </c>
      <c r="B1052" s="1" t="str">
        <f ca="1">IFERROR(__xludf.DUMMYFUNCTION("""COMPUTED_VALUE"""),"No Data")</f>
        <v>No Data</v>
      </c>
      <c r="C1052" s="1"/>
      <c r="D1052" s="1"/>
    </row>
    <row r="1053" spans="1:4" ht="12.5">
      <c r="A1053" s="1" t="str">
        <f ca="1">IFERROR(__xludf.DUMMYFUNCTION("""COMPUTED_VALUE"""),"20200419NCABR")</f>
        <v>20200419NCABR</v>
      </c>
      <c r="B1053" s="1" t="str">
        <f ca="1">IFERROR(__xludf.DUMMYFUNCTION("""COMPUTED_VALUE"""),"Handgun")</f>
        <v>Handgun</v>
      </c>
      <c r="C1053" s="1"/>
      <c r="D1053" s="1" t="str">
        <f ca="1">IFERROR(__xludf.DUMMYFUNCTION("""COMPUTED_VALUE"""),"Glock 19 semi-automatic pistol")</f>
        <v>Glock 19 semi-automatic pistol</v>
      </c>
    </row>
    <row r="1054" spans="1:4" ht="12.5">
      <c r="A1054" s="1" t="str">
        <f ca="1">IFERROR(__xludf.DUMMYFUNCTION("""COMPUTED_VALUE"""),"20200413NEMOO")</f>
        <v>20200413NEMOO</v>
      </c>
      <c r="B1054" s="1" t="str">
        <f ca="1">IFERROR(__xludf.DUMMYFUNCTION("""COMPUTED_VALUE"""),"Handgun")</f>
        <v>Handgun</v>
      </c>
      <c r="C1054" s="1" t="str">
        <f ca="1">IFERROR(__xludf.DUMMYFUNCTION("""COMPUTED_VALUE"""),"Unknown")</f>
        <v>Unknown</v>
      </c>
      <c r="D1054" s="1"/>
    </row>
    <row r="1055" spans="1:4" ht="12.5">
      <c r="A1055" s="1" t="str">
        <f ca="1">IFERROR(__xludf.DUMMYFUNCTION("""COMPUTED_VALUE"""),"20200330GANAS")</f>
        <v>20200330GANAS</v>
      </c>
      <c r="B1055" s="1" t="str">
        <f ca="1">IFERROR(__xludf.DUMMYFUNCTION("""COMPUTED_VALUE"""),"Handgun")</f>
        <v>Handgun</v>
      </c>
      <c r="C1055" s="1" t="str">
        <f ca="1">IFERROR(__xludf.DUMMYFUNCTION("""COMPUTED_VALUE"""),"Unknown")</f>
        <v>Unknown</v>
      </c>
      <c r="D1055" s="1"/>
    </row>
    <row r="1056" spans="1:4" ht="12.5">
      <c r="A1056" s="1" t="str">
        <f ca="1">IFERROR(__xludf.DUMMYFUNCTION("""COMPUTED_VALUE"""),"20200324LAROM")</f>
        <v>20200324LAROM</v>
      </c>
      <c r="B1056" s="1" t="str">
        <f ca="1">IFERROR(__xludf.DUMMYFUNCTION("""COMPUTED_VALUE"""),"Handgun")</f>
        <v>Handgun</v>
      </c>
      <c r="C1056" s="1" t="str">
        <f ca="1">IFERROR(__xludf.DUMMYFUNCTION("""COMPUTED_VALUE"""),"Unknown")</f>
        <v>Unknown</v>
      </c>
      <c r="D1056" s="1"/>
    </row>
    <row r="1057" spans="1:4" ht="12.5">
      <c r="A1057" s="1" t="str">
        <f ca="1">IFERROR(__xludf.DUMMYFUNCTION("""COMPUTED_VALUE"""),"20200318LABOS")</f>
        <v>20200318LABOS</v>
      </c>
      <c r="B1057" s="1" t="str">
        <f ca="1">IFERROR(__xludf.DUMMYFUNCTION("""COMPUTED_VALUE"""),"Handgun")</f>
        <v>Handgun</v>
      </c>
      <c r="C1057" s="1" t="str">
        <f ca="1">IFERROR(__xludf.DUMMYFUNCTION("""COMPUTED_VALUE"""),"Unknown")</f>
        <v>Unknown</v>
      </c>
      <c r="D1057" s="1"/>
    </row>
    <row r="1058" spans="1:4" ht="12.5">
      <c r="A1058" s="1" t="str">
        <f ca="1">IFERROR(__xludf.DUMMYFUNCTION("""COMPUTED_VALUE"""),"20200315TXATH")</f>
        <v>20200315TXATH</v>
      </c>
      <c r="B1058" s="1" t="str">
        <f ca="1">IFERROR(__xludf.DUMMYFUNCTION("""COMPUTED_VALUE"""),"Handgun")</f>
        <v>Handgun</v>
      </c>
      <c r="C1058" s="1" t="str">
        <f ca="1">IFERROR(__xludf.DUMMYFUNCTION("""COMPUTED_VALUE"""),"Unknown")</f>
        <v>Unknown</v>
      </c>
      <c r="D1058" s="1"/>
    </row>
    <row r="1059" spans="1:4" ht="12.5">
      <c r="A1059" s="1" t="str">
        <f ca="1">IFERROR(__xludf.DUMMYFUNCTION("""COMPUTED_VALUE"""),"20200313TNPIR")</f>
        <v>20200313TNPIR</v>
      </c>
      <c r="B1059" s="1" t="str">
        <f ca="1">IFERROR(__xludf.DUMMYFUNCTION("""COMPUTED_VALUE"""),"Handgun")</f>
        <v>Handgun</v>
      </c>
      <c r="C1059" s="1" t="str">
        <f ca="1">IFERROR(__xludf.DUMMYFUNCTION("""COMPUTED_VALUE"""),"Unknown")</f>
        <v>Unknown</v>
      </c>
      <c r="D1059" s="1"/>
    </row>
    <row r="1060" spans="1:4" ht="12.5">
      <c r="A1060" s="1" t="str">
        <f ca="1">IFERROR(__xludf.DUMMYFUNCTION("""COMPUTED_VALUE"""),"20200310PASHN")</f>
        <v>20200310PASHN</v>
      </c>
      <c r="B1060" s="1" t="str">
        <f ca="1">IFERROR(__xludf.DUMMYFUNCTION("""COMPUTED_VALUE"""),"Multiple Unknown")</f>
        <v>Multiple Unknown</v>
      </c>
      <c r="C1060" s="1" t="str">
        <f ca="1">IFERROR(__xludf.DUMMYFUNCTION("""COMPUTED_VALUE"""),".22 caliber")</f>
        <v>.22 caliber</v>
      </c>
      <c r="D1060" s="1"/>
    </row>
    <row r="1061" spans="1:4" ht="12.5">
      <c r="A1061" s="1" t="str">
        <f ca="1">IFERROR(__xludf.DUMMYFUNCTION("""COMPUTED_VALUE"""),"20200305FLSAW")</f>
        <v>20200305FLSAW</v>
      </c>
      <c r="B1061" s="1" t="str">
        <f ca="1">IFERROR(__xludf.DUMMYFUNCTION("""COMPUTED_VALUE"""),"Handgun")</f>
        <v>Handgun</v>
      </c>
      <c r="C1061" s="1" t="str">
        <f ca="1">IFERROR(__xludf.DUMMYFUNCTION("""COMPUTED_VALUE"""),"Unknown")</f>
        <v>Unknown</v>
      </c>
      <c r="D1061" s="1"/>
    </row>
    <row r="1062" spans="1:4" ht="12.5">
      <c r="A1062" s="1" t="str">
        <f ca="1">IFERROR(__xludf.DUMMYFUNCTION("""COMPUTED_VALUE"""),"20200302TXNOF")</f>
        <v>20200302TXNOF</v>
      </c>
      <c r="B1062" s="1" t="str">
        <f ca="1">IFERROR(__xludf.DUMMYFUNCTION("""COMPUTED_VALUE"""),"Handgun")</f>
        <v>Handgun</v>
      </c>
      <c r="C1062" s="1" t="str">
        <f ca="1">IFERROR(__xludf.DUMMYFUNCTION("""COMPUTED_VALUE"""),"Unknown")</f>
        <v>Unknown</v>
      </c>
      <c r="D1062" s="1"/>
    </row>
    <row r="1063" spans="1:4" ht="12.5">
      <c r="A1063" s="1" t="str">
        <f ca="1">IFERROR(__xludf.DUMMYFUNCTION("""COMPUTED_VALUE"""),"20200227FLJET")</f>
        <v>20200227FLJET</v>
      </c>
      <c r="B1063" s="1" t="str">
        <f ca="1">IFERROR(__xludf.DUMMYFUNCTION("""COMPUTED_VALUE"""),"Handgun")</f>
        <v>Handgun</v>
      </c>
      <c r="C1063" s="1"/>
      <c r="D1063" s="1" t="str">
        <f ca="1">IFERROR(__xludf.DUMMYFUNCTION("""COMPUTED_VALUE"""),"Sig Sauer P320")</f>
        <v>Sig Sauer P320</v>
      </c>
    </row>
    <row r="1064" spans="1:4" ht="12.5">
      <c r="A1064" s="1" t="str">
        <f ca="1">IFERROR(__xludf.DUMMYFUNCTION("""COMPUTED_VALUE"""),"20200221NMCEA")</f>
        <v>20200221NMCEA</v>
      </c>
      <c r="B1064" s="1" t="str">
        <f ca="1">IFERROR(__xludf.DUMMYFUNCTION("""COMPUTED_VALUE"""),"Unknown")</f>
        <v>Unknown</v>
      </c>
      <c r="C1064" s="1"/>
      <c r="D1064" s="1"/>
    </row>
    <row r="1065" spans="1:4" ht="12.5">
      <c r="A1065" s="1" t="str">
        <f ca="1">IFERROR(__xludf.DUMMYFUNCTION("""COMPUTED_VALUE"""),"20200215DCDUW")</f>
        <v>20200215DCDUW</v>
      </c>
      <c r="B1065" s="1" t="str">
        <f ca="1">IFERROR(__xludf.DUMMYFUNCTION("""COMPUTED_VALUE"""),"Unknown")</f>
        <v>Unknown</v>
      </c>
      <c r="C1065" s="1"/>
      <c r="D1065" s="1"/>
    </row>
    <row r="1066" spans="1:4" ht="12.5">
      <c r="A1066" s="1" t="str">
        <f ca="1">IFERROR(__xludf.DUMMYFUNCTION("""COMPUTED_VALUE"""),"20200212MOJOF")</f>
        <v>20200212MOJOF</v>
      </c>
      <c r="B1066" s="1" t="str">
        <f ca="1">IFERROR(__xludf.DUMMYFUNCTION("""COMPUTED_VALUE"""),"Handgun")</f>
        <v>Handgun</v>
      </c>
      <c r="C1066" s="1" t="str">
        <f ca="1">IFERROR(__xludf.DUMMYFUNCTION("""COMPUTED_VALUE"""),"Unknown")</f>
        <v>Unknown</v>
      </c>
      <c r="D1066" s="1"/>
    </row>
    <row r="1067" spans="1:4" ht="12.5">
      <c r="A1067" s="1" t="str">
        <f ca="1">IFERROR(__xludf.DUMMYFUNCTION("""COMPUTED_VALUE"""),"20200205NHSEC")</f>
        <v>20200205NHSEC</v>
      </c>
      <c r="B1067" s="1" t="str">
        <f ca="1">IFERROR(__xludf.DUMMYFUNCTION("""COMPUTED_VALUE"""),"Handgun")</f>
        <v>Handgun</v>
      </c>
      <c r="C1067" s="1" t="str">
        <f ca="1">IFERROR(__xludf.DUMMYFUNCTION("""COMPUTED_VALUE"""),".38 caliber")</f>
        <v>.38 caliber</v>
      </c>
      <c r="D1067" s="1"/>
    </row>
    <row r="1068" spans="1:4" ht="12.5">
      <c r="A1068" s="1" t="str">
        <f ca="1">IFERROR(__xludf.DUMMYFUNCTION("""COMPUTED_VALUE"""),"20200204LABEA")</f>
        <v>20200204LABEA</v>
      </c>
      <c r="B1068" s="1" t="str">
        <f ca="1">IFERROR(__xludf.DUMMYFUNCTION("""COMPUTED_VALUE"""),"Rifle")</f>
        <v>Rifle</v>
      </c>
      <c r="C1068" s="1" t="str">
        <f ca="1">IFERROR(__xludf.DUMMYFUNCTION("""COMPUTED_VALUE"""),"5.56mm")</f>
        <v>5.56mm</v>
      </c>
      <c r="D1068" s="1"/>
    </row>
    <row r="1069" spans="1:4" ht="12.5">
      <c r="A1069" s="1" t="str">
        <f ca="1">IFERROR(__xludf.DUMMYFUNCTION("""COMPUTED_VALUE"""),"20200203FLGEJ")</f>
        <v>20200203FLGEJ</v>
      </c>
      <c r="B1069" s="1" t="str">
        <f ca="1">IFERROR(__xludf.DUMMYFUNCTION("""COMPUTED_VALUE"""),"Handgun")</f>
        <v>Handgun</v>
      </c>
      <c r="C1069" s="1" t="str">
        <f ca="1">IFERROR(__xludf.DUMMYFUNCTION("""COMPUTED_VALUE"""),"Unknown")</f>
        <v>Unknown</v>
      </c>
      <c r="D1069" s="1"/>
    </row>
    <row r="1070" spans="1:4" ht="12.5">
      <c r="A1070" s="1" t="str">
        <f ca="1">IFERROR(__xludf.DUMMYFUNCTION("""COMPUTED_VALUE"""),"20200201TXHIH")</f>
        <v>20200201TXHIH</v>
      </c>
      <c r="B1070" s="1" t="str">
        <f ca="1">IFERROR(__xludf.DUMMYFUNCTION("""COMPUTED_VALUE"""),"Handgun")</f>
        <v>Handgun</v>
      </c>
      <c r="C1070" s="1" t="str">
        <f ca="1">IFERROR(__xludf.DUMMYFUNCTION("""COMPUTED_VALUE"""),"Unknown")</f>
        <v>Unknown</v>
      </c>
      <c r="D1070" s="1"/>
    </row>
    <row r="1071" spans="1:4" ht="12.5">
      <c r="A1071" s="1" t="str">
        <f ca="1">IFERROR(__xludf.DUMMYFUNCTION("""COMPUTED_VALUE"""),"20200131CADEA")</f>
        <v>20200131CADEA</v>
      </c>
      <c r="B1071" s="1" t="str">
        <f ca="1">IFERROR(__xludf.DUMMYFUNCTION("""COMPUTED_VALUE"""),"Handgun")</f>
        <v>Handgun</v>
      </c>
      <c r="C1071" s="1" t="str">
        <f ca="1">IFERROR(__xludf.DUMMYFUNCTION("""COMPUTED_VALUE"""),"Unknown")</f>
        <v>Unknown</v>
      </c>
      <c r="D1071" s="1"/>
    </row>
    <row r="1072" spans="1:4" ht="12.5">
      <c r="A1072" s="1" t="str">
        <f ca="1">IFERROR(__xludf.DUMMYFUNCTION("""COMPUTED_VALUE"""),"20200128TXLUL")</f>
        <v>20200128TXLUL</v>
      </c>
      <c r="B1072" s="1" t="str">
        <f ca="1">IFERROR(__xludf.DUMMYFUNCTION("""COMPUTED_VALUE"""),"Handgun")</f>
        <v>Handgun</v>
      </c>
      <c r="C1072" s="1" t="str">
        <f ca="1">IFERROR(__xludf.DUMMYFUNCTION("""COMPUTED_VALUE"""),".357 caliber")</f>
        <v>.357 caliber</v>
      </c>
      <c r="D1072" s="1"/>
    </row>
    <row r="1073" spans="1:4" ht="12.5">
      <c r="A1073" s="1" t="str">
        <f ca="1">IFERROR(__xludf.DUMMYFUNCTION("""COMPUTED_VALUE"""),"20200128TNWHM")</f>
        <v>20200128TNWHM</v>
      </c>
      <c r="B1073" s="1" t="str">
        <f ca="1">IFERROR(__xludf.DUMMYFUNCTION("""COMPUTED_VALUE"""),"Handgun")</f>
        <v>Handgun</v>
      </c>
      <c r="C1073" s="1" t="str">
        <f ca="1">IFERROR(__xludf.DUMMYFUNCTION("""COMPUTED_VALUE"""),"Unknown")</f>
        <v>Unknown</v>
      </c>
      <c r="D1073" s="1"/>
    </row>
    <row r="1074" spans="1:4" ht="12.5">
      <c r="A1074" s="1" t="str">
        <f ca="1">IFERROR(__xludf.DUMMYFUNCTION("""COMPUTED_VALUE"""),"20200128NYMAQ")</f>
        <v>20200128NYMAQ</v>
      </c>
      <c r="B1074" s="1" t="str">
        <f ca="1">IFERROR(__xludf.DUMMYFUNCTION("""COMPUTED_VALUE"""),"Handgun")</f>
        <v>Handgun</v>
      </c>
      <c r="C1074" s="1" t="str">
        <f ca="1">IFERROR(__xludf.DUMMYFUNCTION("""COMPUTED_VALUE"""),"Unknown")</f>
        <v>Unknown</v>
      </c>
      <c r="D1074" s="1"/>
    </row>
    <row r="1075" spans="1:4" ht="12.5">
      <c r="A1075" s="1" t="str">
        <f ca="1">IFERROR(__xludf.DUMMYFUNCTION("""COMPUTED_VALUE"""),"20200127WAROY")</f>
        <v>20200127WAROY</v>
      </c>
      <c r="B1075" s="1" t="str">
        <f ca="1">IFERROR(__xludf.DUMMYFUNCTION("""COMPUTED_VALUE"""),"Handgun")</f>
        <v>Handgun</v>
      </c>
      <c r="C1075" s="1" t="str">
        <f ca="1">IFERROR(__xludf.DUMMYFUNCTION("""COMPUTED_VALUE"""),".22 caliber")</f>
        <v>.22 caliber</v>
      </c>
      <c r="D1075" s="1"/>
    </row>
    <row r="1076" spans="1:4" ht="12.5">
      <c r="A1076" s="1" t="str">
        <f ca="1">IFERROR(__xludf.DUMMYFUNCTION("""COMPUTED_VALUE"""),"20200123CAOXO")</f>
        <v>20200123CAOXO</v>
      </c>
      <c r="B1076" s="1" t="str">
        <f ca="1">IFERROR(__xludf.DUMMYFUNCTION("""COMPUTED_VALUE"""),"Handgun")</f>
        <v>Handgun</v>
      </c>
      <c r="C1076" s="1" t="str">
        <f ca="1">IFERROR(__xludf.DUMMYFUNCTION("""COMPUTED_VALUE"""),"Unknown")</f>
        <v>Unknown</v>
      </c>
      <c r="D1076" s="1"/>
    </row>
    <row r="1077" spans="1:4" ht="12.5">
      <c r="A1077" s="1" t="str">
        <f ca="1">IFERROR(__xludf.DUMMYFUNCTION("""COMPUTED_VALUE"""),"20200121NEPAL")</f>
        <v>20200121NEPAL</v>
      </c>
      <c r="B1077" s="1" t="str">
        <f ca="1">IFERROR(__xludf.DUMMYFUNCTION("""COMPUTED_VALUE"""),"Other")</f>
        <v>Other</v>
      </c>
      <c r="C1077" s="1" t="str">
        <f ca="1">IFERROR(__xludf.DUMMYFUNCTION("""COMPUTED_VALUE"""),"BB")</f>
        <v>BB</v>
      </c>
      <c r="D1077" s="1"/>
    </row>
    <row r="1078" spans="1:4" ht="12.5">
      <c r="A1078" s="1" t="str">
        <f ca="1">IFERROR(__xludf.DUMMYFUNCTION("""COMPUTED_VALUE"""),"20200121ILLIC")</f>
        <v>20200121ILLIC</v>
      </c>
      <c r="B1078" s="1" t="str">
        <f ca="1">IFERROR(__xludf.DUMMYFUNCTION("""COMPUTED_VALUE"""),"Handgun")</f>
        <v>Handgun</v>
      </c>
      <c r="C1078" s="1" t="str">
        <f ca="1">IFERROR(__xludf.DUMMYFUNCTION("""COMPUTED_VALUE"""),"Unknown")</f>
        <v>Unknown</v>
      </c>
      <c r="D1078" s="1"/>
    </row>
    <row r="1079" spans="1:4" ht="12.5">
      <c r="A1079" s="1" t="str">
        <f ca="1">IFERROR(__xludf.DUMMYFUNCTION("""COMPUTED_VALUE"""),"20200119TXNOF")</f>
        <v>20200119TXNOF</v>
      </c>
      <c r="B1079" s="1" t="str">
        <f ca="1">IFERROR(__xludf.DUMMYFUNCTION("""COMPUTED_VALUE"""),"Multiple Handguns")</f>
        <v>Multiple Handguns</v>
      </c>
      <c r="C1079" s="1" t="str">
        <f ca="1">IFERROR(__xludf.DUMMYFUNCTION("""COMPUTED_VALUE"""),"Unknown")</f>
        <v>Unknown</v>
      </c>
      <c r="D1079" s="1"/>
    </row>
    <row r="1080" spans="1:4" ht="12.5">
      <c r="A1080" s="1" t="str">
        <f ca="1">IFERROR(__xludf.DUMMYFUNCTION("""COMPUTED_VALUE"""),"20200117SCCAS")</f>
        <v>20200117SCCAS</v>
      </c>
      <c r="B1080" s="1" t="str">
        <f ca="1">IFERROR(__xludf.DUMMYFUNCTION("""COMPUTED_VALUE"""),"No Data")</f>
        <v>No Data</v>
      </c>
      <c r="C1080" s="1"/>
      <c r="D1080" s="1"/>
    </row>
    <row r="1081" spans="1:4" ht="12.5">
      <c r="A1081" s="1" t="str">
        <f ca="1">IFERROR(__xludf.DUMMYFUNCTION("""COMPUTED_VALUE"""),"20200117MITHH")</f>
        <v>20200117MITHH</v>
      </c>
      <c r="B1081" s="1" t="str">
        <f ca="1">IFERROR(__xludf.DUMMYFUNCTION("""COMPUTED_VALUE"""),"Handgun")</f>
        <v>Handgun</v>
      </c>
      <c r="C1081" s="1" t="str">
        <f ca="1">IFERROR(__xludf.DUMMYFUNCTION("""COMPUTED_VALUE"""),"Unknown")</f>
        <v>Unknown</v>
      </c>
      <c r="D1081" s="1"/>
    </row>
    <row r="1082" spans="1:4" ht="12.5">
      <c r="A1082" s="1" t="str">
        <f ca="1">IFERROR(__xludf.DUMMYFUNCTION("""COMPUTED_VALUE"""),"20200114TXPOM")</f>
        <v>20200114TXPOM</v>
      </c>
      <c r="B1082" s="1" t="str">
        <f ca="1">IFERROR(__xludf.DUMMYFUNCTION("""COMPUTED_VALUE"""),"Handgun")</f>
        <v>Handgun</v>
      </c>
      <c r="C1082" s="1" t="str">
        <f ca="1">IFERROR(__xludf.DUMMYFUNCTION("""COMPUTED_VALUE"""),"Unknown")</f>
        <v>Unknown</v>
      </c>
      <c r="D1082" s="1"/>
    </row>
    <row r="1083" spans="1:4" ht="12.5">
      <c r="A1083" s="1" t="str">
        <f ca="1">IFERROR(__xludf.DUMMYFUNCTION("""COMPUTED_VALUE"""),"20200114TXBEH")</f>
        <v>20200114TXBEH</v>
      </c>
      <c r="B1083" s="1" t="str">
        <f ca="1">IFERROR(__xludf.DUMMYFUNCTION("""COMPUTED_VALUE"""),"Handgun")</f>
        <v>Handgun</v>
      </c>
      <c r="C1083" s="1" t="str">
        <f ca="1">IFERROR(__xludf.DUMMYFUNCTION("""COMPUTED_VALUE"""),"Unknown")</f>
        <v>Unknown</v>
      </c>
      <c r="D1083" s="1"/>
    </row>
    <row r="1084" spans="1:4" ht="12.5">
      <c r="A1084" s="1" t="str">
        <f ca="1">IFERROR(__xludf.DUMMYFUNCTION("""COMPUTED_VALUE"""),"20200111TXELD")</f>
        <v>20200111TXELD</v>
      </c>
      <c r="B1084" s="1" t="str">
        <f ca="1">IFERROR(__xludf.DUMMYFUNCTION("""COMPUTED_VALUE"""),"Handgun")</f>
        <v>Handgun</v>
      </c>
      <c r="C1084" s="1" t="str">
        <f ca="1">IFERROR(__xludf.DUMMYFUNCTION("""COMPUTED_VALUE"""),"Unknown")</f>
        <v>Unknown</v>
      </c>
      <c r="D1084" s="1"/>
    </row>
    <row r="1085" spans="1:4" ht="12.5">
      <c r="A1085" s="1" t="str">
        <f ca="1">IFERROR(__xludf.DUMMYFUNCTION("""COMPUTED_VALUE"""),"20200110MSMCJ")</f>
        <v>20200110MSMCJ</v>
      </c>
      <c r="B1085" s="1" t="str">
        <f ca="1">IFERROR(__xludf.DUMMYFUNCTION("""COMPUTED_VALUE"""),"Other")</f>
        <v>Other</v>
      </c>
      <c r="C1085" s="1" t="str">
        <f ca="1">IFERROR(__xludf.DUMMYFUNCTION("""COMPUTED_VALUE"""),"BB")</f>
        <v>BB</v>
      </c>
      <c r="D1085" s="1"/>
    </row>
    <row r="1086" spans="1:4" ht="12.5">
      <c r="A1086" s="1" t="str">
        <f ca="1">IFERROR(__xludf.DUMMYFUNCTION("""COMPUTED_VALUE"""),"20200108FLGLB")</f>
        <v>20200108FLGLB</v>
      </c>
      <c r="B1086" s="1" t="str">
        <f ca="1">IFERROR(__xludf.DUMMYFUNCTION("""COMPUTED_VALUE"""),"Handgun")</f>
        <v>Handgun</v>
      </c>
      <c r="C1086" s="1" t="str">
        <f ca="1">IFERROR(__xludf.DUMMYFUNCTION("""COMPUTED_VALUE"""),"Unknown")</f>
        <v>Unknown</v>
      </c>
      <c r="D1086" s="1"/>
    </row>
    <row r="1087" spans="1:4" ht="12.5">
      <c r="A1087" s="1" t="str">
        <f ca="1">IFERROR(__xludf.DUMMYFUNCTION("""COMPUTED_VALUE"""),"20200107WASOK")</f>
        <v>20200107WASOK</v>
      </c>
      <c r="B1087" s="1" t="str">
        <f ca="1">IFERROR(__xludf.DUMMYFUNCTION("""COMPUTED_VALUE"""),"Other")</f>
        <v>Other</v>
      </c>
      <c r="C1087" s="1" t="str">
        <f ca="1">IFERROR(__xludf.DUMMYFUNCTION("""COMPUTED_VALUE"""),"BB")</f>
        <v>BB</v>
      </c>
      <c r="D1087" s="1"/>
    </row>
    <row r="1088" spans="1:4" ht="12.5">
      <c r="A1088" s="1" t="str">
        <f ca="1">IFERROR(__xludf.DUMMYFUNCTION("""COMPUTED_VALUE"""),"20191228MOMAS")</f>
        <v>20191228MOMAS</v>
      </c>
      <c r="B1088" s="1" t="str">
        <f ca="1">IFERROR(__xludf.DUMMYFUNCTION("""COMPUTED_VALUE"""),"No Data")</f>
        <v>No Data</v>
      </c>
      <c r="C1088" s="1"/>
      <c r="D1088" s="1"/>
    </row>
    <row r="1089" spans="1:4" ht="12.5">
      <c r="A1089" s="1" t="str">
        <f ca="1">IFERROR(__xludf.DUMMYFUNCTION("""COMPUTED_VALUE"""),"20191221LAWES")</f>
        <v>20191221LAWES</v>
      </c>
      <c r="B1089" s="1" t="str">
        <f ca="1">IFERROR(__xludf.DUMMYFUNCTION("""COMPUTED_VALUE"""),"Handgun")</f>
        <v>Handgun</v>
      </c>
      <c r="C1089" s="1" t="str">
        <f ca="1">IFERROR(__xludf.DUMMYFUNCTION("""COMPUTED_VALUE"""),"Unknown")</f>
        <v>Unknown</v>
      </c>
      <c r="D1089" s="1"/>
    </row>
    <row r="1090" spans="1:4" ht="12.5">
      <c r="A1090" s="1" t="str">
        <f ca="1">IFERROR(__xludf.DUMMYFUNCTION("""COMPUTED_VALUE"""),"20191219FLLEN")</f>
        <v>20191219FLLEN</v>
      </c>
      <c r="B1090" s="1" t="str">
        <f ca="1">IFERROR(__xludf.DUMMYFUNCTION("""COMPUTED_VALUE"""),"No Data")</f>
        <v>No Data</v>
      </c>
      <c r="C1090" s="1"/>
      <c r="D1090" s="1"/>
    </row>
    <row r="1091" spans="1:4" ht="12.5">
      <c r="A1091" s="1" t="str">
        <f ca="1">IFERROR(__xludf.DUMMYFUNCTION("""COMPUTED_VALUE"""),"20191216CTCAN")</f>
        <v>20191216CTCAN</v>
      </c>
      <c r="B1091" s="1" t="str">
        <f ca="1">IFERROR(__xludf.DUMMYFUNCTION("""COMPUTED_VALUE"""),"Handgun")</f>
        <v>Handgun</v>
      </c>
      <c r="C1091" s="1" t="str">
        <f ca="1">IFERROR(__xludf.DUMMYFUNCTION("""COMPUTED_VALUE"""),"Unknown")</f>
        <v>Unknown</v>
      </c>
      <c r="D1091" s="1"/>
    </row>
    <row r="1092" spans="1:4" ht="12.5">
      <c r="A1092" s="1" t="str">
        <f ca="1">IFERROR(__xludf.DUMMYFUNCTION("""COMPUTED_VALUE"""),"20191213VAMAN")</f>
        <v>20191213VAMAN</v>
      </c>
      <c r="B1092" s="1" t="str">
        <f ca="1">IFERROR(__xludf.DUMMYFUNCTION("""COMPUTED_VALUE"""),"Handgun")</f>
        <v>Handgun</v>
      </c>
      <c r="C1092" s="1" t="str">
        <f ca="1">IFERROR(__xludf.DUMMYFUNCTION("""COMPUTED_VALUE"""),"Unknown")</f>
        <v>Unknown</v>
      </c>
      <c r="D1092" s="1"/>
    </row>
    <row r="1093" spans="1:4" ht="12.5">
      <c r="A1093" s="1" t="str">
        <f ca="1">IFERROR(__xludf.DUMMYFUNCTION("""COMPUTED_VALUE"""),"20191211KSCHT")</f>
        <v>20191211KSCHT</v>
      </c>
      <c r="B1093" s="1" t="str">
        <f ca="1">IFERROR(__xludf.DUMMYFUNCTION("""COMPUTED_VALUE"""),"Other")</f>
        <v>Other</v>
      </c>
      <c r="C1093" s="1" t="str">
        <f ca="1">IFERROR(__xludf.DUMMYFUNCTION("""COMPUTED_VALUE"""),"BB")</f>
        <v>BB</v>
      </c>
      <c r="D1093" s="1"/>
    </row>
    <row r="1094" spans="1:4" ht="12.5">
      <c r="A1094" s="1" t="str">
        <f ca="1">IFERROR(__xludf.DUMMYFUNCTION("""COMPUTED_VALUE"""),"20191211INEVE")</f>
        <v>20191211INEVE</v>
      </c>
      <c r="B1094" s="1" t="str">
        <f ca="1">IFERROR(__xludf.DUMMYFUNCTION("""COMPUTED_VALUE"""),"Other")</f>
        <v>Other</v>
      </c>
      <c r="C1094" s="1" t="str">
        <f ca="1">IFERROR(__xludf.DUMMYFUNCTION("""COMPUTED_VALUE"""),"BB")</f>
        <v>BB</v>
      </c>
      <c r="D1094" s="1"/>
    </row>
    <row r="1095" spans="1:4" ht="12.5">
      <c r="A1095" s="1" t="str">
        <f ca="1">IFERROR(__xludf.DUMMYFUNCTION("""COMPUTED_VALUE"""),"20191210NJSAJ")</f>
        <v>20191210NJSAJ</v>
      </c>
      <c r="B1095" s="1" t="str">
        <f ca="1">IFERROR(__xludf.DUMMYFUNCTION("""COMPUTED_VALUE"""),"Multiple Unknown")</f>
        <v>Multiple Unknown</v>
      </c>
      <c r="C1095" s="1" t="str">
        <f ca="1">IFERROR(__xludf.DUMMYFUNCTION("""COMPUTED_VALUE"""),"Unknown")</f>
        <v>Unknown</v>
      </c>
      <c r="D1095" s="1"/>
    </row>
    <row r="1096" spans="1:4" ht="12.5">
      <c r="A1096" s="1" t="str">
        <f ca="1">IFERROR(__xludf.DUMMYFUNCTION("""COMPUTED_VALUE"""),"20191210KSJCK")</f>
        <v>20191210KSJCK</v>
      </c>
      <c r="B1096" s="1" t="str">
        <f ca="1">IFERROR(__xludf.DUMMYFUNCTION("""COMPUTED_VALUE"""),"No Data")</f>
        <v>No Data</v>
      </c>
      <c r="C1096" s="1"/>
      <c r="D1096" s="1"/>
    </row>
    <row r="1097" spans="1:4" ht="12.5">
      <c r="A1097" s="1" t="str">
        <f ca="1">IFERROR(__xludf.DUMMYFUNCTION("""COMPUTED_VALUE"""),"20191210ALDED")</f>
        <v>20191210ALDED</v>
      </c>
      <c r="B1097" s="1" t="str">
        <f ca="1">IFERROR(__xludf.DUMMYFUNCTION("""COMPUTED_VALUE"""),"Handgun")</f>
        <v>Handgun</v>
      </c>
      <c r="C1097" s="1" t="str">
        <f ca="1">IFERROR(__xludf.DUMMYFUNCTION("""COMPUTED_VALUE"""),"Unknown")</f>
        <v>Unknown</v>
      </c>
      <c r="D1097" s="1"/>
    </row>
    <row r="1098" spans="1:4" ht="12.5">
      <c r="A1098" s="1" t="str">
        <f ca="1">IFERROR(__xludf.DUMMYFUNCTION("""COMPUTED_VALUE"""),"20191204NMPIL")</f>
        <v>20191204NMPIL</v>
      </c>
      <c r="B1098" s="1" t="str">
        <f ca="1">IFERROR(__xludf.DUMMYFUNCTION("""COMPUTED_VALUE"""),"Handgun")</f>
        <v>Handgun</v>
      </c>
      <c r="C1098" s="1" t="str">
        <f ca="1">IFERROR(__xludf.DUMMYFUNCTION("""COMPUTED_VALUE"""),"Service Weapon")</f>
        <v>Service Weapon</v>
      </c>
      <c r="D1098" s="1"/>
    </row>
    <row r="1099" spans="1:4" ht="12.5">
      <c r="A1099" s="1" t="str">
        <f ca="1">IFERROR(__xludf.DUMMYFUNCTION("""COMPUTED_VALUE"""),"20191203WITHM")</f>
        <v>20191203WITHM</v>
      </c>
      <c r="B1099" s="1" t="str">
        <f ca="1">IFERROR(__xludf.DUMMYFUNCTION("""COMPUTED_VALUE"""),"Other")</f>
        <v>Other</v>
      </c>
      <c r="C1099" s="1" t="str">
        <f ca="1">IFERROR(__xludf.DUMMYFUNCTION("""COMPUTED_VALUE"""),"BB")</f>
        <v>BB</v>
      </c>
      <c r="D1099" s="1"/>
    </row>
    <row r="1100" spans="1:4" ht="12.5">
      <c r="A1100" s="1" t="str">
        <f ca="1">IFERROR(__xludf.DUMMYFUNCTION("""COMPUTED_VALUE"""),"20191203WIOSO")</f>
        <v>20191203WIOSO</v>
      </c>
      <c r="B1100" s="1" t="str">
        <f ca="1">IFERROR(__xludf.DUMMYFUNCTION("""COMPUTED_VALUE"""),"Handgun")</f>
        <v>Handgun</v>
      </c>
      <c r="C1100" s="1" t="str">
        <f ca="1">IFERROR(__xludf.DUMMYFUNCTION("""COMPUTED_VALUE"""),"Service Weapon")</f>
        <v>Service Weapon</v>
      </c>
      <c r="D1100" s="1"/>
    </row>
    <row r="1101" spans="1:4" ht="12.5">
      <c r="A1101" s="1" t="str">
        <f ca="1">IFERROR(__xludf.DUMMYFUNCTION("""COMPUTED_VALUE"""),"20191202WIWAW")</f>
        <v>20191202WIWAW</v>
      </c>
      <c r="B1101" s="1" t="str">
        <f ca="1">IFERROR(__xludf.DUMMYFUNCTION("""COMPUTED_VALUE"""),"Handgun")</f>
        <v>Handgun</v>
      </c>
      <c r="C1101" s="1" t="str">
        <f ca="1">IFERROR(__xludf.DUMMYFUNCTION("""COMPUTED_VALUE"""),"Unknown")</f>
        <v>Unknown</v>
      </c>
      <c r="D1101" s="1"/>
    </row>
    <row r="1102" spans="1:4" ht="12.5">
      <c r="A1102" s="1" t="str">
        <f ca="1">IFERROR(__xludf.DUMMYFUNCTION("""COMPUTED_VALUE"""),"20191201ALMOM")</f>
        <v>20191201ALMOM</v>
      </c>
      <c r="B1102" s="1" t="str">
        <f ca="1">IFERROR(__xludf.DUMMYFUNCTION("""COMPUTED_VALUE"""),"Handgun")</f>
        <v>Handgun</v>
      </c>
      <c r="C1102" s="1" t="str">
        <f ca="1">IFERROR(__xludf.DUMMYFUNCTION("""COMPUTED_VALUE"""),"Unknown")</f>
        <v>Unknown</v>
      </c>
      <c r="D1102" s="1"/>
    </row>
    <row r="1103" spans="1:4" ht="12.5">
      <c r="A1103" s="1" t="str">
        <f ca="1">IFERROR(__xludf.DUMMYFUNCTION("""COMPUTED_VALUE"""),"20191126WASAV")</f>
        <v>20191126WASAV</v>
      </c>
      <c r="B1103" s="1" t="str">
        <f ca="1">IFERROR(__xludf.DUMMYFUNCTION("""COMPUTED_VALUE"""),"Handgun")</f>
        <v>Handgun</v>
      </c>
      <c r="C1103" s="1" t="str">
        <f ca="1">IFERROR(__xludf.DUMMYFUNCTION("""COMPUTED_VALUE"""),"Unknown")</f>
        <v>Unknown</v>
      </c>
      <c r="D1103" s="1"/>
    </row>
    <row r="1104" spans="1:4" ht="12.5">
      <c r="A1104" s="1" t="str">
        <f ca="1">IFERROR(__xludf.DUMMYFUNCTION("""COMPUTED_VALUE"""),"20191125ILCAC")</f>
        <v>20191125ILCAC</v>
      </c>
      <c r="B1104" s="1" t="str">
        <f ca="1">IFERROR(__xludf.DUMMYFUNCTION("""COMPUTED_VALUE"""),"Handgun")</f>
        <v>Handgun</v>
      </c>
      <c r="C1104" s="1" t="str">
        <f ca="1">IFERROR(__xludf.DUMMYFUNCTION("""COMPUTED_VALUE"""),"Unknown")</f>
        <v>Unknown</v>
      </c>
      <c r="D1104" s="1"/>
    </row>
    <row r="1105" spans="1:4" ht="12.5">
      <c r="A1105" s="1" t="str">
        <f ca="1">IFERROR(__xludf.DUMMYFUNCTION("""COMPUTED_VALUE"""),"20191124CASEU")</f>
        <v>20191124CASEU</v>
      </c>
      <c r="B1105" s="1" t="str">
        <f ca="1">IFERROR(__xludf.DUMMYFUNCTION("""COMPUTED_VALUE"""),"Multiple Unknown")</f>
        <v>Multiple Unknown</v>
      </c>
      <c r="C1105" s="1" t="str">
        <f ca="1">IFERROR(__xludf.DUMMYFUNCTION("""COMPUTED_VALUE"""),"Unknown")</f>
        <v>Unknown</v>
      </c>
      <c r="D1105" s="1"/>
    </row>
    <row r="1106" spans="1:4" ht="12.5">
      <c r="A1106" s="1" t="str">
        <f ca="1">IFERROR(__xludf.DUMMYFUNCTION("""COMPUTED_VALUE"""),"20191121ILRIO")</f>
        <v>20191121ILRIO</v>
      </c>
      <c r="B1106" s="1" t="str">
        <f ca="1">IFERROR(__xludf.DUMMYFUNCTION("""COMPUTED_VALUE"""),"Other")</f>
        <v>Other</v>
      </c>
      <c r="C1106" s="1" t="str">
        <f ca="1">IFERROR(__xludf.DUMMYFUNCTION("""COMPUTED_VALUE"""),"Pellet")</f>
        <v>Pellet</v>
      </c>
      <c r="D1106" s="1"/>
    </row>
    <row r="1107" spans="1:4" ht="12.5">
      <c r="A1107" s="1" t="str">
        <f ca="1">IFERROR(__xludf.DUMMYFUNCTION("""COMPUTED_VALUE"""),"20191115NJPLP")</f>
        <v>20191115NJPLP</v>
      </c>
      <c r="B1107" s="1" t="str">
        <f ca="1">IFERROR(__xludf.DUMMYFUNCTION("""COMPUTED_VALUE"""),"Handgun")</f>
        <v>Handgun</v>
      </c>
      <c r="C1107" s="1" t="str">
        <f ca="1">IFERROR(__xludf.DUMMYFUNCTION("""COMPUTED_VALUE"""),"Unknown")</f>
        <v>Unknown</v>
      </c>
      <c r="D1107" s="1"/>
    </row>
    <row r="1108" spans="1:4" ht="12.5">
      <c r="A1108" s="1" t="str">
        <f ca="1">IFERROR(__xludf.DUMMYFUNCTION("""COMPUTED_VALUE"""),"20191114CASAS")</f>
        <v>20191114CASAS</v>
      </c>
      <c r="B1108" s="1" t="str">
        <f ca="1">IFERROR(__xludf.DUMMYFUNCTION("""COMPUTED_VALUE"""),"Handgun")</f>
        <v>Handgun</v>
      </c>
      <c r="C1108" s="1" t="str">
        <f ca="1">IFERROR(__xludf.DUMMYFUNCTION("""COMPUTED_VALUE"""),".45 caliber")</f>
        <v>.45 caliber</v>
      </c>
      <c r="D1108" s="1"/>
    </row>
    <row r="1109" spans="1:4" ht="12.5">
      <c r="A1109" s="1" t="str">
        <f ca="1">IFERROR(__xludf.DUMMYFUNCTION("""COMPUTED_VALUE"""),"20191113CAESL")</f>
        <v>20191113CAESL</v>
      </c>
      <c r="B1109" s="1" t="str">
        <f ca="1">IFERROR(__xludf.DUMMYFUNCTION("""COMPUTED_VALUE"""),"Unknown")</f>
        <v>Unknown</v>
      </c>
      <c r="C1109" s="1" t="str">
        <f ca="1">IFERROR(__xludf.DUMMYFUNCTION("""COMPUTED_VALUE"""),"Service Weapon")</f>
        <v>Service Weapon</v>
      </c>
      <c r="D1109" s="1"/>
    </row>
    <row r="1110" spans="1:4" ht="12.5">
      <c r="A1110" s="1" t="str">
        <f ca="1">IFERROR(__xludf.DUMMYFUNCTION("""COMPUTED_VALUE"""),"20191111MDACB")</f>
        <v>20191111MDACB</v>
      </c>
      <c r="B1110" s="1" t="str">
        <f ca="1">IFERROR(__xludf.DUMMYFUNCTION("""COMPUTED_VALUE"""),"Handgun")</f>
        <v>Handgun</v>
      </c>
      <c r="C1110" s="1" t="str">
        <f ca="1">IFERROR(__xludf.DUMMYFUNCTION("""COMPUTED_VALUE"""),"Unknown")</f>
        <v>Unknown</v>
      </c>
      <c r="D1110" s="1"/>
    </row>
    <row r="1111" spans="1:4" ht="12.5">
      <c r="A1111" s="1" t="str">
        <f ca="1">IFERROR(__xludf.DUMMYFUNCTION("""COMPUTED_VALUE"""),"20191108TXROD")</f>
        <v>20191108TXROD</v>
      </c>
      <c r="B1111" s="1" t="str">
        <f ca="1">IFERROR(__xludf.DUMMYFUNCTION("""COMPUTED_VALUE"""),"No Data")</f>
        <v>No Data</v>
      </c>
      <c r="C1111" s="1"/>
      <c r="D1111" s="1"/>
    </row>
    <row r="1112" spans="1:4" ht="12.5">
      <c r="A1112" s="1" t="str">
        <f ca="1">IFERROR(__xludf.DUMMYFUNCTION("""COMPUTED_VALUE"""),"20191108CAEDS")</f>
        <v>20191108CAEDS</v>
      </c>
      <c r="B1112" s="1" t="str">
        <f ca="1">IFERROR(__xludf.DUMMYFUNCTION("""COMPUTED_VALUE"""),"No Data")</f>
        <v>No Data</v>
      </c>
      <c r="C1112" s="1"/>
      <c r="D1112" s="1"/>
    </row>
    <row r="1113" spans="1:4" ht="12.5">
      <c r="A1113" s="1" t="str">
        <f ca="1">IFERROR(__xludf.DUMMYFUNCTION("""COMPUTED_VALUE"""),"20191029NYNEN")</f>
        <v>20191029NYNEN</v>
      </c>
      <c r="B1113" s="1" t="str">
        <f ca="1">IFERROR(__xludf.DUMMYFUNCTION("""COMPUTED_VALUE"""),"Handgun")</f>
        <v>Handgun</v>
      </c>
      <c r="C1113" s="1" t="str">
        <f ca="1">IFERROR(__xludf.DUMMYFUNCTION("""COMPUTED_VALUE"""),"Unknown")</f>
        <v>Unknown</v>
      </c>
      <c r="D1113" s="1"/>
    </row>
    <row r="1114" spans="1:4" ht="12.5">
      <c r="A1114" s="1" t="str">
        <f ca="1">IFERROR(__xludf.DUMMYFUNCTION("""COMPUTED_VALUE"""),"20191027MDLAL")</f>
        <v>20191027MDLAL</v>
      </c>
      <c r="B1114" s="1" t="str">
        <f ca="1">IFERROR(__xludf.DUMMYFUNCTION("""COMPUTED_VALUE"""),"Handgun")</f>
        <v>Handgun</v>
      </c>
      <c r="C1114" s="1" t="str">
        <f ca="1">IFERROR(__xludf.DUMMYFUNCTION("""COMPUTED_VALUE"""),"Unknown")</f>
        <v>Unknown</v>
      </c>
      <c r="D1114" s="1"/>
    </row>
    <row r="1115" spans="1:4" ht="12.5">
      <c r="A1115" s="1" t="str">
        <f ca="1">IFERROR(__xludf.DUMMYFUNCTION("""COMPUTED_VALUE"""),"20191022CARIS")</f>
        <v>20191022CARIS</v>
      </c>
      <c r="B1115" s="1" t="str">
        <f ca="1">IFERROR(__xludf.DUMMYFUNCTION("""COMPUTED_VALUE"""),"Handgun")</f>
        <v>Handgun</v>
      </c>
      <c r="C1115" s="1" t="str">
        <f ca="1">IFERROR(__xludf.DUMMYFUNCTION("""COMPUTED_VALUE"""),"Unknown")</f>
        <v>Unknown</v>
      </c>
      <c r="D1115" s="1"/>
    </row>
    <row r="1116" spans="1:4" ht="12.5">
      <c r="A1116" s="1" t="str">
        <f ca="1">IFERROR(__xludf.DUMMYFUNCTION("""COMPUTED_VALUE"""),"20191018OHWOT")</f>
        <v>20191018OHWOT</v>
      </c>
      <c r="B1116" s="1" t="str">
        <f ca="1">IFERROR(__xludf.DUMMYFUNCTION("""COMPUTED_VALUE"""),"No Data")</f>
        <v>No Data</v>
      </c>
      <c r="C1116" s="1"/>
      <c r="D1116" s="1"/>
    </row>
    <row r="1117" spans="1:4" ht="12.5">
      <c r="A1117" s="1" t="str">
        <f ca="1">IFERROR(__xludf.DUMMYFUNCTION("""COMPUTED_VALUE"""),"20191018GACRS")</f>
        <v>20191018GACRS</v>
      </c>
      <c r="B1117" s="1" t="str">
        <f ca="1">IFERROR(__xludf.DUMMYFUNCTION("""COMPUTED_VALUE"""),"Handgun")</f>
        <v>Handgun</v>
      </c>
      <c r="C1117" s="1" t="str">
        <f ca="1">IFERROR(__xludf.DUMMYFUNCTION("""COMPUTED_VALUE"""),"Unknown")</f>
        <v>Unknown</v>
      </c>
      <c r="D1117" s="1"/>
    </row>
    <row r="1118" spans="1:4" ht="12.5">
      <c r="A1118" s="1" t="str">
        <f ca="1">IFERROR(__xludf.DUMMYFUNCTION("""COMPUTED_VALUE"""),"20191015LAGEN")</f>
        <v>20191015LAGEN</v>
      </c>
      <c r="B1118" s="1" t="str">
        <f ca="1">IFERROR(__xludf.DUMMYFUNCTION("""COMPUTED_VALUE"""),"Handgun")</f>
        <v>Handgun</v>
      </c>
      <c r="C1118" s="1" t="str">
        <f ca="1">IFERROR(__xludf.DUMMYFUNCTION("""COMPUTED_VALUE"""),"Unknown")</f>
        <v>Unknown</v>
      </c>
      <c r="D1118" s="1"/>
    </row>
    <row r="1119" spans="1:4" ht="12.5">
      <c r="A1119" s="1" t="str">
        <f ca="1">IFERROR(__xludf.DUMMYFUNCTION("""COMPUTED_VALUE"""),"20191011LARAR")</f>
        <v>20191011LARAR</v>
      </c>
      <c r="B1119" s="1" t="str">
        <f ca="1">IFERROR(__xludf.DUMMYFUNCTION("""COMPUTED_VALUE"""),"Handgun")</f>
        <v>Handgun</v>
      </c>
      <c r="C1119" s="1" t="str">
        <f ca="1">IFERROR(__xludf.DUMMYFUNCTION("""COMPUTED_VALUE"""),"Unknown")</f>
        <v>Unknown</v>
      </c>
      <c r="D1119" s="1"/>
    </row>
    <row r="1120" spans="1:4" ht="12.5">
      <c r="A1120" s="1" t="str">
        <f ca="1">IFERROR(__xludf.DUMMYFUNCTION("""COMPUTED_VALUE"""),"20191009MAGRL")</f>
        <v>20191009MAGRL</v>
      </c>
      <c r="B1120" s="1" t="str">
        <f ca="1">IFERROR(__xludf.DUMMYFUNCTION("""COMPUTED_VALUE"""),"Other")</f>
        <v>Other</v>
      </c>
      <c r="C1120" s="1" t="str">
        <f ca="1">IFERROR(__xludf.DUMMYFUNCTION("""COMPUTED_VALUE"""),"BB")</f>
        <v>BB</v>
      </c>
      <c r="D1120" s="1"/>
    </row>
    <row r="1121" spans="1:4" ht="12.5">
      <c r="A1121" s="1" t="str">
        <f ca="1">IFERROR(__xludf.DUMMYFUNCTION("""COMPUTED_VALUE"""),"20191008TXWEH")</f>
        <v>20191008TXWEH</v>
      </c>
      <c r="B1121" s="1" t="str">
        <f ca="1">IFERROR(__xludf.DUMMYFUNCTION("""COMPUTED_VALUE"""),"No Data")</f>
        <v>No Data</v>
      </c>
      <c r="C1121" s="1"/>
      <c r="D1121" s="1"/>
    </row>
    <row r="1122" spans="1:4" ht="12.5">
      <c r="A1122" s="1" t="str">
        <f ca="1">IFERROR(__xludf.DUMMYFUNCTION("""COMPUTED_VALUE"""),"20191008COSHS")</f>
        <v>20191008COSHS</v>
      </c>
      <c r="B1122" s="1" t="str">
        <f ca="1">IFERROR(__xludf.DUMMYFUNCTION("""COMPUTED_VALUE"""),"Handgun")</f>
        <v>Handgun</v>
      </c>
      <c r="C1122" s="1" t="str">
        <f ca="1">IFERROR(__xludf.DUMMYFUNCTION("""COMPUTED_VALUE"""),"Unknown")</f>
        <v>Unknown</v>
      </c>
      <c r="D1122" s="1"/>
    </row>
    <row r="1123" spans="1:4" ht="12.5">
      <c r="A1123" s="1" t="str">
        <f ca="1">IFERROR(__xludf.DUMMYFUNCTION("""COMPUTED_VALUE"""),"20191002GASOA")</f>
        <v>20191002GASOA</v>
      </c>
      <c r="B1123" s="1" t="str">
        <f ca="1">IFERROR(__xludf.DUMMYFUNCTION("""COMPUTED_VALUE"""),"Handgun")</f>
        <v>Handgun</v>
      </c>
      <c r="C1123" s="1" t="str">
        <f ca="1">IFERROR(__xludf.DUMMYFUNCTION("""COMPUTED_VALUE"""),"Unknown")</f>
        <v>Unknown</v>
      </c>
      <c r="D1123" s="1"/>
    </row>
    <row r="1124" spans="1:4" ht="12.5">
      <c r="A1124" s="1" t="str">
        <f ca="1">IFERROR(__xludf.DUMMYFUNCTION("""COMPUTED_VALUE"""),"20190927NCZEC")</f>
        <v>20190927NCZEC</v>
      </c>
      <c r="B1124" s="1" t="str">
        <f ca="1">IFERROR(__xludf.DUMMYFUNCTION("""COMPUTED_VALUE"""),"Handgun")</f>
        <v>Handgun</v>
      </c>
      <c r="C1124" s="1" t="str">
        <f ca="1">IFERROR(__xludf.DUMMYFUNCTION("""COMPUTED_VALUE"""),"Unknown")</f>
        <v>Unknown</v>
      </c>
      <c r="D1124" s="1"/>
    </row>
    <row r="1125" spans="1:4" ht="12.5">
      <c r="A1125" s="1" t="str">
        <f ca="1">IFERROR(__xludf.DUMMYFUNCTION("""COMPUTED_VALUE"""),"20190927CADER")</f>
        <v>20190927CADER</v>
      </c>
      <c r="B1125" s="1" t="str">
        <f ca="1">IFERROR(__xludf.DUMMYFUNCTION("""COMPUTED_VALUE"""),"Multiple Handguns")</f>
        <v>Multiple Handguns</v>
      </c>
      <c r="C1125" s="1"/>
      <c r="D1125" s="1"/>
    </row>
    <row r="1126" spans="1:4" ht="12.5">
      <c r="A1126" s="1" t="str">
        <f ca="1">IFERROR(__xludf.DUMMYFUNCTION("""COMPUTED_VALUE"""),"20190920PASIP")</f>
        <v>20190920PASIP</v>
      </c>
      <c r="B1126" s="1" t="str">
        <f ca="1">IFERROR(__xludf.DUMMYFUNCTION("""COMPUTED_VALUE"""),"Handgun")</f>
        <v>Handgun</v>
      </c>
      <c r="C1126" s="1" t="str">
        <f ca="1">IFERROR(__xludf.DUMMYFUNCTION("""COMPUTED_VALUE"""),"Unknown")</f>
        <v>Unknown</v>
      </c>
      <c r="D1126" s="1"/>
    </row>
    <row r="1127" spans="1:4" ht="12.5">
      <c r="A1127" s="1" t="str">
        <f ca="1">IFERROR(__xludf.DUMMYFUNCTION("""COMPUTED_VALUE"""),"20190918MNFOC")</f>
        <v>20190918MNFOC</v>
      </c>
      <c r="B1127" s="1" t="str">
        <f ca="1">IFERROR(__xludf.DUMMYFUNCTION("""COMPUTED_VALUE"""),"Handgun")</f>
        <v>Handgun</v>
      </c>
      <c r="C1127" s="1"/>
      <c r="D1127" s="1" t="str">
        <f ca="1">IFERROR(__xludf.DUMMYFUNCTION("""COMPUTED_VALUE"""),"Illegally carried by felon")</f>
        <v>Illegally carried by felon</v>
      </c>
    </row>
    <row r="1128" spans="1:4" ht="12.5">
      <c r="A1128" s="1" t="str">
        <f ca="1">IFERROR(__xludf.DUMMYFUNCTION("""COMPUTED_VALUE"""),"20190916VAPHH")</f>
        <v>20190916VAPHH</v>
      </c>
      <c r="B1128" s="1" t="str">
        <f ca="1">IFERROR(__xludf.DUMMYFUNCTION("""COMPUTED_VALUE"""),"Handgun")</f>
        <v>Handgun</v>
      </c>
      <c r="C1128" s="1" t="str">
        <f ca="1">IFERROR(__xludf.DUMMYFUNCTION("""COMPUTED_VALUE"""),"Unknown")</f>
        <v>Unknown</v>
      </c>
      <c r="D1128" s="1"/>
    </row>
    <row r="1129" spans="1:4" ht="12.5">
      <c r="A1129" s="1" t="str">
        <f ca="1">IFERROR(__xludf.DUMMYFUNCTION("""COMPUTED_VALUE"""),"20190916ILILK")</f>
        <v>20190916ILILK</v>
      </c>
      <c r="B1129" s="1" t="str">
        <f ca="1">IFERROR(__xludf.DUMMYFUNCTION("""COMPUTED_VALUE"""),"No Data")</f>
        <v>No Data</v>
      </c>
      <c r="C1129" s="1"/>
      <c r="D1129" s="1"/>
    </row>
    <row r="1130" spans="1:4" ht="12.5">
      <c r="A1130" s="1" t="str">
        <f ca="1">IFERROR(__xludf.DUMMYFUNCTION("""COMPUTED_VALUE"""),"20190914TXEAF")</f>
        <v>20190914TXEAF</v>
      </c>
      <c r="B1130" s="1" t="str">
        <f ca="1">IFERROR(__xludf.DUMMYFUNCTION("""COMPUTED_VALUE"""),"Handgun")</f>
        <v>Handgun</v>
      </c>
      <c r="C1130" s="1" t="str">
        <f ca="1">IFERROR(__xludf.DUMMYFUNCTION("""COMPUTED_VALUE"""),"Unknown")</f>
        <v>Unknown</v>
      </c>
      <c r="D1130" s="1"/>
    </row>
    <row r="1131" spans="1:4" ht="12.5">
      <c r="A1131" s="1" t="str">
        <f ca="1">IFERROR(__xludf.DUMMYFUNCTION("""COMPUTED_VALUE"""),"20190913VAETN")</f>
        <v>20190913VAETN</v>
      </c>
      <c r="B1131" s="1" t="str">
        <f ca="1">IFERROR(__xludf.DUMMYFUNCTION("""COMPUTED_VALUE"""),"Handgun")</f>
        <v>Handgun</v>
      </c>
      <c r="C1131" s="1" t="str">
        <f ca="1">IFERROR(__xludf.DUMMYFUNCTION("""COMPUTED_VALUE"""),"Unknown")</f>
        <v>Unknown</v>
      </c>
      <c r="D1131" s="1"/>
    </row>
    <row r="1132" spans="1:4" ht="12.5">
      <c r="A1132" s="1" t="str">
        <f ca="1">IFERROR(__xludf.DUMMYFUNCTION("""COMPUTED_VALUE"""),"20190913UTGRW")</f>
        <v>20190913UTGRW</v>
      </c>
      <c r="B1132" s="1" t="str">
        <f ca="1">IFERROR(__xludf.DUMMYFUNCTION("""COMPUTED_VALUE"""),"Handgun")</f>
        <v>Handgun</v>
      </c>
      <c r="C1132" s="1" t="str">
        <f ca="1">IFERROR(__xludf.DUMMYFUNCTION("""COMPUTED_VALUE"""),"Unknown")</f>
        <v>Unknown</v>
      </c>
      <c r="D1132" s="1"/>
    </row>
    <row r="1133" spans="1:4" ht="12.5">
      <c r="A1133" s="1" t="str">
        <f ca="1">IFERROR(__xludf.DUMMYFUNCTION("""COMPUTED_VALUE"""),"20190912KSMAM")</f>
        <v>20190912KSMAM</v>
      </c>
      <c r="B1133" s="1" t="str">
        <f ca="1">IFERROR(__xludf.DUMMYFUNCTION("""COMPUTED_VALUE"""),"No Data")</f>
        <v>No Data</v>
      </c>
      <c r="C1133" s="1"/>
      <c r="D1133" s="1"/>
    </row>
    <row r="1134" spans="1:4" ht="12.5">
      <c r="A1134" s="1" t="str">
        <f ca="1">IFERROR(__xludf.DUMMYFUNCTION("""COMPUTED_VALUE"""),"20190910SCSOA")</f>
        <v>20190910SCSOA</v>
      </c>
      <c r="B1134" s="1" t="str">
        <f ca="1">IFERROR(__xludf.DUMMYFUNCTION("""COMPUTED_VALUE"""),"Handgun")</f>
        <v>Handgun</v>
      </c>
      <c r="C1134" s="1" t="str">
        <f ca="1">IFERROR(__xludf.DUMMYFUNCTION("""COMPUTED_VALUE"""),"Unknown")</f>
        <v>Unknown</v>
      </c>
      <c r="D1134" s="1"/>
    </row>
    <row r="1135" spans="1:4" ht="12.5">
      <c r="A1135" s="1" t="str">
        <f ca="1">IFERROR(__xludf.DUMMYFUNCTION("""COMPUTED_VALUE"""),"20190906PAWEM")</f>
        <v>20190906PAWEM</v>
      </c>
      <c r="B1135" s="1" t="str">
        <f ca="1">IFERROR(__xludf.DUMMYFUNCTION("""COMPUTED_VALUE"""),"No Data")</f>
        <v>No Data</v>
      </c>
      <c r="C1135" s="1"/>
      <c r="D1135" s="1"/>
    </row>
    <row r="1136" spans="1:4" ht="12.5">
      <c r="A1136" s="1" t="str">
        <f ca="1">IFERROR(__xludf.DUMMYFUNCTION("""COMPUTED_VALUE"""),"20190906PAMCJ")</f>
        <v>20190906PAMCJ</v>
      </c>
      <c r="B1136" s="1" t="str">
        <f ca="1">IFERROR(__xludf.DUMMYFUNCTION("""COMPUTED_VALUE"""),"Handgun")</f>
        <v>Handgun</v>
      </c>
      <c r="C1136" s="1" t="str">
        <f ca="1">IFERROR(__xludf.DUMMYFUNCTION("""COMPUTED_VALUE"""),"Unknown")</f>
        <v>Unknown</v>
      </c>
      <c r="D1136" s="1"/>
    </row>
    <row r="1137" spans="1:4" ht="12.5">
      <c r="A1137" s="1" t="str">
        <f ca="1">IFERROR(__xludf.DUMMYFUNCTION("""COMPUTED_VALUE"""),"20190906ALCEC")</f>
        <v>20190906ALCEC</v>
      </c>
      <c r="B1137" s="1" t="str">
        <f ca="1">IFERROR(__xludf.DUMMYFUNCTION("""COMPUTED_VALUE"""),"No Data")</f>
        <v>No Data</v>
      </c>
      <c r="C1137" s="1"/>
      <c r="D1137" s="1"/>
    </row>
    <row r="1138" spans="1:4" ht="12.5">
      <c r="A1138" s="1" t="str">
        <f ca="1">IFERROR(__xludf.DUMMYFUNCTION("""COMPUTED_VALUE"""),"20190902MDNOB")</f>
        <v>20190902MDNOB</v>
      </c>
      <c r="B1138" s="1" t="str">
        <f ca="1">IFERROR(__xludf.DUMMYFUNCTION("""COMPUTED_VALUE"""),"No Data")</f>
        <v>No Data</v>
      </c>
      <c r="C1138" s="1"/>
      <c r="D1138" s="1"/>
    </row>
    <row r="1139" spans="1:4" ht="12.5">
      <c r="A1139" s="1" t="str">
        <f ca="1">IFERROR(__xludf.DUMMYFUNCTION("""COMPUTED_VALUE"""),"20190830OHCET")</f>
        <v>20190830OHCET</v>
      </c>
      <c r="B1139" s="1" t="str">
        <f ca="1">IFERROR(__xludf.DUMMYFUNCTION("""COMPUTED_VALUE"""),"Handgun")</f>
        <v>Handgun</v>
      </c>
      <c r="C1139" s="1" t="str">
        <f ca="1">IFERROR(__xludf.DUMMYFUNCTION("""COMPUTED_VALUE"""),"Unknown")</f>
        <v>Unknown</v>
      </c>
      <c r="D1139" s="1"/>
    </row>
    <row r="1140" spans="1:4" ht="12.5">
      <c r="A1140" s="1" t="str">
        <f ca="1">IFERROR(__xludf.DUMMYFUNCTION("""COMPUTED_VALUE"""),"20190830NCKIK")</f>
        <v>20190830NCKIK</v>
      </c>
      <c r="B1140" s="1" t="str">
        <f ca="1">IFERROR(__xludf.DUMMYFUNCTION("""COMPUTED_VALUE"""),"Handgun")</f>
        <v>Handgun</v>
      </c>
      <c r="C1140" s="1" t="str">
        <f ca="1">IFERROR(__xludf.DUMMYFUNCTION("""COMPUTED_VALUE"""),"Unknown")</f>
        <v>Unknown</v>
      </c>
      <c r="D1140" s="1"/>
    </row>
    <row r="1141" spans="1:4" ht="12.5">
      <c r="A1141" s="1" t="str">
        <f ca="1">IFERROR(__xludf.DUMMYFUNCTION("""COMPUTED_VALUE"""),"20190830ALLAM")</f>
        <v>20190830ALLAM</v>
      </c>
      <c r="B1141" s="1" t="str">
        <f ca="1">IFERROR(__xludf.DUMMYFUNCTION("""COMPUTED_VALUE"""),"Handgun")</f>
        <v>Handgun</v>
      </c>
      <c r="C1141" s="1" t="str">
        <f ca="1">IFERROR(__xludf.DUMMYFUNCTION("""COMPUTED_VALUE"""),"Unknown")</f>
        <v>Unknown</v>
      </c>
      <c r="D1141" s="1"/>
    </row>
    <row r="1142" spans="1:4" ht="12.5">
      <c r="A1142" s="1" t="str">
        <f ca="1">IFERROR(__xludf.DUMMYFUNCTION("""COMPUTED_VALUE"""),"20190827NYROR")</f>
        <v>20190827NYROR</v>
      </c>
      <c r="B1142" s="1" t="str">
        <f ca="1">IFERROR(__xludf.DUMMYFUNCTION("""COMPUTED_VALUE"""),"Handgun")</f>
        <v>Handgun</v>
      </c>
      <c r="C1142" s="1" t="str">
        <f ca="1">IFERROR(__xludf.DUMMYFUNCTION("""COMPUTED_VALUE"""),"Unknown")</f>
        <v>Unknown</v>
      </c>
      <c r="D1142" s="1"/>
    </row>
    <row r="1143" spans="1:4" ht="12.5">
      <c r="A1143" s="1" t="str">
        <f ca="1">IFERROR(__xludf.DUMMYFUNCTION("""COMPUTED_VALUE"""),"20190827CAHOL")</f>
        <v>20190827CAHOL</v>
      </c>
      <c r="B1143" s="1" t="str">
        <f ca="1">IFERROR(__xludf.DUMMYFUNCTION("""COMPUTED_VALUE"""),"No Data")</f>
        <v>No Data</v>
      </c>
      <c r="C1143" s="1"/>
      <c r="D1143" s="1"/>
    </row>
    <row r="1144" spans="1:4" ht="12.5">
      <c r="A1144" s="1" t="str">
        <f ca="1">IFERROR(__xludf.DUMMYFUNCTION("""COMPUTED_VALUE"""),"20190824PAWIP")</f>
        <v>20190824PAWIP</v>
      </c>
      <c r="B1144" s="1" t="str">
        <f ca="1">IFERROR(__xludf.DUMMYFUNCTION("""COMPUTED_VALUE"""),"Handgun")</f>
        <v>Handgun</v>
      </c>
      <c r="C1144" s="1" t="str">
        <f ca="1">IFERROR(__xludf.DUMMYFUNCTION("""COMPUTED_VALUE"""),"Unknown")</f>
        <v>Unknown</v>
      </c>
      <c r="D1144" s="1"/>
    </row>
    <row r="1145" spans="1:4" ht="12.5">
      <c r="A1145" s="1" t="str">
        <f ca="1">IFERROR(__xludf.DUMMYFUNCTION("""COMPUTED_VALUE"""),"20190823MOROS")</f>
        <v>20190823MOROS</v>
      </c>
      <c r="B1145" s="1" t="str">
        <f ca="1">IFERROR(__xludf.DUMMYFUNCTION("""COMPUTED_VALUE"""),"No Data")</f>
        <v>No Data</v>
      </c>
      <c r="C1145" s="1"/>
      <c r="D1145" s="1"/>
    </row>
    <row r="1146" spans="1:4" ht="12.5">
      <c r="A1146" s="1" t="str">
        <f ca="1">IFERROR(__xludf.DUMMYFUNCTION("""COMPUTED_VALUE"""),"20190823MOPAS")</f>
        <v>20190823MOPAS</v>
      </c>
      <c r="B1146" s="1" t="str">
        <f ca="1">IFERROR(__xludf.DUMMYFUNCTION("""COMPUTED_VALUE"""),"Handgun")</f>
        <v>Handgun</v>
      </c>
      <c r="C1146" s="1" t="str">
        <f ca="1">IFERROR(__xludf.DUMMYFUNCTION("""COMPUTED_VALUE"""),"Unknown")</f>
        <v>Unknown</v>
      </c>
      <c r="D1146" s="1"/>
    </row>
    <row r="1147" spans="1:4" ht="12.5">
      <c r="A1147" s="1" t="str">
        <f ca="1">IFERROR(__xludf.DUMMYFUNCTION("""COMPUTED_VALUE"""),"20190823GAPEC")</f>
        <v>20190823GAPEC</v>
      </c>
      <c r="B1147" s="1" t="str">
        <f ca="1">IFERROR(__xludf.DUMMYFUNCTION("""COMPUTED_VALUE"""),"No Data")</f>
        <v>No Data</v>
      </c>
      <c r="C1147" s="1"/>
      <c r="D1147" s="1"/>
    </row>
    <row r="1148" spans="1:4" ht="12.5">
      <c r="A1148" s="1" t="str">
        <f ca="1">IFERROR(__xludf.DUMMYFUNCTION("""COMPUTED_VALUE"""),"20190820PASAC")</f>
        <v>20190820PASAC</v>
      </c>
      <c r="B1148" s="1" t="str">
        <f ca="1">IFERROR(__xludf.DUMMYFUNCTION("""COMPUTED_VALUE"""),"Handgun")</f>
        <v>Handgun</v>
      </c>
      <c r="C1148" s="1" t="str">
        <f ca="1">IFERROR(__xludf.DUMMYFUNCTION("""COMPUTED_VALUE"""),"Service Weapon")</f>
        <v>Service Weapon</v>
      </c>
      <c r="D1148" s="1"/>
    </row>
    <row r="1149" spans="1:4" ht="12.5">
      <c r="A1149" s="1" t="str">
        <f ca="1">IFERROR(__xludf.DUMMYFUNCTION("""COMPUTED_VALUE"""),"20190817GALAA")</f>
        <v>20190817GALAA</v>
      </c>
      <c r="B1149" s="1" t="str">
        <f ca="1">IFERROR(__xludf.DUMMYFUNCTION("""COMPUTED_VALUE"""),"Handgun")</f>
        <v>Handgun</v>
      </c>
      <c r="C1149" s="1" t="str">
        <f ca="1">IFERROR(__xludf.DUMMYFUNCTION("""COMPUTED_VALUE"""),"Unknown")</f>
        <v>Unknown</v>
      </c>
      <c r="D1149" s="1"/>
    </row>
    <row r="1150" spans="1:4" ht="12.5">
      <c r="A1150" s="1" t="str">
        <f ca="1">IFERROR(__xludf.DUMMYFUNCTION("""COMPUTED_VALUE"""),"20190815TNEAN")</f>
        <v>20190815TNEAN</v>
      </c>
      <c r="B1150" s="1" t="str">
        <f ca="1">IFERROR(__xludf.DUMMYFUNCTION("""COMPUTED_VALUE"""),"Handgun")</f>
        <v>Handgun</v>
      </c>
      <c r="C1150" s="1" t="str">
        <f ca="1">IFERROR(__xludf.DUMMYFUNCTION("""COMPUTED_VALUE"""),"9mm")</f>
        <v>9mm</v>
      </c>
      <c r="D1150" s="1"/>
    </row>
    <row r="1151" spans="1:4" ht="12.5">
      <c r="A1151" s="1" t="str">
        <f ca="1">IFERROR(__xludf.DUMMYFUNCTION("""COMPUTED_VALUE"""),"20190809NJWEN")</f>
        <v>20190809NJWEN</v>
      </c>
      <c r="B1151" s="1" t="str">
        <f ca="1">IFERROR(__xludf.DUMMYFUNCTION("""COMPUTED_VALUE"""),"Handgun")</f>
        <v>Handgun</v>
      </c>
      <c r="C1151" s="1"/>
      <c r="D1151" s="1"/>
    </row>
    <row r="1152" spans="1:4" ht="12.5">
      <c r="A1152" s="1" t="str">
        <f ca="1">IFERROR(__xludf.DUMMYFUNCTION("""COMPUTED_VALUE"""),"20190808ALBLM")</f>
        <v>20190808ALBLM</v>
      </c>
      <c r="B1152" s="1" t="str">
        <f ca="1">IFERROR(__xludf.DUMMYFUNCTION("""COMPUTED_VALUE"""),"Handgun")</f>
        <v>Handgun</v>
      </c>
      <c r="C1152" s="1" t="str">
        <f ca="1">IFERROR(__xludf.DUMMYFUNCTION("""COMPUTED_VALUE"""),"Unknown")</f>
        <v>Unknown</v>
      </c>
      <c r="D1152" s="1"/>
    </row>
    <row r="1153" spans="1:4" ht="12.5">
      <c r="A1153" s="1" t="str">
        <f ca="1">IFERROR(__xludf.DUMMYFUNCTION("""COMPUTED_VALUE"""),"20190719CAMOS")</f>
        <v>20190719CAMOS</v>
      </c>
      <c r="B1153" s="1" t="str">
        <f ca="1">IFERROR(__xludf.DUMMYFUNCTION("""COMPUTED_VALUE"""),"Other")</f>
        <v>Other</v>
      </c>
      <c r="C1153" s="1" t="str">
        <f ca="1">IFERROR(__xludf.DUMMYFUNCTION("""COMPUTED_VALUE"""),"BB")</f>
        <v>BB</v>
      </c>
      <c r="D1153" s="1"/>
    </row>
    <row r="1154" spans="1:4" ht="12.5">
      <c r="A1154" s="1" t="str">
        <f ca="1">IFERROR(__xludf.DUMMYFUNCTION("""COMPUTED_VALUE"""),"20190711CTBUH")</f>
        <v>20190711CTBUH</v>
      </c>
      <c r="B1154" s="1" t="str">
        <f ca="1">IFERROR(__xludf.DUMMYFUNCTION("""COMPUTED_VALUE"""),"No Data")</f>
        <v>No Data</v>
      </c>
      <c r="C1154" s="1"/>
      <c r="D1154" s="1"/>
    </row>
    <row r="1155" spans="1:4" ht="12.5">
      <c r="A1155" s="1" t="str">
        <f ca="1">IFERROR(__xludf.DUMMYFUNCTION("""COMPUTED_VALUE"""),"20190702AKWIA")</f>
        <v>20190702AKWIA</v>
      </c>
      <c r="B1155" s="1" t="str">
        <f ca="1">IFERROR(__xludf.DUMMYFUNCTION("""COMPUTED_VALUE"""),"Handgun")</f>
        <v>Handgun</v>
      </c>
      <c r="C1155" s="1" t="str">
        <f ca="1">IFERROR(__xludf.DUMMYFUNCTION("""COMPUTED_VALUE"""),"Unknown")</f>
        <v>Unknown</v>
      </c>
      <c r="D1155" s="1"/>
    </row>
    <row r="1156" spans="1:4" ht="12.5">
      <c r="A1156" s="1" t="str">
        <f ca="1">IFERROR(__xludf.DUMMYFUNCTION("""COMPUTED_VALUE"""),"20190701NYSCN")</f>
        <v>20190701NYSCN</v>
      </c>
      <c r="B1156" s="1" t="str">
        <f ca="1">IFERROR(__xludf.DUMMYFUNCTION("""COMPUTED_VALUE"""),"Handgun")</f>
        <v>Handgun</v>
      </c>
      <c r="C1156" s="1" t="str">
        <f ca="1">IFERROR(__xludf.DUMMYFUNCTION("""COMPUTED_VALUE"""),"Unknown")</f>
        <v>Unknown</v>
      </c>
      <c r="D1156" s="1"/>
    </row>
    <row r="1157" spans="1:4" ht="12.5">
      <c r="A1157" s="1" t="str">
        <f ca="1">IFERROR(__xludf.DUMMYFUNCTION("""COMPUTED_VALUE"""),"20190629COJAC")</f>
        <v>20190629COJAC</v>
      </c>
      <c r="B1157" s="1" t="str">
        <f ca="1">IFERROR(__xludf.DUMMYFUNCTION("""COMPUTED_VALUE"""),"Handgun")</f>
        <v>Handgun</v>
      </c>
      <c r="C1157" s="1" t="str">
        <f ca="1">IFERROR(__xludf.DUMMYFUNCTION("""COMPUTED_VALUE"""),"Unknown")</f>
        <v>Unknown</v>
      </c>
      <c r="D1157" s="1"/>
    </row>
    <row r="1158" spans="1:4" ht="12.5">
      <c r="A1158" s="1" t="str">
        <f ca="1">IFERROR(__xludf.DUMMYFUNCTION("""COMPUTED_VALUE"""),"20190621MICAF")</f>
        <v>20190621MICAF</v>
      </c>
      <c r="B1158" s="1" t="str">
        <f ca="1">IFERROR(__xludf.DUMMYFUNCTION("""COMPUTED_VALUE"""),"Handgun")</f>
        <v>Handgun</v>
      </c>
      <c r="C1158" s="1" t="str">
        <f ca="1">IFERROR(__xludf.DUMMYFUNCTION("""COMPUTED_VALUE"""),"Unknown")</f>
        <v>Unknown</v>
      </c>
      <c r="D1158" s="1"/>
    </row>
    <row r="1159" spans="1:4" ht="12.5">
      <c r="A1159" s="1" t="str">
        <f ca="1">IFERROR(__xludf.DUMMYFUNCTION("""COMPUTED_VALUE"""),"20190613NJTAW")</f>
        <v>20190613NJTAW</v>
      </c>
      <c r="B1159" s="1" t="str">
        <f ca="1">IFERROR(__xludf.DUMMYFUNCTION("""COMPUTED_VALUE"""),"Handgun")</f>
        <v>Handgun</v>
      </c>
      <c r="C1159" s="1" t="str">
        <f ca="1">IFERROR(__xludf.DUMMYFUNCTION("""COMPUTED_VALUE"""),".45 caliber")</f>
        <v>.45 caliber</v>
      </c>
      <c r="D1159" s="1"/>
    </row>
    <row r="1160" spans="1:4" ht="12.5">
      <c r="A1160" s="1" t="str">
        <f ca="1">IFERROR(__xludf.DUMMYFUNCTION("""COMPUTED_VALUE"""),"20190612PAJEE")</f>
        <v>20190612PAJEE</v>
      </c>
      <c r="B1160" s="1" t="str">
        <f ca="1">IFERROR(__xludf.DUMMYFUNCTION("""COMPUTED_VALUE"""),"Handgun")</f>
        <v>Handgun</v>
      </c>
      <c r="C1160" s="1" t="str">
        <f ca="1">IFERROR(__xludf.DUMMYFUNCTION("""COMPUTED_VALUE"""),"Unknown")</f>
        <v>Unknown</v>
      </c>
      <c r="D1160" s="1"/>
    </row>
    <row r="1161" spans="1:4" ht="12.5">
      <c r="A1161" s="1" t="str">
        <f ca="1">IFERROR(__xludf.DUMMYFUNCTION("""COMPUTED_VALUE"""),"20190612DCHEW")</f>
        <v>20190612DCHEW</v>
      </c>
      <c r="B1161" s="1" t="str">
        <f ca="1">IFERROR(__xludf.DUMMYFUNCTION("""COMPUTED_VALUE"""),"Handgun")</f>
        <v>Handgun</v>
      </c>
      <c r="C1161" s="1" t="str">
        <f ca="1">IFERROR(__xludf.DUMMYFUNCTION("""COMPUTED_VALUE"""),"Unknown")</f>
        <v>Unknown</v>
      </c>
      <c r="D1161" s="1"/>
    </row>
    <row r="1162" spans="1:4" ht="12.5">
      <c r="A1162" s="1" t="str">
        <f ca="1">IFERROR(__xludf.DUMMYFUNCTION("""COMPUTED_VALUE"""),"20190610ILMEW")</f>
        <v>20190610ILMEW</v>
      </c>
      <c r="B1162" s="1" t="str">
        <f ca="1">IFERROR(__xludf.DUMMYFUNCTION("""COMPUTED_VALUE"""),"Handgun")</f>
        <v>Handgun</v>
      </c>
      <c r="C1162" s="1" t="str">
        <f ca="1">IFERROR(__xludf.DUMMYFUNCTION("""COMPUTED_VALUE"""),"Unknown")</f>
        <v>Unknown</v>
      </c>
      <c r="D1162" s="1"/>
    </row>
    <row r="1163" spans="1:4" ht="12.5">
      <c r="A1163" s="1" t="str">
        <f ca="1">IFERROR(__xludf.DUMMYFUNCTION("""COMPUTED_VALUE"""),"20190606ILGEC")</f>
        <v>20190606ILGEC</v>
      </c>
      <c r="B1163" s="1" t="str">
        <f ca="1">IFERROR(__xludf.DUMMYFUNCTION("""COMPUTED_VALUE"""),"Handgun")</f>
        <v>Handgun</v>
      </c>
      <c r="C1163" s="1" t="str">
        <f ca="1">IFERROR(__xludf.DUMMYFUNCTION("""COMPUTED_VALUE"""),"Unknown")</f>
        <v>Unknown</v>
      </c>
      <c r="D1163" s="1"/>
    </row>
    <row r="1164" spans="1:4" ht="12.5">
      <c r="A1164" s="1" t="str">
        <f ca="1">IFERROR(__xludf.DUMMYFUNCTION("""COMPUTED_VALUE"""),"20190530DCHEW")</f>
        <v>20190530DCHEW</v>
      </c>
      <c r="B1164" s="1" t="str">
        <f ca="1">IFERROR(__xludf.DUMMYFUNCTION("""COMPUTED_VALUE"""),"Handgun")</f>
        <v>Handgun</v>
      </c>
      <c r="C1164" s="1" t="str">
        <f ca="1">IFERROR(__xludf.DUMMYFUNCTION("""COMPUTED_VALUE"""),"Unknown")</f>
        <v>Unknown</v>
      </c>
      <c r="D1164" s="1"/>
    </row>
    <row r="1165" spans="1:4" ht="12.5">
      <c r="A1165" s="1" t="str">
        <f ca="1">IFERROR(__xludf.DUMMYFUNCTION("""COMPUTED_VALUE"""),"20190522OHSAC")</f>
        <v>20190522OHSAC</v>
      </c>
      <c r="B1165" s="1" t="str">
        <f ca="1">IFERROR(__xludf.DUMMYFUNCTION("""COMPUTED_VALUE"""),"Handgun")</f>
        <v>Handgun</v>
      </c>
      <c r="C1165" s="1"/>
      <c r="D1165" s="1"/>
    </row>
    <row r="1166" spans="1:4" ht="12.5">
      <c r="A1166" s="1" t="str">
        <f ca="1">IFERROR(__xludf.DUMMYFUNCTION("""COMPUTED_VALUE"""),"20190517ORPAP")</f>
        <v>20190517ORPAP</v>
      </c>
      <c r="B1166" s="1" t="str">
        <f ca="1">IFERROR(__xludf.DUMMYFUNCTION("""COMPUTED_VALUE"""),"Shotgun")</f>
        <v>Shotgun</v>
      </c>
      <c r="C1166" s="1" t="str">
        <f ca="1">IFERROR(__xludf.DUMMYFUNCTION("""COMPUTED_VALUE"""),"Unknown")</f>
        <v>Unknown</v>
      </c>
      <c r="D1166" s="1"/>
    </row>
    <row r="1167" spans="1:4" ht="12.5">
      <c r="A1167" s="1" t="str">
        <f ca="1">IFERROR(__xludf.DUMMYFUNCTION("""COMPUTED_VALUE"""),"20190517FLTEJ")</f>
        <v>20190517FLTEJ</v>
      </c>
      <c r="B1167" s="1" t="str">
        <f ca="1">IFERROR(__xludf.DUMMYFUNCTION("""COMPUTED_VALUE"""),"Handgun")</f>
        <v>Handgun</v>
      </c>
      <c r="C1167" s="1" t="str">
        <f ca="1">IFERROR(__xludf.DUMMYFUNCTION("""COMPUTED_VALUE"""),"Unknown")</f>
        <v>Unknown</v>
      </c>
      <c r="D1167" s="1"/>
    </row>
    <row r="1168" spans="1:4" ht="12.5">
      <c r="A1168" s="1" t="str">
        <f ca="1">IFERROR(__xludf.DUMMYFUNCTION("""COMPUTED_VALUE"""),"20190508ILSEC")</f>
        <v>20190508ILSEC</v>
      </c>
      <c r="B1168" s="1" t="str">
        <f ca="1">IFERROR(__xludf.DUMMYFUNCTION("""COMPUTED_VALUE"""),"Handgun")</f>
        <v>Handgun</v>
      </c>
      <c r="C1168" s="1" t="str">
        <f ca="1">IFERROR(__xludf.DUMMYFUNCTION("""COMPUTED_VALUE"""),"Unknown")</f>
        <v>Unknown</v>
      </c>
      <c r="D1168" s="1"/>
    </row>
    <row r="1169" spans="1:4" ht="12.5">
      <c r="A1169" s="1" t="str">
        <f ca="1">IFERROR(__xludf.DUMMYFUNCTION("""COMPUTED_VALUE"""),"20190507COSTH")</f>
        <v>20190507COSTH</v>
      </c>
      <c r="B1169" s="1" t="str">
        <f ca="1">IFERROR(__xludf.DUMMYFUNCTION("""COMPUTED_VALUE"""),"Multiple Handguns")</f>
        <v>Multiple Handguns</v>
      </c>
      <c r="C1169" s="1" t="str">
        <f ca="1">IFERROR(__xludf.DUMMYFUNCTION("""COMPUTED_VALUE"""),"Unknown")</f>
        <v>Unknown</v>
      </c>
      <c r="D1169" s="1"/>
    </row>
    <row r="1170" spans="1:4" ht="12.5">
      <c r="A1170" s="1" t="str">
        <f ca="1">IFERROR(__xludf.DUMMYFUNCTION("""COMPUTED_VALUE"""),"20190430VACDW")</f>
        <v>20190430VACDW</v>
      </c>
      <c r="B1170" s="1" t="str">
        <f ca="1">IFERROR(__xludf.DUMMYFUNCTION("""COMPUTED_VALUE"""),"Handgun")</f>
        <v>Handgun</v>
      </c>
      <c r="C1170" s="1" t="str">
        <f ca="1">IFERROR(__xludf.DUMMYFUNCTION("""COMPUTED_VALUE"""),"Unknown")</f>
        <v>Unknown</v>
      </c>
      <c r="D1170" s="1"/>
    </row>
    <row r="1171" spans="1:4" ht="12.5">
      <c r="A1171" s="1" t="str">
        <f ca="1">IFERROR(__xludf.DUMMYFUNCTION("""COMPUTED_VALUE"""),"20190430FLWEW")</f>
        <v>20190430FLWEW</v>
      </c>
      <c r="B1171" s="1" t="str">
        <f ca="1">IFERROR(__xludf.DUMMYFUNCTION("""COMPUTED_VALUE"""),"Handgun")</f>
        <v>Handgun</v>
      </c>
      <c r="C1171" s="1" t="str">
        <f ca="1">IFERROR(__xludf.DUMMYFUNCTION("""COMPUTED_VALUE"""),"Service Weapon")</f>
        <v>Service Weapon</v>
      </c>
      <c r="D1171" s="1"/>
    </row>
    <row r="1172" spans="1:4" ht="12.5">
      <c r="A1172" s="1" t="str">
        <f ca="1">IFERROR(__xludf.DUMMYFUNCTION("""COMPUTED_VALUE"""),"20190426GACRF")</f>
        <v>20190426GACRF</v>
      </c>
      <c r="B1172" s="1" t="str">
        <f ca="1">IFERROR(__xludf.DUMMYFUNCTION("""COMPUTED_VALUE"""),"Handgun")</f>
        <v>Handgun</v>
      </c>
      <c r="C1172" s="1" t="str">
        <f ca="1">IFERROR(__xludf.DUMMYFUNCTION("""COMPUTED_VALUE"""),"Unknown")</f>
        <v>Unknown</v>
      </c>
      <c r="D1172" s="1"/>
    </row>
    <row r="1173" spans="1:4" ht="12.5">
      <c r="A1173" s="1" t="str">
        <f ca="1">IFERROR(__xludf.DUMMYFUNCTION("""COMPUTED_VALUE"""),"20190425GAWYS")</f>
        <v>20190425GAWYS</v>
      </c>
      <c r="B1173" s="1" t="str">
        <f ca="1">IFERROR(__xludf.DUMMYFUNCTION("""COMPUTED_VALUE"""),"Handgun")</f>
        <v>Handgun</v>
      </c>
      <c r="C1173" s="1" t="str">
        <f ca="1">IFERROR(__xludf.DUMMYFUNCTION("""COMPUTED_VALUE"""),"BB")</f>
        <v>BB</v>
      </c>
      <c r="D1173" s="1"/>
    </row>
    <row r="1174" spans="1:4" ht="12.5">
      <c r="A1174" s="1" t="str">
        <f ca="1">IFERROR(__xludf.DUMMYFUNCTION("""COMPUTED_VALUE"""),"20190424ARCOC")</f>
        <v>20190424ARCOC</v>
      </c>
      <c r="B1174" s="1" t="str">
        <f ca="1">IFERROR(__xludf.DUMMYFUNCTION("""COMPUTED_VALUE"""),"Handgun")</f>
        <v>Handgun</v>
      </c>
      <c r="C1174" s="1" t="str">
        <f ca="1">IFERROR(__xludf.DUMMYFUNCTION("""COMPUTED_VALUE"""),"Unknown")</f>
        <v>Unknown</v>
      </c>
      <c r="D1174" s="1"/>
    </row>
    <row r="1175" spans="1:4" ht="12.5">
      <c r="A1175" s="1" t="str">
        <f ca="1">IFERROR(__xludf.DUMMYFUNCTION("""COMPUTED_VALUE"""),"20190417ILWAL")</f>
        <v>20190417ILWAL</v>
      </c>
      <c r="B1175" s="1" t="str">
        <f ca="1">IFERROR(__xludf.DUMMYFUNCTION("""COMPUTED_VALUE"""),"Handgun")</f>
        <v>Handgun</v>
      </c>
      <c r="C1175" s="1" t="str">
        <f ca="1">IFERROR(__xludf.DUMMYFUNCTION("""COMPUTED_VALUE"""),"Unknown")</f>
        <v>Unknown</v>
      </c>
      <c r="D1175" s="1"/>
    </row>
    <row r="1176" spans="1:4" ht="12.5">
      <c r="A1176" s="1" t="str">
        <f ca="1">IFERROR(__xludf.DUMMYFUNCTION("""COMPUTED_VALUE"""),"20190410TXROH")</f>
        <v>20190410TXROH</v>
      </c>
      <c r="B1176" s="1" t="str">
        <f ca="1">IFERROR(__xludf.DUMMYFUNCTION("""COMPUTED_VALUE"""),"Multiple Unknown")</f>
        <v>Multiple Unknown</v>
      </c>
      <c r="C1176" s="1" t="str">
        <f ca="1">IFERROR(__xludf.DUMMYFUNCTION("""COMPUTED_VALUE"""),"Unknown")</f>
        <v>Unknown</v>
      </c>
      <c r="D1176" s="1"/>
    </row>
    <row r="1177" spans="1:4" ht="12.5">
      <c r="A1177" s="1" t="str">
        <f ca="1">IFERROR(__xludf.DUMMYFUNCTION("""COMPUTED_VALUE"""),"20190407MAHOL")</f>
        <v>20190407MAHOL</v>
      </c>
      <c r="B1177" s="1" t="str">
        <f ca="1">IFERROR(__xludf.DUMMYFUNCTION("""COMPUTED_VALUE"""),"No Data")</f>
        <v>No Data</v>
      </c>
      <c r="C1177" s="1"/>
      <c r="D1177" s="1"/>
    </row>
    <row r="1178" spans="1:4" ht="12.5">
      <c r="A1178" s="1" t="str">
        <f ca="1">IFERROR(__xludf.DUMMYFUNCTION("""COMPUTED_VALUE"""),"20190405WISTM")</f>
        <v>20190405WISTM</v>
      </c>
      <c r="B1178" s="1" t="str">
        <f ca="1">IFERROR(__xludf.DUMMYFUNCTION("""COMPUTED_VALUE"""),"Handgun")</f>
        <v>Handgun</v>
      </c>
      <c r="C1178" s="1" t="str">
        <f ca="1">IFERROR(__xludf.DUMMYFUNCTION("""COMPUTED_VALUE"""),"Unknown")</f>
        <v>Unknown</v>
      </c>
      <c r="D1178" s="1"/>
    </row>
    <row r="1179" spans="1:4" ht="12.5">
      <c r="A1179" s="1" t="str">
        <f ca="1">IFERROR(__xludf.DUMMYFUNCTION("""COMPUTED_VALUE"""),"20190403FLSAJ")</f>
        <v>20190403FLSAJ</v>
      </c>
      <c r="B1179" s="1" t="str">
        <f ca="1">IFERROR(__xludf.DUMMYFUNCTION("""COMPUTED_VALUE"""),"No Data")</f>
        <v>No Data</v>
      </c>
      <c r="C1179" s="1"/>
      <c r="D1179" s="1"/>
    </row>
    <row r="1180" spans="1:4" ht="12.5">
      <c r="A1180" s="1" t="str">
        <f ca="1">IFERROR(__xludf.DUMMYFUNCTION("""COMPUTED_VALUE"""),"20190403COAUA")</f>
        <v>20190403COAUA</v>
      </c>
      <c r="B1180" s="1" t="str">
        <f ca="1">IFERROR(__xludf.DUMMYFUNCTION("""COMPUTED_VALUE"""),"Handgun")</f>
        <v>Handgun</v>
      </c>
      <c r="C1180" s="1" t="str">
        <f ca="1">IFERROR(__xludf.DUMMYFUNCTION("""COMPUTED_VALUE"""),"Unknown")</f>
        <v>Unknown</v>
      </c>
      <c r="D1180" s="1"/>
    </row>
    <row r="1181" spans="1:4" ht="12.5">
      <c r="A1181" s="1" t="str">
        <f ca="1">IFERROR(__xludf.DUMMYFUNCTION("""COMPUTED_VALUE"""),"20190401ARPRP")</f>
        <v>20190401ARPRP</v>
      </c>
      <c r="B1181" s="1" t="str">
        <f ca="1">IFERROR(__xludf.DUMMYFUNCTION("""COMPUTED_VALUE"""),"Handgun")</f>
        <v>Handgun</v>
      </c>
      <c r="C1181" s="1" t="str">
        <f ca="1">IFERROR(__xludf.DUMMYFUNCTION("""COMPUTED_VALUE"""),"Unknown")</f>
        <v>Unknown</v>
      </c>
      <c r="D1181" s="1"/>
    </row>
    <row r="1182" spans="1:4" ht="12.5">
      <c r="A1182" s="1" t="str">
        <f ca="1">IFERROR(__xludf.DUMMYFUNCTION("""COMPUTED_VALUE"""),"20190327MSSVH")</f>
        <v>20190327MSSVH</v>
      </c>
      <c r="B1182" s="1" t="str">
        <f ca="1">IFERROR(__xludf.DUMMYFUNCTION("""COMPUTED_VALUE"""),"Handgun")</f>
        <v>Handgun</v>
      </c>
      <c r="C1182" s="1" t="str">
        <f ca="1">IFERROR(__xludf.DUMMYFUNCTION("""COMPUTED_VALUE"""),"Unknown")</f>
        <v>Unknown</v>
      </c>
      <c r="D1182" s="1"/>
    </row>
    <row r="1183" spans="1:4" ht="12.5">
      <c r="A1183" s="1" t="str">
        <f ca="1">IFERROR(__xludf.DUMMYFUNCTION("""COMPUTED_VALUE"""),"20190327FLMAJ")</f>
        <v>20190327FLMAJ</v>
      </c>
      <c r="B1183" s="1" t="str">
        <f ca="1">IFERROR(__xludf.DUMMYFUNCTION("""COMPUTED_VALUE"""),"Other")</f>
        <v>Other</v>
      </c>
      <c r="C1183" s="1" t="str">
        <f ca="1">IFERROR(__xludf.DUMMYFUNCTION("""COMPUTED_VALUE"""),"BB")</f>
        <v>BB</v>
      </c>
      <c r="D1183" s="1"/>
    </row>
    <row r="1184" spans="1:4" ht="12.5">
      <c r="A1184" s="1" t="str">
        <f ca="1">IFERROR(__xludf.DUMMYFUNCTION("""COMPUTED_VALUE"""),"20190322ALBLB")</f>
        <v>20190322ALBLB</v>
      </c>
      <c r="B1184" s="1" t="str">
        <f ca="1">IFERROR(__xludf.DUMMYFUNCTION("""COMPUTED_VALUE"""),"Handgun")</f>
        <v>Handgun</v>
      </c>
      <c r="C1184" s="1" t="str">
        <f ca="1">IFERROR(__xludf.DUMMYFUNCTION("""COMPUTED_VALUE"""),"Unknown")</f>
        <v>Unknown</v>
      </c>
      <c r="D1184" s="1"/>
    </row>
    <row r="1185" spans="1:4" ht="12.5">
      <c r="A1185" s="1" t="str">
        <f ca="1">IFERROR(__xludf.DUMMYFUNCTION("""COMPUTED_VALUE"""),"20190313FLLAO")</f>
        <v>20190313FLLAO</v>
      </c>
      <c r="B1185" s="1" t="str">
        <f ca="1">IFERROR(__xludf.DUMMYFUNCTION("""COMPUTED_VALUE"""),"Handgun")</f>
        <v>Handgun</v>
      </c>
      <c r="C1185" s="1" t="str">
        <f ca="1">IFERROR(__xludf.DUMMYFUNCTION("""COMPUTED_VALUE"""),"Unknown")</f>
        <v>Unknown</v>
      </c>
      <c r="D1185" s="1"/>
    </row>
    <row r="1186" spans="1:4" ht="12.5">
      <c r="A1186" s="1" t="str">
        <f ca="1">IFERROR(__xludf.DUMMYFUNCTION("""COMPUTED_VALUE"""),"20190301KSHIM")</f>
        <v>20190301KSHIM</v>
      </c>
      <c r="B1186" s="1" t="str">
        <f ca="1">IFERROR(__xludf.DUMMYFUNCTION("""COMPUTED_VALUE"""),"Handgun")</f>
        <v>Handgun</v>
      </c>
      <c r="C1186" s="1" t="str">
        <f ca="1">IFERROR(__xludf.DUMMYFUNCTION("""COMPUTED_VALUE"""),"Unknown")</f>
        <v>Unknown</v>
      </c>
      <c r="D1186" s="1"/>
    </row>
    <row r="1187" spans="1:4" ht="12.5">
      <c r="A1187" s="1" t="str">
        <f ca="1">IFERROR(__xludf.DUMMYFUNCTION("""COMPUTED_VALUE"""),"20190226ALROM")</f>
        <v>20190226ALROM</v>
      </c>
      <c r="B1187" s="1" t="str">
        <f ca="1">IFERROR(__xludf.DUMMYFUNCTION("""COMPUTED_VALUE"""),"Handgun")</f>
        <v>Handgun</v>
      </c>
      <c r="C1187" s="1" t="str">
        <f ca="1">IFERROR(__xludf.DUMMYFUNCTION("""COMPUTED_VALUE"""),"Unknown")</f>
        <v>Unknown</v>
      </c>
      <c r="D1187" s="1"/>
    </row>
    <row r="1188" spans="1:4" ht="12.5">
      <c r="A1188" s="1" t="str">
        <f ca="1">IFERROR(__xludf.DUMMYFUNCTION("""COMPUTED_VALUE"""),"20190217COEAA")</f>
        <v>20190217COEAA</v>
      </c>
      <c r="B1188" s="1" t="str">
        <f ca="1">IFERROR(__xludf.DUMMYFUNCTION("""COMPUTED_VALUE"""),"Handgun")</f>
        <v>Handgun</v>
      </c>
      <c r="C1188" s="1" t="str">
        <f ca="1">IFERROR(__xludf.DUMMYFUNCTION("""COMPUTED_VALUE"""),"Unknown")</f>
        <v>Unknown</v>
      </c>
      <c r="D1188" s="1"/>
    </row>
    <row r="1189" spans="1:4" ht="12.5">
      <c r="A1189" s="1" t="str">
        <f ca="1">IFERROR(__xludf.DUMMYFUNCTION("""COMPUTED_VALUE"""),"20190214NMVR")</f>
        <v>20190214NMVR</v>
      </c>
      <c r="B1189" s="1" t="str">
        <f ca="1">IFERROR(__xludf.DUMMYFUNCTION("""COMPUTED_VALUE"""),"Handgun")</f>
        <v>Handgun</v>
      </c>
      <c r="C1189" s="1" t="str">
        <f ca="1">IFERROR(__xludf.DUMMYFUNCTION("""COMPUTED_VALUE"""),"Unknown")</f>
        <v>Unknown</v>
      </c>
      <c r="D1189" s="1"/>
    </row>
    <row r="1190" spans="1:4" ht="12.5">
      <c r="A1190" s="1" t="str">
        <f ca="1">IFERROR(__xludf.DUMMYFUNCTION("""COMPUTED_VALUE"""),"20190212MOCEK")</f>
        <v>20190212MOCEK</v>
      </c>
      <c r="B1190" s="1" t="str">
        <f ca="1">IFERROR(__xludf.DUMMYFUNCTION("""COMPUTED_VALUE"""),"Handgun")</f>
        <v>Handgun</v>
      </c>
      <c r="C1190" s="1" t="str">
        <f ca="1">IFERROR(__xludf.DUMMYFUNCTION("""COMPUTED_VALUE"""),"Unknown")</f>
        <v>Unknown</v>
      </c>
      <c r="D1190" s="1"/>
    </row>
    <row r="1191" spans="1:4" ht="12.5">
      <c r="A1191" s="1" t="str">
        <f ca="1">IFERROR(__xludf.DUMMYFUNCTION("""COMPUTED_VALUE"""),"20190208MDFRB")</f>
        <v>20190208MDFRB</v>
      </c>
      <c r="B1191" s="1" t="str">
        <f ca="1">IFERROR(__xludf.DUMMYFUNCTION("""COMPUTED_VALUE"""),"Handgun")</f>
        <v>Handgun</v>
      </c>
      <c r="C1191" s="1" t="str">
        <f ca="1">IFERROR(__xludf.DUMMYFUNCTION("""COMPUTED_VALUE"""),"Unknown")</f>
        <v>Unknown</v>
      </c>
      <c r="D1191" s="1"/>
    </row>
    <row r="1192" spans="1:4" ht="12.5">
      <c r="A1192" s="1" t="str">
        <f ca="1">IFERROR(__xludf.DUMMYFUNCTION("""COMPUTED_VALUE"""),"20190205MNMIM")</f>
        <v>20190205MNMIM</v>
      </c>
      <c r="B1192" s="1" t="str">
        <f ca="1">IFERROR(__xludf.DUMMYFUNCTION("""COMPUTED_VALUE"""),"Handgun")</f>
        <v>Handgun</v>
      </c>
      <c r="C1192" s="1" t="str">
        <f ca="1">IFERROR(__xludf.DUMMYFUNCTION("""COMPUTED_VALUE"""),"Unknown")</f>
        <v>Unknown</v>
      </c>
      <c r="D1192" s="1"/>
    </row>
    <row r="1193" spans="1:4" ht="12.5">
      <c r="A1193" s="1" t="str">
        <f ca="1">IFERROR(__xludf.DUMMYFUNCTION("""COMPUTED_VALUE"""),"20190131TXATA")</f>
        <v>20190131TXATA</v>
      </c>
      <c r="B1193" s="1" t="str">
        <f ca="1">IFERROR(__xludf.DUMMYFUNCTION("""COMPUTED_VALUE"""),"Handgun")</f>
        <v>Handgun</v>
      </c>
      <c r="C1193" s="1" t="str">
        <f ca="1">IFERROR(__xludf.DUMMYFUNCTION("""COMPUTED_VALUE"""),"Unknown")</f>
        <v>Unknown</v>
      </c>
      <c r="D1193" s="1"/>
    </row>
    <row r="1194" spans="1:4" ht="12.5">
      <c r="A1194" s="1" t="str">
        <f ca="1">IFERROR(__xludf.DUMMYFUNCTION("""COMPUTED_VALUE"""),"20190131TNMAM")</f>
        <v>20190131TNMAM</v>
      </c>
      <c r="B1194" s="1" t="str">
        <f ca="1">IFERROR(__xludf.DUMMYFUNCTION("""COMPUTED_VALUE"""),"Other")</f>
        <v>Other</v>
      </c>
      <c r="C1194" s="1" t="str">
        <f ca="1">IFERROR(__xludf.DUMMYFUNCTION("""COMPUTED_VALUE"""),"Pellet")</f>
        <v>Pellet</v>
      </c>
      <c r="D1194" s="1"/>
    </row>
    <row r="1195" spans="1:4" ht="12.5">
      <c r="A1195" s="1" t="str">
        <f ca="1">IFERROR(__xludf.DUMMYFUNCTION("""COMPUTED_VALUE"""),"20190130GAMIL")</f>
        <v>20190130GAMIL</v>
      </c>
      <c r="B1195" s="1" t="str">
        <f ca="1">IFERROR(__xludf.DUMMYFUNCTION("""COMPUTED_VALUE"""),"Handgun")</f>
        <v>Handgun</v>
      </c>
      <c r="C1195" s="1" t="str">
        <f ca="1">IFERROR(__xludf.DUMMYFUNCTION("""COMPUTED_VALUE"""),"Unknown")</f>
        <v>Unknown</v>
      </c>
      <c r="D1195" s="1"/>
    </row>
    <row r="1196" spans="1:4" ht="12.5">
      <c r="A1196" s="1" t="str">
        <f ca="1">IFERROR(__xludf.DUMMYFUNCTION("""COMPUTED_VALUE"""),"20190127NVRER")</f>
        <v>20190127NVRER</v>
      </c>
      <c r="B1196" s="1" t="str">
        <f ca="1">IFERROR(__xludf.DUMMYFUNCTION("""COMPUTED_VALUE"""),"Handgun")</f>
        <v>Handgun</v>
      </c>
      <c r="C1196" s="1"/>
      <c r="D1196" s="1" t="str">
        <f ca="1">IFERROR(__xludf.DUMMYFUNCTION("""COMPUTED_VALUE"""),"Stolen.")</f>
        <v>Stolen.</v>
      </c>
    </row>
    <row r="1197" spans="1:4" ht="12.5">
      <c r="A1197" s="1" t="str">
        <f ca="1">IFERROR(__xludf.DUMMYFUNCTION("""COMPUTED_VALUE"""),"20190125TNMAM")</f>
        <v>20190125TNMAM</v>
      </c>
      <c r="B1197" s="1" t="str">
        <f ca="1">IFERROR(__xludf.DUMMYFUNCTION("""COMPUTED_VALUE"""),"Other")</f>
        <v>Other</v>
      </c>
      <c r="C1197" s="1" t="str">
        <f ca="1">IFERROR(__xludf.DUMMYFUNCTION("""COMPUTED_VALUE"""),"BB")</f>
        <v>BB</v>
      </c>
      <c r="D1197" s="1"/>
    </row>
    <row r="1198" spans="1:4" ht="12.5">
      <c r="A1198" s="1" t="str">
        <f ca="1">IFERROR(__xludf.DUMMYFUNCTION("""COMPUTED_VALUE"""),"20190125ALDAM")</f>
        <v>20190125ALDAM</v>
      </c>
      <c r="B1198" s="1" t="str">
        <f ca="1">IFERROR(__xludf.DUMMYFUNCTION("""COMPUTED_VALUE"""),"Handgun")</f>
        <v>Handgun</v>
      </c>
      <c r="C1198" s="1" t="str">
        <f ca="1">IFERROR(__xludf.DUMMYFUNCTION("""COMPUTED_VALUE"""),"Unknown")</f>
        <v>Unknown</v>
      </c>
      <c r="D1198" s="1"/>
    </row>
    <row r="1199" spans="1:4" ht="12.5">
      <c r="A1199" s="1" t="str">
        <f ca="1">IFERROR(__xludf.DUMMYFUNCTION("""COMPUTED_VALUE"""),"20190123LASOS")</f>
        <v>20190123LASOS</v>
      </c>
      <c r="B1199" s="1" t="str">
        <f ca="1">IFERROR(__xludf.DUMMYFUNCTION("""COMPUTED_VALUE"""),"No Data")</f>
        <v>No Data</v>
      </c>
      <c r="C1199" s="1"/>
      <c r="D1199" s="1"/>
    </row>
    <row r="1200" spans="1:4" ht="12.5">
      <c r="A1200" s="1" t="str">
        <f ca="1">IFERROR(__xludf.DUMMYFUNCTION("""COMPUTED_VALUE"""),"20190119KSLAO")</f>
        <v>20190119KSLAO</v>
      </c>
      <c r="B1200" s="1" t="str">
        <f ca="1">IFERROR(__xludf.DUMMYFUNCTION("""COMPUTED_VALUE"""),"Shotgun")</f>
        <v>Shotgun</v>
      </c>
      <c r="C1200" s="1" t="str">
        <f ca="1">IFERROR(__xludf.DUMMYFUNCTION("""COMPUTED_VALUE"""),"Unknown")</f>
        <v>Unknown</v>
      </c>
      <c r="D1200" s="1"/>
    </row>
    <row r="1201" spans="1:4" ht="12.5">
      <c r="A1201" s="1" t="str">
        <f ca="1">IFERROR(__xludf.DUMMYFUNCTION("""COMPUTED_VALUE"""),"20190118NCSHD")</f>
        <v>20190118NCSHD</v>
      </c>
      <c r="B1201" s="1" t="str">
        <f ca="1">IFERROR(__xludf.DUMMYFUNCTION("""COMPUTED_VALUE"""),"No Data")</f>
        <v>No Data</v>
      </c>
      <c r="C1201" s="1"/>
      <c r="D1201" s="1"/>
    </row>
    <row r="1202" spans="1:4" ht="12.5">
      <c r="A1202" s="1" t="str">
        <f ca="1">IFERROR(__xludf.DUMMYFUNCTION("""COMPUTED_VALUE"""),"20190118MOHAS")</f>
        <v>20190118MOHAS</v>
      </c>
      <c r="B1202" s="1" t="str">
        <f ca="1">IFERROR(__xludf.DUMMYFUNCTION("""COMPUTED_VALUE"""),"Handgun")</f>
        <v>Handgun</v>
      </c>
      <c r="C1202" s="1" t="str">
        <f ca="1">IFERROR(__xludf.DUMMYFUNCTION("""COMPUTED_VALUE"""),"Unknown")</f>
        <v>Unknown</v>
      </c>
      <c r="D1202" s="1"/>
    </row>
    <row r="1203" spans="1:4" ht="12.5">
      <c r="A1203" s="1" t="str">
        <f ca="1">IFERROR(__xludf.DUMMYFUNCTION("""COMPUTED_VALUE"""),"20190118ALCET")</f>
        <v>20190118ALCET</v>
      </c>
      <c r="B1203" s="1" t="str">
        <f ca="1">IFERROR(__xludf.DUMMYFUNCTION("""COMPUTED_VALUE"""),"Handgun")</f>
        <v>Handgun</v>
      </c>
      <c r="C1203" s="1" t="str">
        <f ca="1">IFERROR(__xludf.DUMMYFUNCTION("""COMPUTED_VALUE"""),"Unknown")</f>
        <v>Unknown</v>
      </c>
      <c r="D1203" s="1"/>
    </row>
    <row r="1204" spans="1:4" ht="12.5">
      <c r="A1204" s="1" t="str">
        <f ca="1">IFERROR(__xludf.DUMMYFUNCTION("""COMPUTED_VALUE"""),"20190111ORCAE")</f>
        <v>20190111ORCAE</v>
      </c>
      <c r="B1204" s="1" t="str">
        <f ca="1">IFERROR(__xludf.DUMMYFUNCTION("""COMPUTED_VALUE"""),"Handgun")</f>
        <v>Handgun</v>
      </c>
      <c r="C1204" s="1" t="str">
        <f ca="1">IFERROR(__xludf.DUMMYFUNCTION("""COMPUTED_VALUE"""),"Unknown")</f>
        <v>Unknown</v>
      </c>
      <c r="D1204" s="1"/>
    </row>
    <row r="1205" spans="1:4" ht="12.5">
      <c r="A1205" s="1" t="str">
        <f ca="1">IFERROR(__xludf.DUMMYFUNCTION("""COMPUTED_VALUE"""),"20190107CACEB")</f>
        <v>20190107CACEB</v>
      </c>
      <c r="B1205" s="1" t="str">
        <f ca="1">IFERROR(__xludf.DUMMYFUNCTION("""COMPUTED_VALUE"""),"No Data")</f>
        <v>No Data</v>
      </c>
      <c r="C1205" s="1"/>
      <c r="D1205" s="1"/>
    </row>
    <row r="1206" spans="1:4" ht="12.5">
      <c r="A1206" s="1" t="str">
        <f ca="1">IFERROR(__xludf.DUMMYFUNCTION("""COMPUTED_VALUE"""),"20181218DEAIG")</f>
        <v>20181218DEAIG</v>
      </c>
      <c r="B1206" s="1" t="str">
        <f ca="1">IFERROR(__xludf.DUMMYFUNCTION("""COMPUTED_VALUE"""),"Handgun")</f>
        <v>Handgun</v>
      </c>
      <c r="C1206" s="1" t="str">
        <f ca="1">IFERROR(__xludf.DUMMYFUNCTION("""COMPUTED_VALUE"""),"Unknown")</f>
        <v>Unknown</v>
      </c>
      <c r="D1206" s="1"/>
    </row>
    <row r="1207" spans="1:4" ht="12.5">
      <c r="A1207" s="1" t="str">
        <f ca="1">IFERROR(__xludf.DUMMYFUNCTION("""COMPUTED_VALUE"""),"20181214MOWIK")</f>
        <v>20181214MOWIK</v>
      </c>
      <c r="B1207" s="1" t="str">
        <f ca="1">IFERROR(__xludf.DUMMYFUNCTION("""COMPUTED_VALUE"""),"Handgun")</f>
        <v>Handgun</v>
      </c>
      <c r="C1207" s="1" t="str">
        <f ca="1">IFERROR(__xludf.DUMMYFUNCTION("""COMPUTED_VALUE"""),"Unknown")</f>
        <v>Unknown</v>
      </c>
      <c r="D1207" s="1"/>
    </row>
    <row r="1208" spans="1:4" ht="12.5">
      <c r="A1208" s="1" t="str">
        <f ca="1">IFERROR(__xludf.DUMMYFUNCTION("""COMPUTED_VALUE"""),"20181213INDER")</f>
        <v>20181213INDER</v>
      </c>
      <c r="B1208" s="1" t="str">
        <f ca="1">IFERROR(__xludf.DUMMYFUNCTION("""COMPUTED_VALUE"""),"Handgun")</f>
        <v>Handgun</v>
      </c>
      <c r="C1208" s="1" t="str">
        <f ca="1">IFERROR(__xludf.DUMMYFUNCTION("""COMPUTED_VALUE"""),".45 caliber")</f>
        <v>.45 caliber</v>
      </c>
      <c r="D1208" s="1" t="str">
        <f ca="1">IFERROR(__xludf.DUMMYFUNCTION("""COMPUTED_VALUE"""),".223 rifle, .45 handgun")</f>
        <v>.223 rifle, .45 handgun</v>
      </c>
    </row>
    <row r="1209" spans="1:4" ht="12.5">
      <c r="A1209" s="1" t="str">
        <f ca="1">IFERROR(__xludf.DUMMYFUNCTION("""COMPUTED_VALUE"""),"20181213INDER")</f>
        <v>20181213INDER</v>
      </c>
      <c r="B1209" s="1" t="str">
        <f ca="1">IFERROR(__xludf.DUMMYFUNCTION("""COMPUTED_VALUE"""),"Rifle")</f>
        <v>Rifle</v>
      </c>
      <c r="C1209" s="1" t="str">
        <f ca="1">IFERROR(__xludf.DUMMYFUNCTION("""COMPUTED_VALUE"""),".223 caliber")</f>
        <v>.223 caliber</v>
      </c>
      <c r="D1209" s="1" t="str">
        <f ca="1">IFERROR(__xludf.DUMMYFUNCTION("""COMPUTED_VALUE"""),".223 rifle, .45 handgun")</f>
        <v>.223 rifle, .45 handgun</v>
      </c>
    </row>
    <row r="1210" spans="1:4" ht="12.5">
      <c r="A1210" s="1" t="str">
        <f ca="1">IFERROR(__xludf.DUMMYFUNCTION("""COMPUTED_VALUE"""),"20181211KYCAC")</f>
        <v>20181211KYCAC</v>
      </c>
      <c r="B1210" s="1" t="str">
        <f ca="1">IFERROR(__xludf.DUMMYFUNCTION("""COMPUTED_VALUE"""),"Other")</f>
        <v>Other</v>
      </c>
      <c r="C1210" s="1" t="str">
        <f ca="1">IFERROR(__xludf.DUMMYFUNCTION("""COMPUTED_VALUE"""),"Pellet")</f>
        <v>Pellet</v>
      </c>
      <c r="D1210" s="1"/>
    </row>
    <row r="1211" spans="1:4" ht="12.5">
      <c r="A1211" s="1" t="str">
        <f ca="1">IFERROR(__xludf.DUMMYFUNCTION("""COMPUTED_VALUE"""),"20181210NYJEJ")</f>
        <v>20181210NYJEJ</v>
      </c>
      <c r="B1211" s="1" t="str">
        <f ca="1">IFERROR(__xludf.DUMMYFUNCTION("""COMPUTED_VALUE"""),"Handgun")</f>
        <v>Handgun</v>
      </c>
      <c r="C1211" s="1" t="str">
        <f ca="1">IFERROR(__xludf.DUMMYFUNCTION("""COMPUTED_VALUE"""),"Unknown")</f>
        <v>Unknown</v>
      </c>
      <c r="D1211" s="1"/>
    </row>
    <row r="1212" spans="1:4" ht="12.5">
      <c r="A1212" s="1" t="str">
        <f ca="1">IFERROR(__xludf.DUMMYFUNCTION("""COMPUTED_VALUE"""),"20181128PASTP")</f>
        <v>20181128PASTP</v>
      </c>
      <c r="B1212" s="1" t="str">
        <f ca="1">IFERROR(__xludf.DUMMYFUNCTION("""COMPUTED_VALUE"""),"No Data")</f>
        <v>No Data</v>
      </c>
      <c r="C1212" s="1"/>
      <c r="D1212" s="1"/>
    </row>
    <row r="1213" spans="1:4" ht="12.5">
      <c r="A1213" s="1" t="str">
        <f ca="1">IFERROR(__xludf.DUMMYFUNCTION("""COMPUTED_VALUE"""),"20181124OHAFC")</f>
        <v>20181124OHAFC</v>
      </c>
      <c r="B1213" s="1" t="str">
        <f ca="1">IFERROR(__xludf.DUMMYFUNCTION("""COMPUTED_VALUE"""),"Handgun")</f>
        <v>Handgun</v>
      </c>
      <c r="C1213" s="1" t="str">
        <f ca="1">IFERROR(__xludf.DUMMYFUNCTION("""COMPUTED_VALUE"""),"Unknown")</f>
        <v>Unknown</v>
      </c>
      <c r="D1213" s="1"/>
    </row>
    <row r="1214" spans="1:4" ht="12.5">
      <c r="A1214" s="1" t="str">
        <f ca="1">IFERROR(__xludf.DUMMYFUNCTION("""COMPUTED_VALUE"""),"20181122WAMOD")</f>
        <v>20181122WAMOD</v>
      </c>
      <c r="B1214" s="1" t="str">
        <f ca="1">IFERROR(__xludf.DUMMYFUNCTION("""COMPUTED_VALUE"""),"Handgun")</f>
        <v>Handgun</v>
      </c>
      <c r="C1214" s="1" t="str">
        <f ca="1">IFERROR(__xludf.DUMMYFUNCTION("""COMPUTED_VALUE"""),"Unknown")</f>
        <v>Unknown</v>
      </c>
      <c r="D1214" s="1"/>
    </row>
    <row r="1215" spans="1:4" ht="12.5">
      <c r="A1215" s="1" t="str">
        <f ca="1">IFERROR(__xludf.DUMMYFUNCTION("""COMPUTED_VALUE"""),"20181122TXSKD")</f>
        <v>20181122TXSKD</v>
      </c>
      <c r="B1215" s="1" t="str">
        <f ca="1">IFERROR(__xludf.DUMMYFUNCTION("""COMPUTED_VALUE"""),"Handgun")</f>
        <v>Handgun</v>
      </c>
      <c r="C1215" s="1" t="str">
        <f ca="1">IFERROR(__xludf.DUMMYFUNCTION("""COMPUTED_VALUE"""),"Unknown")</f>
        <v>Unknown</v>
      </c>
      <c r="D1215" s="1"/>
    </row>
    <row r="1216" spans="1:4" ht="12.5">
      <c r="A1216" s="1" t="str">
        <f ca="1">IFERROR(__xludf.DUMMYFUNCTION("""COMPUTED_VALUE"""),"20181121MIPEP")</f>
        <v>20181121MIPEP</v>
      </c>
      <c r="B1216" s="1" t="str">
        <f ca="1">IFERROR(__xludf.DUMMYFUNCTION("""COMPUTED_VALUE"""),"Other")</f>
        <v>Other</v>
      </c>
      <c r="C1216" s="1" t="str">
        <f ca="1">IFERROR(__xludf.DUMMYFUNCTION("""COMPUTED_VALUE"""),"BB")</f>
        <v>BB</v>
      </c>
      <c r="D1216" s="1"/>
    </row>
    <row r="1217" spans="1:4" ht="12.5">
      <c r="A1217" s="1" t="str">
        <f ca="1">IFERROR(__xludf.DUMMYFUNCTION("""COMPUTED_VALUE"""),"20181120VASIP")</f>
        <v>20181120VASIP</v>
      </c>
      <c r="B1217" s="1" t="str">
        <f ca="1">IFERROR(__xludf.DUMMYFUNCTION("""COMPUTED_VALUE"""),"Handgun")</f>
        <v>Handgun</v>
      </c>
      <c r="C1217" s="1" t="str">
        <f ca="1">IFERROR(__xludf.DUMMYFUNCTION("""COMPUTED_VALUE"""),"Unknown")</f>
        <v>Unknown</v>
      </c>
      <c r="D1217" s="1"/>
    </row>
    <row r="1218" spans="1:4" ht="12.5">
      <c r="A1218" s="1" t="str">
        <f ca="1">IFERROR(__xludf.DUMMYFUNCTION("""COMPUTED_VALUE"""),"20181112MDEAE")</f>
        <v>20181112MDEAE</v>
      </c>
      <c r="B1218" s="1" t="str">
        <f ca="1">IFERROR(__xludf.DUMMYFUNCTION("""COMPUTED_VALUE"""),"Handgun")</f>
        <v>Handgun</v>
      </c>
      <c r="C1218" s="1" t="str">
        <f ca="1">IFERROR(__xludf.DUMMYFUNCTION("""COMPUTED_VALUE"""),"Service Weapon")</f>
        <v>Service Weapon</v>
      </c>
      <c r="D1218" s="1"/>
    </row>
    <row r="1219" spans="1:4" ht="12.5">
      <c r="A1219" s="1" t="str">
        <f ca="1">IFERROR(__xludf.DUMMYFUNCTION("""COMPUTED_VALUE"""),"20181109GAGAM")</f>
        <v>20181109GAGAM</v>
      </c>
      <c r="B1219" s="1" t="str">
        <f ca="1">IFERROR(__xludf.DUMMYFUNCTION("""COMPUTED_VALUE"""),"Handgun")</f>
        <v>Handgun</v>
      </c>
      <c r="C1219" s="1" t="str">
        <f ca="1">IFERROR(__xludf.DUMMYFUNCTION("""COMPUTED_VALUE"""),"Unknown")</f>
        <v>Unknown</v>
      </c>
      <c r="D1219" s="1"/>
    </row>
    <row r="1220" spans="1:4" ht="12.5">
      <c r="A1220" s="1" t="str">
        <f ca="1">IFERROR(__xludf.DUMMYFUNCTION("""COMPUTED_VALUE"""),"20181108CACLS")</f>
        <v>20181108CACLS</v>
      </c>
      <c r="B1220" s="1" t="str">
        <f ca="1">IFERROR(__xludf.DUMMYFUNCTION("""COMPUTED_VALUE"""),"No Data")</f>
        <v>No Data</v>
      </c>
      <c r="C1220" s="1"/>
      <c r="D1220" s="1"/>
    </row>
    <row r="1221" spans="1:4" ht="12.5">
      <c r="A1221" s="1" t="str">
        <f ca="1">IFERROR(__xludf.DUMMYFUNCTION("""COMPUTED_VALUE"""),"20181105SCACC")</f>
        <v>20181105SCACC</v>
      </c>
      <c r="B1221" s="1" t="str">
        <f ca="1">IFERROR(__xludf.DUMMYFUNCTION("""COMPUTED_VALUE"""),"Other")</f>
        <v>Other</v>
      </c>
      <c r="C1221" s="1" t="str">
        <f ca="1">IFERROR(__xludf.DUMMYFUNCTION("""COMPUTED_VALUE"""),"BB")</f>
        <v>BB</v>
      </c>
      <c r="D1221" s="1"/>
    </row>
    <row r="1222" spans="1:4" ht="12.5">
      <c r="A1222" s="1" t="str">
        <f ca="1">IFERROR(__xludf.DUMMYFUNCTION("""COMPUTED_VALUE"""),"20181104KYCRL")</f>
        <v>20181104KYCRL</v>
      </c>
      <c r="B1222" s="1" t="str">
        <f ca="1">IFERROR(__xludf.DUMMYFUNCTION("""COMPUTED_VALUE"""),"Handgun")</f>
        <v>Handgun</v>
      </c>
      <c r="C1222" s="1" t="str">
        <f ca="1">IFERROR(__xludf.DUMMYFUNCTION("""COMPUTED_VALUE"""),"Unknown")</f>
        <v>Unknown</v>
      </c>
      <c r="D1222" s="1"/>
    </row>
    <row r="1223" spans="1:4" ht="12.5">
      <c r="A1223" s="1" t="str">
        <f ca="1">IFERROR(__xludf.DUMMYFUNCTION("""COMPUTED_VALUE"""),"20181029NCBUM")</f>
        <v>20181029NCBUM</v>
      </c>
      <c r="B1223" s="1" t="str">
        <f ca="1">IFERROR(__xludf.DUMMYFUNCTION("""COMPUTED_VALUE"""),"Handgun")</f>
        <v>Handgun</v>
      </c>
      <c r="C1223" s="1" t="str">
        <f ca="1">IFERROR(__xludf.DUMMYFUNCTION("""COMPUTED_VALUE"""),"Unknown")</f>
        <v>Unknown</v>
      </c>
      <c r="D1223" s="1"/>
    </row>
    <row r="1224" spans="1:4" ht="12.5">
      <c r="A1224" s="1" t="str">
        <f ca="1">IFERROR(__xludf.DUMMYFUNCTION("""COMPUTED_VALUE"""),"20181026FLSAO")</f>
        <v>20181026FLSAO</v>
      </c>
      <c r="B1224" s="1" t="str">
        <f ca="1">IFERROR(__xludf.DUMMYFUNCTION("""COMPUTED_VALUE"""),"Handgun")</f>
        <v>Handgun</v>
      </c>
      <c r="C1224" s="1"/>
      <c r="D1224" s="1"/>
    </row>
    <row r="1225" spans="1:4" ht="12.5">
      <c r="A1225" s="1" t="str">
        <f ca="1">IFERROR(__xludf.DUMMYFUNCTION("""COMPUTED_VALUE"""),"20181025MICOD")</f>
        <v>20181025MICOD</v>
      </c>
      <c r="B1225" s="1" t="str">
        <f ca="1">IFERROR(__xludf.DUMMYFUNCTION("""COMPUTED_VALUE"""),"No Data")</f>
        <v>No Data</v>
      </c>
      <c r="C1225" s="1"/>
      <c r="D1225" s="1"/>
    </row>
    <row r="1226" spans="1:4" ht="12.5">
      <c r="A1226" s="1" t="str">
        <f ca="1">IFERROR(__xludf.DUMMYFUNCTION("""COMPUTED_VALUE"""),"20181023NHGOM")</f>
        <v>20181023NHGOM</v>
      </c>
      <c r="B1226" s="1" t="str">
        <f ca="1">IFERROR(__xludf.DUMMYFUNCTION("""COMPUTED_VALUE"""),"Other")</f>
        <v>Other</v>
      </c>
      <c r="C1226" s="1" t="str">
        <f ca="1">IFERROR(__xludf.DUMMYFUNCTION("""COMPUTED_VALUE"""),"Pellet")</f>
        <v>Pellet</v>
      </c>
      <c r="D1226" s="1"/>
    </row>
    <row r="1227" spans="1:4" ht="12.5">
      <c r="A1227" s="1" t="str">
        <f ca="1">IFERROR(__xludf.DUMMYFUNCTION("""COMPUTED_VALUE"""),"20181022CTDUB")</f>
        <v>20181022CTDUB</v>
      </c>
      <c r="B1227" s="1" t="str">
        <f ca="1">IFERROR(__xludf.DUMMYFUNCTION("""COMPUTED_VALUE"""),"Handgun")</f>
        <v>Handgun</v>
      </c>
      <c r="C1227" s="1" t="str">
        <f ca="1">IFERROR(__xludf.DUMMYFUNCTION("""COMPUTED_VALUE"""),"Unknown")</f>
        <v>Unknown</v>
      </c>
      <c r="D1227" s="1"/>
    </row>
    <row r="1228" spans="1:4" ht="12.5">
      <c r="A1228" s="1" t="str">
        <f ca="1">IFERROR(__xludf.DUMMYFUNCTION("""COMPUTED_VALUE"""),"20181020GASHS")</f>
        <v>20181020GASHS</v>
      </c>
      <c r="B1228" s="1" t="str">
        <f ca="1">IFERROR(__xludf.DUMMYFUNCTION("""COMPUTED_VALUE"""),"Handgun")</f>
        <v>Handgun</v>
      </c>
      <c r="C1228" s="1" t="str">
        <f ca="1">IFERROR(__xludf.DUMMYFUNCTION("""COMPUTED_VALUE"""),"Unknown")</f>
        <v>Unknown</v>
      </c>
      <c r="D1228" s="1"/>
    </row>
    <row r="1229" spans="1:4" ht="12.5">
      <c r="A1229" s="1" t="str">
        <f ca="1">IFERROR(__xludf.DUMMYFUNCTION("""COMPUTED_VALUE"""),"20181013TNMCN")</f>
        <v>20181013TNMCN</v>
      </c>
      <c r="B1229" s="1" t="str">
        <f ca="1">IFERROR(__xludf.DUMMYFUNCTION("""COMPUTED_VALUE"""),"No Data")</f>
        <v>No Data</v>
      </c>
      <c r="C1229" s="1"/>
      <c r="D1229" s="1"/>
    </row>
    <row r="1230" spans="1:4" ht="12.5">
      <c r="A1230" s="1" t="str">
        <f ca="1">IFERROR(__xludf.DUMMYFUNCTION("""COMPUTED_VALUE"""),"20181012MIBAB")</f>
        <v>20181012MIBAB</v>
      </c>
      <c r="B1230" s="1" t="str">
        <f ca="1">IFERROR(__xludf.DUMMYFUNCTION("""COMPUTED_VALUE"""),"No Data")</f>
        <v>No Data</v>
      </c>
      <c r="C1230" s="1"/>
      <c r="D1230" s="1"/>
    </row>
    <row r="1231" spans="1:4" ht="12.5">
      <c r="A1231" s="1" t="str">
        <f ca="1">IFERROR(__xludf.DUMMYFUNCTION("""COMPUTED_VALUE"""),"20181007VAVAH")</f>
        <v>20181007VAVAH</v>
      </c>
      <c r="B1231" s="1" t="str">
        <f ca="1">IFERROR(__xludf.DUMMYFUNCTION("""COMPUTED_VALUE"""),"Handgun")</f>
        <v>Handgun</v>
      </c>
      <c r="C1231" s="1" t="str">
        <f ca="1">IFERROR(__xludf.DUMMYFUNCTION("""COMPUTED_VALUE"""),"Unknown")</f>
        <v>Unknown</v>
      </c>
      <c r="D1231" s="1"/>
    </row>
    <row r="1232" spans="1:4" ht="12.5">
      <c r="A1232" s="1" t="str">
        <f ca="1">IFERROR(__xludf.DUMMYFUNCTION("""COMPUTED_VALUE"""),"20181005VALAN")</f>
        <v>20181005VALAN</v>
      </c>
      <c r="B1232" s="1" t="str">
        <f ca="1">IFERROR(__xludf.DUMMYFUNCTION("""COMPUTED_VALUE"""),"Handgun")</f>
        <v>Handgun</v>
      </c>
      <c r="C1232" s="1" t="str">
        <f ca="1">IFERROR(__xludf.DUMMYFUNCTION("""COMPUTED_VALUE"""),"Unknown")</f>
        <v>Unknown</v>
      </c>
      <c r="D1232" s="1"/>
    </row>
    <row r="1233" spans="1:4" ht="12.5">
      <c r="A1233" s="1" t="str">
        <f ca="1">IFERROR(__xludf.DUMMYFUNCTION("""COMPUTED_VALUE"""),"20181005TNHAB")</f>
        <v>20181005TNHAB</v>
      </c>
      <c r="B1233" s="1" t="str">
        <f ca="1">IFERROR(__xludf.DUMMYFUNCTION("""COMPUTED_VALUE"""),"Handgun")</f>
        <v>Handgun</v>
      </c>
      <c r="C1233" s="1" t="str">
        <f ca="1">IFERROR(__xludf.DUMMYFUNCTION("""COMPUTED_VALUE"""),"Unknown")</f>
        <v>Unknown</v>
      </c>
      <c r="D1233" s="1"/>
    </row>
    <row r="1234" spans="1:4" ht="12.5">
      <c r="A1234" s="1" t="str">
        <f ca="1">IFERROR(__xludf.DUMMYFUNCTION("""COMPUTED_VALUE"""),"20181004ORJAP")</f>
        <v>20181004ORJAP</v>
      </c>
      <c r="B1234" s="1" t="str">
        <f ca="1">IFERROR(__xludf.DUMMYFUNCTION("""COMPUTED_VALUE"""),"Handgun")</f>
        <v>Handgun</v>
      </c>
      <c r="C1234" s="1" t="str">
        <f ca="1">IFERROR(__xludf.DUMMYFUNCTION("""COMPUTED_VALUE"""),"Unknown")</f>
        <v>Unknown</v>
      </c>
      <c r="D1234" s="1"/>
    </row>
    <row r="1235" spans="1:4" ht="12.5">
      <c r="A1235" s="1" t="str">
        <f ca="1">IFERROR(__xludf.DUMMYFUNCTION("""COMPUTED_VALUE"""),"20181003AKDEA")</f>
        <v>20181003AKDEA</v>
      </c>
      <c r="B1235" s="1" t="str">
        <f ca="1">IFERROR(__xludf.DUMMYFUNCTION("""COMPUTED_VALUE"""),"Handgun")</f>
        <v>Handgun</v>
      </c>
      <c r="C1235" s="1" t="str">
        <f ca="1">IFERROR(__xludf.DUMMYFUNCTION("""COMPUTED_VALUE"""),"Unknown")</f>
        <v>Unknown</v>
      </c>
      <c r="D1235" s="1"/>
    </row>
    <row r="1236" spans="1:4" ht="12.5">
      <c r="A1236" s="1" t="str">
        <f ca="1">IFERROR(__xludf.DUMMYFUNCTION("""COMPUTED_VALUE"""),"20181002ARCHL")</f>
        <v>20181002ARCHL</v>
      </c>
      <c r="B1236" s="1" t="str">
        <f ca="1">IFERROR(__xludf.DUMMYFUNCTION("""COMPUTED_VALUE"""),"Handgun")</f>
        <v>Handgun</v>
      </c>
      <c r="C1236" s="1" t="str">
        <f ca="1">IFERROR(__xludf.DUMMYFUNCTION("""COMPUTED_VALUE"""),"Unknown")</f>
        <v>Unknown</v>
      </c>
      <c r="D1236" s="1"/>
    </row>
    <row r="1237" spans="1:4" ht="12.5">
      <c r="A1237" s="1" t="str">
        <f ca="1">IFERROR(__xludf.DUMMYFUNCTION("""COMPUTED_VALUE"""),"20180928SDCHC")</f>
        <v>20180928SDCHC</v>
      </c>
      <c r="B1237" s="1" t="str">
        <f ca="1">IFERROR(__xludf.DUMMYFUNCTION("""COMPUTED_VALUE"""),"Handgun")</f>
        <v>Handgun</v>
      </c>
      <c r="C1237" s="1" t="str">
        <f ca="1">IFERROR(__xludf.DUMMYFUNCTION("""COMPUTED_VALUE"""),"Unknown")</f>
        <v>Unknown</v>
      </c>
      <c r="D1237" s="1"/>
    </row>
    <row r="1238" spans="1:4" ht="12.5">
      <c r="A1238" s="1" t="str">
        <f ca="1">IFERROR(__xludf.DUMMYFUNCTION("""COMPUTED_VALUE"""),"20180927TXHEC")</f>
        <v>20180927TXHEC</v>
      </c>
      <c r="B1238" s="1" t="str">
        <f ca="1">IFERROR(__xludf.DUMMYFUNCTION("""COMPUTED_VALUE"""),"Handgun")</f>
        <v>Handgun</v>
      </c>
      <c r="C1238" s="1" t="str">
        <f ca="1">IFERROR(__xludf.DUMMYFUNCTION("""COMPUTED_VALUE"""),"Unknown")</f>
        <v>Unknown</v>
      </c>
      <c r="D1238" s="1"/>
    </row>
    <row r="1239" spans="1:4" ht="12.5">
      <c r="A1239" s="1" t="str">
        <f ca="1">IFERROR(__xludf.DUMMYFUNCTION("""COMPUTED_VALUE"""),"20180926MDMAB")</f>
        <v>20180926MDMAB</v>
      </c>
      <c r="B1239" s="1" t="str">
        <f ca="1">IFERROR(__xludf.DUMMYFUNCTION("""COMPUTED_VALUE"""),"Handgun")</f>
        <v>Handgun</v>
      </c>
      <c r="C1239" s="1" t="str">
        <f ca="1">IFERROR(__xludf.DUMMYFUNCTION("""COMPUTED_VALUE"""),"Unknown")</f>
        <v>Unknown</v>
      </c>
      <c r="D1239" s="1"/>
    </row>
    <row r="1240" spans="1:4" ht="12.5">
      <c r="A1240" s="1" t="str">
        <f ca="1">IFERROR(__xludf.DUMMYFUNCTION("""COMPUTED_VALUE"""),"20180924PACEP")</f>
        <v>20180924PACEP</v>
      </c>
      <c r="B1240" s="1" t="str">
        <f ca="1">IFERROR(__xludf.DUMMYFUNCTION("""COMPUTED_VALUE"""),"Handgun")</f>
        <v>Handgun</v>
      </c>
      <c r="C1240" s="1" t="str">
        <f ca="1">IFERROR(__xludf.DUMMYFUNCTION("""COMPUTED_VALUE"""),"Unknown")</f>
        <v>Unknown</v>
      </c>
      <c r="D1240" s="1"/>
    </row>
    <row r="1241" spans="1:4" ht="12.5">
      <c r="A1241" s="1" t="str">
        <f ca="1">IFERROR(__xludf.DUMMYFUNCTION("""COMPUTED_VALUE"""),"20180924NCLAC")</f>
        <v>20180924NCLAC</v>
      </c>
      <c r="B1241" s="1" t="str">
        <f ca="1">IFERROR(__xludf.DUMMYFUNCTION("""COMPUTED_VALUE"""),"Handgun")</f>
        <v>Handgun</v>
      </c>
      <c r="C1241" s="1" t="str">
        <f ca="1">IFERROR(__xludf.DUMMYFUNCTION("""COMPUTED_VALUE"""),"Unknown")</f>
        <v>Unknown</v>
      </c>
      <c r="D1241" s="1"/>
    </row>
    <row r="1242" spans="1:4" ht="12.5">
      <c r="A1242" s="1" t="str">
        <f ca="1">IFERROR(__xludf.DUMMYFUNCTION("""COMPUTED_VALUE"""),"20180924GAAPB")</f>
        <v>20180924GAAPB</v>
      </c>
      <c r="B1242" s="1" t="str">
        <f ca="1">IFERROR(__xludf.DUMMYFUNCTION("""COMPUTED_VALUE"""),"Handgun")</f>
        <v>Handgun</v>
      </c>
      <c r="C1242" s="1" t="str">
        <f ca="1">IFERROR(__xludf.DUMMYFUNCTION("""COMPUTED_VALUE"""),"Unknown")</f>
        <v>Unknown</v>
      </c>
      <c r="D1242" s="1"/>
    </row>
    <row r="1243" spans="1:4" ht="12.5">
      <c r="A1243" s="1" t="str">
        <f ca="1">IFERROR(__xludf.DUMMYFUNCTION("""COMPUTED_VALUE"""),"20180920CAPOP")</f>
        <v>20180920CAPOP</v>
      </c>
      <c r="B1243" s="1" t="str">
        <f ca="1">IFERROR(__xludf.DUMMYFUNCTION("""COMPUTED_VALUE"""),"No Data")</f>
        <v>No Data</v>
      </c>
      <c r="C1243" s="1"/>
      <c r="D1243" s="1"/>
    </row>
    <row r="1244" spans="1:4" ht="12.5">
      <c r="A1244" s="1" t="str">
        <f ca="1">IFERROR(__xludf.DUMMYFUNCTION("""COMPUTED_VALUE"""),"20180920CACHL")</f>
        <v>20180920CACHL</v>
      </c>
      <c r="B1244" s="1" t="str">
        <f ca="1">IFERROR(__xludf.DUMMYFUNCTION("""COMPUTED_VALUE"""),"Handgun")</f>
        <v>Handgun</v>
      </c>
      <c r="C1244" s="1" t="str">
        <f ca="1">IFERROR(__xludf.DUMMYFUNCTION("""COMPUTED_VALUE"""),"Unknown")</f>
        <v>Unknown</v>
      </c>
      <c r="D1244" s="1"/>
    </row>
    <row r="1245" spans="1:4" ht="12.5">
      <c r="A1245" s="1" t="str">
        <f ca="1">IFERROR(__xludf.DUMMYFUNCTION("""COMPUTED_VALUE"""),"20180917ALBLH")</f>
        <v>20180917ALBLH</v>
      </c>
      <c r="B1245" s="1" t="str">
        <f ca="1">IFERROR(__xludf.DUMMYFUNCTION("""COMPUTED_VALUE"""),"Handgun")</f>
        <v>Handgun</v>
      </c>
      <c r="C1245" s="1" t="str">
        <f ca="1">IFERROR(__xludf.DUMMYFUNCTION("""COMPUTED_VALUE"""),"Unknown")</f>
        <v>Unknown</v>
      </c>
      <c r="D1245" s="1"/>
    </row>
    <row r="1246" spans="1:4" ht="12.5">
      <c r="A1246" s="1" t="str">
        <f ca="1">IFERROR(__xludf.DUMMYFUNCTION("""COMPUTED_VALUE"""),"20180914WAMAE")</f>
        <v>20180914WAMAE</v>
      </c>
      <c r="B1246" s="1" t="str">
        <f ca="1">IFERROR(__xludf.DUMMYFUNCTION("""COMPUTED_VALUE"""),"Handgun")</f>
        <v>Handgun</v>
      </c>
      <c r="C1246" s="1" t="str">
        <f ca="1">IFERROR(__xludf.DUMMYFUNCTION("""COMPUTED_VALUE"""),"Unknown")</f>
        <v>Unknown</v>
      </c>
      <c r="D1246" s="1"/>
    </row>
    <row r="1247" spans="1:4" ht="12.5">
      <c r="A1247" s="1" t="str">
        <f ca="1">IFERROR(__xludf.DUMMYFUNCTION("""COMPUTED_VALUE"""),"20180914FLBOB")</f>
        <v>20180914FLBOB</v>
      </c>
      <c r="B1247" s="1" t="str">
        <f ca="1">IFERROR(__xludf.DUMMYFUNCTION("""COMPUTED_VALUE"""),"Handgun")</f>
        <v>Handgun</v>
      </c>
      <c r="C1247" s="1" t="str">
        <f ca="1">IFERROR(__xludf.DUMMYFUNCTION("""COMPUTED_VALUE"""),"Unknown")</f>
        <v>Unknown</v>
      </c>
      <c r="D1247" s="1"/>
    </row>
    <row r="1248" spans="1:4" ht="12.5">
      <c r="A1248" s="1" t="str">
        <f ca="1">IFERROR(__xludf.DUMMYFUNCTION("""COMPUTED_VALUE"""),"20180911NVCAL")</f>
        <v>20180911NVCAL</v>
      </c>
      <c r="B1248" s="1" t="str">
        <f ca="1">IFERROR(__xludf.DUMMYFUNCTION("""COMPUTED_VALUE"""),"Handgun")</f>
        <v>Handgun</v>
      </c>
      <c r="C1248" s="1" t="str">
        <f ca="1">IFERROR(__xludf.DUMMYFUNCTION("""COMPUTED_VALUE"""),"Unknown")</f>
        <v>Unknown</v>
      </c>
      <c r="D1248" s="1"/>
    </row>
    <row r="1249" spans="1:4" ht="12.5">
      <c r="A1249" s="1" t="str">
        <f ca="1">IFERROR(__xludf.DUMMYFUNCTION("""COMPUTED_VALUE"""),"20180910TNFAM")</f>
        <v>20180910TNFAM</v>
      </c>
      <c r="B1249" s="1" t="str">
        <f ca="1">IFERROR(__xludf.DUMMYFUNCTION("""COMPUTED_VALUE"""),"No Data")</f>
        <v>No Data</v>
      </c>
      <c r="C1249" s="1"/>
      <c r="D1249" s="1"/>
    </row>
    <row r="1250" spans="1:4" ht="12.5">
      <c r="A1250" s="1" t="str">
        <f ca="1">IFERROR(__xludf.DUMMYFUNCTION("""COMPUTED_VALUE"""),"20180910ILCHC")</f>
        <v>20180910ILCHC</v>
      </c>
      <c r="B1250" s="1" t="str">
        <f ca="1">IFERROR(__xludf.DUMMYFUNCTION("""COMPUTED_VALUE"""),"Handgun")</f>
        <v>Handgun</v>
      </c>
      <c r="C1250" s="1" t="str">
        <f ca="1">IFERROR(__xludf.DUMMYFUNCTION("""COMPUTED_VALUE"""),"Unknown")</f>
        <v>Unknown</v>
      </c>
      <c r="D1250" s="1"/>
    </row>
    <row r="1251" spans="1:4" ht="12.5">
      <c r="A1251" s="1" t="str">
        <f ca="1">IFERROR(__xludf.DUMMYFUNCTION("""COMPUTED_VALUE"""),"20180909CAGIG")</f>
        <v>20180909CAGIG</v>
      </c>
      <c r="B1251" s="1" t="str">
        <f ca="1">IFERROR(__xludf.DUMMYFUNCTION("""COMPUTED_VALUE"""),"Handgun")</f>
        <v>Handgun</v>
      </c>
      <c r="C1251" s="1" t="str">
        <f ca="1">IFERROR(__xludf.DUMMYFUNCTION("""COMPUTED_VALUE"""),"Unknown")</f>
        <v>Unknown</v>
      </c>
      <c r="D1251" s="1"/>
    </row>
    <row r="1252" spans="1:4" ht="12.5">
      <c r="A1252" s="1" t="str">
        <f ca="1">IFERROR(__xludf.DUMMYFUNCTION("""COMPUTED_VALUE"""),"20180907IAHED")</f>
        <v>20180907IAHED</v>
      </c>
      <c r="B1252" s="1" t="str">
        <f ca="1">IFERROR(__xludf.DUMMYFUNCTION("""COMPUTED_VALUE"""),"No Data")</f>
        <v>No Data</v>
      </c>
      <c r="C1252" s="1"/>
      <c r="D1252" s="1"/>
    </row>
    <row r="1253" spans="1:4" ht="12.5">
      <c r="A1253" s="1" t="str">
        <f ca="1">IFERROR(__xludf.DUMMYFUNCTION("""COMPUTED_VALUE"""),"20180905RIPRP")</f>
        <v>20180905RIPRP</v>
      </c>
      <c r="B1253" s="1" t="str">
        <f ca="1">IFERROR(__xludf.DUMMYFUNCTION("""COMPUTED_VALUE"""),"Handgun")</f>
        <v>Handgun</v>
      </c>
      <c r="C1253" s="1" t="str">
        <f ca="1">IFERROR(__xludf.DUMMYFUNCTION("""COMPUTED_VALUE"""),".357 caliber")</f>
        <v>.357 caliber</v>
      </c>
      <c r="D1253" s="1"/>
    </row>
    <row r="1254" spans="1:4" ht="12.5">
      <c r="A1254" s="1" t="str">
        <f ca="1">IFERROR(__xludf.DUMMYFUNCTION("""COMPUTED_VALUE"""),"20180903NYLUN")</f>
        <v>20180903NYLUN</v>
      </c>
      <c r="B1254" s="1" t="str">
        <f ca="1">IFERROR(__xludf.DUMMYFUNCTION("""COMPUTED_VALUE"""),"Handgun")</f>
        <v>Handgun</v>
      </c>
      <c r="C1254" s="1" t="str">
        <f ca="1">IFERROR(__xludf.DUMMYFUNCTION("""COMPUTED_VALUE"""),"Unknown")</f>
        <v>Unknown</v>
      </c>
      <c r="D1254" s="1"/>
    </row>
    <row r="1255" spans="1:4" ht="12.5">
      <c r="A1255" s="1" t="str">
        <f ca="1">IFERROR(__xludf.DUMMYFUNCTION("""COMPUTED_VALUE"""),"20180831IANOE")</f>
        <v>20180831IANOE</v>
      </c>
      <c r="B1255" s="1" t="str">
        <f ca="1">IFERROR(__xludf.DUMMYFUNCTION("""COMPUTED_VALUE"""),"Handgun")</f>
        <v>Handgun</v>
      </c>
      <c r="C1255" s="1" t="str">
        <f ca="1">IFERROR(__xludf.DUMMYFUNCTION("""COMPUTED_VALUE"""),".22 caliber")</f>
        <v>.22 caliber</v>
      </c>
      <c r="D1255" s="1"/>
    </row>
    <row r="1256" spans="1:4" ht="12.5">
      <c r="A1256" s="1" t="str">
        <f ca="1">IFERROR(__xludf.DUMMYFUNCTION("""COMPUTED_VALUE"""),"20180831CABAS")</f>
        <v>20180831CABAS</v>
      </c>
      <c r="B1256" s="1" t="str">
        <f ca="1">IFERROR(__xludf.DUMMYFUNCTION("""COMPUTED_VALUE"""),"Handgun")</f>
        <v>Handgun</v>
      </c>
      <c r="C1256" s="1" t="str">
        <f ca="1">IFERROR(__xludf.DUMMYFUNCTION("""COMPUTED_VALUE"""),"Unknown")</f>
        <v>Unknown</v>
      </c>
      <c r="D1256" s="1"/>
    </row>
    <row r="1257" spans="1:4" ht="12.5">
      <c r="A1257" s="1" t="str">
        <f ca="1">IFERROR(__xludf.DUMMYFUNCTION("""COMPUTED_VALUE"""),"20180830NCVIC")</f>
        <v>20180830NCVIC</v>
      </c>
      <c r="B1257" s="1" t="str">
        <f ca="1">IFERROR(__xludf.DUMMYFUNCTION("""COMPUTED_VALUE"""),"Handgun")</f>
        <v>Handgun</v>
      </c>
      <c r="C1257" s="1" t="str">
        <f ca="1">IFERROR(__xludf.DUMMYFUNCTION("""COMPUTED_VALUE"""),"Unknown")</f>
        <v>Unknown</v>
      </c>
      <c r="D1257" s="1"/>
    </row>
    <row r="1258" spans="1:4" ht="12.5">
      <c r="A1258" s="1" t="str">
        <f ca="1">IFERROR(__xludf.DUMMYFUNCTION("""COMPUTED_VALUE"""),"20180830MIOTG")</f>
        <v>20180830MIOTG</v>
      </c>
      <c r="B1258" s="1"/>
      <c r="C1258" s="1"/>
      <c r="D1258" s="1"/>
    </row>
    <row r="1259" spans="1:4" ht="12.5">
      <c r="A1259" s="1" t="str">
        <f ca="1">IFERROR(__xludf.DUMMYFUNCTION("""COMPUTED_VALUE"""),"20180829DETOD")</f>
        <v>20180829DETOD</v>
      </c>
      <c r="B1259" s="1" t="str">
        <f ca="1">IFERROR(__xludf.DUMMYFUNCTION("""COMPUTED_VALUE"""),"Unknown")</f>
        <v>Unknown</v>
      </c>
      <c r="C1259" s="1" t="str">
        <f ca="1">IFERROR(__xludf.DUMMYFUNCTION("""COMPUTED_VALUE"""),"Unknown")</f>
        <v>Unknown</v>
      </c>
      <c r="D1259" s="1"/>
    </row>
    <row r="1260" spans="1:4" ht="12.5">
      <c r="A1260" s="1" t="str">
        <f ca="1">IFERROR(__xludf.DUMMYFUNCTION("""COMPUTED_VALUE"""),"20180828COCOD")</f>
        <v>20180828COCOD</v>
      </c>
      <c r="B1260" s="1" t="str">
        <f ca="1">IFERROR(__xludf.DUMMYFUNCTION("""COMPUTED_VALUE"""),"Handgun")</f>
        <v>Handgun</v>
      </c>
      <c r="C1260" s="1" t="str">
        <f ca="1">IFERROR(__xludf.DUMMYFUNCTION("""COMPUTED_VALUE"""),"Unknown")</f>
        <v>Unknown</v>
      </c>
      <c r="D1260" s="1"/>
    </row>
    <row r="1261" spans="1:4" ht="12.5">
      <c r="A1261" s="1" t="str">
        <f ca="1">IFERROR(__xludf.DUMMYFUNCTION("""COMPUTED_VALUE"""),"20180824ILMEC")</f>
        <v>20180824ILMEC</v>
      </c>
      <c r="B1261" s="1" t="str">
        <f ca="1">IFERROR(__xludf.DUMMYFUNCTION("""COMPUTED_VALUE"""),"Multiple Unknown")</f>
        <v>Multiple Unknown</v>
      </c>
      <c r="C1261" s="1" t="str">
        <f ca="1">IFERROR(__xludf.DUMMYFUNCTION("""COMPUTED_VALUE"""),"Unknown")</f>
        <v>Unknown</v>
      </c>
      <c r="D1261" s="1"/>
    </row>
    <row r="1262" spans="1:4" ht="12.5">
      <c r="A1262" s="1" t="str">
        <f ca="1">IFERROR(__xludf.DUMMYFUNCTION("""COMPUTED_VALUE"""),"20180824FLRAJ")</f>
        <v>20180824FLRAJ</v>
      </c>
      <c r="B1262" s="1" t="str">
        <f ca="1">IFERROR(__xludf.DUMMYFUNCTION("""COMPUTED_VALUE"""),"Handgun")</f>
        <v>Handgun</v>
      </c>
      <c r="C1262" s="1" t="str">
        <f ca="1">IFERROR(__xludf.DUMMYFUNCTION("""COMPUTED_VALUE"""),"Unknown")</f>
        <v>Unknown</v>
      </c>
      <c r="D1262" s="1"/>
    </row>
    <row r="1263" spans="1:4" ht="12.5">
      <c r="A1263" s="1" t="str">
        <f ca="1">IFERROR(__xludf.DUMMYFUNCTION("""COMPUTED_VALUE"""),"20180823ALALM")</f>
        <v>20180823ALALM</v>
      </c>
      <c r="B1263" s="1" t="str">
        <f ca="1">IFERROR(__xludf.DUMMYFUNCTION("""COMPUTED_VALUE"""),"Handgun")</f>
        <v>Handgun</v>
      </c>
      <c r="C1263" s="1" t="str">
        <f ca="1">IFERROR(__xludf.DUMMYFUNCTION("""COMPUTED_VALUE"""),"Unknown")</f>
        <v>Unknown</v>
      </c>
      <c r="D1263" s="1"/>
    </row>
    <row r="1264" spans="1:4" ht="12.5">
      <c r="A1264" s="1" t="str">
        <f ca="1">IFERROR(__xludf.DUMMYFUNCTION("""COMPUTED_VALUE"""),"20180817FLPAW")</f>
        <v>20180817FLPAW</v>
      </c>
      <c r="B1264" s="1" t="str">
        <f ca="1">IFERROR(__xludf.DUMMYFUNCTION("""COMPUTED_VALUE"""),"Handgun")</f>
        <v>Handgun</v>
      </c>
      <c r="C1264" s="1" t="str">
        <f ca="1">IFERROR(__xludf.DUMMYFUNCTION("""COMPUTED_VALUE"""),"Unknown")</f>
        <v>Unknown</v>
      </c>
      <c r="D1264" s="1"/>
    </row>
    <row r="1265" spans="1:4" ht="12.5">
      <c r="A1265" s="1" t="str">
        <f ca="1">IFERROR(__xludf.DUMMYFUNCTION("""COMPUTED_VALUE"""),"20180811TNANN")</f>
        <v>20180811TNANN</v>
      </c>
      <c r="B1265" s="1" t="str">
        <f ca="1">IFERROR(__xludf.DUMMYFUNCTION("""COMPUTED_VALUE"""),"Handgun")</f>
        <v>Handgun</v>
      </c>
      <c r="C1265" s="1" t="str">
        <f ca="1">IFERROR(__xludf.DUMMYFUNCTION("""COMPUTED_VALUE"""),"Unknown")</f>
        <v>Unknown</v>
      </c>
      <c r="D1265" s="1"/>
    </row>
    <row r="1266" spans="1:4" ht="12.5">
      <c r="A1266" s="1" t="str">
        <f ca="1">IFERROR(__xludf.DUMMYFUNCTION("""COMPUTED_VALUE"""),"20180809NJLAM")</f>
        <v>20180809NJLAM</v>
      </c>
      <c r="B1266" s="1" t="str">
        <f ca="1">IFERROR(__xludf.DUMMYFUNCTION("""COMPUTED_VALUE"""),"No Data")</f>
        <v>No Data</v>
      </c>
      <c r="C1266" s="1"/>
      <c r="D1266" s="1"/>
    </row>
    <row r="1267" spans="1:4" ht="12.5">
      <c r="A1267" s="1" t="str">
        <f ca="1">IFERROR(__xludf.DUMMYFUNCTION("""COMPUTED_VALUE"""),"20180804MDEDE")</f>
        <v>20180804MDEDE</v>
      </c>
      <c r="B1267" s="1" t="str">
        <f ca="1">IFERROR(__xludf.DUMMYFUNCTION("""COMPUTED_VALUE"""),"No Data")</f>
        <v>No Data</v>
      </c>
      <c r="C1267" s="1"/>
      <c r="D1267" s="1"/>
    </row>
    <row r="1268" spans="1:4" ht="12.5">
      <c r="A1268" s="1" t="str">
        <f ca="1">IFERROR(__xludf.DUMMYFUNCTION("""COMPUTED_VALUE"""),"20180803IALIO")</f>
        <v>20180803IALIO</v>
      </c>
      <c r="B1268" s="1" t="str">
        <f ca="1">IFERROR(__xludf.DUMMYFUNCTION("""COMPUTED_VALUE"""),"Handgun")</f>
        <v>Handgun</v>
      </c>
      <c r="C1268" s="1"/>
      <c r="D1268" s="1"/>
    </row>
    <row r="1269" spans="1:4" ht="12.5">
      <c r="A1269" s="1" t="str">
        <f ca="1">IFERROR(__xludf.DUMMYFUNCTION("""COMPUTED_VALUE"""),"20180719WAWEY")</f>
        <v>20180719WAWEY</v>
      </c>
      <c r="B1269" s="1" t="str">
        <f ca="1">IFERROR(__xludf.DUMMYFUNCTION("""COMPUTED_VALUE"""),"No Data")</f>
        <v>No Data</v>
      </c>
      <c r="C1269" s="1"/>
      <c r="D1269" s="1"/>
    </row>
    <row r="1270" spans="1:4" ht="12.5">
      <c r="A1270" s="1" t="str">
        <f ca="1">IFERROR(__xludf.DUMMYFUNCTION("""COMPUTED_VALUE"""),"20180717WVHUH")</f>
        <v>20180717WVHUH</v>
      </c>
      <c r="B1270" s="1" t="str">
        <f ca="1">IFERROR(__xludf.DUMMYFUNCTION("""COMPUTED_VALUE"""),"Handgun")</f>
        <v>Handgun</v>
      </c>
      <c r="C1270" s="1" t="str">
        <f ca="1">IFERROR(__xludf.DUMMYFUNCTION("""COMPUTED_VALUE"""),"Unknown")</f>
        <v>Unknown</v>
      </c>
      <c r="D1270" s="1"/>
    </row>
    <row r="1271" spans="1:4" ht="12.5">
      <c r="A1271" s="1" t="str">
        <f ca="1">IFERROR(__xludf.DUMMYFUNCTION("""COMPUTED_VALUE"""),"20180711OHMIM")</f>
        <v>20180711OHMIM</v>
      </c>
      <c r="B1271" s="1" t="str">
        <f ca="1">IFERROR(__xludf.DUMMYFUNCTION("""COMPUTED_VALUE"""),"No Data")</f>
        <v>No Data</v>
      </c>
      <c r="C1271" s="1"/>
      <c r="D1271" s="1"/>
    </row>
    <row r="1272" spans="1:4" ht="12.5">
      <c r="A1272" s="1" t="str">
        <f ca="1">IFERROR(__xludf.DUMMYFUNCTION("""COMPUTED_VALUE"""),"20180703KSSUO")</f>
        <v>20180703KSSUO</v>
      </c>
      <c r="B1272" s="1" t="str">
        <f ca="1">IFERROR(__xludf.DUMMYFUNCTION("""COMPUTED_VALUE"""),"Handgun")</f>
        <v>Handgun</v>
      </c>
      <c r="C1272" s="1" t="str">
        <f ca="1">IFERROR(__xludf.DUMMYFUNCTION("""COMPUTED_VALUE"""),"Unknown")</f>
        <v>Unknown</v>
      </c>
      <c r="D1272" s="1"/>
    </row>
    <row r="1273" spans="1:4" ht="12.5">
      <c r="A1273" s="1" t="str">
        <f ca="1">IFERROR(__xludf.DUMMYFUNCTION("""COMPUTED_VALUE"""),"20180701TNRAM")</f>
        <v>20180701TNRAM</v>
      </c>
      <c r="B1273" s="1" t="str">
        <f ca="1">IFERROR(__xludf.DUMMYFUNCTION("""COMPUTED_VALUE"""),"No Data")</f>
        <v>No Data</v>
      </c>
      <c r="C1273" s="1"/>
      <c r="D1273" s="1"/>
    </row>
    <row r="1274" spans="1:4" ht="12.5">
      <c r="A1274" s="1" t="str">
        <f ca="1">IFERROR(__xludf.DUMMYFUNCTION("""COMPUTED_VALUE"""),"20180625OHFUS")</f>
        <v>20180625OHFUS</v>
      </c>
      <c r="B1274" s="1" t="str">
        <f ca="1">IFERROR(__xludf.DUMMYFUNCTION("""COMPUTED_VALUE"""),"Handgun")</f>
        <v>Handgun</v>
      </c>
      <c r="C1274" s="1" t="str">
        <f ca="1">IFERROR(__xludf.DUMMYFUNCTION("""COMPUTED_VALUE"""),"Unknown")</f>
        <v>Unknown</v>
      </c>
      <c r="D1274" s="1"/>
    </row>
    <row r="1275" spans="1:4" ht="12.5">
      <c r="A1275" s="1" t="str">
        <f ca="1">IFERROR(__xludf.DUMMYFUNCTION("""COMPUTED_VALUE"""),"20180624MTSEM")</f>
        <v>20180624MTSEM</v>
      </c>
      <c r="B1275" s="1" t="str">
        <f ca="1">IFERROR(__xludf.DUMMYFUNCTION("""COMPUTED_VALUE"""),"Handgun")</f>
        <v>Handgun</v>
      </c>
      <c r="C1275" s="1" t="str">
        <f ca="1">IFERROR(__xludf.DUMMYFUNCTION("""COMPUTED_VALUE"""),"Unknown")</f>
        <v>Unknown</v>
      </c>
      <c r="D1275" s="1"/>
    </row>
    <row r="1276" spans="1:4" ht="12.5">
      <c r="A1276" s="1" t="str">
        <f ca="1">IFERROR(__xludf.DUMMYFUNCTION("""COMPUTED_VALUE"""),"20180621TXSKD")</f>
        <v>20180621TXSKD</v>
      </c>
      <c r="B1276" s="1" t="str">
        <f ca="1">IFERROR(__xludf.DUMMYFUNCTION("""COMPUTED_VALUE"""),"No Data")</f>
        <v>No Data</v>
      </c>
      <c r="C1276" s="1"/>
      <c r="D1276" s="1"/>
    </row>
    <row r="1277" spans="1:4" ht="12.5">
      <c r="A1277" s="1" t="str">
        <f ca="1">IFERROR(__xludf.DUMMYFUNCTION("""COMPUTED_VALUE"""),"20180617ORGRP")</f>
        <v>20180617ORGRP</v>
      </c>
      <c r="B1277" s="1" t="str">
        <f ca="1">IFERROR(__xludf.DUMMYFUNCTION("""COMPUTED_VALUE"""),"No Data")</f>
        <v>No Data</v>
      </c>
      <c r="C1277" s="1"/>
      <c r="D1277" s="1"/>
    </row>
    <row r="1278" spans="1:4" ht="12.5">
      <c r="A1278" s="1" t="str">
        <f ca="1">IFERROR(__xludf.DUMMYFUNCTION("""COMPUTED_VALUE"""),"20180615OHVAB")</f>
        <v>20180615OHVAB</v>
      </c>
      <c r="B1278" s="1" t="str">
        <f ca="1">IFERROR(__xludf.DUMMYFUNCTION("""COMPUTED_VALUE"""),"No Data")</f>
        <v>No Data</v>
      </c>
      <c r="C1278" s="1"/>
      <c r="D1278" s="1"/>
    </row>
    <row r="1279" spans="1:4" ht="12.5">
      <c r="A1279" s="1" t="str">
        <f ca="1">IFERROR(__xludf.DUMMYFUNCTION("""COMPUTED_VALUE"""),"20180601TXMCM")</f>
        <v>20180601TXMCM</v>
      </c>
      <c r="B1279" s="1" t="str">
        <f ca="1">IFERROR(__xludf.DUMMYFUNCTION("""COMPUTED_VALUE"""),"No Data")</f>
        <v>No Data</v>
      </c>
      <c r="C1279" s="1"/>
      <c r="D1279" s="1"/>
    </row>
    <row r="1280" spans="1:4" ht="12.5">
      <c r="A1280" s="1" t="str">
        <f ca="1">IFERROR(__xludf.DUMMYFUNCTION("""COMPUTED_VALUE"""),"20180525INNON")</f>
        <v>20180525INNON</v>
      </c>
      <c r="B1280" s="1" t="str">
        <f ca="1">IFERROR(__xludf.DUMMYFUNCTION("""COMPUTED_VALUE"""),"Handgun")</f>
        <v>Handgun</v>
      </c>
      <c r="C1280" s="1" t="str">
        <f ca="1">IFERROR(__xludf.DUMMYFUNCTION("""COMPUTED_VALUE"""),"Unknown")</f>
        <v>Unknown</v>
      </c>
      <c r="D1280" s="1" t="str">
        <f ca="1">IFERROR(__xludf.DUMMYFUNCTION("""COMPUTED_VALUE"""),"2 handguns")</f>
        <v>2 handguns</v>
      </c>
    </row>
    <row r="1281" spans="1:4" ht="12.5">
      <c r="A1281" s="1" t="str">
        <f ca="1">IFERROR(__xludf.DUMMYFUNCTION("""COMPUTED_VALUE"""),"20180525INNON")</f>
        <v>20180525INNON</v>
      </c>
      <c r="B1281" s="1" t="str">
        <f ca="1">IFERROR(__xludf.DUMMYFUNCTION("""COMPUTED_VALUE"""),"Handgun")</f>
        <v>Handgun</v>
      </c>
      <c r="C1281" s="1" t="str">
        <f ca="1">IFERROR(__xludf.DUMMYFUNCTION("""COMPUTED_VALUE"""),"Unknown")</f>
        <v>Unknown</v>
      </c>
      <c r="D1281" s="1" t="str">
        <f ca="1">IFERROR(__xludf.DUMMYFUNCTION("""COMPUTED_VALUE"""),"2 handguns")</f>
        <v>2 handguns</v>
      </c>
    </row>
    <row r="1282" spans="1:4" ht="12.5">
      <c r="A1282" s="1" t="str">
        <f ca="1">IFERROR(__xludf.DUMMYFUNCTION("""COMPUTED_VALUE"""),"20180521GABEG")</f>
        <v>20180521GABEG</v>
      </c>
      <c r="B1282" s="1" t="str">
        <f ca="1">IFERROR(__xludf.DUMMYFUNCTION("""COMPUTED_VALUE"""),"No Data")</f>
        <v>No Data</v>
      </c>
      <c r="C1282" s="1"/>
      <c r="D1282" s="1"/>
    </row>
    <row r="1283" spans="1:4" ht="12.5">
      <c r="A1283" s="1" t="str">
        <f ca="1">IFERROR(__xludf.DUMMYFUNCTION("""COMPUTED_VALUE"""),"20180518TXSAS")</f>
        <v>20180518TXSAS</v>
      </c>
      <c r="B1283" s="1" t="str">
        <f ca="1">IFERROR(__xludf.DUMMYFUNCTION("""COMPUTED_VALUE"""),"Handgun")</f>
        <v>Handgun</v>
      </c>
      <c r="C1283" s="1" t="str">
        <f ca="1">IFERROR(__xludf.DUMMYFUNCTION("""COMPUTED_VALUE"""),".38 caliber")</f>
        <v>.38 caliber</v>
      </c>
      <c r="D1283" s="1" t="str">
        <f ca="1">IFERROR(__xludf.DUMMYFUNCTION("""COMPUTED_VALUE"""),".38 pistol, shotgun")</f>
        <v>.38 pistol, shotgun</v>
      </c>
    </row>
    <row r="1284" spans="1:4" ht="12.5">
      <c r="A1284" s="1" t="str">
        <f ca="1">IFERROR(__xludf.DUMMYFUNCTION("""COMPUTED_VALUE"""),"20180518TXSAS")</f>
        <v>20180518TXSAS</v>
      </c>
      <c r="B1284" s="1" t="str">
        <f ca="1">IFERROR(__xludf.DUMMYFUNCTION("""COMPUTED_VALUE"""),"Shotgun")</f>
        <v>Shotgun</v>
      </c>
      <c r="C1284" s="1" t="str">
        <f ca="1">IFERROR(__xludf.DUMMYFUNCTION("""COMPUTED_VALUE"""),"Unknown")</f>
        <v>Unknown</v>
      </c>
      <c r="D1284" s="1" t="str">
        <f ca="1">IFERROR(__xludf.DUMMYFUNCTION("""COMPUTED_VALUE"""),".38 pistol, shotgun")</f>
        <v>.38 pistol, shotgun</v>
      </c>
    </row>
    <row r="1285" spans="1:4" ht="12.5">
      <c r="A1285" s="1" t="str">
        <f ca="1">IFERROR(__xludf.DUMMYFUNCTION("""COMPUTED_VALUE"""),"20180518GAMOA")</f>
        <v>20180518GAMOA</v>
      </c>
      <c r="B1285" s="1" t="str">
        <f ca="1">IFERROR(__xludf.DUMMYFUNCTION("""COMPUTED_VALUE"""),"Handgun")</f>
        <v>Handgun</v>
      </c>
      <c r="C1285" s="1" t="str">
        <f ca="1">IFERROR(__xludf.DUMMYFUNCTION("""COMPUTED_VALUE"""),"Unknown")</f>
        <v>Unknown</v>
      </c>
      <c r="D1285" s="1"/>
    </row>
    <row r="1286" spans="1:4" ht="12.5">
      <c r="A1286" s="1" t="str">
        <f ca="1">IFERROR(__xludf.DUMMYFUNCTION("""COMPUTED_VALUE"""),"20180517MOCEK")</f>
        <v>20180517MOCEK</v>
      </c>
      <c r="B1286" s="1" t="str">
        <f ca="1">IFERROR(__xludf.DUMMYFUNCTION("""COMPUTED_VALUE"""),"Handgun")</f>
        <v>Handgun</v>
      </c>
      <c r="C1286" s="1" t="str">
        <f ca="1">IFERROR(__xludf.DUMMYFUNCTION("""COMPUTED_VALUE"""),"Unknown")</f>
        <v>Unknown</v>
      </c>
      <c r="D1286" s="1"/>
    </row>
    <row r="1287" spans="1:4" ht="12.5">
      <c r="A1287" s="1" t="str">
        <f ca="1">IFERROR(__xludf.DUMMYFUNCTION("""COMPUTED_VALUE"""),"20180516ILDID")</f>
        <v>20180516ILDID</v>
      </c>
      <c r="B1287" s="1" t="str">
        <f ca="1">IFERROR(__xludf.DUMMYFUNCTION("""COMPUTED_VALUE"""),"Rifle")</f>
        <v>Rifle</v>
      </c>
      <c r="C1287" s="1" t="str">
        <f ca="1">IFERROR(__xludf.DUMMYFUNCTION("""COMPUTED_VALUE"""),"9mm")</f>
        <v>9mm</v>
      </c>
      <c r="D1287" s="1"/>
    </row>
    <row r="1288" spans="1:4" ht="12.5">
      <c r="A1288" s="1" t="str">
        <f ca="1">IFERROR(__xludf.DUMMYFUNCTION("""COMPUTED_VALUE"""),"20180511CAHIP")</f>
        <v>20180511CAHIP</v>
      </c>
      <c r="B1288" s="1" t="str">
        <f ca="1">IFERROR(__xludf.DUMMYFUNCTION("""COMPUTED_VALUE"""),"Rifle")</f>
        <v>Rifle</v>
      </c>
      <c r="C1288" s="1" t="str">
        <f ca="1">IFERROR(__xludf.DUMMYFUNCTION("""COMPUTED_VALUE"""),"Semiautomatic")</f>
        <v>Semiautomatic</v>
      </c>
      <c r="D1288" s="1"/>
    </row>
    <row r="1289" spans="1:4" ht="12.5">
      <c r="A1289" s="1" t="str">
        <f ca="1">IFERROR(__xludf.DUMMYFUNCTION("""COMPUTED_VALUE"""),"20180505MIFOF")</f>
        <v>20180505MIFOF</v>
      </c>
      <c r="B1289" s="1" t="str">
        <f ca="1">IFERROR(__xludf.DUMMYFUNCTION("""COMPUTED_VALUE"""),"Handgun")</f>
        <v>Handgun</v>
      </c>
      <c r="C1289" s="1" t="str">
        <f ca="1">IFERROR(__xludf.DUMMYFUNCTION("""COMPUTED_VALUE"""),"Unknown")</f>
        <v>Unknown</v>
      </c>
      <c r="D1289" s="1"/>
    </row>
    <row r="1290" spans="1:4" ht="12.5">
      <c r="A1290" s="1" t="str">
        <f ca="1">IFERROR(__xludf.DUMMYFUNCTION("""COMPUTED_VALUE"""),"20180503TNWAW")</f>
        <v>20180503TNWAW</v>
      </c>
      <c r="B1290" s="1" t="str">
        <f ca="1">IFERROR(__xludf.DUMMYFUNCTION("""COMPUTED_VALUE"""),"No Data")</f>
        <v>No Data</v>
      </c>
      <c r="C1290" s="1"/>
      <c r="D1290" s="1"/>
    </row>
    <row r="1291" spans="1:4" ht="12.5">
      <c r="A1291" s="1" t="str">
        <f ca="1">IFERROR(__xludf.DUMMYFUNCTION("""COMPUTED_VALUE"""),"20180503SDENW")</f>
        <v>20180503SDENW</v>
      </c>
      <c r="B1291" s="1" t="str">
        <f ca="1">IFERROR(__xludf.DUMMYFUNCTION("""COMPUTED_VALUE"""),"No Data")</f>
        <v>No Data</v>
      </c>
      <c r="C1291" s="1"/>
      <c r="D1291" s="1"/>
    </row>
    <row r="1292" spans="1:4" ht="12.5">
      <c r="A1292" s="1" t="str">
        <f ca="1">IFERROR(__xludf.DUMMYFUNCTION("""COMPUTED_VALUE"""),"20180425NMHIA")</f>
        <v>20180425NMHIA</v>
      </c>
      <c r="B1292" s="1" t="str">
        <f ca="1">IFERROR(__xludf.DUMMYFUNCTION("""COMPUTED_VALUE"""),"Handgun")</f>
        <v>Handgun</v>
      </c>
      <c r="C1292" s="1"/>
      <c r="D1292" s="1"/>
    </row>
    <row r="1293" spans="1:4" ht="12.5">
      <c r="A1293" s="1" t="str">
        <f ca="1">IFERROR(__xludf.DUMMYFUNCTION("""COMPUTED_VALUE"""),"20180423GABEA")</f>
        <v>20180423GABEA</v>
      </c>
      <c r="B1293" s="1" t="str">
        <f ca="1">IFERROR(__xludf.DUMMYFUNCTION("""COMPUTED_VALUE"""),"Handgun")</f>
        <v>Handgun</v>
      </c>
      <c r="C1293" s="1" t="str">
        <f ca="1">IFERROR(__xludf.DUMMYFUNCTION("""COMPUTED_VALUE"""),"Unknown")</f>
        <v>Unknown</v>
      </c>
      <c r="D1293" s="1"/>
    </row>
    <row r="1294" spans="1:4" ht="12.5">
      <c r="A1294" s="1" t="str">
        <f ca="1">IFERROR(__xludf.DUMMYFUNCTION("""COMPUTED_VALUE"""),"20180420FLFOO")</f>
        <v>20180420FLFOO</v>
      </c>
      <c r="B1294" s="1" t="str">
        <f ca="1">IFERROR(__xludf.DUMMYFUNCTION("""COMPUTED_VALUE"""),"Shotgun")</f>
        <v>Shotgun</v>
      </c>
      <c r="C1294" s="1" t="str">
        <f ca="1">IFERROR(__xludf.DUMMYFUNCTION("""COMPUTED_VALUE"""),"Unknown")</f>
        <v>Unknown</v>
      </c>
      <c r="D1294" s="1"/>
    </row>
    <row r="1295" spans="1:4" ht="12.5">
      <c r="A1295" s="1" t="str">
        <f ca="1">IFERROR(__xludf.DUMMYFUNCTION("""COMPUTED_VALUE"""),"20180419MIJAJ")</f>
        <v>20180419MIJAJ</v>
      </c>
      <c r="B1295" s="1" t="str">
        <f ca="1">IFERROR(__xludf.DUMMYFUNCTION("""COMPUTED_VALUE"""),"Handgun")</f>
        <v>Handgun</v>
      </c>
      <c r="C1295" s="1" t="str">
        <f ca="1">IFERROR(__xludf.DUMMYFUNCTION("""COMPUTED_VALUE"""),"Unknown")</f>
        <v>Unknown</v>
      </c>
      <c r="D1295" s="1"/>
    </row>
    <row r="1296" spans="1:4" ht="12.5">
      <c r="A1296" s="1" t="str">
        <f ca="1">IFERROR(__xludf.DUMMYFUNCTION("""COMPUTED_VALUE"""),"20180412MORAR")</f>
        <v>20180412MORAR</v>
      </c>
      <c r="B1296" s="1" t="str">
        <f ca="1">IFERROR(__xludf.DUMMYFUNCTION("""COMPUTED_VALUE"""),"Handgun")</f>
        <v>Handgun</v>
      </c>
      <c r="C1296" s="1" t="str">
        <f ca="1">IFERROR(__xludf.DUMMYFUNCTION("""COMPUTED_VALUE"""),"Unknown")</f>
        <v>Unknown</v>
      </c>
      <c r="D1296" s="1"/>
    </row>
    <row r="1297" spans="1:4" ht="12.5">
      <c r="A1297" s="1" t="str">
        <f ca="1">IFERROR(__xludf.DUMMYFUNCTION("""COMPUTED_VALUE"""),"20180409NYGLG")</f>
        <v>20180409NYGLG</v>
      </c>
      <c r="B1297" s="1" t="str">
        <f ca="1">IFERROR(__xludf.DUMMYFUNCTION("""COMPUTED_VALUE"""),"Handgun")</f>
        <v>Handgun</v>
      </c>
      <c r="C1297" s="1" t="str">
        <f ca="1">IFERROR(__xludf.DUMMYFUNCTION("""COMPUTED_VALUE"""),"BB")</f>
        <v>BB</v>
      </c>
      <c r="D1297" s="1"/>
    </row>
    <row r="1298" spans="1:4" ht="12.5">
      <c r="A1298" s="1" t="str">
        <f ca="1">IFERROR(__xludf.DUMMYFUNCTION("""COMPUTED_VALUE"""),"20180329KYJOE")</f>
        <v>20180329KYJOE</v>
      </c>
      <c r="B1298" s="1" t="str">
        <f ca="1">IFERROR(__xludf.DUMMYFUNCTION("""COMPUTED_VALUE"""),"Handgun")</f>
        <v>Handgun</v>
      </c>
      <c r="C1298" s="1" t="str">
        <f ca="1">IFERROR(__xludf.DUMMYFUNCTION("""COMPUTED_VALUE"""),"Unknown")</f>
        <v>Unknown</v>
      </c>
      <c r="D1298" s="1"/>
    </row>
    <row r="1299" spans="1:4" ht="12.5">
      <c r="A1299" s="1" t="str">
        <f ca="1">IFERROR(__xludf.DUMMYFUNCTION("""COMPUTED_VALUE"""),"20180328MSEUE")</f>
        <v>20180328MSEUE</v>
      </c>
      <c r="B1299" s="1" t="str">
        <f ca="1">IFERROR(__xludf.DUMMYFUNCTION("""COMPUTED_VALUE"""),"Handgun")</f>
        <v>Handgun</v>
      </c>
      <c r="C1299" s="1" t="str">
        <f ca="1">IFERROR(__xludf.DUMMYFUNCTION("""COMPUTED_VALUE"""),"9mm")</f>
        <v>9mm</v>
      </c>
      <c r="D1299" s="1"/>
    </row>
    <row r="1300" spans="1:4" ht="12.5">
      <c r="A1300" s="1" t="str">
        <f ca="1">IFERROR(__xludf.DUMMYFUNCTION("""COMPUTED_VALUE"""),"20180320MDGRG")</f>
        <v>20180320MDGRG</v>
      </c>
      <c r="B1300" s="1" t="str">
        <f ca="1">IFERROR(__xludf.DUMMYFUNCTION("""COMPUTED_VALUE"""),"Handgun")</f>
        <v>Handgun</v>
      </c>
      <c r="C1300" s="1" t="str">
        <f ca="1">IFERROR(__xludf.DUMMYFUNCTION("""COMPUTED_VALUE"""),"9mm")</f>
        <v>9mm</v>
      </c>
      <c r="D1300" s="1"/>
    </row>
    <row r="1301" spans="1:4" ht="12.5">
      <c r="A1301" s="1" t="str">
        <f ca="1">IFERROR(__xludf.DUMMYFUNCTION("""COMPUTED_VALUE"""),"20180319VADOP")</f>
        <v>20180319VADOP</v>
      </c>
      <c r="B1301" s="1" t="str">
        <f ca="1">IFERROR(__xludf.DUMMYFUNCTION("""COMPUTED_VALUE"""),"No Data")</f>
        <v>No Data</v>
      </c>
      <c r="C1301" s="1"/>
      <c r="D1301" s="1"/>
    </row>
    <row r="1302" spans="1:4" ht="12.5">
      <c r="A1302" s="1" t="str">
        <f ca="1">IFERROR(__xludf.DUMMYFUNCTION("""COMPUTED_VALUE"""),"20180316MTBIM")</f>
        <v>20180316MTBIM</v>
      </c>
      <c r="B1302" s="1" t="str">
        <f ca="1">IFERROR(__xludf.DUMMYFUNCTION("""COMPUTED_VALUE"""),"Handgun")</f>
        <v>Handgun</v>
      </c>
      <c r="C1302" s="1" t="str">
        <f ca="1">IFERROR(__xludf.DUMMYFUNCTION("""COMPUTED_VALUE"""),"Service weapon")</f>
        <v>Service weapon</v>
      </c>
      <c r="D1302" s="1"/>
    </row>
    <row r="1303" spans="1:4" ht="12.5">
      <c r="A1303" s="1" t="str">
        <f ca="1">IFERROR(__xludf.DUMMYFUNCTION("""COMPUTED_VALUE"""),"20180313VAGEA")</f>
        <v>20180313VAGEA</v>
      </c>
      <c r="B1303" s="1" t="str">
        <f ca="1">IFERROR(__xludf.DUMMYFUNCTION("""COMPUTED_VALUE"""),"Handgun")</f>
        <v>Handgun</v>
      </c>
      <c r="C1303" s="1" t="str">
        <f ca="1">IFERROR(__xludf.DUMMYFUNCTION("""COMPUTED_VALUE"""),"Unknown")</f>
        <v>Unknown</v>
      </c>
      <c r="D1303" s="1"/>
    </row>
    <row r="1304" spans="1:4" ht="12.5">
      <c r="A1304" s="1" t="str">
        <f ca="1">IFERROR(__xludf.DUMMYFUNCTION("""COMPUTED_VALUE"""),"20180313CASES")</f>
        <v>20180313CASES</v>
      </c>
      <c r="B1304" s="1" t="str">
        <f ca="1">IFERROR(__xludf.DUMMYFUNCTION("""COMPUTED_VALUE"""),"Handgun")</f>
        <v>Handgun</v>
      </c>
      <c r="C1304" s="1" t="str">
        <f ca="1">IFERROR(__xludf.DUMMYFUNCTION("""COMPUTED_VALUE"""),".45 caliber")</f>
        <v>.45 caliber</v>
      </c>
      <c r="D1304" s="1"/>
    </row>
    <row r="1305" spans="1:4" ht="12.5">
      <c r="A1305" s="1" t="str">
        <f ca="1">IFERROR(__xludf.DUMMYFUNCTION("""COMPUTED_VALUE"""),"20180309KYFRL")</f>
        <v>20180309KYFRL</v>
      </c>
      <c r="B1305" s="1" t="str">
        <f ca="1">IFERROR(__xludf.DUMMYFUNCTION("""COMPUTED_VALUE"""),"Handgun")</f>
        <v>Handgun</v>
      </c>
      <c r="C1305" s="1" t="str">
        <f ca="1">IFERROR(__xludf.DUMMYFUNCTION("""COMPUTED_VALUE"""),"Unknown")</f>
        <v>Unknown</v>
      </c>
      <c r="D1305" s="1"/>
    </row>
    <row r="1306" spans="1:4" ht="12.5">
      <c r="A1306" s="1" t="str">
        <f ca="1">IFERROR(__xludf.DUMMYFUNCTION("""COMPUTED_VALUE"""),"20180307ALHUB")</f>
        <v>20180307ALHUB</v>
      </c>
      <c r="B1306" s="1" t="str">
        <f ca="1">IFERROR(__xludf.DUMMYFUNCTION("""COMPUTED_VALUE"""),"Handgun")</f>
        <v>Handgun</v>
      </c>
      <c r="C1306" s="1" t="str">
        <f ca="1">IFERROR(__xludf.DUMMYFUNCTION("""COMPUTED_VALUE"""),"Unknown")</f>
        <v>Unknown</v>
      </c>
      <c r="D1306" s="1"/>
    </row>
    <row r="1307" spans="1:4" ht="12.5">
      <c r="A1307" s="1" t="str">
        <f ca="1">IFERROR(__xludf.DUMMYFUNCTION("""COMPUTED_VALUE"""),"20180305MOKIC")</f>
        <v>20180305MOKIC</v>
      </c>
      <c r="B1307" s="1" t="str">
        <f ca="1">IFERROR(__xludf.DUMMYFUNCTION("""COMPUTED_VALUE"""),"No Data")</f>
        <v>No Data</v>
      </c>
      <c r="C1307" s="1"/>
      <c r="D1307" s="1"/>
    </row>
    <row r="1308" spans="1:4" ht="12.5">
      <c r="A1308" s="1" t="str">
        <f ca="1">IFERROR(__xludf.DUMMYFUNCTION("""COMPUTED_VALUE"""),"20180228GADAD")</f>
        <v>20180228GADAD</v>
      </c>
      <c r="B1308" s="1" t="str">
        <f ca="1">IFERROR(__xludf.DUMMYFUNCTION("""COMPUTED_VALUE"""),"Handgun")</f>
        <v>Handgun</v>
      </c>
      <c r="C1308" s="1" t="str">
        <f ca="1">IFERROR(__xludf.DUMMYFUNCTION("""COMPUTED_VALUE"""),".38 caliber")</f>
        <v>.38 caliber</v>
      </c>
      <c r="D1308" s="1"/>
    </row>
    <row r="1309" spans="1:4" ht="12.5">
      <c r="A1309" s="1" t="str">
        <f ca="1">IFERROR(__xludf.DUMMYFUNCTION("""COMPUTED_VALUE"""),"20180226WAOAT")</f>
        <v>20180226WAOAT</v>
      </c>
      <c r="B1309" s="1" t="str">
        <f ca="1">IFERROR(__xludf.DUMMYFUNCTION("""COMPUTED_VALUE"""),"Handgun")</f>
        <v>Handgun</v>
      </c>
      <c r="C1309" s="1" t="str">
        <f ca="1">IFERROR(__xludf.DUMMYFUNCTION("""COMPUTED_VALUE"""),"Unknown")</f>
        <v>Unknown</v>
      </c>
      <c r="D1309" s="1"/>
    </row>
    <row r="1310" spans="1:4" ht="12.5">
      <c r="A1310" s="1" t="str">
        <f ca="1">IFERROR(__xludf.DUMMYFUNCTION("""COMPUTED_VALUE"""),"20180220OHJAM")</f>
        <v>20180220OHJAM</v>
      </c>
      <c r="B1310" s="1" t="str">
        <f ca="1">IFERROR(__xludf.DUMMYFUNCTION("""COMPUTED_VALUE"""),"Rifle")</f>
        <v>Rifle</v>
      </c>
      <c r="C1310" s="1" t="str">
        <f ca="1">IFERROR(__xludf.DUMMYFUNCTION("""COMPUTED_VALUE"""),".22 caliber")</f>
        <v>.22 caliber</v>
      </c>
      <c r="D1310" s="1"/>
    </row>
    <row r="1311" spans="1:4" ht="12.5">
      <c r="A1311" s="1" t="str">
        <f ca="1">IFERROR(__xludf.DUMMYFUNCTION("""COMPUTED_VALUE"""),"20180215FLNOC")</f>
        <v>20180215FLNOC</v>
      </c>
      <c r="B1311" s="1" t="str">
        <f ca="1">IFERROR(__xludf.DUMMYFUNCTION("""COMPUTED_VALUE"""),"Handgun")</f>
        <v>Handgun</v>
      </c>
      <c r="C1311" s="1" t="str">
        <f ca="1">IFERROR(__xludf.DUMMYFUNCTION("""COMPUTED_VALUE"""),"Service Weapon")</f>
        <v>Service Weapon</v>
      </c>
      <c r="D1311" s="1"/>
    </row>
    <row r="1312" spans="1:4" ht="12.5">
      <c r="A1312" s="1" t="str">
        <f ca="1">IFERROR(__xludf.DUMMYFUNCTION("""COMPUTED_VALUE"""),"20180214FLMAP")</f>
        <v>20180214FLMAP</v>
      </c>
      <c r="B1312" s="1" t="str">
        <f ca="1">IFERROR(__xludf.DUMMYFUNCTION("""COMPUTED_VALUE"""),"Rifle")</f>
        <v>Rifle</v>
      </c>
      <c r="C1312" s="1" t="str">
        <f ca="1">IFERROR(__xludf.DUMMYFUNCTION("""COMPUTED_VALUE"""),"AR-15")</f>
        <v>AR-15</v>
      </c>
      <c r="D1312" s="1"/>
    </row>
    <row r="1313" spans="1:4" ht="12.5">
      <c r="A1313" s="1" t="str">
        <f ca="1">IFERROR(__xludf.DUMMYFUNCTION("""COMPUTED_VALUE"""),"20180209TNPEN")</f>
        <v>20180209TNPEN</v>
      </c>
      <c r="B1313" s="1" t="str">
        <f ca="1">IFERROR(__xludf.DUMMYFUNCTION("""COMPUTED_VALUE"""),"Handgun")</f>
        <v>Handgun</v>
      </c>
      <c r="C1313" s="1" t="str">
        <f ca="1">IFERROR(__xludf.DUMMYFUNCTION("""COMPUTED_VALUE"""),"Unknown")</f>
        <v>Unknown</v>
      </c>
      <c r="D1313" s="1"/>
    </row>
    <row r="1314" spans="1:4" ht="12.5">
      <c r="A1314" s="1" t="str">
        <f ca="1">IFERROR(__xludf.DUMMYFUNCTION("""COMPUTED_VALUE"""),"20180208NYTHN")</f>
        <v>20180208NYTHN</v>
      </c>
      <c r="B1314" s="1" t="str">
        <f ca="1">IFERROR(__xludf.DUMMYFUNCTION("""COMPUTED_VALUE"""),"Handgun")</f>
        <v>Handgun</v>
      </c>
      <c r="C1314" s="1" t="str">
        <f ca="1">IFERROR(__xludf.DUMMYFUNCTION("""COMPUTED_VALUE"""),"Unknown")</f>
        <v>Unknown</v>
      </c>
      <c r="D1314" s="1"/>
    </row>
    <row r="1315" spans="1:4" ht="12.5">
      <c r="A1315" s="1" t="str">
        <f ca="1">IFERROR(__xludf.DUMMYFUNCTION("""COMPUTED_VALUE"""),"20180205MNHAM")</f>
        <v>20180205MNHAM</v>
      </c>
      <c r="B1315" s="1" t="str">
        <f ca="1">IFERROR(__xludf.DUMMYFUNCTION("""COMPUTED_VALUE"""),"Handgun")</f>
        <v>Handgun</v>
      </c>
      <c r="C1315" s="1" t="str">
        <f ca="1">IFERROR(__xludf.DUMMYFUNCTION("""COMPUTED_VALUE"""),"Service Weapon")</f>
        <v>Service Weapon</v>
      </c>
      <c r="D1315" s="1"/>
    </row>
    <row r="1316" spans="1:4" ht="12.5">
      <c r="A1316" s="1" t="str">
        <f ca="1">IFERROR(__xludf.DUMMYFUNCTION("""COMPUTED_VALUE"""),"20180205MDOXO")</f>
        <v>20180205MDOXO</v>
      </c>
      <c r="B1316" s="1" t="str">
        <f ca="1">IFERROR(__xludf.DUMMYFUNCTION("""COMPUTED_VALUE"""),"Handgun")</f>
        <v>Handgun</v>
      </c>
      <c r="C1316" s="1" t="str">
        <f ca="1">IFERROR(__xludf.DUMMYFUNCTION("""COMPUTED_VALUE"""),"Unknown")</f>
        <v>Unknown</v>
      </c>
      <c r="D1316" s="1"/>
    </row>
    <row r="1317" spans="1:4" ht="12.5">
      <c r="A1317" s="1" t="str">
        <f ca="1">IFERROR(__xludf.DUMMYFUNCTION("""COMPUTED_VALUE"""),"20180201CASAL")</f>
        <v>20180201CASAL</v>
      </c>
      <c r="B1317" s="1" t="str">
        <f ca="1">IFERROR(__xludf.DUMMYFUNCTION("""COMPUTED_VALUE"""),"Handgun")</f>
        <v>Handgun</v>
      </c>
      <c r="C1317" s="1" t="str">
        <f ca="1">IFERROR(__xludf.DUMMYFUNCTION("""COMPUTED_VALUE"""),"Unknown")</f>
        <v>Unknown</v>
      </c>
      <c r="D1317" s="1"/>
    </row>
    <row r="1318" spans="1:4" ht="12.5">
      <c r="A1318" s="1" t="str">
        <f ca="1">IFERROR(__xludf.DUMMYFUNCTION("""COMPUTED_VALUE"""),"20180131PALIP")</f>
        <v>20180131PALIP</v>
      </c>
      <c r="B1318" s="1" t="str">
        <f ca="1">IFERROR(__xludf.DUMMYFUNCTION("""COMPUTED_VALUE"""),"Multiple Unknown")</f>
        <v>Multiple Unknown</v>
      </c>
      <c r="C1318" s="1" t="str">
        <f ca="1">IFERROR(__xludf.DUMMYFUNCTION("""COMPUTED_VALUE"""),"Unknown")</f>
        <v>Unknown</v>
      </c>
      <c r="D1318" s="1" t="str">
        <f ca="1">IFERROR(__xludf.DUMMYFUNCTION("""COMPUTED_VALUE"""),"3 different firearms discharged")</f>
        <v>3 different firearms discharged</v>
      </c>
    </row>
    <row r="1319" spans="1:4" ht="12.5">
      <c r="A1319" s="1" t="str">
        <f ca="1">IFERROR(__xludf.DUMMYFUNCTION("""COMPUTED_VALUE"""),"20180126MIDED")</f>
        <v>20180126MIDED</v>
      </c>
      <c r="B1319" s="1" t="str">
        <f ca="1">IFERROR(__xludf.DUMMYFUNCTION("""COMPUTED_VALUE"""),"No Data")</f>
        <v>No Data</v>
      </c>
      <c r="C1319" s="1"/>
      <c r="D1319" s="1"/>
    </row>
    <row r="1320" spans="1:4" ht="12.5">
      <c r="A1320" s="1" t="str">
        <f ca="1">IFERROR(__xludf.DUMMYFUNCTION("""COMPUTED_VALUE"""),"20180125ALMUM")</f>
        <v>20180125ALMUM</v>
      </c>
      <c r="B1320" s="1" t="str">
        <f ca="1">IFERROR(__xludf.DUMMYFUNCTION("""COMPUTED_VALUE"""),"Handgun")</f>
        <v>Handgun</v>
      </c>
      <c r="C1320" s="1" t="str">
        <f ca="1">IFERROR(__xludf.DUMMYFUNCTION("""COMPUTED_VALUE"""),".38 caliber")</f>
        <v>.38 caliber</v>
      </c>
      <c r="D1320" s="1"/>
    </row>
    <row r="1321" spans="1:4" ht="12.5">
      <c r="A1321" s="1" t="str">
        <f ca="1">IFERROR(__xludf.DUMMYFUNCTION("""COMPUTED_VALUE"""),"20180123KYMAB")</f>
        <v>20180123KYMAB</v>
      </c>
      <c r="B1321" s="1" t="str">
        <f ca="1">IFERROR(__xludf.DUMMYFUNCTION("""COMPUTED_VALUE"""),"Handgun")</f>
        <v>Handgun</v>
      </c>
      <c r="C1321" s="1" t="str">
        <f ca="1">IFERROR(__xludf.DUMMYFUNCTION("""COMPUTED_VALUE"""),"9mm")</f>
        <v>9mm</v>
      </c>
      <c r="D1321" s="1"/>
    </row>
    <row r="1322" spans="1:4" ht="12.5">
      <c r="A1322" s="1" t="str">
        <f ca="1">IFERROR(__xludf.DUMMYFUNCTION("""COMPUTED_VALUE"""),"20180122TXITI")</f>
        <v>20180122TXITI</v>
      </c>
      <c r="B1322" s="1" t="str">
        <f ca="1">IFERROR(__xludf.DUMMYFUNCTION("""COMPUTED_VALUE"""),"Handgun")</f>
        <v>Handgun</v>
      </c>
      <c r="C1322" s="1" t="str">
        <f ca="1">IFERROR(__xludf.DUMMYFUNCTION("""COMPUTED_VALUE"""),".38 caliber")</f>
        <v>.38 caliber</v>
      </c>
      <c r="D1322" s="1"/>
    </row>
    <row r="1323" spans="1:4" ht="12.5">
      <c r="A1323" s="1" t="str">
        <f ca="1">IFERROR(__xludf.DUMMYFUNCTION("""COMPUTED_VALUE"""),"20180122LANEN")</f>
        <v>20180122LANEN</v>
      </c>
      <c r="B1323" s="1" t="str">
        <f ca="1">IFERROR(__xludf.DUMMYFUNCTION("""COMPUTED_VALUE"""),"No Data")</f>
        <v>No Data</v>
      </c>
      <c r="C1323" s="1"/>
      <c r="D1323" s="1"/>
    </row>
    <row r="1324" spans="1:4" ht="12.5">
      <c r="A1324" s="1" t="str">
        <f ca="1">IFERROR(__xludf.DUMMYFUNCTION("""COMPUTED_VALUE"""),"20180116VTMOM")</f>
        <v>20180116VTMOM</v>
      </c>
      <c r="B1324" s="1" t="str">
        <f ca="1">IFERROR(__xludf.DUMMYFUNCTION("""COMPUTED_VALUE"""),"Handgun")</f>
        <v>Handgun</v>
      </c>
      <c r="C1324" s="1" t="str">
        <f ca="1">IFERROR(__xludf.DUMMYFUNCTION("""COMPUTED_VALUE"""),"Service Weapon")</f>
        <v>Service Weapon</v>
      </c>
      <c r="D1324" s="1"/>
    </row>
    <row r="1325" spans="1:4" ht="12.5">
      <c r="A1325" s="1" t="str">
        <f ca="1">IFERROR(__xludf.DUMMYFUNCTION("""COMPUTED_VALUE"""),"20180109AZCOS")</f>
        <v>20180109AZCOS</v>
      </c>
      <c r="B1325" s="1" t="str">
        <f ca="1">IFERROR(__xludf.DUMMYFUNCTION("""COMPUTED_VALUE"""),"Handgun")</f>
        <v>Handgun</v>
      </c>
      <c r="C1325" s="1" t="str">
        <f ca="1">IFERROR(__xludf.DUMMYFUNCTION("""COMPUTED_VALUE"""),"Unknown")</f>
        <v>Unknown</v>
      </c>
      <c r="D1325" s="1"/>
    </row>
    <row r="1326" spans="1:4" ht="12.5">
      <c r="A1326" s="1" t="str">
        <f ca="1">IFERROR(__xludf.DUMMYFUNCTION("""COMPUTED_VALUE"""),"20180105IAFOF")</f>
        <v>20180105IAFOF</v>
      </c>
      <c r="B1326" s="1" t="str">
        <f ca="1">IFERROR(__xludf.DUMMYFUNCTION("""COMPUTED_VALUE"""),"Other")</f>
        <v>Other</v>
      </c>
      <c r="C1326" s="1" t="str">
        <f ca="1">IFERROR(__xludf.DUMMYFUNCTION("""COMPUTED_VALUE"""),"Pellet")</f>
        <v>Pellet</v>
      </c>
      <c r="D1326" s="1"/>
    </row>
    <row r="1327" spans="1:4" ht="12.5">
      <c r="A1327" s="1" t="str">
        <f ca="1">IFERROR(__xludf.DUMMYFUNCTION("""COMPUTED_VALUE"""),"20180104WANES")</f>
        <v>20180104WANES</v>
      </c>
      <c r="B1327" s="1" t="str">
        <f ca="1">IFERROR(__xludf.DUMMYFUNCTION("""COMPUTED_VALUE"""),"No Data")</f>
        <v>No Data</v>
      </c>
      <c r="C1327" s="1"/>
      <c r="D1327" s="1"/>
    </row>
    <row r="1328" spans="1:4" ht="12.5">
      <c r="A1328" s="1"/>
      <c r="B1328" s="1"/>
      <c r="C1328" s="1"/>
      <c r="D1328" s="1"/>
    </row>
    <row r="1329" spans="1:4" ht="12.5">
      <c r="A1329" s="1"/>
      <c r="B1329" s="1"/>
      <c r="C1329" s="1"/>
      <c r="D1329" s="1"/>
    </row>
    <row r="1330" spans="1:4" ht="12.5">
      <c r="A1330" s="1"/>
      <c r="B1330" s="1"/>
      <c r="C1330" s="1"/>
      <c r="D1330" s="1"/>
    </row>
    <row r="1331" spans="1:4" ht="12.5">
      <c r="A1331" s="1"/>
      <c r="B1331" s="1"/>
      <c r="C1331" s="1"/>
      <c r="D1331" s="1"/>
    </row>
    <row r="1332" spans="1:4" ht="12.5">
      <c r="A1332" s="1"/>
      <c r="B1332" s="1"/>
      <c r="C1332" s="1"/>
      <c r="D1332" s="1"/>
    </row>
    <row r="1333" spans="1:4" ht="12.5">
      <c r="A1333" s="1"/>
      <c r="B1333" s="1"/>
      <c r="C1333" s="1"/>
      <c r="D1333" s="1"/>
    </row>
    <row r="1334" spans="1:4" ht="12.5">
      <c r="A1334" s="1"/>
      <c r="B1334" s="1"/>
      <c r="C1334" s="1"/>
      <c r="D1334" s="1"/>
    </row>
    <row r="1335" spans="1:4" ht="12.5">
      <c r="A1335" s="1"/>
      <c r="B1335" s="1"/>
      <c r="C1335" s="1"/>
      <c r="D1335" s="1"/>
    </row>
    <row r="1336" spans="1:4" ht="12.5">
      <c r="A1336" s="1"/>
      <c r="B1336" s="1"/>
      <c r="C1336" s="1"/>
      <c r="D1336" s="1"/>
    </row>
    <row r="1337" spans="1:4" ht="12.5">
      <c r="A1337" s="1"/>
      <c r="B1337" s="1"/>
      <c r="C1337" s="1"/>
      <c r="D1337" s="1"/>
    </row>
    <row r="1338" spans="1:4" ht="12.5">
      <c r="A1338" s="1"/>
      <c r="B1338" s="1"/>
      <c r="C1338" s="1"/>
      <c r="D1338" s="1"/>
    </row>
    <row r="1339" spans="1:4" ht="12.5">
      <c r="A1339" s="1"/>
      <c r="B1339" s="1"/>
      <c r="C1339" s="1"/>
      <c r="D1339" s="1"/>
    </row>
    <row r="1340" spans="1:4" ht="12.5">
      <c r="A1340" s="1"/>
      <c r="B1340" s="1"/>
      <c r="C1340" s="1"/>
      <c r="D1340" s="1"/>
    </row>
    <row r="1341" spans="1:4" ht="12.5">
      <c r="A1341" s="1"/>
      <c r="B1341" s="1"/>
      <c r="C1341" s="1"/>
      <c r="D1341" s="1"/>
    </row>
    <row r="1342" spans="1:4" ht="12.5">
      <c r="A1342" s="1"/>
      <c r="B1342" s="1"/>
      <c r="C1342" s="1"/>
      <c r="D1342" s="1"/>
    </row>
    <row r="1343" spans="1:4" ht="12.5">
      <c r="A1343" s="1"/>
      <c r="B1343" s="1"/>
      <c r="C1343" s="1"/>
      <c r="D1343" s="1"/>
    </row>
    <row r="1344" spans="1:4" ht="12.5">
      <c r="A1344" s="1"/>
      <c r="B1344" s="1"/>
      <c r="C1344" s="1"/>
      <c r="D1344" s="1"/>
    </row>
    <row r="1345" spans="1:4" ht="12.5">
      <c r="A1345" s="1"/>
      <c r="B1345" s="1"/>
      <c r="C1345" s="1"/>
      <c r="D1345" s="1"/>
    </row>
    <row r="1346" spans="1:4" ht="12.5">
      <c r="A1346" s="1"/>
      <c r="B1346" s="1"/>
      <c r="C1346" s="1"/>
      <c r="D1346" s="1"/>
    </row>
    <row r="1347" spans="1:4" ht="12.5">
      <c r="A1347" s="1"/>
      <c r="B1347" s="1"/>
      <c r="C1347" s="1"/>
      <c r="D1347" s="1"/>
    </row>
    <row r="1348" spans="1:4" ht="12.5">
      <c r="A1348" s="1"/>
      <c r="B1348" s="1"/>
      <c r="C1348" s="1"/>
      <c r="D1348" s="1"/>
    </row>
    <row r="1349" spans="1:4" ht="12.5">
      <c r="A1349" s="1"/>
      <c r="B1349" s="1"/>
      <c r="C1349" s="1"/>
      <c r="D1349" s="1"/>
    </row>
    <row r="1350" spans="1:4" ht="12.5">
      <c r="A1350" s="1"/>
      <c r="B1350" s="1"/>
      <c r="C1350" s="1"/>
      <c r="D1350" s="1"/>
    </row>
    <row r="1351" spans="1:4" ht="12.5">
      <c r="A1351" s="1"/>
      <c r="B1351" s="1"/>
      <c r="C1351" s="1"/>
      <c r="D1351" s="1"/>
    </row>
    <row r="1352" spans="1:4" ht="12.5">
      <c r="A1352" s="1"/>
      <c r="B1352" s="1"/>
      <c r="C1352" s="1"/>
      <c r="D1352" s="1"/>
    </row>
    <row r="1353" spans="1:4" ht="12.5">
      <c r="A1353" s="1"/>
      <c r="B1353" s="1"/>
      <c r="C1353" s="1"/>
      <c r="D1353" s="1"/>
    </row>
    <row r="1354" spans="1:4" ht="12.5">
      <c r="A1354" s="1"/>
      <c r="B1354" s="1"/>
      <c r="C1354" s="1"/>
      <c r="D1354" s="1"/>
    </row>
    <row r="1355" spans="1:4" ht="12.5">
      <c r="A1355" s="1"/>
      <c r="B1355" s="1"/>
      <c r="C1355" s="1"/>
      <c r="D1355" s="1"/>
    </row>
    <row r="1356" spans="1:4" ht="12.5">
      <c r="A1356" s="1"/>
      <c r="B1356" s="1"/>
      <c r="C1356" s="1"/>
      <c r="D1356" s="1"/>
    </row>
    <row r="1357" spans="1:4" ht="12.5">
      <c r="A1357" s="1"/>
      <c r="B1357" s="1"/>
      <c r="C1357" s="1"/>
      <c r="D1357" s="1"/>
    </row>
    <row r="1358" spans="1:4" ht="12.5">
      <c r="A1358" s="1"/>
      <c r="B1358" s="1"/>
      <c r="C1358" s="1"/>
      <c r="D1358" s="1"/>
    </row>
    <row r="1359" spans="1:4" ht="12.5">
      <c r="A1359" s="1"/>
      <c r="B1359" s="1"/>
      <c r="C1359" s="1"/>
      <c r="D1359" s="1"/>
    </row>
    <row r="1360" spans="1:4" ht="12.5">
      <c r="A1360" s="1"/>
      <c r="B1360" s="1"/>
      <c r="C1360" s="1"/>
      <c r="D1360" s="1"/>
    </row>
    <row r="1361" spans="1:4" ht="12.5">
      <c r="A1361" s="1"/>
      <c r="B1361" s="1"/>
      <c r="C1361" s="1"/>
      <c r="D1361" s="1"/>
    </row>
    <row r="1362" spans="1:4" ht="12.5">
      <c r="A1362" s="1"/>
      <c r="B1362" s="1"/>
      <c r="C1362" s="1"/>
      <c r="D1362" s="1"/>
    </row>
    <row r="1363" spans="1:4" ht="12.5">
      <c r="A1363" s="1"/>
      <c r="B1363" s="1"/>
      <c r="C1363" s="1"/>
      <c r="D1363" s="1"/>
    </row>
    <row r="1364" spans="1:4" ht="12.5">
      <c r="A1364" s="1"/>
      <c r="B1364" s="1"/>
      <c r="C1364" s="1"/>
      <c r="D1364" s="1"/>
    </row>
    <row r="1365" spans="1:4" ht="12.5">
      <c r="A1365" s="1"/>
      <c r="B1365" s="1"/>
      <c r="C1365" s="1"/>
      <c r="D1365" s="1"/>
    </row>
    <row r="1366" spans="1:4" ht="12.5">
      <c r="A1366" s="1"/>
      <c r="B1366" s="1"/>
      <c r="C1366" s="1"/>
      <c r="D1366" s="1"/>
    </row>
    <row r="1367" spans="1:4" ht="12.5">
      <c r="A1367" s="1"/>
      <c r="B1367" s="1"/>
      <c r="C1367" s="1"/>
      <c r="D1367" s="1"/>
    </row>
    <row r="1368" spans="1:4" ht="12.5">
      <c r="A1368" s="1"/>
      <c r="B1368" s="1"/>
      <c r="C1368" s="1"/>
      <c r="D1368" s="1"/>
    </row>
    <row r="1369" spans="1:4" ht="12.5">
      <c r="A1369" s="1"/>
      <c r="B1369" s="1"/>
      <c r="C1369" s="1"/>
      <c r="D1369" s="1"/>
    </row>
    <row r="1370" spans="1:4" ht="12.5">
      <c r="A1370" s="1"/>
      <c r="B1370" s="1"/>
      <c r="C1370" s="1"/>
      <c r="D1370" s="1"/>
    </row>
    <row r="1371" spans="1:4" ht="12.5">
      <c r="A1371" s="1"/>
      <c r="B1371" s="1"/>
      <c r="C1371" s="1"/>
      <c r="D1371" s="1"/>
    </row>
    <row r="1372" spans="1:4" ht="12.5">
      <c r="A1372" s="1"/>
      <c r="B1372" s="1"/>
      <c r="C1372" s="1"/>
      <c r="D1372" s="1"/>
    </row>
    <row r="1373" spans="1:4" ht="12.5">
      <c r="A1373" s="1"/>
      <c r="B1373" s="1"/>
      <c r="C1373" s="1"/>
      <c r="D1373" s="1"/>
    </row>
    <row r="1374" spans="1:4" ht="12.5">
      <c r="A1374" s="1"/>
      <c r="B1374" s="1"/>
      <c r="C1374" s="1"/>
      <c r="D1374" s="1"/>
    </row>
    <row r="1375" spans="1:4" ht="12.5">
      <c r="A1375" s="1"/>
      <c r="B1375" s="1"/>
      <c r="C1375" s="1"/>
      <c r="D1375" s="1"/>
    </row>
    <row r="1376" spans="1:4" ht="12.5">
      <c r="A1376" s="1"/>
      <c r="B1376" s="1"/>
      <c r="C1376" s="1"/>
      <c r="D1376" s="1"/>
    </row>
    <row r="1377" spans="1:4" ht="12.5">
      <c r="A1377" s="1"/>
      <c r="B1377" s="1"/>
      <c r="C1377" s="1"/>
      <c r="D1377" s="1"/>
    </row>
    <row r="1378" spans="1:4" ht="12.5">
      <c r="A1378" s="1"/>
      <c r="B1378" s="1"/>
      <c r="C1378" s="1"/>
      <c r="D1378" s="1"/>
    </row>
    <row r="1379" spans="1:4" ht="12.5">
      <c r="A1379" s="1"/>
      <c r="B1379" s="1"/>
      <c r="C1379" s="1"/>
      <c r="D1379" s="1"/>
    </row>
    <row r="1380" spans="1:4" ht="12.5">
      <c r="A1380" s="1"/>
      <c r="B1380" s="1"/>
      <c r="C1380" s="1"/>
      <c r="D1380" s="1"/>
    </row>
    <row r="1381" spans="1:4" ht="12.5">
      <c r="A1381" s="1"/>
      <c r="B1381" s="1"/>
      <c r="C1381" s="1"/>
      <c r="D1381" s="1"/>
    </row>
    <row r="1382" spans="1:4" ht="12.5">
      <c r="A1382" s="1"/>
      <c r="B1382" s="1"/>
      <c r="C1382" s="1"/>
      <c r="D1382" s="1"/>
    </row>
    <row r="1383" spans="1:4" ht="12.5">
      <c r="A1383" s="1"/>
      <c r="B1383" s="1"/>
      <c r="C1383" s="1"/>
      <c r="D1383" s="1"/>
    </row>
    <row r="1384" spans="1:4" ht="12.5">
      <c r="A1384" s="1"/>
      <c r="B1384" s="1"/>
      <c r="C1384" s="1"/>
      <c r="D1384" s="1"/>
    </row>
    <row r="1385" spans="1:4" ht="12.5">
      <c r="A1385" s="1"/>
      <c r="B1385" s="1"/>
      <c r="C1385" s="1"/>
      <c r="D1385" s="1"/>
    </row>
    <row r="1386" spans="1:4" ht="12.5">
      <c r="A1386" s="1"/>
      <c r="B1386" s="1"/>
      <c r="C1386" s="1"/>
      <c r="D1386" s="1"/>
    </row>
    <row r="1387" spans="1:4" ht="12.5">
      <c r="A1387" s="1"/>
      <c r="B1387" s="1"/>
      <c r="C1387" s="1"/>
      <c r="D1387" s="1"/>
    </row>
    <row r="1388" spans="1:4" ht="12.5">
      <c r="A1388" s="1"/>
      <c r="B1388" s="1"/>
      <c r="C1388" s="1"/>
      <c r="D1388" s="1"/>
    </row>
    <row r="1389" spans="1:4" ht="12.5">
      <c r="A1389" s="1"/>
      <c r="B1389" s="1"/>
      <c r="C1389" s="1"/>
      <c r="D1389" s="1"/>
    </row>
    <row r="1390" spans="1:4" ht="12.5">
      <c r="A1390" s="1"/>
      <c r="B1390" s="1"/>
      <c r="C1390" s="1"/>
      <c r="D1390" s="1"/>
    </row>
    <row r="1391" spans="1:4" ht="12.5">
      <c r="A1391" s="1"/>
      <c r="B1391" s="1"/>
      <c r="C1391" s="1"/>
      <c r="D1391" s="1"/>
    </row>
    <row r="1392" spans="1:4" ht="12.5">
      <c r="A1392" s="1"/>
      <c r="B1392" s="1"/>
      <c r="C1392" s="1"/>
      <c r="D1392" s="1"/>
    </row>
    <row r="1393" spans="1:4" ht="12.5">
      <c r="A1393" s="1"/>
      <c r="B1393" s="1"/>
      <c r="C1393" s="1"/>
      <c r="D1393" s="1"/>
    </row>
    <row r="1394" spans="1:4" ht="12.5">
      <c r="A1394" s="1"/>
      <c r="B1394" s="1"/>
      <c r="C1394" s="1"/>
      <c r="D1394" s="1"/>
    </row>
    <row r="1395" spans="1:4" ht="12.5">
      <c r="A1395" s="1"/>
      <c r="B1395" s="1"/>
      <c r="C1395" s="1"/>
      <c r="D1395" s="1"/>
    </row>
    <row r="1396" spans="1:4" ht="12.5">
      <c r="A1396" s="1"/>
      <c r="B1396" s="1"/>
      <c r="C1396" s="1"/>
      <c r="D1396" s="1"/>
    </row>
    <row r="1397" spans="1:4" ht="12.5">
      <c r="A1397" s="1"/>
      <c r="B1397" s="1"/>
      <c r="C1397" s="1"/>
      <c r="D1397" s="1"/>
    </row>
    <row r="1398" spans="1:4" ht="12.5">
      <c r="A1398" s="1"/>
      <c r="B1398" s="1"/>
      <c r="C1398" s="1"/>
      <c r="D1398" s="1"/>
    </row>
    <row r="1399" spans="1:4" ht="12.5">
      <c r="A1399" s="1"/>
      <c r="B1399" s="1"/>
      <c r="C1399" s="1"/>
      <c r="D1399" s="1"/>
    </row>
    <row r="1400" spans="1:4" ht="12.5">
      <c r="A1400" s="1"/>
      <c r="B1400" s="1"/>
      <c r="C1400" s="1"/>
      <c r="D1400" s="1"/>
    </row>
    <row r="1401" spans="1:4" ht="12.5">
      <c r="A1401" s="1"/>
      <c r="B1401" s="1"/>
      <c r="C1401" s="1"/>
      <c r="D1401" s="1"/>
    </row>
    <row r="1402" spans="1:4" ht="12.5">
      <c r="A1402" s="1"/>
      <c r="B1402" s="1"/>
      <c r="C1402" s="1"/>
      <c r="D1402" s="1"/>
    </row>
    <row r="1403" spans="1:4" ht="12.5">
      <c r="A1403" s="1"/>
      <c r="B1403" s="1"/>
      <c r="C1403" s="1"/>
      <c r="D1403" s="1"/>
    </row>
    <row r="1404" spans="1:4" ht="12.5">
      <c r="A1404" s="1"/>
      <c r="B1404" s="1"/>
      <c r="C1404" s="1"/>
      <c r="D1404" s="1"/>
    </row>
    <row r="1405" spans="1:4" ht="12.5">
      <c r="A1405" s="1"/>
      <c r="B1405" s="1"/>
      <c r="C1405" s="1"/>
      <c r="D1405" s="1"/>
    </row>
    <row r="1406" spans="1:4" ht="12.5">
      <c r="A1406" s="1"/>
      <c r="B1406" s="1"/>
      <c r="C1406" s="1"/>
      <c r="D1406" s="1"/>
    </row>
    <row r="1407" spans="1:4" ht="12.5">
      <c r="A1407" s="1"/>
      <c r="B1407" s="1"/>
      <c r="C1407" s="1"/>
      <c r="D1407" s="1"/>
    </row>
    <row r="1408" spans="1:4" ht="12.5">
      <c r="A1408" s="1"/>
      <c r="B1408" s="1"/>
      <c r="C1408" s="1"/>
      <c r="D1408" s="1"/>
    </row>
    <row r="1409" spans="1:4" ht="12.5">
      <c r="A1409" s="1"/>
      <c r="B1409" s="1"/>
      <c r="C1409" s="1"/>
      <c r="D1409" s="1"/>
    </row>
    <row r="1410" spans="1:4" ht="12.5">
      <c r="A1410" s="1"/>
      <c r="B1410" s="1"/>
      <c r="C1410" s="1"/>
      <c r="D1410" s="1"/>
    </row>
    <row r="1411" spans="1:4" ht="12.5">
      <c r="A1411" s="1"/>
      <c r="B1411" s="1"/>
      <c r="C1411" s="1"/>
      <c r="D1411" s="1"/>
    </row>
    <row r="1412" spans="1:4" ht="12.5">
      <c r="A1412" s="1"/>
      <c r="B1412" s="1"/>
      <c r="C1412" s="1"/>
      <c r="D1412" s="1"/>
    </row>
    <row r="1413" spans="1:4" ht="12.5">
      <c r="A1413" s="1"/>
      <c r="B1413" s="1"/>
      <c r="C1413" s="1"/>
      <c r="D1413" s="1"/>
    </row>
    <row r="1414" spans="1:4" ht="12.5">
      <c r="A1414" s="1"/>
      <c r="B1414" s="1"/>
      <c r="C1414" s="1"/>
      <c r="D1414" s="1"/>
    </row>
    <row r="1415" spans="1:4" ht="12.5">
      <c r="A1415" s="1"/>
      <c r="B1415" s="1"/>
      <c r="C1415" s="1"/>
      <c r="D1415" s="1"/>
    </row>
    <row r="1416" spans="1:4" ht="12.5">
      <c r="A1416" s="1"/>
      <c r="B1416" s="1"/>
      <c r="C1416" s="1"/>
      <c r="D1416" s="1"/>
    </row>
    <row r="1417" spans="1:4" ht="12.5">
      <c r="A1417" s="1"/>
      <c r="B1417" s="1"/>
      <c r="C1417" s="1"/>
      <c r="D1417" s="1"/>
    </row>
    <row r="1418" spans="1:4" ht="12.5">
      <c r="A1418" s="1"/>
      <c r="B1418" s="1"/>
      <c r="C1418" s="1"/>
      <c r="D1418" s="1"/>
    </row>
    <row r="1419" spans="1:4" ht="12.5">
      <c r="A1419" s="1"/>
      <c r="B1419" s="1"/>
      <c r="C1419" s="1"/>
      <c r="D1419" s="1"/>
    </row>
    <row r="1420" spans="1:4" ht="12.5">
      <c r="A1420" s="1"/>
      <c r="B1420" s="1"/>
      <c r="C1420" s="1"/>
      <c r="D1420" s="1"/>
    </row>
    <row r="1421" spans="1:4" ht="12.5">
      <c r="A1421" s="1"/>
      <c r="B1421" s="1"/>
      <c r="C1421" s="1"/>
      <c r="D1421" s="1"/>
    </row>
    <row r="1422" spans="1:4" ht="12.5">
      <c r="A1422" s="1"/>
      <c r="B1422" s="1"/>
      <c r="C1422" s="1"/>
      <c r="D1422" s="1"/>
    </row>
    <row r="1423" spans="1:4" ht="12.5">
      <c r="A1423" s="1"/>
      <c r="B1423" s="1"/>
      <c r="C1423" s="1"/>
      <c r="D1423" s="1"/>
    </row>
    <row r="1424" spans="1:4" ht="12.5">
      <c r="A1424" s="1"/>
      <c r="B1424" s="1"/>
      <c r="C1424" s="1"/>
      <c r="D1424" s="1"/>
    </row>
    <row r="1425" spans="1:4" ht="12.5">
      <c r="A1425" s="1"/>
      <c r="B1425" s="1"/>
      <c r="C1425" s="1"/>
      <c r="D1425" s="1"/>
    </row>
    <row r="1426" spans="1:4" ht="12.5">
      <c r="A1426" s="1"/>
      <c r="B1426" s="1"/>
      <c r="C1426" s="1"/>
      <c r="D1426" s="1"/>
    </row>
    <row r="1427" spans="1:4" ht="12.5">
      <c r="A1427" s="1"/>
      <c r="B1427" s="1"/>
      <c r="C1427" s="1"/>
      <c r="D1427" s="1"/>
    </row>
    <row r="1428" spans="1:4" ht="12.5">
      <c r="A1428" s="1"/>
      <c r="B1428" s="1"/>
      <c r="C1428" s="1"/>
      <c r="D1428" s="1"/>
    </row>
    <row r="1429" spans="1:4" ht="12.5">
      <c r="A1429" s="1"/>
      <c r="B1429" s="1"/>
      <c r="C1429" s="1"/>
      <c r="D1429" s="1"/>
    </row>
    <row r="1430" spans="1:4" ht="12.5">
      <c r="A1430" s="1"/>
      <c r="B1430" s="1"/>
      <c r="C1430" s="1"/>
      <c r="D1430" s="1"/>
    </row>
    <row r="1431" spans="1:4" ht="12.5">
      <c r="A1431" s="1"/>
      <c r="B1431" s="1"/>
      <c r="C1431" s="1"/>
      <c r="D1431" s="1"/>
    </row>
    <row r="1432" spans="1:4" ht="12.5">
      <c r="A1432" s="1"/>
      <c r="B1432" s="1"/>
      <c r="C1432" s="1"/>
      <c r="D1432" s="1"/>
    </row>
    <row r="1433" spans="1:4" ht="12.5">
      <c r="A1433" s="1"/>
      <c r="B1433" s="1"/>
      <c r="C1433" s="1"/>
      <c r="D1433" s="1"/>
    </row>
    <row r="1434" spans="1:4" ht="12.5">
      <c r="A1434" s="1"/>
      <c r="B1434" s="1"/>
      <c r="C1434" s="1"/>
      <c r="D1434" s="1"/>
    </row>
    <row r="1435" spans="1:4" ht="12.5">
      <c r="A1435" s="1"/>
      <c r="B1435" s="1"/>
      <c r="C1435" s="1"/>
      <c r="D1435" s="1"/>
    </row>
    <row r="1436" spans="1:4" ht="12.5">
      <c r="A1436" s="1"/>
      <c r="B1436" s="1"/>
      <c r="C1436" s="1"/>
      <c r="D1436" s="1"/>
    </row>
    <row r="1437" spans="1:4" ht="12.5">
      <c r="A1437" s="1"/>
      <c r="B1437" s="1"/>
      <c r="C1437" s="1"/>
      <c r="D1437" s="1"/>
    </row>
    <row r="1438" spans="1:4" ht="12.5">
      <c r="A1438" s="1"/>
      <c r="B1438" s="1"/>
      <c r="C1438" s="1"/>
      <c r="D1438" s="1"/>
    </row>
    <row r="1439" spans="1:4" ht="12.5">
      <c r="A1439" s="1"/>
      <c r="B1439" s="1"/>
      <c r="C1439" s="1"/>
      <c r="D1439" s="1"/>
    </row>
    <row r="1440" spans="1:4" ht="12.5">
      <c r="A1440" s="1"/>
      <c r="B1440" s="1"/>
      <c r="C1440" s="1"/>
      <c r="D1440" s="1"/>
    </row>
    <row r="1441" spans="1:4" ht="12.5">
      <c r="A1441" s="1"/>
      <c r="B1441" s="1"/>
      <c r="C1441" s="1"/>
      <c r="D1441" s="1"/>
    </row>
    <row r="1442" spans="1:4" ht="12.5">
      <c r="A1442" s="1"/>
      <c r="B1442" s="1"/>
      <c r="C1442" s="1"/>
      <c r="D1442" s="1"/>
    </row>
    <row r="1443" spans="1:4" ht="12.5">
      <c r="A1443" s="1"/>
      <c r="B1443" s="1"/>
      <c r="C1443" s="1"/>
      <c r="D1443" s="1"/>
    </row>
    <row r="1444" spans="1:4" ht="12.5">
      <c r="A1444" s="1"/>
      <c r="B1444" s="1"/>
      <c r="C1444" s="1"/>
      <c r="D1444" s="1"/>
    </row>
    <row r="1445" spans="1:4" ht="12.5">
      <c r="A1445" s="1"/>
      <c r="B1445" s="1"/>
      <c r="C1445" s="1"/>
      <c r="D1445" s="1"/>
    </row>
    <row r="1446" spans="1:4" ht="12.5">
      <c r="A1446" s="1"/>
      <c r="B1446" s="1"/>
      <c r="C1446" s="1"/>
      <c r="D1446" s="1"/>
    </row>
    <row r="1447" spans="1:4" ht="12.5">
      <c r="A1447" s="1"/>
      <c r="B1447" s="1"/>
      <c r="C1447" s="1"/>
      <c r="D1447" s="1"/>
    </row>
    <row r="1448" spans="1:4" ht="12.5">
      <c r="A1448" s="1"/>
      <c r="B1448" s="1"/>
      <c r="C1448" s="1"/>
      <c r="D1448" s="1"/>
    </row>
    <row r="1449" spans="1:4" ht="12.5">
      <c r="A1449" s="1"/>
      <c r="B1449" s="1"/>
      <c r="C1449" s="1"/>
      <c r="D1449" s="1"/>
    </row>
    <row r="1450" spans="1:4" ht="12.5">
      <c r="A1450" s="1"/>
      <c r="B1450" s="1"/>
      <c r="C1450" s="1"/>
      <c r="D1450" s="1"/>
    </row>
    <row r="1451" spans="1:4" ht="12.5">
      <c r="A1451" s="1"/>
      <c r="B1451" s="1"/>
      <c r="C1451" s="1"/>
      <c r="D1451" s="1"/>
    </row>
    <row r="1452" spans="1:4" ht="12.5">
      <c r="A1452" s="1"/>
      <c r="B1452" s="1"/>
      <c r="C1452" s="1"/>
      <c r="D1452" s="1"/>
    </row>
    <row r="1453" spans="1:4" ht="12.5">
      <c r="A1453" s="1"/>
      <c r="B1453" s="1"/>
      <c r="C1453" s="1"/>
      <c r="D1453" s="1"/>
    </row>
    <row r="1454" spans="1:4" ht="12.5">
      <c r="A1454" s="1"/>
      <c r="B1454" s="1"/>
      <c r="C1454" s="1"/>
      <c r="D1454" s="1"/>
    </row>
    <row r="1455" spans="1:4" ht="12.5">
      <c r="A1455" s="1"/>
      <c r="B1455" s="1"/>
      <c r="C1455" s="1"/>
      <c r="D1455" s="1"/>
    </row>
    <row r="1456" spans="1:4" ht="12.5">
      <c r="A1456" s="1"/>
      <c r="B1456" s="1"/>
      <c r="C1456" s="1"/>
      <c r="D1456" s="1"/>
    </row>
    <row r="1457" spans="1:4" ht="12.5">
      <c r="A1457" s="1"/>
      <c r="B1457" s="1"/>
      <c r="C1457" s="1"/>
      <c r="D1457" s="1"/>
    </row>
    <row r="1458" spans="1:4" ht="12.5">
      <c r="A1458" s="1"/>
      <c r="B1458" s="1"/>
      <c r="C1458" s="1"/>
      <c r="D1458" s="1"/>
    </row>
    <row r="1459" spans="1:4" ht="12.5">
      <c r="A1459" s="1"/>
      <c r="B1459" s="1"/>
      <c r="C1459" s="1"/>
      <c r="D1459" s="1"/>
    </row>
    <row r="1460" spans="1:4" ht="12.5">
      <c r="A1460" s="1"/>
      <c r="B1460" s="1"/>
      <c r="C1460" s="1"/>
      <c r="D1460" s="1"/>
    </row>
    <row r="1461" spans="1:4" ht="12.5">
      <c r="A1461" s="1"/>
      <c r="B1461" s="1"/>
      <c r="C1461" s="1"/>
      <c r="D1461" s="1"/>
    </row>
    <row r="1462" spans="1:4" ht="12.5">
      <c r="A1462" s="1"/>
      <c r="B1462" s="1"/>
      <c r="C1462" s="1"/>
      <c r="D1462" s="1"/>
    </row>
    <row r="1463" spans="1:4" ht="12.5">
      <c r="A1463" s="1"/>
      <c r="B1463" s="1"/>
      <c r="C1463" s="1"/>
      <c r="D1463" s="1"/>
    </row>
    <row r="1464" spans="1:4" ht="12.5">
      <c r="A1464" s="1"/>
      <c r="B1464" s="1"/>
      <c r="C1464" s="1"/>
      <c r="D1464" s="1"/>
    </row>
    <row r="1465" spans="1:4" ht="12.5">
      <c r="A1465" s="1"/>
      <c r="B1465" s="1"/>
      <c r="C1465" s="1"/>
      <c r="D1465" s="1"/>
    </row>
    <row r="1466" spans="1:4" ht="12.5">
      <c r="A1466" s="1"/>
      <c r="B1466" s="1"/>
      <c r="C1466" s="1"/>
      <c r="D1466" s="1"/>
    </row>
    <row r="1467" spans="1:4" ht="12.5">
      <c r="A1467" s="1"/>
      <c r="B1467" s="1"/>
      <c r="C1467" s="1"/>
      <c r="D1467" s="1"/>
    </row>
    <row r="1468" spans="1:4" ht="12.5">
      <c r="A1468" s="1"/>
      <c r="B1468" s="1"/>
      <c r="C1468" s="1"/>
      <c r="D1468" s="1"/>
    </row>
    <row r="1469" spans="1:4" ht="12.5">
      <c r="A1469" s="1"/>
      <c r="B1469" s="1"/>
      <c r="C1469" s="1"/>
      <c r="D1469" s="1"/>
    </row>
    <row r="1470" spans="1:4" ht="12.5">
      <c r="A1470" s="1"/>
      <c r="B1470" s="1"/>
      <c r="C1470" s="1"/>
      <c r="D1470" s="1"/>
    </row>
    <row r="1471" spans="1:4" ht="12.5">
      <c r="A1471" s="1"/>
      <c r="B1471" s="1"/>
      <c r="C1471" s="1"/>
      <c r="D1471" s="1"/>
    </row>
    <row r="1472" spans="1:4" ht="12.5">
      <c r="A1472" s="1"/>
      <c r="B1472" s="1"/>
      <c r="C1472" s="1"/>
      <c r="D1472" s="1"/>
    </row>
    <row r="1473" spans="1:4" ht="12.5">
      <c r="A1473" s="1"/>
      <c r="B1473" s="1"/>
      <c r="C1473" s="1"/>
      <c r="D1473" s="1"/>
    </row>
    <row r="1474" spans="1:4" ht="12.5">
      <c r="A1474" s="1"/>
      <c r="B1474" s="1"/>
      <c r="C1474" s="1"/>
      <c r="D1474" s="1"/>
    </row>
    <row r="1475" spans="1:4" ht="12.5">
      <c r="A1475" s="1"/>
      <c r="B1475" s="1"/>
      <c r="C1475" s="1"/>
      <c r="D1475" s="1"/>
    </row>
    <row r="1476" spans="1:4" ht="12.5">
      <c r="A1476" s="1"/>
      <c r="B1476" s="1"/>
      <c r="C1476" s="1"/>
      <c r="D1476" s="1"/>
    </row>
    <row r="1477" spans="1:4" ht="12.5">
      <c r="A1477" s="1"/>
      <c r="B1477" s="1"/>
      <c r="C1477" s="1"/>
      <c r="D1477" s="1"/>
    </row>
    <row r="1478" spans="1:4" ht="12.5">
      <c r="A1478" s="1"/>
      <c r="B1478" s="1"/>
      <c r="C1478" s="1"/>
      <c r="D1478" s="1"/>
    </row>
    <row r="1479" spans="1:4" ht="12.5">
      <c r="A1479" s="1"/>
      <c r="B1479" s="1"/>
      <c r="C1479" s="1"/>
      <c r="D1479" s="1"/>
    </row>
    <row r="1480" spans="1:4" ht="12.5">
      <c r="A1480" s="1"/>
      <c r="B1480" s="1"/>
      <c r="C1480" s="1"/>
      <c r="D1480" s="1"/>
    </row>
    <row r="1481" spans="1:4" ht="12.5">
      <c r="A1481" s="1"/>
      <c r="B1481" s="1"/>
      <c r="C1481" s="1"/>
      <c r="D1481" s="1"/>
    </row>
    <row r="1482" spans="1:4" ht="12.5">
      <c r="A1482" s="1"/>
      <c r="B1482" s="1"/>
      <c r="C1482" s="1"/>
      <c r="D1482" s="1"/>
    </row>
    <row r="1483" spans="1:4" ht="12.5">
      <c r="A1483" s="1"/>
      <c r="B1483" s="1"/>
      <c r="C1483" s="1"/>
      <c r="D1483" s="1"/>
    </row>
    <row r="1484" spans="1:4" ht="12.5">
      <c r="A1484" s="1"/>
      <c r="B1484" s="1"/>
      <c r="C1484" s="1"/>
      <c r="D1484" s="1"/>
    </row>
    <row r="1485" spans="1:4" ht="12.5">
      <c r="A1485" s="1"/>
      <c r="B1485" s="1"/>
      <c r="C1485" s="1"/>
      <c r="D1485" s="1"/>
    </row>
    <row r="1486" spans="1:4" ht="12.5">
      <c r="A1486" s="1"/>
      <c r="B1486" s="1"/>
      <c r="C1486" s="1"/>
      <c r="D1486" s="1"/>
    </row>
    <row r="1487" spans="1:4" ht="12.5">
      <c r="A1487" s="1"/>
      <c r="B1487" s="1"/>
      <c r="C1487" s="1"/>
      <c r="D1487" s="1"/>
    </row>
    <row r="1488" spans="1:4" ht="12.5">
      <c r="A1488" s="1"/>
      <c r="B1488" s="1"/>
      <c r="C1488" s="1"/>
      <c r="D1488" s="1"/>
    </row>
    <row r="1489" spans="1:4" ht="12.5">
      <c r="A1489" s="1"/>
      <c r="B1489" s="1"/>
      <c r="C1489" s="1"/>
      <c r="D1489" s="1"/>
    </row>
    <row r="1490" spans="1:4" ht="12.5">
      <c r="A1490" s="1"/>
      <c r="B1490" s="1"/>
      <c r="C1490" s="1"/>
      <c r="D1490" s="1"/>
    </row>
    <row r="1491" spans="1:4" ht="12.5">
      <c r="A1491" s="1"/>
      <c r="B1491" s="1"/>
      <c r="C1491" s="1"/>
      <c r="D1491" s="1"/>
    </row>
    <row r="1492" spans="1:4" ht="12.5">
      <c r="A1492" s="1"/>
      <c r="B1492" s="1"/>
      <c r="C1492" s="1"/>
      <c r="D1492" s="1"/>
    </row>
    <row r="1493" spans="1:4" ht="12.5">
      <c r="A1493" s="1"/>
      <c r="B1493" s="1"/>
      <c r="C1493" s="1"/>
      <c r="D1493" s="1"/>
    </row>
    <row r="1494" spans="1:4" ht="12.5">
      <c r="A1494" s="1"/>
      <c r="B1494" s="1"/>
      <c r="C1494" s="1"/>
      <c r="D1494" s="1"/>
    </row>
    <row r="1495" spans="1:4" ht="12.5">
      <c r="A1495" s="1"/>
      <c r="B1495" s="1"/>
      <c r="C1495" s="1"/>
      <c r="D1495" s="1"/>
    </row>
    <row r="1496" spans="1:4" ht="12.5">
      <c r="A1496" s="1"/>
      <c r="B1496" s="1"/>
      <c r="C1496" s="1"/>
      <c r="D1496" s="1"/>
    </row>
    <row r="1497" spans="1:4" ht="12.5">
      <c r="A1497" s="1"/>
      <c r="B1497" s="1"/>
      <c r="C1497" s="1"/>
      <c r="D1497" s="1"/>
    </row>
    <row r="1498" spans="1:4" ht="12.5">
      <c r="A1498" s="1"/>
      <c r="B1498" s="1"/>
      <c r="C1498" s="1"/>
      <c r="D1498" s="1"/>
    </row>
    <row r="1499" spans="1:4" ht="12.5">
      <c r="A1499" s="1"/>
      <c r="B1499" s="1"/>
      <c r="C1499" s="1"/>
      <c r="D1499" s="1"/>
    </row>
    <row r="1500" spans="1:4" ht="12.5">
      <c r="A1500" s="1"/>
      <c r="B1500" s="1"/>
      <c r="C1500" s="1"/>
      <c r="D1500" s="1"/>
    </row>
    <row r="1501" spans="1:4" ht="12.5">
      <c r="A1501" s="1"/>
      <c r="B1501" s="1"/>
      <c r="C1501" s="1"/>
      <c r="D1501" s="1"/>
    </row>
    <row r="1502" spans="1:4" ht="12.5">
      <c r="A1502" s="1"/>
      <c r="B1502" s="1"/>
      <c r="C1502" s="1"/>
      <c r="D1502" s="1"/>
    </row>
    <row r="1503" spans="1:4" ht="12.5">
      <c r="A1503" s="1"/>
      <c r="B1503" s="1"/>
      <c r="C1503" s="1"/>
      <c r="D1503" s="1"/>
    </row>
    <row r="1504" spans="1:4" ht="12.5">
      <c r="A1504" s="1"/>
      <c r="B1504" s="1"/>
      <c r="C1504" s="1"/>
      <c r="D1504" s="1"/>
    </row>
    <row r="1505" spans="1:4" ht="12.5">
      <c r="A1505" s="1"/>
      <c r="B1505" s="1"/>
      <c r="C1505" s="1"/>
      <c r="D1505" s="1"/>
    </row>
    <row r="1506" spans="1:4" ht="12.5">
      <c r="A1506" s="1"/>
      <c r="B1506" s="1"/>
      <c r="C1506" s="1"/>
      <c r="D1506" s="1"/>
    </row>
    <row r="1507" spans="1:4" ht="12.5">
      <c r="A1507" s="1"/>
      <c r="B1507" s="1"/>
      <c r="C1507" s="1"/>
      <c r="D1507" s="1"/>
    </row>
    <row r="1508" spans="1:4" ht="12.5">
      <c r="A1508" s="1"/>
      <c r="B1508" s="1"/>
      <c r="C1508" s="1"/>
      <c r="D1508" s="1"/>
    </row>
    <row r="1509" spans="1:4" ht="12.5">
      <c r="A1509" s="1"/>
      <c r="B1509" s="1"/>
      <c r="C1509" s="1"/>
      <c r="D1509" s="1"/>
    </row>
    <row r="1510" spans="1:4" ht="12.5">
      <c r="A1510" s="1"/>
      <c r="B1510" s="1"/>
      <c r="C1510" s="1"/>
      <c r="D1510" s="1"/>
    </row>
    <row r="1511" spans="1:4" ht="12.5">
      <c r="A1511" s="1"/>
      <c r="B1511" s="1"/>
      <c r="C1511" s="1"/>
      <c r="D1511" s="1"/>
    </row>
    <row r="1512" spans="1:4" ht="12.5">
      <c r="A1512" s="1"/>
      <c r="B1512" s="1"/>
      <c r="C1512" s="1"/>
      <c r="D1512" s="1"/>
    </row>
    <row r="1513" spans="1:4" ht="12.5">
      <c r="A1513" s="1"/>
      <c r="B1513" s="1"/>
      <c r="C1513" s="1"/>
      <c r="D1513" s="1"/>
    </row>
    <row r="1514" spans="1:4" ht="12.5">
      <c r="A1514" s="1"/>
      <c r="B1514" s="1"/>
      <c r="C1514" s="1"/>
      <c r="D1514" s="1"/>
    </row>
    <row r="1515" spans="1:4" ht="12.5">
      <c r="A1515" s="1"/>
      <c r="B1515" s="1"/>
      <c r="C1515" s="1"/>
      <c r="D1515" s="1"/>
    </row>
    <row r="1516" spans="1:4" ht="12.5">
      <c r="A1516" s="1"/>
      <c r="B1516" s="1"/>
      <c r="C1516" s="1"/>
      <c r="D1516" s="1"/>
    </row>
    <row r="1517" spans="1:4" ht="12.5">
      <c r="A1517" s="1"/>
      <c r="B1517" s="1"/>
      <c r="C1517" s="1"/>
      <c r="D1517" s="1"/>
    </row>
    <row r="1518" spans="1:4" ht="12.5">
      <c r="A1518" s="1"/>
      <c r="B1518" s="1"/>
      <c r="C1518" s="1"/>
      <c r="D1518" s="1"/>
    </row>
    <row r="1519" spans="1:4" ht="12.5">
      <c r="A1519" s="1"/>
      <c r="B1519" s="1"/>
      <c r="C1519" s="1"/>
      <c r="D1519" s="1"/>
    </row>
    <row r="1520" spans="1:4" ht="12.5">
      <c r="A1520" s="1"/>
      <c r="B1520" s="1"/>
      <c r="C1520" s="1"/>
      <c r="D1520" s="1"/>
    </row>
    <row r="1521" spans="1:4" ht="12.5">
      <c r="A1521" s="1"/>
      <c r="B1521" s="1"/>
      <c r="C1521" s="1"/>
      <c r="D1521" s="1"/>
    </row>
    <row r="1522" spans="1:4" ht="12.5">
      <c r="A1522" s="1"/>
      <c r="B1522" s="1"/>
      <c r="C1522" s="1"/>
      <c r="D1522" s="1"/>
    </row>
    <row r="1523" spans="1:4" ht="12.5">
      <c r="A1523" s="1"/>
      <c r="B1523" s="1"/>
      <c r="C1523" s="1"/>
      <c r="D1523" s="1"/>
    </row>
    <row r="1524" spans="1:4" ht="12.5">
      <c r="A1524" s="1"/>
      <c r="B1524" s="1"/>
      <c r="C1524" s="1"/>
      <c r="D1524" s="1"/>
    </row>
    <row r="1525" spans="1:4" ht="12.5">
      <c r="A1525" s="1"/>
      <c r="B1525" s="1"/>
      <c r="C1525" s="1"/>
      <c r="D1525" s="1"/>
    </row>
    <row r="1526" spans="1:4" ht="12.5">
      <c r="A1526" s="1"/>
      <c r="B1526" s="1"/>
      <c r="C1526" s="1"/>
      <c r="D1526" s="1"/>
    </row>
    <row r="1527" spans="1:4" ht="12.5">
      <c r="A1527" s="1"/>
      <c r="B1527" s="1"/>
      <c r="C1527" s="1"/>
      <c r="D1527" s="1"/>
    </row>
    <row r="1528" spans="1:4" ht="12.5">
      <c r="A1528" s="1"/>
      <c r="B1528" s="1"/>
      <c r="C1528" s="1"/>
      <c r="D1528" s="1"/>
    </row>
    <row r="1529" spans="1:4" ht="12.5">
      <c r="A1529" s="1"/>
      <c r="B1529" s="1"/>
      <c r="C1529" s="1"/>
      <c r="D1529" s="1"/>
    </row>
    <row r="1530" spans="1:4" ht="12.5">
      <c r="A1530" s="1"/>
      <c r="B1530" s="1"/>
      <c r="C1530" s="1"/>
      <c r="D1530" s="1"/>
    </row>
    <row r="1531" spans="1:4" ht="12.5">
      <c r="A1531" s="1"/>
      <c r="B1531" s="1"/>
      <c r="C1531" s="1"/>
      <c r="D1531" s="1"/>
    </row>
    <row r="1532" spans="1:4" ht="12.5">
      <c r="A1532" s="1"/>
      <c r="B1532" s="1"/>
      <c r="C1532" s="1"/>
      <c r="D1532" s="1"/>
    </row>
    <row r="1533" spans="1:4" ht="12.5">
      <c r="A1533" s="1"/>
      <c r="B1533" s="1"/>
      <c r="C1533" s="1"/>
      <c r="D1533" s="1"/>
    </row>
    <row r="1534" spans="1:4" ht="12.5">
      <c r="A1534" s="1"/>
      <c r="B1534" s="1"/>
      <c r="C1534" s="1"/>
      <c r="D1534" s="1"/>
    </row>
    <row r="1535" spans="1:4" ht="12.5">
      <c r="A1535" s="1"/>
      <c r="B1535" s="1"/>
      <c r="C1535" s="1"/>
      <c r="D1535" s="1"/>
    </row>
    <row r="1536" spans="1:4" ht="12.5">
      <c r="A1536" s="1"/>
      <c r="B1536" s="1"/>
      <c r="C1536" s="1"/>
      <c r="D1536" s="1"/>
    </row>
    <row r="1537" spans="1:4" ht="12.5">
      <c r="A1537" s="1"/>
      <c r="B1537" s="1"/>
      <c r="C1537" s="1"/>
      <c r="D1537" s="1"/>
    </row>
    <row r="1538" spans="1:4" ht="12.5">
      <c r="A1538" s="1"/>
      <c r="B1538" s="1"/>
      <c r="C1538" s="1"/>
      <c r="D1538" s="1"/>
    </row>
    <row r="1539" spans="1:4" ht="12.5">
      <c r="A1539" s="1"/>
      <c r="B1539" s="1"/>
      <c r="C1539" s="1"/>
      <c r="D1539" s="1"/>
    </row>
    <row r="1540" spans="1:4" ht="12.5">
      <c r="A1540" s="1"/>
      <c r="B1540" s="1"/>
      <c r="C1540" s="1"/>
      <c r="D1540" s="1"/>
    </row>
    <row r="1541" spans="1:4" ht="12.5">
      <c r="A1541" s="1"/>
      <c r="B1541" s="1"/>
      <c r="C1541" s="1"/>
      <c r="D1541" s="1"/>
    </row>
    <row r="1542" spans="1:4" ht="12.5">
      <c r="A1542" s="1"/>
      <c r="B1542" s="1"/>
      <c r="C1542" s="1"/>
      <c r="D1542" s="1"/>
    </row>
    <row r="1543" spans="1:4" ht="12.5">
      <c r="A1543" s="1"/>
      <c r="B1543" s="1"/>
      <c r="C1543" s="1"/>
      <c r="D1543" s="1"/>
    </row>
    <row r="1544" spans="1:4" ht="12.5">
      <c r="A1544" s="1"/>
      <c r="B1544" s="1"/>
      <c r="C1544" s="1"/>
      <c r="D1544" s="1"/>
    </row>
    <row r="1545" spans="1:4" ht="12.5">
      <c r="A1545" s="1"/>
      <c r="B1545" s="1"/>
      <c r="C1545" s="1"/>
      <c r="D1545" s="1"/>
    </row>
    <row r="1546" spans="1:4" ht="12.5">
      <c r="A1546" s="1"/>
      <c r="B1546" s="1"/>
      <c r="C1546" s="1"/>
      <c r="D1546" s="1"/>
    </row>
    <row r="1547" spans="1:4" ht="12.5">
      <c r="A1547" s="1"/>
      <c r="B1547" s="1"/>
      <c r="C1547" s="1"/>
      <c r="D1547" s="1"/>
    </row>
    <row r="1548" spans="1:4" ht="12.5">
      <c r="A1548" s="1"/>
      <c r="B1548" s="1"/>
      <c r="C1548" s="1"/>
      <c r="D1548" s="1"/>
    </row>
    <row r="1549" spans="1:4" ht="12.5">
      <c r="A1549" s="1"/>
      <c r="B1549" s="1"/>
      <c r="C1549" s="1"/>
      <c r="D1549" s="1"/>
    </row>
    <row r="1550" spans="1:4" ht="12.5">
      <c r="A1550" s="1"/>
      <c r="B1550" s="1"/>
      <c r="C1550" s="1"/>
      <c r="D1550" s="1"/>
    </row>
    <row r="1551" spans="1:4" ht="12.5">
      <c r="A1551" s="1"/>
      <c r="B1551" s="1"/>
      <c r="C1551" s="1"/>
      <c r="D1551" s="1"/>
    </row>
    <row r="1552" spans="1:4" ht="12.5">
      <c r="A1552" s="1"/>
      <c r="B1552" s="1"/>
      <c r="C1552" s="1"/>
      <c r="D1552" s="1"/>
    </row>
    <row r="1553" spans="1:4" ht="12.5">
      <c r="A1553" s="1"/>
      <c r="B1553" s="1"/>
      <c r="C1553" s="1"/>
      <c r="D1553" s="1"/>
    </row>
    <row r="1554" spans="1:4" ht="12.5">
      <c r="A1554" s="1"/>
      <c r="B1554" s="1"/>
      <c r="C1554" s="1"/>
      <c r="D1554" s="1"/>
    </row>
    <row r="1555" spans="1:4" ht="12.5">
      <c r="A1555" s="1"/>
      <c r="B1555" s="1"/>
      <c r="C1555" s="1"/>
      <c r="D1555" s="1"/>
    </row>
    <row r="1556" spans="1:4" ht="12.5">
      <c r="A1556" s="1"/>
      <c r="B1556" s="1"/>
      <c r="C1556" s="1"/>
      <c r="D1556" s="1"/>
    </row>
    <row r="1557" spans="1:4" ht="12.5">
      <c r="A1557" s="1"/>
      <c r="B1557" s="1"/>
      <c r="C1557" s="1"/>
      <c r="D1557" s="1"/>
    </row>
    <row r="1558" spans="1:4" ht="12.5">
      <c r="A1558" s="1"/>
      <c r="B1558" s="1"/>
      <c r="C1558" s="1"/>
      <c r="D1558" s="1"/>
    </row>
    <row r="1559" spans="1:4" ht="12.5">
      <c r="A1559" s="1"/>
      <c r="B1559" s="1"/>
      <c r="C1559" s="1"/>
      <c r="D1559" s="1"/>
    </row>
    <row r="1560" spans="1:4" ht="12.5">
      <c r="A1560" s="1"/>
      <c r="B1560" s="1"/>
      <c r="C1560" s="1"/>
      <c r="D1560" s="1"/>
    </row>
    <row r="1561" spans="1:4" ht="12.5">
      <c r="A1561" s="1"/>
      <c r="B1561" s="1"/>
      <c r="C1561" s="1"/>
      <c r="D1561" s="1"/>
    </row>
    <row r="1562" spans="1:4" ht="12.5">
      <c r="A1562" s="1"/>
      <c r="B1562" s="1"/>
      <c r="C1562" s="1"/>
      <c r="D1562" s="1"/>
    </row>
    <row r="1563" spans="1:4" ht="12.5">
      <c r="A1563" s="1"/>
      <c r="B1563" s="1"/>
      <c r="C1563" s="1"/>
      <c r="D1563" s="1"/>
    </row>
    <row r="1564" spans="1:4" ht="12.5">
      <c r="A1564" s="1"/>
      <c r="B1564" s="1"/>
      <c r="C1564" s="1"/>
      <c r="D1564" s="1"/>
    </row>
    <row r="1565" spans="1:4" ht="12.5">
      <c r="A1565" s="1"/>
      <c r="B1565" s="1"/>
      <c r="C1565" s="1"/>
      <c r="D1565" s="1"/>
    </row>
    <row r="1566" spans="1:4" ht="12.5">
      <c r="A1566" s="1"/>
      <c r="B1566" s="1"/>
      <c r="C1566" s="1"/>
      <c r="D1566" s="1"/>
    </row>
    <row r="1567" spans="1:4" ht="12.5">
      <c r="A1567" s="1"/>
      <c r="B1567" s="1"/>
      <c r="C1567" s="1"/>
      <c r="D1567" s="1"/>
    </row>
    <row r="1568" spans="1:4" ht="12.5">
      <c r="A1568" s="1"/>
      <c r="B1568" s="1"/>
      <c r="C1568" s="1"/>
      <c r="D1568" s="1"/>
    </row>
    <row r="1569" spans="1:4" ht="12.5">
      <c r="A1569" s="1"/>
      <c r="B1569" s="1"/>
      <c r="C1569" s="1"/>
      <c r="D1569" s="1"/>
    </row>
    <row r="1570" spans="1:4" ht="12.5">
      <c r="A1570" s="1"/>
      <c r="B1570" s="1"/>
      <c r="C1570" s="1"/>
      <c r="D1570" s="1"/>
    </row>
    <row r="1571" spans="1:4" ht="12.5">
      <c r="A1571" s="1"/>
      <c r="B1571" s="1"/>
      <c r="C1571" s="1"/>
      <c r="D1571" s="1"/>
    </row>
    <row r="1572" spans="1:4" ht="12.5">
      <c r="A1572" s="1"/>
      <c r="B1572" s="1"/>
      <c r="C1572" s="1"/>
      <c r="D1572" s="1"/>
    </row>
    <row r="1573" spans="1:4" ht="12.5">
      <c r="A1573" s="1"/>
      <c r="B1573" s="1"/>
      <c r="C1573" s="1"/>
      <c r="D1573" s="1"/>
    </row>
    <row r="1574" spans="1:4" ht="12.5">
      <c r="A1574" s="1"/>
      <c r="B1574" s="1"/>
      <c r="C1574" s="1"/>
      <c r="D1574" s="1"/>
    </row>
    <row r="1575" spans="1:4" ht="12.5">
      <c r="A1575" s="1"/>
      <c r="B1575" s="1"/>
      <c r="C1575" s="1"/>
      <c r="D1575" s="1"/>
    </row>
    <row r="1576" spans="1:4" ht="12.5">
      <c r="A1576" s="1"/>
      <c r="B1576" s="1"/>
      <c r="C1576" s="1"/>
      <c r="D1576" s="1"/>
    </row>
    <row r="1577" spans="1:4" ht="12.5">
      <c r="A1577" s="1"/>
      <c r="B1577" s="1"/>
      <c r="C1577" s="1"/>
      <c r="D1577" s="1"/>
    </row>
    <row r="1578" spans="1:4" ht="12.5">
      <c r="A1578" s="1"/>
      <c r="B1578" s="1"/>
      <c r="C1578" s="1"/>
      <c r="D1578" s="1"/>
    </row>
    <row r="1579" spans="1:4" ht="12.5">
      <c r="A1579" s="1"/>
      <c r="B1579" s="1"/>
      <c r="C1579" s="1"/>
      <c r="D1579" s="1"/>
    </row>
    <row r="1580" spans="1:4" ht="12.5">
      <c r="A1580" s="1"/>
      <c r="B1580" s="1"/>
      <c r="C1580" s="1"/>
      <c r="D1580" s="1"/>
    </row>
    <row r="1581" spans="1:4" ht="12.5">
      <c r="A1581" s="1"/>
      <c r="B1581" s="1"/>
      <c r="C1581" s="1"/>
      <c r="D1581" s="1"/>
    </row>
    <row r="1582" spans="1:4" ht="12.5">
      <c r="A1582" s="1"/>
      <c r="B1582" s="1"/>
      <c r="C1582" s="1"/>
      <c r="D1582" s="1"/>
    </row>
    <row r="1583" spans="1:4" ht="12.5">
      <c r="A1583" s="1"/>
      <c r="B1583" s="1"/>
      <c r="C1583" s="1"/>
      <c r="D1583" s="1"/>
    </row>
    <row r="1584" spans="1:4" ht="12.5">
      <c r="A1584" s="1"/>
      <c r="B1584" s="1"/>
      <c r="C1584" s="1"/>
      <c r="D1584" s="1"/>
    </row>
    <row r="1585" spans="1:4" ht="12.5">
      <c r="A1585" s="1"/>
      <c r="B1585" s="1"/>
      <c r="C1585" s="1"/>
      <c r="D1585" s="1"/>
    </row>
    <row r="1586" spans="1:4" ht="12.5">
      <c r="A1586" s="1"/>
      <c r="B1586" s="1"/>
      <c r="C1586" s="1"/>
      <c r="D1586" s="1"/>
    </row>
    <row r="1587" spans="1:4" ht="12.5">
      <c r="A1587" s="1"/>
      <c r="B1587" s="1"/>
      <c r="C1587" s="1"/>
      <c r="D1587" s="1"/>
    </row>
    <row r="1588" spans="1:4" ht="12.5">
      <c r="A1588" s="1"/>
      <c r="B1588" s="1"/>
      <c r="C1588" s="1"/>
      <c r="D1588" s="1"/>
    </row>
    <row r="1589" spans="1:4" ht="12.5">
      <c r="A1589" s="1"/>
      <c r="B1589" s="1"/>
      <c r="C1589" s="1"/>
      <c r="D1589" s="1"/>
    </row>
    <row r="1590" spans="1:4" ht="12.5">
      <c r="A1590" s="1"/>
      <c r="B1590" s="1"/>
      <c r="C1590" s="1"/>
      <c r="D1590" s="1"/>
    </row>
    <row r="1591" spans="1:4" ht="12.5">
      <c r="A1591" s="1"/>
      <c r="B1591" s="1"/>
      <c r="C1591" s="1"/>
      <c r="D1591" s="1"/>
    </row>
    <row r="1592" spans="1:4" ht="12.5">
      <c r="A1592" s="1"/>
      <c r="B1592" s="1"/>
      <c r="C1592" s="1"/>
      <c r="D1592" s="1"/>
    </row>
    <row r="1593" spans="1:4" ht="12.5">
      <c r="A1593" s="1"/>
      <c r="B1593" s="1"/>
      <c r="C1593" s="1"/>
      <c r="D1593" s="1"/>
    </row>
    <row r="1594" spans="1:4" ht="12.5">
      <c r="A1594" s="1"/>
      <c r="B1594" s="1"/>
      <c r="C1594" s="1"/>
      <c r="D1594" s="1"/>
    </row>
    <row r="1595" spans="1:4" ht="12.5">
      <c r="A1595" s="1"/>
      <c r="B1595" s="1"/>
      <c r="C1595" s="1"/>
      <c r="D1595" s="1"/>
    </row>
    <row r="1596" spans="1:4" ht="12.5">
      <c r="A1596" s="1"/>
      <c r="B1596" s="1"/>
      <c r="C1596" s="1"/>
      <c r="D1596" s="1"/>
    </row>
    <row r="1597" spans="1:4" ht="12.5">
      <c r="A1597" s="1"/>
      <c r="B1597" s="1"/>
      <c r="C1597" s="1"/>
      <c r="D1597" s="1"/>
    </row>
    <row r="1598" spans="1:4" ht="12.5">
      <c r="A1598" s="1"/>
      <c r="B1598" s="1"/>
      <c r="C1598" s="1"/>
      <c r="D1598" s="1"/>
    </row>
    <row r="1599" spans="1:4" ht="12.5">
      <c r="A1599" s="1"/>
      <c r="B1599" s="1"/>
      <c r="C1599" s="1"/>
      <c r="D1599" s="1"/>
    </row>
    <row r="1600" spans="1:4" ht="12.5">
      <c r="A1600" s="1"/>
      <c r="B1600" s="1"/>
      <c r="C1600" s="1"/>
      <c r="D1600" s="1"/>
    </row>
    <row r="1601" spans="1:4" ht="12.5">
      <c r="A1601" s="1"/>
      <c r="B1601" s="1"/>
      <c r="C1601" s="1"/>
      <c r="D1601" s="1"/>
    </row>
    <row r="1602" spans="1:4" ht="12.5">
      <c r="A1602" s="1"/>
      <c r="B1602" s="1"/>
      <c r="C1602" s="1"/>
      <c r="D1602" s="1"/>
    </row>
    <row r="1603" spans="1:4" ht="12.5">
      <c r="A1603" s="1"/>
      <c r="B1603" s="1"/>
      <c r="C1603" s="1"/>
      <c r="D1603" s="1"/>
    </row>
    <row r="1604" spans="1:4" ht="12.5">
      <c r="A1604" s="1"/>
      <c r="B1604" s="1"/>
      <c r="C1604" s="1"/>
      <c r="D1604" s="1"/>
    </row>
    <row r="1605" spans="1:4" ht="12.5">
      <c r="A1605" s="1"/>
      <c r="B1605" s="1"/>
      <c r="C1605" s="1"/>
      <c r="D1605" s="1"/>
    </row>
    <row r="1606" spans="1:4" ht="12.5">
      <c r="A1606" s="1"/>
      <c r="B1606" s="1"/>
      <c r="C1606" s="1"/>
      <c r="D1606" s="1"/>
    </row>
    <row r="1607" spans="1:4" ht="12.5">
      <c r="A1607" s="1"/>
      <c r="B1607" s="1"/>
      <c r="C1607" s="1"/>
      <c r="D1607" s="1"/>
    </row>
    <row r="1608" spans="1:4" ht="12.5">
      <c r="A1608" s="1"/>
      <c r="B1608" s="1"/>
      <c r="C1608" s="1"/>
      <c r="D1608" s="1"/>
    </row>
    <row r="1609" spans="1:4" ht="12.5">
      <c r="A1609" s="1"/>
      <c r="B1609" s="1"/>
      <c r="C1609" s="1"/>
      <c r="D1609" s="1"/>
    </row>
    <row r="1610" spans="1:4" ht="12.5">
      <c r="A1610" s="1"/>
      <c r="B1610" s="1"/>
      <c r="C1610" s="1"/>
      <c r="D1610" s="1"/>
    </row>
    <row r="1611" spans="1:4" ht="12.5">
      <c r="A1611" s="1"/>
      <c r="B1611" s="1"/>
      <c r="C1611" s="1"/>
      <c r="D1611" s="1"/>
    </row>
    <row r="1612" spans="1:4" ht="12.5">
      <c r="A1612" s="1"/>
      <c r="B1612" s="1"/>
      <c r="C1612" s="1"/>
      <c r="D1612" s="1"/>
    </row>
    <row r="1613" spans="1:4" ht="12.5">
      <c r="A1613" s="1"/>
      <c r="B1613" s="1"/>
      <c r="C1613" s="1"/>
      <c r="D1613" s="1"/>
    </row>
    <row r="1614" spans="1:4" ht="12.5">
      <c r="A1614" s="1"/>
      <c r="B1614" s="1"/>
      <c r="C1614" s="1"/>
      <c r="D1614" s="1"/>
    </row>
    <row r="1615" spans="1:4" ht="12.5">
      <c r="A1615" s="1"/>
      <c r="B1615" s="1"/>
      <c r="C1615" s="1"/>
      <c r="D1615" s="1"/>
    </row>
    <row r="1616" spans="1:4" ht="12.5">
      <c r="A1616" s="1"/>
      <c r="B1616" s="1"/>
      <c r="C1616" s="1"/>
      <c r="D1616" s="1"/>
    </row>
    <row r="1617" spans="1:4" ht="12.5">
      <c r="A1617" s="1"/>
      <c r="B1617" s="1"/>
      <c r="C1617" s="1"/>
      <c r="D1617" s="1"/>
    </row>
    <row r="1618" spans="1:4" ht="12.5">
      <c r="A1618" s="1"/>
      <c r="B1618" s="1"/>
      <c r="C1618" s="1"/>
      <c r="D1618" s="1"/>
    </row>
    <row r="1619" spans="1:4" ht="12.5">
      <c r="A1619" s="1"/>
      <c r="B1619" s="1"/>
      <c r="C1619" s="1"/>
      <c r="D1619" s="1"/>
    </row>
    <row r="1620" spans="1:4" ht="12.5">
      <c r="A1620" s="1"/>
      <c r="B1620" s="1"/>
      <c r="C1620" s="1"/>
      <c r="D1620" s="1"/>
    </row>
    <row r="1621" spans="1:4" ht="12.5">
      <c r="A1621" s="1"/>
      <c r="B1621" s="1"/>
      <c r="C1621" s="1"/>
      <c r="D1621" s="1"/>
    </row>
    <row r="1622" spans="1:4" ht="12.5">
      <c r="A1622" s="1"/>
      <c r="B1622" s="1"/>
      <c r="C1622" s="1"/>
      <c r="D1622" s="1"/>
    </row>
    <row r="1623" spans="1:4" ht="12.5">
      <c r="A1623" s="1"/>
      <c r="B1623" s="1"/>
      <c r="C1623" s="1"/>
      <c r="D1623" s="1"/>
    </row>
    <row r="1624" spans="1:4" ht="12.5">
      <c r="A1624" s="1"/>
      <c r="B1624" s="1"/>
      <c r="C1624" s="1"/>
      <c r="D1624" s="1"/>
    </row>
    <row r="1625" spans="1:4" ht="12.5">
      <c r="A1625" s="1"/>
      <c r="B1625" s="1"/>
      <c r="C1625" s="1"/>
      <c r="D1625" s="1"/>
    </row>
    <row r="1626" spans="1:4" ht="12.5">
      <c r="A1626" s="1"/>
      <c r="B1626" s="1"/>
      <c r="C1626" s="1"/>
      <c r="D1626" s="1"/>
    </row>
    <row r="1627" spans="1:4" ht="12.5">
      <c r="A1627" s="1"/>
      <c r="B1627" s="1"/>
      <c r="C1627" s="1"/>
      <c r="D1627" s="1"/>
    </row>
    <row r="1628" spans="1:4" ht="12.5">
      <c r="A1628" s="1"/>
      <c r="B1628" s="1"/>
      <c r="C1628" s="1"/>
      <c r="D1628" s="1"/>
    </row>
    <row r="1629" spans="1:4" ht="12.5">
      <c r="A1629" s="1"/>
      <c r="B1629" s="1"/>
      <c r="C1629" s="1"/>
      <c r="D1629" s="1"/>
    </row>
    <row r="1630" spans="1:4" ht="12.5">
      <c r="A1630" s="1"/>
      <c r="B1630" s="1"/>
      <c r="C1630" s="1"/>
      <c r="D1630" s="1"/>
    </row>
    <row r="1631" spans="1:4" ht="12.5">
      <c r="A1631" s="1"/>
      <c r="B1631" s="1"/>
      <c r="C1631" s="1"/>
      <c r="D1631" s="1"/>
    </row>
    <row r="1632" spans="1:4" ht="12.5">
      <c r="A1632" s="1"/>
      <c r="B1632" s="1"/>
      <c r="C1632" s="1"/>
      <c r="D1632" s="1"/>
    </row>
    <row r="1633" spans="1:4" ht="12.5">
      <c r="A1633" s="1"/>
      <c r="B1633" s="1"/>
      <c r="C1633" s="1"/>
      <c r="D1633" s="1"/>
    </row>
    <row r="1634" spans="1:4" ht="12.5">
      <c r="A1634" s="1"/>
      <c r="B1634" s="1"/>
      <c r="C1634" s="1"/>
      <c r="D1634" s="1"/>
    </row>
    <row r="1635" spans="1:4" ht="12.5">
      <c r="A1635" s="1"/>
      <c r="B1635" s="1"/>
      <c r="C1635" s="1"/>
      <c r="D1635" s="1"/>
    </row>
    <row r="1636" spans="1:4" ht="12.5">
      <c r="A1636" s="1"/>
      <c r="B1636" s="1"/>
      <c r="C1636" s="1"/>
      <c r="D1636" s="1"/>
    </row>
    <row r="1637" spans="1:4" ht="12.5">
      <c r="A1637" s="1"/>
      <c r="B1637" s="1"/>
      <c r="C1637" s="1"/>
      <c r="D1637" s="1"/>
    </row>
    <row r="1638" spans="1:4" ht="12.5">
      <c r="A1638" s="1"/>
      <c r="B1638" s="1"/>
      <c r="C1638" s="1"/>
      <c r="D1638" s="1"/>
    </row>
    <row r="1639" spans="1:4" ht="12.5">
      <c r="A1639" s="1"/>
      <c r="B1639" s="1"/>
      <c r="C1639" s="1"/>
      <c r="D1639" s="1"/>
    </row>
    <row r="1640" spans="1:4" ht="12.5">
      <c r="A1640" s="1"/>
      <c r="B1640" s="1"/>
      <c r="C1640" s="1"/>
      <c r="D1640" s="1"/>
    </row>
    <row r="1641" spans="1:4" ht="12.5">
      <c r="A1641" s="1"/>
      <c r="B1641" s="1"/>
      <c r="C1641" s="1"/>
      <c r="D1641" s="1"/>
    </row>
    <row r="1642" spans="1:4" ht="12.5">
      <c r="A1642" s="1"/>
      <c r="B1642" s="1"/>
      <c r="C1642" s="1"/>
      <c r="D1642" s="1"/>
    </row>
    <row r="1643" spans="1:4" ht="12.5">
      <c r="A1643" s="1"/>
      <c r="B1643" s="1"/>
      <c r="C1643" s="1"/>
      <c r="D1643" s="1"/>
    </row>
    <row r="1644" spans="1:4" ht="12.5">
      <c r="A1644" s="1"/>
      <c r="B1644" s="1"/>
      <c r="C1644" s="1"/>
      <c r="D1644" s="1"/>
    </row>
    <row r="1645" spans="1:4" ht="12.5">
      <c r="A1645" s="1"/>
      <c r="B1645" s="1"/>
      <c r="C1645" s="1"/>
      <c r="D1645" s="1"/>
    </row>
    <row r="1646" spans="1:4" ht="12.5">
      <c r="A1646" s="1"/>
      <c r="B1646" s="1"/>
      <c r="C1646" s="1"/>
      <c r="D1646" s="1"/>
    </row>
    <row r="1647" spans="1:4" ht="12.5">
      <c r="A1647" s="1"/>
      <c r="B1647" s="1"/>
      <c r="C1647" s="1"/>
      <c r="D1647" s="1"/>
    </row>
    <row r="1648" spans="1:4" ht="12.5">
      <c r="A1648" s="1"/>
      <c r="B1648" s="1"/>
      <c r="C1648" s="1"/>
      <c r="D1648" s="1"/>
    </row>
    <row r="1649" spans="1:4" ht="12.5">
      <c r="A1649" s="1"/>
      <c r="B1649" s="1"/>
      <c r="C1649" s="1"/>
      <c r="D1649" s="1"/>
    </row>
    <row r="1650" spans="1:4" ht="12.5">
      <c r="A1650" s="1"/>
      <c r="B1650" s="1"/>
      <c r="C1650" s="1"/>
      <c r="D1650" s="1"/>
    </row>
    <row r="1651" spans="1:4" ht="12.5">
      <c r="A1651" s="1"/>
      <c r="B1651" s="1"/>
      <c r="C1651" s="1"/>
      <c r="D1651" s="1"/>
    </row>
    <row r="1652" spans="1:4" ht="12.5">
      <c r="A1652" s="1"/>
      <c r="B1652" s="1"/>
      <c r="C1652" s="1"/>
      <c r="D1652" s="1"/>
    </row>
    <row r="1653" spans="1:4" ht="12.5">
      <c r="A1653" s="1"/>
      <c r="B1653" s="1"/>
      <c r="C1653" s="1"/>
      <c r="D1653" s="1"/>
    </row>
    <row r="1654" spans="1:4" ht="12.5">
      <c r="A1654" s="1"/>
      <c r="B1654" s="1"/>
      <c r="C1654" s="1"/>
      <c r="D1654" s="1"/>
    </row>
    <row r="1655" spans="1:4" ht="12.5">
      <c r="A1655" s="1"/>
      <c r="B1655" s="1"/>
      <c r="C1655" s="1"/>
      <c r="D1655" s="1"/>
    </row>
    <row r="1656" spans="1:4" ht="12.5">
      <c r="A1656" s="1"/>
      <c r="B1656" s="1"/>
      <c r="C1656" s="1"/>
      <c r="D1656" s="1"/>
    </row>
    <row r="1657" spans="1:4" ht="12.5">
      <c r="A1657" s="1"/>
      <c r="B1657" s="1"/>
      <c r="C1657" s="1"/>
      <c r="D1657" s="1"/>
    </row>
    <row r="1658" spans="1:4" ht="12.5">
      <c r="A1658" s="1"/>
      <c r="B1658" s="1"/>
      <c r="C1658" s="1"/>
      <c r="D1658" s="1"/>
    </row>
    <row r="1659" spans="1:4" ht="12.5">
      <c r="A1659" s="1"/>
      <c r="B1659" s="1"/>
      <c r="C1659" s="1"/>
      <c r="D1659" s="1"/>
    </row>
    <row r="1660" spans="1:4" ht="12.5">
      <c r="A1660" s="1"/>
      <c r="B1660" s="1"/>
      <c r="C1660" s="1"/>
      <c r="D1660" s="1"/>
    </row>
    <row r="1661" spans="1:4" ht="12.5">
      <c r="A1661" s="1"/>
      <c r="B1661" s="1"/>
      <c r="C1661" s="1"/>
      <c r="D1661" s="1"/>
    </row>
    <row r="1662" spans="1:4" ht="12.5">
      <c r="A1662" s="1"/>
      <c r="B1662" s="1"/>
      <c r="C1662" s="1"/>
      <c r="D1662" s="1"/>
    </row>
    <row r="1663" spans="1:4" ht="12.5">
      <c r="A1663" s="1"/>
      <c r="B1663" s="1"/>
      <c r="C1663" s="1"/>
      <c r="D1663" s="1"/>
    </row>
    <row r="1664" spans="1:4" ht="12.5">
      <c r="A1664" s="1"/>
      <c r="B1664" s="1"/>
      <c r="C1664" s="1"/>
      <c r="D1664" s="1"/>
    </row>
    <row r="1665" spans="1:4" ht="12.5">
      <c r="A1665" s="1"/>
      <c r="B1665" s="1"/>
      <c r="C1665" s="1"/>
      <c r="D1665" s="1"/>
    </row>
    <row r="1666" spans="1:4" ht="12.5">
      <c r="A1666" s="1"/>
      <c r="B1666" s="1"/>
      <c r="C1666" s="1"/>
      <c r="D1666" s="1"/>
    </row>
    <row r="1667" spans="1:4" ht="12.5">
      <c r="A1667" s="1"/>
      <c r="B1667" s="1"/>
      <c r="C1667" s="1"/>
      <c r="D1667" s="1"/>
    </row>
    <row r="1668" spans="1:4" ht="12.5">
      <c r="A1668" s="1"/>
      <c r="B1668" s="1"/>
      <c r="C1668" s="1"/>
      <c r="D1668" s="1"/>
    </row>
    <row r="1669" spans="1:4" ht="12.5">
      <c r="A1669" s="1"/>
      <c r="B1669" s="1"/>
      <c r="C1669" s="1"/>
      <c r="D1669" s="1"/>
    </row>
    <row r="1670" spans="1:4" ht="12.5">
      <c r="A1670" s="1"/>
      <c r="B1670" s="1"/>
      <c r="C1670" s="1"/>
      <c r="D1670" s="1"/>
    </row>
    <row r="1671" spans="1:4" ht="12.5">
      <c r="A1671" s="1"/>
      <c r="B1671" s="1"/>
      <c r="C1671" s="1"/>
      <c r="D1671" s="1"/>
    </row>
    <row r="1672" spans="1:4" ht="12.5">
      <c r="A1672" s="1"/>
      <c r="B1672" s="1"/>
      <c r="C1672" s="1"/>
      <c r="D1672" s="1"/>
    </row>
    <row r="1673" spans="1:4" ht="12.5">
      <c r="A1673" s="1"/>
      <c r="B1673" s="1"/>
      <c r="C1673" s="1"/>
      <c r="D1673" s="1"/>
    </row>
    <row r="1674" spans="1:4" ht="12.5">
      <c r="A1674" s="1"/>
      <c r="B1674" s="1"/>
      <c r="C1674" s="1"/>
      <c r="D1674" s="1"/>
    </row>
    <row r="1675" spans="1:4" ht="12.5">
      <c r="A1675" s="1"/>
      <c r="B1675" s="1"/>
      <c r="C1675" s="1"/>
      <c r="D1675" s="1"/>
    </row>
    <row r="1676" spans="1:4" ht="12.5">
      <c r="A1676" s="1"/>
      <c r="B1676" s="1"/>
      <c r="C1676" s="1"/>
      <c r="D1676" s="1"/>
    </row>
    <row r="1677" spans="1:4" ht="12.5">
      <c r="A1677" s="1"/>
      <c r="B1677" s="1"/>
      <c r="C1677" s="1"/>
      <c r="D1677" s="1"/>
    </row>
    <row r="1678" spans="1:4" ht="12.5">
      <c r="A1678" s="1"/>
      <c r="B1678" s="1"/>
      <c r="C1678" s="1"/>
      <c r="D1678" s="1"/>
    </row>
    <row r="1679" spans="1:4" ht="12.5">
      <c r="A1679" s="1"/>
      <c r="B1679" s="1"/>
      <c r="C1679" s="1"/>
      <c r="D1679" s="1"/>
    </row>
    <row r="1680" spans="1:4" ht="12.5">
      <c r="A1680" s="1"/>
      <c r="B1680" s="1"/>
      <c r="C1680" s="1"/>
      <c r="D1680" s="1"/>
    </row>
    <row r="1681" spans="1:4" ht="12.5">
      <c r="A1681" s="1"/>
      <c r="B1681" s="1"/>
      <c r="C1681" s="1"/>
      <c r="D1681" s="1"/>
    </row>
    <row r="1682" spans="1:4" ht="12.5">
      <c r="A1682" s="1"/>
      <c r="B1682" s="1"/>
      <c r="C1682" s="1"/>
      <c r="D1682" s="1"/>
    </row>
    <row r="1683" spans="1:4" ht="12.5">
      <c r="A1683" s="1"/>
      <c r="B1683" s="1"/>
      <c r="C1683" s="1"/>
      <c r="D1683" s="1"/>
    </row>
    <row r="1684" spans="1:4" ht="12.5">
      <c r="A1684" s="1"/>
      <c r="B1684" s="1"/>
      <c r="C1684" s="1"/>
      <c r="D1684" s="1"/>
    </row>
    <row r="1685" spans="1:4" ht="12.5">
      <c r="A1685" s="1"/>
      <c r="B1685" s="1"/>
      <c r="C1685" s="1"/>
      <c r="D1685" s="1"/>
    </row>
    <row r="1686" spans="1:4" ht="12.5">
      <c r="A1686" s="1"/>
      <c r="B1686" s="1"/>
      <c r="C1686" s="1"/>
      <c r="D1686" s="1"/>
    </row>
    <row r="1687" spans="1:4" ht="12.5">
      <c r="A1687" s="1"/>
      <c r="B1687" s="1"/>
      <c r="C1687" s="1"/>
      <c r="D1687" s="1"/>
    </row>
    <row r="1688" spans="1:4" ht="12.5">
      <c r="A1688" s="1"/>
      <c r="B1688" s="1"/>
      <c r="C1688" s="1"/>
      <c r="D1688" s="1"/>
    </row>
    <row r="1689" spans="1:4" ht="12.5">
      <c r="A1689" s="1"/>
      <c r="B1689" s="1"/>
      <c r="C1689" s="1"/>
      <c r="D1689" s="1"/>
    </row>
    <row r="1690" spans="1:4" ht="12.5">
      <c r="A1690" s="1"/>
      <c r="B1690" s="1"/>
      <c r="C1690" s="1"/>
      <c r="D1690" s="1"/>
    </row>
    <row r="1691" spans="1:4" ht="12.5">
      <c r="A1691" s="1"/>
      <c r="B1691" s="1"/>
      <c r="C1691" s="1"/>
      <c r="D1691" s="1"/>
    </row>
    <row r="1692" spans="1:4" ht="12.5">
      <c r="A1692" s="1"/>
      <c r="B1692" s="1"/>
      <c r="C1692" s="1"/>
      <c r="D1692" s="1"/>
    </row>
    <row r="1693" spans="1:4" ht="12.5">
      <c r="A1693" s="1"/>
      <c r="B1693" s="1"/>
      <c r="C1693" s="1"/>
      <c r="D1693" s="1"/>
    </row>
    <row r="1694" spans="1:4" ht="12.5">
      <c r="A1694" s="1"/>
      <c r="B1694" s="1"/>
      <c r="C1694" s="1"/>
      <c r="D1694" s="1"/>
    </row>
    <row r="1695" spans="1:4" ht="12.5">
      <c r="A1695" s="1"/>
      <c r="B1695" s="1"/>
      <c r="C1695" s="1"/>
      <c r="D1695" s="1"/>
    </row>
    <row r="1696" spans="1:4" ht="12.5">
      <c r="A1696" s="1"/>
      <c r="B1696" s="1"/>
      <c r="C1696" s="1"/>
      <c r="D1696" s="1"/>
    </row>
    <row r="1697" spans="1:4" ht="12.5">
      <c r="A1697" s="1"/>
      <c r="B1697" s="1"/>
      <c r="C1697" s="1"/>
      <c r="D1697" s="1"/>
    </row>
    <row r="1698" spans="1:4" ht="12.5">
      <c r="A1698" s="1"/>
      <c r="B1698" s="1"/>
      <c r="C1698" s="1"/>
      <c r="D1698" s="1"/>
    </row>
    <row r="1699" spans="1:4" ht="12.5">
      <c r="A1699" s="1"/>
      <c r="B1699" s="1"/>
      <c r="C1699" s="1"/>
      <c r="D1699" s="1"/>
    </row>
    <row r="1700" spans="1:4" ht="12.5">
      <c r="A1700" s="1"/>
      <c r="B1700" s="1"/>
      <c r="C1700" s="1"/>
      <c r="D1700" s="1"/>
    </row>
    <row r="1701" spans="1:4" ht="12.5">
      <c r="A1701" s="1"/>
      <c r="B1701" s="1"/>
      <c r="C1701" s="1"/>
      <c r="D1701" s="1"/>
    </row>
    <row r="1702" spans="1:4" ht="12.5">
      <c r="A1702" s="1"/>
      <c r="B1702" s="1"/>
      <c r="C1702" s="1"/>
      <c r="D1702" s="1"/>
    </row>
    <row r="1703" spans="1:4" ht="12.5">
      <c r="A1703" s="1"/>
      <c r="B1703" s="1"/>
      <c r="C1703" s="1"/>
      <c r="D1703" s="1"/>
    </row>
    <row r="1704" spans="1:4" ht="12.5">
      <c r="A1704" s="1"/>
      <c r="B1704" s="1"/>
      <c r="C1704" s="1"/>
      <c r="D1704" s="1"/>
    </row>
    <row r="1705" spans="1:4" ht="12.5">
      <c r="A1705" s="1"/>
      <c r="B1705" s="1"/>
      <c r="C1705" s="1"/>
      <c r="D1705" s="1"/>
    </row>
    <row r="1706" spans="1:4" ht="12.5">
      <c r="A1706" s="1"/>
      <c r="B1706" s="1"/>
      <c r="C1706" s="1"/>
      <c r="D1706" s="1"/>
    </row>
    <row r="1707" spans="1:4" ht="12.5">
      <c r="A1707" s="1"/>
      <c r="B1707" s="1"/>
      <c r="C1707" s="1"/>
      <c r="D1707" s="1"/>
    </row>
    <row r="1708" spans="1:4" ht="12.5">
      <c r="A1708" s="1"/>
      <c r="B1708" s="1"/>
      <c r="C1708" s="1"/>
      <c r="D1708" s="1"/>
    </row>
    <row r="1709" spans="1:4" ht="12.5">
      <c r="A1709" s="1"/>
      <c r="B1709" s="1"/>
      <c r="C1709" s="1"/>
      <c r="D1709" s="1"/>
    </row>
    <row r="1710" spans="1:4" ht="12.5">
      <c r="A1710" s="1"/>
      <c r="B1710" s="1"/>
      <c r="C1710" s="1"/>
      <c r="D1710" s="1"/>
    </row>
    <row r="1711" spans="1:4" ht="12.5">
      <c r="A1711" s="1"/>
      <c r="B1711" s="1"/>
      <c r="C1711" s="1"/>
      <c r="D1711" s="1"/>
    </row>
    <row r="1712" spans="1:4" ht="12.5">
      <c r="A1712" s="1"/>
      <c r="B1712" s="1"/>
      <c r="C1712" s="1"/>
      <c r="D1712" s="1"/>
    </row>
    <row r="1713" spans="1:4" ht="12.5">
      <c r="A1713" s="1"/>
      <c r="B1713" s="1"/>
      <c r="C1713" s="1"/>
      <c r="D1713" s="1"/>
    </row>
    <row r="1714" spans="1:4" ht="12.5">
      <c r="A1714" s="1"/>
      <c r="B1714" s="1"/>
      <c r="C1714" s="1"/>
      <c r="D1714" s="1"/>
    </row>
    <row r="1715" spans="1:4" ht="12.5">
      <c r="A1715" s="1"/>
      <c r="B1715" s="1"/>
      <c r="C1715" s="1"/>
      <c r="D1715" s="1"/>
    </row>
    <row r="1716" spans="1:4" ht="12.5">
      <c r="A1716" s="1"/>
      <c r="B1716" s="1"/>
      <c r="C1716" s="1"/>
      <c r="D1716" s="1"/>
    </row>
    <row r="1717" spans="1:4" ht="12.5">
      <c r="A1717" s="1"/>
      <c r="B1717" s="1"/>
      <c r="C1717" s="1"/>
      <c r="D1717" s="1"/>
    </row>
    <row r="1718" spans="1:4" ht="12.5">
      <c r="A1718" s="1"/>
      <c r="B1718" s="1"/>
      <c r="C1718" s="1"/>
      <c r="D1718" s="1"/>
    </row>
    <row r="1719" spans="1:4" ht="12.5">
      <c r="A1719" s="1"/>
      <c r="B1719" s="1"/>
      <c r="C1719" s="1"/>
      <c r="D1719" s="1"/>
    </row>
    <row r="1720" spans="1:4" ht="12.5">
      <c r="A1720" s="1"/>
      <c r="B1720" s="1"/>
      <c r="C1720" s="1"/>
      <c r="D1720" s="1"/>
    </row>
    <row r="1721" spans="1:4" ht="12.5">
      <c r="A1721" s="1"/>
      <c r="B1721" s="1"/>
      <c r="C1721" s="1"/>
      <c r="D1721" s="1"/>
    </row>
    <row r="1722" spans="1:4" ht="12.5">
      <c r="A1722" s="1"/>
      <c r="B1722" s="1"/>
      <c r="C1722" s="1"/>
      <c r="D1722" s="1"/>
    </row>
    <row r="1723" spans="1:4" ht="12.5">
      <c r="A1723" s="1"/>
      <c r="B1723" s="1"/>
      <c r="C1723" s="1"/>
      <c r="D1723" s="1"/>
    </row>
    <row r="1724" spans="1:4" ht="12.5">
      <c r="A1724" s="1"/>
      <c r="B1724" s="1"/>
      <c r="C1724" s="1"/>
      <c r="D1724" s="1"/>
    </row>
    <row r="1725" spans="1:4" ht="12.5">
      <c r="A1725" s="1"/>
      <c r="B1725" s="1"/>
      <c r="C1725" s="1"/>
      <c r="D1725" s="1"/>
    </row>
    <row r="1726" spans="1:4" ht="12.5">
      <c r="A1726" s="1"/>
      <c r="B1726" s="1"/>
      <c r="C1726" s="1"/>
      <c r="D1726" s="1"/>
    </row>
    <row r="1727" spans="1:4" ht="12.5">
      <c r="A1727" s="1"/>
      <c r="B1727" s="1"/>
      <c r="C1727" s="1"/>
      <c r="D1727" s="1"/>
    </row>
    <row r="1728" spans="1:4" ht="12.5">
      <c r="A1728" s="1"/>
      <c r="B1728" s="1"/>
      <c r="C1728" s="1"/>
      <c r="D1728" s="1"/>
    </row>
    <row r="1729" spans="1:4" ht="12.5">
      <c r="A1729" s="1"/>
      <c r="B1729" s="1"/>
      <c r="C1729" s="1"/>
      <c r="D1729" s="1"/>
    </row>
    <row r="1730" spans="1:4" ht="12.5">
      <c r="A1730" s="1"/>
      <c r="B1730" s="1"/>
      <c r="C1730" s="1"/>
      <c r="D1730" s="1"/>
    </row>
    <row r="1731" spans="1:4" ht="12.5">
      <c r="A1731" s="1"/>
      <c r="B1731" s="1"/>
      <c r="C1731" s="1"/>
      <c r="D1731" s="1"/>
    </row>
    <row r="1732" spans="1:4" ht="12.5">
      <c r="A1732" s="1"/>
      <c r="B1732" s="1"/>
      <c r="C1732" s="1"/>
      <c r="D1732" s="1"/>
    </row>
    <row r="1733" spans="1:4" ht="12.5">
      <c r="A1733" s="1"/>
      <c r="B1733" s="1"/>
      <c r="C1733" s="1"/>
      <c r="D1733" s="1"/>
    </row>
    <row r="1734" spans="1:4" ht="12.5">
      <c r="A1734" s="1"/>
      <c r="B1734" s="1"/>
      <c r="C1734" s="1"/>
      <c r="D1734" s="1"/>
    </row>
    <row r="1735" spans="1:4" ht="12.5">
      <c r="A1735" s="1"/>
      <c r="B1735" s="1"/>
      <c r="C1735" s="1"/>
      <c r="D1735" s="1"/>
    </row>
    <row r="1736" spans="1:4" ht="12.5">
      <c r="A1736" s="1"/>
      <c r="B1736" s="1"/>
      <c r="C1736" s="1"/>
      <c r="D1736" s="1"/>
    </row>
    <row r="1737" spans="1:4" ht="12.5">
      <c r="A1737" s="1"/>
      <c r="B1737" s="1"/>
      <c r="C1737" s="1"/>
      <c r="D1737" s="1"/>
    </row>
    <row r="1738" spans="1:4" ht="12.5">
      <c r="A1738" s="1"/>
      <c r="B1738" s="1"/>
      <c r="C1738" s="1"/>
      <c r="D1738" s="1"/>
    </row>
    <row r="1739" spans="1:4" ht="12.5">
      <c r="A1739" s="1"/>
      <c r="B1739" s="1"/>
      <c r="C1739" s="1"/>
      <c r="D1739" s="1"/>
    </row>
    <row r="1740" spans="1:4" ht="12.5">
      <c r="A1740" s="1"/>
      <c r="B1740" s="1"/>
      <c r="C1740" s="1"/>
      <c r="D1740" s="1"/>
    </row>
    <row r="1741" spans="1:4" ht="12.5">
      <c r="A1741" s="1"/>
      <c r="B1741" s="1"/>
      <c r="C1741" s="1"/>
      <c r="D1741" s="1"/>
    </row>
    <row r="1742" spans="1:4" ht="12.5">
      <c r="A1742" s="1"/>
      <c r="B1742" s="1"/>
      <c r="C1742" s="1"/>
      <c r="D1742" s="1"/>
    </row>
    <row r="1743" spans="1:4" ht="12.5">
      <c r="A1743" s="1"/>
      <c r="B1743" s="1"/>
      <c r="C1743" s="1"/>
      <c r="D1743" s="1"/>
    </row>
    <row r="1744" spans="1:4" ht="12.5">
      <c r="A1744" s="1"/>
      <c r="B1744" s="1"/>
      <c r="C1744" s="1"/>
      <c r="D1744" s="1"/>
    </row>
    <row r="1745" spans="1:4" ht="12.5">
      <c r="A1745" s="1"/>
      <c r="B1745" s="1"/>
      <c r="C1745" s="1"/>
      <c r="D1745" s="1"/>
    </row>
    <row r="1746" spans="1:4" ht="12.5">
      <c r="A1746" s="1"/>
      <c r="B1746" s="1"/>
      <c r="C1746" s="1"/>
      <c r="D1746" s="1"/>
    </row>
    <row r="1747" spans="1:4" ht="12.5">
      <c r="A1747" s="1"/>
      <c r="B1747" s="1"/>
      <c r="C1747" s="1"/>
      <c r="D1747" s="1"/>
    </row>
    <row r="1748" spans="1:4" ht="12.5">
      <c r="A1748" s="1"/>
      <c r="B1748" s="1"/>
      <c r="C1748" s="1"/>
      <c r="D1748" s="1"/>
    </row>
    <row r="1749" spans="1:4" ht="12.5">
      <c r="A1749" s="1"/>
      <c r="B1749" s="1"/>
      <c r="C1749" s="1"/>
      <c r="D1749" s="1"/>
    </row>
    <row r="1750" spans="1:4" ht="12.5">
      <c r="A1750" s="1"/>
      <c r="B1750" s="1"/>
      <c r="C1750" s="1"/>
      <c r="D1750" s="1"/>
    </row>
    <row r="1751" spans="1:4" ht="12.5">
      <c r="A1751" s="1"/>
      <c r="B1751" s="1"/>
      <c r="C1751" s="1"/>
      <c r="D1751" s="1"/>
    </row>
    <row r="1752" spans="1:4" ht="12.5">
      <c r="A1752" s="1"/>
      <c r="B1752" s="1"/>
      <c r="C1752" s="1"/>
      <c r="D1752" s="1"/>
    </row>
    <row r="1753" spans="1:4" ht="12.5">
      <c r="A1753" s="1"/>
      <c r="B1753" s="1"/>
      <c r="C1753" s="1"/>
      <c r="D1753" s="1"/>
    </row>
    <row r="1754" spans="1:4" ht="12.5">
      <c r="A1754" s="1"/>
      <c r="B1754" s="1"/>
      <c r="C1754" s="1"/>
      <c r="D1754" s="1"/>
    </row>
    <row r="1755" spans="1:4" ht="12.5">
      <c r="A1755" s="1"/>
      <c r="B1755" s="1"/>
      <c r="C1755" s="1"/>
      <c r="D1755" s="1"/>
    </row>
    <row r="1756" spans="1:4" ht="12.5">
      <c r="A1756" s="1"/>
      <c r="B1756" s="1"/>
      <c r="C1756" s="1"/>
      <c r="D1756" s="1"/>
    </row>
    <row r="1757" spans="1:4" ht="12.5">
      <c r="A1757" s="1"/>
      <c r="B1757" s="1"/>
      <c r="C1757" s="1"/>
      <c r="D1757" s="1"/>
    </row>
    <row r="1758" spans="1:4" ht="12.5">
      <c r="A1758" s="1"/>
      <c r="B1758" s="1"/>
      <c r="C1758" s="1"/>
      <c r="D1758" s="1"/>
    </row>
    <row r="1759" spans="1:4" ht="12.5">
      <c r="A1759" s="1"/>
      <c r="B1759" s="1"/>
      <c r="C1759" s="1"/>
      <c r="D1759" s="1"/>
    </row>
    <row r="1760" spans="1:4" ht="12.5">
      <c r="A1760" s="1"/>
      <c r="B1760" s="1"/>
      <c r="C1760" s="1"/>
      <c r="D1760" s="1"/>
    </row>
    <row r="1761" spans="1:4" ht="12.5">
      <c r="A1761" s="1"/>
      <c r="B1761" s="1"/>
      <c r="C1761" s="1"/>
      <c r="D1761" s="1"/>
    </row>
    <row r="1762" spans="1:4" ht="12.5">
      <c r="A1762" s="1"/>
      <c r="B1762" s="1"/>
      <c r="C1762" s="1"/>
      <c r="D1762" s="1"/>
    </row>
    <row r="1763" spans="1:4" ht="12.5">
      <c r="A1763" s="1"/>
      <c r="B1763" s="1"/>
      <c r="C1763" s="1"/>
      <c r="D1763" s="1"/>
    </row>
    <row r="1764" spans="1:4" ht="12.5">
      <c r="A1764" s="1"/>
      <c r="B1764" s="1"/>
      <c r="C1764" s="1"/>
      <c r="D1764" s="1"/>
    </row>
    <row r="1765" spans="1:4" ht="12.5">
      <c r="A1765" s="1"/>
      <c r="B1765" s="1"/>
      <c r="C1765" s="1"/>
      <c r="D1765" s="1"/>
    </row>
    <row r="1766" spans="1:4" ht="12.5">
      <c r="A1766" s="1"/>
      <c r="B1766" s="1"/>
      <c r="C1766" s="1"/>
      <c r="D1766" s="1"/>
    </row>
    <row r="1767" spans="1:4" ht="12.5">
      <c r="A1767" s="1"/>
      <c r="B1767" s="1"/>
      <c r="C1767" s="1"/>
      <c r="D1767" s="1"/>
    </row>
    <row r="1768" spans="1:4" ht="12.5">
      <c r="A1768" s="1"/>
      <c r="B1768" s="1"/>
      <c r="C1768" s="1"/>
      <c r="D1768" s="1"/>
    </row>
    <row r="1769" spans="1:4" ht="12.5">
      <c r="A1769" s="1"/>
      <c r="B1769" s="1"/>
      <c r="C1769" s="1"/>
      <c r="D1769" s="1"/>
    </row>
    <row r="1770" spans="1:4" ht="12.5">
      <c r="A1770" s="1"/>
      <c r="B1770" s="1"/>
      <c r="C1770" s="1"/>
      <c r="D1770" s="1"/>
    </row>
    <row r="1771" spans="1:4" ht="12.5">
      <c r="A1771" s="1"/>
      <c r="B1771" s="1"/>
      <c r="C1771" s="1"/>
      <c r="D1771" s="1"/>
    </row>
    <row r="1772" spans="1:4" ht="12.5">
      <c r="A1772" s="1"/>
      <c r="B1772" s="1"/>
      <c r="C1772" s="1"/>
      <c r="D1772" s="1"/>
    </row>
    <row r="1773" spans="1:4" ht="12.5">
      <c r="A1773" s="1"/>
      <c r="B1773" s="1"/>
      <c r="C1773" s="1"/>
      <c r="D1773" s="1"/>
    </row>
    <row r="1774" spans="1:4" ht="12.5">
      <c r="A1774" s="1"/>
      <c r="B1774" s="1"/>
      <c r="C1774" s="1"/>
      <c r="D1774" s="1"/>
    </row>
    <row r="1775" spans="1:4" ht="12.5">
      <c r="A1775" s="1"/>
      <c r="B1775" s="1"/>
      <c r="C1775" s="1"/>
      <c r="D1775" s="1"/>
    </row>
    <row r="1776" spans="1:4" ht="12.5">
      <c r="A1776" s="1"/>
      <c r="B1776" s="1"/>
      <c r="C1776" s="1"/>
      <c r="D1776" s="1"/>
    </row>
    <row r="1777" spans="1:4" ht="12.5">
      <c r="A1777" s="1"/>
      <c r="B1777" s="1"/>
      <c r="C1777" s="1"/>
      <c r="D1777" s="1"/>
    </row>
    <row r="1778" spans="1:4" ht="12.5">
      <c r="A1778" s="1"/>
      <c r="B1778" s="1"/>
      <c r="C1778" s="1"/>
      <c r="D1778" s="1"/>
    </row>
    <row r="1779" spans="1:4" ht="12.5">
      <c r="A1779" s="1"/>
      <c r="B1779" s="1"/>
      <c r="C1779" s="1"/>
      <c r="D1779" s="1"/>
    </row>
    <row r="1780" spans="1:4" ht="12.5">
      <c r="A1780" s="1"/>
      <c r="B1780" s="1"/>
      <c r="C1780" s="1"/>
      <c r="D1780" s="1"/>
    </row>
    <row r="1781" spans="1:4" ht="12.5">
      <c r="A1781" s="1"/>
      <c r="B1781" s="1"/>
      <c r="C1781" s="1"/>
      <c r="D1781" s="1"/>
    </row>
    <row r="1782" spans="1:4" ht="12.5">
      <c r="A1782" s="1"/>
      <c r="B1782" s="1"/>
      <c r="C1782" s="1"/>
      <c r="D1782" s="1"/>
    </row>
    <row r="1783" spans="1:4" ht="12.5">
      <c r="A1783" s="1"/>
      <c r="B1783" s="1"/>
      <c r="C1783" s="1"/>
      <c r="D1783" s="1"/>
    </row>
    <row r="1784" spans="1:4" ht="12.5">
      <c r="A1784" s="1"/>
      <c r="B1784" s="1"/>
      <c r="C1784" s="1"/>
      <c r="D1784" s="1"/>
    </row>
    <row r="1785" spans="1:4" ht="12.5">
      <c r="A1785" s="1"/>
      <c r="B1785" s="1"/>
      <c r="C1785" s="1"/>
      <c r="D1785" s="1"/>
    </row>
    <row r="1786" spans="1:4" ht="12.5">
      <c r="A1786" s="1"/>
      <c r="B1786" s="1"/>
      <c r="C1786" s="1"/>
      <c r="D1786" s="1"/>
    </row>
    <row r="1787" spans="1:4" ht="12.5">
      <c r="A1787" s="1"/>
      <c r="B1787" s="1"/>
      <c r="C1787" s="1"/>
      <c r="D1787" s="1"/>
    </row>
    <row r="1788" spans="1:4" ht="12.5">
      <c r="A1788" s="1"/>
      <c r="B1788" s="1"/>
      <c r="C1788" s="1"/>
      <c r="D1788" s="1"/>
    </row>
    <row r="1789" spans="1:4" ht="12.5">
      <c r="A1789" s="1"/>
      <c r="B1789" s="1"/>
      <c r="C1789" s="1"/>
      <c r="D1789" s="1"/>
    </row>
    <row r="1790" spans="1:4" ht="12.5">
      <c r="A1790" s="1"/>
      <c r="B1790" s="1"/>
      <c r="C1790" s="1"/>
      <c r="D1790" s="1"/>
    </row>
    <row r="1791" spans="1:4" ht="12.5">
      <c r="A1791" s="1"/>
      <c r="B1791" s="1"/>
      <c r="C1791" s="1"/>
      <c r="D1791" s="1"/>
    </row>
    <row r="1792" spans="1:4" ht="12.5">
      <c r="A1792" s="1"/>
      <c r="B1792" s="1"/>
      <c r="C1792" s="1"/>
      <c r="D1792" s="1"/>
    </row>
    <row r="1793" spans="1:4" ht="12.5">
      <c r="A1793" s="1"/>
      <c r="B1793" s="1"/>
      <c r="C1793" s="1"/>
      <c r="D1793" s="1"/>
    </row>
    <row r="1794" spans="1:4" ht="12.5">
      <c r="A1794" s="1"/>
      <c r="B1794" s="1"/>
      <c r="C1794" s="1"/>
      <c r="D1794" s="1"/>
    </row>
    <row r="1795" spans="1:4" ht="12.5">
      <c r="A1795" s="1"/>
      <c r="B1795" s="1"/>
      <c r="C1795" s="1"/>
      <c r="D1795" s="1"/>
    </row>
    <row r="1796" spans="1:4" ht="12.5">
      <c r="A1796" s="1"/>
      <c r="B1796" s="1"/>
      <c r="C1796" s="1"/>
      <c r="D1796" s="1"/>
    </row>
    <row r="1797" spans="1:4" ht="12.5">
      <c r="A1797" s="1"/>
      <c r="B1797" s="1"/>
      <c r="C1797" s="1"/>
      <c r="D1797" s="1"/>
    </row>
    <row r="1798" spans="1:4" ht="12.5">
      <c r="A1798" s="1"/>
      <c r="B1798" s="1"/>
      <c r="C1798" s="1"/>
      <c r="D1798" s="1"/>
    </row>
    <row r="1799" spans="1:4" ht="12.5">
      <c r="A1799" s="1"/>
      <c r="B1799" s="1"/>
      <c r="C1799" s="1"/>
      <c r="D1799" s="1"/>
    </row>
    <row r="1800" spans="1:4" ht="12.5">
      <c r="A1800" s="1"/>
      <c r="B1800" s="1"/>
      <c r="C1800" s="1"/>
      <c r="D1800" s="1"/>
    </row>
    <row r="1801" spans="1:4" ht="12.5">
      <c r="A1801" s="1"/>
      <c r="B1801" s="1"/>
      <c r="C1801" s="1"/>
      <c r="D1801" s="1"/>
    </row>
    <row r="1802" spans="1:4" ht="12.5">
      <c r="A1802" s="1"/>
      <c r="B1802" s="1"/>
      <c r="C1802" s="1"/>
      <c r="D1802" s="1"/>
    </row>
    <row r="1803" spans="1:4" ht="12.5">
      <c r="A1803" s="1"/>
      <c r="B1803" s="1"/>
      <c r="C1803" s="1"/>
      <c r="D1803" s="1"/>
    </row>
    <row r="1804" spans="1:4" ht="12.5">
      <c r="A1804" s="1"/>
      <c r="B1804" s="1"/>
      <c r="C1804" s="1"/>
      <c r="D1804" s="1"/>
    </row>
    <row r="1805" spans="1:4" ht="12.5">
      <c r="A1805" s="1"/>
      <c r="B1805" s="1"/>
      <c r="C1805" s="1"/>
      <c r="D1805" s="1"/>
    </row>
    <row r="1806" spans="1:4" ht="12.5">
      <c r="A1806" s="1"/>
      <c r="B1806" s="1"/>
      <c r="C1806" s="1"/>
      <c r="D1806" s="1"/>
    </row>
    <row r="1807" spans="1:4" ht="12.5">
      <c r="A1807" s="1"/>
      <c r="B1807" s="1"/>
      <c r="C1807" s="1"/>
      <c r="D1807" s="1"/>
    </row>
    <row r="1808" spans="1:4" ht="12.5">
      <c r="A1808" s="1"/>
      <c r="B1808" s="1"/>
      <c r="C1808" s="1"/>
      <c r="D1808" s="1"/>
    </row>
    <row r="1809" spans="1:4" ht="12.5">
      <c r="A1809" s="1"/>
      <c r="B1809" s="1"/>
      <c r="C1809" s="1"/>
      <c r="D1809" s="1"/>
    </row>
    <row r="1810" spans="1:4" ht="12.5">
      <c r="A1810" s="1"/>
      <c r="B1810" s="1"/>
      <c r="C1810" s="1"/>
      <c r="D1810" s="1"/>
    </row>
    <row r="1811" spans="1:4" ht="12.5">
      <c r="A1811" s="1"/>
      <c r="B1811" s="1"/>
      <c r="C1811" s="1"/>
      <c r="D1811" s="1"/>
    </row>
    <row r="1812" spans="1:4" ht="12.5">
      <c r="A1812" s="1"/>
      <c r="B1812" s="1"/>
      <c r="C1812" s="1"/>
      <c r="D1812" s="1"/>
    </row>
    <row r="1813" spans="1:4" ht="12.5">
      <c r="A1813" s="1"/>
      <c r="B1813" s="1"/>
      <c r="C1813" s="1"/>
      <c r="D1813" s="1"/>
    </row>
    <row r="1814" spans="1:4" ht="12.5">
      <c r="A1814" s="1"/>
      <c r="B1814" s="1"/>
      <c r="C1814" s="1"/>
      <c r="D1814" s="1"/>
    </row>
    <row r="1815" spans="1:4" ht="12.5">
      <c r="A1815" s="1"/>
      <c r="B1815" s="1"/>
      <c r="C1815" s="1"/>
      <c r="D1815" s="1"/>
    </row>
    <row r="1816" spans="1:4" ht="12.5">
      <c r="A1816" s="1"/>
      <c r="B1816" s="1"/>
      <c r="C1816" s="1"/>
      <c r="D1816" s="1"/>
    </row>
    <row r="1817" spans="1:4" ht="12.5">
      <c r="A1817" s="1"/>
      <c r="B1817" s="1"/>
      <c r="C1817" s="1"/>
      <c r="D1817" s="1"/>
    </row>
    <row r="1818" spans="1:4" ht="12.5">
      <c r="A1818" s="1"/>
      <c r="B1818" s="1"/>
      <c r="C1818" s="1"/>
      <c r="D1818" s="1"/>
    </row>
    <row r="1819" spans="1:4" ht="12.5">
      <c r="A1819" s="1"/>
      <c r="B1819" s="1"/>
      <c r="C1819" s="1"/>
      <c r="D1819" s="1"/>
    </row>
    <row r="1820" spans="1:4" ht="12.5">
      <c r="A1820" s="1"/>
      <c r="B1820" s="1"/>
      <c r="C1820" s="1"/>
      <c r="D1820" s="1"/>
    </row>
    <row r="1821" spans="1:4" ht="12.5">
      <c r="A1821" s="1"/>
      <c r="B1821" s="1"/>
      <c r="C1821" s="1"/>
      <c r="D1821" s="1"/>
    </row>
    <row r="1822" spans="1:4" ht="12.5">
      <c r="A1822" s="1"/>
      <c r="B1822" s="1"/>
      <c r="C1822" s="1"/>
      <c r="D1822" s="1"/>
    </row>
    <row r="1823" spans="1:4" ht="12.5">
      <c r="A1823" s="1"/>
      <c r="B1823" s="1"/>
      <c r="C1823" s="1"/>
      <c r="D1823" s="1"/>
    </row>
    <row r="1824" spans="1:4" ht="12.5">
      <c r="A1824" s="1"/>
      <c r="B1824" s="1"/>
      <c r="C1824" s="1"/>
      <c r="D1824" s="1"/>
    </row>
    <row r="1825" spans="1:4" ht="12.5">
      <c r="A1825" s="1"/>
      <c r="B1825" s="1"/>
      <c r="C1825" s="1"/>
      <c r="D1825" s="1"/>
    </row>
    <row r="1826" spans="1:4" ht="12.5">
      <c r="A1826" s="1"/>
      <c r="B1826" s="1"/>
      <c r="C1826" s="1"/>
      <c r="D1826" s="1"/>
    </row>
    <row r="1827" spans="1:4" ht="12.5">
      <c r="A1827" s="1"/>
      <c r="B1827" s="1"/>
      <c r="C1827" s="1"/>
      <c r="D1827" s="1"/>
    </row>
    <row r="1828" spans="1:4" ht="12.5">
      <c r="A1828" s="1"/>
      <c r="B1828" s="1"/>
      <c r="C1828" s="1"/>
      <c r="D1828" s="1"/>
    </row>
    <row r="1829" spans="1:4" ht="12.5">
      <c r="A1829" s="1"/>
      <c r="B1829" s="1"/>
      <c r="C1829" s="1"/>
      <c r="D1829" s="1"/>
    </row>
    <row r="1830" spans="1:4" ht="12.5">
      <c r="A1830" s="1"/>
      <c r="B1830" s="1"/>
      <c r="C1830" s="1"/>
      <c r="D1830" s="1"/>
    </row>
    <row r="1831" spans="1:4" ht="12.5">
      <c r="A1831" s="1"/>
      <c r="B1831" s="1"/>
      <c r="C1831" s="1"/>
      <c r="D1831" s="1"/>
    </row>
    <row r="1832" spans="1:4" ht="12.5">
      <c r="A1832" s="1"/>
      <c r="B1832" s="1"/>
      <c r="C1832" s="1"/>
      <c r="D1832" s="1"/>
    </row>
    <row r="1833" spans="1:4" ht="12.5">
      <c r="A1833" s="1"/>
      <c r="B1833" s="1"/>
      <c r="C1833" s="1"/>
      <c r="D1833" s="1"/>
    </row>
    <row r="1834" spans="1:4" ht="12.5">
      <c r="A1834" s="1"/>
      <c r="B1834" s="1"/>
      <c r="C1834" s="1"/>
      <c r="D1834" s="1"/>
    </row>
    <row r="1835" spans="1:4" ht="12.5">
      <c r="A1835" s="1"/>
      <c r="B1835" s="1"/>
      <c r="C1835" s="1"/>
      <c r="D1835" s="1"/>
    </row>
    <row r="1836" spans="1:4" ht="12.5">
      <c r="A1836" s="1"/>
      <c r="B1836" s="1"/>
      <c r="C1836" s="1"/>
      <c r="D1836" s="1"/>
    </row>
    <row r="1837" spans="1:4" ht="12.5">
      <c r="A1837" s="1"/>
      <c r="B1837" s="1"/>
      <c r="C1837" s="1"/>
      <c r="D1837" s="1"/>
    </row>
    <row r="1838" spans="1:4" ht="12.5">
      <c r="A1838" s="1"/>
      <c r="B1838" s="1"/>
      <c r="C1838" s="1"/>
      <c r="D1838" s="1"/>
    </row>
    <row r="1839" spans="1:4" ht="12.5">
      <c r="A1839" s="1"/>
      <c r="B1839" s="1"/>
      <c r="C1839" s="1"/>
      <c r="D1839" s="1"/>
    </row>
    <row r="1840" spans="1:4" ht="12.5">
      <c r="A1840" s="1"/>
      <c r="B1840" s="1"/>
      <c r="C1840" s="1"/>
      <c r="D1840" s="1"/>
    </row>
    <row r="1841" spans="1:4" ht="12.5">
      <c r="A1841" s="1"/>
      <c r="B1841" s="1"/>
      <c r="C1841" s="1"/>
      <c r="D1841" s="1"/>
    </row>
    <row r="1842" spans="1:4" ht="12.5">
      <c r="A1842" s="1"/>
      <c r="B1842" s="1"/>
      <c r="C1842" s="1"/>
      <c r="D1842" s="1"/>
    </row>
    <row r="1843" spans="1:4" ht="12.5">
      <c r="A1843" s="1"/>
      <c r="B1843" s="1"/>
      <c r="C1843" s="1"/>
      <c r="D1843" s="1"/>
    </row>
    <row r="1844" spans="1:4" ht="12.5">
      <c r="A1844" s="1"/>
      <c r="B1844" s="1"/>
      <c r="C1844" s="1"/>
      <c r="D1844" s="1"/>
    </row>
    <row r="1845" spans="1:4" ht="12.5">
      <c r="A1845" s="1"/>
      <c r="B1845" s="1"/>
      <c r="C1845" s="1"/>
      <c r="D1845" s="1"/>
    </row>
    <row r="1846" spans="1:4" ht="12.5">
      <c r="A1846" s="1"/>
      <c r="B1846" s="1"/>
      <c r="C1846" s="1"/>
      <c r="D1846" s="1"/>
    </row>
    <row r="1847" spans="1:4" ht="12.5">
      <c r="A1847" s="1"/>
      <c r="B1847" s="1"/>
      <c r="C1847" s="1"/>
      <c r="D1847" s="1"/>
    </row>
    <row r="1848" spans="1:4" ht="12.5">
      <c r="A1848" s="1"/>
      <c r="B1848" s="1"/>
      <c r="C1848" s="1"/>
      <c r="D1848" s="1"/>
    </row>
    <row r="1849" spans="1:4" ht="12.5">
      <c r="A1849" s="1"/>
      <c r="B1849" s="1"/>
      <c r="C1849" s="1"/>
      <c r="D1849" s="1"/>
    </row>
    <row r="1850" spans="1:4" ht="12.5">
      <c r="A1850" s="1"/>
      <c r="B1850" s="1"/>
      <c r="C1850" s="1"/>
      <c r="D1850" s="1"/>
    </row>
    <row r="1851" spans="1:4" ht="12.5">
      <c r="A1851" s="1"/>
      <c r="B1851" s="1"/>
      <c r="C1851" s="1"/>
      <c r="D1851" s="1"/>
    </row>
    <row r="1852" spans="1:4" ht="12.5">
      <c r="A1852" s="1"/>
      <c r="B1852" s="1"/>
      <c r="C1852" s="1"/>
      <c r="D1852" s="1"/>
    </row>
    <row r="1853" spans="1:4" ht="12.5">
      <c r="A1853" s="1"/>
      <c r="B1853" s="1"/>
      <c r="C1853" s="1"/>
      <c r="D1853" s="1"/>
    </row>
    <row r="1854" spans="1:4" ht="12.5">
      <c r="A1854" s="1"/>
      <c r="B1854" s="1"/>
      <c r="C1854" s="1"/>
      <c r="D1854" s="1"/>
    </row>
    <row r="1855" spans="1:4" ht="12.5">
      <c r="A1855" s="1"/>
      <c r="B1855" s="1"/>
      <c r="C1855" s="1"/>
      <c r="D1855" s="1"/>
    </row>
    <row r="1856" spans="1:4" ht="12.5">
      <c r="A1856" s="1"/>
      <c r="B1856" s="1"/>
      <c r="C1856" s="1"/>
      <c r="D1856" s="1"/>
    </row>
    <row r="1857" spans="1:4" ht="12.5">
      <c r="A1857" s="1"/>
      <c r="B1857" s="1"/>
      <c r="C1857" s="1"/>
      <c r="D1857" s="1"/>
    </row>
    <row r="1858" spans="1:4" ht="12.5">
      <c r="A1858" s="1"/>
      <c r="B1858" s="1"/>
      <c r="C1858" s="1"/>
      <c r="D1858" s="1"/>
    </row>
    <row r="1859" spans="1:4" ht="12.5">
      <c r="A1859" s="1"/>
      <c r="B1859" s="1"/>
      <c r="C1859" s="1"/>
      <c r="D1859" s="1"/>
    </row>
    <row r="1860" spans="1:4" ht="12.5">
      <c r="A1860" s="1"/>
      <c r="B1860" s="1"/>
      <c r="C1860" s="1"/>
      <c r="D1860" s="1"/>
    </row>
    <row r="1861" spans="1:4" ht="12.5">
      <c r="A1861" s="1"/>
      <c r="B1861" s="1"/>
      <c r="C1861" s="1"/>
      <c r="D1861" s="1"/>
    </row>
    <row r="1862" spans="1:4" ht="12.5">
      <c r="A1862" s="1"/>
      <c r="B1862" s="1"/>
      <c r="C1862" s="1"/>
      <c r="D1862" s="1"/>
    </row>
    <row r="1863" spans="1:4" ht="12.5">
      <c r="A1863" s="1"/>
      <c r="B1863" s="1"/>
      <c r="C1863" s="1"/>
      <c r="D1863" s="1"/>
    </row>
    <row r="1864" spans="1:4" ht="12.5">
      <c r="A1864" s="1"/>
      <c r="B1864" s="1"/>
      <c r="C1864" s="1"/>
      <c r="D1864" s="1"/>
    </row>
    <row r="1865" spans="1:4" ht="12.5">
      <c r="A1865" s="1"/>
      <c r="B1865" s="1"/>
      <c r="C1865" s="1"/>
      <c r="D1865" s="1"/>
    </row>
    <row r="1866" spans="1:4" ht="12.5">
      <c r="A1866" s="1"/>
      <c r="B1866" s="1"/>
      <c r="C1866" s="1"/>
      <c r="D1866" s="1"/>
    </row>
    <row r="1867" spans="1:4" ht="12.5">
      <c r="A1867" s="1"/>
      <c r="B1867" s="1"/>
      <c r="C1867" s="1"/>
      <c r="D1867" s="1"/>
    </row>
    <row r="1868" spans="1:4" ht="12.5">
      <c r="A1868" s="1"/>
      <c r="B1868" s="1"/>
      <c r="C1868" s="1"/>
      <c r="D1868" s="1"/>
    </row>
    <row r="1869" spans="1:4" ht="12.5">
      <c r="A1869" s="1"/>
      <c r="B1869" s="1"/>
      <c r="C1869" s="1"/>
      <c r="D1869" s="1"/>
    </row>
    <row r="1870" spans="1:4" ht="12.5">
      <c r="A1870" s="1"/>
      <c r="B1870" s="1"/>
      <c r="C1870" s="1"/>
      <c r="D1870" s="1"/>
    </row>
    <row r="1871" spans="1:4" ht="12.5">
      <c r="A1871" s="1"/>
      <c r="B1871" s="1"/>
      <c r="C1871" s="1"/>
      <c r="D1871" s="1"/>
    </row>
    <row r="1872" spans="1:4" ht="12.5">
      <c r="A1872" s="1"/>
      <c r="B1872" s="1"/>
      <c r="C1872" s="1"/>
      <c r="D1872" s="1"/>
    </row>
    <row r="1873" spans="1:4" ht="12.5">
      <c r="A1873" s="1"/>
      <c r="B1873" s="1"/>
      <c r="C1873" s="1"/>
      <c r="D1873" s="1"/>
    </row>
    <row r="1874" spans="1:4" ht="12.5">
      <c r="A1874" s="1"/>
      <c r="B1874" s="1"/>
      <c r="C1874" s="1"/>
      <c r="D1874" s="1"/>
    </row>
    <row r="1875" spans="1:4" ht="12.5">
      <c r="A1875" s="1"/>
      <c r="B1875" s="1"/>
      <c r="C1875" s="1"/>
      <c r="D1875" s="1"/>
    </row>
    <row r="1876" spans="1:4" ht="12.5">
      <c r="A1876" s="1"/>
      <c r="B1876" s="1"/>
      <c r="C1876" s="1"/>
      <c r="D1876" s="1"/>
    </row>
    <row r="1877" spans="1:4" ht="12.5">
      <c r="A1877" s="1"/>
      <c r="B1877" s="1"/>
      <c r="C1877" s="1"/>
      <c r="D1877" s="1"/>
    </row>
    <row r="1878" spans="1:4" ht="12.5">
      <c r="A1878" s="1"/>
      <c r="B1878" s="1"/>
      <c r="C1878" s="1"/>
      <c r="D1878" s="1"/>
    </row>
    <row r="1879" spans="1:4" ht="12.5">
      <c r="A1879" s="1"/>
      <c r="B1879" s="1"/>
      <c r="C1879" s="1"/>
      <c r="D1879" s="1"/>
    </row>
    <row r="1880" spans="1:4" ht="12.5">
      <c r="A1880" s="1"/>
      <c r="B1880" s="1"/>
      <c r="C1880" s="1"/>
      <c r="D1880" s="1"/>
    </row>
    <row r="1881" spans="1:4" ht="12.5">
      <c r="A1881" s="1"/>
      <c r="B1881" s="1"/>
      <c r="C1881" s="1"/>
      <c r="D1881" s="1"/>
    </row>
    <row r="1882" spans="1:4" ht="12.5">
      <c r="A1882" s="1"/>
      <c r="B1882" s="1"/>
      <c r="C1882" s="1"/>
      <c r="D1882" s="1"/>
    </row>
    <row r="1883" spans="1:4" ht="12.5">
      <c r="A1883" s="1"/>
      <c r="B1883" s="1"/>
      <c r="C1883" s="1"/>
      <c r="D1883" s="1"/>
    </row>
    <row r="1884" spans="1:4" ht="12.5">
      <c r="A1884" s="1"/>
      <c r="B1884" s="1"/>
      <c r="C1884" s="1"/>
      <c r="D1884" s="1"/>
    </row>
    <row r="1885" spans="1:4" ht="12.5">
      <c r="A1885" s="1"/>
      <c r="B1885" s="1"/>
      <c r="C1885" s="1"/>
      <c r="D1885" s="1"/>
    </row>
    <row r="1886" spans="1:4" ht="12.5">
      <c r="A1886" s="1"/>
      <c r="B1886" s="1"/>
      <c r="C1886" s="1"/>
      <c r="D1886" s="1"/>
    </row>
    <row r="1887" spans="1:4" ht="12.5">
      <c r="A1887" s="1"/>
      <c r="B1887" s="1"/>
      <c r="C1887" s="1"/>
      <c r="D1887" s="1"/>
    </row>
    <row r="1888" spans="1:4" ht="12.5">
      <c r="A1888" s="1"/>
      <c r="B1888" s="1"/>
      <c r="C1888" s="1"/>
      <c r="D1888" s="1"/>
    </row>
    <row r="1889" spans="1:4" ht="12.5">
      <c r="A1889" s="1"/>
      <c r="B1889" s="1"/>
      <c r="C1889" s="1"/>
      <c r="D1889" s="1"/>
    </row>
    <row r="1890" spans="1:4" ht="12.5">
      <c r="A1890" s="1"/>
      <c r="B1890" s="1"/>
      <c r="C1890" s="1"/>
      <c r="D1890" s="1"/>
    </row>
    <row r="1891" spans="1:4" ht="12.5">
      <c r="A1891" s="1"/>
      <c r="B1891" s="1"/>
      <c r="C1891" s="1"/>
      <c r="D1891" s="1"/>
    </row>
    <row r="1892" spans="1:4" ht="12.5">
      <c r="A1892" s="1"/>
      <c r="B1892" s="1"/>
      <c r="C1892" s="1"/>
      <c r="D1892" s="1"/>
    </row>
    <row r="1893" spans="1:4" ht="12.5">
      <c r="A1893" s="1"/>
      <c r="B1893" s="1"/>
      <c r="C1893" s="1"/>
      <c r="D1893" s="1"/>
    </row>
    <row r="1894" spans="1:4" ht="12.5">
      <c r="A1894" s="1"/>
      <c r="B1894" s="1"/>
      <c r="C1894" s="1"/>
      <c r="D1894" s="1"/>
    </row>
    <row r="1895" spans="1:4" ht="12.5">
      <c r="A1895" s="1"/>
      <c r="B1895" s="1"/>
      <c r="C1895" s="1"/>
      <c r="D1895" s="1"/>
    </row>
    <row r="1896" spans="1:4" ht="12.5">
      <c r="A1896" s="1"/>
      <c r="B1896" s="1"/>
      <c r="C1896" s="1"/>
      <c r="D1896" s="1"/>
    </row>
    <row r="1897" spans="1:4" ht="12.5">
      <c r="A1897" s="1"/>
      <c r="B1897" s="1"/>
      <c r="C1897" s="1"/>
      <c r="D1897" s="1"/>
    </row>
    <row r="1898" spans="1:4" ht="12.5">
      <c r="A1898" s="1"/>
      <c r="B1898" s="1"/>
      <c r="C1898" s="1"/>
      <c r="D1898" s="1"/>
    </row>
    <row r="1899" spans="1:4" ht="12.5">
      <c r="A1899" s="1"/>
      <c r="B1899" s="1"/>
      <c r="C1899" s="1"/>
      <c r="D1899" s="1"/>
    </row>
    <row r="1900" spans="1:4" ht="12.5">
      <c r="A1900" s="1"/>
      <c r="B1900" s="1"/>
      <c r="C1900" s="1"/>
      <c r="D1900" s="1"/>
    </row>
    <row r="1901" spans="1:4" ht="12.5">
      <c r="A1901" s="1"/>
      <c r="B1901" s="1"/>
      <c r="C1901" s="1"/>
      <c r="D1901" s="1"/>
    </row>
    <row r="1902" spans="1:4" ht="12.5">
      <c r="A1902" s="1"/>
      <c r="B1902" s="1"/>
      <c r="C1902" s="1"/>
      <c r="D1902" s="1"/>
    </row>
    <row r="1903" spans="1:4" ht="12.5">
      <c r="A1903" s="1"/>
      <c r="B1903" s="1"/>
      <c r="C1903" s="1"/>
      <c r="D1903" s="1"/>
    </row>
    <row r="1904" spans="1:4" ht="12.5">
      <c r="A1904" s="1"/>
      <c r="B1904" s="1"/>
      <c r="C1904" s="1"/>
      <c r="D1904" s="1"/>
    </row>
    <row r="1905" spans="1:4" ht="12.5">
      <c r="A1905" s="1"/>
      <c r="B1905" s="1"/>
      <c r="C1905" s="1"/>
      <c r="D1905" s="1"/>
    </row>
    <row r="1906" spans="1:4" ht="12.5">
      <c r="A1906" s="1"/>
      <c r="B1906" s="1"/>
      <c r="C1906" s="1"/>
      <c r="D1906" s="1"/>
    </row>
    <row r="1907" spans="1:4" ht="12.5">
      <c r="A1907" s="1"/>
      <c r="B1907" s="1"/>
      <c r="C1907" s="1"/>
      <c r="D1907" s="1"/>
    </row>
    <row r="1908" spans="1:4" ht="12.5">
      <c r="A1908" s="1"/>
      <c r="B1908" s="1"/>
      <c r="C1908" s="1"/>
      <c r="D1908" s="1"/>
    </row>
    <row r="1909" spans="1:4" ht="12.5">
      <c r="A1909" s="1"/>
      <c r="B1909" s="1"/>
      <c r="C1909" s="1"/>
      <c r="D1909" s="1"/>
    </row>
    <row r="1910" spans="1:4" ht="12.5">
      <c r="A1910" s="1"/>
      <c r="B1910" s="1"/>
      <c r="C1910" s="1"/>
      <c r="D1910" s="1"/>
    </row>
    <row r="1911" spans="1:4" ht="12.5">
      <c r="A1911" s="1"/>
      <c r="B1911" s="1"/>
      <c r="C1911" s="1"/>
      <c r="D1911" s="1"/>
    </row>
    <row r="1912" spans="1:4" ht="12.5">
      <c r="A1912" s="1"/>
      <c r="B1912" s="1"/>
      <c r="C1912" s="1"/>
      <c r="D1912" s="1"/>
    </row>
    <row r="1913" spans="1:4" ht="12.5">
      <c r="A1913" s="1"/>
      <c r="B1913" s="1"/>
      <c r="C1913" s="1"/>
      <c r="D1913" s="1"/>
    </row>
    <row r="1914" spans="1:4" ht="12.5">
      <c r="A1914" s="1"/>
      <c r="B1914" s="1"/>
      <c r="C1914" s="1"/>
      <c r="D1914" s="1"/>
    </row>
    <row r="1915" spans="1:4" ht="12.5">
      <c r="A1915" s="1"/>
      <c r="B1915" s="1"/>
      <c r="C1915" s="1"/>
      <c r="D1915" s="1"/>
    </row>
    <row r="1916" spans="1:4" ht="12.5">
      <c r="A1916" s="1"/>
      <c r="B1916" s="1"/>
      <c r="C1916" s="1"/>
      <c r="D1916" s="1"/>
    </row>
    <row r="1917" spans="1:4" ht="12.5">
      <c r="A1917" s="1"/>
      <c r="B1917" s="1"/>
      <c r="C1917" s="1"/>
      <c r="D1917" s="1"/>
    </row>
    <row r="1918" spans="1:4" ht="12.5">
      <c r="A1918" s="1"/>
      <c r="B1918" s="1"/>
      <c r="C1918" s="1"/>
      <c r="D1918" s="1"/>
    </row>
    <row r="1919" spans="1:4" ht="12.5">
      <c r="A1919" s="1"/>
      <c r="B1919" s="1"/>
      <c r="C1919" s="1"/>
      <c r="D1919" s="1"/>
    </row>
    <row r="1920" spans="1:4" ht="12.5">
      <c r="A1920" s="1"/>
      <c r="B1920" s="1"/>
      <c r="C1920" s="1"/>
      <c r="D1920" s="1"/>
    </row>
    <row r="1921" spans="1:4" ht="12.5">
      <c r="A1921" s="1"/>
      <c r="B1921" s="1"/>
      <c r="C1921" s="1"/>
      <c r="D1921" s="1"/>
    </row>
    <row r="1922" spans="1:4" ht="12.5">
      <c r="A1922" s="1"/>
      <c r="B1922" s="1"/>
      <c r="C1922" s="1"/>
      <c r="D1922" s="1"/>
    </row>
    <row r="1923" spans="1:4" ht="12.5">
      <c r="A1923" s="1"/>
      <c r="B1923" s="1"/>
      <c r="C1923" s="1"/>
      <c r="D1923" s="1"/>
    </row>
    <row r="1924" spans="1:4" ht="12.5">
      <c r="A1924" s="1"/>
      <c r="B1924" s="1"/>
      <c r="C1924" s="1"/>
      <c r="D1924" s="1"/>
    </row>
    <row r="1925" spans="1:4" ht="12.5">
      <c r="A1925" s="1"/>
      <c r="B1925" s="1"/>
      <c r="C1925" s="1"/>
      <c r="D1925" s="1"/>
    </row>
    <row r="1926" spans="1:4" ht="12.5">
      <c r="A1926" s="1"/>
      <c r="B1926" s="1"/>
      <c r="C1926" s="1"/>
      <c r="D1926" s="1"/>
    </row>
    <row r="1927" spans="1:4" ht="12.5">
      <c r="A1927" s="1"/>
      <c r="B1927" s="1"/>
      <c r="C1927" s="1"/>
      <c r="D1927" s="1"/>
    </row>
    <row r="1928" spans="1:4" ht="12.5">
      <c r="A1928" s="1"/>
      <c r="B1928" s="1"/>
      <c r="C1928" s="1"/>
      <c r="D1928" s="1"/>
    </row>
    <row r="1929" spans="1:4" ht="12.5">
      <c r="A1929" s="1"/>
      <c r="B1929" s="1"/>
      <c r="C1929" s="1"/>
      <c r="D1929" s="1"/>
    </row>
    <row r="1930" spans="1:4" ht="12.5">
      <c r="A1930" s="1"/>
      <c r="B1930" s="1"/>
      <c r="C1930" s="1"/>
      <c r="D1930" s="1"/>
    </row>
    <row r="1931" spans="1:4" ht="12.5">
      <c r="A1931" s="1"/>
      <c r="B1931" s="1"/>
      <c r="C1931" s="1"/>
      <c r="D1931" s="1"/>
    </row>
    <row r="1932" spans="1:4" ht="12.5">
      <c r="A1932" s="1"/>
      <c r="B1932" s="1"/>
      <c r="C1932" s="1"/>
      <c r="D1932" s="1"/>
    </row>
    <row r="1933" spans="1:4" ht="12.5">
      <c r="A1933" s="1"/>
      <c r="B1933" s="1"/>
      <c r="C1933" s="1"/>
      <c r="D1933" s="1"/>
    </row>
    <row r="1934" spans="1:4" ht="12.5">
      <c r="A1934" s="1"/>
      <c r="B1934" s="1"/>
      <c r="C1934" s="1"/>
      <c r="D1934" s="1"/>
    </row>
    <row r="1935" spans="1:4" ht="12.5">
      <c r="A1935" s="1"/>
      <c r="B1935" s="1"/>
      <c r="C1935" s="1"/>
      <c r="D1935" s="1"/>
    </row>
    <row r="1936" spans="1:4" ht="12.5">
      <c r="A1936" s="1"/>
      <c r="B1936" s="1"/>
      <c r="C1936" s="1"/>
      <c r="D1936" s="1"/>
    </row>
    <row r="1937" spans="1:4" ht="12.5">
      <c r="A1937" s="1"/>
      <c r="B1937" s="1"/>
      <c r="C1937" s="1"/>
      <c r="D1937" s="1"/>
    </row>
    <row r="1938" spans="1:4" ht="12.5">
      <c r="A1938" s="1"/>
      <c r="B1938" s="1"/>
      <c r="C1938" s="1"/>
      <c r="D1938" s="1"/>
    </row>
    <row r="1939" spans="1:4" ht="12.5">
      <c r="A1939" s="1"/>
      <c r="B1939" s="1"/>
      <c r="C1939" s="1"/>
      <c r="D1939" s="1"/>
    </row>
    <row r="1940" spans="1:4" ht="12.5">
      <c r="A1940" s="1"/>
      <c r="B1940" s="1"/>
      <c r="C1940" s="1"/>
      <c r="D1940" s="1"/>
    </row>
    <row r="1941" spans="1:4" ht="12.5">
      <c r="A1941" s="1"/>
      <c r="B1941" s="1"/>
      <c r="C1941" s="1"/>
      <c r="D1941" s="1"/>
    </row>
    <row r="1942" spans="1:4" ht="12.5">
      <c r="A1942" s="1"/>
      <c r="B1942" s="1"/>
      <c r="C1942" s="1"/>
      <c r="D1942" s="1"/>
    </row>
    <row r="1943" spans="1:4" ht="12.5">
      <c r="A1943" s="1"/>
      <c r="B1943" s="1"/>
      <c r="C1943" s="1"/>
      <c r="D1943" s="1"/>
    </row>
    <row r="1944" spans="1:4" ht="12.5">
      <c r="A1944" s="1"/>
      <c r="B1944" s="1"/>
      <c r="C1944" s="1"/>
      <c r="D1944" s="1"/>
    </row>
    <row r="1945" spans="1:4" ht="12.5">
      <c r="A1945" s="1"/>
      <c r="B1945" s="1"/>
      <c r="C1945" s="1"/>
      <c r="D1945" s="1"/>
    </row>
    <row r="1946" spans="1:4" ht="12.5">
      <c r="A1946" s="1"/>
      <c r="B1946" s="1"/>
      <c r="C1946" s="1"/>
      <c r="D1946" s="1"/>
    </row>
    <row r="1947" spans="1:4" ht="12.5">
      <c r="A1947" s="1"/>
      <c r="B1947" s="1"/>
      <c r="C1947" s="1"/>
      <c r="D1947" s="1"/>
    </row>
    <row r="1948" spans="1:4" ht="12.5">
      <c r="A1948" s="1"/>
      <c r="B1948" s="1"/>
      <c r="C1948" s="1"/>
      <c r="D1948" s="1"/>
    </row>
    <row r="1949" spans="1:4" ht="12.5">
      <c r="A1949" s="1"/>
      <c r="B1949" s="1"/>
      <c r="C1949" s="1"/>
      <c r="D1949" s="1"/>
    </row>
    <row r="1950" spans="1:4" ht="12.5">
      <c r="A1950" s="1"/>
      <c r="B1950" s="1"/>
      <c r="C1950" s="1"/>
      <c r="D1950" s="1"/>
    </row>
    <row r="1951" spans="1:4" ht="12.5">
      <c r="A1951" s="1"/>
      <c r="B1951" s="1"/>
      <c r="C1951" s="1"/>
      <c r="D1951" s="1"/>
    </row>
    <row r="1952" spans="1:4" ht="12.5">
      <c r="A1952" s="1"/>
      <c r="B1952" s="1"/>
      <c r="C1952" s="1"/>
      <c r="D1952" s="1"/>
    </row>
    <row r="1953" spans="1:4" ht="12.5">
      <c r="A1953" s="1"/>
      <c r="B1953" s="1"/>
      <c r="C1953" s="1"/>
      <c r="D1953" s="1"/>
    </row>
    <row r="1954" spans="1:4" ht="12.5">
      <c r="A1954" s="1"/>
      <c r="B1954" s="1"/>
      <c r="C1954" s="1"/>
      <c r="D1954" s="1"/>
    </row>
    <row r="1955" spans="1:4" ht="12.5">
      <c r="A1955" s="1"/>
      <c r="B1955" s="1"/>
      <c r="C1955" s="1"/>
      <c r="D1955" s="1"/>
    </row>
    <row r="1956" spans="1:4" ht="12.5">
      <c r="A1956" s="1"/>
      <c r="B1956" s="1"/>
      <c r="C1956" s="1"/>
      <c r="D1956" s="1"/>
    </row>
    <row r="1957" spans="1:4" ht="12.5">
      <c r="A1957" s="1"/>
      <c r="B1957" s="1"/>
      <c r="C1957" s="1"/>
      <c r="D1957" s="1"/>
    </row>
    <row r="1958" spans="1:4" ht="12.5">
      <c r="A1958" s="1"/>
      <c r="B1958" s="1"/>
      <c r="C1958" s="1"/>
      <c r="D1958" s="1"/>
    </row>
    <row r="1959" spans="1:4" ht="12.5">
      <c r="A1959" s="1"/>
      <c r="B1959" s="1"/>
      <c r="C1959" s="1"/>
      <c r="D1959" s="1"/>
    </row>
    <row r="1960" spans="1:4" ht="12.5">
      <c r="A1960" s="1"/>
      <c r="B1960" s="1"/>
      <c r="C1960" s="1"/>
      <c r="D1960" s="1"/>
    </row>
    <row r="1961" spans="1:4" ht="12.5">
      <c r="A1961" s="1"/>
      <c r="B1961" s="1"/>
      <c r="C1961" s="1"/>
      <c r="D1961" s="1"/>
    </row>
    <row r="1962" spans="1:4" ht="12.5">
      <c r="A1962" s="1"/>
      <c r="B1962" s="1"/>
      <c r="C1962" s="1"/>
      <c r="D1962" s="1"/>
    </row>
    <row r="1963" spans="1:4" ht="12.5">
      <c r="A1963" s="1"/>
      <c r="B1963" s="1"/>
      <c r="C1963" s="1"/>
      <c r="D1963" s="1"/>
    </row>
    <row r="1964" spans="1:4" ht="12.5">
      <c r="A1964" s="1"/>
      <c r="B1964" s="1"/>
      <c r="C1964" s="1"/>
      <c r="D1964" s="1"/>
    </row>
    <row r="1965" spans="1:4" ht="12.5">
      <c r="A1965" s="1"/>
      <c r="B1965" s="1"/>
      <c r="C1965" s="1"/>
      <c r="D1965" s="1"/>
    </row>
    <row r="1966" spans="1:4" ht="12.5">
      <c r="A1966" s="1"/>
      <c r="B1966" s="1"/>
      <c r="C1966" s="1"/>
      <c r="D1966" s="1"/>
    </row>
    <row r="1967" spans="1:4" ht="12.5">
      <c r="A1967" s="1"/>
      <c r="B1967" s="1"/>
      <c r="C1967" s="1"/>
      <c r="D1967" s="1"/>
    </row>
    <row r="1968" spans="1:4" ht="12.5">
      <c r="A1968" s="1"/>
      <c r="B1968" s="1"/>
      <c r="C1968" s="1"/>
      <c r="D1968" s="1"/>
    </row>
    <row r="1969" spans="1:4" ht="12.5">
      <c r="A1969" s="1"/>
      <c r="B1969" s="1"/>
      <c r="C1969" s="1"/>
      <c r="D1969" s="1"/>
    </row>
    <row r="1970" spans="1:4" ht="12.5">
      <c r="A1970" s="1"/>
      <c r="B1970" s="1"/>
      <c r="C1970" s="1"/>
      <c r="D1970" s="1"/>
    </row>
    <row r="1971" spans="1:4" ht="12.5">
      <c r="A1971" s="1"/>
      <c r="B1971" s="1"/>
      <c r="C1971" s="1"/>
      <c r="D1971" s="1"/>
    </row>
    <row r="1972" spans="1:4" ht="12.5">
      <c r="A1972" s="1"/>
      <c r="B1972" s="1"/>
      <c r="C1972" s="1"/>
      <c r="D1972" s="1"/>
    </row>
    <row r="1973" spans="1:4" ht="12.5">
      <c r="A1973" s="1"/>
      <c r="B1973" s="1"/>
      <c r="C1973" s="1"/>
      <c r="D1973" s="1"/>
    </row>
    <row r="1974" spans="1:4" ht="12.5">
      <c r="A1974" s="1"/>
      <c r="B1974" s="1"/>
      <c r="C1974" s="1"/>
      <c r="D1974" s="1"/>
    </row>
    <row r="1975" spans="1:4" ht="12.5">
      <c r="A1975" s="1"/>
      <c r="B1975" s="1"/>
      <c r="C1975" s="1"/>
      <c r="D1975" s="1"/>
    </row>
    <row r="1976" spans="1:4" ht="12.5">
      <c r="A1976" s="1"/>
      <c r="B1976" s="1"/>
      <c r="C1976" s="1"/>
      <c r="D1976" s="1"/>
    </row>
    <row r="1977" spans="1:4" ht="12.5">
      <c r="A1977" s="1"/>
      <c r="B1977" s="1"/>
      <c r="C1977" s="1"/>
      <c r="D1977" s="1"/>
    </row>
    <row r="1978" spans="1:4" ht="12.5">
      <c r="A1978" s="1"/>
      <c r="B1978" s="1"/>
      <c r="C1978" s="1"/>
      <c r="D1978" s="1"/>
    </row>
    <row r="1979" spans="1:4" ht="12.5">
      <c r="A1979" s="1"/>
      <c r="B1979" s="1"/>
      <c r="C1979" s="1"/>
      <c r="D1979" s="1"/>
    </row>
    <row r="1980" spans="1:4" ht="12.5">
      <c r="A1980" s="1"/>
      <c r="B1980" s="1"/>
      <c r="C1980" s="1"/>
      <c r="D1980" s="1"/>
    </row>
    <row r="1981" spans="1:4" ht="12.5">
      <c r="A1981" s="1"/>
      <c r="B1981" s="1"/>
      <c r="C1981" s="1"/>
      <c r="D1981" s="1"/>
    </row>
    <row r="1982" spans="1:4" ht="12.5">
      <c r="A1982" s="1"/>
      <c r="B1982" s="1"/>
      <c r="C1982" s="1"/>
      <c r="D1982" s="1"/>
    </row>
    <row r="1983" spans="1:4" ht="12.5">
      <c r="A1983" s="1"/>
      <c r="B1983" s="1"/>
      <c r="C1983" s="1"/>
      <c r="D1983" s="1"/>
    </row>
    <row r="1984" spans="1:4" ht="12.5">
      <c r="A1984" s="1"/>
      <c r="B1984" s="1"/>
      <c r="C1984" s="1"/>
      <c r="D1984" s="1"/>
    </row>
    <row r="1985" spans="1:4" ht="12.5">
      <c r="A1985" s="1"/>
      <c r="B1985" s="1"/>
      <c r="C1985" s="1"/>
      <c r="D1985" s="1"/>
    </row>
    <row r="1986" spans="1:4" ht="12.5">
      <c r="A1986" s="1"/>
      <c r="B1986" s="1"/>
      <c r="C1986" s="1"/>
      <c r="D1986" s="1"/>
    </row>
    <row r="1987" spans="1:4" ht="12.5">
      <c r="A1987" s="1"/>
      <c r="B1987" s="1"/>
      <c r="C1987" s="1"/>
      <c r="D1987" s="1"/>
    </row>
    <row r="1988" spans="1:4" ht="12.5">
      <c r="A1988" s="1"/>
      <c r="B1988" s="1"/>
      <c r="C1988" s="1"/>
      <c r="D1988" s="1"/>
    </row>
    <row r="1989" spans="1:4" ht="12.5">
      <c r="A1989" s="1"/>
      <c r="B1989" s="1"/>
      <c r="C1989" s="1"/>
      <c r="D1989" s="1"/>
    </row>
    <row r="1990" spans="1:4" ht="12.5">
      <c r="A1990" s="1"/>
      <c r="B1990" s="1"/>
      <c r="C1990" s="1"/>
      <c r="D1990" s="1"/>
    </row>
    <row r="1991" spans="1:4" ht="12.5">
      <c r="A1991" s="1"/>
      <c r="B1991" s="1"/>
      <c r="C1991" s="1"/>
      <c r="D1991" s="1"/>
    </row>
    <row r="1992" spans="1:4" ht="12.5">
      <c r="A1992" s="1"/>
      <c r="B1992" s="1"/>
      <c r="C1992" s="1"/>
      <c r="D1992" s="1"/>
    </row>
    <row r="1993" spans="1:4" ht="12.5">
      <c r="A1993" s="1"/>
      <c r="B1993" s="1"/>
      <c r="C1993" s="1"/>
      <c r="D1993" s="1"/>
    </row>
    <row r="1994" spans="1:4" ht="12.5">
      <c r="A1994" s="1"/>
      <c r="B1994" s="1"/>
      <c r="C1994" s="1"/>
      <c r="D1994" s="1"/>
    </row>
    <row r="1995" spans="1:4" ht="12.5">
      <c r="A1995" s="1"/>
      <c r="B1995" s="1"/>
      <c r="C1995" s="1"/>
      <c r="D1995" s="1"/>
    </row>
    <row r="1996" spans="1:4" ht="12.5">
      <c r="A1996" s="1"/>
      <c r="B1996" s="1"/>
      <c r="C1996" s="1"/>
      <c r="D1996" s="1"/>
    </row>
    <row r="1997" spans="1:4" ht="12.5">
      <c r="A1997" s="1"/>
      <c r="B1997" s="1"/>
      <c r="C1997" s="1"/>
      <c r="D1997" s="1"/>
    </row>
    <row r="1998" spans="1:4" ht="12.5">
      <c r="A1998" s="1"/>
      <c r="B1998" s="1"/>
      <c r="C1998" s="1"/>
      <c r="D1998" s="1"/>
    </row>
    <row r="1999" spans="1:4" ht="12.5">
      <c r="A1999" s="1"/>
      <c r="B1999" s="1"/>
      <c r="C1999" s="1"/>
      <c r="D1999" s="1"/>
    </row>
    <row r="2000" spans="1:4" ht="12.5">
      <c r="A2000" s="1"/>
      <c r="B2000" s="1"/>
      <c r="C2000" s="1"/>
      <c r="D2000" s="1"/>
    </row>
    <row r="2001" spans="1:4" ht="12.5">
      <c r="A2001" s="1"/>
      <c r="B2001" s="1"/>
      <c r="C2001" s="1"/>
      <c r="D2001" s="1"/>
    </row>
    <row r="2002" spans="1:4" ht="12.5">
      <c r="A2002" s="1"/>
      <c r="B2002" s="1"/>
      <c r="C2002" s="1"/>
      <c r="D2002" s="1"/>
    </row>
    <row r="2003" spans="1:4" ht="12.5">
      <c r="A2003" s="1"/>
      <c r="B2003" s="1"/>
      <c r="C2003" s="1"/>
      <c r="D2003" s="1"/>
    </row>
    <row r="2004" spans="1:4" ht="12.5">
      <c r="A2004" s="1"/>
      <c r="B2004" s="1"/>
      <c r="C2004" s="1"/>
      <c r="D2004" s="1"/>
    </row>
    <row r="2005" spans="1:4" ht="12.5">
      <c r="A2005" s="1"/>
      <c r="B2005" s="1"/>
      <c r="C2005" s="1"/>
      <c r="D2005" s="1"/>
    </row>
    <row r="2006" spans="1:4" ht="12.5">
      <c r="A2006" s="1"/>
      <c r="B2006" s="1"/>
      <c r="C2006" s="1"/>
      <c r="D2006" s="1"/>
    </row>
    <row r="2007" spans="1:4" ht="12.5">
      <c r="A2007" s="1"/>
      <c r="B2007" s="1"/>
      <c r="C2007" s="1"/>
      <c r="D2007" s="1"/>
    </row>
    <row r="2008" spans="1:4" ht="12.5">
      <c r="A2008" s="1"/>
      <c r="B2008" s="1"/>
      <c r="C2008" s="1"/>
      <c r="D2008" s="1"/>
    </row>
    <row r="2009" spans="1:4" ht="12.5">
      <c r="A2009" s="1"/>
      <c r="B2009" s="1"/>
      <c r="C2009" s="1"/>
      <c r="D2009" s="1"/>
    </row>
    <row r="2010" spans="1:4" ht="12.5">
      <c r="A2010" s="1"/>
      <c r="B2010" s="1"/>
      <c r="C2010" s="1"/>
      <c r="D2010" s="1"/>
    </row>
    <row r="2011" spans="1:4" ht="12.5">
      <c r="A2011" s="1"/>
      <c r="B2011" s="1"/>
      <c r="C2011" s="1"/>
      <c r="D2011" s="1"/>
    </row>
    <row r="2012" spans="1:4" ht="12.5">
      <c r="A2012" s="1"/>
      <c r="B2012" s="1"/>
      <c r="C2012" s="1"/>
      <c r="D2012" s="1"/>
    </row>
    <row r="2013" spans="1:4" ht="12.5">
      <c r="A2013" s="1"/>
      <c r="B2013" s="1"/>
      <c r="C2013" s="1"/>
      <c r="D2013" s="1"/>
    </row>
    <row r="2014" spans="1:4" ht="12.5">
      <c r="A2014" s="1"/>
      <c r="B2014" s="1"/>
      <c r="C2014" s="1"/>
      <c r="D2014" s="1"/>
    </row>
    <row r="2015" spans="1:4" ht="12.5">
      <c r="A2015" s="1"/>
      <c r="B2015" s="1"/>
      <c r="C2015" s="1"/>
      <c r="D2015" s="1"/>
    </row>
    <row r="2016" spans="1:4" ht="12.5">
      <c r="A2016" s="1"/>
      <c r="B2016" s="1"/>
      <c r="C2016" s="1"/>
      <c r="D2016" s="1"/>
    </row>
    <row r="2017" spans="1:4" ht="12.5">
      <c r="A2017" s="1"/>
      <c r="B2017" s="1"/>
      <c r="C2017" s="1"/>
      <c r="D2017" s="1"/>
    </row>
    <row r="2018" spans="1:4" ht="12.5">
      <c r="A2018" s="1"/>
      <c r="B2018" s="1"/>
      <c r="C2018" s="1"/>
      <c r="D2018" s="1"/>
    </row>
    <row r="2019" spans="1:4" ht="12.5">
      <c r="A2019" s="1"/>
      <c r="B2019" s="1"/>
      <c r="C2019" s="1"/>
      <c r="D2019" s="1"/>
    </row>
    <row r="2020" spans="1:4" ht="12.5">
      <c r="A2020" s="1"/>
      <c r="B2020" s="1"/>
      <c r="C2020" s="1"/>
      <c r="D2020" s="1"/>
    </row>
    <row r="2021" spans="1:4" ht="12.5">
      <c r="A2021" s="1"/>
      <c r="B2021" s="1"/>
      <c r="C2021" s="1"/>
      <c r="D2021" s="1"/>
    </row>
    <row r="2022" spans="1:4" ht="12.5">
      <c r="A2022" s="1"/>
      <c r="B2022" s="1"/>
      <c r="C2022" s="1"/>
      <c r="D2022" s="1"/>
    </row>
    <row r="2023" spans="1:4" ht="12.5">
      <c r="A2023" s="1"/>
      <c r="B2023" s="1"/>
      <c r="C2023" s="1"/>
      <c r="D2023" s="1"/>
    </row>
    <row r="2024" spans="1:4" ht="12.5">
      <c r="A2024" s="1"/>
      <c r="B2024" s="1"/>
      <c r="C2024" s="1"/>
      <c r="D2024" s="1"/>
    </row>
    <row r="2025" spans="1:4" ht="12.5">
      <c r="A2025" s="1"/>
      <c r="B2025" s="1"/>
      <c r="C2025" s="1"/>
      <c r="D2025" s="1"/>
    </row>
    <row r="2026" spans="1:4" ht="12.5">
      <c r="A2026" s="1"/>
      <c r="B2026" s="1"/>
      <c r="C2026" s="1"/>
      <c r="D2026" s="1"/>
    </row>
    <row r="2027" spans="1:4" ht="12.5">
      <c r="A2027" s="1"/>
      <c r="B2027" s="1"/>
      <c r="C2027" s="1"/>
      <c r="D2027" s="1"/>
    </row>
    <row r="2028" spans="1:4" ht="12.5">
      <c r="A2028" s="1"/>
      <c r="B2028" s="1"/>
      <c r="C2028" s="1"/>
      <c r="D2028" s="1"/>
    </row>
    <row r="2029" spans="1:4" ht="12.5">
      <c r="A2029" s="1"/>
      <c r="B2029" s="1"/>
      <c r="C2029" s="1"/>
      <c r="D2029" s="1"/>
    </row>
    <row r="2030" spans="1:4" ht="12.5">
      <c r="A2030" s="1"/>
      <c r="B2030" s="1"/>
      <c r="C2030" s="1"/>
      <c r="D2030" s="1"/>
    </row>
    <row r="2031" spans="1:4" ht="12.5">
      <c r="A2031" s="1"/>
      <c r="B2031" s="1"/>
      <c r="C2031" s="1"/>
      <c r="D2031" s="1"/>
    </row>
    <row r="2032" spans="1:4" ht="12.5">
      <c r="A2032" s="1"/>
      <c r="B2032" s="1"/>
      <c r="C2032" s="1"/>
      <c r="D2032" s="1"/>
    </row>
    <row r="2033" spans="1:4" ht="12.5">
      <c r="A2033" s="1"/>
      <c r="B2033" s="1"/>
      <c r="C2033" s="1"/>
      <c r="D2033" s="1"/>
    </row>
    <row r="2034" spans="1:4" ht="12.5">
      <c r="A2034" s="1"/>
      <c r="B2034" s="1"/>
      <c r="C2034" s="1"/>
      <c r="D2034" s="1"/>
    </row>
    <row r="2035" spans="1:4" ht="12.5">
      <c r="A2035" s="1"/>
      <c r="B2035" s="1"/>
      <c r="C2035" s="1"/>
      <c r="D2035" s="1"/>
    </row>
    <row r="2036" spans="1:4" ht="12.5">
      <c r="A2036" s="1"/>
      <c r="B2036" s="1"/>
      <c r="C2036" s="1"/>
      <c r="D2036" s="1"/>
    </row>
    <row r="2037" spans="1:4" ht="12.5">
      <c r="A2037" s="1"/>
      <c r="B2037" s="1"/>
      <c r="C2037" s="1"/>
      <c r="D2037" s="1"/>
    </row>
    <row r="2038" spans="1:4" ht="12.5">
      <c r="A2038" s="1"/>
      <c r="B2038" s="1"/>
      <c r="C2038" s="1"/>
      <c r="D2038" s="1"/>
    </row>
    <row r="2039" spans="1:4" ht="12.5">
      <c r="A2039" s="1"/>
      <c r="B2039" s="1"/>
      <c r="C2039" s="1"/>
      <c r="D2039" s="1"/>
    </row>
    <row r="2040" spans="1:4" ht="12.5">
      <c r="A2040" s="1"/>
      <c r="B2040" s="1"/>
      <c r="C2040" s="1"/>
      <c r="D2040" s="1"/>
    </row>
    <row r="2041" spans="1:4" ht="12.5">
      <c r="A2041" s="1"/>
      <c r="B2041" s="1"/>
      <c r="C2041" s="1"/>
      <c r="D2041" s="1"/>
    </row>
    <row r="2042" spans="1:4" ht="12.5">
      <c r="A2042" s="1"/>
      <c r="B2042" s="1"/>
      <c r="C2042" s="1"/>
      <c r="D2042" s="1"/>
    </row>
    <row r="2043" spans="1:4" ht="12.5">
      <c r="A2043" s="1"/>
      <c r="B2043" s="1"/>
      <c r="C2043" s="1"/>
      <c r="D2043" s="1"/>
    </row>
    <row r="2044" spans="1:4" ht="12.5">
      <c r="A2044" s="1"/>
      <c r="B2044" s="1"/>
      <c r="C2044" s="1"/>
      <c r="D2044" s="1"/>
    </row>
    <row r="2045" spans="1:4" ht="12.5">
      <c r="A2045" s="1"/>
      <c r="B2045" s="1"/>
      <c r="C2045" s="1"/>
      <c r="D2045" s="1"/>
    </row>
    <row r="2046" spans="1:4" ht="12.5">
      <c r="A2046" s="1"/>
      <c r="B2046" s="1"/>
      <c r="C2046" s="1"/>
      <c r="D2046" s="1"/>
    </row>
    <row r="2047" spans="1:4" ht="12.5">
      <c r="A2047" s="1"/>
      <c r="B2047" s="1"/>
      <c r="C2047" s="1"/>
      <c r="D2047" s="1"/>
    </row>
    <row r="2048" spans="1:4" ht="12.5">
      <c r="A2048" s="1"/>
      <c r="B2048" s="1"/>
      <c r="C2048" s="1"/>
      <c r="D2048" s="1"/>
    </row>
    <row r="2049" spans="1:4" ht="12.5">
      <c r="A2049" s="1"/>
      <c r="B2049" s="1"/>
      <c r="C2049" s="1"/>
      <c r="D2049" s="1"/>
    </row>
    <row r="2050" spans="1:4" ht="12.5">
      <c r="A2050" s="1"/>
      <c r="B2050" s="1"/>
      <c r="C2050" s="1"/>
      <c r="D2050" s="1"/>
    </row>
    <row r="2051" spans="1:4" ht="12.5">
      <c r="A2051" s="1"/>
      <c r="B2051" s="1"/>
      <c r="C2051" s="1"/>
      <c r="D2051" s="1"/>
    </row>
    <row r="2052" spans="1:4" ht="12.5">
      <c r="A2052" s="1"/>
      <c r="B2052" s="1"/>
      <c r="C2052" s="1"/>
      <c r="D2052" s="1"/>
    </row>
    <row r="2053" spans="1:4" ht="12.5">
      <c r="A2053" s="1"/>
      <c r="B2053" s="1"/>
      <c r="C2053" s="1"/>
      <c r="D2053" s="1"/>
    </row>
    <row r="2054" spans="1:4" ht="12.5">
      <c r="A2054" s="1"/>
      <c r="B2054" s="1"/>
      <c r="C2054" s="1"/>
      <c r="D2054" s="1"/>
    </row>
    <row r="2055" spans="1:4" ht="12.5">
      <c r="A2055" s="1"/>
      <c r="B2055" s="1"/>
      <c r="C2055" s="1"/>
      <c r="D2055" s="1"/>
    </row>
    <row r="2056" spans="1:4" ht="12.5">
      <c r="A2056" s="1"/>
      <c r="B2056" s="1"/>
      <c r="C2056" s="1"/>
      <c r="D2056" s="1"/>
    </row>
    <row r="2057" spans="1:4" ht="12.5">
      <c r="A2057" s="1"/>
      <c r="B2057" s="1"/>
      <c r="C2057" s="1"/>
      <c r="D2057" s="1"/>
    </row>
    <row r="2058" spans="1:4" ht="12.5">
      <c r="A2058" s="1"/>
      <c r="B2058" s="1"/>
      <c r="C2058" s="1"/>
      <c r="D2058" s="1"/>
    </row>
    <row r="2059" spans="1:4" ht="12.5">
      <c r="A2059" s="1"/>
      <c r="B2059" s="1"/>
      <c r="C2059" s="1"/>
      <c r="D2059" s="1"/>
    </row>
    <row r="2060" spans="1:4" ht="12.5">
      <c r="A2060" s="1"/>
      <c r="B2060" s="1"/>
      <c r="C2060" s="1"/>
      <c r="D2060" s="1"/>
    </row>
    <row r="2061" spans="1:4" ht="12.5">
      <c r="A2061" s="1"/>
      <c r="B2061" s="1"/>
      <c r="C2061" s="1"/>
      <c r="D2061" s="1"/>
    </row>
    <row r="2062" spans="1:4" ht="12.5">
      <c r="A2062" s="1"/>
      <c r="B2062" s="1"/>
      <c r="C2062" s="1"/>
      <c r="D2062" s="1"/>
    </row>
    <row r="2063" spans="1:4" ht="12.5">
      <c r="A2063" s="1"/>
      <c r="B2063" s="1"/>
      <c r="C2063" s="1"/>
      <c r="D2063" s="1"/>
    </row>
    <row r="2064" spans="1:4" ht="12.5">
      <c r="A2064" s="1"/>
      <c r="B2064" s="1"/>
      <c r="C2064" s="1"/>
      <c r="D2064" s="1"/>
    </row>
    <row r="2065" spans="1:4" ht="12.5">
      <c r="A2065" s="1"/>
      <c r="B2065" s="1"/>
      <c r="C2065" s="1"/>
      <c r="D2065" s="1"/>
    </row>
    <row r="2066" spans="1:4" ht="12.5">
      <c r="A2066" s="1"/>
      <c r="B2066" s="1"/>
      <c r="C2066" s="1"/>
      <c r="D2066" s="1"/>
    </row>
    <row r="2067" spans="1:4" ht="12.5">
      <c r="A2067" s="1"/>
      <c r="B2067" s="1"/>
      <c r="C2067" s="1"/>
      <c r="D2067" s="1"/>
    </row>
    <row r="2068" spans="1:4" ht="12.5">
      <c r="A2068" s="1"/>
      <c r="B2068" s="1"/>
      <c r="C2068" s="1"/>
      <c r="D2068" s="1"/>
    </row>
    <row r="2069" spans="1:4" ht="12.5">
      <c r="A2069" s="1"/>
      <c r="B2069" s="1"/>
      <c r="C2069" s="1"/>
      <c r="D2069" s="1"/>
    </row>
    <row r="2070" spans="1:4" ht="12.5">
      <c r="A2070" s="1"/>
      <c r="B2070" s="1"/>
      <c r="C2070" s="1"/>
      <c r="D2070" s="1"/>
    </row>
    <row r="2071" spans="1:4" ht="12.5">
      <c r="A2071" s="1"/>
      <c r="B2071" s="1"/>
      <c r="C2071" s="1"/>
      <c r="D2071" s="1"/>
    </row>
    <row r="2072" spans="1:4" ht="12.5">
      <c r="A2072" s="1"/>
      <c r="B2072" s="1"/>
      <c r="C2072" s="1"/>
      <c r="D2072" s="1"/>
    </row>
    <row r="2073" spans="1:4" ht="12.5">
      <c r="A2073" s="1"/>
      <c r="B2073" s="1"/>
      <c r="C2073" s="1"/>
      <c r="D2073" s="1"/>
    </row>
    <row r="2074" spans="1:4" ht="12.5">
      <c r="A2074" s="1"/>
      <c r="B2074" s="1"/>
      <c r="C2074" s="1"/>
      <c r="D2074" s="1"/>
    </row>
    <row r="2075" spans="1:4" ht="12.5">
      <c r="A2075" s="1"/>
      <c r="B2075" s="1"/>
      <c r="C2075" s="1"/>
      <c r="D2075" s="1"/>
    </row>
    <row r="2076" spans="1:4" ht="12.5">
      <c r="A2076" s="1"/>
      <c r="B2076" s="1"/>
      <c r="C2076" s="1"/>
      <c r="D2076" s="1"/>
    </row>
    <row r="2077" spans="1:4" ht="12.5">
      <c r="A2077" s="1"/>
      <c r="B2077" s="1"/>
      <c r="C2077" s="1"/>
      <c r="D2077" s="1"/>
    </row>
    <row r="2078" spans="1:4" ht="12.5">
      <c r="A2078" s="1"/>
      <c r="B2078" s="1"/>
      <c r="C2078" s="1"/>
      <c r="D2078" s="1"/>
    </row>
    <row r="2079" spans="1:4" ht="12.5">
      <c r="A2079" s="1"/>
      <c r="B2079" s="1"/>
      <c r="C2079" s="1"/>
      <c r="D2079" s="1"/>
    </row>
    <row r="2080" spans="1:4" ht="12.5">
      <c r="A2080" s="1"/>
      <c r="B2080" s="1"/>
      <c r="C2080" s="1"/>
      <c r="D2080" s="1"/>
    </row>
    <row r="2081" spans="1:4" ht="12.5">
      <c r="A2081" s="1"/>
      <c r="B2081" s="1"/>
      <c r="C2081" s="1"/>
      <c r="D2081" s="1"/>
    </row>
    <row r="2082" spans="1:4" ht="12.5">
      <c r="A2082" s="1"/>
      <c r="B2082" s="1"/>
      <c r="C2082" s="1"/>
      <c r="D2082" s="1"/>
    </row>
    <row r="2083" spans="1:4" ht="12.5">
      <c r="A2083" s="1"/>
      <c r="B2083" s="1"/>
      <c r="C2083" s="1"/>
      <c r="D2083" s="1"/>
    </row>
    <row r="2084" spans="1:4" ht="12.5">
      <c r="A2084" s="1"/>
      <c r="B2084" s="1"/>
      <c r="C2084" s="1"/>
      <c r="D2084" s="1"/>
    </row>
    <row r="2085" spans="1:4" ht="12.5">
      <c r="A2085" s="1"/>
      <c r="B2085" s="1"/>
      <c r="C2085" s="1"/>
      <c r="D2085" s="1"/>
    </row>
    <row r="2086" spans="1:4" ht="12.5">
      <c r="A2086" s="1"/>
      <c r="B2086" s="1"/>
      <c r="C2086" s="1"/>
      <c r="D2086" s="1"/>
    </row>
    <row r="2087" spans="1:4" ht="12.5">
      <c r="A2087" s="1"/>
      <c r="B2087" s="1"/>
      <c r="C2087" s="1"/>
      <c r="D2087" s="1"/>
    </row>
    <row r="2088" spans="1:4" ht="12.5">
      <c r="A2088" s="1"/>
      <c r="B2088" s="1"/>
      <c r="C2088" s="1"/>
      <c r="D2088" s="1"/>
    </row>
    <row r="2089" spans="1:4" ht="12.5">
      <c r="A2089" s="1"/>
      <c r="B2089" s="1"/>
      <c r="C2089" s="1"/>
      <c r="D2089" s="1"/>
    </row>
    <row r="2090" spans="1:4" ht="12.5">
      <c r="A2090" s="1"/>
      <c r="B2090" s="1"/>
      <c r="C2090" s="1"/>
      <c r="D2090" s="1"/>
    </row>
    <row r="2091" spans="1:4" ht="12.5">
      <c r="A2091" s="1"/>
      <c r="B2091" s="1"/>
      <c r="C2091" s="1"/>
      <c r="D2091" s="1"/>
    </row>
    <row r="2092" spans="1:4" ht="12.5">
      <c r="A2092" s="1"/>
      <c r="B2092" s="1"/>
      <c r="C2092" s="1"/>
      <c r="D2092" s="1"/>
    </row>
    <row r="2093" spans="1:4" ht="12.5">
      <c r="A2093" s="1"/>
      <c r="B2093" s="1"/>
      <c r="C2093" s="1"/>
      <c r="D2093" s="1"/>
    </row>
    <row r="2094" spans="1:4" ht="12.5">
      <c r="A2094" s="1"/>
      <c r="B2094" s="1"/>
      <c r="C2094" s="1"/>
      <c r="D2094" s="1"/>
    </row>
    <row r="2095" spans="1:4" ht="12.5">
      <c r="A2095" s="1"/>
      <c r="B2095" s="1"/>
      <c r="C2095" s="1"/>
      <c r="D2095" s="1"/>
    </row>
    <row r="2096" spans="1:4" ht="12.5">
      <c r="A2096" s="1"/>
      <c r="B2096" s="1"/>
      <c r="C2096" s="1"/>
      <c r="D2096" s="1"/>
    </row>
    <row r="2097" spans="1:4" ht="12.5">
      <c r="A2097" s="1"/>
      <c r="B2097" s="1"/>
      <c r="C2097" s="1"/>
      <c r="D2097" s="1"/>
    </row>
    <row r="2098" spans="1:4" ht="12.5">
      <c r="A2098" s="1"/>
      <c r="B2098" s="1"/>
      <c r="C2098" s="1"/>
      <c r="D2098" s="1"/>
    </row>
    <row r="2099" spans="1:4" ht="12.5">
      <c r="A2099" s="1"/>
      <c r="B2099" s="1"/>
      <c r="C2099" s="1"/>
      <c r="D2099" s="1"/>
    </row>
    <row r="2100" spans="1:4" ht="12.5">
      <c r="A2100" s="1"/>
      <c r="B2100" s="1"/>
      <c r="C2100" s="1"/>
      <c r="D2100" s="1"/>
    </row>
    <row r="2101" spans="1:4" ht="12.5">
      <c r="A2101" s="1"/>
      <c r="B2101" s="1"/>
      <c r="C2101" s="1"/>
      <c r="D2101" s="1"/>
    </row>
    <row r="2102" spans="1:4" ht="12.5">
      <c r="A2102" s="1"/>
      <c r="B2102" s="1"/>
      <c r="C2102" s="1"/>
      <c r="D2102" s="1"/>
    </row>
    <row r="2103" spans="1:4" ht="12.5">
      <c r="A2103" s="1"/>
      <c r="B2103" s="1"/>
      <c r="C2103" s="1"/>
      <c r="D2103" s="1"/>
    </row>
    <row r="2104" spans="1:4" ht="12.5">
      <c r="A2104" s="1"/>
      <c r="B2104" s="1"/>
      <c r="C2104" s="1"/>
      <c r="D2104" s="1"/>
    </row>
    <row r="2105" spans="1:4" ht="12.5">
      <c r="A2105" s="1"/>
      <c r="B2105" s="1"/>
      <c r="C2105" s="1"/>
      <c r="D2105" s="1"/>
    </row>
    <row r="2106" spans="1:4" ht="12.5">
      <c r="A2106" s="1"/>
      <c r="B2106" s="1"/>
      <c r="C2106" s="1"/>
      <c r="D2106" s="1"/>
    </row>
    <row r="2107" spans="1:4" ht="12.5">
      <c r="A2107" s="1"/>
      <c r="B2107" s="1"/>
      <c r="C2107" s="1"/>
      <c r="D2107" s="1"/>
    </row>
    <row r="2108" spans="1:4" ht="12.5">
      <c r="A2108" s="1"/>
      <c r="B2108" s="1"/>
      <c r="C2108" s="1"/>
      <c r="D2108" s="1"/>
    </row>
    <row r="2109" spans="1:4" ht="12.5">
      <c r="A2109" s="1"/>
      <c r="B2109" s="1"/>
      <c r="C2109" s="1"/>
      <c r="D2109" s="1"/>
    </row>
    <row r="2110" spans="1:4" ht="12.5">
      <c r="A2110" s="1"/>
      <c r="B2110" s="1"/>
      <c r="C2110" s="1"/>
      <c r="D2110" s="1"/>
    </row>
    <row r="2111" spans="1:4" ht="12.5">
      <c r="A2111" s="1"/>
      <c r="B2111" s="1"/>
      <c r="C2111" s="1"/>
      <c r="D2111" s="1"/>
    </row>
    <row r="2112" spans="1:4" ht="12.5">
      <c r="A2112" s="1"/>
      <c r="B2112" s="1"/>
      <c r="C2112" s="1"/>
      <c r="D2112" s="1"/>
    </row>
    <row r="2113" spans="1:4" ht="12.5">
      <c r="A2113" s="1"/>
      <c r="B2113" s="1"/>
      <c r="C2113" s="1"/>
      <c r="D2113" s="1"/>
    </row>
    <row r="2114" spans="1:4" ht="12.5">
      <c r="A2114" s="1"/>
      <c r="B2114" s="1"/>
      <c r="C2114" s="1"/>
      <c r="D2114" s="1"/>
    </row>
    <row r="2115" spans="1:4" ht="12.5">
      <c r="A2115" s="1"/>
      <c r="B2115" s="1"/>
      <c r="C2115" s="1"/>
      <c r="D2115" s="1"/>
    </row>
    <row r="2116" spans="1:4" ht="12.5">
      <c r="A2116" s="1"/>
      <c r="B2116" s="1"/>
      <c r="C2116" s="1"/>
      <c r="D2116" s="1"/>
    </row>
    <row r="2117" spans="1:4" ht="12.5">
      <c r="A2117" s="1"/>
      <c r="B2117" s="1"/>
      <c r="C2117" s="1"/>
      <c r="D2117" s="1"/>
    </row>
    <row r="2118" spans="1:4" ht="12.5">
      <c r="A2118" s="1"/>
      <c r="B2118" s="1"/>
      <c r="C2118" s="1"/>
      <c r="D2118" s="1"/>
    </row>
    <row r="2119" spans="1:4" ht="12.5">
      <c r="A2119" s="1"/>
      <c r="B2119" s="1"/>
      <c r="C2119" s="1"/>
      <c r="D2119" s="1"/>
    </row>
    <row r="2120" spans="1:4" ht="12.5">
      <c r="A2120" s="1"/>
      <c r="B2120" s="1"/>
      <c r="C2120" s="1"/>
      <c r="D2120" s="1"/>
    </row>
    <row r="2121" spans="1:4" ht="12.5">
      <c r="A2121" s="1"/>
      <c r="B2121" s="1"/>
      <c r="C2121" s="1"/>
      <c r="D2121" s="1"/>
    </row>
    <row r="2122" spans="1:4" ht="12.5">
      <c r="A2122" s="1"/>
      <c r="B2122" s="1"/>
      <c r="C2122" s="1"/>
      <c r="D2122" s="1"/>
    </row>
    <row r="2123" spans="1:4" ht="12.5">
      <c r="A2123" s="1"/>
      <c r="B2123" s="1"/>
      <c r="C2123" s="1"/>
      <c r="D2123" s="1"/>
    </row>
    <row r="2124" spans="1:4" ht="12.5">
      <c r="A2124" s="1"/>
      <c r="B2124" s="1"/>
      <c r="C2124" s="1"/>
      <c r="D2124" s="1"/>
    </row>
    <row r="2125" spans="1:4" ht="12.5">
      <c r="A2125" s="1"/>
      <c r="B2125" s="1"/>
      <c r="C2125" s="1"/>
      <c r="D2125" s="1"/>
    </row>
    <row r="2126" spans="1:4" ht="12.5">
      <c r="A2126" s="1"/>
      <c r="B2126" s="1"/>
      <c r="C2126" s="1"/>
      <c r="D2126" s="1"/>
    </row>
    <row r="2127" spans="1:4" ht="12.5">
      <c r="A2127" s="1"/>
      <c r="B2127" s="1"/>
      <c r="C2127" s="1"/>
      <c r="D2127" s="1"/>
    </row>
    <row r="2128" spans="1:4" ht="12.5">
      <c r="A2128" s="1"/>
      <c r="B2128" s="1"/>
      <c r="C2128" s="1"/>
      <c r="D2128" s="1"/>
    </row>
    <row r="2129" spans="1:4" ht="12.5">
      <c r="A2129" s="1"/>
      <c r="B2129" s="1"/>
      <c r="C2129" s="1"/>
      <c r="D2129" s="1"/>
    </row>
    <row r="2130" spans="1:4" ht="12.5">
      <c r="A2130" s="1"/>
      <c r="B2130" s="1"/>
      <c r="C2130" s="1"/>
      <c r="D2130" s="1"/>
    </row>
    <row r="2131" spans="1:4" ht="12.5">
      <c r="A2131" s="1"/>
      <c r="B2131" s="1"/>
      <c r="C2131" s="1"/>
      <c r="D2131" s="1"/>
    </row>
    <row r="2132" spans="1:4" ht="12.5">
      <c r="A2132" s="1"/>
      <c r="B2132" s="1"/>
      <c r="C2132" s="1"/>
      <c r="D2132" s="1"/>
    </row>
    <row r="2133" spans="1:4" ht="12.5">
      <c r="A2133" s="1"/>
      <c r="B2133" s="1"/>
      <c r="C2133" s="1"/>
      <c r="D2133" s="1"/>
    </row>
    <row r="2134" spans="1:4" ht="12.5">
      <c r="A2134" s="1"/>
      <c r="B2134" s="1"/>
      <c r="C2134" s="1"/>
      <c r="D2134" s="1"/>
    </row>
    <row r="2135" spans="1:4" ht="12.5">
      <c r="A2135" s="1"/>
      <c r="B2135" s="1"/>
      <c r="C2135" s="1"/>
      <c r="D2135" s="1"/>
    </row>
    <row r="2136" spans="1:4" ht="12.5">
      <c r="A2136" s="1"/>
      <c r="B2136" s="1"/>
      <c r="C2136" s="1"/>
      <c r="D2136" s="1"/>
    </row>
    <row r="2137" spans="1:4" ht="12.5">
      <c r="A2137" s="1"/>
      <c r="B2137" s="1"/>
      <c r="C2137" s="1"/>
      <c r="D2137" s="1"/>
    </row>
    <row r="2138" spans="1:4" ht="12.5">
      <c r="A2138" s="1"/>
      <c r="B2138" s="1"/>
      <c r="C2138" s="1"/>
      <c r="D2138" s="1"/>
    </row>
    <row r="2139" spans="1:4" ht="12.5">
      <c r="A2139" s="1"/>
      <c r="B2139" s="1"/>
      <c r="C2139" s="1"/>
      <c r="D2139" s="1"/>
    </row>
    <row r="2140" spans="1:4" ht="12.5">
      <c r="A2140" s="1"/>
      <c r="B2140" s="1"/>
      <c r="C2140" s="1"/>
      <c r="D2140" s="1"/>
    </row>
    <row r="2141" spans="1:4" ht="12.5">
      <c r="A2141" s="1"/>
      <c r="B2141" s="1"/>
      <c r="C2141" s="1"/>
      <c r="D2141" s="1"/>
    </row>
    <row r="2142" spans="1:4" ht="12.5">
      <c r="A2142" s="1"/>
      <c r="B2142" s="1"/>
      <c r="C2142" s="1"/>
      <c r="D2142" s="1"/>
    </row>
    <row r="2143" spans="1:4" ht="12.5">
      <c r="A2143" s="1"/>
      <c r="B2143" s="1"/>
      <c r="C2143" s="1"/>
      <c r="D2143" s="1"/>
    </row>
    <row r="2144" spans="1:4" ht="12.5">
      <c r="A2144" s="1"/>
      <c r="B2144" s="1"/>
      <c r="C2144" s="1"/>
      <c r="D2144" s="1"/>
    </row>
    <row r="2145" spans="1:4" ht="12.5">
      <c r="A2145" s="1"/>
      <c r="B2145" s="1"/>
      <c r="C2145" s="1"/>
      <c r="D2145" s="1"/>
    </row>
    <row r="2146" spans="1:4" ht="12.5">
      <c r="A2146" s="1"/>
      <c r="B2146" s="1"/>
      <c r="C2146" s="1"/>
      <c r="D2146" s="1"/>
    </row>
    <row r="2147" spans="1:4" ht="12.5">
      <c r="A2147" s="1"/>
      <c r="B2147" s="1"/>
      <c r="C2147" s="1"/>
      <c r="D2147" s="1"/>
    </row>
    <row r="2148" spans="1:4" ht="12.5">
      <c r="A2148" s="1"/>
      <c r="B2148" s="1"/>
      <c r="C2148" s="1"/>
      <c r="D2148" s="1"/>
    </row>
    <row r="2149" spans="1:4" ht="12.5">
      <c r="A2149" s="1"/>
      <c r="B2149" s="1"/>
      <c r="C2149" s="1"/>
      <c r="D2149" s="1"/>
    </row>
    <row r="2150" spans="1:4" ht="12.5">
      <c r="A2150" s="1"/>
      <c r="B2150" s="1"/>
      <c r="C2150" s="1"/>
      <c r="D2150" s="1"/>
    </row>
    <row r="2151" spans="1:4" ht="12.5">
      <c r="A2151" s="1"/>
      <c r="B2151" s="1"/>
      <c r="C2151" s="1"/>
      <c r="D2151" s="1"/>
    </row>
    <row r="2152" spans="1:4" ht="12.5">
      <c r="A2152" s="1"/>
      <c r="B2152" s="1"/>
      <c r="C2152" s="1"/>
      <c r="D2152" s="1"/>
    </row>
    <row r="2153" spans="1:4" ht="12.5">
      <c r="A2153" s="1"/>
      <c r="B2153" s="1"/>
      <c r="C2153" s="1"/>
      <c r="D2153" s="1"/>
    </row>
    <row r="2154" spans="1:4" ht="12.5">
      <c r="A2154" s="1"/>
      <c r="B2154" s="1"/>
      <c r="C2154" s="1"/>
      <c r="D2154" s="1"/>
    </row>
    <row r="2155" spans="1:4" ht="12.5">
      <c r="A2155" s="1"/>
      <c r="B2155" s="1"/>
      <c r="C2155" s="1"/>
      <c r="D2155" s="1"/>
    </row>
    <row r="2156" spans="1:4" ht="12.5">
      <c r="A2156" s="1"/>
      <c r="B2156" s="1"/>
      <c r="C2156" s="1"/>
      <c r="D2156" s="1"/>
    </row>
    <row r="2157" spans="1:4" ht="12.5">
      <c r="A2157" s="1"/>
      <c r="B2157" s="1"/>
      <c r="C2157" s="1"/>
      <c r="D2157" s="1"/>
    </row>
    <row r="2158" spans="1:4" ht="12.5">
      <c r="A2158" s="1"/>
      <c r="B2158" s="1"/>
      <c r="C2158" s="1"/>
      <c r="D2158" s="1"/>
    </row>
    <row r="2159" spans="1:4" ht="12.5">
      <c r="A2159" s="1"/>
      <c r="B2159" s="1"/>
      <c r="C2159" s="1"/>
      <c r="D2159" s="1"/>
    </row>
    <row r="2160" spans="1:4" ht="12.5">
      <c r="A2160" s="1"/>
      <c r="B2160" s="1"/>
      <c r="C2160" s="1"/>
      <c r="D2160" s="1"/>
    </row>
    <row r="2161" spans="1:4" ht="12.5">
      <c r="A2161" s="1"/>
      <c r="B2161" s="1"/>
      <c r="C2161" s="1"/>
      <c r="D2161" s="1"/>
    </row>
    <row r="2162" spans="1:4" ht="12.5">
      <c r="A2162" s="1"/>
      <c r="B2162" s="1"/>
      <c r="C2162" s="1"/>
      <c r="D2162" s="1"/>
    </row>
    <row r="2163" spans="1:4" ht="12.5">
      <c r="A2163" s="1"/>
      <c r="B2163" s="1"/>
      <c r="C2163" s="1"/>
      <c r="D2163" s="1"/>
    </row>
    <row r="2164" spans="1:4" ht="12.5">
      <c r="A2164" s="1"/>
      <c r="B2164" s="1"/>
      <c r="C2164" s="1"/>
      <c r="D2164" s="1"/>
    </row>
    <row r="2165" spans="1:4" ht="12.5">
      <c r="A2165" s="1"/>
      <c r="B2165" s="1"/>
      <c r="C2165" s="1"/>
      <c r="D2165" s="1"/>
    </row>
    <row r="2166" spans="1:4" ht="12.5">
      <c r="A2166" s="1"/>
      <c r="B2166" s="1"/>
      <c r="C2166" s="1"/>
      <c r="D2166" s="1"/>
    </row>
    <row r="2167" spans="1:4" ht="12.5">
      <c r="A2167" s="1"/>
      <c r="B2167" s="1"/>
      <c r="C2167" s="1"/>
      <c r="D2167" s="1"/>
    </row>
    <row r="2168" spans="1:4" ht="12.5">
      <c r="A2168" s="1"/>
      <c r="B2168" s="1"/>
      <c r="C2168" s="1"/>
      <c r="D2168" s="1"/>
    </row>
    <row r="2169" spans="1:4" ht="12.5">
      <c r="A2169" s="1"/>
      <c r="B2169" s="1"/>
      <c r="C2169" s="1"/>
      <c r="D2169" s="1"/>
    </row>
    <row r="2170" spans="1:4" ht="12.5">
      <c r="A2170" s="1"/>
      <c r="B2170" s="1"/>
      <c r="C2170" s="1"/>
      <c r="D2170" s="1"/>
    </row>
    <row r="2171" spans="1:4" ht="12.5">
      <c r="A2171" s="1"/>
      <c r="B2171" s="1"/>
      <c r="C2171" s="1"/>
      <c r="D2171" s="1"/>
    </row>
    <row r="2172" spans="1:4" ht="12.5">
      <c r="A2172" s="1"/>
      <c r="B2172" s="1"/>
      <c r="C2172" s="1"/>
      <c r="D2172" s="1"/>
    </row>
    <row r="2173" spans="1:4" ht="12.5">
      <c r="A2173" s="1"/>
      <c r="B2173" s="1"/>
      <c r="C2173" s="1"/>
      <c r="D2173" s="1"/>
    </row>
    <row r="2174" spans="1:4" ht="12.5">
      <c r="A2174" s="1"/>
      <c r="B2174" s="1"/>
      <c r="C2174" s="1"/>
      <c r="D2174" s="1"/>
    </row>
    <row r="2175" spans="1:4" ht="12.5">
      <c r="A2175" s="1"/>
      <c r="B2175" s="1"/>
      <c r="C2175" s="1"/>
      <c r="D2175" s="1"/>
    </row>
    <row r="2176" spans="1:4" ht="12.5">
      <c r="A2176" s="1"/>
      <c r="B2176" s="1"/>
      <c r="C2176" s="1"/>
      <c r="D2176" s="1"/>
    </row>
    <row r="2177" spans="1:4" ht="12.5">
      <c r="A2177" s="1"/>
      <c r="B2177" s="1"/>
      <c r="C2177" s="1"/>
      <c r="D2177" s="1"/>
    </row>
    <row r="2178" spans="1:4" ht="12.5">
      <c r="A2178" s="1"/>
      <c r="B2178" s="1"/>
      <c r="C2178" s="1"/>
      <c r="D2178" s="1"/>
    </row>
    <row r="2179" spans="1:4" ht="12.5">
      <c r="A2179" s="1"/>
      <c r="B2179" s="1"/>
      <c r="C2179" s="1"/>
      <c r="D2179" s="1"/>
    </row>
    <row r="2180" spans="1:4" ht="12.5">
      <c r="A2180" s="1"/>
      <c r="B2180" s="1"/>
      <c r="C2180" s="1"/>
      <c r="D2180" s="1"/>
    </row>
    <row r="2181" spans="1:4" ht="12.5">
      <c r="A2181" s="1"/>
      <c r="B2181" s="1"/>
      <c r="C2181" s="1"/>
      <c r="D2181" s="1"/>
    </row>
    <row r="2182" spans="1:4" ht="12.5">
      <c r="A2182" s="1"/>
      <c r="B2182" s="1"/>
      <c r="C2182" s="1"/>
      <c r="D2182" s="1"/>
    </row>
    <row r="2183" spans="1:4" ht="12.5">
      <c r="A2183" s="1"/>
      <c r="B2183" s="1"/>
      <c r="C2183" s="1"/>
      <c r="D2183" s="1"/>
    </row>
    <row r="2184" spans="1:4" ht="12.5">
      <c r="A2184" s="1"/>
      <c r="B2184" s="1"/>
      <c r="C2184" s="1"/>
      <c r="D2184" s="1"/>
    </row>
    <row r="2185" spans="1:4" ht="12.5">
      <c r="A2185" s="1"/>
      <c r="B2185" s="1"/>
      <c r="C2185" s="1"/>
      <c r="D2185" s="1"/>
    </row>
    <row r="2186" spans="1:4" ht="12.5">
      <c r="A2186" s="1"/>
      <c r="B2186" s="1"/>
      <c r="C2186" s="1"/>
      <c r="D2186" s="1"/>
    </row>
    <row r="2187" spans="1:4" ht="12.5">
      <c r="A2187" s="1"/>
      <c r="B2187" s="1"/>
      <c r="C2187" s="1"/>
      <c r="D2187" s="1"/>
    </row>
    <row r="2188" spans="1:4" ht="12.5">
      <c r="A2188" s="1"/>
      <c r="B2188" s="1"/>
      <c r="C2188" s="1"/>
      <c r="D2188" s="1"/>
    </row>
    <row r="2189" spans="1:4" ht="12.5">
      <c r="A2189" s="1"/>
      <c r="B2189" s="1"/>
      <c r="C2189" s="1"/>
      <c r="D2189" s="1"/>
    </row>
    <row r="2190" spans="1:4" ht="12.5">
      <c r="A2190" s="1"/>
      <c r="B2190" s="1"/>
      <c r="C2190" s="1"/>
      <c r="D2190" s="1"/>
    </row>
    <row r="2191" spans="1:4" ht="12.5">
      <c r="A2191" s="1"/>
      <c r="B2191" s="1"/>
      <c r="C2191" s="1"/>
      <c r="D2191" s="1"/>
    </row>
    <row r="2192" spans="1:4" ht="12.5">
      <c r="A2192" s="1"/>
      <c r="B2192" s="1"/>
      <c r="C2192" s="1"/>
      <c r="D2192" s="1"/>
    </row>
    <row r="2193" spans="1:4" ht="12.5">
      <c r="A2193" s="1"/>
      <c r="B2193" s="1"/>
      <c r="C2193" s="1"/>
      <c r="D2193" s="1"/>
    </row>
    <row r="2194" spans="1:4" ht="12.5">
      <c r="A2194" s="1"/>
      <c r="B2194" s="1"/>
      <c r="C2194" s="1"/>
      <c r="D2194" s="1"/>
    </row>
    <row r="2195" spans="1:4" ht="12.5">
      <c r="A2195" s="1"/>
      <c r="B2195" s="1"/>
      <c r="C2195" s="1"/>
      <c r="D2195" s="1"/>
    </row>
    <row r="2196" spans="1:4" ht="12.5">
      <c r="A2196" s="1"/>
      <c r="B2196" s="1"/>
      <c r="C2196" s="1"/>
      <c r="D2196" s="1"/>
    </row>
    <row r="2197" spans="1:4" ht="12.5">
      <c r="A2197" s="1"/>
      <c r="B2197" s="1"/>
      <c r="C2197" s="1"/>
      <c r="D2197" s="1"/>
    </row>
    <row r="2198" spans="1:4" ht="12.5">
      <c r="A2198" s="1"/>
      <c r="B2198" s="1"/>
      <c r="C2198" s="1"/>
      <c r="D2198" s="1"/>
    </row>
    <row r="2199" spans="1:4" ht="12.5">
      <c r="A2199" s="1"/>
      <c r="B2199" s="1"/>
      <c r="C2199" s="1"/>
      <c r="D2199" s="1"/>
    </row>
    <row r="2200" spans="1:4" ht="12.5">
      <c r="A2200" s="1"/>
      <c r="B2200" s="1"/>
      <c r="C2200" s="1"/>
      <c r="D2200" s="1"/>
    </row>
    <row r="2201" spans="1:4" ht="12.5">
      <c r="A2201" s="1"/>
      <c r="B2201" s="1"/>
      <c r="C2201" s="1"/>
      <c r="D2201" s="1"/>
    </row>
    <row r="2202" spans="1:4" ht="12.5">
      <c r="A2202" s="1"/>
      <c r="B2202" s="1"/>
      <c r="C2202" s="1"/>
      <c r="D2202" s="1"/>
    </row>
    <row r="2203" spans="1:4" ht="12.5">
      <c r="A2203" s="1"/>
      <c r="B2203" s="1"/>
      <c r="C2203" s="1"/>
      <c r="D2203" s="1"/>
    </row>
    <row r="2204" spans="1:4" ht="12.5">
      <c r="A2204" s="1"/>
      <c r="B2204" s="1"/>
      <c r="C2204" s="1"/>
      <c r="D2204" s="1"/>
    </row>
    <row r="2205" spans="1:4" ht="12.5">
      <c r="A2205" s="1"/>
      <c r="B2205" s="1"/>
      <c r="C2205" s="1"/>
      <c r="D2205" s="1"/>
    </row>
    <row r="2206" spans="1:4" ht="12.5">
      <c r="A2206" s="1"/>
      <c r="B2206" s="1"/>
      <c r="C2206" s="1"/>
      <c r="D2206" s="1"/>
    </row>
    <row r="2207" spans="1:4" ht="12.5">
      <c r="A2207" s="1"/>
      <c r="B2207" s="1"/>
      <c r="C2207" s="1"/>
      <c r="D2207" s="1"/>
    </row>
    <row r="2208" spans="1:4" ht="12.5">
      <c r="A2208" s="1"/>
      <c r="B2208" s="1"/>
      <c r="C2208" s="1"/>
      <c r="D2208" s="1"/>
    </row>
    <row r="2209" spans="1:4" ht="12.5">
      <c r="A2209" s="1"/>
      <c r="B2209" s="1"/>
      <c r="C2209" s="1"/>
      <c r="D2209" s="1"/>
    </row>
    <row r="2210" spans="1:4" ht="12.5">
      <c r="A2210" s="1"/>
      <c r="B2210" s="1"/>
      <c r="C2210" s="1"/>
      <c r="D2210" s="1"/>
    </row>
    <row r="2211" spans="1:4" ht="12.5">
      <c r="A2211" s="1"/>
      <c r="B2211" s="1"/>
      <c r="C2211" s="1"/>
      <c r="D2211" s="1"/>
    </row>
    <row r="2212" spans="1:4" ht="12.5">
      <c r="A2212" s="1"/>
      <c r="B2212" s="1"/>
      <c r="C2212" s="1"/>
      <c r="D2212" s="1"/>
    </row>
    <row r="2213" spans="1:4" ht="12.5">
      <c r="A2213" s="1"/>
      <c r="B2213" s="1"/>
      <c r="C2213" s="1"/>
      <c r="D2213" s="1"/>
    </row>
    <row r="2214" spans="1:4" ht="12.5">
      <c r="A2214" s="1"/>
      <c r="B2214" s="1"/>
      <c r="C2214" s="1"/>
      <c r="D2214" s="1"/>
    </row>
    <row r="2215" spans="1:4" ht="12.5">
      <c r="A2215" s="1"/>
      <c r="B2215" s="1"/>
      <c r="C2215" s="1"/>
      <c r="D2215" s="1"/>
    </row>
    <row r="2216" spans="1:4" ht="12.5">
      <c r="A2216" s="1"/>
      <c r="B2216" s="1"/>
      <c r="C2216" s="1"/>
      <c r="D2216" s="1"/>
    </row>
    <row r="2217" spans="1:4" ht="12.5">
      <c r="A2217" s="1"/>
      <c r="B2217" s="1"/>
      <c r="C2217" s="1"/>
      <c r="D2217" s="1"/>
    </row>
    <row r="2218" spans="1:4" ht="12.5">
      <c r="A2218" s="1"/>
      <c r="B2218" s="1"/>
      <c r="C2218" s="1"/>
      <c r="D2218" s="1"/>
    </row>
    <row r="2219" spans="1:4" ht="12.5">
      <c r="A2219" s="1"/>
      <c r="B2219" s="1"/>
      <c r="C2219" s="1"/>
      <c r="D2219" s="1"/>
    </row>
    <row r="2220" spans="1:4" ht="12.5">
      <c r="A2220" s="1"/>
      <c r="B2220" s="1"/>
      <c r="C2220" s="1"/>
      <c r="D2220" s="1"/>
    </row>
    <row r="2221" spans="1:4" ht="12.5">
      <c r="A2221" s="1"/>
      <c r="B2221" s="1"/>
      <c r="C2221" s="1"/>
      <c r="D2221" s="1"/>
    </row>
    <row r="2222" spans="1:4" ht="12.5">
      <c r="A2222" s="1"/>
      <c r="B2222" s="1"/>
      <c r="C2222" s="1"/>
      <c r="D2222" s="1"/>
    </row>
    <row r="2223" spans="1:4" ht="12.5">
      <c r="A2223" s="1"/>
      <c r="B2223" s="1"/>
      <c r="C2223" s="1"/>
      <c r="D2223" s="1"/>
    </row>
    <row r="2224" spans="1:4" ht="12.5">
      <c r="A2224" s="1"/>
      <c r="B2224" s="1"/>
      <c r="C2224" s="1"/>
      <c r="D2224" s="1"/>
    </row>
    <row r="2225" spans="1:4" ht="12.5">
      <c r="A2225" s="1"/>
      <c r="B2225" s="1"/>
      <c r="C2225" s="1"/>
      <c r="D2225" s="1"/>
    </row>
    <row r="2226" spans="1:4" ht="12.5">
      <c r="A2226" s="1"/>
      <c r="B2226" s="1"/>
      <c r="C2226" s="1"/>
      <c r="D2226" s="1"/>
    </row>
    <row r="2227" spans="1:4" ht="12.5">
      <c r="A2227" s="1"/>
      <c r="B2227" s="1"/>
      <c r="C2227" s="1"/>
      <c r="D2227" s="1"/>
    </row>
    <row r="2228" spans="1:4" ht="12.5">
      <c r="A2228" s="1"/>
      <c r="B2228" s="1"/>
      <c r="C2228" s="1"/>
      <c r="D2228" s="1"/>
    </row>
    <row r="2229" spans="1:4" ht="12.5">
      <c r="A2229" s="1"/>
      <c r="B2229" s="1"/>
      <c r="C2229" s="1"/>
      <c r="D2229" s="1"/>
    </row>
    <row r="2230" spans="1:4" ht="12.5">
      <c r="A2230" s="1"/>
      <c r="B2230" s="1"/>
      <c r="C2230" s="1"/>
      <c r="D2230" s="1"/>
    </row>
    <row r="2231" spans="1:4" ht="12.5">
      <c r="A2231" s="1"/>
      <c r="B2231" s="1"/>
      <c r="C2231" s="1"/>
      <c r="D2231" s="1"/>
    </row>
    <row r="2232" spans="1:4" ht="12.5">
      <c r="A2232" s="1"/>
      <c r="B2232" s="1"/>
      <c r="C2232" s="1"/>
      <c r="D2232" s="1"/>
    </row>
    <row r="2233" spans="1:4" ht="12.5">
      <c r="A2233" s="1"/>
      <c r="B2233" s="1"/>
      <c r="C2233" s="1"/>
      <c r="D2233" s="1"/>
    </row>
    <row r="2234" spans="1:4" ht="12.5">
      <c r="A2234" s="1"/>
      <c r="B2234" s="1"/>
      <c r="C2234" s="1"/>
      <c r="D2234" s="1"/>
    </row>
    <row r="2235" spans="1:4" ht="12.5">
      <c r="A2235" s="1"/>
      <c r="B2235" s="1"/>
      <c r="C2235" s="1"/>
      <c r="D2235" s="1"/>
    </row>
    <row r="2236" spans="1:4" ht="12.5">
      <c r="A2236" s="1"/>
      <c r="B2236" s="1"/>
      <c r="C2236" s="1"/>
      <c r="D2236" s="1"/>
    </row>
    <row r="2237" spans="1:4" ht="12.5">
      <c r="A2237" s="1"/>
      <c r="B2237" s="1"/>
      <c r="C2237" s="1"/>
      <c r="D2237" s="1"/>
    </row>
    <row r="2238" spans="1:4" ht="12.5">
      <c r="A2238" s="1"/>
      <c r="B2238" s="1"/>
      <c r="C2238" s="1"/>
      <c r="D2238" s="1"/>
    </row>
    <row r="2239" spans="1:4" ht="12.5">
      <c r="A2239" s="1"/>
      <c r="B2239" s="1"/>
      <c r="C2239" s="1"/>
      <c r="D2239" s="1"/>
    </row>
    <row r="2240" spans="1:4" ht="12.5">
      <c r="A2240" s="1"/>
      <c r="B2240" s="1"/>
      <c r="C2240" s="1"/>
      <c r="D2240" s="1"/>
    </row>
    <row r="2241" spans="1:4" ht="12.5">
      <c r="A2241" s="1"/>
      <c r="B2241" s="1"/>
      <c r="C2241" s="1"/>
      <c r="D2241" s="1"/>
    </row>
    <row r="2242" spans="1:4" ht="12.5">
      <c r="A2242" s="1"/>
      <c r="B2242" s="1"/>
      <c r="C2242" s="1"/>
      <c r="D2242" s="1"/>
    </row>
    <row r="2243" spans="1:4" ht="12.5">
      <c r="A2243" s="1"/>
      <c r="B2243" s="1"/>
      <c r="C2243" s="1"/>
      <c r="D2243" s="1"/>
    </row>
    <row r="2244" spans="1:4" ht="12.5">
      <c r="A2244" s="1"/>
      <c r="B2244" s="1"/>
      <c r="C2244" s="1"/>
      <c r="D2244" s="1"/>
    </row>
    <row r="2245" spans="1:4" ht="12.5">
      <c r="A2245" s="1"/>
      <c r="B2245" s="1"/>
      <c r="C2245" s="1"/>
      <c r="D2245" s="1"/>
    </row>
    <row r="2246" spans="1:4" ht="12.5">
      <c r="A2246" s="1"/>
      <c r="B2246" s="1"/>
      <c r="C2246" s="1"/>
      <c r="D2246" s="1"/>
    </row>
    <row r="2247" spans="1:4" ht="12.5">
      <c r="A2247" s="1"/>
      <c r="B2247" s="1"/>
      <c r="C2247" s="1"/>
      <c r="D2247" s="1"/>
    </row>
    <row r="2248" spans="1:4" ht="12.5">
      <c r="A2248" s="1"/>
      <c r="B2248" s="1"/>
      <c r="C2248" s="1"/>
      <c r="D2248" s="1"/>
    </row>
    <row r="2249" spans="1:4" ht="12.5">
      <c r="A2249" s="1"/>
      <c r="B2249" s="1"/>
      <c r="C2249" s="1"/>
      <c r="D2249" s="1"/>
    </row>
    <row r="2250" spans="1:4" ht="12.5">
      <c r="A2250" s="1"/>
      <c r="B2250" s="1"/>
      <c r="C2250" s="1"/>
      <c r="D2250" s="1"/>
    </row>
    <row r="2251" spans="1:4" ht="12.5">
      <c r="A2251" s="1"/>
      <c r="B2251" s="1"/>
      <c r="C2251" s="1"/>
      <c r="D2251" s="1"/>
    </row>
    <row r="2252" spans="1:4" ht="12.5">
      <c r="A2252" s="1"/>
      <c r="B2252" s="1"/>
      <c r="C2252" s="1"/>
      <c r="D2252" s="1"/>
    </row>
    <row r="2253" spans="1:4" ht="12.5">
      <c r="A2253" s="1"/>
      <c r="B2253" s="1"/>
      <c r="C2253" s="1"/>
      <c r="D2253" s="1"/>
    </row>
    <row r="2254" spans="1:4" ht="12.5">
      <c r="A2254" s="1"/>
      <c r="B2254" s="1"/>
      <c r="C2254" s="1"/>
      <c r="D2254" s="1"/>
    </row>
    <row r="2255" spans="1:4" ht="12.5">
      <c r="A2255" s="1"/>
      <c r="B2255" s="1"/>
      <c r="C2255" s="1"/>
      <c r="D2255" s="1"/>
    </row>
    <row r="2256" spans="1:4" ht="12.5">
      <c r="A2256" s="1"/>
      <c r="B2256" s="1"/>
      <c r="C2256" s="1"/>
      <c r="D2256" s="1"/>
    </row>
    <row r="2257" spans="1:4" ht="12.5">
      <c r="A2257" s="1"/>
      <c r="B2257" s="1"/>
      <c r="C2257" s="1"/>
      <c r="D2257" s="1"/>
    </row>
    <row r="2258" spans="1:4" ht="12.5">
      <c r="A2258" s="1"/>
      <c r="B2258" s="1"/>
      <c r="C2258" s="1"/>
      <c r="D2258" s="1"/>
    </row>
    <row r="2259" spans="1:4" ht="12.5">
      <c r="A2259" s="1"/>
      <c r="B2259" s="1"/>
      <c r="C2259" s="1"/>
      <c r="D2259" s="1"/>
    </row>
    <row r="2260" spans="1:4" ht="12.5">
      <c r="A2260" s="1"/>
      <c r="B2260" s="1"/>
      <c r="C2260" s="1"/>
      <c r="D2260" s="1"/>
    </row>
    <row r="2261" spans="1:4" ht="12.5">
      <c r="A2261" s="1"/>
      <c r="B2261" s="1"/>
      <c r="C2261" s="1"/>
      <c r="D2261" s="1"/>
    </row>
    <row r="2262" spans="1:4" ht="12.5">
      <c r="A2262" s="1"/>
      <c r="B2262" s="1"/>
      <c r="C2262" s="1"/>
      <c r="D2262" s="1"/>
    </row>
    <row r="2263" spans="1:4" ht="12.5">
      <c r="A2263" s="1"/>
      <c r="B2263" s="1"/>
      <c r="C2263" s="1"/>
      <c r="D2263" s="1"/>
    </row>
    <row r="2264" spans="1:4" ht="12.5">
      <c r="A2264" s="1"/>
      <c r="B2264" s="1"/>
      <c r="C2264" s="1"/>
      <c r="D2264" s="1"/>
    </row>
    <row r="2265" spans="1:4" ht="12.5">
      <c r="A2265" s="1"/>
      <c r="B2265" s="1"/>
      <c r="C2265" s="1"/>
      <c r="D2265" s="1"/>
    </row>
    <row r="2266" spans="1:4" ht="12.5">
      <c r="A2266" s="1"/>
      <c r="B2266" s="1"/>
      <c r="C2266" s="1"/>
      <c r="D2266" s="1"/>
    </row>
    <row r="2267" spans="1:4" ht="12.5">
      <c r="A2267" s="1"/>
      <c r="B2267" s="1"/>
      <c r="C2267" s="1"/>
      <c r="D2267" s="1"/>
    </row>
    <row r="2268" spans="1:4" ht="12.5">
      <c r="A2268" s="1"/>
      <c r="B2268" s="1"/>
      <c r="C2268" s="1"/>
      <c r="D2268" s="1"/>
    </row>
    <row r="2269" spans="1:4" ht="12.5">
      <c r="A2269" s="1"/>
      <c r="B2269" s="1"/>
      <c r="C2269" s="1"/>
      <c r="D2269" s="1"/>
    </row>
    <row r="2270" spans="1:4" ht="12.5">
      <c r="A2270" s="1"/>
      <c r="B2270" s="1"/>
      <c r="C2270" s="1"/>
      <c r="D2270" s="1"/>
    </row>
    <row r="2271" spans="1:4" ht="12.5">
      <c r="A2271" s="1"/>
      <c r="B2271" s="1"/>
      <c r="C2271" s="1"/>
      <c r="D2271" s="1"/>
    </row>
    <row r="2272" spans="1:4" ht="12.5">
      <c r="A2272" s="1"/>
      <c r="B2272" s="1"/>
      <c r="C2272" s="1"/>
      <c r="D2272" s="1"/>
    </row>
    <row r="2273" spans="1:4" ht="12.5">
      <c r="A2273" s="1"/>
      <c r="B2273" s="1"/>
      <c r="C2273" s="1"/>
      <c r="D2273" s="1"/>
    </row>
    <row r="2274" spans="1:4" ht="12.5">
      <c r="A2274" s="1"/>
      <c r="B2274" s="1"/>
      <c r="C2274" s="1"/>
      <c r="D2274" s="1"/>
    </row>
    <row r="2275" spans="1:4" ht="12.5">
      <c r="A2275" s="1"/>
      <c r="B2275" s="1"/>
      <c r="C2275" s="1"/>
      <c r="D2275" s="1"/>
    </row>
    <row r="2276" spans="1:4" ht="12.5">
      <c r="A2276" s="1"/>
      <c r="B2276" s="1"/>
      <c r="C2276" s="1"/>
      <c r="D2276" s="1"/>
    </row>
    <row r="2277" spans="1:4" ht="12.5">
      <c r="A2277" s="1"/>
      <c r="B2277" s="1"/>
      <c r="C2277" s="1"/>
      <c r="D2277" s="1"/>
    </row>
    <row r="2278" spans="1:4" ht="12.5">
      <c r="A2278" s="1"/>
      <c r="B2278" s="1"/>
      <c r="C2278" s="1"/>
      <c r="D2278" s="1"/>
    </row>
    <row r="2279" spans="1:4" ht="12.5">
      <c r="A2279" s="1"/>
      <c r="B2279" s="1"/>
      <c r="C2279" s="1"/>
      <c r="D2279" s="1"/>
    </row>
    <row r="2280" spans="1:4" ht="12.5">
      <c r="A2280" s="1"/>
      <c r="B2280" s="1"/>
      <c r="C2280" s="1"/>
      <c r="D2280" s="1"/>
    </row>
    <row r="2281" spans="1:4" ht="12.5">
      <c r="A2281" s="1"/>
      <c r="B2281" s="1"/>
      <c r="C2281" s="1"/>
      <c r="D2281" s="1"/>
    </row>
    <row r="2282" spans="1:4" ht="12.5">
      <c r="A2282" s="1"/>
      <c r="B2282" s="1"/>
      <c r="C2282" s="1"/>
      <c r="D2282" s="1"/>
    </row>
    <row r="2283" spans="1:4" ht="12.5">
      <c r="A2283" s="1"/>
      <c r="B2283" s="1"/>
      <c r="C2283" s="1"/>
      <c r="D2283" s="1"/>
    </row>
    <row r="2284" spans="1:4" ht="12.5">
      <c r="A2284" s="1"/>
      <c r="B2284" s="1"/>
      <c r="C2284" s="1"/>
      <c r="D2284" s="1"/>
    </row>
    <row r="2285" spans="1:4" ht="12.5">
      <c r="A2285" s="1"/>
      <c r="B2285" s="1"/>
      <c r="C2285" s="1"/>
      <c r="D2285" s="1"/>
    </row>
    <row r="2286" spans="1:4" ht="12.5">
      <c r="A2286" s="1"/>
      <c r="B2286" s="1"/>
      <c r="C2286" s="1"/>
      <c r="D2286" s="1"/>
    </row>
    <row r="2287" spans="1:4" ht="12.5">
      <c r="A2287" s="1"/>
      <c r="B2287" s="1"/>
      <c r="C2287" s="1"/>
      <c r="D2287" s="1"/>
    </row>
    <row r="2288" spans="1:4" ht="12.5">
      <c r="A2288" s="1"/>
      <c r="B2288" s="1"/>
      <c r="C2288" s="1"/>
      <c r="D2288" s="1"/>
    </row>
    <row r="2289" spans="1:4" ht="12.5">
      <c r="A2289" s="1"/>
      <c r="B2289" s="1"/>
      <c r="C2289" s="1"/>
      <c r="D2289" s="1"/>
    </row>
    <row r="2290" spans="1:4" ht="12.5">
      <c r="A2290" s="1"/>
      <c r="B2290" s="1"/>
      <c r="C2290" s="1"/>
      <c r="D2290" s="1"/>
    </row>
    <row r="2291" spans="1:4" ht="12.5">
      <c r="A2291" s="1"/>
      <c r="B2291" s="1"/>
      <c r="C2291" s="1"/>
      <c r="D2291" s="1"/>
    </row>
    <row r="2292" spans="1:4" ht="12.5">
      <c r="A2292" s="1"/>
      <c r="B2292" s="1"/>
      <c r="C2292" s="1"/>
      <c r="D2292" s="1"/>
    </row>
    <row r="2293" spans="1:4" ht="12.5">
      <c r="A2293" s="1"/>
      <c r="B2293" s="1"/>
      <c r="C2293" s="1"/>
      <c r="D2293" s="1"/>
    </row>
    <row r="2294" spans="1:4" ht="12.5">
      <c r="A2294" s="1"/>
      <c r="B2294" s="1"/>
      <c r="C2294" s="1"/>
      <c r="D2294" s="1"/>
    </row>
    <row r="2295" spans="1:4" ht="12.5">
      <c r="A2295" s="1"/>
      <c r="B2295" s="1"/>
      <c r="C2295" s="1"/>
      <c r="D2295" s="1"/>
    </row>
    <row r="2296" spans="1:4" ht="12.5">
      <c r="A2296" s="1"/>
      <c r="B2296" s="1"/>
      <c r="C2296" s="1"/>
      <c r="D2296" s="1"/>
    </row>
    <row r="2297" spans="1:4" ht="12.5">
      <c r="A2297" s="1"/>
      <c r="B2297" s="1"/>
      <c r="C2297" s="1"/>
      <c r="D2297" s="1"/>
    </row>
    <row r="2298" spans="1:4" ht="12.5">
      <c r="A2298" s="1"/>
      <c r="B2298" s="1"/>
      <c r="C2298" s="1"/>
      <c r="D2298" s="1"/>
    </row>
    <row r="2299" spans="1:4" ht="12.5">
      <c r="A2299" s="1"/>
      <c r="B2299" s="1"/>
      <c r="C2299" s="1"/>
      <c r="D2299" s="1"/>
    </row>
    <row r="2300" spans="1:4" ht="12.5">
      <c r="A2300" s="1"/>
      <c r="B2300" s="1"/>
      <c r="C2300" s="1"/>
      <c r="D2300" s="1"/>
    </row>
    <row r="2301" spans="1:4" ht="12.5">
      <c r="A2301" s="1"/>
      <c r="B2301" s="1"/>
      <c r="C2301" s="1"/>
      <c r="D2301" s="1"/>
    </row>
    <row r="2302" spans="1:4" ht="12.5">
      <c r="A2302" s="1"/>
      <c r="B2302" s="1"/>
      <c r="C2302" s="1"/>
      <c r="D2302" s="1"/>
    </row>
    <row r="2303" spans="1:4" ht="12.5">
      <c r="A2303" s="1"/>
      <c r="B2303" s="1"/>
      <c r="C2303" s="1"/>
      <c r="D2303" s="1"/>
    </row>
    <row r="2304" spans="1:4" ht="12.5">
      <c r="A2304" s="1"/>
      <c r="B2304" s="1"/>
      <c r="C2304" s="1"/>
      <c r="D2304" s="1"/>
    </row>
    <row r="2305" spans="1:4" ht="12.5">
      <c r="A2305" s="1"/>
      <c r="B2305" s="1"/>
      <c r="C2305" s="1"/>
      <c r="D2305" s="1"/>
    </row>
    <row r="2306" spans="1:4" ht="12.5">
      <c r="A2306" s="1"/>
      <c r="B2306" s="1"/>
      <c r="C2306" s="1"/>
      <c r="D2306" s="1"/>
    </row>
    <row r="2307" spans="1:4" ht="12.5">
      <c r="A2307" s="1"/>
      <c r="B2307" s="1"/>
      <c r="C2307" s="1"/>
      <c r="D2307" s="1"/>
    </row>
    <row r="2308" spans="1:4" ht="12.5">
      <c r="A2308" s="1"/>
      <c r="B2308" s="1"/>
      <c r="C2308" s="1"/>
      <c r="D2308" s="1"/>
    </row>
    <row r="2309" spans="1:4" ht="12.5">
      <c r="A2309" s="1"/>
      <c r="B2309" s="1"/>
      <c r="C2309" s="1"/>
      <c r="D2309" s="1"/>
    </row>
    <row r="2310" spans="1:4" ht="12.5">
      <c r="A2310" s="1"/>
      <c r="B2310" s="1"/>
      <c r="C2310" s="1"/>
      <c r="D2310" s="1"/>
    </row>
    <row r="2311" spans="1:4" ht="12.5">
      <c r="A2311" s="1"/>
      <c r="B2311" s="1"/>
      <c r="C2311" s="1"/>
      <c r="D2311" s="1"/>
    </row>
    <row r="2312" spans="1:4" ht="12.5">
      <c r="A2312" s="1"/>
      <c r="B2312" s="1"/>
      <c r="C2312" s="1"/>
      <c r="D2312" s="1"/>
    </row>
    <row r="2313" spans="1:4" ht="12.5">
      <c r="A2313" s="1"/>
      <c r="B2313" s="1"/>
      <c r="C2313" s="1"/>
      <c r="D2313" s="1"/>
    </row>
    <row r="2314" spans="1:4" ht="12.5">
      <c r="A2314" s="1"/>
      <c r="B2314" s="1"/>
      <c r="C2314" s="1"/>
      <c r="D2314" s="1"/>
    </row>
    <row r="2315" spans="1:4" ht="12.5">
      <c r="A2315" s="1"/>
      <c r="B2315" s="1"/>
      <c r="C2315" s="1"/>
      <c r="D2315" s="1"/>
    </row>
    <row r="2316" spans="1:4" ht="12.5">
      <c r="A2316" s="1"/>
      <c r="B2316" s="1"/>
      <c r="C2316" s="1"/>
      <c r="D2316" s="1"/>
    </row>
    <row r="2317" spans="1:4" ht="12.5">
      <c r="A2317" s="1"/>
      <c r="B2317" s="1"/>
      <c r="C2317" s="1"/>
      <c r="D2317" s="1"/>
    </row>
    <row r="2318" spans="1:4" ht="12.5">
      <c r="A2318" s="1"/>
      <c r="B2318" s="1"/>
      <c r="C2318" s="1"/>
      <c r="D2318" s="1"/>
    </row>
    <row r="2319" spans="1:4" ht="12.5">
      <c r="A2319" s="1"/>
      <c r="B2319" s="1"/>
      <c r="C2319" s="1"/>
      <c r="D2319" s="1"/>
    </row>
    <row r="2320" spans="1:4" ht="12.5">
      <c r="A2320" s="1"/>
      <c r="B2320" s="1"/>
      <c r="C2320" s="1"/>
      <c r="D2320" s="1"/>
    </row>
    <row r="2321" spans="1:4" ht="12.5">
      <c r="A2321" s="1"/>
      <c r="B2321" s="1"/>
      <c r="C2321" s="1"/>
      <c r="D2321" s="1"/>
    </row>
    <row r="2322" spans="1:4" ht="12.5">
      <c r="A2322" s="1"/>
      <c r="B2322" s="1"/>
      <c r="C2322" s="1"/>
      <c r="D2322" s="1"/>
    </row>
    <row r="2323" spans="1:4" ht="12.5">
      <c r="A2323" s="1"/>
      <c r="B2323" s="1"/>
      <c r="C2323" s="1"/>
      <c r="D2323" s="1"/>
    </row>
    <row r="2324" spans="1:4" ht="12.5">
      <c r="A2324" s="1"/>
      <c r="B2324" s="1"/>
      <c r="C2324" s="1"/>
      <c r="D2324" s="1"/>
    </row>
    <row r="2325" spans="1:4" ht="12.5">
      <c r="A2325" s="1"/>
      <c r="B2325" s="1"/>
      <c r="C2325" s="1"/>
      <c r="D2325" s="1"/>
    </row>
    <row r="2326" spans="1:4" ht="12.5">
      <c r="A2326" s="1"/>
      <c r="B2326" s="1"/>
      <c r="C2326" s="1"/>
      <c r="D2326" s="1"/>
    </row>
    <row r="2327" spans="1:4" ht="12.5">
      <c r="A2327" s="1"/>
      <c r="B2327" s="1"/>
      <c r="C2327" s="1"/>
      <c r="D2327" s="1"/>
    </row>
    <row r="2328" spans="1:4" ht="12.5">
      <c r="A2328" s="1"/>
      <c r="B2328" s="1"/>
      <c r="C2328" s="1"/>
      <c r="D2328" s="1"/>
    </row>
    <row r="2329" spans="1:4" ht="12.5">
      <c r="A2329" s="1"/>
      <c r="B2329" s="1"/>
      <c r="C2329" s="1"/>
      <c r="D2329" s="1"/>
    </row>
    <row r="2330" spans="1:4" ht="12.5">
      <c r="A2330" s="1"/>
      <c r="B2330" s="1"/>
      <c r="C2330" s="1"/>
      <c r="D2330" s="1"/>
    </row>
    <row r="2331" spans="1:4" ht="12.5">
      <c r="A2331" s="1"/>
      <c r="B2331" s="1"/>
      <c r="C2331" s="1"/>
      <c r="D2331" s="1"/>
    </row>
    <row r="2332" spans="1:4" ht="12.5">
      <c r="A2332" s="1"/>
      <c r="B2332" s="1"/>
      <c r="C2332" s="1"/>
      <c r="D2332" s="1"/>
    </row>
    <row r="2333" spans="1:4" ht="12.5">
      <c r="A2333" s="1"/>
      <c r="B2333" s="1"/>
      <c r="C2333" s="1"/>
      <c r="D2333" s="1"/>
    </row>
    <row r="2334" spans="1:4" ht="12.5">
      <c r="A2334" s="1"/>
      <c r="B2334" s="1"/>
      <c r="C2334" s="1"/>
      <c r="D2334" s="1"/>
    </row>
    <row r="2335" spans="1:4" ht="12.5">
      <c r="A2335" s="1"/>
      <c r="B2335" s="1"/>
      <c r="C2335" s="1"/>
      <c r="D2335" s="1"/>
    </row>
    <row r="2336" spans="1:4" ht="12.5">
      <c r="A2336" s="1"/>
      <c r="B2336" s="1"/>
      <c r="C2336" s="1"/>
      <c r="D2336" s="1"/>
    </row>
    <row r="2337" spans="1:4" ht="12.5">
      <c r="A2337" s="1"/>
      <c r="B2337" s="1"/>
      <c r="C2337" s="1"/>
      <c r="D2337" s="1"/>
    </row>
    <row r="2338" spans="1:4" ht="12.5">
      <c r="A2338" s="1"/>
      <c r="B2338" s="1"/>
      <c r="C2338" s="1"/>
      <c r="D2338" s="1"/>
    </row>
    <row r="2339" spans="1:4" ht="12.5">
      <c r="A2339" s="1"/>
      <c r="B2339" s="1"/>
      <c r="C2339" s="1"/>
      <c r="D2339" s="1"/>
    </row>
    <row r="2340" spans="1:4" ht="12.5">
      <c r="A2340" s="1"/>
      <c r="B2340" s="1"/>
      <c r="C2340" s="1"/>
      <c r="D2340" s="1"/>
    </row>
    <row r="2341" spans="1:4" ht="12.5">
      <c r="A2341" s="1"/>
      <c r="B2341" s="1"/>
      <c r="C2341" s="1"/>
      <c r="D2341" s="1"/>
    </row>
    <row r="2342" spans="1:4" ht="12.5">
      <c r="A2342" s="1"/>
      <c r="B2342" s="1"/>
      <c r="C2342" s="1"/>
      <c r="D2342" s="1"/>
    </row>
    <row r="2343" spans="1:4" ht="12.5">
      <c r="A2343" s="1"/>
      <c r="B2343" s="1"/>
      <c r="C2343" s="1"/>
      <c r="D2343" s="1"/>
    </row>
    <row r="2344" spans="1:4" ht="12.5">
      <c r="A2344" s="1"/>
      <c r="B2344" s="1"/>
      <c r="C2344" s="1"/>
      <c r="D2344" s="1"/>
    </row>
    <row r="2345" spans="1:4" ht="12.5">
      <c r="A2345" s="1"/>
      <c r="B2345" s="1"/>
      <c r="C2345" s="1"/>
      <c r="D2345" s="1"/>
    </row>
    <row r="2346" spans="1:4" ht="12.5">
      <c r="A2346" s="1"/>
      <c r="B2346" s="1"/>
      <c r="C2346" s="1"/>
      <c r="D2346" s="1"/>
    </row>
    <row r="2347" spans="1:4" ht="12.5">
      <c r="A2347" s="1"/>
      <c r="B2347" s="1"/>
      <c r="C2347" s="1"/>
      <c r="D2347" s="1"/>
    </row>
    <row r="2348" spans="1:4" ht="12.5">
      <c r="A2348" s="1"/>
      <c r="B2348" s="1"/>
      <c r="C2348" s="1"/>
      <c r="D2348" s="1"/>
    </row>
    <row r="2349" spans="1:4" ht="12.5">
      <c r="A2349" s="1"/>
      <c r="B2349" s="1"/>
      <c r="C2349" s="1"/>
      <c r="D2349" s="1"/>
    </row>
    <row r="2350" spans="1:4" ht="12.5">
      <c r="A2350" s="1"/>
      <c r="B2350" s="1"/>
      <c r="C2350" s="1"/>
      <c r="D2350" s="1"/>
    </row>
    <row r="2351" spans="1:4" ht="12.5">
      <c r="A2351" s="1"/>
      <c r="B2351" s="1"/>
      <c r="C2351" s="1"/>
      <c r="D2351" s="1"/>
    </row>
    <row r="2352" spans="1:4" ht="12.5">
      <c r="A2352" s="1"/>
      <c r="B2352" s="1"/>
      <c r="C2352" s="1"/>
      <c r="D2352" s="1"/>
    </row>
    <row r="2353" spans="1:4" ht="12.5">
      <c r="A2353" s="1"/>
      <c r="B2353" s="1"/>
      <c r="C2353" s="1"/>
      <c r="D2353" s="1"/>
    </row>
    <row r="2354" spans="1:4" ht="12.5">
      <c r="A2354" s="1"/>
      <c r="B2354" s="1"/>
      <c r="C2354" s="1"/>
      <c r="D2354" s="1"/>
    </row>
    <row r="2355" spans="1:4" ht="12.5">
      <c r="A2355" s="1"/>
      <c r="B2355" s="1"/>
      <c r="C2355" s="1"/>
      <c r="D2355" s="1"/>
    </row>
    <row r="2356" spans="1:4" ht="12.5">
      <c r="A2356" s="1"/>
      <c r="B2356" s="1"/>
      <c r="C2356" s="1"/>
      <c r="D2356" s="1"/>
    </row>
    <row r="2357" spans="1:4" ht="12.5">
      <c r="A2357" s="1"/>
      <c r="B2357" s="1"/>
      <c r="C2357" s="1"/>
      <c r="D2357" s="1"/>
    </row>
    <row r="2358" spans="1:4" ht="12.5">
      <c r="A2358" s="1"/>
      <c r="B2358" s="1"/>
      <c r="C2358" s="1"/>
      <c r="D2358" s="1"/>
    </row>
    <row r="2359" spans="1:4" ht="12.5">
      <c r="A2359" s="1"/>
      <c r="B2359" s="1"/>
      <c r="C2359" s="1"/>
      <c r="D2359" s="1"/>
    </row>
    <row r="2360" spans="1:4" ht="12.5">
      <c r="A2360" s="1"/>
      <c r="B2360" s="1"/>
      <c r="C2360" s="1"/>
      <c r="D2360" s="1"/>
    </row>
    <row r="2361" spans="1:4" ht="12.5">
      <c r="A2361" s="1"/>
      <c r="B2361" s="1"/>
      <c r="C2361" s="1"/>
      <c r="D2361" s="1"/>
    </row>
    <row r="2362" spans="1:4" ht="12.5">
      <c r="A2362" s="1"/>
      <c r="B2362" s="1"/>
      <c r="C2362" s="1"/>
      <c r="D2362" s="1"/>
    </row>
    <row r="2363" spans="1:4" ht="12.5">
      <c r="A2363" s="1"/>
      <c r="B2363" s="1"/>
      <c r="C2363" s="1"/>
      <c r="D2363" s="1"/>
    </row>
    <row r="2364" spans="1:4" ht="12.5">
      <c r="A2364" s="1"/>
      <c r="B2364" s="1"/>
      <c r="C2364" s="1"/>
      <c r="D2364" s="1"/>
    </row>
    <row r="2365" spans="1:4" ht="12.5">
      <c r="A2365" s="1"/>
      <c r="B2365" s="1"/>
      <c r="C2365" s="1"/>
      <c r="D2365" s="1"/>
    </row>
    <row r="2366" spans="1:4" ht="12.5">
      <c r="A2366" s="1"/>
      <c r="B2366" s="1"/>
      <c r="C2366" s="1"/>
      <c r="D2366" s="1"/>
    </row>
    <row r="2367" spans="1:4" ht="12.5">
      <c r="A2367" s="1"/>
      <c r="B2367" s="1"/>
      <c r="C2367" s="1"/>
      <c r="D2367" s="1"/>
    </row>
    <row r="2368" spans="1:4" ht="12.5">
      <c r="A2368" s="1"/>
      <c r="B2368" s="1"/>
      <c r="C2368" s="1"/>
      <c r="D2368" s="1"/>
    </row>
    <row r="2369" spans="1:4" ht="12.5">
      <c r="A2369" s="1"/>
      <c r="B2369" s="1"/>
      <c r="C2369" s="1"/>
      <c r="D2369" s="1"/>
    </row>
    <row r="2370" spans="1:4" ht="12.5">
      <c r="A2370" s="1"/>
      <c r="B2370" s="1"/>
      <c r="C2370" s="1"/>
      <c r="D2370" s="1"/>
    </row>
    <row r="2371" spans="1:4" ht="12.5">
      <c r="A2371" s="1"/>
      <c r="B2371" s="1"/>
      <c r="C2371" s="1"/>
      <c r="D2371" s="1"/>
    </row>
    <row r="2372" spans="1:4" ht="12.5">
      <c r="A2372" s="1"/>
      <c r="B2372" s="1"/>
      <c r="C2372" s="1"/>
      <c r="D2372" s="1"/>
    </row>
    <row r="2373" spans="1:4" ht="12.5">
      <c r="A2373" s="1"/>
      <c r="B2373" s="1"/>
      <c r="C2373" s="1"/>
      <c r="D2373" s="1"/>
    </row>
    <row r="2374" spans="1:4" ht="12.5">
      <c r="A2374" s="1"/>
      <c r="B2374" s="1"/>
      <c r="C2374" s="1"/>
      <c r="D2374" s="1"/>
    </row>
    <row r="2375" spans="1:4" ht="12.5">
      <c r="A2375" s="1"/>
      <c r="B2375" s="1"/>
      <c r="C2375" s="1"/>
      <c r="D2375" s="1"/>
    </row>
    <row r="2376" spans="1:4" ht="12.5">
      <c r="A2376" s="1"/>
      <c r="B2376" s="1"/>
      <c r="C2376" s="1"/>
      <c r="D2376" s="1"/>
    </row>
    <row r="2377" spans="1:4" ht="12.5">
      <c r="A2377" s="1"/>
      <c r="B2377" s="1"/>
      <c r="C2377" s="1"/>
      <c r="D2377" s="1"/>
    </row>
    <row r="2378" spans="1:4" ht="12.5">
      <c r="A2378" s="1"/>
      <c r="B2378" s="1"/>
      <c r="C2378" s="1"/>
      <c r="D2378" s="1"/>
    </row>
    <row r="2379" spans="1:4" ht="12.5">
      <c r="A2379" s="1"/>
      <c r="B2379" s="1"/>
      <c r="C2379" s="1"/>
      <c r="D2379" s="1"/>
    </row>
    <row r="2380" spans="1:4" ht="12.5">
      <c r="A2380" s="1"/>
      <c r="B2380" s="1"/>
      <c r="C2380" s="1"/>
      <c r="D2380" s="1"/>
    </row>
    <row r="2381" spans="1:4" ht="12.5">
      <c r="A2381" s="1"/>
      <c r="B2381" s="1"/>
      <c r="C2381" s="1"/>
      <c r="D2381" s="1"/>
    </row>
    <row r="2382" spans="1:4" ht="12.5">
      <c r="A2382" s="1"/>
      <c r="B2382" s="1"/>
      <c r="C2382" s="1"/>
      <c r="D2382" s="1"/>
    </row>
    <row r="2383" spans="1:4" ht="12.5">
      <c r="A2383" s="1"/>
      <c r="B2383" s="1"/>
      <c r="C2383" s="1"/>
      <c r="D2383" s="1"/>
    </row>
    <row r="2384" spans="1:4" ht="12.5">
      <c r="A2384" s="1"/>
      <c r="B2384" s="1"/>
      <c r="C2384" s="1"/>
      <c r="D2384" s="1"/>
    </row>
    <row r="2385" spans="1:4" ht="12.5">
      <c r="A2385" s="1"/>
      <c r="B2385" s="1"/>
      <c r="C2385" s="1"/>
      <c r="D2385" s="1"/>
    </row>
    <row r="2386" spans="1:4" ht="12.5">
      <c r="A2386" s="1"/>
      <c r="B2386" s="1"/>
      <c r="C2386" s="1"/>
      <c r="D2386" s="1"/>
    </row>
    <row r="2387" spans="1:4" ht="12.5">
      <c r="A2387" s="1"/>
      <c r="B2387" s="1"/>
      <c r="C2387" s="1"/>
      <c r="D2387" s="1"/>
    </row>
    <row r="2388" spans="1:4" ht="12.5">
      <c r="A2388" s="1"/>
      <c r="B2388" s="1"/>
      <c r="C2388" s="1"/>
      <c r="D2388" s="1"/>
    </row>
    <row r="2389" spans="1:4" ht="12.5">
      <c r="A2389" s="1"/>
      <c r="B2389" s="1"/>
      <c r="C2389" s="1"/>
      <c r="D2389" s="1"/>
    </row>
    <row r="2390" spans="1:4" ht="12.5">
      <c r="A2390" s="1"/>
      <c r="B2390" s="1"/>
      <c r="C2390" s="1"/>
      <c r="D2390" s="1"/>
    </row>
    <row r="2391" spans="1:4" ht="12.5">
      <c r="A2391" s="1"/>
      <c r="B2391" s="1"/>
      <c r="C2391" s="1"/>
      <c r="D2391" s="1"/>
    </row>
    <row r="2392" spans="1:4" ht="12.5">
      <c r="A2392" s="1"/>
      <c r="B2392" s="1"/>
      <c r="C2392" s="1"/>
      <c r="D2392" s="1"/>
    </row>
    <row r="2393" spans="1:4" ht="12.5">
      <c r="A2393" s="1"/>
      <c r="B2393" s="1"/>
      <c r="C2393" s="1"/>
      <c r="D2393" s="1"/>
    </row>
    <row r="2394" spans="1:4" ht="12.5">
      <c r="A2394" s="1"/>
      <c r="B2394" s="1"/>
      <c r="C2394" s="1"/>
      <c r="D2394" s="1"/>
    </row>
    <row r="2395" spans="1:4" ht="12.5">
      <c r="A2395" s="1"/>
      <c r="B2395" s="1"/>
      <c r="C2395" s="1"/>
      <c r="D2395" s="1"/>
    </row>
    <row r="2396" spans="1:4" ht="12.5">
      <c r="A2396" s="1"/>
      <c r="B2396" s="1"/>
      <c r="C2396" s="1"/>
      <c r="D2396" s="1"/>
    </row>
    <row r="2397" spans="1:4" ht="12.5">
      <c r="A2397" s="1"/>
      <c r="B2397" s="1"/>
      <c r="C2397" s="1"/>
      <c r="D2397" s="1"/>
    </row>
    <row r="2398" spans="1:4" ht="12.5">
      <c r="A2398" s="1"/>
      <c r="B2398" s="1"/>
      <c r="C2398" s="1"/>
      <c r="D2398" s="1"/>
    </row>
    <row r="2399" spans="1:4" ht="12.5">
      <c r="A2399" s="1"/>
      <c r="B2399" s="1"/>
      <c r="C2399" s="1"/>
      <c r="D2399" s="1"/>
    </row>
    <row r="2400" spans="1:4" ht="12.5">
      <c r="A2400" s="1"/>
      <c r="B2400" s="1"/>
      <c r="C2400" s="1"/>
      <c r="D2400" s="1"/>
    </row>
    <row r="2401" spans="1:4" ht="12.5">
      <c r="A2401" s="1"/>
      <c r="B2401" s="1"/>
      <c r="C2401" s="1"/>
      <c r="D2401" s="1"/>
    </row>
    <row r="2402" spans="1:4" ht="12.5">
      <c r="A2402" s="1"/>
      <c r="B2402" s="1"/>
      <c r="C2402" s="1"/>
      <c r="D2402" s="1"/>
    </row>
    <row r="2403" spans="1:4" ht="12.5">
      <c r="A2403" s="1"/>
      <c r="B2403" s="1"/>
      <c r="C2403" s="1"/>
      <c r="D2403" s="1"/>
    </row>
    <row r="2404" spans="1:4" ht="12.5">
      <c r="A2404" s="1"/>
      <c r="B2404" s="1"/>
      <c r="C2404" s="1"/>
      <c r="D2404" s="1"/>
    </row>
    <row r="2405" spans="1:4" ht="12.5">
      <c r="A2405" s="1"/>
      <c r="B2405" s="1"/>
      <c r="C2405" s="1"/>
      <c r="D2405" s="1"/>
    </row>
    <row r="2406" spans="1:4" ht="12.5">
      <c r="A2406" s="1"/>
      <c r="B2406" s="1"/>
      <c r="C2406" s="1"/>
      <c r="D2406" s="1"/>
    </row>
    <row r="2407" spans="1:4" ht="12.5">
      <c r="A2407" s="1"/>
      <c r="B2407" s="1"/>
      <c r="C2407" s="1"/>
      <c r="D2407" s="1"/>
    </row>
    <row r="2408" spans="1:4" ht="12.5">
      <c r="A2408" s="1"/>
      <c r="B2408" s="1"/>
      <c r="C2408" s="1"/>
      <c r="D2408" s="1"/>
    </row>
    <row r="2409" spans="1:4" ht="12.5">
      <c r="A2409" s="1"/>
      <c r="B2409" s="1"/>
      <c r="C2409" s="1"/>
      <c r="D2409" s="1"/>
    </row>
    <row r="2410" spans="1:4" ht="12.5">
      <c r="A2410" s="1"/>
      <c r="B2410" s="1"/>
      <c r="C2410" s="1"/>
      <c r="D2410" s="1"/>
    </row>
    <row r="2411" spans="1:4" ht="12.5">
      <c r="A2411" s="1"/>
      <c r="B2411" s="1"/>
      <c r="C2411" s="1"/>
      <c r="D2411" s="1"/>
    </row>
    <row r="2412" spans="1:4" ht="12.5">
      <c r="A2412" s="1"/>
      <c r="B2412" s="1"/>
      <c r="C2412" s="1"/>
      <c r="D2412" s="1"/>
    </row>
    <row r="2413" spans="1:4" ht="12.5">
      <c r="A2413" s="1"/>
      <c r="B2413" s="1"/>
      <c r="C2413" s="1"/>
      <c r="D2413" s="1"/>
    </row>
    <row r="2414" spans="1:4" ht="12.5">
      <c r="A2414" s="1"/>
      <c r="B2414" s="1"/>
      <c r="C2414" s="1"/>
      <c r="D2414" s="1"/>
    </row>
    <row r="2415" spans="1:4" ht="12.5">
      <c r="A2415" s="1"/>
      <c r="B2415" s="1"/>
      <c r="C2415" s="1"/>
      <c r="D2415" s="1"/>
    </row>
    <row r="2416" spans="1:4" ht="12.5">
      <c r="A2416" s="1"/>
      <c r="B2416" s="1"/>
      <c r="C2416" s="1"/>
      <c r="D2416" s="1"/>
    </row>
    <row r="2417" spans="1:4" ht="12.5">
      <c r="A2417" s="1"/>
      <c r="B2417" s="1"/>
      <c r="C2417" s="1"/>
      <c r="D2417" s="1"/>
    </row>
    <row r="2418" spans="1:4" ht="12.5">
      <c r="A2418" s="1"/>
      <c r="B2418" s="1"/>
      <c r="C2418" s="1"/>
      <c r="D2418" s="1"/>
    </row>
    <row r="2419" spans="1:4" ht="12.5">
      <c r="A2419" s="1"/>
      <c r="B2419" s="1"/>
      <c r="C2419" s="1"/>
      <c r="D2419" s="1"/>
    </row>
    <row r="2420" spans="1:4" ht="12.5">
      <c r="A2420" s="1"/>
      <c r="B2420" s="1"/>
      <c r="C2420" s="1"/>
      <c r="D2420" s="1"/>
    </row>
    <row r="2421" spans="1:4" ht="12.5">
      <c r="A2421" s="1"/>
      <c r="B2421" s="1"/>
      <c r="C2421" s="1"/>
      <c r="D2421" s="1"/>
    </row>
    <row r="2422" spans="1:4" ht="12.5">
      <c r="A2422" s="1"/>
      <c r="B2422" s="1"/>
      <c r="C2422" s="1"/>
      <c r="D2422" s="1"/>
    </row>
    <row r="2423" spans="1:4" ht="12.5">
      <c r="A2423" s="1"/>
      <c r="B2423" s="1"/>
      <c r="C2423" s="1"/>
      <c r="D2423" s="1"/>
    </row>
    <row r="2424" spans="1:4" ht="12.5">
      <c r="A2424" s="1"/>
      <c r="B2424" s="1"/>
      <c r="C2424" s="1"/>
      <c r="D2424" s="1"/>
    </row>
    <row r="2425" spans="1:4" ht="12.5">
      <c r="A2425" s="1"/>
      <c r="B2425" s="1"/>
      <c r="C2425" s="1"/>
      <c r="D2425" s="1"/>
    </row>
    <row r="2426" spans="1:4" ht="12.5">
      <c r="A2426" s="1"/>
      <c r="B2426" s="1"/>
      <c r="C2426" s="1"/>
      <c r="D2426" s="1"/>
    </row>
    <row r="2427" spans="1:4" ht="12.5">
      <c r="A2427" s="1"/>
      <c r="B2427" s="1"/>
      <c r="C2427" s="1"/>
      <c r="D2427" s="1"/>
    </row>
    <row r="2428" spans="1:4" ht="12.5">
      <c r="A2428" s="1"/>
      <c r="B2428" s="1"/>
      <c r="C2428" s="1"/>
      <c r="D2428" s="1"/>
    </row>
    <row r="2429" spans="1:4" ht="12.5">
      <c r="A2429" s="1"/>
      <c r="B2429" s="1"/>
      <c r="C2429" s="1"/>
      <c r="D2429" s="1"/>
    </row>
    <row r="2430" spans="1:4" ht="12.5">
      <c r="A2430" s="1"/>
      <c r="B2430" s="1"/>
      <c r="C2430" s="1"/>
      <c r="D2430" s="1"/>
    </row>
    <row r="2431" spans="1:4" ht="12.5">
      <c r="A2431" s="1"/>
      <c r="B2431" s="1"/>
      <c r="C2431" s="1"/>
      <c r="D2431" s="1"/>
    </row>
    <row r="2432" spans="1:4" ht="12.5">
      <c r="A2432" s="1"/>
      <c r="B2432" s="1"/>
      <c r="C2432" s="1"/>
      <c r="D2432" s="1"/>
    </row>
    <row r="2433" spans="1:4" ht="12.5">
      <c r="A2433" s="1"/>
      <c r="B2433" s="1"/>
      <c r="C2433" s="1"/>
      <c r="D2433" s="1"/>
    </row>
    <row r="2434" spans="1:4" ht="12.5">
      <c r="A2434" s="1"/>
      <c r="B2434" s="1"/>
      <c r="C2434" s="1"/>
      <c r="D2434" s="1"/>
    </row>
    <row r="2435" spans="1:4" ht="12.5">
      <c r="A2435" s="1"/>
      <c r="B2435" s="1"/>
      <c r="C2435" s="1"/>
      <c r="D2435" s="1"/>
    </row>
    <row r="2436" spans="1:4" ht="12.5">
      <c r="A2436" s="1"/>
      <c r="B2436" s="1"/>
      <c r="C2436" s="1"/>
      <c r="D2436" s="1"/>
    </row>
    <row r="2437" spans="1:4" ht="12.5">
      <c r="A2437" s="1"/>
      <c r="B2437" s="1"/>
      <c r="C2437" s="1"/>
      <c r="D2437" s="1"/>
    </row>
    <row r="2438" spans="1:4" ht="12.5">
      <c r="A2438" s="1"/>
      <c r="B2438" s="1"/>
      <c r="C2438" s="1"/>
      <c r="D2438" s="1"/>
    </row>
    <row r="2439" spans="1:4" ht="12.5">
      <c r="A2439" s="1"/>
      <c r="B2439" s="1"/>
      <c r="C2439" s="1"/>
      <c r="D2439" s="1"/>
    </row>
    <row r="2440" spans="1:4" ht="12.5">
      <c r="A2440" s="1"/>
      <c r="B2440" s="1"/>
      <c r="C2440" s="1"/>
      <c r="D2440" s="1"/>
    </row>
    <row r="2441" spans="1:4" ht="12.5">
      <c r="A2441" s="1"/>
      <c r="B2441" s="1"/>
      <c r="C2441" s="1"/>
      <c r="D2441" s="1"/>
    </row>
    <row r="2442" spans="1:4" ht="12.5">
      <c r="A2442" s="1"/>
      <c r="B2442" s="1"/>
      <c r="C2442" s="1"/>
      <c r="D2442" s="1"/>
    </row>
    <row r="2443" spans="1:4" ht="12.5">
      <c r="A2443" s="1"/>
      <c r="B2443" s="1"/>
      <c r="C2443" s="1"/>
      <c r="D2443" s="1"/>
    </row>
    <row r="2444" spans="1:4" ht="12.5">
      <c r="A2444" s="1"/>
      <c r="B2444" s="1"/>
      <c r="C2444" s="1"/>
      <c r="D2444" s="1"/>
    </row>
    <row r="2445" spans="1:4" ht="12.5">
      <c r="A2445" s="1"/>
      <c r="B2445" s="1"/>
      <c r="C2445" s="1"/>
      <c r="D2445" s="1"/>
    </row>
    <row r="2446" spans="1:4" ht="12.5">
      <c r="A2446" s="1"/>
      <c r="B2446" s="1"/>
      <c r="C2446" s="1"/>
      <c r="D2446" s="1"/>
    </row>
    <row r="2447" spans="1:4" ht="12.5">
      <c r="A2447" s="1"/>
      <c r="B2447" s="1"/>
      <c r="C2447" s="1"/>
      <c r="D2447" s="1"/>
    </row>
    <row r="2448" spans="1:4" ht="12.5">
      <c r="A2448" s="1"/>
      <c r="B2448" s="1"/>
      <c r="C2448" s="1"/>
      <c r="D2448" s="1"/>
    </row>
    <row r="2449" spans="1:4" ht="12.5">
      <c r="A2449" s="1"/>
      <c r="B2449" s="1"/>
      <c r="C2449" s="1"/>
      <c r="D2449" s="1"/>
    </row>
    <row r="2450" spans="1:4" ht="12.5">
      <c r="A2450" s="1"/>
      <c r="B2450" s="1"/>
      <c r="C2450" s="1"/>
      <c r="D2450" s="1"/>
    </row>
    <row r="2451" spans="1:4" ht="12.5">
      <c r="A2451" s="1"/>
      <c r="B2451" s="1"/>
      <c r="C2451" s="1"/>
      <c r="D2451" s="1"/>
    </row>
    <row r="2452" spans="1:4" ht="12.5">
      <c r="A2452" s="1"/>
      <c r="B2452" s="1"/>
      <c r="C2452" s="1"/>
      <c r="D2452" s="1"/>
    </row>
    <row r="2453" spans="1:4" ht="12.5">
      <c r="A2453" s="1"/>
      <c r="B2453" s="1"/>
      <c r="C2453" s="1"/>
      <c r="D2453" s="1"/>
    </row>
    <row r="2454" spans="1:4" ht="12.5">
      <c r="A2454" s="1"/>
      <c r="B2454" s="1"/>
      <c r="C2454" s="1"/>
      <c r="D2454" s="1"/>
    </row>
    <row r="2455" spans="1:4" ht="12.5">
      <c r="A2455" s="1"/>
      <c r="B2455" s="1"/>
      <c r="C2455" s="1"/>
      <c r="D2455" s="1"/>
    </row>
    <row r="2456" spans="1:4" ht="12.5">
      <c r="A2456" s="1"/>
      <c r="B2456" s="1"/>
      <c r="C2456" s="1"/>
      <c r="D2456" s="1"/>
    </row>
    <row r="2457" spans="1:4" ht="12.5">
      <c r="A2457" s="1"/>
      <c r="B2457" s="1"/>
      <c r="C2457" s="1"/>
      <c r="D2457" s="1"/>
    </row>
    <row r="2458" spans="1:4" ht="12.5">
      <c r="A2458" s="1"/>
      <c r="B2458" s="1"/>
      <c r="C2458" s="1"/>
      <c r="D2458" s="1"/>
    </row>
    <row r="2459" spans="1:4" ht="12.5">
      <c r="A2459" s="1"/>
      <c r="B2459" s="1"/>
      <c r="C2459" s="1"/>
      <c r="D2459" s="1"/>
    </row>
    <row r="2460" spans="1:4" ht="12.5">
      <c r="A2460" s="1"/>
      <c r="B2460" s="1"/>
      <c r="C2460" s="1"/>
      <c r="D2460" s="1"/>
    </row>
    <row r="2461" spans="1:4" ht="12.5">
      <c r="A2461" s="1"/>
      <c r="B2461" s="1"/>
      <c r="C2461" s="1"/>
      <c r="D2461" s="1"/>
    </row>
    <row r="2462" spans="1:4" ht="12.5">
      <c r="A2462" s="1"/>
      <c r="B2462" s="1"/>
      <c r="C2462" s="1"/>
      <c r="D2462" s="1"/>
    </row>
    <row r="2463" spans="1:4" ht="12.5">
      <c r="A2463" s="1"/>
      <c r="B2463" s="1"/>
      <c r="C2463" s="1"/>
      <c r="D2463" s="1"/>
    </row>
    <row r="2464" spans="1:4" ht="12.5">
      <c r="A2464" s="1"/>
      <c r="B2464" s="1"/>
      <c r="C2464" s="1"/>
      <c r="D2464" s="1"/>
    </row>
    <row r="2465" spans="1:4" ht="12.5">
      <c r="A2465" s="1"/>
      <c r="B2465" s="1"/>
      <c r="C2465" s="1"/>
      <c r="D2465" s="1"/>
    </row>
    <row r="2466" spans="1:4" ht="12.5">
      <c r="A2466" s="1"/>
      <c r="B2466" s="1"/>
      <c r="C2466" s="1"/>
      <c r="D2466" s="1"/>
    </row>
    <row r="2467" spans="1:4" ht="12.5">
      <c r="A2467" s="1"/>
      <c r="B2467" s="1"/>
      <c r="C2467" s="1"/>
      <c r="D2467" s="1"/>
    </row>
    <row r="2468" spans="1:4" ht="12.5">
      <c r="A2468" s="1"/>
      <c r="B2468" s="1"/>
      <c r="C2468" s="1"/>
      <c r="D2468" s="1"/>
    </row>
    <row r="2469" spans="1:4" ht="12.5">
      <c r="A2469" s="1"/>
      <c r="B2469" s="1"/>
      <c r="C2469" s="1"/>
      <c r="D2469" s="1"/>
    </row>
    <row r="2470" spans="1:4" ht="12.5">
      <c r="A2470" s="1"/>
      <c r="B2470" s="1"/>
      <c r="C2470" s="1"/>
      <c r="D2470" s="1"/>
    </row>
    <row r="2471" spans="1:4" ht="12.5">
      <c r="A2471" s="1"/>
      <c r="B2471" s="1"/>
      <c r="C2471" s="1"/>
      <c r="D2471" s="1"/>
    </row>
    <row r="2472" spans="1:4" ht="12.5">
      <c r="A2472" s="1"/>
      <c r="B2472" s="1"/>
      <c r="C2472" s="1"/>
      <c r="D2472" s="1"/>
    </row>
    <row r="2473" spans="1:4" ht="12.5">
      <c r="A2473" s="1"/>
      <c r="B2473" s="1"/>
      <c r="C2473" s="1"/>
      <c r="D2473" s="1"/>
    </row>
    <row r="2474" spans="1:4" ht="12.5">
      <c r="A2474" s="1"/>
      <c r="B2474" s="1"/>
      <c r="C2474" s="1"/>
      <c r="D2474" s="1"/>
    </row>
    <row r="2475" spans="1:4" ht="12.5">
      <c r="A2475" s="1"/>
      <c r="B2475" s="1"/>
      <c r="C2475" s="1"/>
      <c r="D2475" s="1"/>
    </row>
    <row r="2476" spans="1:4" ht="12.5">
      <c r="A2476" s="1"/>
      <c r="B2476" s="1"/>
      <c r="C2476" s="1"/>
      <c r="D2476" s="1"/>
    </row>
    <row r="2477" spans="1:4" ht="12.5">
      <c r="A2477" s="1"/>
      <c r="B2477" s="1"/>
      <c r="C2477" s="1"/>
      <c r="D2477" s="1"/>
    </row>
    <row r="2478" spans="1:4" ht="12.5">
      <c r="A2478" s="1"/>
      <c r="B2478" s="1"/>
      <c r="C2478" s="1"/>
      <c r="D2478" s="1"/>
    </row>
    <row r="2479" spans="1:4" ht="12.5">
      <c r="A2479" s="1"/>
      <c r="B2479" s="1"/>
      <c r="C2479" s="1"/>
      <c r="D2479" s="1"/>
    </row>
    <row r="2480" spans="1:4" ht="12.5">
      <c r="A2480" s="1"/>
      <c r="B2480" s="1"/>
      <c r="C2480" s="1"/>
      <c r="D2480" s="1"/>
    </row>
    <row r="2481" spans="1:4" ht="12.5">
      <c r="A2481" s="1"/>
      <c r="B2481" s="1"/>
      <c r="C2481" s="1"/>
      <c r="D2481" s="1"/>
    </row>
    <row r="2482" spans="1:4" ht="12.5">
      <c r="A2482" s="1"/>
      <c r="B2482" s="1"/>
      <c r="C2482" s="1"/>
      <c r="D2482" s="1"/>
    </row>
    <row r="2483" spans="1:4" ht="12.5">
      <c r="A2483" s="1"/>
      <c r="B2483" s="1"/>
      <c r="C2483" s="1"/>
      <c r="D2483" s="1"/>
    </row>
    <row r="2484" spans="1:4" ht="12.5">
      <c r="A2484" s="1"/>
      <c r="B2484" s="1"/>
      <c r="C2484" s="1"/>
      <c r="D2484" s="1"/>
    </row>
    <row r="2485" spans="1:4" ht="12.5">
      <c r="A2485" s="1"/>
      <c r="B2485" s="1"/>
      <c r="C2485" s="1"/>
      <c r="D2485" s="1"/>
    </row>
    <row r="2486" spans="1:4" ht="12.5">
      <c r="A2486" s="1"/>
      <c r="B2486" s="1"/>
      <c r="C2486" s="1"/>
      <c r="D2486" s="1"/>
    </row>
    <row r="2487" spans="1:4" ht="12.5">
      <c r="A2487" s="1"/>
      <c r="B2487" s="1"/>
      <c r="C2487" s="1"/>
      <c r="D2487" s="1"/>
    </row>
    <row r="2488" spans="1:4" ht="12.5">
      <c r="A2488" s="1"/>
      <c r="B2488" s="1"/>
      <c r="C2488" s="1"/>
      <c r="D2488" s="1"/>
    </row>
    <row r="2489" spans="1:4" ht="12.5">
      <c r="A2489" s="1"/>
      <c r="B2489" s="1"/>
      <c r="C2489" s="1"/>
      <c r="D2489" s="1"/>
    </row>
    <row r="2490" spans="1:4" ht="12.5">
      <c r="A2490" s="1"/>
      <c r="B2490" s="1"/>
      <c r="C2490" s="1"/>
      <c r="D2490" s="1"/>
    </row>
    <row r="2491" spans="1:4" ht="12.5">
      <c r="A2491" s="1"/>
      <c r="B2491" s="1"/>
      <c r="C2491" s="1"/>
      <c r="D2491" s="1"/>
    </row>
    <row r="2492" spans="1:4" ht="12.5">
      <c r="A2492" s="1"/>
      <c r="B2492" s="1"/>
      <c r="C2492" s="1"/>
      <c r="D2492" s="1"/>
    </row>
    <row r="2493" spans="1:4" ht="12.5">
      <c r="A2493" s="1"/>
      <c r="B2493" s="1"/>
      <c r="C2493" s="1"/>
      <c r="D2493" s="1"/>
    </row>
    <row r="2494" spans="1:4" ht="12.5">
      <c r="A2494" s="1"/>
      <c r="B2494" s="1"/>
      <c r="C2494" s="1"/>
      <c r="D2494" s="1"/>
    </row>
    <row r="2495" spans="1:4" ht="12.5">
      <c r="A2495" s="1"/>
      <c r="B2495" s="1"/>
      <c r="C2495" s="1"/>
      <c r="D2495" s="1"/>
    </row>
    <row r="2496" spans="1:4" ht="12.5">
      <c r="A2496" s="1"/>
      <c r="B2496" s="1"/>
      <c r="C2496" s="1"/>
      <c r="D2496" s="1"/>
    </row>
    <row r="2497" spans="1:4" ht="12.5">
      <c r="A2497" s="1"/>
      <c r="B2497" s="1"/>
      <c r="C2497" s="1"/>
      <c r="D2497" s="1"/>
    </row>
    <row r="2498" spans="1:4" ht="12.5">
      <c r="A2498" s="1"/>
      <c r="B2498" s="1"/>
      <c r="C2498" s="1"/>
      <c r="D2498" s="1"/>
    </row>
    <row r="2499" spans="1:4" ht="12.5">
      <c r="A2499" s="1"/>
      <c r="B2499" s="1"/>
      <c r="C2499" s="1"/>
      <c r="D2499" s="1"/>
    </row>
    <row r="2500" spans="1:4" ht="12.5">
      <c r="A2500" s="1"/>
      <c r="B2500" s="1"/>
      <c r="C2500" s="1"/>
      <c r="D2500" s="1"/>
    </row>
    <row r="2501" spans="1:4" ht="12.5">
      <c r="A2501" s="1"/>
      <c r="B2501" s="1"/>
      <c r="C2501" s="1"/>
      <c r="D2501" s="1"/>
    </row>
    <row r="2502" spans="1:4" ht="12.5">
      <c r="A2502" s="1"/>
      <c r="B2502" s="1"/>
      <c r="C2502" s="1"/>
      <c r="D2502" s="1"/>
    </row>
    <row r="2503" spans="1:4" ht="12.5">
      <c r="A2503" s="1"/>
      <c r="B2503" s="1"/>
      <c r="C2503" s="1"/>
      <c r="D2503" s="1"/>
    </row>
    <row r="2504" spans="1:4" ht="12.5">
      <c r="A2504" s="1"/>
      <c r="B2504" s="1"/>
      <c r="C2504" s="1"/>
      <c r="D2504" s="1"/>
    </row>
    <row r="2505" spans="1:4" ht="12.5">
      <c r="A2505" s="1"/>
      <c r="B2505" s="1"/>
      <c r="C2505" s="1"/>
      <c r="D2505" s="1"/>
    </row>
    <row r="2506" spans="1:4" ht="12.5">
      <c r="A2506" s="1"/>
      <c r="B2506" s="1"/>
      <c r="C2506" s="1"/>
      <c r="D2506" s="1"/>
    </row>
    <row r="2507" spans="1:4" ht="12.5">
      <c r="A2507" s="1"/>
      <c r="B2507" s="1"/>
      <c r="C2507" s="1"/>
      <c r="D2507" s="1"/>
    </row>
    <row r="2508" spans="1:4" ht="12.5">
      <c r="A2508" s="1"/>
      <c r="B2508" s="1"/>
      <c r="C2508" s="1"/>
      <c r="D2508" s="1"/>
    </row>
    <row r="2509" spans="1:4" ht="12.5">
      <c r="A2509" s="1"/>
      <c r="B2509" s="1"/>
      <c r="C2509" s="1"/>
      <c r="D2509" s="1"/>
    </row>
    <row r="2510" spans="1:4" ht="12.5">
      <c r="A2510" s="1"/>
      <c r="B2510" s="1"/>
      <c r="C2510" s="1"/>
      <c r="D2510" s="1"/>
    </row>
    <row r="2511" spans="1:4" ht="12.5">
      <c r="A2511" s="1"/>
      <c r="B2511" s="1"/>
      <c r="C2511" s="1"/>
      <c r="D2511" s="1"/>
    </row>
    <row r="2512" spans="1:4" ht="12.5">
      <c r="A2512" s="1"/>
      <c r="B2512" s="1"/>
      <c r="C2512" s="1"/>
      <c r="D2512" s="1"/>
    </row>
    <row r="2513" spans="1:4" ht="12.5">
      <c r="A2513" s="1"/>
      <c r="B2513" s="1"/>
      <c r="C2513" s="1"/>
      <c r="D2513" s="1"/>
    </row>
    <row r="2514" spans="1:4" ht="12.5">
      <c r="A2514" s="1"/>
      <c r="B2514" s="1"/>
      <c r="C2514" s="1"/>
      <c r="D2514" s="1"/>
    </row>
    <row r="2515" spans="1:4" ht="12.5">
      <c r="A2515" s="1"/>
      <c r="B2515" s="1"/>
      <c r="C2515" s="1"/>
      <c r="D2515" s="1"/>
    </row>
    <row r="2516" spans="1:4" ht="12.5">
      <c r="A2516" s="1"/>
      <c r="B2516" s="1"/>
      <c r="C2516" s="1"/>
      <c r="D2516" s="1"/>
    </row>
    <row r="2517" spans="1:4" ht="12.5">
      <c r="A2517" s="1"/>
      <c r="B2517" s="1"/>
      <c r="C2517" s="1"/>
      <c r="D2517" s="1"/>
    </row>
    <row r="2518" spans="1:4" ht="12.5">
      <c r="A2518" s="1"/>
      <c r="B2518" s="1"/>
      <c r="C2518" s="1"/>
      <c r="D2518" s="1"/>
    </row>
    <row r="2519" spans="1:4" ht="12.5">
      <c r="A2519" s="1"/>
      <c r="B2519" s="1"/>
      <c r="C2519" s="1"/>
      <c r="D2519" s="1"/>
    </row>
    <row r="2520" spans="1:4" ht="12.5">
      <c r="A2520" s="1"/>
      <c r="B2520" s="1"/>
      <c r="C2520" s="1"/>
      <c r="D2520" s="1"/>
    </row>
    <row r="2521" spans="1:4" ht="12.5">
      <c r="A2521" s="1"/>
      <c r="B2521" s="1"/>
      <c r="C2521" s="1"/>
      <c r="D2521" s="1"/>
    </row>
    <row r="2522" spans="1:4" ht="12.5">
      <c r="A2522" s="1"/>
      <c r="B2522" s="1"/>
      <c r="C2522" s="1"/>
      <c r="D2522" s="1"/>
    </row>
    <row r="2523" spans="1:4" ht="12.5">
      <c r="A2523" s="1"/>
      <c r="B2523" s="1"/>
      <c r="C2523" s="1"/>
      <c r="D2523" s="1"/>
    </row>
    <row r="2524" spans="1:4" ht="12.5">
      <c r="A2524" s="1"/>
      <c r="B2524" s="1"/>
      <c r="C2524" s="1"/>
      <c r="D2524" s="1"/>
    </row>
    <row r="2525" spans="1:4" ht="12.5">
      <c r="A2525" s="1"/>
      <c r="B2525" s="1"/>
      <c r="C2525" s="1"/>
      <c r="D2525" s="1"/>
    </row>
    <row r="2526" spans="1:4" ht="12.5">
      <c r="A2526" s="1"/>
      <c r="B2526" s="1"/>
      <c r="C2526" s="1"/>
      <c r="D2526" s="1"/>
    </row>
    <row r="2527" spans="1:4" ht="12.5">
      <c r="A2527" s="1"/>
      <c r="B2527" s="1"/>
      <c r="C2527" s="1"/>
      <c r="D2527" s="1"/>
    </row>
    <row r="2528" spans="1:4" ht="12.5">
      <c r="A2528" s="1"/>
      <c r="B2528" s="1"/>
      <c r="C2528" s="1"/>
      <c r="D2528" s="1"/>
    </row>
    <row r="2529" spans="1:4" ht="12.5">
      <c r="A2529" s="1"/>
      <c r="B2529" s="1"/>
      <c r="C2529" s="1"/>
      <c r="D2529" s="1"/>
    </row>
    <row r="2530" spans="1:4" ht="12.5">
      <c r="A2530" s="1"/>
      <c r="B2530" s="1"/>
      <c r="C2530" s="1"/>
      <c r="D2530" s="1"/>
    </row>
    <row r="2531" spans="1:4" ht="12.5">
      <c r="A2531" s="1"/>
      <c r="B2531" s="1"/>
      <c r="C2531" s="1"/>
      <c r="D2531" s="1"/>
    </row>
    <row r="2532" spans="1:4" ht="12.5">
      <c r="A2532" s="1"/>
      <c r="B2532" s="1"/>
      <c r="C2532" s="1"/>
      <c r="D2532" s="1"/>
    </row>
    <row r="2533" spans="1:4" ht="12.5">
      <c r="A2533" s="1"/>
      <c r="B2533" s="1"/>
      <c r="C2533" s="1"/>
      <c r="D2533" s="1"/>
    </row>
    <row r="2534" spans="1:4" ht="12.5">
      <c r="A2534" s="1"/>
      <c r="B2534" s="1"/>
      <c r="C2534" s="1"/>
      <c r="D2534" s="1"/>
    </row>
    <row r="2535" spans="1:4" ht="12.5">
      <c r="A2535" s="1"/>
      <c r="B2535" s="1"/>
      <c r="C2535" s="1"/>
      <c r="D2535" s="1"/>
    </row>
    <row r="2536" spans="1:4" ht="12.5">
      <c r="A2536" s="1"/>
      <c r="B2536" s="1"/>
      <c r="C2536" s="1"/>
      <c r="D2536" s="1"/>
    </row>
    <row r="2537" spans="1:4" ht="12.5">
      <c r="A2537" s="1"/>
      <c r="B2537" s="1"/>
      <c r="C2537" s="1"/>
      <c r="D2537" s="1"/>
    </row>
    <row r="2538" spans="1:4" ht="12.5">
      <c r="A2538" s="1"/>
      <c r="B2538" s="1"/>
      <c r="C2538" s="1"/>
      <c r="D2538" s="1"/>
    </row>
    <row r="2539" spans="1:4" ht="12.5">
      <c r="A2539" s="1"/>
      <c r="B2539" s="1"/>
      <c r="C2539" s="1"/>
      <c r="D2539" s="1"/>
    </row>
    <row r="2540" spans="1:4" ht="12.5">
      <c r="A2540" s="1"/>
      <c r="B2540" s="1"/>
      <c r="C2540" s="1"/>
      <c r="D2540" s="1"/>
    </row>
    <row r="2541" spans="1:4" ht="12.5">
      <c r="A2541" s="1"/>
      <c r="B2541" s="1"/>
      <c r="C2541" s="1"/>
      <c r="D2541" s="1"/>
    </row>
    <row r="2542" spans="1:4" ht="12.5">
      <c r="A2542" s="1"/>
      <c r="B2542" s="1"/>
      <c r="C2542" s="1"/>
      <c r="D2542" s="1"/>
    </row>
    <row r="2543" spans="1:4" ht="12.5">
      <c r="A2543" s="1"/>
      <c r="B2543" s="1"/>
      <c r="C2543" s="1"/>
      <c r="D2543" s="1"/>
    </row>
    <row r="2544" spans="1:4" ht="12.5">
      <c r="A2544" s="1"/>
      <c r="B2544" s="1"/>
      <c r="C2544" s="1"/>
      <c r="D2544" s="1"/>
    </row>
    <row r="2545" spans="1:4" ht="12.5">
      <c r="A2545" s="1"/>
      <c r="B2545" s="1"/>
      <c r="C2545" s="1"/>
      <c r="D2545" s="1"/>
    </row>
    <row r="2546" spans="1:4" ht="12.5">
      <c r="A2546" s="1"/>
      <c r="B2546" s="1"/>
      <c r="C2546" s="1"/>
      <c r="D2546" s="1"/>
    </row>
    <row r="2547" spans="1:4" ht="12.5">
      <c r="A2547" s="1"/>
      <c r="B2547" s="1"/>
      <c r="C2547" s="1"/>
      <c r="D2547" s="1"/>
    </row>
    <row r="2548" spans="1:4" ht="12.5">
      <c r="A2548" s="1"/>
      <c r="B2548" s="1"/>
      <c r="C2548" s="1"/>
      <c r="D2548" s="1"/>
    </row>
    <row r="2549" spans="1:4" ht="12.5">
      <c r="A2549" s="1"/>
      <c r="B2549" s="1"/>
      <c r="C2549" s="1"/>
      <c r="D2549" s="1"/>
    </row>
    <row r="2550" spans="1:4" ht="12.5">
      <c r="A2550" s="1"/>
      <c r="B2550" s="1"/>
      <c r="C2550" s="1"/>
      <c r="D2550" s="1"/>
    </row>
    <row r="2551" spans="1:4" ht="12.5">
      <c r="A2551" s="1"/>
      <c r="B2551" s="1"/>
      <c r="C2551" s="1"/>
      <c r="D2551" s="1"/>
    </row>
    <row r="2552" spans="1:4" ht="12.5">
      <c r="A2552" s="1"/>
      <c r="B2552" s="1"/>
      <c r="C2552" s="1"/>
      <c r="D2552" s="1"/>
    </row>
    <row r="2553" spans="1:4" ht="12.5">
      <c r="A2553" s="1"/>
      <c r="B2553" s="1"/>
      <c r="C2553" s="1"/>
      <c r="D2553" s="1"/>
    </row>
    <row r="2554" spans="1:4" ht="12.5">
      <c r="A2554" s="1"/>
      <c r="B2554" s="1"/>
      <c r="C2554" s="1"/>
      <c r="D2554" s="1"/>
    </row>
    <row r="2555" spans="1:4" ht="12.5">
      <c r="A2555" s="1"/>
      <c r="B2555" s="1"/>
      <c r="C2555" s="1"/>
      <c r="D2555" s="1"/>
    </row>
    <row r="2556" spans="1:4" ht="12.5">
      <c r="A2556" s="1"/>
      <c r="B2556" s="1"/>
      <c r="C2556" s="1"/>
      <c r="D2556" s="1"/>
    </row>
    <row r="2557" spans="1:4" ht="12.5">
      <c r="A2557" s="1"/>
      <c r="B2557" s="1"/>
      <c r="C2557" s="1"/>
      <c r="D2557" s="1"/>
    </row>
    <row r="2558" spans="1:4" ht="12.5">
      <c r="A2558" s="1"/>
      <c r="B2558" s="1"/>
      <c r="C2558" s="1"/>
      <c r="D2558" s="1"/>
    </row>
    <row r="2559" spans="1:4" ht="12.5">
      <c r="A2559" s="1"/>
      <c r="B2559" s="1"/>
      <c r="C2559" s="1"/>
      <c r="D2559" s="1"/>
    </row>
    <row r="2560" spans="1:4" ht="12.5">
      <c r="A2560" s="1"/>
      <c r="B2560" s="1"/>
      <c r="C2560" s="1"/>
      <c r="D2560" s="1"/>
    </row>
    <row r="2561" spans="1:4" ht="12.5">
      <c r="A2561" s="1"/>
      <c r="B2561" s="1"/>
      <c r="C2561" s="1"/>
      <c r="D2561" s="1"/>
    </row>
    <row r="2562" spans="1:4" ht="12.5">
      <c r="A2562" s="1"/>
      <c r="B2562" s="1"/>
      <c r="C2562" s="1"/>
      <c r="D2562" s="1"/>
    </row>
    <row r="2563" spans="1:4" ht="12.5">
      <c r="A2563" s="1"/>
      <c r="B2563" s="1"/>
      <c r="C2563" s="1"/>
      <c r="D2563" s="1"/>
    </row>
    <row r="2564" spans="1:4" ht="12.5">
      <c r="A2564" s="1"/>
      <c r="B2564" s="1"/>
      <c r="C2564" s="1"/>
      <c r="D2564" s="1"/>
    </row>
    <row r="2565" spans="1:4" ht="12.5">
      <c r="A2565" s="1"/>
      <c r="B2565" s="1"/>
      <c r="C2565" s="1"/>
      <c r="D2565" s="1"/>
    </row>
    <row r="2566" spans="1:4" ht="12.5">
      <c r="A2566" s="1"/>
      <c r="B2566" s="1"/>
      <c r="C2566" s="1"/>
      <c r="D2566" s="1"/>
    </row>
    <row r="2567" spans="1:4" ht="12.5">
      <c r="A2567" s="1"/>
      <c r="B2567" s="1"/>
      <c r="C2567" s="1"/>
      <c r="D2567" s="1"/>
    </row>
    <row r="2568" spans="1:4" ht="12.5">
      <c r="A2568" s="1"/>
      <c r="B2568" s="1"/>
      <c r="C2568" s="1"/>
      <c r="D2568" s="1"/>
    </row>
    <row r="2569" spans="1:4" ht="12.5">
      <c r="A2569" s="1"/>
      <c r="B2569" s="1"/>
      <c r="C2569" s="1"/>
      <c r="D2569" s="1"/>
    </row>
    <row r="2570" spans="1:4" ht="12.5">
      <c r="A2570" s="1"/>
      <c r="B2570" s="1"/>
      <c r="C2570" s="1"/>
      <c r="D2570" s="1"/>
    </row>
    <row r="2571" spans="1:4" ht="12.5">
      <c r="A2571" s="1"/>
      <c r="B2571" s="1"/>
      <c r="C2571" s="1"/>
      <c r="D2571" s="1"/>
    </row>
    <row r="2572" spans="1:4" ht="12.5">
      <c r="A2572" s="1"/>
      <c r="B2572" s="1"/>
      <c r="C2572" s="1"/>
      <c r="D2572" s="1"/>
    </row>
    <row r="2573" spans="1:4" ht="12.5">
      <c r="A2573" s="1"/>
      <c r="B2573" s="1"/>
      <c r="C2573" s="1"/>
      <c r="D2573" s="1"/>
    </row>
    <row r="2574" spans="1:4" ht="12.5">
      <c r="A2574" s="1"/>
      <c r="B2574" s="1"/>
      <c r="C2574" s="1"/>
      <c r="D2574" s="1"/>
    </row>
    <row r="2575" spans="1:4" ht="12.5">
      <c r="A2575" s="1"/>
      <c r="B2575" s="1"/>
      <c r="C2575" s="1"/>
      <c r="D2575" s="1"/>
    </row>
    <row r="2576" spans="1:4" ht="12.5">
      <c r="A2576" s="1"/>
      <c r="B2576" s="1"/>
      <c r="C2576" s="1"/>
      <c r="D2576" s="1"/>
    </row>
    <row r="2577" spans="1:4" ht="12.5">
      <c r="A2577" s="1"/>
      <c r="B2577" s="1"/>
      <c r="C2577" s="1"/>
      <c r="D2577" s="1"/>
    </row>
    <row r="2578" spans="1:4" ht="12.5">
      <c r="A2578" s="1"/>
      <c r="B2578" s="1"/>
      <c r="C2578" s="1"/>
      <c r="D2578" s="1"/>
    </row>
    <row r="2579" spans="1:4" ht="12.5">
      <c r="A2579" s="1"/>
      <c r="B2579" s="1"/>
      <c r="C2579" s="1"/>
      <c r="D2579" s="1"/>
    </row>
    <row r="2580" spans="1:4" ht="12.5">
      <c r="A2580" s="1"/>
      <c r="B2580" s="1"/>
      <c r="C2580" s="1"/>
      <c r="D2580" s="1"/>
    </row>
    <row r="2581" spans="1:4" ht="12.5">
      <c r="A2581" s="1"/>
      <c r="B2581" s="1"/>
      <c r="C2581" s="1"/>
      <c r="D2581" s="1"/>
    </row>
    <row r="2582" spans="1:4" ht="12.5">
      <c r="A2582" s="1"/>
      <c r="B2582" s="1"/>
      <c r="C2582" s="1"/>
      <c r="D2582" s="1"/>
    </row>
    <row r="2583" spans="1:4" ht="12.5">
      <c r="A2583" s="1"/>
      <c r="B2583" s="1"/>
      <c r="C2583" s="1"/>
      <c r="D2583" s="1"/>
    </row>
    <row r="2584" spans="1:4" ht="12.5">
      <c r="A2584" s="1"/>
      <c r="B2584" s="1"/>
      <c r="C2584" s="1"/>
      <c r="D2584" s="1"/>
    </row>
    <row r="2585" spans="1:4" ht="12.5">
      <c r="A2585" s="1"/>
      <c r="B2585" s="1"/>
      <c r="C2585" s="1"/>
      <c r="D2585" s="1"/>
    </row>
    <row r="2586" spans="1:4" ht="12.5">
      <c r="A2586" s="1"/>
      <c r="B2586" s="1"/>
      <c r="C2586" s="1"/>
      <c r="D2586" s="1"/>
    </row>
    <row r="2587" spans="1:4" ht="12.5">
      <c r="A2587" s="1"/>
      <c r="B2587" s="1"/>
      <c r="C2587" s="1"/>
      <c r="D2587" s="1"/>
    </row>
    <row r="2588" spans="1:4" ht="12.5">
      <c r="A2588" s="1"/>
      <c r="B2588" s="1"/>
      <c r="C2588" s="1"/>
      <c r="D2588" s="1"/>
    </row>
    <row r="2589" spans="1:4" ht="12.5">
      <c r="A2589" s="1"/>
      <c r="B2589" s="1"/>
      <c r="C2589" s="1"/>
      <c r="D2589" s="1"/>
    </row>
    <row r="2590" spans="1:4" ht="12.5">
      <c r="A2590" s="1"/>
      <c r="B2590" s="1"/>
      <c r="C2590" s="1"/>
      <c r="D2590" s="1"/>
    </row>
    <row r="2591" spans="1:4" ht="12.5">
      <c r="A2591" s="1"/>
      <c r="B2591" s="1"/>
      <c r="C2591" s="1"/>
      <c r="D2591" s="1"/>
    </row>
    <row r="2592" spans="1:4" ht="12.5">
      <c r="A2592" s="1"/>
      <c r="B2592" s="1"/>
      <c r="C2592" s="1"/>
      <c r="D2592" s="1"/>
    </row>
    <row r="2593" spans="1:4" ht="12.5">
      <c r="A2593" s="1"/>
      <c r="B2593" s="1"/>
      <c r="C2593" s="1"/>
      <c r="D2593" s="1"/>
    </row>
    <row r="2594" spans="1:4" ht="12.5">
      <c r="A2594" s="1"/>
      <c r="B2594" s="1"/>
      <c r="C2594" s="1"/>
      <c r="D2594" s="1"/>
    </row>
    <row r="2595" spans="1:4" ht="12.5">
      <c r="A2595" s="1"/>
      <c r="B2595" s="1"/>
      <c r="C2595" s="1"/>
      <c r="D2595" s="1"/>
    </row>
    <row r="2596" spans="1:4" ht="12.5">
      <c r="A2596" s="1"/>
      <c r="B2596" s="1"/>
      <c r="C2596" s="1"/>
      <c r="D2596" s="1"/>
    </row>
    <row r="2597" spans="1:4" ht="12.5">
      <c r="A2597" s="1"/>
      <c r="B2597" s="1"/>
      <c r="C2597" s="1"/>
      <c r="D2597" s="1"/>
    </row>
    <row r="2598" spans="1:4" ht="12.5">
      <c r="A2598" s="1"/>
      <c r="B2598" s="1"/>
      <c r="C2598" s="1"/>
      <c r="D2598" s="1"/>
    </row>
    <row r="2599" spans="1:4" ht="12.5">
      <c r="A2599" s="1"/>
      <c r="B2599" s="1"/>
      <c r="C2599" s="1"/>
      <c r="D2599" s="1"/>
    </row>
    <row r="2600" spans="1:4" ht="12.5">
      <c r="A2600" s="1"/>
      <c r="B2600" s="1"/>
      <c r="C2600" s="1"/>
      <c r="D2600" s="1"/>
    </row>
    <row r="2601" spans="1:4" ht="12.5">
      <c r="A2601" s="1"/>
      <c r="B2601" s="1"/>
      <c r="C2601" s="1"/>
      <c r="D2601" s="1"/>
    </row>
    <row r="2602" spans="1:4" ht="12.5">
      <c r="A2602" s="1"/>
      <c r="B2602" s="1"/>
      <c r="C2602" s="1"/>
      <c r="D2602" s="1"/>
    </row>
    <row r="2603" spans="1:4" ht="12.5">
      <c r="A2603" s="1"/>
      <c r="B2603" s="1"/>
      <c r="C2603" s="1"/>
      <c r="D2603" s="1"/>
    </row>
    <row r="2604" spans="1:4" ht="12.5">
      <c r="A2604" s="1"/>
      <c r="B2604" s="1"/>
      <c r="C2604" s="1"/>
      <c r="D2604" s="1"/>
    </row>
    <row r="2605" spans="1:4" ht="12.5">
      <c r="A2605" s="1"/>
      <c r="B2605" s="1"/>
      <c r="C2605" s="1"/>
      <c r="D2605" s="1"/>
    </row>
    <row r="2606" spans="1:4" ht="12.5">
      <c r="A2606" s="1"/>
      <c r="B2606" s="1"/>
      <c r="C2606" s="1"/>
      <c r="D2606" s="1"/>
    </row>
    <row r="2607" spans="1:4" ht="12.5">
      <c r="A2607" s="1"/>
      <c r="B2607" s="1"/>
      <c r="C2607" s="1"/>
      <c r="D2607" s="1"/>
    </row>
    <row r="2608" spans="1:4" ht="12.5">
      <c r="A2608" s="1"/>
      <c r="B2608" s="1"/>
      <c r="C2608" s="1"/>
      <c r="D2608" s="1"/>
    </row>
    <row r="2609" spans="1:4" ht="12.5">
      <c r="A2609" s="1"/>
      <c r="B2609" s="1"/>
      <c r="C2609" s="1"/>
      <c r="D2609" s="1"/>
    </row>
    <row r="2610" spans="1:4" ht="12.5">
      <c r="A2610" s="1"/>
      <c r="B2610" s="1"/>
      <c r="C2610" s="1"/>
      <c r="D2610" s="1"/>
    </row>
    <row r="2611" spans="1:4" ht="12.5">
      <c r="A2611" s="1"/>
      <c r="B2611" s="1"/>
      <c r="C2611" s="1"/>
      <c r="D2611" s="1"/>
    </row>
    <row r="2612" spans="1:4" ht="12.5">
      <c r="A2612" s="1"/>
      <c r="B2612" s="1"/>
      <c r="C2612" s="1"/>
      <c r="D2612" s="1"/>
    </row>
    <row r="2613" spans="1:4" ht="12.5">
      <c r="A2613" s="1"/>
      <c r="B2613" s="1"/>
      <c r="C2613" s="1"/>
      <c r="D2613" s="1"/>
    </row>
    <row r="2614" spans="1:4" ht="12.5">
      <c r="A2614" s="1"/>
      <c r="B2614" s="1"/>
      <c r="C2614" s="1"/>
      <c r="D2614" s="1"/>
    </row>
    <row r="2615" spans="1:4" ht="12.5">
      <c r="A2615" s="1"/>
      <c r="B2615" s="1"/>
      <c r="C2615" s="1"/>
      <c r="D2615" s="1"/>
    </row>
    <row r="2616" spans="1:4" ht="12.5">
      <c r="A2616" s="1"/>
      <c r="B2616" s="1"/>
      <c r="C2616" s="1"/>
      <c r="D2616" s="1"/>
    </row>
    <row r="2617" spans="1:4" ht="12.5">
      <c r="A2617" s="1"/>
      <c r="B2617" s="1"/>
      <c r="C2617" s="1"/>
      <c r="D2617" s="1"/>
    </row>
    <row r="2618" spans="1:4" ht="12.5">
      <c r="A2618" s="1"/>
      <c r="B2618" s="1"/>
      <c r="C2618" s="1"/>
      <c r="D2618" s="1"/>
    </row>
    <row r="2619" spans="1:4" ht="12.5">
      <c r="A2619" s="1"/>
      <c r="B2619" s="1"/>
      <c r="C2619" s="1"/>
      <c r="D2619" s="1"/>
    </row>
    <row r="2620" spans="1:4" ht="12.5">
      <c r="A2620" s="1"/>
      <c r="B2620" s="1"/>
      <c r="C2620" s="1"/>
      <c r="D2620" s="1"/>
    </row>
    <row r="2621" spans="1:4" ht="12.5">
      <c r="A2621" s="1"/>
      <c r="B2621" s="1"/>
      <c r="C2621" s="1"/>
      <c r="D2621" s="1"/>
    </row>
    <row r="2622" spans="1:4" ht="12.5">
      <c r="A2622" s="1"/>
      <c r="B2622" s="1"/>
      <c r="C2622" s="1"/>
      <c r="D2622" s="1"/>
    </row>
    <row r="2623" spans="1:4" ht="12.5">
      <c r="A2623" s="1"/>
      <c r="B2623" s="1"/>
      <c r="C2623" s="1"/>
      <c r="D2623" s="1"/>
    </row>
    <row r="2624" spans="1:4" ht="12.5">
      <c r="A2624" s="1"/>
      <c r="B2624" s="1"/>
      <c r="C2624" s="1"/>
      <c r="D2624" s="1"/>
    </row>
    <row r="2625" spans="1:4" ht="12.5">
      <c r="A2625" s="1"/>
      <c r="B2625" s="1"/>
      <c r="C2625" s="1"/>
      <c r="D2625" s="1"/>
    </row>
    <row r="2626" spans="1:4" ht="12.5">
      <c r="A2626" s="1"/>
      <c r="B2626" s="1"/>
      <c r="C2626" s="1"/>
      <c r="D2626" s="1"/>
    </row>
    <row r="2627" spans="1:4" ht="12.5">
      <c r="A2627" s="1"/>
      <c r="B2627" s="1"/>
      <c r="C2627" s="1"/>
      <c r="D2627" s="1"/>
    </row>
    <row r="2628" spans="1:4" ht="12.5">
      <c r="A2628" s="1"/>
      <c r="B2628" s="1"/>
      <c r="C2628" s="1"/>
      <c r="D2628" s="1"/>
    </row>
    <row r="2629" spans="1:4" ht="12.5">
      <c r="A2629" s="1"/>
      <c r="B2629" s="1"/>
      <c r="C2629" s="1"/>
      <c r="D2629" s="1"/>
    </row>
    <row r="2630" spans="1:4" ht="12.5">
      <c r="A2630" s="1"/>
      <c r="B2630" s="1"/>
      <c r="C2630" s="1"/>
      <c r="D2630" s="1"/>
    </row>
    <row r="2631" spans="1:4" ht="12.5">
      <c r="A2631" s="1"/>
      <c r="B2631" s="1"/>
      <c r="C2631" s="1"/>
      <c r="D2631" s="1"/>
    </row>
    <row r="2632" spans="1:4" ht="12.5">
      <c r="A2632" s="1"/>
      <c r="B2632" s="1"/>
      <c r="C2632" s="1"/>
      <c r="D2632" s="1"/>
    </row>
    <row r="2633" spans="1:4" ht="12.5">
      <c r="A2633" s="1"/>
      <c r="B2633" s="1"/>
      <c r="C2633" s="1"/>
      <c r="D2633" s="1"/>
    </row>
    <row r="2634" spans="1:4" ht="12.5">
      <c r="A2634" s="1"/>
      <c r="B2634" s="1"/>
      <c r="C2634" s="1"/>
      <c r="D2634" s="1"/>
    </row>
    <row r="2635" spans="1:4" ht="12.5">
      <c r="A2635" s="1"/>
      <c r="B2635" s="1"/>
      <c r="C2635" s="1"/>
      <c r="D2635" s="1"/>
    </row>
    <row r="2636" spans="1:4" ht="12.5">
      <c r="A2636" s="1"/>
      <c r="B2636" s="1"/>
      <c r="C2636" s="1"/>
      <c r="D2636" s="1"/>
    </row>
    <row r="2637" spans="1:4" ht="12.5">
      <c r="A2637" s="1"/>
      <c r="B2637" s="1"/>
      <c r="C2637" s="1"/>
      <c r="D2637" s="1"/>
    </row>
    <row r="2638" spans="1:4" ht="12.5">
      <c r="A2638" s="1"/>
      <c r="B2638" s="1"/>
      <c r="C2638" s="1"/>
      <c r="D2638" s="1"/>
    </row>
    <row r="2639" spans="1:4" ht="12.5">
      <c r="A2639" s="1"/>
      <c r="B2639" s="1"/>
      <c r="C2639" s="1"/>
      <c r="D2639" s="1"/>
    </row>
    <row r="2640" spans="1:4" ht="12.5">
      <c r="A2640" s="1"/>
      <c r="B2640" s="1"/>
      <c r="C2640" s="1"/>
      <c r="D2640" s="1"/>
    </row>
    <row r="2641" spans="1:4" ht="12.5">
      <c r="A2641" s="1"/>
      <c r="B2641" s="1"/>
      <c r="C2641" s="1"/>
      <c r="D2641" s="1"/>
    </row>
    <row r="2642" spans="1:4" ht="12.5">
      <c r="A2642" s="1"/>
      <c r="B2642" s="1"/>
      <c r="C2642" s="1"/>
      <c r="D2642" s="1"/>
    </row>
    <row r="2643" spans="1:4" ht="12.5">
      <c r="A2643" s="1"/>
      <c r="B2643" s="1"/>
      <c r="C2643" s="1"/>
      <c r="D2643" s="1"/>
    </row>
    <row r="2644" spans="1:4" ht="12.5">
      <c r="A2644" s="1"/>
      <c r="B2644" s="1"/>
      <c r="C2644" s="1"/>
      <c r="D2644" s="1"/>
    </row>
    <row r="2645" spans="1:4" ht="12.5">
      <c r="A2645" s="1"/>
      <c r="B2645" s="1"/>
      <c r="C2645" s="1"/>
      <c r="D2645" s="1"/>
    </row>
    <row r="2646" spans="1:4" ht="12.5">
      <c r="A2646" s="1"/>
      <c r="B2646" s="1"/>
      <c r="C2646" s="1"/>
      <c r="D2646" s="1"/>
    </row>
    <row r="2647" spans="1:4" ht="12.5">
      <c r="A2647" s="1"/>
      <c r="B2647" s="1"/>
      <c r="C2647" s="1"/>
      <c r="D2647" s="1"/>
    </row>
    <row r="2648" spans="1:4" ht="12.5">
      <c r="A2648" s="1"/>
      <c r="B2648" s="1"/>
      <c r="C2648" s="1"/>
      <c r="D2648" s="1"/>
    </row>
    <row r="2649" spans="1:4" ht="12.5">
      <c r="A2649" s="1"/>
      <c r="B2649" s="1"/>
      <c r="C2649" s="1"/>
      <c r="D2649" s="1"/>
    </row>
    <row r="2650" spans="1:4" ht="12.5">
      <c r="A2650" s="1"/>
      <c r="B2650" s="1"/>
      <c r="C2650" s="1"/>
      <c r="D2650" s="1"/>
    </row>
    <row r="2651" spans="1:4" ht="12.5">
      <c r="A2651" s="1"/>
      <c r="B2651" s="1"/>
      <c r="C2651" s="1"/>
      <c r="D2651" s="1"/>
    </row>
    <row r="2652" spans="1:4" ht="12.5">
      <c r="A2652" s="1"/>
      <c r="B2652" s="1"/>
      <c r="C2652" s="1"/>
      <c r="D2652" s="1"/>
    </row>
    <row r="2653" spans="1:4" ht="12.5">
      <c r="A2653" s="1"/>
      <c r="B2653" s="1"/>
      <c r="C2653" s="1"/>
      <c r="D2653" s="1"/>
    </row>
    <row r="2654" spans="1:4" ht="12.5">
      <c r="A2654" s="1"/>
      <c r="B2654" s="1"/>
      <c r="C2654" s="1"/>
      <c r="D2654" s="1"/>
    </row>
    <row r="2655" spans="1:4" ht="12.5">
      <c r="A2655" s="1"/>
      <c r="B2655" s="1"/>
      <c r="C2655" s="1"/>
      <c r="D2655" s="1"/>
    </row>
    <row r="2656" spans="1:4" ht="12.5">
      <c r="A2656" s="1"/>
      <c r="B2656" s="1"/>
      <c r="C2656" s="1"/>
      <c r="D2656" s="1"/>
    </row>
    <row r="2657" spans="1:4" ht="12.5">
      <c r="A2657" s="1"/>
      <c r="B2657" s="1"/>
      <c r="C2657" s="1"/>
      <c r="D2657" s="1"/>
    </row>
    <row r="2658" spans="1:4" ht="12.5">
      <c r="A2658" s="1"/>
      <c r="B2658" s="1"/>
      <c r="C2658" s="1"/>
      <c r="D2658" s="1"/>
    </row>
    <row r="2659" spans="1:4" ht="12.5">
      <c r="A2659" s="1"/>
      <c r="B2659" s="1"/>
      <c r="C2659" s="1"/>
      <c r="D2659" s="1"/>
    </row>
    <row r="2660" spans="1:4" ht="12.5">
      <c r="A2660" s="1"/>
      <c r="B2660" s="1"/>
      <c r="C2660" s="1"/>
      <c r="D2660" s="1"/>
    </row>
    <row r="2661" spans="1:4" ht="12.5">
      <c r="A2661" s="1"/>
      <c r="B2661" s="1"/>
      <c r="C2661" s="1"/>
      <c r="D2661" s="1"/>
    </row>
    <row r="2662" spans="1:4" ht="12.5">
      <c r="A2662" s="1"/>
      <c r="B2662" s="1"/>
      <c r="C2662" s="1"/>
      <c r="D2662" s="1"/>
    </row>
    <row r="2663" spans="1:4" ht="12.5">
      <c r="A2663" s="1"/>
      <c r="B2663" s="1"/>
      <c r="C2663" s="1"/>
      <c r="D2663" s="1"/>
    </row>
    <row r="2664" spans="1:4" ht="12.5">
      <c r="A2664" s="1"/>
      <c r="B2664" s="1"/>
      <c r="C2664" s="1"/>
      <c r="D2664" s="1"/>
    </row>
    <row r="2665" spans="1:4" ht="12.5">
      <c r="A2665" s="1"/>
      <c r="B2665" s="1"/>
      <c r="C2665" s="1"/>
      <c r="D2665" s="1"/>
    </row>
    <row r="2666" spans="1:4" ht="12.5">
      <c r="A2666" s="1"/>
      <c r="B2666" s="1"/>
      <c r="C2666" s="1"/>
      <c r="D2666" s="1"/>
    </row>
    <row r="2667" spans="1:4" ht="12.5">
      <c r="A2667" s="1"/>
      <c r="B2667" s="1"/>
      <c r="C2667" s="1"/>
      <c r="D2667" s="1"/>
    </row>
    <row r="2668" spans="1:4" ht="12.5">
      <c r="A2668" s="1"/>
      <c r="B2668" s="1"/>
      <c r="C2668" s="1"/>
      <c r="D2668" s="1"/>
    </row>
    <row r="2669" spans="1:4" ht="12.5">
      <c r="A2669" s="1"/>
      <c r="B2669" s="1"/>
      <c r="C2669" s="1"/>
      <c r="D2669" s="1"/>
    </row>
    <row r="2670" spans="1:4" ht="12.5">
      <c r="A2670" s="1"/>
      <c r="B2670" s="1"/>
      <c r="C2670" s="1"/>
      <c r="D2670" s="1"/>
    </row>
    <row r="2671" spans="1:4" ht="12.5">
      <c r="A2671" s="1"/>
      <c r="B2671" s="1"/>
      <c r="C2671" s="1"/>
      <c r="D2671" s="1"/>
    </row>
    <row r="2672" spans="1:4" ht="12.5">
      <c r="A2672" s="1"/>
      <c r="B2672" s="1"/>
      <c r="C2672" s="1"/>
      <c r="D2672" s="1"/>
    </row>
    <row r="2673" spans="1:4" ht="12.5">
      <c r="A2673" s="1"/>
      <c r="B2673" s="1"/>
      <c r="C2673" s="1"/>
      <c r="D2673" s="1"/>
    </row>
    <row r="2674" spans="1:4" ht="12.5">
      <c r="A2674" s="1"/>
      <c r="B2674" s="1"/>
      <c r="C2674" s="1"/>
      <c r="D2674" s="1"/>
    </row>
    <row r="2675" spans="1:4" ht="12.5">
      <c r="A2675" s="1"/>
      <c r="B2675" s="1"/>
      <c r="C2675" s="1"/>
      <c r="D2675" s="1"/>
    </row>
    <row r="2676" spans="1:4" ht="12.5">
      <c r="A2676" s="1"/>
      <c r="B2676" s="1"/>
      <c r="C2676" s="1"/>
      <c r="D2676" s="1"/>
    </row>
    <row r="2677" spans="1:4" ht="12.5">
      <c r="A2677" s="1"/>
      <c r="B2677" s="1"/>
      <c r="C2677" s="1"/>
      <c r="D2677" s="1"/>
    </row>
    <row r="2678" spans="1:4" ht="12.5">
      <c r="A2678" s="1"/>
      <c r="B2678" s="1"/>
      <c r="C2678" s="1"/>
      <c r="D2678" s="1"/>
    </row>
    <row r="2679" spans="1:4" ht="12.5">
      <c r="A2679" s="1"/>
      <c r="B2679" s="1"/>
      <c r="C2679" s="1"/>
      <c r="D2679" s="1"/>
    </row>
    <row r="2680" spans="1:4" ht="12.5">
      <c r="A2680" s="1"/>
      <c r="B2680" s="1"/>
      <c r="C2680" s="1"/>
      <c r="D2680" s="1"/>
    </row>
    <row r="2681" spans="1:4" ht="12.5">
      <c r="A2681" s="1"/>
      <c r="B2681" s="1"/>
      <c r="C2681" s="1"/>
      <c r="D2681" s="1"/>
    </row>
    <row r="2682" spans="1:4" ht="12.5">
      <c r="A2682" s="1"/>
      <c r="B2682" s="1"/>
      <c r="C2682" s="1"/>
      <c r="D2682" s="1"/>
    </row>
    <row r="2683" spans="1:4" ht="12.5">
      <c r="A2683" s="1"/>
      <c r="B2683" s="1"/>
      <c r="C2683" s="1"/>
      <c r="D2683" s="1"/>
    </row>
    <row r="2684" spans="1:4" ht="12.5">
      <c r="A2684" s="1"/>
      <c r="B2684" s="1"/>
      <c r="C2684" s="1"/>
      <c r="D2684" s="1"/>
    </row>
    <row r="2685" spans="1:4" ht="12.5">
      <c r="A2685" s="1"/>
      <c r="B2685" s="1"/>
      <c r="C2685" s="1"/>
      <c r="D2685" s="1"/>
    </row>
    <row r="2686" spans="1:4" ht="12.5">
      <c r="A2686" s="1"/>
      <c r="B2686" s="1"/>
      <c r="C2686" s="1"/>
      <c r="D2686" s="1"/>
    </row>
    <row r="2687" spans="1:4" ht="12.5">
      <c r="A2687" s="1"/>
      <c r="B2687" s="1"/>
      <c r="C2687" s="1"/>
      <c r="D2687" s="1"/>
    </row>
    <row r="2688" spans="1:4" ht="12.5">
      <c r="A2688" s="1"/>
      <c r="B2688" s="1"/>
      <c r="C2688" s="1"/>
      <c r="D2688" s="1"/>
    </row>
    <row r="2689" spans="1:4" ht="12.5">
      <c r="A2689" s="1"/>
      <c r="B2689" s="1"/>
      <c r="C2689" s="1"/>
      <c r="D2689" s="1"/>
    </row>
    <row r="2690" spans="1:4" ht="12.5">
      <c r="A2690" s="1"/>
      <c r="B2690" s="1"/>
      <c r="C2690" s="1"/>
      <c r="D2690" s="1"/>
    </row>
    <row r="2691" spans="1:4" ht="12.5">
      <c r="A2691" s="1"/>
      <c r="B2691" s="1"/>
      <c r="C2691" s="1"/>
      <c r="D2691" s="1"/>
    </row>
    <row r="2692" spans="1:4" ht="12.5">
      <c r="A2692" s="1"/>
      <c r="B2692" s="1"/>
      <c r="C2692" s="1"/>
      <c r="D2692" s="1"/>
    </row>
    <row r="2693" spans="1:4" ht="12.5">
      <c r="A2693" s="1"/>
      <c r="B2693" s="1"/>
      <c r="C2693" s="1"/>
      <c r="D2693" s="1"/>
    </row>
    <row r="2694" spans="1:4" ht="12.5">
      <c r="A2694" s="1"/>
      <c r="B2694" s="1"/>
      <c r="C2694" s="1"/>
      <c r="D2694" s="1"/>
    </row>
    <row r="2695" spans="1:4" ht="12.5">
      <c r="A2695" s="1"/>
      <c r="B2695" s="1"/>
      <c r="C2695" s="1"/>
      <c r="D2695" s="1"/>
    </row>
    <row r="2696" spans="1:4" ht="12.5">
      <c r="A2696" s="1"/>
      <c r="B2696" s="1"/>
      <c r="C2696" s="1"/>
      <c r="D2696" s="1"/>
    </row>
    <row r="2697" spans="1:4" ht="12.5">
      <c r="A2697" s="1"/>
      <c r="B2697" s="1"/>
      <c r="C2697" s="1"/>
      <c r="D2697" s="1"/>
    </row>
    <row r="2698" spans="1:4" ht="12.5">
      <c r="A2698" s="1"/>
      <c r="B2698" s="1"/>
      <c r="C2698" s="1"/>
      <c r="D2698" s="1"/>
    </row>
    <row r="2699" spans="1:4" ht="12.5">
      <c r="A2699" s="1"/>
      <c r="B2699" s="1"/>
      <c r="C2699" s="1"/>
      <c r="D2699" s="1"/>
    </row>
    <row r="2700" spans="1:4" ht="12.5">
      <c r="A2700" s="1"/>
      <c r="B2700" s="1"/>
      <c r="C2700" s="1"/>
      <c r="D2700" s="1"/>
    </row>
    <row r="2701" spans="1:4" ht="12.5">
      <c r="A2701" s="1"/>
      <c r="B2701" s="1"/>
      <c r="C2701" s="1"/>
      <c r="D2701" s="1"/>
    </row>
    <row r="2702" spans="1:4" ht="12.5">
      <c r="A2702" s="1"/>
      <c r="B2702" s="1"/>
      <c r="C2702" s="1"/>
      <c r="D2702" s="1"/>
    </row>
    <row r="2703" spans="1:4" ht="12.5">
      <c r="A2703" s="1"/>
      <c r="B2703" s="1"/>
      <c r="C2703" s="1"/>
      <c r="D2703" s="1"/>
    </row>
    <row r="2704" spans="1:4" ht="12.5">
      <c r="A2704" s="1"/>
      <c r="B2704" s="1"/>
      <c r="C2704" s="1"/>
      <c r="D2704" s="1"/>
    </row>
    <row r="2705" spans="1:4" ht="12.5">
      <c r="A2705" s="1"/>
      <c r="B2705" s="1"/>
      <c r="C2705" s="1"/>
      <c r="D2705" s="1"/>
    </row>
    <row r="2706" spans="1:4" ht="12.5">
      <c r="A2706" s="1"/>
      <c r="B2706" s="1"/>
      <c r="C2706" s="1"/>
      <c r="D2706" s="1"/>
    </row>
    <row r="2707" spans="1:4" ht="12.5">
      <c r="A2707" s="1"/>
      <c r="B2707" s="1"/>
      <c r="C2707" s="1"/>
      <c r="D2707" s="1"/>
    </row>
    <row r="2708" spans="1:4" ht="12.5">
      <c r="A2708" s="1"/>
      <c r="B2708" s="1"/>
      <c r="C2708" s="1"/>
      <c r="D2708" s="1"/>
    </row>
    <row r="2709" spans="1:4" ht="12.5">
      <c r="A2709" s="1"/>
      <c r="B2709" s="1"/>
      <c r="C2709" s="1"/>
      <c r="D2709" s="1"/>
    </row>
    <row r="2710" spans="1:4" ht="12.5">
      <c r="A2710" s="1"/>
      <c r="B2710" s="1"/>
      <c r="C2710" s="1"/>
      <c r="D2710" s="1"/>
    </row>
    <row r="2711" spans="1:4" ht="12.5">
      <c r="A2711" s="1"/>
      <c r="B2711" s="1"/>
      <c r="C2711" s="1"/>
      <c r="D2711" s="1"/>
    </row>
    <row r="2712" spans="1:4" ht="12.5">
      <c r="A2712" s="1"/>
      <c r="B2712" s="1"/>
      <c r="C2712" s="1"/>
      <c r="D2712" s="1"/>
    </row>
    <row r="2713" spans="1:4" ht="12.5">
      <c r="A2713" s="1"/>
      <c r="B2713" s="1"/>
      <c r="C2713" s="1"/>
      <c r="D2713" s="1"/>
    </row>
    <row r="2714" spans="1:4" ht="12.5">
      <c r="A2714" s="1"/>
      <c r="B2714" s="1"/>
      <c r="C2714" s="1"/>
      <c r="D2714" s="1"/>
    </row>
    <row r="2715" spans="1:4" ht="12.5">
      <c r="A2715" s="1"/>
      <c r="B2715" s="1"/>
      <c r="C2715" s="1"/>
      <c r="D2715" s="1"/>
    </row>
    <row r="2716" spans="1:4" ht="12.5">
      <c r="A2716" s="1"/>
      <c r="B2716" s="1"/>
      <c r="C2716" s="1"/>
      <c r="D2716" s="1"/>
    </row>
    <row r="2717" spans="1:4" ht="12.5">
      <c r="A2717" s="1"/>
      <c r="B2717" s="1"/>
      <c r="C2717" s="1"/>
      <c r="D2717" s="1"/>
    </row>
    <row r="2718" spans="1:4" ht="12.5">
      <c r="A2718" s="1"/>
      <c r="B2718" s="1"/>
      <c r="C2718" s="1"/>
      <c r="D2718" s="1"/>
    </row>
    <row r="2719" spans="1:4" ht="12.5">
      <c r="A2719" s="1"/>
      <c r="B2719" s="1"/>
      <c r="C2719" s="1"/>
      <c r="D2719" s="1"/>
    </row>
    <row r="2720" spans="1:4" ht="12.5">
      <c r="A2720" s="1"/>
      <c r="B2720" s="1"/>
      <c r="C2720" s="1"/>
      <c r="D2720" s="1"/>
    </row>
    <row r="2721" spans="1:4" ht="12.5">
      <c r="A2721" s="1"/>
      <c r="B2721" s="1"/>
      <c r="C2721" s="1"/>
      <c r="D2721" s="1"/>
    </row>
    <row r="2722" spans="1:4" ht="12.5">
      <c r="A2722" s="1"/>
      <c r="B2722" s="1"/>
      <c r="C2722" s="1"/>
      <c r="D2722" s="1"/>
    </row>
    <row r="2723" spans="1:4" ht="12.5">
      <c r="A2723" s="1"/>
      <c r="B2723" s="1"/>
      <c r="C2723" s="1"/>
      <c r="D2723" s="1"/>
    </row>
    <row r="2724" spans="1:4" ht="12.5">
      <c r="A2724" s="1"/>
      <c r="B2724" s="1"/>
      <c r="C2724" s="1"/>
      <c r="D2724" s="1"/>
    </row>
    <row r="2725" spans="1:4" ht="12.5">
      <c r="A2725" s="1"/>
      <c r="B2725" s="1"/>
      <c r="C2725" s="1"/>
      <c r="D2725" s="1"/>
    </row>
    <row r="2726" spans="1:4" ht="12.5">
      <c r="A2726" s="1"/>
      <c r="B2726" s="1"/>
      <c r="C2726" s="1"/>
      <c r="D2726" s="1"/>
    </row>
    <row r="2727" spans="1:4" ht="12.5">
      <c r="A2727" s="1"/>
      <c r="B2727" s="1"/>
      <c r="C2727" s="1"/>
      <c r="D2727" s="1"/>
    </row>
    <row r="2728" spans="1:4" ht="12.5">
      <c r="A2728" s="1"/>
      <c r="B2728" s="1"/>
      <c r="C2728" s="1"/>
      <c r="D2728" s="1"/>
    </row>
    <row r="2729" spans="1:4" ht="12.5">
      <c r="A2729" s="1"/>
      <c r="B2729" s="1"/>
      <c r="C2729" s="1"/>
      <c r="D2729" s="1"/>
    </row>
    <row r="2730" spans="1:4" ht="12.5">
      <c r="A2730" s="1"/>
      <c r="B2730" s="1"/>
      <c r="C2730" s="1"/>
      <c r="D2730" s="1"/>
    </row>
    <row r="2731" spans="1:4" ht="12.5">
      <c r="A2731" s="1"/>
      <c r="B2731" s="1"/>
      <c r="C2731" s="1"/>
      <c r="D2731" s="1"/>
    </row>
    <row r="2732" spans="1:4" ht="12.5">
      <c r="A2732" s="1"/>
      <c r="B2732" s="1"/>
      <c r="C2732" s="1"/>
      <c r="D2732" s="1"/>
    </row>
    <row r="2733" spans="1:4" ht="12.5">
      <c r="A2733" s="1"/>
      <c r="B2733" s="1"/>
      <c r="C2733" s="1"/>
      <c r="D2733" s="1"/>
    </row>
    <row r="2734" spans="1:4" ht="12.5">
      <c r="A2734" s="1"/>
      <c r="B2734" s="1"/>
      <c r="C2734" s="1"/>
      <c r="D2734" s="1"/>
    </row>
    <row r="2735" spans="1:4" ht="12.5">
      <c r="A2735" s="1"/>
      <c r="B2735" s="1"/>
      <c r="C2735" s="1"/>
      <c r="D2735" s="1"/>
    </row>
    <row r="2736" spans="1:4" ht="12.5">
      <c r="A2736" s="1"/>
      <c r="B2736" s="1"/>
      <c r="C2736" s="1"/>
      <c r="D2736" s="1"/>
    </row>
    <row r="2737" spans="1:4" ht="12.5">
      <c r="A2737" s="1"/>
      <c r="B2737" s="1"/>
      <c r="C2737" s="1"/>
      <c r="D2737" s="1"/>
    </row>
    <row r="2738" spans="1:4" ht="12.5">
      <c r="A2738" s="1"/>
      <c r="B2738" s="1"/>
      <c r="C2738" s="1"/>
      <c r="D2738" s="1"/>
    </row>
    <row r="2739" spans="1:4" ht="12.5">
      <c r="A2739" s="1"/>
      <c r="B2739" s="1"/>
      <c r="C2739" s="1"/>
      <c r="D2739" s="1"/>
    </row>
    <row r="2740" spans="1:4" ht="12.5">
      <c r="A2740" s="1"/>
      <c r="B2740" s="1"/>
      <c r="C2740" s="1"/>
      <c r="D2740" s="1"/>
    </row>
    <row r="2741" spans="1:4" ht="12.5">
      <c r="A2741" s="1"/>
      <c r="B2741" s="1"/>
      <c r="C2741" s="1"/>
      <c r="D2741" s="1"/>
    </row>
    <row r="2742" spans="1:4" ht="12.5">
      <c r="A2742" s="1"/>
      <c r="B2742" s="1"/>
      <c r="C2742" s="1"/>
      <c r="D2742" s="1"/>
    </row>
    <row r="2743" spans="1:4" ht="12.5">
      <c r="A2743" s="1"/>
      <c r="B2743" s="1"/>
      <c r="C2743" s="1"/>
      <c r="D2743" s="1"/>
    </row>
    <row r="2744" spans="1:4" ht="12.5">
      <c r="A2744" s="1"/>
      <c r="B2744" s="1"/>
      <c r="C2744" s="1"/>
      <c r="D2744" s="1"/>
    </row>
    <row r="2745" spans="1:4" ht="12.5">
      <c r="A2745" s="1"/>
      <c r="B2745" s="1"/>
      <c r="C2745" s="1"/>
      <c r="D2745" s="1"/>
    </row>
    <row r="2746" spans="1:4" ht="12.5">
      <c r="A2746" s="1"/>
      <c r="B2746" s="1"/>
      <c r="C2746" s="1"/>
      <c r="D2746" s="1"/>
    </row>
    <row r="2747" spans="1:4" ht="12.5">
      <c r="A2747" s="1"/>
      <c r="B2747" s="1"/>
      <c r="C2747" s="1"/>
      <c r="D2747" s="1"/>
    </row>
    <row r="2748" spans="1:4" ht="12.5">
      <c r="A2748" s="1"/>
      <c r="B2748" s="1"/>
      <c r="C2748" s="1"/>
      <c r="D2748" s="1"/>
    </row>
    <row r="2749" spans="1:4" ht="12.5">
      <c r="A2749" s="1"/>
      <c r="B2749" s="1"/>
      <c r="C2749" s="1"/>
      <c r="D2749" s="1"/>
    </row>
    <row r="2750" spans="1:4" ht="12.5">
      <c r="A2750" s="1"/>
      <c r="B2750" s="1"/>
      <c r="C2750" s="1"/>
      <c r="D2750" s="1"/>
    </row>
    <row r="2751" spans="1:4" ht="12.5">
      <c r="A2751" s="1"/>
      <c r="B2751" s="1"/>
      <c r="C2751" s="1"/>
      <c r="D2751" s="1"/>
    </row>
    <row r="2752" spans="1:4" ht="12.5">
      <c r="A2752" s="1"/>
      <c r="B2752" s="1"/>
      <c r="C2752" s="1"/>
      <c r="D2752" s="1"/>
    </row>
    <row r="2753" spans="1:4" ht="12.5">
      <c r="A2753" s="1"/>
      <c r="B2753" s="1"/>
      <c r="C2753" s="1"/>
      <c r="D2753" s="1"/>
    </row>
    <row r="2754" spans="1:4" ht="12.5">
      <c r="A2754" s="1"/>
      <c r="B2754" s="1"/>
      <c r="C2754" s="1"/>
      <c r="D2754" s="1"/>
    </row>
    <row r="2755" spans="1:4" ht="12.5">
      <c r="A2755" s="1"/>
      <c r="B2755" s="1"/>
      <c r="C2755" s="1"/>
      <c r="D2755" s="1"/>
    </row>
    <row r="2756" spans="1:4" ht="12.5">
      <c r="A2756" s="1"/>
      <c r="B2756" s="1"/>
      <c r="C2756" s="1"/>
      <c r="D2756" s="1"/>
    </row>
    <row r="2757" spans="1:4" ht="12.5">
      <c r="A2757" s="1"/>
      <c r="B2757" s="1"/>
      <c r="C2757" s="1"/>
      <c r="D2757" s="1"/>
    </row>
    <row r="2758" spans="1:4" ht="12.5">
      <c r="A2758" s="1"/>
      <c r="B2758" s="1"/>
      <c r="C2758" s="1"/>
      <c r="D2758" s="1"/>
    </row>
    <row r="2759" spans="1:4" ht="12.5">
      <c r="A2759" s="1"/>
      <c r="B2759" s="1"/>
      <c r="C2759" s="1"/>
      <c r="D2759" s="1"/>
    </row>
    <row r="2760" spans="1:4" ht="12.5">
      <c r="A2760" s="1"/>
      <c r="B2760" s="1"/>
      <c r="C2760" s="1"/>
      <c r="D2760" s="1"/>
    </row>
    <row r="2761" spans="1:4" ht="12.5">
      <c r="A2761" s="1"/>
      <c r="B2761" s="1"/>
      <c r="C2761" s="1"/>
      <c r="D2761" s="1"/>
    </row>
    <row r="2762" spans="1:4" ht="12.5">
      <c r="A2762" s="1"/>
      <c r="B2762" s="1"/>
      <c r="C2762" s="1"/>
      <c r="D2762" s="1"/>
    </row>
    <row r="2763" spans="1:4" ht="12.5">
      <c r="A2763" s="1"/>
      <c r="B2763" s="1"/>
      <c r="C2763" s="1"/>
      <c r="D2763" s="1"/>
    </row>
    <row r="2764" spans="1:4" ht="12.5">
      <c r="A2764" s="1"/>
      <c r="B2764" s="1"/>
      <c r="C2764" s="1"/>
      <c r="D2764" s="1"/>
    </row>
    <row r="2765" spans="1:4" ht="12.5">
      <c r="A2765" s="1"/>
      <c r="B2765" s="1"/>
      <c r="C2765" s="1"/>
      <c r="D2765" s="1"/>
    </row>
    <row r="2766" spans="1:4" ht="12.5">
      <c r="A2766" s="1"/>
      <c r="B2766" s="1"/>
      <c r="C2766" s="1"/>
      <c r="D2766" s="1"/>
    </row>
    <row r="2767" spans="1:4" ht="12.5">
      <c r="A2767" s="1"/>
      <c r="B2767" s="1"/>
      <c r="C2767" s="1"/>
      <c r="D2767" s="1"/>
    </row>
    <row r="2768" spans="1:4" ht="12.5">
      <c r="A2768" s="1"/>
      <c r="B2768" s="1"/>
      <c r="C2768" s="1"/>
      <c r="D2768" s="1"/>
    </row>
    <row r="2769" spans="1:4" ht="12.5">
      <c r="A2769" s="1"/>
      <c r="B2769" s="1"/>
      <c r="C2769" s="1"/>
      <c r="D2769" s="1"/>
    </row>
    <row r="2770" spans="1:4" ht="12.5">
      <c r="A2770" s="1"/>
      <c r="B2770" s="1"/>
      <c r="C2770" s="1"/>
      <c r="D2770" s="1"/>
    </row>
    <row r="2771" spans="1:4" ht="12.5">
      <c r="A2771" s="1"/>
      <c r="B2771" s="1"/>
      <c r="C2771" s="1"/>
      <c r="D2771" s="1"/>
    </row>
    <row r="2772" spans="1:4" ht="12.5">
      <c r="A2772" s="1"/>
      <c r="B2772" s="1"/>
      <c r="C2772" s="1"/>
      <c r="D2772" s="1"/>
    </row>
    <row r="2773" spans="1:4" ht="12.5">
      <c r="A2773" s="1"/>
      <c r="B2773" s="1"/>
      <c r="C2773" s="1"/>
      <c r="D2773" s="1"/>
    </row>
    <row r="2774" spans="1:4" ht="12.5">
      <c r="A2774" s="1"/>
      <c r="B2774" s="1"/>
      <c r="C2774" s="1"/>
      <c r="D2774" s="1"/>
    </row>
    <row r="2775" spans="1:4" ht="12.5">
      <c r="A2775" s="1"/>
      <c r="B2775" s="1"/>
      <c r="C2775" s="1"/>
      <c r="D2775" s="1"/>
    </row>
    <row r="2776" spans="1:4" ht="12.5">
      <c r="A2776" s="1"/>
      <c r="B2776" s="1"/>
      <c r="C2776" s="1"/>
      <c r="D2776" s="1"/>
    </row>
    <row r="2777" spans="1:4" ht="12.5">
      <c r="A2777" s="1"/>
      <c r="B2777" s="1"/>
      <c r="C2777" s="1"/>
      <c r="D2777" s="1"/>
    </row>
    <row r="2778" spans="1:4" ht="12.5">
      <c r="A2778" s="1"/>
      <c r="B2778" s="1"/>
      <c r="C2778" s="1"/>
      <c r="D2778" s="1"/>
    </row>
    <row r="2779" spans="1:4" ht="12.5">
      <c r="A2779" s="1"/>
      <c r="B2779" s="1"/>
      <c r="C2779" s="1"/>
      <c r="D2779" s="1"/>
    </row>
    <row r="2780" spans="1:4" ht="12.5">
      <c r="A2780" s="1"/>
      <c r="B2780" s="1"/>
      <c r="C2780" s="1"/>
      <c r="D2780" s="1"/>
    </row>
    <row r="2781" spans="1:4" ht="12.5">
      <c r="A2781" s="1"/>
      <c r="B2781" s="1"/>
      <c r="C2781" s="1"/>
      <c r="D2781" s="1"/>
    </row>
    <row r="2782" spans="1:4" ht="12.5">
      <c r="A2782" s="1"/>
      <c r="B2782" s="1"/>
      <c r="C2782" s="1"/>
      <c r="D2782" s="1"/>
    </row>
    <row r="2783" spans="1:4" ht="12.5">
      <c r="A2783" s="1"/>
      <c r="B2783" s="1"/>
      <c r="C2783" s="1"/>
      <c r="D2783" s="1"/>
    </row>
    <row r="2784" spans="1:4" ht="12.5">
      <c r="A2784" s="1"/>
      <c r="B2784" s="1"/>
      <c r="C2784" s="1"/>
      <c r="D2784" s="1"/>
    </row>
    <row r="2785" spans="1:4" ht="12.5">
      <c r="A2785" s="1"/>
      <c r="B2785" s="1"/>
      <c r="C2785" s="1"/>
      <c r="D2785" s="1"/>
    </row>
    <row r="2786" spans="1:4" ht="12.5">
      <c r="A2786" s="1"/>
      <c r="B2786" s="1"/>
      <c r="C2786" s="1"/>
      <c r="D2786" s="1"/>
    </row>
    <row r="2787" spans="1:4" ht="12.5">
      <c r="A2787" s="1"/>
      <c r="B2787" s="1"/>
      <c r="C2787" s="1"/>
      <c r="D2787" s="1"/>
    </row>
    <row r="2788" spans="1:4" ht="12.5">
      <c r="A2788" s="1"/>
      <c r="B2788" s="1"/>
      <c r="C2788" s="1"/>
      <c r="D2788" s="1"/>
    </row>
    <row r="2789" spans="1:4" ht="12.5">
      <c r="A2789" s="1"/>
      <c r="B2789" s="1"/>
      <c r="C2789" s="1"/>
      <c r="D2789" s="1"/>
    </row>
    <row r="2790" spans="1:4" ht="12.5">
      <c r="A2790" s="1"/>
      <c r="B2790" s="1"/>
      <c r="C2790" s="1"/>
      <c r="D2790" s="1"/>
    </row>
    <row r="2791" spans="1:4" ht="12.5">
      <c r="A2791" s="1"/>
      <c r="B2791" s="1"/>
      <c r="C2791" s="1"/>
      <c r="D2791" s="1"/>
    </row>
    <row r="2792" spans="1:4" ht="12.5">
      <c r="A2792" s="1"/>
      <c r="B2792" s="1"/>
      <c r="C2792" s="1"/>
      <c r="D2792" s="1"/>
    </row>
    <row r="2793" spans="1:4" ht="12.5">
      <c r="A2793" s="1"/>
      <c r="B2793" s="1"/>
      <c r="C2793" s="1"/>
      <c r="D2793" s="1"/>
    </row>
    <row r="2794" spans="1:4" ht="12.5">
      <c r="A2794" s="1"/>
      <c r="B2794" s="1"/>
      <c r="C2794" s="1"/>
      <c r="D2794" s="1"/>
    </row>
    <row r="2795" spans="1:4" ht="12.5">
      <c r="A2795" s="1"/>
      <c r="B2795" s="1"/>
      <c r="C2795" s="1"/>
      <c r="D2795" s="1"/>
    </row>
    <row r="2796" spans="1:4" ht="12.5">
      <c r="A2796" s="1"/>
      <c r="B2796" s="1"/>
      <c r="C2796" s="1"/>
      <c r="D2796" s="1"/>
    </row>
    <row r="2797" spans="1:4" ht="12.5">
      <c r="A2797" s="1"/>
      <c r="B2797" s="1"/>
      <c r="C2797" s="1"/>
      <c r="D2797" s="1"/>
    </row>
    <row r="2798" spans="1:4" ht="12.5">
      <c r="A2798" s="1"/>
      <c r="B2798" s="1"/>
      <c r="C2798" s="1"/>
      <c r="D2798" s="1"/>
    </row>
    <row r="2799" spans="1:4" ht="12.5">
      <c r="A2799" s="1"/>
      <c r="B2799" s="1"/>
      <c r="C2799" s="1"/>
      <c r="D2799" s="1"/>
    </row>
    <row r="2800" spans="1:4" ht="12.5">
      <c r="A2800" s="1"/>
      <c r="B2800" s="1"/>
      <c r="C2800" s="1"/>
      <c r="D2800" s="1"/>
    </row>
    <row r="2801" spans="1:4" ht="12.5">
      <c r="A2801" s="1"/>
      <c r="B2801" s="1"/>
      <c r="C2801" s="1"/>
      <c r="D2801" s="1"/>
    </row>
    <row r="2802" spans="1:4" ht="12.5">
      <c r="A2802" s="1"/>
      <c r="B2802" s="1"/>
      <c r="C2802" s="1"/>
      <c r="D2802" s="1"/>
    </row>
    <row r="2803" spans="1:4" ht="12.5">
      <c r="A2803" s="1"/>
      <c r="B2803" s="1"/>
      <c r="C2803" s="1"/>
      <c r="D2803" s="1"/>
    </row>
    <row r="2804" spans="1:4" ht="12.5">
      <c r="A2804" s="1"/>
      <c r="B2804" s="1"/>
      <c r="C2804" s="1"/>
      <c r="D280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Incident</vt:lpstr>
      <vt:lpstr>Shooter</vt:lpstr>
      <vt:lpstr>Victim</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Candelaria Fresno Mora</cp:lastModifiedBy>
  <dcterms:modified xsi:type="dcterms:W3CDTF">2024-05-08T22:39:02Z</dcterms:modified>
</cp:coreProperties>
</file>